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Users/mglish/Documents/CN Docs/BOM Configurators/- Services BOM Configurator/- Posted Version/"/>
    </mc:Choice>
  </mc:AlternateContent>
  <xr:revisionPtr revIDLastSave="0" documentId="13_ncr:1_{223B61D1-83D3-9049-A7F4-B108DB1020C5}" xr6:coauthVersionLast="47" xr6:coauthVersionMax="47" xr10:uidLastSave="{00000000-0000-0000-0000-000000000000}"/>
  <workbookProtection workbookAlgorithmName="SHA-512" workbookHashValue="XBlnt/qUCubI3VsnH5F1jKEFIrfE+lHx0vBLlmvJ4jHWqiTjDediw08wBjUY+CPRPIoum+8aXV+pPzo89Y4UoA==" workbookSaltValue="H1M3R6LybUEZoPWQytPgwA==" workbookSpinCount="100000" lockStructure="1"/>
  <bookViews>
    <workbookView xWindow="40" yWindow="640" windowWidth="25900" windowHeight="18340" tabRatio="673" xr2:uid="{00000000-000D-0000-FFFF-FFFF00000000}"/>
  </bookViews>
  <sheets>
    <sheet name="Start Here" sheetId="5" r:id="rId1"/>
    <sheet name="PMP Fixed Wireless BB" sheetId="74" r:id="rId2"/>
    <sheet name="PTP, IIOT" sheetId="79" r:id="rId3"/>
    <sheet name="ePMP, cnVision" sheetId="83" r:id="rId4"/>
    <sheet name="Enterprise Wi-Fi &amp; Switching" sheetId="80" r:id="rId5"/>
    <sheet name="Bill of Materials" sheetId="1" r:id="rId6"/>
    <sheet name="CC Svc Categories-Price Tiers" sheetId="90" r:id="rId7"/>
    <sheet name="Default Check" sheetId="71" state="hidden" r:id="rId8"/>
    <sheet name="Cambium Care" sheetId="92" state="hidden" r:id="rId9"/>
    <sheet name="Enterprise PL 2022-03-22" sheetId="93" state="hidden" r:id="rId10"/>
    <sheet name="All Products PL 2022-03-08" sheetId="95" state="hidden" r:id="rId11"/>
    <sheet name="ePMP PL 2022-03-25" sheetId="96" state="hidden" r:id="rId12"/>
    <sheet name="Future Support PL" sheetId="94" state="hidden" r:id="rId13"/>
  </sheets>
  <externalReferences>
    <externalReference r:id="rId14"/>
    <externalReference r:id="rId15"/>
    <externalReference r:id="rId16"/>
    <externalReference r:id="rId17"/>
    <externalReference r:id="rId18"/>
    <externalReference r:id="rId19"/>
    <externalReference r:id="rId20"/>
  </externalReferences>
  <definedNames>
    <definedName name="________o1" localSheetId="11" hidden="1">{#N/A,#N/A,FALSE,"SUMMARY";#N/A,#N/A,FALSE,"mcsh";#N/A,#N/A,FALSE,"vol&amp;rev";#N/A,#N/A,FALSE,"wkgcap";#N/A,#N/A,FALSE,"DEPR&amp;DT";#N/A,#N/A,FALSE,"ASSETS";#N/A,#N/A,FALSE,"NI&amp;OTH&amp;DIV";#N/A,#N/A,FALSE,"CASHFLOW";#N/A,#N/A,FALSE,"CAPEMPL";#N/A,#N/A,FALSE,"ROCE"}</definedName>
    <definedName name="________o1" localSheetId="12" hidden="1">{#N/A,#N/A,FALSE,"SUMMARY";#N/A,#N/A,FALSE,"mcsh";#N/A,#N/A,FALSE,"vol&amp;rev";#N/A,#N/A,FALSE,"wkgcap";#N/A,#N/A,FALSE,"DEPR&amp;DT";#N/A,#N/A,FALSE,"ASSETS";#N/A,#N/A,FALSE,"NI&amp;OTH&amp;DIV";#N/A,#N/A,FALSE,"CASHFLOW";#N/A,#N/A,FALSE,"CAPEMPL";#N/A,#N/A,FALSE,"ROCE"}</definedName>
    <definedName name="________o1" hidden="1">{#N/A,#N/A,FALSE,"SUMMARY";#N/A,#N/A,FALSE,"mcsh";#N/A,#N/A,FALSE,"vol&amp;rev";#N/A,#N/A,FALSE,"wkgcap";#N/A,#N/A,FALSE,"DEPR&amp;DT";#N/A,#N/A,FALSE,"ASSETS";#N/A,#N/A,FALSE,"NI&amp;OTH&amp;DIV";#N/A,#N/A,FALSE,"CASHFLOW";#N/A,#N/A,FALSE,"CAPEMPL";#N/A,#N/A,FALSE,"ROCE"}</definedName>
    <definedName name="_______DF4" localSheetId="11" hidden="1">#REF!</definedName>
    <definedName name="_______DF4" localSheetId="12" hidden="1">#REF!</definedName>
    <definedName name="_______DF4" hidden="1">#REF!</definedName>
    <definedName name="______DF4" localSheetId="11" hidden="1">#REF!</definedName>
    <definedName name="______DF4" localSheetId="12" hidden="1">#REF!</definedName>
    <definedName name="______DF4" hidden="1">#REF!</definedName>
    <definedName name="______o1" localSheetId="11" hidden="1">{#N/A,#N/A,FALSE,"SUMMARY";#N/A,#N/A,FALSE,"mcsh";#N/A,#N/A,FALSE,"vol&amp;rev";#N/A,#N/A,FALSE,"wkgcap";#N/A,#N/A,FALSE,"DEPR&amp;DT";#N/A,#N/A,FALSE,"ASSETS";#N/A,#N/A,FALSE,"NI&amp;OTH&amp;DIV";#N/A,#N/A,FALSE,"CASHFLOW";#N/A,#N/A,FALSE,"CAPEMPL";#N/A,#N/A,FALSE,"ROCE"}</definedName>
    <definedName name="______o1" localSheetId="12" hidden="1">{#N/A,#N/A,FALSE,"SUMMARY";#N/A,#N/A,FALSE,"mcsh";#N/A,#N/A,FALSE,"vol&amp;rev";#N/A,#N/A,FALSE,"wkgcap";#N/A,#N/A,FALSE,"DEPR&amp;DT";#N/A,#N/A,FALSE,"ASSETS";#N/A,#N/A,FALSE,"NI&amp;OTH&amp;DIV";#N/A,#N/A,FALSE,"CASHFLOW";#N/A,#N/A,FALSE,"CAPEMPL";#N/A,#N/A,FALSE,"ROCE"}</definedName>
    <definedName name="______o1" hidden="1">{#N/A,#N/A,FALSE,"SUMMARY";#N/A,#N/A,FALSE,"mcsh";#N/A,#N/A,FALSE,"vol&amp;rev";#N/A,#N/A,FALSE,"wkgcap";#N/A,#N/A,FALSE,"DEPR&amp;DT";#N/A,#N/A,FALSE,"ASSETS";#N/A,#N/A,FALSE,"NI&amp;OTH&amp;DIV";#N/A,#N/A,FALSE,"CASHFLOW";#N/A,#N/A,FALSE,"CAPEMPL";#N/A,#N/A,FALSE,"ROCE"}</definedName>
    <definedName name="_____DF4" localSheetId="11" hidden="1">#REF!</definedName>
    <definedName name="_____DF4" localSheetId="12" hidden="1">#REF!</definedName>
    <definedName name="_____DF4" hidden="1">#REF!</definedName>
    <definedName name="_____o1" localSheetId="11" hidden="1">{#N/A,#N/A,FALSE,"SUMMARY";#N/A,#N/A,FALSE,"mcsh";#N/A,#N/A,FALSE,"vol&amp;rev";#N/A,#N/A,FALSE,"wkgcap";#N/A,#N/A,FALSE,"DEPR&amp;DT";#N/A,#N/A,FALSE,"ASSETS";#N/A,#N/A,FALSE,"NI&amp;OTH&amp;DIV";#N/A,#N/A,FALSE,"CASHFLOW";#N/A,#N/A,FALSE,"CAPEMPL";#N/A,#N/A,FALSE,"ROCE"}</definedName>
    <definedName name="_____o1" localSheetId="12" hidden="1">{#N/A,#N/A,FALSE,"SUMMARY";#N/A,#N/A,FALSE,"mcsh";#N/A,#N/A,FALSE,"vol&amp;rev";#N/A,#N/A,FALSE,"wkgcap";#N/A,#N/A,FALSE,"DEPR&amp;DT";#N/A,#N/A,FALSE,"ASSETS";#N/A,#N/A,FALSE,"NI&amp;OTH&amp;DIV";#N/A,#N/A,FALSE,"CASHFLOW";#N/A,#N/A,FALSE,"CAPEMPL";#N/A,#N/A,FALSE,"ROCE"}</definedName>
    <definedName name="_____o1" hidden="1">{#N/A,#N/A,FALSE,"SUMMARY";#N/A,#N/A,FALSE,"mcsh";#N/A,#N/A,FALSE,"vol&amp;rev";#N/A,#N/A,FALSE,"wkgcap";#N/A,#N/A,FALSE,"DEPR&amp;DT";#N/A,#N/A,FALSE,"ASSETS";#N/A,#N/A,FALSE,"NI&amp;OTH&amp;DIV";#N/A,#N/A,FALSE,"CASHFLOW";#N/A,#N/A,FALSE,"CAPEMPL";#N/A,#N/A,FALSE,"ROCE"}</definedName>
    <definedName name="____DF4" localSheetId="11" hidden="1">#REF!</definedName>
    <definedName name="____DF4" localSheetId="12" hidden="1">#REF!</definedName>
    <definedName name="____DF4" hidden="1">#REF!</definedName>
    <definedName name="____o1" localSheetId="11" hidden="1">{#N/A,#N/A,FALSE,"SUMMARY";#N/A,#N/A,FALSE,"mcsh";#N/A,#N/A,FALSE,"vol&amp;rev";#N/A,#N/A,FALSE,"wkgcap";#N/A,#N/A,FALSE,"DEPR&amp;DT";#N/A,#N/A,FALSE,"ASSETS";#N/A,#N/A,FALSE,"NI&amp;OTH&amp;DIV";#N/A,#N/A,FALSE,"CASHFLOW";#N/A,#N/A,FALSE,"CAPEMPL";#N/A,#N/A,FALSE,"ROCE"}</definedName>
    <definedName name="____o1" localSheetId="12" hidden="1">{#N/A,#N/A,FALSE,"SUMMARY";#N/A,#N/A,FALSE,"mcsh";#N/A,#N/A,FALSE,"vol&amp;rev";#N/A,#N/A,FALSE,"wkgcap";#N/A,#N/A,FALSE,"DEPR&amp;DT";#N/A,#N/A,FALSE,"ASSETS";#N/A,#N/A,FALSE,"NI&amp;OTH&amp;DIV";#N/A,#N/A,FALSE,"CASHFLOW";#N/A,#N/A,FALSE,"CAPEMPL";#N/A,#N/A,FALSE,"ROCE"}</definedName>
    <definedName name="____o1" hidden="1">{#N/A,#N/A,FALSE,"SUMMARY";#N/A,#N/A,FALSE,"mcsh";#N/A,#N/A,FALSE,"vol&amp;rev";#N/A,#N/A,FALSE,"wkgcap";#N/A,#N/A,FALSE,"DEPR&amp;DT";#N/A,#N/A,FALSE,"ASSETS";#N/A,#N/A,FALSE,"NI&amp;OTH&amp;DIV";#N/A,#N/A,FALSE,"CASHFLOW";#N/A,#N/A,FALSE,"CAPEMPL";#N/A,#N/A,FALSE,"ROCE"}</definedName>
    <definedName name="___DF4" localSheetId="11" hidden="1">#REF!</definedName>
    <definedName name="___DF4" localSheetId="12" hidden="1">#REF!</definedName>
    <definedName name="___DF4" hidden="1">#REF!</definedName>
    <definedName name="___o1" localSheetId="11" hidden="1">{#N/A,#N/A,FALSE,"SUMMARY";#N/A,#N/A,FALSE,"mcsh";#N/A,#N/A,FALSE,"vol&amp;rev";#N/A,#N/A,FALSE,"wkgcap";#N/A,#N/A,FALSE,"DEPR&amp;DT";#N/A,#N/A,FALSE,"ASSETS";#N/A,#N/A,FALSE,"NI&amp;OTH&amp;DIV";#N/A,#N/A,FALSE,"CASHFLOW";#N/A,#N/A,FALSE,"CAPEMPL";#N/A,#N/A,FALSE,"ROCE"}</definedName>
    <definedName name="___o1" localSheetId="12" hidden="1">{#N/A,#N/A,FALSE,"SUMMARY";#N/A,#N/A,FALSE,"mcsh";#N/A,#N/A,FALSE,"vol&amp;rev";#N/A,#N/A,FALSE,"wkgcap";#N/A,#N/A,FALSE,"DEPR&amp;DT";#N/A,#N/A,FALSE,"ASSETS";#N/A,#N/A,FALSE,"NI&amp;OTH&amp;DIV";#N/A,#N/A,FALSE,"CASHFLOW";#N/A,#N/A,FALSE,"CAPEMPL";#N/A,#N/A,FALSE,"ROCE"}</definedName>
    <definedName name="___o1" hidden="1">{#N/A,#N/A,FALSE,"SUMMARY";#N/A,#N/A,FALSE,"mcsh";#N/A,#N/A,FALSE,"vol&amp;rev";#N/A,#N/A,FALSE,"wkgcap";#N/A,#N/A,FALSE,"DEPR&amp;DT";#N/A,#N/A,FALSE,"ASSETS";#N/A,#N/A,FALSE,"NI&amp;OTH&amp;DIV";#N/A,#N/A,FALSE,"CASHFLOW";#N/A,#N/A,FALSE,"CAPEMPL";#N/A,#N/A,FALSE,"ROCE"}</definedName>
    <definedName name="__123Graph_A" hidden="1">[1]Pub!$H$13:$H$83</definedName>
    <definedName name="__123Graph_B" hidden="1">[1]Pub!$I$13:$I$83</definedName>
    <definedName name="__123Graph_C" hidden="1">[1]Pub!$J$13:$J$83</definedName>
    <definedName name="__123Graph_D" hidden="1">[1]Pub!$K$13:$K$83</definedName>
    <definedName name="__123Graph_E" localSheetId="11" hidden="1">[1]Pub!#REF!</definedName>
    <definedName name="__123Graph_E" hidden="1">[1]Pub!#REF!</definedName>
    <definedName name="__123Graph_F" hidden="1">[1]Pub!$L$13:$L$83</definedName>
    <definedName name="__123Graph_X" hidden="1">[1]Pub!$G$13:$G$83</definedName>
    <definedName name="__DF4" localSheetId="11" hidden="1">#REF!</definedName>
    <definedName name="__DF4" localSheetId="12" hidden="1">#REF!</definedName>
    <definedName name="__DF4" hidden="1">#REF!</definedName>
    <definedName name="__FDS_HYPERLINK_TOGGLE_STATE__" hidden="1">"ON"</definedName>
    <definedName name="__o1" localSheetId="11" hidden="1">{#N/A,#N/A,FALSE,"SUMMARY";#N/A,#N/A,FALSE,"mcsh";#N/A,#N/A,FALSE,"vol&amp;rev";#N/A,#N/A,FALSE,"wkgcap";#N/A,#N/A,FALSE,"DEPR&amp;DT";#N/A,#N/A,FALSE,"ASSETS";#N/A,#N/A,FALSE,"NI&amp;OTH&amp;DIV";#N/A,#N/A,FALSE,"CASHFLOW";#N/A,#N/A,FALSE,"CAPEMPL";#N/A,#N/A,FALSE,"ROCE"}</definedName>
    <definedName name="__o1" localSheetId="12" hidden="1">{#N/A,#N/A,FALSE,"SUMMARY";#N/A,#N/A,FALSE,"mcsh";#N/A,#N/A,FALSE,"vol&amp;rev";#N/A,#N/A,FALSE,"wkgcap";#N/A,#N/A,FALSE,"DEPR&amp;DT";#N/A,#N/A,FALSE,"ASSETS";#N/A,#N/A,FALSE,"NI&amp;OTH&amp;DIV";#N/A,#N/A,FALSE,"CASHFLOW";#N/A,#N/A,FALSE,"CAPEMPL";#N/A,#N/A,FALSE,"ROCE"}</definedName>
    <definedName name="__o1" hidden="1">{#N/A,#N/A,FALSE,"SUMMARY";#N/A,#N/A,FALSE,"mcsh";#N/A,#N/A,FALSE,"vol&amp;rev";#N/A,#N/A,FALSE,"wkgcap";#N/A,#N/A,FALSE,"DEPR&amp;DT";#N/A,#N/A,FALSE,"ASSETS";#N/A,#N/A,FALSE,"NI&amp;OTH&amp;DIV";#N/A,#N/A,FALSE,"CASHFLOW";#N/A,#N/A,FALSE,"CAPEMPL";#N/A,#N/A,FALSE,"ROCE"}</definedName>
    <definedName name="_??" localSheetId="11" hidden="1">{"'?????10.27??????'!$Q$16"}</definedName>
    <definedName name="_??" localSheetId="12" hidden="1">{"'?????10.27??????'!$Q$16"}</definedName>
    <definedName name="_??" hidden="1">{"'?????10.27??????'!$Q$16"}</definedName>
    <definedName name="_????" localSheetId="11" hidden="1">{"'?????10.27??????'!$Q$16"}</definedName>
    <definedName name="_????" localSheetId="12" hidden="1">{"'?????10.27??????'!$Q$16"}</definedName>
    <definedName name="_????" hidden="1">{"'?????10.27??????'!$Q$16"}</definedName>
    <definedName name="_?????" localSheetId="11" hidden="1">{"DCF-???",#N/A,TRUE,"???";"DCF-??",#N/A,TRUE,"??";"DCF-??",#N/A,TRUE,"??";"DCF-??",#N/A,TRUE,"??";"DCF-??",#N/A,TRUE,"??";"DCF-??",#N/A,TRUE,"??";"DCF-??",#N/A,TRUE,"??";"DCF-??",#N/A,TRUE,"??";"DCF-??",#N/A,TRUE,"??"}</definedName>
    <definedName name="_?????" localSheetId="12" hidden="1">{"DCF-???",#N/A,TRUE,"???";"DCF-??",#N/A,TRUE,"??";"DCF-??",#N/A,TRUE,"??";"DCF-??",#N/A,TRUE,"??";"DCF-??",#N/A,TRUE,"??";"DCF-??",#N/A,TRUE,"??";"DCF-??",#N/A,TRUE,"??";"DCF-??",#N/A,TRUE,"??";"DCF-??",#N/A,TRUE,"??"}</definedName>
    <definedName name="_?????" hidden="1">{"DCF-???",#N/A,TRUE,"???";"DCF-??",#N/A,TRUE,"??";"DCF-??",#N/A,TRUE,"??";"DCF-??",#N/A,TRUE,"??";"DCF-??",#N/A,TRUE,"??";"DCF-??",#N/A,TRUE,"??";"DCF-??",#N/A,TRUE,"??";"DCF-??",#N/A,TRUE,"??";"DCF-??",#N/A,TRUE,"??"}</definedName>
    <definedName name="_??????" localSheetId="11" hidden="1">{"'?????10.27??????'!$Q$16"}</definedName>
    <definedName name="_??????" localSheetId="12" hidden="1">{"'?????10.27??????'!$Q$16"}</definedName>
    <definedName name="_??????" hidden="1">{"'?????10.27??????'!$Q$16"}</definedName>
    <definedName name="_??06" localSheetId="11" hidden="1">{"'?????10.27??????'!$Q$16"}</definedName>
    <definedName name="_??06" localSheetId="12" hidden="1">{"'?????10.27??????'!$Q$16"}</definedName>
    <definedName name="_??06" hidden="1">{"'?????10.27??????'!$Q$16"}</definedName>
    <definedName name="_?16??" localSheetId="11" hidden="1">{"'????'!$A$1:$C$37"}</definedName>
    <definedName name="_?16??" localSheetId="12" hidden="1">{"'????'!$A$1:$C$37"}</definedName>
    <definedName name="_?16??" hidden="1">{"'????'!$A$1:$C$37"}</definedName>
    <definedName name="_1____123Graph_AMOF_NB" localSheetId="11" hidden="1">[2]計算過程シート!#REF!</definedName>
    <definedName name="_1____123Graph_AMOF_NB" hidden="1">[3]計算過程シート!#REF!</definedName>
    <definedName name="_1__123Graph_ACHART_1" localSheetId="11" hidden="1">'[4]Historical IS'!#REF!</definedName>
    <definedName name="_1__123Graph_ACHART_1" hidden="1">'[4]Historical IS'!#REF!</definedName>
    <definedName name="_1__123Graph_AIRR_IRR" localSheetId="11" hidden="1">#REF!</definedName>
    <definedName name="_1__123Graph_AIRR_IRR" localSheetId="12" hidden="1">#REF!</definedName>
    <definedName name="_1__123Graph_AIRR_IRR" hidden="1">#REF!</definedName>
    <definedName name="_10___123Graph_XIRR_IRR" localSheetId="11" hidden="1">#REF!</definedName>
    <definedName name="_10___123Graph_XIRR_IRR" localSheetId="12" hidden="1">#REF!</definedName>
    <definedName name="_10___123Graph_XIRR_IRR" hidden="1">#REF!</definedName>
    <definedName name="_10__123Graph_ACHART_16" hidden="1">[5]engineering!$Q$49:$S$49</definedName>
    <definedName name="_10__123Graph_CCHART_3" localSheetId="11" hidden="1">'[4]Historical IS'!#REF!</definedName>
    <definedName name="_10__123Graph_CCHART_3" hidden="1">'[4]Historical IS'!#REF!</definedName>
    <definedName name="_103__123Graph_Cｸﾞﾗﾌ_1" localSheetId="11" hidden="1">#REF!</definedName>
    <definedName name="_103__123Graph_Cｸﾞﾗﾌ_1" localSheetId="12" hidden="1">#REF!</definedName>
    <definedName name="_103__123Graph_Cｸﾞﾗﾌ_1" hidden="1">#REF!</definedName>
    <definedName name="_104__123Graph_Dｸﾞﾗﾌ_1" localSheetId="11" hidden="1">#REF!</definedName>
    <definedName name="_104__123Graph_Dｸﾞﾗﾌ_1" localSheetId="12" hidden="1">#REF!</definedName>
    <definedName name="_104__123Graph_Dｸﾞﾗﾌ_1" hidden="1">#REF!</definedName>
    <definedName name="_105__123Graph_XIRR_IRR" localSheetId="11" hidden="1">#REF!</definedName>
    <definedName name="_105__123Graph_XIRR_IRR" localSheetId="12" hidden="1">#REF!</definedName>
    <definedName name="_105__123Graph_XIRR_IRR" hidden="1">#REF!</definedName>
    <definedName name="_106__123Graph_XMOF_NB" localSheetId="11" hidden="1">#REF!</definedName>
    <definedName name="_106__123Graph_XMOF_NB" localSheetId="12" hidden="1">#REF!</definedName>
    <definedName name="_106__123Graph_XMOF_NB" hidden="1">#REF!</definedName>
    <definedName name="_11___123Graph_XMOF_NB" localSheetId="11" hidden="1">#REF!</definedName>
    <definedName name="_11___123Graph_XMOF_NB" localSheetId="12" hidden="1">#REF!</definedName>
    <definedName name="_11___123Graph_XMOF_NB" hidden="1">#REF!</definedName>
    <definedName name="_11__123Graph_ACHART_17" hidden="1">[5]revenue!$P$77:$R$77</definedName>
    <definedName name="_11__123Graph_CCHART_8" localSheetId="11" hidden="1">'[4]Historical IS'!#REF!</definedName>
    <definedName name="_11__123Graph_CCHART_8" hidden="1">'[4]Historical IS'!#REF!</definedName>
    <definedName name="_12__123Graph_ACHART_18" hidden="1">[5]revenue!$P$82:$R$82</definedName>
    <definedName name="_12__123Graph_AIRR_IRR" localSheetId="11" hidden="1">#REF!</definedName>
    <definedName name="_12__123Graph_AIRR_IRR" localSheetId="12" hidden="1">#REF!</definedName>
    <definedName name="_12__123Graph_AIRR_IRR" hidden="1">#REF!</definedName>
    <definedName name="_12__123Graph_DCHART_1" localSheetId="11" hidden="1">'[4]Historical IS'!#REF!</definedName>
    <definedName name="_12__123Graph_DCHART_1" hidden="1">'[4]Historical IS'!#REF!</definedName>
    <definedName name="_13__123Graph_ACHART_19" hidden="1">[5]sga!$P$7:$R$7</definedName>
    <definedName name="_13__123Graph_AMOF_NB" localSheetId="11" hidden="1">[2]計算過程シート!#REF!</definedName>
    <definedName name="_13__123Graph_AMOF_NB" hidden="1">[3]計算過程シート!#REF!</definedName>
    <definedName name="_13__123Graph_DCHART_8" localSheetId="11" hidden="1">'[4]Historical IS'!#REF!</definedName>
    <definedName name="_13__123Graph_DCHART_8" hidden="1">'[4]Historical IS'!#REF!</definedName>
    <definedName name="_131__123Graph_Xｸﾞﾗﾌ_1" localSheetId="11" hidden="1">#REF!</definedName>
    <definedName name="_131__123Graph_Xｸﾞﾗﾌ_1" localSheetId="12" hidden="1">#REF!</definedName>
    <definedName name="_131__123Graph_Xｸﾞﾗﾌ_1" hidden="1">#REF!</definedName>
    <definedName name="_14__123Graph_A????_1" localSheetId="11" hidden="1">#REF!</definedName>
    <definedName name="_14__123Graph_A????_1" localSheetId="12" hidden="1">#REF!</definedName>
    <definedName name="_14__123Graph_A????_1" hidden="1">#REF!</definedName>
    <definedName name="_14__123Graph_ACHART_2" localSheetId="11" hidden="1">#REF!</definedName>
    <definedName name="_14__123Graph_ACHART_2" localSheetId="12" hidden="1">#REF!</definedName>
    <definedName name="_14__123Graph_ACHART_2" hidden="1">#REF!</definedName>
    <definedName name="_14__123Graph_Aｸﾞﾗﾌ_1" localSheetId="11" hidden="1">#REF!</definedName>
    <definedName name="_14__123Graph_Aｸﾞﾗﾌ_1" localSheetId="12" hidden="1">#REF!</definedName>
    <definedName name="_14__123Graph_Aｸﾞﾗﾌ_1" hidden="1">#REF!</definedName>
    <definedName name="_14__123Graph_LBL_ACHART_3" localSheetId="11" hidden="1">'[4]Historical IS'!#REF!</definedName>
    <definedName name="_14__123Graph_LBL_ACHART_3" hidden="1">'[4]Historical IS'!#REF!</definedName>
    <definedName name="_15__123Graph_ACHART_20" hidden="1">[5]sga!$P$10:$R$10</definedName>
    <definedName name="_15__123Graph_BIRR_IRR" localSheetId="11" hidden="1">#REF!</definedName>
    <definedName name="_15__123Graph_BIRR_IRR" localSheetId="12" hidden="1">#REF!</definedName>
    <definedName name="_15__123Graph_BIRR_IRR" hidden="1">#REF!</definedName>
    <definedName name="_15__123Graph_LBL_ACHART_4" localSheetId="11" hidden="1">'[4]Historical IS'!#REF!</definedName>
    <definedName name="_15__123Graph_LBL_ACHART_4" hidden="1">'[4]Historical IS'!#REF!</definedName>
    <definedName name="_16__123Graph_ACHART_3" localSheetId="11" hidden="1">#REF!</definedName>
    <definedName name="_16__123Graph_ACHART_3" localSheetId="12" hidden="1">#REF!</definedName>
    <definedName name="_16__123Graph_ACHART_3" hidden="1">#REF!</definedName>
    <definedName name="_16__123Graph_BMOF_NB" localSheetId="11" hidden="1">#REF!</definedName>
    <definedName name="_16__123Graph_BMOF_NB" localSheetId="12" hidden="1">#REF!</definedName>
    <definedName name="_16__123Graph_BMOF_NB" hidden="1">#REF!</definedName>
    <definedName name="_16__123Graph_LBL_BCHART_3" localSheetId="11" hidden="1">'[4]Historical IS'!#REF!</definedName>
    <definedName name="_16__123Graph_LBL_BCHART_3" hidden="1">'[4]Historical IS'!#REF!</definedName>
    <definedName name="_17__123Graph_ACHART_4" localSheetId="11" hidden="1">#REF!</definedName>
    <definedName name="_17__123Graph_ACHART_4" localSheetId="12" hidden="1">#REF!</definedName>
    <definedName name="_17__123Graph_ACHART_4" hidden="1">#REF!</definedName>
    <definedName name="_17__123Graph_B????_1" localSheetId="11" hidden="1">#REF!</definedName>
    <definedName name="_17__123Graph_B????_1" localSheetId="12" hidden="1">#REF!</definedName>
    <definedName name="_17__123Graph_B????_1" hidden="1">#REF!</definedName>
    <definedName name="_17__123Graph_Bｸﾞﾗﾌ_1" localSheetId="11" hidden="1">#REF!</definedName>
    <definedName name="_17__123Graph_Bｸﾞﾗﾌ_1" localSheetId="12" hidden="1">#REF!</definedName>
    <definedName name="_17__123Graph_Bｸﾞﾗﾌ_1" hidden="1">#REF!</definedName>
    <definedName name="_17__123Graph_LBL_BCHART_4" localSheetId="11" hidden="1">'[4]Historical IS'!#REF!</definedName>
    <definedName name="_17__123Graph_LBL_BCHART_4" hidden="1">'[4]Historical IS'!#REF!</definedName>
    <definedName name="_18__123Graph_ACHART_5" localSheetId="11" hidden="1">#REF!</definedName>
    <definedName name="_18__123Graph_ACHART_5" localSheetId="12" hidden="1">#REF!</definedName>
    <definedName name="_18__123Graph_ACHART_5" hidden="1">#REF!</definedName>
    <definedName name="_18__123Graph_C????_1" localSheetId="11" hidden="1">#REF!</definedName>
    <definedName name="_18__123Graph_C????_1" localSheetId="12" hidden="1">#REF!</definedName>
    <definedName name="_18__123Graph_C????_1" hidden="1">#REF!</definedName>
    <definedName name="_18__123Graph_Cｸﾞﾗﾌ_1" localSheetId="11" hidden="1">#REF!</definedName>
    <definedName name="_18__123Graph_Cｸﾞﾗﾌ_1" localSheetId="12" hidden="1">#REF!</definedName>
    <definedName name="_18__123Graph_Cｸﾞﾗﾌ_1" hidden="1">#REF!</definedName>
    <definedName name="_18__123Graph_LBL_CCHART_3" localSheetId="11" hidden="1">'[4]Historical IS'!#REF!</definedName>
    <definedName name="_18__123Graph_LBL_CCHART_3" hidden="1">'[4]Historical IS'!#REF!</definedName>
    <definedName name="_19__123Graph_ACHART_6" localSheetId="11" hidden="1">#REF!</definedName>
    <definedName name="_19__123Graph_ACHART_6" localSheetId="12" hidden="1">#REF!</definedName>
    <definedName name="_19__123Graph_ACHART_6" hidden="1">#REF!</definedName>
    <definedName name="_19__123Graph_D????_1" localSheetId="11" hidden="1">#REF!</definedName>
    <definedName name="_19__123Graph_D????_1" localSheetId="12" hidden="1">#REF!</definedName>
    <definedName name="_19__123Graph_D????_1" hidden="1">#REF!</definedName>
    <definedName name="_19__123Graph_Dｸﾞﾗﾌ_1" localSheetId="11" hidden="1">#REF!</definedName>
    <definedName name="_19__123Graph_Dｸﾞﾗﾌ_1" localSheetId="12" hidden="1">#REF!</definedName>
    <definedName name="_19__123Graph_Dｸﾞﾗﾌ_1" hidden="1">#REF!</definedName>
    <definedName name="_19__123Graph_XCHART_1" localSheetId="11" hidden="1">'[4]Historical IS'!#REF!</definedName>
    <definedName name="_19__123Graph_XCHART_1" hidden="1">'[4]Historical IS'!#REF!</definedName>
    <definedName name="_2____123Graph_A????_1" localSheetId="11" hidden="1">#REF!</definedName>
    <definedName name="_2____123Graph_A????_1" localSheetId="12" hidden="1">#REF!</definedName>
    <definedName name="_2____123Graph_A????_1" hidden="1">#REF!</definedName>
    <definedName name="_2____123Graph_Aｸﾞﾗﾌ_1" localSheetId="11" hidden="1">#REF!</definedName>
    <definedName name="_2____123Graph_Aｸﾞﾗﾌ_1" localSheetId="12" hidden="1">#REF!</definedName>
    <definedName name="_2____123Graph_Aｸﾞﾗﾌ_1" hidden="1">#REF!</definedName>
    <definedName name="_2__123Graph_ACHART_3" localSheetId="11" hidden="1">'[4]Historical IS'!#REF!</definedName>
    <definedName name="_2__123Graph_ACHART_3" localSheetId="12" hidden="1">'[4]Historical IS'!#REF!</definedName>
    <definedName name="_2__123Graph_ACHART_3" hidden="1">'[4]Historical IS'!#REF!</definedName>
    <definedName name="_2_??" localSheetId="11" hidden="1">{"'?????10.27??????'!$Q$16"}</definedName>
    <definedName name="_2_??" localSheetId="12" hidden="1">{"'?????10.27??????'!$Q$16"}</definedName>
    <definedName name="_2_??" hidden="1">{"'?????10.27??????'!$Q$16"}</definedName>
    <definedName name="_20__123Graph_ACHART_7" localSheetId="11" hidden="1">#REF!</definedName>
    <definedName name="_20__123Graph_ACHART_7" localSheetId="12" hidden="1">#REF!</definedName>
    <definedName name="_20__123Graph_ACHART_7" hidden="1">#REF!</definedName>
    <definedName name="_20__123Graph_XCHART_3" localSheetId="11" hidden="1">'[4]Historical IS'!#REF!</definedName>
    <definedName name="_20__123Graph_XCHART_3" hidden="1">'[4]Historical IS'!#REF!</definedName>
    <definedName name="_20__123Graph_XIRR_IRR" localSheetId="11" hidden="1">#REF!</definedName>
    <definedName name="_20__123Graph_XIRR_IRR" localSheetId="12" hidden="1">#REF!</definedName>
    <definedName name="_20__123Graph_XIRR_IRR" hidden="1">#REF!</definedName>
    <definedName name="_21__123Graph_ACHART_8" localSheetId="11" hidden="1">#REF!</definedName>
    <definedName name="_21__123Graph_ACHART_8" localSheetId="12" hidden="1">#REF!</definedName>
    <definedName name="_21__123Graph_ACHART_8" hidden="1">#REF!</definedName>
    <definedName name="_21__123Graph_XCHART_4" localSheetId="11" hidden="1">'[4]Historical IS'!#REF!</definedName>
    <definedName name="_21__123Graph_XCHART_4" hidden="1">'[4]Historical IS'!#REF!</definedName>
    <definedName name="_21__123Graph_XMOF_NB" localSheetId="11" hidden="1">#REF!</definedName>
    <definedName name="_21__123Graph_XMOF_NB" localSheetId="12" hidden="1">#REF!</definedName>
    <definedName name="_21__123Graph_XMOF_NB" hidden="1">#REF!</definedName>
    <definedName name="_22__123Graph_ACHART_9" localSheetId="11" hidden="1">#REF!</definedName>
    <definedName name="_22__123Graph_ACHART_9" localSheetId="12" hidden="1">#REF!</definedName>
    <definedName name="_22__123Graph_ACHART_9" hidden="1">#REF!</definedName>
    <definedName name="_22__123Graph_X????_1" localSheetId="11" hidden="1">#REF!</definedName>
    <definedName name="_22__123Graph_X????_1" localSheetId="12" hidden="1">#REF!</definedName>
    <definedName name="_22__123Graph_X????_1" hidden="1">#REF!</definedName>
    <definedName name="_22__123Graph_XCHART_8" localSheetId="11" hidden="1">'[4]Historical IS'!#REF!</definedName>
    <definedName name="_22__123Graph_XCHART_8" hidden="1">'[4]Historical IS'!#REF!</definedName>
    <definedName name="_22__123Graph_Xｸﾞﾗﾌ_1" localSheetId="11" hidden="1">#REF!</definedName>
    <definedName name="_22__123Graph_Xｸﾞﾗﾌ_1" localSheetId="12" hidden="1">#REF!</definedName>
    <definedName name="_22__123Graph_Xｸﾞﾗﾌ_1" hidden="1">#REF!</definedName>
    <definedName name="_23__123Graph_BCHART_1" localSheetId="11" hidden="1">#REF!</definedName>
    <definedName name="_23__123Graph_BCHART_1" localSheetId="12" hidden="1">#REF!</definedName>
    <definedName name="_23__123Graph_BCHART_1" hidden="1">#REF!</definedName>
    <definedName name="_24__123Graph_BCHART_11" localSheetId="11" hidden="1">#REF!</definedName>
    <definedName name="_24__123Graph_BCHART_11" localSheetId="12" hidden="1">#REF!</definedName>
    <definedName name="_24__123Graph_BCHART_11" hidden="1">#REF!</definedName>
    <definedName name="_25__123Graph_BCHART_12" localSheetId="11" hidden="1">#REF!</definedName>
    <definedName name="_25__123Graph_BCHART_12" localSheetId="12" hidden="1">#REF!</definedName>
    <definedName name="_25__123Graph_BCHART_12" hidden="1">#REF!</definedName>
    <definedName name="_26__123Graph_AMOF_NB" localSheetId="11" hidden="1">[2]計算過程シート!#REF!</definedName>
    <definedName name="_26__123Graph_AMOF_NB" hidden="1">[3]計算過程シート!#REF!</definedName>
    <definedName name="_26__123Graph_BCHART_13" hidden="1">[5]engineering!$Q$42:$W$42</definedName>
    <definedName name="_27__123Graph_BCHART_14" hidden="1">[5]engineering!$Q$46:$W$46</definedName>
    <definedName name="_28__123Graph_BCHART_15" localSheetId="11" hidden="1">#REF!</definedName>
    <definedName name="_28__123Graph_BCHART_15" localSheetId="12" hidden="1">#REF!</definedName>
    <definedName name="_28__123Graph_BCHART_15" hidden="1">#REF!</definedName>
    <definedName name="_29__123Graph_BCHART_16" hidden="1">[5]engineering!$Q$50:$S$50</definedName>
    <definedName name="_3____123Graph_B????_1" localSheetId="11" hidden="1">#REF!</definedName>
    <definedName name="_3____123Graph_B????_1" localSheetId="12" hidden="1">#REF!</definedName>
    <definedName name="_3____123Graph_B????_1" hidden="1">#REF!</definedName>
    <definedName name="_3____123Graph_Bｸﾞﾗﾌ_1" localSheetId="11" hidden="1">#REF!</definedName>
    <definedName name="_3____123Graph_Bｸﾞﾗﾌ_1" localSheetId="12" hidden="1">#REF!</definedName>
    <definedName name="_3____123Graph_Bｸﾞﾗﾌ_1" hidden="1">#REF!</definedName>
    <definedName name="_3__123Graph_ACHART_1" localSheetId="11" hidden="1">#REF!</definedName>
    <definedName name="_3__123Graph_ACHART_1" localSheetId="12" hidden="1">#REF!</definedName>
    <definedName name="_3__123Graph_ACHART_1" hidden="1">#REF!</definedName>
    <definedName name="_3__123Graph_ACHART_4" localSheetId="11" hidden="1">'[4]Historical IS'!#REF!</definedName>
    <definedName name="_3__123Graph_ACHART_4" hidden="1">'[4]Historical IS'!#REF!</definedName>
    <definedName name="_30__123Graph_BCHART_17" hidden="1">[5]revenue!$P$78:$R$78</definedName>
    <definedName name="_31__123Graph_BCHART_2" localSheetId="11" hidden="1">#REF!</definedName>
    <definedName name="_31__123Graph_BCHART_2" localSheetId="12" hidden="1">#REF!</definedName>
    <definedName name="_31__123Graph_BCHART_2" hidden="1">#REF!</definedName>
    <definedName name="_32__123Graph_BCHART_20" hidden="1">[5]sga!$P$11:$R$11</definedName>
    <definedName name="_33__123Graph_BCHART_3" hidden="1">[5]revenue!$P$10:$R$10</definedName>
    <definedName name="_34__123Graph_BCHART_6" localSheetId="11" hidden="1">#REF!</definedName>
    <definedName name="_34__123Graph_BCHART_6" localSheetId="12" hidden="1">#REF!</definedName>
    <definedName name="_34__123Graph_BCHART_6" hidden="1">#REF!</definedName>
    <definedName name="_35__123Graph_BCHART_7" hidden="1">[5]revenue!$P$45:$R$45</definedName>
    <definedName name="_36__123Graph_BCHART_8" localSheetId="11" hidden="1">#REF!</definedName>
    <definedName name="_36__123Graph_BCHART_8" localSheetId="12" hidden="1">#REF!</definedName>
    <definedName name="_36__123Graph_BCHART_8" hidden="1">#REF!</definedName>
    <definedName name="_36_??06" localSheetId="11" hidden="1">{"'?????10.27??????'!$Q$16"}</definedName>
    <definedName name="_36_??06" localSheetId="12" hidden="1">{"'?????10.27??????'!$Q$16"}</definedName>
    <definedName name="_36_??06" hidden="1">{"'?????10.27??????'!$Q$16"}</definedName>
    <definedName name="_37__123Graph_BCHART_9" hidden="1">[5]engineering!$P$7:$T$7</definedName>
    <definedName name="_38__123Graph_CCHART_1" localSheetId="11" hidden="1">#REF!</definedName>
    <definedName name="_38__123Graph_CCHART_1" localSheetId="12" hidden="1">#REF!</definedName>
    <definedName name="_38__123Graph_CCHART_1" hidden="1">#REF!</definedName>
    <definedName name="_39__123Graph_CCHART_11" hidden="1">[5]engineering!$P$16:$T$16</definedName>
    <definedName name="_4____123Graph_C????_1" localSheetId="11" hidden="1">#REF!</definedName>
    <definedName name="_4____123Graph_C????_1" localSheetId="12" hidden="1">#REF!</definedName>
    <definedName name="_4____123Graph_C????_1" hidden="1">#REF!</definedName>
    <definedName name="_4____123Graph_Cｸﾞﾗﾌ_1" localSheetId="11" hidden="1">#REF!</definedName>
    <definedName name="_4____123Graph_Cｸﾞﾗﾌ_1" localSheetId="12" hidden="1">#REF!</definedName>
    <definedName name="_4____123Graph_Cｸﾞﾗﾌ_1" hidden="1">#REF!</definedName>
    <definedName name="_4__123Graph_ACHART_10" localSheetId="11" hidden="1">#REF!</definedName>
    <definedName name="_4__123Graph_ACHART_10" localSheetId="12" hidden="1">#REF!</definedName>
    <definedName name="_4__123Graph_ACHART_10" hidden="1">#REF!</definedName>
    <definedName name="_4__123Graph_ACHART_8" localSheetId="11" hidden="1">'[4]Historical IS'!#REF!</definedName>
    <definedName name="_4__123Graph_ACHART_8" hidden="1">'[4]Historical IS'!#REF!</definedName>
    <definedName name="_40__123Graph_CCHART_12" localSheetId="11" hidden="1">#REF!</definedName>
    <definedName name="_40__123Graph_CCHART_12" localSheetId="12" hidden="1">#REF!</definedName>
    <definedName name="_40__123Graph_CCHART_12" hidden="1">#REF!</definedName>
    <definedName name="_41__123Graph_CCHART_2" localSheetId="11" hidden="1">#REF!</definedName>
    <definedName name="_41__123Graph_CCHART_2" localSheetId="12" hidden="1">#REF!</definedName>
    <definedName name="_41__123Graph_CCHART_2" hidden="1">#REF!</definedName>
    <definedName name="_42__123Graph_CCHART_20" hidden="1">[5]sga!$P$12:$R$12</definedName>
    <definedName name="_43__123Graph_CCHART_7" hidden="1">[5]revenue!$P$46:$R$46</definedName>
    <definedName name="_44__123Graph_CCHART_8" localSheetId="11" hidden="1">#REF!</definedName>
    <definedName name="_44__123Graph_CCHART_8" localSheetId="12" hidden="1">#REF!</definedName>
    <definedName name="_44__123Graph_CCHART_8" hidden="1">#REF!</definedName>
    <definedName name="_45__123Graph_DCHART_1" localSheetId="11" hidden="1">#REF!</definedName>
    <definedName name="_45__123Graph_DCHART_1" localSheetId="12" hidden="1">#REF!</definedName>
    <definedName name="_45__123Graph_DCHART_1" hidden="1">#REF!</definedName>
    <definedName name="_46__123Graph_DCHART_12" localSheetId="11" hidden="1">#REF!</definedName>
    <definedName name="_46__123Graph_DCHART_12" localSheetId="12" hidden="1">#REF!</definedName>
    <definedName name="_46__123Graph_DCHART_12" hidden="1">#REF!</definedName>
    <definedName name="_47__123Graph_DCHART_2" localSheetId="11" hidden="1">#REF!</definedName>
    <definedName name="_47__123Graph_DCHART_2" localSheetId="12" hidden="1">#REF!</definedName>
    <definedName name="_47__123Graph_DCHART_2" hidden="1">#REF!</definedName>
    <definedName name="_48__123Graph_DCHART_8" localSheetId="11" hidden="1">#REF!</definedName>
    <definedName name="_48__123Graph_DCHART_8" localSheetId="12" hidden="1">#REF!</definedName>
    <definedName name="_48__123Graph_DCHART_8" hidden="1">#REF!</definedName>
    <definedName name="_49__123Graph_ECHART_12" localSheetId="11" hidden="1">#REF!</definedName>
    <definedName name="_49__123Graph_ECHART_12" localSheetId="12" hidden="1">#REF!</definedName>
    <definedName name="_49__123Graph_ECHART_12" hidden="1">#REF!</definedName>
    <definedName name="_5____123Graph_X????_1" localSheetId="11" hidden="1">#REF!</definedName>
    <definedName name="_5____123Graph_X????_1" localSheetId="12" hidden="1">#REF!</definedName>
    <definedName name="_5____123Graph_X????_1" hidden="1">#REF!</definedName>
    <definedName name="_5____123Graph_Xｸﾞﾗﾌ_1" localSheetId="11" hidden="1">#REF!</definedName>
    <definedName name="_5____123Graph_Xｸﾞﾗﾌ_1" localSheetId="12" hidden="1">#REF!</definedName>
    <definedName name="_5____123Graph_Xｸﾞﾗﾌ_1" hidden="1">#REF!</definedName>
    <definedName name="_5__123Graph_ACHART_11" localSheetId="11" hidden="1">#REF!</definedName>
    <definedName name="_5__123Graph_ACHART_11" localSheetId="12" hidden="1">#REF!</definedName>
    <definedName name="_5__123Graph_ACHART_11" hidden="1">#REF!</definedName>
    <definedName name="_5__123Graph_BCHART_1" localSheetId="11" hidden="1">'[4]Historical IS'!#REF!</definedName>
    <definedName name="_5__123Graph_BCHART_1" hidden="1">'[4]Historical IS'!#REF!</definedName>
    <definedName name="_50__123Graph_ECHART_2" localSheetId="11" hidden="1">#REF!</definedName>
    <definedName name="_50__123Graph_ECHART_2" localSheetId="12" hidden="1">#REF!</definedName>
    <definedName name="_50__123Graph_ECHART_2" hidden="1">#REF!</definedName>
    <definedName name="_51__123Graph_Aｸﾞﾗﾌ_1" localSheetId="11" hidden="1">#REF!</definedName>
    <definedName name="_51__123Graph_Aｸﾞﾗﾌ_1" localSheetId="12" hidden="1">#REF!</definedName>
    <definedName name="_51__123Graph_Aｸﾞﾗﾌ_1" hidden="1">#REF!</definedName>
    <definedName name="_51__123Graph_ECHART_8" localSheetId="11" hidden="1">#REF!</definedName>
    <definedName name="_51__123Graph_ECHART_8" localSheetId="12" hidden="1">#REF!</definedName>
    <definedName name="_51__123Graph_ECHART_8" hidden="1">#REF!</definedName>
    <definedName name="_52__123Graph_BIRR_IRR" localSheetId="11" hidden="1">#REF!</definedName>
    <definedName name="_52__123Graph_BIRR_IRR" localSheetId="12" hidden="1">#REF!</definedName>
    <definedName name="_52__123Graph_BIRR_IRR" hidden="1">#REF!</definedName>
    <definedName name="_52__123Graph_FCHART_1" localSheetId="11" hidden="1">#REF!</definedName>
    <definedName name="_52__123Graph_FCHART_1" localSheetId="12" hidden="1">#REF!</definedName>
    <definedName name="_52__123Graph_FCHART_1" hidden="1">#REF!</definedName>
    <definedName name="_53__123Graph_BMOF_NB" localSheetId="11" hidden="1">#REF!</definedName>
    <definedName name="_53__123Graph_BMOF_NB" localSheetId="12" hidden="1">#REF!</definedName>
    <definedName name="_53__123Graph_BMOF_NB" hidden="1">#REF!</definedName>
    <definedName name="_53__123Graph_XCHART_10" localSheetId="11" hidden="1">#REF!</definedName>
    <definedName name="_53__123Graph_XCHART_10" localSheetId="12" hidden="1">#REF!</definedName>
    <definedName name="_53__123Graph_XCHART_10" hidden="1">#REF!</definedName>
    <definedName name="_54__123Graph_XCHART_11" localSheetId="11" hidden="1">#REF!</definedName>
    <definedName name="_54__123Graph_XCHART_11" localSheetId="12" hidden="1">#REF!</definedName>
    <definedName name="_54__123Graph_XCHART_11" hidden="1">#REF!</definedName>
    <definedName name="_55__123Graph_XCHART_12" localSheetId="11" hidden="1">#REF!</definedName>
    <definedName name="_55__123Graph_XCHART_12" localSheetId="12" hidden="1">#REF!</definedName>
    <definedName name="_55__123Graph_XCHART_12" hidden="1">#REF!</definedName>
    <definedName name="_56__123Graph_XCHART_13" localSheetId="11" hidden="1">#REF!</definedName>
    <definedName name="_56__123Graph_XCHART_13" localSheetId="12" hidden="1">#REF!</definedName>
    <definedName name="_56__123Graph_XCHART_13" hidden="1">#REF!</definedName>
    <definedName name="_57__123Graph_XCHART_14" localSheetId="11" hidden="1">#REF!</definedName>
    <definedName name="_57__123Graph_XCHART_14" localSheetId="12" hidden="1">#REF!</definedName>
    <definedName name="_57__123Graph_XCHART_14" hidden="1">#REF!</definedName>
    <definedName name="_58__123Graph_XCHART_15" localSheetId="11" hidden="1">#REF!</definedName>
    <definedName name="_58__123Graph_XCHART_15" localSheetId="12" hidden="1">#REF!</definedName>
    <definedName name="_58__123Graph_XCHART_15" hidden="1">#REF!</definedName>
    <definedName name="_59__123Graph_XCHART_16" hidden="1">[5]engineering!$Q$48:$S$48</definedName>
    <definedName name="_6___123Graph_AIRR_IRR" localSheetId="11" hidden="1">#REF!</definedName>
    <definedName name="_6___123Graph_AIRR_IRR" localSheetId="12" hidden="1">#REF!</definedName>
    <definedName name="_6___123Graph_AIRR_IRR" hidden="1">#REF!</definedName>
    <definedName name="_6__123Graph_ACHART_12" localSheetId="11" hidden="1">#REF!</definedName>
    <definedName name="_6__123Graph_ACHART_12" localSheetId="12" hidden="1">#REF!</definedName>
    <definedName name="_6__123Graph_ACHART_12" hidden="1">#REF!</definedName>
    <definedName name="_6__123Graph_BCHART_3" localSheetId="11" hidden="1">'[4]Historical IS'!#REF!</definedName>
    <definedName name="_6__123Graph_BCHART_3" hidden="1">'[4]Historical IS'!#REF!</definedName>
    <definedName name="_60__123Graph_XCHART_18" hidden="1">[5]revenue!$P$81:$R$81</definedName>
    <definedName name="_61__123Graph_XCHART_2" localSheetId="11" hidden="1">#REF!</definedName>
    <definedName name="_61__123Graph_XCHART_2" localSheetId="12" hidden="1">#REF!</definedName>
    <definedName name="_61__123Graph_XCHART_2" hidden="1">#REF!</definedName>
    <definedName name="_62__123Graph_XCHART_20" hidden="1">[5]sga!$P$9:$R$9</definedName>
    <definedName name="_63__123Graph_XCHART_3" localSheetId="11" hidden="1">#REF!</definedName>
    <definedName name="_63__123Graph_XCHART_3" localSheetId="12" hidden="1">#REF!</definedName>
    <definedName name="_63__123Graph_XCHART_3" hidden="1">#REF!</definedName>
    <definedName name="_64__123Graph_XCHART_4" localSheetId="11" hidden="1">#REF!</definedName>
    <definedName name="_64__123Graph_XCHART_4" localSheetId="12" hidden="1">#REF!</definedName>
    <definedName name="_64__123Graph_XCHART_4" hidden="1">#REF!</definedName>
    <definedName name="_65__123Graph_XCHART_5" localSheetId="11" hidden="1">#REF!</definedName>
    <definedName name="_65__123Graph_XCHART_5" localSheetId="12" hidden="1">#REF!</definedName>
    <definedName name="_65__123Graph_XCHART_5" hidden="1">#REF!</definedName>
    <definedName name="_66__123Graph_XCHART_6" localSheetId="11" hidden="1">#REF!</definedName>
    <definedName name="_66__123Graph_XCHART_6" localSheetId="12" hidden="1">#REF!</definedName>
    <definedName name="_66__123Graph_XCHART_6" hidden="1">#REF!</definedName>
    <definedName name="_67__123Graph_XCHART_7" localSheetId="11" hidden="1">#REF!</definedName>
    <definedName name="_67__123Graph_XCHART_7" localSheetId="12" hidden="1">#REF!</definedName>
    <definedName name="_67__123Graph_XCHART_7" hidden="1">#REF!</definedName>
    <definedName name="_68__123Graph_XCHART_8" localSheetId="11" hidden="1">#REF!</definedName>
    <definedName name="_68__123Graph_XCHART_8" localSheetId="12" hidden="1">#REF!</definedName>
    <definedName name="_68__123Graph_XCHART_8" hidden="1">#REF!</definedName>
    <definedName name="_68_?16??" localSheetId="11" hidden="1">{"'????'!$A$1:$C$37"}</definedName>
    <definedName name="_68_?16??" localSheetId="12" hidden="1">{"'????'!$A$1:$C$37"}</definedName>
    <definedName name="_68_?16??" hidden="1">{"'????'!$A$1:$C$37"}</definedName>
    <definedName name="_69__123Graph_XCHART_9" localSheetId="11" hidden="1">#REF!</definedName>
    <definedName name="_69__123Graph_XCHART_9" localSheetId="12" hidden="1">#REF!</definedName>
    <definedName name="_69__123Graph_XCHART_9" hidden="1">#REF!</definedName>
    <definedName name="_7___123Graph_BIRR_IRR" localSheetId="11" hidden="1">#REF!</definedName>
    <definedName name="_7___123Graph_BIRR_IRR" localSheetId="12" hidden="1">#REF!</definedName>
    <definedName name="_7___123Graph_BIRR_IRR" hidden="1">#REF!</definedName>
    <definedName name="_7__123Graph_ACHART_13" localSheetId="11" hidden="1">#REF!</definedName>
    <definedName name="_7__123Graph_ACHART_13" localSheetId="12" hidden="1">#REF!</definedName>
    <definedName name="_7__123Graph_ACHART_13" hidden="1">#REF!</definedName>
    <definedName name="_7__123Graph_BCHART_4" localSheetId="11" hidden="1">'[4]Historical IS'!#REF!</definedName>
    <definedName name="_7__123Graph_BCHART_4" hidden="1">'[4]Historical IS'!#REF!</definedName>
    <definedName name="_7_????" localSheetId="11" hidden="1">{"'?????10.27??????'!$Q$16"}</definedName>
    <definedName name="_7_????" localSheetId="12" hidden="1">{"'?????10.27??????'!$Q$16"}</definedName>
    <definedName name="_7_????" hidden="1">{"'?????10.27??????'!$Q$16"}</definedName>
    <definedName name="_78__123Graph_Bｸﾞﾗﾌ_1" localSheetId="11" hidden="1">#REF!</definedName>
    <definedName name="_78__123Graph_Bｸﾞﾗﾌ_1" localSheetId="12" hidden="1">#REF!</definedName>
    <definedName name="_78__123Graph_Bｸﾞﾗﾌ_1" hidden="1">#REF!</definedName>
    <definedName name="_8___123Graph_BMOF_NB" localSheetId="11" hidden="1">#REF!</definedName>
    <definedName name="_8___123Graph_BMOF_NB" localSheetId="12" hidden="1">#REF!</definedName>
    <definedName name="_8___123Graph_BMOF_NB" hidden="1">#REF!</definedName>
    <definedName name="_8__123Graph_ACHART_14" localSheetId="11" hidden="1">#REF!</definedName>
    <definedName name="_8__123Graph_ACHART_14" localSheetId="12" hidden="1">#REF!</definedName>
    <definedName name="_8__123Graph_ACHART_14" hidden="1">#REF!</definedName>
    <definedName name="_8__123Graph_BCHART_8" localSheetId="11" hidden="1">'[4]Historical IS'!#REF!</definedName>
    <definedName name="_8__123Graph_BCHART_8" localSheetId="12" hidden="1">'[4]Historical IS'!#REF!</definedName>
    <definedName name="_8__123Graph_BCHART_8" hidden="1">'[4]Historical IS'!#REF!</definedName>
    <definedName name="_8_?????" localSheetId="11" hidden="1">{"DCF-???",#N/A,TRUE,"???";"DCF-??",#N/A,TRUE,"??";"DCF-??",#N/A,TRUE,"??";"DCF-??",#N/A,TRUE,"??";"DCF-??",#N/A,TRUE,"??";"DCF-??",#N/A,TRUE,"??";"DCF-??",#N/A,TRUE,"??";"DCF-??",#N/A,TRUE,"??";"DCF-??",#N/A,TRUE,"??"}</definedName>
    <definedName name="_8_?????" localSheetId="12" hidden="1">{"DCF-???",#N/A,TRUE,"???";"DCF-??",#N/A,TRUE,"??";"DCF-??",#N/A,TRUE,"??";"DCF-??",#N/A,TRUE,"??";"DCF-??",#N/A,TRUE,"??";"DCF-??",#N/A,TRUE,"??";"DCF-??",#N/A,TRUE,"??";"DCF-??",#N/A,TRUE,"??";"DCF-??",#N/A,TRUE,"??"}</definedName>
    <definedName name="_8_?????" hidden="1">{"DCF-???",#N/A,TRUE,"???";"DCF-??",#N/A,TRUE,"??";"DCF-??",#N/A,TRUE,"??";"DCF-??",#N/A,TRUE,"??";"DCF-??",#N/A,TRUE,"??";"DCF-??",#N/A,TRUE,"??";"DCF-??",#N/A,TRUE,"??";"DCF-??",#N/A,TRUE,"??";"DCF-??",#N/A,TRUE,"??"}</definedName>
    <definedName name="_9___123Graph_D????_1" localSheetId="11" hidden="1">#REF!</definedName>
    <definedName name="_9___123Graph_D????_1" localSheetId="12" hidden="1">#REF!</definedName>
    <definedName name="_9___123Graph_D????_1" hidden="1">#REF!</definedName>
    <definedName name="_9___123Graph_Dｸﾞﾗﾌ_1" localSheetId="11" hidden="1">#REF!</definedName>
    <definedName name="_9___123Graph_Dｸﾞﾗﾌ_1" localSheetId="12" hidden="1">#REF!</definedName>
    <definedName name="_9___123Graph_Dｸﾞﾗﾌ_1" hidden="1">#REF!</definedName>
    <definedName name="_9__123Graph_ACHART_15" localSheetId="11" hidden="1">#REF!</definedName>
    <definedName name="_9__123Graph_ACHART_15" localSheetId="12" hidden="1">#REF!</definedName>
    <definedName name="_9__123Graph_ACHART_15" hidden="1">#REF!</definedName>
    <definedName name="_9__123Graph_CCHART_1" localSheetId="11" hidden="1">'[4]Historical IS'!#REF!</definedName>
    <definedName name="_9__123Graph_CCHART_1" localSheetId="12" hidden="1">'[4]Historical IS'!#REF!</definedName>
    <definedName name="_9__123Graph_CCHART_1" hidden="1">'[4]Historical IS'!#REF!</definedName>
    <definedName name="_9_??????" localSheetId="11" hidden="1">{"'?????10.27??????'!$Q$16"}</definedName>
    <definedName name="_9_??????" localSheetId="12" hidden="1">{"'?????10.27??????'!$Q$16"}</definedName>
    <definedName name="_9_??????" hidden="1">{"'?????10.27??????'!$Q$16"}</definedName>
    <definedName name="_Dev">'Start Here'!$C$35</definedName>
    <definedName name="_DF4" localSheetId="11" hidden="1">#REF!</definedName>
    <definedName name="_DF4" localSheetId="12" hidden="1">#REF!</definedName>
    <definedName name="_DF4" hidden="1">#REF!</definedName>
    <definedName name="_Fill" localSheetId="11" hidden="1">#REF!</definedName>
    <definedName name="_Fill" localSheetId="12" hidden="1">#REF!</definedName>
    <definedName name="_Fill" hidden="1">#REF!</definedName>
    <definedName name="_xlnm._FilterDatabase" localSheetId="10" hidden="1">'All Products PL 2022-03-08'!$A$2:$X$4214</definedName>
    <definedName name="_xlnm._FilterDatabase" localSheetId="5" hidden="1">'Bill of Materials'!$F$8:$F$259</definedName>
    <definedName name="_xlnm._FilterDatabase" localSheetId="9" hidden="1">'Enterprise PL 2022-03-22'!$A$1:$W$1618</definedName>
    <definedName name="_xlnm._FilterDatabase" localSheetId="11" hidden="1">'ePMP PL 2022-03-25'!$A$3:$IQ$453</definedName>
    <definedName name="_Key2" localSheetId="11" hidden="1">#REF!</definedName>
    <definedName name="_Key2" localSheetId="12" hidden="1">#REF!</definedName>
    <definedName name="_Key2" hidden="1">#REF!</definedName>
    <definedName name="_NA">'Default Check'!$I$18</definedName>
    <definedName name="_o1" localSheetId="11" hidden="1">{#N/A,#N/A,FALSE,"SUMMARY";#N/A,#N/A,FALSE,"mcsh";#N/A,#N/A,FALSE,"vol&amp;rev";#N/A,#N/A,FALSE,"wkgcap";#N/A,#N/A,FALSE,"DEPR&amp;DT";#N/A,#N/A,FALSE,"ASSETS";#N/A,#N/A,FALSE,"NI&amp;OTH&amp;DIV";#N/A,#N/A,FALSE,"CASHFLOW";#N/A,#N/A,FALSE,"CAPEMPL";#N/A,#N/A,FALSE,"ROCE"}</definedName>
    <definedName name="_o1" localSheetId="12" hidden="1">{#N/A,#N/A,FALSE,"SUMMARY";#N/A,#N/A,FALSE,"mcsh";#N/A,#N/A,FALSE,"vol&amp;rev";#N/A,#N/A,FALSE,"wkgcap";#N/A,#N/A,FALSE,"DEPR&amp;DT";#N/A,#N/A,FALSE,"ASSETS";#N/A,#N/A,FALSE,"NI&amp;OTH&amp;DIV";#N/A,#N/A,FALSE,"CASHFLOW";#N/A,#N/A,FALSE,"CAPEMPL";#N/A,#N/A,FALSE,"ROCE"}</definedName>
    <definedName name="_o1" hidden="1">{#N/A,#N/A,FALSE,"SUMMARY";#N/A,#N/A,FALSE,"mcsh";#N/A,#N/A,FALSE,"vol&amp;rev";#N/A,#N/A,FALSE,"wkgcap";#N/A,#N/A,FALSE,"DEPR&amp;DT";#N/A,#N/A,FALSE,"ASSETS";#N/A,#N/A,FALSE,"NI&amp;OTH&amp;DIV";#N/A,#N/A,FALSE,"CASHFLOW";#N/A,#N/A,FALSE,"CAPEMPL";#N/A,#N/A,FALSE,"ROCE"}</definedName>
    <definedName name="_Order1" hidden="1">255</definedName>
    <definedName name="_Order2" hidden="1">255</definedName>
    <definedName name="_Service">'Start Here'!$D$5</definedName>
    <definedName name="_Y0">'Default Check'!$J$18</definedName>
    <definedName name="_Y1">'Default Check'!$F$25</definedName>
    <definedName name="_Y2AR">'Default Check'!$F$18:$F$21</definedName>
    <definedName name="_Y2EW">'Default Check'!$E$18:$E$20</definedName>
    <definedName name="_Y4AR">'Default Check'!$H$18:$H$23</definedName>
    <definedName name="_Y4EW">'Default Check'!$G$18:$G$22</definedName>
    <definedName name="_Y5">'Default Check'!$E$25:$E$28</definedName>
    <definedName name="\v" localSheetId="11" hidden="1">{"'ADV&amp;DP'!$A$4:$C$25"}</definedName>
    <definedName name="\v" localSheetId="12" hidden="1">{"'ADV&amp;DP'!$A$4:$C$25"}</definedName>
    <definedName name="\v" hidden="1">{"'ADV&amp;DP'!$A$4:$C$25"}</definedName>
    <definedName name="a" localSheetId="11" hidden="1">{#N/A,#N/A,FALSE,"TOTFINAL";#N/A,#N/A,FALSE,"FINPLAN";#N/A,#N/A,FALSE,"TOTMOTADJ";#N/A,#N/A,FALSE,"tieEQ";#N/A,#N/A,FALSE,"G";#N/A,#N/A,FALSE,"ELIMS";#N/A,#N/A,FALSE,"NEXTEL ADJ";#N/A,#N/A,FALSE,"MIMS";#N/A,#N/A,FALSE,"LMPS";#N/A,#N/A,FALSE,"CNSS";#N/A,#N/A,FALSE,"CSS";#N/A,#N/A,FALSE,"MCG";#N/A,#N/A,FALSE,"AECS";#N/A,#N/A,FALSE,"SPS";#N/A,#N/A,FALSE,"CORP"}</definedName>
    <definedName name="a" localSheetId="12" hidden="1">{#N/A,#N/A,FALSE,"TOTFINAL";#N/A,#N/A,FALSE,"FINPLAN";#N/A,#N/A,FALSE,"TOTMOTADJ";#N/A,#N/A,FALSE,"tieEQ";#N/A,#N/A,FALSE,"G";#N/A,#N/A,FALSE,"ELIMS";#N/A,#N/A,FALSE,"NEXTEL ADJ";#N/A,#N/A,FALSE,"MIMS";#N/A,#N/A,FALSE,"LMPS";#N/A,#N/A,FALSE,"CNSS";#N/A,#N/A,FALSE,"CSS";#N/A,#N/A,FALSE,"MCG";#N/A,#N/A,FALSE,"AECS";#N/A,#N/A,FALSE,"SPS";#N/A,#N/A,FALSE,"CORP"}</definedName>
    <definedName name="a" hidden="1">{#N/A,#N/A,FALSE,"TOTFINAL";#N/A,#N/A,FALSE,"FINPLAN";#N/A,#N/A,FALSE,"TOTMOTADJ";#N/A,#N/A,FALSE,"tieEQ";#N/A,#N/A,FALSE,"G";#N/A,#N/A,FALSE,"ELIMS";#N/A,#N/A,FALSE,"NEXTEL ADJ";#N/A,#N/A,FALSE,"MIMS";#N/A,#N/A,FALSE,"LMPS";#N/A,#N/A,FALSE,"CNSS";#N/A,#N/A,FALSE,"CSS";#N/A,#N/A,FALSE,"MCG";#N/A,#N/A,FALSE,"AECS";#N/A,#N/A,FALSE,"SPS";#N/A,#N/A,FALSE,"CORP"}</definedName>
    <definedName name="ando" localSheetId="11" hidden="1">{"'下期集計（10.27迄・速報値）'!$Q$16"}</definedName>
    <definedName name="ando" localSheetId="12" hidden="1">{"'下期集計（10.27迄・速報値）'!$Q$16"}</definedName>
    <definedName name="ando" hidden="1">{"'下期集計（10.27迄・速報値）'!$Q$16"}</definedName>
    <definedName name="anscount" hidden="1">3</definedName>
    <definedName name="AR">'Start Here'!$C$41</definedName>
    <definedName name="AS2DocOpenMode" hidden="1">"AS2DocumentEdit"</definedName>
    <definedName name="AS2HasNoAutoHeaderFooter" hidden="1">" "</definedName>
    <definedName name="asdf" localSheetId="11" hidden="1">{"'年間台数'!$A$1:$K$20","'中古車登録台数'!$A$1:$I$39"}</definedName>
    <definedName name="asdf" localSheetId="12" hidden="1">{"'年間台数'!$A$1:$K$20","'中古車登録台数'!$A$1:$I$39"}</definedName>
    <definedName name="asdf" hidden="1">{"'年間台数'!$A$1:$K$20","'中古車登録台数'!$A$1:$I$39"}</definedName>
    <definedName name="BLPH1" hidden="1">'[6]Data sheet'!$A$4</definedName>
    <definedName name="BLPH10" hidden="1">'[6]Data sheet'!$AB$4</definedName>
    <definedName name="BLPH11" hidden="1">'[6]Data sheet'!$AE$4</definedName>
    <definedName name="BLPH12" hidden="1">'[6]Data sheet'!$AH$4</definedName>
    <definedName name="BLPH2" hidden="1">'[6]Data sheet'!$D$4</definedName>
    <definedName name="BLPH3" hidden="1">'[6]Data sheet'!$G$4</definedName>
    <definedName name="BLPH4" hidden="1">'[6]Data sheet'!$J$4</definedName>
    <definedName name="BLPH5" hidden="1">'[6]Data sheet'!$M$4</definedName>
    <definedName name="BLPH6" hidden="1">'[6]Data sheet'!$P$4</definedName>
    <definedName name="BLPH7" hidden="1">'[6]Data sheet'!$S$4</definedName>
    <definedName name="BLPH8" hidden="1">'[6]Data sheet'!$V$4</definedName>
    <definedName name="BLPH9" hidden="1">'[6]Data sheet'!$Y$4</definedName>
    <definedName name="Bridge" localSheetId="11" hidden="1">{"'Highlights'!$A$1:$M$123"}</definedName>
    <definedName name="Bridge" localSheetId="12" hidden="1">{"'Highlights'!$A$1:$M$123"}</definedName>
    <definedName name="Bridge" hidden="1">{"'Highlights'!$A$1:$M$123"}</definedName>
    <definedName name="cb_sChartE2218BA_opts" hidden="1">"1, 4, 1, False, 2, False, False, , 0, False, True, 1, 1"</definedName>
    <definedName name="cb_sChartE221ADA_opts" hidden="1">"1, 5, 1, False, 2, False, False, , 0, False, False, 1, 1"</definedName>
    <definedName name="CBWorkbookPriority" hidden="1">-61538533</definedName>
    <definedName name="CC_Term">'Start Here'!$D$15</definedName>
    <definedName name="CC_Term_Default">'Start Here'!$F$26</definedName>
    <definedName name="CC_Type">'Start Here'!$D$14</definedName>
    <definedName name="CCAdv_Upgrade">'Start Here'!$D$9</definedName>
    <definedName name="chiho" localSheetId="11" hidden="1">{"'下期集計（10.27迄・速報値）'!$Q$16"}</definedName>
    <definedName name="chiho" localSheetId="12" hidden="1">{"'下期集計（10.27迄・速報値）'!$Q$16"}</definedName>
    <definedName name="chiho" hidden="1">{"'下期集計（10.27迄・速報値）'!$Q$16"}</definedName>
    <definedName name="cnMX_T1_P1_Total">'PMP Fixed Wireless BB'!$F$37</definedName>
    <definedName name="cnMX_T1_P2_Total">'PTP, IIOT'!$F$39</definedName>
    <definedName name="cnMX_T1_P3_Total">'ePMP, cnVision'!$F$36</definedName>
    <definedName name="cnMX_T1_P4_Total">'Enterprise Wi-Fi &amp; Switching'!$F$42</definedName>
    <definedName name="cnMX_T1_Total">'Enterprise Wi-Fi &amp; Switching'!$L$42</definedName>
    <definedName name="cnMX_T2_P1_Total">'PMP Fixed Wireless BB'!$F$38</definedName>
    <definedName name="cnMX_T2_P2_Total">'PTP, IIOT'!$F$40</definedName>
    <definedName name="cnMX_T2_P3_Total">'ePMP, cnVision'!$F$37</definedName>
    <definedName name="cnMX_T2_P4_Total">'Enterprise Wi-Fi &amp; Switching'!$F$43</definedName>
    <definedName name="cnMX_T2_Total">'Enterprise Wi-Fi &amp; Switching'!$L$43</definedName>
    <definedName name="cnMX_T3_P1_Total">'PMP Fixed Wireless BB'!$F$39</definedName>
    <definedName name="cnMX_T3_P2_Total">'PTP, IIOT'!$F$41</definedName>
    <definedName name="cnMX_T3_P3_Total">'ePMP, cnVision'!$F$38</definedName>
    <definedName name="cnMX_T3_P4_Total">'Enterprise Wi-Fi &amp; Switching'!$F$44</definedName>
    <definedName name="cnMX_T3_Total">'Enterprise Wi-Fi &amp; Switching'!$L$44</definedName>
    <definedName name="cnMX_T4_P1_Total">'PMP Fixed Wireless BB'!$F$40</definedName>
    <definedName name="cnMX_T4_P2_Total">'PTP, IIOT'!$F$42</definedName>
    <definedName name="cnMX_T4_P3_Total">'ePMP, cnVision'!$F$39</definedName>
    <definedName name="cnMX_T4_P4_Total">'Enterprise Wi-Fi &amp; Switching'!$F$45</definedName>
    <definedName name="cnMX_T4_Total">'Enterprise Wi-Fi &amp; Switching'!$L$45</definedName>
    <definedName name="cnMX_T5_P1_Total">'PMP Fixed Wireless BB'!$F$41</definedName>
    <definedName name="cnMX_T5_P2_Total">'PTP, IIOT'!$F$43</definedName>
    <definedName name="cnMX_T5_P3_Total">'ePMP, cnVision'!$F$40</definedName>
    <definedName name="cnMX_T5_P4_Total">'Enterprise Wi-Fi &amp; Switching'!$F$46</definedName>
    <definedName name="cnMX_T5_Total">'Enterprise Wi-Fi &amp; Switching'!$L$46</definedName>
    <definedName name="cnMX_Term">'Start Here'!$D$8</definedName>
    <definedName name="cover" localSheetId="11" hidden="1">#REF!</definedName>
    <definedName name="cover" localSheetId="12" hidden="1">#REF!</definedName>
    <definedName name="cover" hidden="1">#REF!</definedName>
    <definedName name="Device_Type">'Start Here'!$D$13</definedName>
    <definedName name="Ent_CCAdv">'Start Here'!$D$38</definedName>
    <definedName name="Ent_CCPro">'Start Here'!$D$35</definedName>
    <definedName name="Ent_NoCC">'Start Here'!$D$41</definedName>
    <definedName name="EW">'Start Here'!$C$38</definedName>
    <definedName name="EW_450b_Retro_SM">'PMP Fixed Wireless BB'!$L$13</definedName>
    <definedName name="EW_Client_MAXr">'ePMP, cnVision'!$L$28</definedName>
    <definedName name="EW_Client_MAXrp">'ePMP, cnVision'!$L$29</definedName>
    <definedName name="EW_Client_MICRO">'ePMP, cnVision'!$L$26</definedName>
    <definedName name="EW_Client_MINI">'ePMP, cnVision'!$L$27</definedName>
    <definedName name="EW_CMM5_Controller">'PMP Fixed Wireless BB'!$L$22</definedName>
    <definedName name="EW_CMM5_Power_Sync">'PMP Fixed Wireless BB'!$L$23</definedName>
    <definedName name="EW_cnPilot_e500">'Enterprise Wi-Fi &amp; Switching'!$L$18</definedName>
    <definedName name="EW_cnPilot_e501S">'Enterprise Wi-Fi &amp; Switching'!$L$19</definedName>
    <definedName name="EW_cnPilot_e502S">'Enterprise Wi-Fi &amp; Switching'!$L$20</definedName>
    <definedName name="EW_cnPilot_e505">'Enterprise Wi-Fi &amp; Switching'!$L$21</definedName>
    <definedName name="EW_cnPilot_e510">'Enterprise Wi-Fi &amp; Switching'!$L$22</definedName>
    <definedName name="EW_cnPilot_e700">'Enterprise Wi-Fi &amp; Switching'!$L$23</definedName>
    <definedName name="EW_cnRanger_101_SM">'PMP Fixed Wireless BB'!$L$25</definedName>
    <definedName name="EW_cnRanger_201_SM">'PMP Fixed Wireless BB'!$L$26</definedName>
    <definedName name="EW_cnRanger_BBU">'PMP Fixed Wireless BB'!$L$27</definedName>
    <definedName name="EW_cnRanger_RRH">'PMP Fixed Wireless BB'!$L$28</definedName>
    <definedName name="EW_cnReach_N5000_Double">'PTP, IIOT'!$L$34</definedName>
    <definedName name="EW_cnReach_N5000_Single">'PTP, IIOT'!$L$33</definedName>
    <definedName name="EW_ePMP_1000_Connect">'ePMP, cnVision'!$L$11</definedName>
    <definedName name="EW_ePMP_1000_Connect_Sync">'ePMP, cnVision'!$L$12</definedName>
    <definedName name="EW_ePMP_2000">'ePMP, cnVision'!$L$22</definedName>
    <definedName name="EW_ePMP_3000">'ePMP, cnVision'!$L$23</definedName>
    <definedName name="EW_ePMP_3000L">'ePMP, cnVision'!$L$24</definedName>
    <definedName name="EW_ePMP_B_in_B">'ePMP, cnVision'!$L$7</definedName>
    <definedName name="EW_ePMP_B_in_B_UHD">'ePMP, cnVision'!$L$8</definedName>
    <definedName name="EW_ePMP_B_in_B_UHD_PRO">'ePMP, cnVision'!$L$9</definedName>
    <definedName name="EW_ePMP_Force_130">'ePMP, cnVision'!$L$14</definedName>
    <definedName name="EW_ePMP_Force_180">'ePMP, cnVision'!$L$15</definedName>
    <definedName name="EW_ePMP_Force_190">'ePMP, cnVision'!$L$16</definedName>
    <definedName name="EW_ePMP_Force_200">'ePMP, cnVision'!$L$17</definedName>
    <definedName name="EW_ePMP_Force_300">'ePMP, cnVision'!$L$18</definedName>
    <definedName name="EW_ePMP_Force_400C">'ePMP, cnVision'!$L$19</definedName>
    <definedName name="EW_ePMP_Force_425">'ePMP, cnVision'!$L$20</definedName>
    <definedName name="EW_ePMP_MicroPoP">'ePMP, cnVision'!$L$6</definedName>
    <definedName name="EW_Hub_360r">'ePMP, cnVision'!$L$31</definedName>
    <definedName name="EW_HUB_FLEXr">'ePMP, cnVision'!$L$30</definedName>
    <definedName name="EW_PMP_450_900_MHz_AP">'PMP Fixed Wireless BB'!$L$9</definedName>
    <definedName name="EW_PMP_450_900_MHz_SM">'PMP Fixed Wireless BB'!$L$17</definedName>
    <definedName name="EW_PMP_450_AP">'PMP Fixed Wireless BB'!$L$7</definedName>
    <definedName name="EW_PMP_450_MicroPoP_AP">'PMP Fixed Wireless BB'!$L$6</definedName>
    <definedName name="EW_PMP_450_SM">'PMP Fixed Wireless BB'!$L$12</definedName>
    <definedName name="EW_PMP_450b_High_Gain_SM">'PMP Fixed Wireless BB'!$L$15</definedName>
    <definedName name="EW_PMP_450b_Mid_Gain_SM">'PMP Fixed Wireless BB'!$L$14</definedName>
    <definedName name="EW_PMP_450i_AP">'PMP Fixed Wireless BB'!$L$8</definedName>
    <definedName name="EW_PMP_450i_SM">'PMP Fixed Wireless BB'!$L$16</definedName>
    <definedName name="EW_PMP_450m_AP">'PMP Fixed Wireless BB'!$L$10</definedName>
    <definedName name="EW_PTP_450">'PTP, IIOT'!$L$6</definedName>
    <definedName name="EW_PTP_450b">'PTP, IIOT'!$L$7</definedName>
    <definedName name="EW_PTP_450i">'PTP, IIOT'!$L$8</definedName>
    <definedName name="EW_PTP_550">'PTP, IIOT'!$L$9</definedName>
    <definedName name="EW_PTP_650">'PTP, IIOT'!$L$10</definedName>
    <definedName name="EW_PTP_670">'PTP, IIOT'!$L$11</definedName>
    <definedName name="EW_PTP_670_Mexico">'PTP, IIOT'!$L$12</definedName>
    <definedName name="EW_PTP_700">'PTP, IIOT'!$L$13</definedName>
    <definedName name="EW_PTP_820_RFU_18">'PTP, IIOT'!$L$17</definedName>
    <definedName name="EW_PTP_820_RFU_D_6">'PTP, IIOT'!$L$16</definedName>
    <definedName name="EW_PTP_820_RFU_D_HP">'PTP, IIOT'!$L$15</definedName>
    <definedName name="EW_PTP_820_RFU_E">'PTP, IIOT'!$L$18</definedName>
    <definedName name="EW_PTP_820_RFU_E_43">'PTP, IIOT'!$L$19</definedName>
    <definedName name="EW_PTP_820_RFU_S">'PTP, IIOT'!$L$20</definedName>
    <definedName name="EW_PTP_820C">'PTP, IIOT'!$L$21</definedName>
    <definedName name="EW_PTP_820C_HP">'PTP, IIOT'!$L$22</definedName>
    <definedName name="EW_PTP_820E">'PTP, IIOT'!$L$23</definedName>
    <definedName name="EW_PTP_820E_43">'PTP, IIOT'!$L$24</definedName>
    <definedName name="EW_PTP_820F">'PTP, IIOT'!$L$25</definedName>
    <definedName name="EW_PTP_820G_IDU_Double">'PTP, IIOT'!$L$27</definedName>
    <definedName name="EW_PTP_820G_IDU_Single">'PTP, IIOT'!$L$26</definedName>
    <definedName name="EW_PTP_820G_RFU_A">'PTP, IIOT'!$L$28</definedName>
    <definedName name="EW_PTP_820G_RFU_C">'PTP, IIOT'!$L$29</definedName>
    <definedName name="EW_PTP_820S">'PTP, IIOT'!$L$30</definedName>
    <definedName name="EW_PTP_850E">'PTP, IIOT'!$L$31</definedName>
    <definedName name="EW_TX2012R_P">'PMP Fixed Wireless BB'!$L$19</definedName>
    <definedName name="EW_TX2020R_P">'PMP Fixed Wireless BB'!$L$20</definedName>
    <definedName name="EW_TX2028RF_P">'PMP Fixed Wireless BB'!$L$21</definedName>
    <definedName name="EW_V1000_Client_Node">'PMP Fixed Wireless BB'!$L$30</definedName>
    <definedName name="EW_V3000_Client_Node">'PMP Fixed Wireless BB'!$L$31</definedName>
    <definedName name="EW_V5000_Distribution_Node">'PMP Fixed Wireless BB'!$L$32</definedName>
    <definedName name="fds" localSheetId="11" hidden="1">{"'下期集計（10.27迄・速報値）'!$Q$16"}</definedName>
    <definedName name="fds" localSheetId="12" hidden="1">{"'下期集計（10.27迄・速報値）'!$Q$16"}</definedName>
    <definedName name="fds" hidden="1">{"'下期集計（10.27迄・速報値）'!$Q$16"}</definedName>
    <definedName name="FWB_CCPrime">'Start Here'!$D$29</definedName>
    <definedName name="FWB_CCPro">'Start Here'!$D$26</definedName>
    <definedName name="FWB_NoCC">'Start Here'!$D$32</definedName>
    <definedName name="ｇ" localSheetId="11" hidden="1">{"'下期集計（10.27迄・速報値）'!$Q$16"}</definedName>
    <definedName name="ｇ" localSheetId="12" hidden="1">{"'下期集計（10.27迄・速報値）'!$Q$16"}</definedName>
    <definedName name="ｇ" hidden="1">{"'下期集計（10.27迄・速報値）'!$Q$16"}</definedName>
    <definedName name="gd" localSheetId="11" hidden="1">{"'下期集計（10.27迄・速報値）'!$Q$16"}</definedName>
    <definedName name="gd" localSheetId="12" hidden="1">{"'下期集計（10.27迄・速報値）'!$Q$16"}</definedName>
    <definedName name="gd" hidden="1">{"'下期集計（10.27迄・速報値）'!$Q$16"}</definedName>
    <definedName name="gda" localSheetId="11" hidden="1">{"'下期集計（10.27迄・速報値）'!$Q$16"}</definedName>
    <definedName name="gda" localSheetId="12" hidden="1">{"'下期集計（10.27迄・速報値）'!$Q$16"}</definedName>
    <definedName name="gda" hidden="1">{"'下期集計（10.27迄・速報値）'!$Q$16"}</definedName>
    <definedName name="gdsa" localSheetId="11" hidden="1">{"'下期集計（10.27迄・速報値）'!$Q$16"}</definedName>
    <definedName name="gdsa" localSheetId="12" hidden="1">{"'下期集計（10.27迄・速報値）'!$Q$16"}</definedName>
    <definedName name="gdsa" hidden="1">{"'下期集計（10.27迄・速報値）'!$Q$16"}</definedName>
    <definedName name="gh" localSheetId="11" hidden="1">{"'Highlights'!$A$1:$M$123"}</definedName>
    <definedName name="gh" localSheetId="12" hidden="1">{"'Highlights'!$A$1:$M$123"}</definedName>
    <definedName name="gh" hidden="1">{"'Highlights'!$A$1:$M$123"}</definedName>
    <definedName name="ｈ" localSheetId="11" hidden="1">{"'下期集計（10.27迄・速報値）'!$Q$16"}</definedName>
    <definedName name="ｈ" localSheetId="12" hidden="1">{"'下期集計（10.27迄・速報値）'!$Q$16"}</definedName>
    <definedName name="ｈ" hidden="1">{"'下期集計（10.27迄・速報値）'!$Q$16"}</definedName>
    <definedName name="Ｈ16・１" localSheetId="11" hidden="1">{"'コメント'!$A$1:$C$37"}</definedName>
    <definedName name="Ｈ16・１" localSheetId="12" hidden="1">{"'コメント'!$A$1:$C$37"}</definedName>
    <definedName name="Ｈ16・１" hidden="1">{"'コメント'!$A$1:$C$37"}</definedName>
    <definedName name="H16･1速報" localSheetId="11" hidden="1">{"'コメント'!$A$1:$C$37"}</definedName>
    <definedName name="H16･1速報" localSheetId="12" hidden="1">{"'コメント'!$A$1:$C$37"}</definedName>
    <definedName name="H16･1速報" hidden="1">{"'コメント'!$A$1:$C$37"}</definedName>
    <definedName name="H16?1??" localSheetId="11" hidden="1">{"'????'!$A$1:$C$37"}</definedName>
    <definedName name="H16?1??" localSheetId="12" hidden="1">{"'????'!$A$1:$C$37"}</definedName>
    <definedName name="H16?1??" hidden="1">{"'????'!$A$1:$C$37"}</definedName>
    <definedName name="Hardware_Support">'Start Here'!$D$16</definedName>
    <definedName name="Hide_Calc">'Default Check'!$B$29</definedName>
    <definedName name="HTM_Control" localSheetId="11" hidden="1">{"'下期集計（10.27迄・速報値）'!$Q$16"}</definedName>
    <definedName name="HTM_Control" localSheetId="12" hidden="1">{"'下期集計（10.27迄・速報値）'!$Q$16"}</definedName>
    <definedName name="HTM_Control" hidden="1">{"'下期集計（10.27迄・速報値）'!$Q$16"}</definedName>
    <definedName name="ＨＴＭＬ" localSheetId="11" hidden="1">{"'コメント'!$A$1:$C$37"}</definedName>
    <definedName name="ＨＴＭＬ" localSheetId="12" hidden="1">{"'コメント'!$A$1:$C$37"}</definedName>
    <definedName name="ＨＴＭＬ" hidden="1">{"'コメント'!$A$1:$C$37"}</definedName>
    <definedName name="HTML_CodePage" hidden="1">1252</definedName>
    <definedName name="HTML_Control" localSheetId="11" hidden="1">{"'Highlights'!$A$1:$M$123"}</definedName>
    <definedName name="HTML_Control" localSheetId="12" hidden="1">{"'Highlights'!$A$1:$M$123"}</definedName>
    <definedName name="HTML_Control" hidden="1">{"'Highlights'!$A$1:$M$123"}</definedName>
    <definedName name="HTML_Description" hidden="1">""</definedName>
    <definedName name="HTML_Email" hidden="1">"scottt@phx.mcd.mot.com"</definedName>
    <definedName name="HTML_Header" hidden="1">"Highlights"</definedName>
    <definedName name="HTML_LastUpdate" hidden="1">"6/24/97"</definedName>
    <definedName name="HTML_LineAfter" hidden="1">FALSE</definedName>
    <definedName name="HTML_LineBefore" hidden="1">TRUE</definedName>
    <definedName name="HTML_Name" hidden="1">"Scott Traasdahl"</definedName>
    <definedName name="HTML_OBDlg2" hidden="1">TRUE</definedName>
    <definedName name="HTML_OBDlg4" hidden="1">TRUE</definedName>
    <definedName name="HTML_OS" hidden="1">0</definedName>
    <definedName name="HTML_PathFile" hidden="1">"H:\scottt\Analysis\Ops Review\MyHTML.htm"</definedName>
    <definedName name="HTML_Title" hidden="1">"97JunOpsRvw"</definedName>
    <definedName name="hyousi" localSheetId="11" hidden="1">#REF!</definedName>
    <definedName name="hyousi" localSheetId="12" hidden="1">#REF!</definedName>
    <definedName name="hyousi"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40809.7705439815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39482.4188773148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i" localSheetId="11" hidden="1">{"'Highlights'!$A$1:$M$123"}</definedName>
    <definedName name="ji" localSheetId="12" hidden="1">{"'Highlights'!$A$1:$M$123"}</definedName>
    <definedName name="ji" hidden="1">{"'Highlights'!$A$1:$M$123"}</definedName>
    <definedName name="k" localSheetId="11" hidden="1">{"'下期集計（10.27迄・速報値）'!$Q$16"}</definedName>
    <definedName name="k" localSheetId="12" hidden="1">{"'下期集計（10.27迄・速報値）'!$Q$16"}</definedName>
    <definedName name="k" hidden="1">{"'下期集計（10.27迄・速報値）'!$Q$16"}</definedName>
    <definedName name="kjl" localSheetId="11" hidden="1">{#N/A,#N/A,FALSE,"TOTFINAL";#N/A,#N/A,FALSE,"FINPLAN";#N/A,#N/A,FALSE,"TOTMOTADJ";#N/A,#N/A,FALSE,"tieEQ";#N/A,#N/A,FALSE,"G";#N/A,#N/A,FALSE,"ELIMS";#N/A,#N/A,FALSE,"NEXTEL ADJ";#N/A,#N/A,FALSE,"MIMS";#N/A,#N/A,FALSE,"LMPS";#N/A,#N/A,FALSE,"CNSS";#N/A,#N/A,FALSE,"CSS";#N/A,#N/A,FALSE,"MCG";#N/A,#N/A,FALSE,"AECS";#N/A,#N/A,FALSE,"SPS";#N/A,#N/A,FALSE,"CORP"}</definedName>
    <definedName name="kjl" localSheetId="12"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k" localSheetId="11" hidden="1">{"'下期集計（10.27迄・速報値）'!$Q$16"}</definedName>
    <definedName name="kk" localSheetId="12" hidden="1">{"'下期集計（10.27迄・速報値）'!$Q$16"}</definedName>
    <definedName name="kk" hidden="1">{"'下期集計（10.27迄・速報値）'!$Q$16"}</definedName>
    <definedName name="kkk" localSheetId="11" hidden="1">{"'下期集計（10.27迄・速報値）'!$Q$16"}</definedName>
    <definedName name="kkk" localSheetId="12" hidden="1">{"'下期集計（10.27迄・速報値）'!$Q$16"}</definedName>
    <definedName name="kkk" hidden="1">{"'下期集計（10.27迄・速報値）'!$Q$16"}</definedName>
    <definedName name="ListOffset" hidden="1">1</definedName>
    <definedName name="MBAS" localSheetId="11" hidden="1">{"'ADV&amp;DP'!$A$4:$C$25"}</definedName>
    <definedName name="MBAS" localSheetId="12" hidden="1">{"'ADV&amp;DP'!$A$4:$C$25"}</definedName>
    <definedName name="MBAS" hidden="1">{"'ADV&amp;DP'!$A$4:$C$25"}</definedName>
    <definedName name="mbs" localSheetId="11" hidden="1">{"'ADV&amp;DP'!$A$4:$C$25"}</definedName>
    <definedName name="mbs" localSheetId="12" hidden="1">{"'ADV&amp;DP'!$A$4:$C$25"}</definedName>
    <definedName name="mbs" hidden="1">{"'ADV&amp;DP'!$A$4:$C$25"}</definedName>
    <definedName name="MKK" localSheetId="11" hidden="1">{"'下期集計（10.27迄・速報値）'!$Q$16"}</definedName>
    <definedName name="MKK" localSheetId="12" hidden="1">{"'下期集計（10.27迄・速報値）'!$Q$16"}</definedName>
    <definedName name="MKK" hidden="1">{"'下期集計（10.27迄・速報値）'!$Q$16"}</definedName>
    <definedName name="mmm" localSheetId="11" hidden="1">{"'ADV&amp;DP'!$A$4:$C$25"}</definedName>
    <definedName name="mmm" localSheetId="12" hidden="1">{"'ADV&amp;DP'!$A$4:$C$25"}</definedName>
    <definedName name="mmm" hidden="1">{"'ADV&amp;DP'!$A$4:$C$25"}</definedName>
    <definedName name="MOBILE" localSheetId="11" hidden="1">{"'ADV&amp;DP'!$A$4:$C$25"}</definedName>
    <definedName name="MOBILE" localSheetId="12" hidden="1">{"'ADV&amp;DP'!$A$4:$C$25"}</definedName>
    <definedName name="MOBILE" hidden="1">{"'ADV&amp;DP'!$A$4:$C$25"}</definedName>
    <definedName name="n" localSheetId="11" hidden="1">{"'下期集計（10.27迄・速報値）'!$Q$16"}</definedName>
    <definedName name="n" localSheetId="12" hidden="1">{"'下期集計（10.27迄・速報値）'!$Q$16"}</definedName>
    <definedName name="n" hidden="1">{"'下期集計（10.27迄・速報値）'!$Q$16"}</definedName>
    <definedName name="new" localSheetId="11" hidden="1">{"'Highlights'!$A$1:$M$123"}</definedName>
    <definedName name="new" localSheetId="12" hidden="1">{"'Highlights'!$A$1:$M$123"}</definedName>
    <definedName name="new" hidden="1">{"'Highlights'!$A$1:$M$123"}</definedName>
    <definedName name="NoHW">'Start Here'!$C$44</definedName>
    <definedName name="ok" localSheetId="11" hidden="1">{"'Highlights'!$A$1:$M$123"}</definedName>
    <definedName name="ok" localSheetId="12" hidden="1">{"'Highlights'!$A$1:$M$123"}</definedName>
    <definedName name="ok" hidden="1">{"'Highlights'!$A$1:$M$123"}</definedName>
    <definedName name="Prime_SC10_Tier">'ePMP, cnVision'!$W$42</definedName>
    <definedName name="Prime_SC15_Tier">'ePMP, cnVision'!$X$42</definedName>
    <definedName name="Prime_SC20_Tier">'ePMP, cnVision'!$Y$42</definedName>
    <definedName name="Prime_SC25_Tier">'ePMP, cnVision'!$Z$42</definedName>
    <definedName name="Prime_SC30_Tier">'ePMP, cnVision'!$AA$42</definedName>
    <definedName name="Prime_SC40_Tier">'ePMP, cnVision'!$AB$42</definedName>
    <definedName name="Prime_SC50_Tier">'ePMP, cnVision'!$AC$42</definedName>
    <definedName name="Prime_SC60_Tier">'ePMP, cnVision'!$AD$42</definedName>
    <definedName name="Pro_SC10_Tier">'ePMP, cnVision'!$W$36</definedName>
    <definedName name="Pro_SC20_Tier">'ePMP, cnVision'!$Y$36</definedName>
    <definedName name="Pro_SC30_Tier">'ePMP, cnVision'!$AA$36</definedName>
    <definedName name="Pro_SC40_Tier">'ePMP, cnVision'!$AB$36</definedName>
    <definedName name="Pro_SC50_Tier">'ePMP, cnVision'!$AC$36</definedName>
    <definedName name="Pro_SC60_Tier">'ePMP, cnVision'!$AD$36</definedName>
    <definedName name="PTSB" localSheetId="11" hidden="1">{"'Highlights'!$A$1:$M$123"}</definedName>
    <definedName name="PTSB" localSheetId="12" hidden="1">{"'Highlights'!$A$1:$M$123"}</definedName>
    <definedName name="PTSB" hidden="1">{"'Highlights'!$A$1:$M$123"}</definedName>
    <definedName name="Q2Fcst" localSheetId="11" hidden="1">{#N/A,#N/A,FALSE,"TOTFINAL";#N/A,#N/A,FALSE,"FINPLAN";#N/A,#N/A,FALSE,"TOTMOTADJ";#N/A,#N/A,FALSE,"tieEQ";#N/A,#N/A,FALSE,"G";#N/A,#N/A,FALSE,"ELIMS";#N/A,#N/A,FALSE,"NEXTEL ADJ";#N/A,#N/A,FALSE,"MIMS";#N/A,#N/A,FALSE,"LMPS";#N/A,#N/A,FALSE,"CNSS";#N/A,#N/A,FALSE,"CSS";#N/A,#N/A,FALSE,"MCG";#N/A,#N/A,FALSE,"AECS";#N/A,#N/A,FALSE,"SPS";#N/A,#N/A,FALSE,"CORP"}</definedName>
    <definedName name="Q2Fcst" localSheetId="12"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ty_450b_Retro_SM">'PMP Fixed Wireless BB'!$D$13</definedName>
    <definedName name="Qty_Client_MAXr">'ePMP, cnVision'!$D$28</definedName>
    <definedName name="Qty_Client_MAXrp">'ePMP, cnVision'!$D$29</definedName>
    <definedName name="Qty_Client_MICRO">'ePMP, cnVision'!$D$26</definedName>
    <definedName name="Qty_Client_MINI">'ePMP, cnVision'!$D$27</definedName>
    <definedName name="Qty_CMM5_Controller">'PMP Fixed Wireless BB'!$D$22</definedName>
    <definedName name="Qty_CMM5_Power_Sync">'PMP Fixed Wireless BB'!$D$23</definedName>
    <definedName name="Qty_cnMatrix_EX1010">'Enterprise Wi-Fi &amp; Switching'!$D$28</definedName>
    <definedName name="Qty_cnMatrix_EX1010_P">'Enterprise Wi-Fi &amp; Switching'!$D$29</definedName>
    <definedName name="Qty_cnMatrix_EX1028">'Enterprise Wi-Fi &amp; Switching'!$D$30</definedName>
    <definedName name="Qty_cnMatrix_EX1028_P">'Enterprise Wi-Fi &amp; Switching'!$D$31</definedName>
    <definedName name="Qty_cnMatrix_EX2010">'Enterprise Wi-Fi &amp; Switching'!$D$25</definedName>
    <definedName name="Qty_cnMatrix_EX2010_P">'Enterprise Wi-Fi &amp; Switching'!$D$26</definedName>
    <definedName name="Qty_cnMatrix_EX2016M_P">'Enterprise Wi-Fi &amp; Switching'!$D$27</definedName>
    <definedName name="Qty_cnMatrix_EX2028">'Enterprise Wi-Fi &amp; Switching'!$D$32</definedName>
    <definedName name="Qty_cnMatrix_EX2028_P">'Enterprise Wi-Fi &amp; Switching'!$D$33</definedName>
    <definedName name="Qty_cnMatrix_EX2052">'Enterprise Wi-Fi &amp; Switching'!$D$34</definedName>
    <definedName name="Qty_cnMatrix_EX2052_P">'Enterprise Wi-Fi &amp; Switching'!$D$35</definedName>
    <definedName name="Qty_cnMatrix_EX2052R_P">'Enterprise Wi-Fi &amp; Switching'!$D$36</definedName>
    <definedName name="Qty_cnPilot_e410">'Enterprise Wi-Fi &amp; Switching'!$D$13</definedName>
    <definedName name="Qty_cnPilot_e425H">'Enterprise Wi-Fi &amp; Switching'!$D$14</definedName>
    <definedName name="Qty_cnPilot_e430H">'Enterprise Wi-Fi &amp; Switching'!$D$15</definedName>
    <definedName name="Qty_cnPilot_e500">'Enterprise Wi-Fi &amp; Switching'!$D$18</definedName>
    <definedName name="Qty_cnPilot_e501S">'Enterprise Wi-Fi &amp; Switching'!$D$19</definedName>
    <definedName name="Qty_cnPilot_e502S">'Enterprise Wi-Fi &amp; Switching'!$D$20</definedName>
    <definedName name="Qty_cnPilot_e505">'Enterprise Wi-Fi &amp; Switching'!$D$21</definedName>
    <definedName name="Qty_cnPilot_e510">'Enterprise Wi-Fi &amp; Switching'!$D$22</definedName>
    <definedName name="Qty_cnPilot_e600">'Enterprise Wi-Fi &amp; Switching'!$D$16</definedName>
    <definedName name="Qty_cnPilot_e700">'Enterprise Wi-Fi &amp; Switching'!$D$23</definedName>
    <definedName name="Qty_cnRanger_101_SM">'PMP Fixed Wireless BB'!$D$25</definedName>
    <definedName name="Qty_cnRanger_201_SM">'PMP Fixed Wireless BB'!$D$26</definedName>
    <definedName name="Qty_cnRanger_BBU">'PMP Fixed Wireless BB'!$D$27</definedName>
    <definedName name="Qty_cnRanger_RRH">'PMP Fixed Wireless BB'!$D$28</definedName>
    <definedName name="Qty_cnReach_N5000_Double">'PTP, IIOT'!$D$34</definedName>
    <definedName name="Qty_cnReach_N5000_Single">'PTP, IIOT'!$D$33</definedName>
    <definedName name="Qty_ePMP_1000_Connect">'ePMP, cnVision'!$D$11</definedName>
    <definedName name="Qty_ePMP_1000_Connect_Sync">'ePMP, cnVision'!$D$12</definedName>
    <definedName name="Qty_ePMP_2000">'ePMP, cnVision'!$D$22</definedName>
    <definedName name="Qty_ePMP_3000">'ePMP, cnVision'!$D$23</definedName>
    <definedName name="Qty_ePMP_3000L">'ePMP, cnVision'!$D$24</definedName>
    <definedName name="Qty_ePMP_B_in_B">'ePMP, cnVision'!$D$7</definedName>
    <definedName name="Qty_ePMP_B_in_B_UHD">'ePMP, cnVision'!$D$8</definedName>
    <definedName name="Qty_ePMP_B_in_B_UHD_PRO">'ePMP, cnVision'!$D$9</definedName>
    <definedName name="Qty_ePMP_Force_130">'ePMP, cnVision'!$D$14</definedName>
    <definedName name="Qty_ePMP_Force_180">'ePMP, cnVision'!$D$15</definedName>
    <definedName name="Qty_ePMP_Force_190">'ePMP, cnVision'!$D$16</definedName>
    <definedName name="Qty_ePMP_Force_200">'ePMP, cnVision'!$D$17</definedName>
    <definedName name="Qty_ePMP_Force_300">'ePMP, cnVision'!$D$18</definedName>
    <definedName name="Qty_ePMP_Force_400C">'ePMP, cnVision'!$D$19</definedName>
    <definedName name="Qty_ePMP_Force_425">'ePMP, cnVision'!$D$20</definedName>
    <definedName name="Qty_ePMP_MicroPoP">'ePMP, cnVision'!$D$6</definedName>
    <definedName name="Qty_Hub_360r">'ePMP, cnVision'!$D$31</definedName>
    <definedName name="Qty_HUB_FLEXr">'ePMP, cnVision'!$D$30</definedName>
    <definedName name="Qty_PMP_450_900_MHz_AP">'PMP Fixed Wireless BB'!$D$9</definedName>
    <definedName name="Qty_PMP_450_900_MHz_SM">'PMP Fixed Wireless BB'!$D$17</definedName>
    <definedName name="Qty_PMP_450_AP">'PMP Fixed Wireless BB'!$D$7</definedName>
    <definedName name="Qty_PMP_450_MicroPoP_AP">'PMP Fixed Wireless BB'!$D$6</definedName>
    <definedName name="Qty_PMP_450_SM">'PMP Fixed Wireless BB'!$D$12</definedName>
    <definedName name="Qty_PMP_450b_High_Gain_SM">'PMP Fixed Wireless BB'!$D$15</definedName>
    <definedName name="Qty_PMP_450b_Mid_Gain_SM">'PMP Fixed Wireless BB'!$D$14</definedName>
    <definedName name="Qty_PMP_450i_AP">'PMP Fixed Wireless BB'!$D$8</definedName>
    <definedName name="Qty_PMP_450i_SM">'PMP Fixed Wireless BB'!$D$16</definedName>
    <definedName name="Qty_PMP_450m_AP">'PMP Fixed Wireless BB'!$D$10</definedName>
    <definedName name="Qty_PTP_450">'PTP, IIOT'!$D$6</definedName>
    <definedName name="Qty_PTP_450b">'PTP, IIOT'!$D$7</definedName>
    <definedName name="Qty_PTP_450i">'PTP, IIOT'!$D$8</definedName>
    <definedName name="Qty_PTP_550">'PTP, IIOT'!$D$9</definedName>
    <definedName name="Qty_PTP_650">'PTP, IIOT'!$D$10</definedName>
    <definedName name="Qty_PTP_670">'PTP, IIOT'!$D$11</definedName>
    <definedName name="Qty_PTP_670_Mexico">'PTP, IIOT'!$D$12</definedName>
    <definedName name="Qty_PTP_700">'PTP, IIOT'!$D$13</definedName>
    <definedName name="Qty_PTP_820_RFU_18">'PTP, IIOT'!$D$17</definedName>
    <definedName name="Qty_PTP_820_RFU_D_6">'PTP, IIOT'!$D$16</definedName>
    <definedName name="Qty_PTP_820_RFU_D_HP">'PTP, IIOT'!$D$15</definedName>
    <definedName name="Qty_PTP_820_RFU_E">'PTP, IIOT'!$D$18</definedName>
    <definedName name="Qty_PTP_820_RFU_E_43">'PTP, IIOT'!$D$19</definedName>
    <definedName name="Qty_PTP_820_RFU_S">'PTP, IIOT'!$D$20</definedName>
    <definedName name="Qty_PTP_820C">'PTP, IIOT'!$D$21</definedName>
    <definedName name="Qty_PTP_820C_HP">'PTP, IIOT'!$D$22</definedName>
    <definedName name="Qty_PTP_820E">'PTP, IIOT'!$D$23</definedName>
    <definedName name="Qty_PTP_820E_43">'PTP, IIOT'!$D$24</definedName>
    <definedName name="Qty_PTP_820F">'PTP, IIOT'!$D$25</definedName>
    <definedName name="Qty_PTP_820G_IDU_Double">'PTP, IIOT'!$D$27</definedName>
    <definedName name="Qty_PTP_820G_IDU_Single">'PTP, IIOT'!$D$26</definedName>
    <definedName name="Qty_PTP_820G_RFU_A">'PTP, IIOT'!$D$28</definedName>
    <definedName name="Qty_PTP_820G_RFU_C">'PTP, IIOT'!$D$29</definedName>
    <definedName name="Qty_PTP_820S">'PTP, IIOT'!$D$30</definedName>
    <definedName name="Qty_PTP_850E">'PTP, IIOT'!$D$31</definedName>
    <definedName name="Qty_TX2012R_P">'PMP Fixed Wireless BB'!$D$19</definedName>
    <definedName name="Qty_TX2020R_P">'PMP Fixed Wireless BB'!$D$20</definedName>
    <definedName name="Qty_TX2028RF_P">'PMP Fixed Wireless BB'!$D$21</definedName>
    <definedName name="Qty_V1000_Client_Node">'PMP Fixed Wireless BB'!$D$30</definedName>
    <definedName name="Qty_V3000_Client_Node">'PMP Fixed Wireless BB'!$D$31</definedName>
    <definedName name="Qty_V5000_Distribution_Node">'PMP Fixed Wireless BB'!$D$32</definedName>
    <definedName name="Qty_XE3_4">'Enterprise Wi-Fi &amp; Switching'!$D$8</definedName>
    <definedName name="Qty_XE5_8">'Enterprise Wi-Fi &amp; Switching'!$D$9</definedName>
    <definedName name="Qty_XV2_2">'Enterprise Wi-Fi &amp; Switching'!$D$7</definedName>
    <definedName name="Qty_XV2_2T0">'Enterprise Wi-Fi &amp; Switching'!$D$11</definedName>
    <definedName name="Qty_XV3_8">'Enterprise Wi-Fi &amp; Switching'!$D$6</definedName>
    <definedName name="qw" localSheetId="11" hidden="1">{"'下期集計（10.27迄・速報値）'!$Q$16"}</definedName>
    <definedName name="qw" localSheetId="12" hidden="1">{"'下期集計（10.27迄・速報値）'!$Q$16"}</definedName>
    <definedName name="qw" hidden="1">{"'下期集計（10.27迄・速報値）'!$Q$16"}</definedName>
    <definedName name="ＲＡＲＯＡ" localSheetId="11" hidden="1">{"'下期集計（10.27迄・速報値）'!$Q$16"}</definedName>
    <definedName name="ＲＡＲＯＡ" localSheetId="12" hidden="1">{"'下期集計（10.27迄・速報値）'!$Q$16"}</definedName>
    <definedName name="ＲＡＲＯＡ" hidden="1">{"'下期集計（10.27迄・速報値）'!$Q$16"}</definedName>
    <definedName name="SC10_Cnt_P1">'PMP Fixed Wireless BB'!$W$33</definedName>
    <definedName name="SC10_Cnt_P2">'PTP, IIOT'!$W$35</definedName>
    <definedName name="SC10_Cnt_P3">'ePMP, cnVision'!$W$34</definedName>
    <definedName name="SC10_Cnt_Total">'ePMP, cnVision'!$W$35</definedName>
    <definedName name="SC15_Cnt_P1">'PMP Fixed Wireless BB'!$X$33</definedName>
    <definedName name="SC15_Cnt_P2">'PTP, IIOT'!$X$35</definedName>
    <definedName name="SC15_Cnt_P3">'ePMP, cnVision'!$X$34</definedName>
    <definedName name="SC15_Cnt_Total">'ePMP, cnVision'!$X$35</definedName>
    <definedName name="SC20_Cnt_P1">'PMP Fixed Wireless BB'!$Y$33</definedName>
    <definedName name="SC20_Cnt_P2">'PTP, IIOT'!$Y$35</definedName>
    <definedName name="SC20_Cnt_P3">'ePMP, cnVision'!$Y$34</definedName>
    <definedName name="SC20_Cnt_Total">'ePMP, cnVision'!$Y$35</definedName>
    <definedName name="SC25_Cnt_P1">'PMP Fixed Wireless BB'!$Z$33</definedName>
    <definedName name="SC25_Cnt_P2">'PTP, IIOT'!$Z$35</definedName>
    <definedName name="SC25_Cnt_P3">'ePMP, cnVision'!$Z$34</definedName>
    <definedName name="SC25_Cnt_Total">'ePMP, cnVision'!$Z$35</definedName>
    <definedName name="SC30_Cnt_P1">'PMP Fixed Wireless BB'!$AA$33</definedName>
    <definedName name="SC30_Cnt_P2">'PTP, IIOT'!$AA$35</definedName>
    <definedName name="SC30_Cnt_P3">'ePMP, cnVision'!$AA$34</definedName>
    <definedName name="SC30_Cnt_Total">'ePMP, cnVision'!$AA$35</definedName>
    <definedName name="SC40_Cnt_P1">'PMP Fixed Wireless BB'!$AB$33</definedName>
    <definedName name="SC40_Cnt_P2">'PTP, IIOT'!$AB$35</definedName>
    <definedName name="SC40_Cnt_P3">'ePMP, cnVision'!$AB$34</definedName>
    <definedName name="SC40_Cnt_Total">'ePMP, cnVision'!$AB$35</definedName>
    <definedName name="SC50_Cnt_P1">'PMP Fixed Wireless BB'!$AC$33</definedName>
    <definedName name="SC50_Cnt_P2">'PTP, IIOT'!$AC$35</definedName>
    <definedName name="SC50_Cnt_P3">'ePMP, cnVision'!$AC$34</definedName>
    <definedName name="SC50_Cnt_Total">'ePMP, cnVision'!$AC$35</definedName>
    <definedName name="SC60_Cnt_P1">'PMP Fixed Wireless BB'!$AD$33</definedName>
    <definedName name="SC60_Cnt_P2">'PTP, IIOT'!$AD$35</definedName>
    <definedName name="SC60_Cnt_P3">'ePMP, cnVision'!$AD$34</definedName>
    <definedName name="SC60_Cnt_Total">'ePMP, cnVision'!$AD$35</definedName>
    <definedName name="Scenario">'Start Here'!$C$29</definedName>
    <definedName name="SCOG" localSheetId="11" hidden="1">{"'ADV&amp;DP'!$A$4:$C$25"}</definedName>
    <definedName name="SCOG" localSheetId="12" hidden="1">{"'ADV&amp;DP'!$A$4:$C$25"}</definedName>
    <definedName name="SCOG" hidden="1">{"'ADV&amp;DP'!$A$4:$C$25"}</definedName>
    <definedName name="sencount" hidden="1">1</definedName>
    <definedName name="Service">'Start Here'!$C$32</definedName>
    <definedName name="sfgasd" localSheetId="11" hidden="1">{0,0,0,0;0,0,0,0;0,0,0,0;0,0,0,0;0,0,0,0;0,0,0,0;0,0,2,0;2,3,3,0;FALSE,FALSE,FALSE,FALSE;TRUE,FALSE,TRUE,TRUE;FALSE,FALSE,TRUE,TRUE;FALSE,0,2.78134444564786E-308,4.45015196281921E-308;7.78776275135711E-308,1.33504516457612E-307,2.22507555776164E-307,3.56012157274209E-307}</definedName>
    <definedName name="sfgasd" localSheetId="12"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olver_adj" localSheetId="11" hidden="1">#REF!</definedName>
    <definedName name="solver_adj" localSheetId="12" hidden="1">#REF!</definedName>
    <definedName name="solver_adj" hidden="1">#REF!</definedName>
    <definedName name="solver_lin" hidden="1">0</definedName>
    <definedName name="solver_num" hidden="1">0</definedName>
    <definedName name="solver_opt" localSheetId="11" hidden="1">#REF!</definedName>
    <definedName name="solver_opt" localSheetId="12" hidden="1">#REF!</definedName>
    <definedName name="solver_opt" hidden="1">#REF!</definedName>
    <definedName name="solver_typ" hidden="1">3</definedName>
    <definedName name="solver_val" hidden="1">0.6</definedName>
    <definedName name="Start_Here_Complete">'Start Here'!$C$26</definedName>
    <definedName name="t" localSheetId="11" hidden="1">{"'下期集計（10.27迄・速報値）'!$Q$16"}</definedName>
    <definedName name="t" localSheetId="12" hidden="1">{"'下期集計（10.27迄・速報値）'!$Q$16"}</definedName>
    <definedName name="t" hidden="1">{"'下期集計（10.27迄・速報値）'!$Q$16"}</definedName>
    <definedName name="w" localSheetId="11" hidden="1">{"'下期集計（10.27迄・速報値）'!$Q$16"}</definedName>
    <definedName name="w" hidden="1">{"'下期集計（10.27迄・速報値）'!$Q$16"}</definedName>
    <definedName name="wrn.???." localSheetId="11" hidden="1">{"DCF-???",#N/A,TRUE,"???";"FS-???",#N/A,TRUE,"???";"DCF-??",#N/A,TRUE,"??";"FS-??",#N/A,TRUE,"??";"DCF-??",#N/A,TRUE,"??";"FS-??",#N/A,TRUE,"??";"DCF-??",#N/A,TRUE,"??";"FS-??",#N/A,TRUE,"??";"DCF-??",#N/A,TRUE,"??";"FS-??",#N/A,TRUE,"??";"DCF-??",#N/A,TRUE,"??";"FS-??",#N/A,TRUE,"??";"DCF-??",#N/A,TRUE,"??";"FS-??",#N/A,TRUE,"??";"DCF-??",#N/A,TRUE,"??";"FS-??",#N/A,TRUE,"??";"DCF-??",#N/A,TRUE,"??";"FS-??",#N/A,TRUE,"??"}</definedName>
    <definedName name="wrn.???." localSheetId="12" hidden="1">{"DCF-???",#N/A,TRUE,"???";"FS-???",#N/A,TRUE,"???";"DCF-??",#N/A,TRUE,"??";"FS-??",#N/A,TRUE,"??";"DCF-??",#N/A,TRUE,"??";"FS-??",#N/A,TRUE,"??";"DCF-??",#N/A,TRUE,"??";"FS-??",#N/A,TRUE,"??";"DCF-??",#N/A,TRUE,"??";"FS-??",#N/A,TRUE,"??";"DCF-??",#N/A,TRUE,"??";"FS-??",#N/A,TRUE,"??";"DCF-??",#N/A,TRUE,"??";"FS-??",#N/A,TRUE,"??";"DCF-??",#N/A,TRUE,"??";"FS-??",#N/A,TRUE,"??";"DCF-??",#N/A,TRUE,"??";"FS-??",#N/A,TRUE,"??"}</definedName>
    <definedName name="wrn.???." hidden="1">{"DCF-???",#N/A,TRUE,"???";"FS-???",#N/A,TRUE,"???";"DCF-??",#N/A,TRUE,"??";"FS-??",#N/A,TRUE,"??";"DCF-??",#N/A,TRUE,"??";"FS-??",#N/A,TRUE,"??";"DCF-??",#N/A,TRUE,"??";"FS-??",#N/A,TRUE,"??";"DCF-??",#N/A,TRUE,"??";"FS-??",#N/A,TRUE,"??";"DCF-??",#N/A,TRUE,"??";"FS-??",#N/A,TRUE,"??";"DCF-??",#N/A,TRUE,"??";"FS-??",#N/A,TRUE,"??";"DCF-??",#N/A,TRUE,"??";"FS-??",#N/A,TRUE,"??";"DCF-??",#N/A,TRUE,"??";"FS-??",#N/A,TRUE,"??"}</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 localSheetId="11" hidden="1">{#N/A,#N/A,FALSE,"1997 WW (Short)";#N/A,#N/A,FALSE,"1997 RF Mfg";#N/A,#N/A,FALSE,"Ancillary-CSM";#N/A,#N/A,FALSE,"1997 Service"}</definedName>
    <definedName name="wrn.All._.Sheets." localSheetId="12" hidden="1">{#N/A,#N/A,FALSE,"1997 WW (Short)";#N/A,#N/A,FALSE,"1997 RF Mfg";#N/A,#N/A,FALSE,"Ancillary-CSM";#N/A,#N/A,FALSE,"1997 Service"}</definedName>
    <definedName name="wrn.All._.Sheets." hidden="1">{#N/A,#N/A,FALSE,"1997 WW (Short)";#N/A,#N/A,FALSE,"1997 RF Mfg";#N/A,#N/A,FALSE,"Ancillary-CSM";#N/A,#N/A,FALSE,"1997 Service"}</definedName>
    <definedName name="wrn.AR._.Meeting._.Schedules." localSheetId="1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1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CIPG._.All._.Sheets." localSheetId="11"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12"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1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12"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11" hidden="1">{#N/A,#N/A,FALSE,"4-up charts p.1";#N/A,#N/A,FALSE,"4-up charts p.2";#N/A,#N/A,FALSE," rate of ? qtr";#N/A,#N/A,FALSE,"Detail Rel rate of ? ";#N/A,#N/A,FALSE,"Inventory"}</definedName>
    <definedName name="wrn.CIPG._.Color._.Charts." localSheetId="12"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DCF????." localSheetId="11" hidden="1">{"DCF-???",#N/A,TRUE,"???";"DCF-??",#N/A,TRUE,"??";"DCF-??",#N/A,TRUE,"??";"DCF-??",#N/A,TRUE,"??";"DCF-??",#N/A,TRUE,"??";"DCF-??",#N/A,TRUE,"??";"DCF-??",#N/A,TRUE,"??";"DCF-??",#N/A,TRUE,"??";"DCF-??",#N/A,TRUE,"??"}</definedName>
    <definedName name="wrn.DCF????." localSheetId="12" hidden="1">{"DCF-???",#N/A,TRUE,"???";"DCF-??",#N/A,TRUE,"??";"DCF-??",#N/A,TRUE,"??";"DCF-??",#N/A,TRUE,"??";"DCF-??",#N/A,TRUE,"??";"DCF-??",#N/A,TRUE,"??";"DCF-??",#N/A,TRUE,"??";"DCF-??",#N/A,TRUE,"??";"DCF-??",#N/A,TRUE,"??"}</definedName>
    <definedName name="wrn.DCF????." hidden="1">{"DCF-???",#N/A,TRUE,"???";"DCF-??",#N/A,TRUE,"??";"DCF-??",#N/A,TRUE,"??";"DCF-??",#N/A,TRUE,"??";"DCF-??",#N/A,TRUE,"??";"DCF-??",#N/A,TRUE,"??";"DCF-??",#N/A,TRUE,"??";"DCF-??",#N/A,TRUE,"??";"DCF-??",#N/A,TRUE,"??"}</definedName>
    <definedName name="wrn.DCF一括印刷." localSheetId="11" hidden="1">{"DCF-北海道",#N/A,TRUE,"北海道";"DCF-東北",#N/A,TRUE,"東北";"DCF-東海",#N/A,TRUE,"東海";"DCF-北陸",#N/A,TRUE,"北陸";"DCF-関西",#N/A,TRUE,"関西";"DCF-中国",#N/A,TRUE,"中国";"DCF-四国",#N/A,TRUE,"四国";"DCF-九州",#N/A,TRUE,"九州";"DCF-連結",#N/A,TRUE,"連結"}</definedName>
    <definedName name="wrn.DCF一括印刷." localSheetId="12" hidden="1">{"DCF-北海道",#N/A,TRUE,"北海道";"DCF-東北",#N/A,TRUE,"東北";"DCF-東海",#N/A,TRUE,"東海";"DCF-北陸",#N/A,TRUE,"北陸";"DCF-関西",#N/A,TRUE,"関西";"DCF-中国",#N/A,TRUE,"中国";"DCF-四国",#N/A,TRUE,"四国";"DCF-九州",#N/A,TRUE,"九州";"DCF-連結",#N/A,TRUE,"連結"}</definedName>
    <definedName name="wrn.DCF一括印刷." hidden="1">{"DCF-北海道",#N/A,TRUE,"北海道";"DCF-東北",#N/A,TRUE,"東北";"DCF-東海",#N/A,TRUE,"東海";"DCF-北陸",#N/A,TRUE,"北陸";"DCF-関西",#N/A,TRUE,"関西";"DCF-中国",#N/A,TRUE,"中国";"DCF-四国",#N/A,TRUE,"四国";"DCF-九州",#N/A,TRUE,"九州";"DCF-連結",#N/A,TRUE,"連結"}</definedName>
    <definedName name="wrn.FS????." localSheetId="11" hidden="1">{"FS-???",#N/A,TRUE,"???";"FS-??",#N/A,TRUE,"??";"FS-??",#N/A,TRUE,"??";"FS-??",#N/A,TRUE,"??";"FS-??",#N/A,TRUE,"??";"FS-??",#N/A,TRUE,"??";"FS-??",#N/A,TRUE,"??";"FS-??",#N/A,TRUE,"??";"FS-??",#N/A,TRUE,"??"}</definedName>
    <definedName name="wrn.FS????." localSheetId="12" hidden="1">{"FS-???",#N/A,TRUE,"???";"FS-??",#N/A,TRUE,"??";"FS-??",#N/A,TRUE,"??";"FS-??",#N/A,TRUE,"??";"FS-??",#N/A,TRUE,"??";"FS-??",#N/A,TRUE,"??";"FS-??",#N/A,TRUE,"??";"FS-??",#N/A,TRUE,"??";"FS-??",#N/A,TRUE,"??"}</definedName>
    <definedName name="wrn.FS????." hidden="1">{"FS-???",#N/A,TRUE,"???";"FS-??",#N/A,TRUE,"??";"FS-??",#N/A,TRUE,"??";"FS-??",#N/A,TRUE,"??";"FS-??",#N/A,TRUE,"??";"FS-??",#N/A,TRUE,"??";"FS-??",#N/A,TRUE,"??";"FS-??",#N/A,TRUE,"??";"FS-??",#N/A,TRUE,"??"}</definedName>
    <definedName name="wrn.FS一括印刷." localSheetId="11" hidden="1">{"FS-北海道",#N/A,TRUE,"北海道";"FS-東北",#N/A,TRUE,"東北";"FS-東海",#N/A,TRUE,"東海";"FS-北陸",#N/A,TRUE,"北陸";"FS-関西",#N/A,TRUE,"関西";"FS-中国",#N/A,TRUE,"中国";"FS-四国",#N/A,TRUE,"四国";"FS-九州",#N/A,TRUE,"九州";"FS-連結",#N/A,TRUE,"連結"}</definedName>
    <definedName name="wrn.FS一括印刷." localSheetId="12" hidden="1">{"FS-北海道",#N/A,TRUE,"北海道";"FS-東北",#N/A,TRUE,"東北";"FS-東海",#N/A,TRUE,"東海";"FS-北陸",#N/A,TRUE,"北陸";"FS-関西",#N/A,TRUE,"関西";"FS-中国",#N/A,TRUE,"中国";"FS-四国",#N/A,TRUE,"四国";"FS-九州",#N/A,TRUE,"九州";"FS-連結",#N/A,TRUE,"連結"}</definedName>
    <definedName name="wrn.FS一括印刷." hidden="1">{"FS-北海道",#N/A,TRUE,"北海道";"FS-東北",#N/A,TRUE,"東北";"FS-東海",#N/A,TRUE,"東海";"FS-北陸",#N/A,TRUE,"北陸";"FS-関西",#N/A,TRUE,"関西";"FS-中国",#N/A,TRUE,"中国";"FS-四国",#N/A,TRUE,"四国";"FS-九州",#N/A,TRUE,"九州";"FS-連結",#N/A,TRUE,"連結"}</definedName>
    <definedName name="wrn.Outlook._.Report." localSheetId="11" hidden="1">{#N/A,#N/A,FALSE,"Outlook for Month ";#N/A,#N/A,FALSE,"Risk for Month ";#N/A,#N/A,FALSE,"Upside for Month"}</definedName>
    <definedName name="wrn.Outlook._.Report." localSheetId="12" hidden="1">{#N/A,#N/A,FALSE,"Outlook for Month ";#N/A,#N/A,FALSE,"Risk for Month ";#N/A,#N/A,FALSE,"Upside for Month"}</definedName>
    <definedName name="wrn.Outlook._.Report." hidden="1">{#N/A,#N/A,FALSE,"Outlook for Month ";#N/A,#N/A,FALSE,"Risk for Month ";#N/A,#N/A,FALSE,"Upside for Month"}</definedName>
    <definedName name="wrn.RPT." localSheetId="11" hidden="1">{#N/A,#N/A,FALSE,"TOTFINAL";#N/A,#N/A,FALSE,"FINPLAN";#N/A,#N/A,FALSE,"TOTMOTADJ";#N/A,#N/A,FALSE,"tieEQ";#N/A,#N/A,FALSE,"G";#N/A,#N/A,FALSE,"ELIMS";#N/A,#N/A,FALSE,"NEXTEL ADJ";#N/A,#N/A,FALSE,"MIMS";#N/A,#N/A,FALSE,"LMPS";#N/A,#N/A,FALSE,"CNSS";#N/A,#N/A,FALSE,"CSS";#N/A,#N/A,FALSE,"MCG";#N/A,#N/A,FALSE,"AECS";#N/A,#N/A,FALSE,"SPS";#N/A,#N/A,FALSE,"CORP"}</definedName>
    <definedName name="wrn.RPT." localSheetId="12"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全印刷." localSheetId="11"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wrn.全印刷." localSheetId="12"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wrn.全印刷."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X_AdvNo">'Start Here'!$D$47</definedName>
    <definedName name="X_AdvYes">'Start Here'!$D$44</definedName>
    <definedName name="X_AR">'Start Here'!$D$53</definedName>
    <definedName name="X_EW">'Start Here'!$D$50</definedName>
    <definedName name="X_Hardware_Support">'Start Here'!$D$10</definedName>
    <definedName name="X_NoHW">'Start Here'!$D$56</definedName>
    <definedName name="ｚ" localSheetId="11" hidden="1">{"'下期集計（10.27迄・速報値）'!$Q$16"}</definedName>
    <definedName name="ｚ" localSheetId="12" hidden="1">{"'下期集計（10.27迄・速報値）'!$Q$16"}</definedName>
    <definedName name="ｚ" hidden="1">{"'下期集計（10.27迄・速報値）'!$Q$16"}</definedName>
    <definedName name="zz" localSheetId="11" hidden="1">{#N/A,#N/A,FALSE,"TOTFINAL";#N/A,#N/A,FALSE,"FINPLAN";#N/A,#N/A,FALSE,"TOTMOTADJ";#N/A,#N/A,FALSE,"tieEQ";#N/A,#N/A,FALSE,"G";#N/A,#N/A,FALSE,"ELIMS";#N/A,#N/A,FALSE,"NEXTEL ADJ";#N/A,#N/A,FALSE,"MIMS";#N/A,#N/A,FALSE,"LMPS";#N/A,#N/A,FALSE,"CNSS";#N/A,#N/A,FALSE,"CSS";#N/A,#N/A,FALSE,"MCG";#N/A,#N/A,FALSE,"AECS";#N/A,#N/A,FALSE,"SPS";#N/A,#N/A,FALSE,"CORP"}</definedName>
    <definedName name="zz" localSheetId="12" hidden="1">{#N/A,#N/A,FALSE,"TOTFINAL";#N/A,#N/A,FALSE,"FINPLAN";#N/A,#N/A,FALSE,"TOTMOTADJ";#N/A,#N/A,FALSE,"tieEQ";#N/A,#N/A,FALSE,"G";#N/A,#N/A,FALSE,"ELIMS";#N/A,#N/A,FALSE,"NEXTEL ADJ";#N/A,#N/A,FALSE,"MIMS";#N/A,#N/A,FALSE,"LMPS";#N/A,#N/A,FALSE,"CNSS";#N/A,#N/A,FALSE,"CSS";#N/A,#N/A,FALSE,"MCG";#N/A,#N/A,FALSE,"AECS";#N/A,#N/A,FALSE,"SPS";#N/A,#N/A,FALSE,"CORP"}</definedName>
    <definedName name="zz" hidden="1">{#N/A,#N/A,FALSE,"TOTFINAL";#N/A,#N/A,FALSE,"FINPLAN";#N/A,#N/A,FALSE,"TOTMOTADJ";#N/A,#N/A,FALSE,"tieEQ";#N/A,#N/A,FALSE,"G";#N/A,#N/A,FALSE,"ELIMS";#N/A,#N/A,FALSE,"NEXTEL ADJ";#N/A,#N/A,FALSE,"MIMS";#N/A,#N/A,FALSE,"LMPS";#N/A,#N/A,FALSE,"CNSS";#N/A,#N/A,FALSE,"CSS";#N/A,#N/A,FALSE,"MCG";#N/A,#N/A,FALSE,"AECS";#N/A,#N/A,FALSE,"SPS";#N/A,#N/A,FALSE,"CORP"}</definedName>
    <definedName name="あ" localSheetId="11" hidden="1">{"'下期集計（10.27迄・速報値）'!$Q$16"}</definedName>
    <definedName name="あ" localSheetId="12" hidden="1">{"'下期集計（10.27迄・速報値）'!$Q$16"}</definedName>
    <definedName name="あ" hidden="1">{"'下期集計（10.27迄・速報値）'!$Q$16"}</definedName>
    <definedName name="あああ" localSheetId="11" hidden="1">{"'下期集計（10.27迄・速報値）'!$Q$16"}</definedName>
    <definedName name="あああ" localSheetId="12" hidden="1">{"'下期集計（10.27迄・速報値）'!$Q$16"}</definedName>
    <definedName name="あああ" hidden="1">{"'下期集計（10.27迄・速報値）'!$Q$16"}</definedName>
    <definedName name="ｼｰﾄ" localSheetId="11" hidden="1">[7]計算過程シート!#REF!</definedName>
    <definedName name="ｼｰﾄ" hidden="1">[7]計算過程シート!#REF!</definedName>
    <definedName name="なんで" localSheetId="11" hidden="1">{"'下期集計（10.27迄・速報値）'!$Q$16"}</definedName>
    <definedName name="なんで" localSheetId="12" hidden="1">{"'下期集計（10.27迄・速報値）'!$Q$16"}</definedName>
    <definedName name="なんで" hidden="1">{"'下期集計（10.27迄・速報値）'!$Q$16"}</definedName>
    <definedName name="なんなの" localSheetId="11" hidden="1">{"'下期集計（10.27迄・速報値）'!$Q$16"}</definedName>
    <definedName name="なんなの" localSheetId="12" hidden="1">{"'下期集計（10.27迄・速報値）'!$Q$16"}</definedName>
    <definedName name="なんなの" hidden="1">{"'下期集計（10.27迄・速報値）'!$Q$16"}</definedName>
    <definedName name="一括" localSheetId="11" hidden="1">{"DCF-北海道",#N/A,TRUE,"北海道";"DCF-東北",#N/A,TRUE,"東北";"DCF-東海",#N/A,TRUE,"東海";"DCF-北陸",#N/A,TRUE,"北陸";"DCF-関西",#N/A,TRUE,"関西";"DCF-中国",#N/A,TRUE,"中国";"DCF-四国",#N/A,TRUE,"四国";"DCF-九州",#N/A,TRUE,"九州";"DCF-連結",#N/A,TRUE,"連結"}</definedName>
    <definedName name="一括" localSheetId="12" hidden="1">{"DCF-北海道",#N/A,TRUE,"北海道";"DCF-東北",#N/A,TRUE,"東北";"DCF-東海",#N/A,TRUE,"東海";"DCF-北陸",#N/A,TRUE,"北陸";"DCF-関西",#N/A,TRUE,"関西";"DCF-中国",#N/A,TRUE,"中国";"DCF-四国",#N/A,TRUE,"四国";"DCF-九州",#N/A,TRUE,"九州";"DCF-連結",#N/A,TRUE,"連結"}</definedName>
    <definedName name="一括" hidden="1">{"DCF-北海道",#N/A,TRUE,"北海道";"DCF-東北",#N/A,TRUE,"東北";"DCF-東海",#N/A,TRUE,"東海";"DCF-北陸",#N/A,TRUE,"北陸";"DCF-関西",#N/A,TRUE,"関西";"DCF-中国",#N/A,TRUE,"中国";"DCF-四国",#N/A,TRUE,"四国";"DCF-九州",#N/A,TRUE,"九州";"DCF-連結",#N/A,TRUE,"連結"}</definedName>
    <definedName name="印刷" localSheetId="11" hidden="1">{"DCF-北海道",#N/A,TRUE,"北海道";"DCF-東北",#N/A,TRUE,"東北";"DCF-東海",#N/A,TRUE,"東海";"DCF-北陸",#N/A,TRUE,"北陸";"DCF-関西",#N/A,TRUE,"関西";"DCF-中国",#N/A,TRUE,"中国";"DCF-四国",#N/A,TRUE,"四国";"DCF-九州",#N/A,TRUE,"九州";"DCF-連結",#N/A,TRUE,"連結"}</definedName>
    <definedName name="印刷" localSheetId="12" hidden="1">{"DCF-北海道",#N/A,TRUE,"北海道";"DCF-東北",#N/A,TRUE,"東北";"DCF-東海",#N/A,TRUE,"東海";"DCF-北陸",#N/A,TRUE,"北陸";"DCF-関西",#N/A,TRUE,"関西";"DCF-中国",#N/A,TRUE,"中国";"DCF-四国",#N/A,TRUE,"四国";"DCF-九州",#N/A,TRUE,"九州";"DCF-連結",#N/A,TRUE,"連結"}</definedName>
    <definedName name="印刷" hidden="1">{"DCF-北海道",#N/A,TRUE,"北海道";"DCF-東北",#N/A,TRUE,"東北";"DCF-東海",#N/A,TRUE,"東海";"DCF-北陸",#N/A,TRUE,"北陸";"DCF-関西",#N/A,TRUE,"関西";"DCF-中国",#N/A,TRUE,"中国";"DCF-四国",#N/A,TRUE,"四国";"DCF-九州",#N/A,TRUE,"九州";"DCF-連結",#N/A,TRUE,"連結"}</definedName>
    <definedName name="年間収支買掛" localSheetId="11" hidden="1">{"'下期集計（10.27迄・速報値）'!$Q$16"}</definedName>
    <definedName name="年間収支買掛" localSheetId="12" hidden="1">{"'下期集計（10.27迄・速報値）'!$Q$16"}</definedName>
    <definedName name="年間収支買掛" hidden="1">{"'下期集計（10.27迄・速報値）'!$Q$16"}</definedName>
    <definedName name="年間資金収支あ" localSheetId="11" hidden="1">{"'下期集計（10.27迄・速報値）'!$Q$16"}</definedName>
    <definedName name="年間資金収支あ" localSheetId="12" hidden="1">{"'下期集計（10.27迄・速報値）'!$Q$16"}</definedName>
    <definedName name="年間資金収支あ" hidden="1">{"'下期集計（10.27迄・速報値）'!$Q$16"}</definedName>
    <definedName name="日繰06" localSheetId="11" hidden="1">{"'下期集計（10.27迄・速報値）'!$Q$16"}</definedName>
    <definedName name="日繰06" localSheetId="12" hidden="1">{"'下期集計（10.27迄・速報値）'!$Q$16"}</definedName>
    <definedName name="日繰06" hidden="1">{"'下期集計（10.27迄・速報値）'!$Q$16"}</definedName>
    <definedName name="系統出資金" localSheetId="11" hidden="1">{"DCF-北海道",#N/A,TRUE,"北海道";"DCF-東北",#N/A,TRUE,"東北";"DCF-東海",#N/A,TRUE,"東海";"DCF-北陸",#N/A,TRUE,"北陸";"DCF-関西",#N/A,TRUE,"関西";"DCF-中国",#N/A,TRUE,"中国";"DCF-四国",#N/A,TRUE,"四国";"DCF-九州",#N/A,TRUE,"九州";"DCF-連結",#N/A,TRUE,"連結"}</definedName>
    <definedName name="系統出資金" localSheetId="12" hidden="1">{"DCF-北海道",#N/A,TRUE,"北海道";"DCF-東北",#N/A,TRUE,"東北";"DCF-東海",#N/A,TRUE,"東海";"DCF-北陸",#N/A,TRUE,"北陸";"DCF-関西",#N/A,TRUE,"関西";"DCF-中国",#N/A,TRUE,"中国";"DCF-四国",#N/A,TRUE,"四国";"DCF-九州",#N/A,TRUE,"九州";"DCF-連結",#N/A,TRUE,"連結"}</definedName>
    <definedName name="系統出資金" hidden="1">{"DCF-北海道",#N/A,TRUE,"北海道";"DCF-東北",#N/A,TRUE,"東北";"DCF-東海",#N/A,TRUE,"東海";"DCF-北陸",#N/A,TRUE,"北陸";"DCF-関西",#N/A,TRUE,"関西";"DCF-中国",#N/A,TRUE,"中国";"DCF-四国",#N/A,TRUE,"四国";"DCF-九州",#N/A,TRUE,"九州";"DCF-連結",#N/A,TRUE,"連結"}</definedName>
    <definedName name="系統外出資金" localSheetId="11" hidden="1">{"DCF-北海道",#N/A,TRUE,"北海道";"DCF-東北",#N/A,TRUE,"東北";"DCF-東海",#N/A,TRUE,"東海";"DCF-北陸",#N/A,TRUE,"北陸";"DCF-関西",#N/A,TRUE,"関西";"DCF-中国",#N/A,TRUE,"中国";"DCF-四国",#N/A,TRUE,"四国";"DCF-九州",#N/A,TRUE,"九州";"DCF-連結",#N/A,TRUE,"連結"}</definedName>
    <definedName name="系統外出資金" localSheetId="12" hidden="1">{"DCF-北海道",#N/A,TRUE,"北海道";"DCF-東北",#N/A,TRUE,"東北";"DCF-東海",#N/A,TRUE,"東海";"DCF-北陸",#N/A,TRUE,"北陸";"DCF-関西",#N/A,TRUE,"関西";"DCF-中国",#N/A,TRUE,"中国";"DCF-四国",#N/A,TRUE,"四国";"DCF-九州",#N/A,TRUE,"九州";"DCF-連結",#N/A,TRUE,"連結"}</definedName>
    <definedName name="系統外出資金" hidden="1">{"DCF-北海道",#N/A,TRUE,"北海道";"DCF-東北",#N/A,TRUE,"東北";"DCF-東海",#N/A,TRUE,"東海";"DCF-北陸",#N/A,TRUE,"北陸";"DCF-関西",#N/A,TRUE,"関西";"DCF-中国",#N/A,TRUE,"中国";"DCF-四国",#N/A,TRUE,"四国";"DCF-九州",#N/A,TRUE,"九州";"DCF-連結",#N/A,TRUE,"連結"}</definedName>
    <definedName name="要処理資産②" localSheetId="11" hidden="1">{"'下期集計（10.27迄・速報値）'!$Q$16"}</definedName>
    <definedName name="要処理資産②" localSheetId="12" hidden="1">{"'下期集計（10.27迄・速報値）'!$Q$16"}</definedName>
    <definedName name="要処理資産②" hidden="1">{"'下期集計（10.27迄・速報値）'!$Q$16"}</definedName>
    <definedName name="評価対象" localSheetId="11" hidden="1">[7]計算過程シート!#REF!</definedName>
    <definedName name="評価対象" hidden="1">[7]計算過程シート!#REF!</definedName>
    <definedName name="資金" localSheetId="11" hidden="1">{"'下期集計（10.27迄・速報値）'!$Q$16"}</definedName>
    <definedName name="資金" localSheetId="12" hidden="1">{"'下期集計（10.27迄・速報値）'!$Q$16"}</definedName>
    <definedName name="資金" hidden="1">{"'下期集計（10.27迄・速報値）'!$Q$16"}</definedName>
    <definedName name="金利体系" localSheetId="11" hidden="1">{"'下期集計（10.27迄・速報値）'!$Q$16"}</definedName>
    <definedName name="金利体系" localSheetId="12" hidden="1">{"'下期集計（10.27迄・速報値）'!$Q$16"}</definedName>
    <definedName name="金利体系" hidden="1">{"'下期集計（10.27迄・速報値）'!$Q$16"}</definedName>
    <definedName name="関連" localSheetId="11" hidden="1">{"'下期集計（10.27迄・速報値）'!$Q$16"}</definedName>
    <definedName name="関連" localSheetId="12" hidden="1">{"'下期集計（10.27迄・速報値）'!$Q$16"}</definedName>
    <definedName name="関連"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6" i="5" l="1"/>
  <c r="L468" i="96" l="1"/>
  <c r="I468" i="96"/>
  <c r="P468" i="96" s="1"/>
  <c r="L467" i="96"/>
  <c r="I467" i="96"/>
  <c r="P467" i="96" s="1"/>
  <c r="P466" i="96"/>
  <c r="N466" i="96"/>
  <c r="L466" i="96"/>
  <c r="I466" i="96"/>
  <c r="L465" i="96"/>
  <c r="I465" i="96"/>
  <c r="P465" i="96" s="1"/>
  <c r="P464" i="96"/>
  <c r="N464" i="96"/>
  <c r="L464" i="96"/>
  <c r="I464" i="96"/>
  <c r="L463" i="96"/>
  <c r="I463" i="96"/>
  <c r="P463" i="96" s="1"/>
  <c r="L462" i="96"/>
  <c r="I462" i="96"/>
  <c r="P461" i="96"/>
  <c r="N461" i="96"/>
  <c r="L461" i="96"/>
  <c r="I461" i="96"/>
  <c r="L460" i="96"/>
  <c r="I460" i="96"/>
  <c r="P460" i="96" s="1"/>
  <c r="P459" i="96"/>
  <c r="N459" i="96"/>
  <c r="L459" i="96"/>
  <c r="I459" i="96"/>
  <c r="L458" i="96"/>
  <c r="I458" i="96"/>
  <c r="P458" i="96" s="1"/>
  <c r="L457" i="96"/>
  <c r="I457" i="96"/>
  <c r="P456" i="96"/>
  <c r="N456" i="96"/>
  <c r="L456" i="96"/>
  <c r="I456" i="96"/>
  <c r="L455" i="96"/>
  <c r="I455" i="96"/>
  <c r="P455" i="96" s="1"/>
  <c r="P454" i="96"/>
  <c r="N454" i="96"/>
  <c r="L454" i="96"/>
  <c r="I454" i="96"/>
  <c r="L453" i="96"/>
  <c r="I453" i="96"/>
  <c r="P453" i="96" s="1"/>
  <c r="L452" i="96"/>
  <c r="I452" i="96"/>
  <c r="P451" i="96"/>
  <c r="N451" i="96"/>
  <c r="L451" i="96"/>
  <c r="I451" i="96"/>
  <c r="L450" i="96"/>
  <c r="I450" i="96"/>
  <c r="P450" i="96" s="1"/>
  <c r="P449" i="96"/>
  <c r="N449" i="96"/>
  <c r="L449" i="96"/>
  <c r="I449" i="96"/>
  <c r="L448" i="96"/>
  <c r="I448" i="96"/>
  <c r="P447" i="96"/>
  <c r="N447" i="96"/>
  <c r="L447" i="96"/>
  <c r="I447" i="96"/>
  <c r="P446" i="96"/>
  <c r="N446" i="96"/>
  <c r="L446" i="96"/>
  <c r="I446" i="96"/>
  <c r="N445" i="96"/>
  <c r="L445" i="96"/>
  <c r="I445" i="96"/>
  <c r="P445" i="96" s="1"/>
  <c r="P444" i="96"/>
  <c r="N444" i="96"/>
  <c r="L444" i="96"/>
  <c r="I444" i="96"/>
  <c r="L443" i="96"/>
  <c r="I443" i="96"/>
  <c r="P442" i="96"/>
  <c r="N442" i="96"/>
  <c r="L442" i="96"/>
  <c r="I442" i="96"/>
  <c r="P441" i="96"/>
  <c r="N441" i="96"/>
  <c r="L441" i="96"/>
  <c r="I441" i="96"/>
  <c r="L440" i="96"/>
  <c r="I440" i="96"/>
  <c r="P440" i="96" s="1"/>
  <c r="P439" i="96"/>
  <c r="N439" i="96"/>
  <c r="L439" i="96"/>
  <c r="I439" i="96"/>
  <c r="L438" i="96"/>
  <c r="I438" i="96"/>
  <c r="L437" i="96"/>
  <c r="I437" i="96"/>
  <c r="P437" i="96" s="1"/>
  <c r="P436" i="96"/>
  <c r="N436" i="96"/>
  <c r="L436" i="96"/>
  <c r="I436" i="96"/>
  <c r="L435" i="96"/>
  <c r="I435" i="96"/>
  <c r="P435" i="96" s="1"/>
  <c r="P434" i="96"/>
  <c r="N434" i="96"/>
  <c r="L434" i="96"/>
  <c r="I434" i="96"/>
  <c r="L433" i="96"/>
  <c r="I433" i="96"/>
  <c r="P432" i="96"/>
  <c r="L432" i="96"/>
  <c r="I432" i="96"/>
  <c r="N432" i="96" s="1"/>
  <c r="P431" i="96"/>
  <c r="N431" i="96"/>
  <c r="L431" i="96"/>
  <c r="I431" i="96"/>
  <c r="N430" i="96"/>
  <c r="L430" i="96"/>
  <c r="I430" i="96"/>
  <c r="P430" i="96" s="1"/>
  <c r="P429" i="96"/>
  <c r="N429" i="96"/>
  <c r="L429" i="96"/>
  <c r="I429" i="96"/>
  <c r="L428" i="96"/>
  <c r="I428" i="96"/>
  <c r="N427" i="96"/>
  <c r="L427" i="96"/>
  <c r="I427" i="96"/>
  <c r="P427" i="96" s="1"/>
  <c r="P426" i="96"/>
  <c r="N426" i="96"/>
  <c r="L426" i="96"/>
  <c r="I426" i="96"/>
  <c r="L425" i="96"/>
  <c r="I425" i="96"/>
  <c r="P425" i="96" s="1"/>
  <c r="P424" i="96"/>
  <c r="N424" i="96"/>
  <c r="L424" i="96"/>
  <c r="I424" i="96"/>
  <c r="L423" i="96"/>
  <c r="I423" i="96"/>
  <c r="L422" i="96"/>
  <c r="I422" i="96"/>
  <c r="P422" i="96" s="1"/>
  <c r="P421" i="96"/>
  <c r="N421" i="96"/>
  <c r="L421" i="96"/>
  <c r="I421" i="96"/>
  <c r="N420" i="96"/>
  <c r="L420" i="96"/>
  <c r="I420" i="96"/>
  <c r="P420" i="96" s="1"/>
  <c r="P419" i="96"/>
  <c r="N419" i="96"/>
  <c r="L419" i="96"/>
  <c r="I419" i="96"/>
  <c r="L418" i="96"/>
  <c r="I418" i="96"/>
  <c r="N417" i="96"/>
  <c r="L417" i="96"/>
  <c r="I417" i="96"/>
  <c r="P417" i="96" s="1"/>
  <c r="P416" i="96"/>
  <c r="N416" i="96"/>
  <c r="L416" i="96"/>
  <c r="I416" i="96"/>
  <c r="N415" i="96"/>
  <c r="L415" i="96"/>
  <c r="I415" i="96"/>
  <c r="P415" i="96" s="1"/>
  <c r="P414" i="96"/>
  <c r="N414" i="96"/>
  <c r="L414" i="96"/>
  <c r="I414" i="96"/>
  <c r="L413" i="96"/>
  <c r="I413" i="96"/>
  <c r="P412" i="96"/>
  <c r="N412" i="96"/>
  <c r="L412" i="96"/>
  <c r="I412" i="96"/>
  <c r="P411" i="96"/>
  <c r="N411" i="96"/>
  <c r="L411" i="96"/>
  <c r="I411" i="96"/>
  <c r="L410" i="96"/>
  <c r="I410" i="96"/>
  <c r="P410" i="96" s="1"/>
  <c r="P409" i="96"/>
  <c r="N409" i="96"/>
  <c r="L409" i="96"/>
  <c r="I409" i="96"/>
  <c r="L408" i="96"/>
  <c r="I408" i="96"/>
  <c r="L407" i="96"/>
  <c r="I407" i="96"/>
  <c r="P407" i="96" s="1"/>
  <c r="P406" i="96"/>
  <c r="N406" i="96"/>
  <c r="L406" i="96"/>
  <c r="I406" i="96"/>
  <c r="N405" i="96"/>
  <c r="L405" i="96"/>
  <c r="I405" i="96"/>
  <c r="P405" i="96" s="1"/>
  <c r="P404" i="96"/>
  <c r="N404" i="96"/>
  <c r="L404" i="96"/>
  <c r="I404" i="96"/>
  <c r="L403" i="96"/>
  <c r="I403" i="96"/>
  <c r="N402" i="96"/>
  <c r="L402" i="96"/>
  <c r="I402" i="96"/>
  <c r="P402" i="96" s="1"/>
  <c r="P401" i="96"/>
  <c r="N401" i="96"/>
  <c r="L401" i="96"/>
  <c r="I401" i="96"/>
  <c r="N400" i="96"/>
  <c r="L400" i="96"/>
  <c r="I400" i="96"/>
  <c r="P400" i="96" s="1"/>
  <c r="P399" i="96"/>
  <c r="N399" i="96"/>
  <c r="L399" i="96"/>
  <c r="I399" i="96"/>
  <c r="L398" i="96"/>
  <c r="I398" i="96"/>
  <c r="P397" i="96"/>
  <c r="N397" i="96"/>
  <c r="L397" i="96"/>
  <c r="I397" i="96"/>
  <c r="P396" i="96"/>
  <c r="N396" i="96"/>
  <c r="L396" i="96"/>
  <c r="I396" i="96"/>
  <c r="N395" i="96"/>
  <c r="L395" i="96"/>
  <c r="I395" i="96"/>
  <c r="P395" i="96" s="1"/>
  <c r="P394" i="96"/>
  <c r="N394" i="96"/>
  <c r="L394" i="96"/>
  <c r="I394" i="96"/>
  <c r="L393" i="96"/>
  <c r="I393" i="96"/>
  <c r="P392" i="96"/>
  <c r="N392" i="96"/>
  <c r="L392" i="96"/>
  <c r="I392" i="96"/>
  <c r="P391" i="96"/>
  <c r="N391" i="96"/>
  <c r="L391" i="96"/>
  <c r="I391" i="96"/>
  <c r="L390" i="96"/>
  <c r="I390" i="96"/>
  <c r="P390" i="96" s="1"/>
  <c r="P389" i="96"/>
  <c r="N389" i="96"/>
  <c r="L389" i="96"/>
  <c r="I389" i="96"/>
  <c r="L388" i="96"/>
  <c r="I388" i="96"/>
  <c r="L387" i="96"/>
  <c r="I387" i="96"/>
  <c r="P387" i="96" s="1"/>
  <c r="P386" i="96"/>
  <c r="N386" i="96"/>
  <c r="L386" i="96"/>
  <c r="I386" i="96"/>
  <c r="L385" i="96"/>
  <c r="I385" i="96"/>
  <c r="P385" i="96" s="1"/>
  <c r="P384" i="96"/>
  <c r="N384" i="96"/>
  <c r="L384" i="96"/>
  <c r="I384" i="96"/>
  <c r="L383" i="96"/>
  <c r="I383" i="96"/>
  <c r="P382" i="96"/>
  <c r="L382" i="96"/>
  <c r="I382" i="96"/>
  <c r="N382" i="96" s="1"/>
  <c r="P381" i="96"/>
  <c r="N381" i="96"/>
  <c r="L381" i="96"/>
  <c r="I381" i="96"/>
  <c r="L380" i="96"/>
  <c r="I380" i="96"/>
  <c r="P380" i="96" s="1"/>
  <c r="P379" i="96"/>
  <c r="N379" i="96"/>
  <c r="L379" i="96"/>
  <c r="I379" i="96"/>
  <c r="L378" i="96"/>
  <c r="I378" i="96"/>
  <c r="L377" i="96"/>
  <c r="I377" i="96"/>
  <c r="P377" i="96" s="1"/>
  <c r="P376" i="96"/>
  <c r="N376" i="96"/>
  <c r="L376" i="96"/>
  <c r="I376" i="96"/>
  <c r="L375" i="96"/>
  <c r="I375" i="96"/>
  <c r="P375" i="96" s="1"/>
  <c r="P374" i="96"/>
  <c r="N374" i="96"/>
  <c r="L374" i="96"/>
  <c r="I374" i="96"/>
  <c r="L373" i="96"/>
  <c r="I373" i="96"/>
  <c r="L372" i="96"/>
  <c r="I372" i="96"/>
  <c r="P372" i="96" s="1"/>
  <c r="P371" i="96"/>
  <c r="N371" i="96"/>
  <c r="L371" i="96"/>
  <c r="I371" i="96"/>
  <c r="N370" i="96"/>
  <c r="L370" i="96"/>
  <c r="I370" i="96"/>
  <c r="P370" i="96" s="1"/>
  <c r="P369" i="96"/>
  <c r="N369" i="96"/>
  <c r="L369" i="96"/>
  <c r="I369" i="96"/>
  <c r="L368" i="96"/>
  <c r="I368" i="96"/>
  <c r="N367" i="96"/>
  <c r="L367" i="96"/>
  <c r="I367" i="96"/>
  <c r="P367" i="96" s="1"/>
  <c r="P366" i="96"/>
  <c r="N366" i="96"/>
  <c r="L366" i="96"/>
  <c r="I366" i="96"/>
  <c r="N365" i="96"/>
  <c r="L365" i="96"/>
  <c r="I365" i="96"/>
  <c r="P365" i="96" s="1"/>
  <c r="P364" i="96"/>
  <c r="N364" i="96"/>
  <c r="L364" i="96"/>
  <c r="I364" i="96"/>
  <c r="L363" i="96"/>
  <c r="I363" i="96"/>
  <c r="P362" i="96"/>
  <c r="N362" i="96"/>
  <c r="L362" i="96"/>
  <c r="I362" i="96"/>
  <c r="P361" i="96"/>
  <c r="N361" i="96"/>
  <c r="L361" i="96"/>
  <c r="I361" i="96"/>
  <c r="L360" i="96"/>
  <c r="I360" i="96"/>
  <c r="P360" i="96" s="1"/>
  <c r="P359" i="96"/>
  <c r="N359" i="96"/>
  <c r="L359" i="96"/>
  <c r="I359" i="96"/>
  <c r="L358" i="96"/>
  <c r="I358" i="96"/>
  <c r="L357" i="96"/>
  <c r="I357" i="96"/>
  <c r="P357" i="96" s="1"/>
  <c r="P356" i="96"/>
  <c r="N356" i="96"/>
  <c r="L356" i="96"/>
  <c r="I356" i="96"/>
  <c r="N355" i="96"/>
  <c r="L355" i="96"/>
  <c r="I355" i="96"/>
  <c r="P355" i="96" s="1"/>
  <c r="P354" i="96"/>
  <c r="N354" i="96"/>
  <c r="L354" i="96"/>
  <c r="I354" i="96"/>
  <c r="L353" i="96"/>
  <c r="I353" i="96"/>
  <c r="N352" i="96"/>
  <c r="L352" i="96"/>
  <c r="I352" i="96"/>
  <c r="P352" i="96" s="1"/>
  <c r="P351" i="96"/>
  <c r="N351" i="96"/>
  <c r="L351" i="96"/>
  <c r="I351" i="96"/>
  <c r="N350" i="96"/>
  <c r="L350" i="96"/>
  <c r="I350" i="96"/>
  <c r="P350" i="96" s="1"/>
  <c r="P349" i="96"/>
  <c r="N349" i="96"/>
  <c r="L349" i="96"/>
  <c r="I349" i="96"/>
  <c r="L348" i="96"/>
  <c r="I348" i="96"/>
  <c r="P347" i="96"/>
  <c r="N347" i="96"/>
  <c r="L347" i="96"/>
  <c r="I347" i="96"/>
  <c r="P346" i="96"/>
  <c r="N346" i="96"/>
  <c r="L346" i="96"/>
  <c r="I346" i="96"/>
  <c r="N345" i="96"/>
  <c r="L345" i="96"/>
  <c r="I345" i="96"/>
  <c r="P345" i="96" s="1"/>
  <c r="P344" i="96"/>
  <c r="N344" i="96"/>
  <c r="L344" i="96"/>
  <c r="I344" i="96"/>
  <c r="L343" i="96"/>
  <c r="I343" i="96"/>
  <c r="P342" i="96"/>
  <c r="N342" i="96"/>
  <c r="L342" i="96"/>
  <c r="I342" i="96"/>
  <c r="P341" i="96"/>
  <c r="N341" i="96"/>
  <c r="L341" i="96"/>
  <c r="I341" i="96"/>
  <c r="L340" i="96"/>
  <c r="I340" i="96"/>
  <c r="P340" i="96" s="1"/>
  <c r="P339" i="96"/>
  <c r="N339" i="96"/>
  <c r="L339" i="96"/>
  <c r="I339" i="96"/>
  <c r="L338" i="96"/>
  <c r="I338" i="96"/>
  <c r="L337" i="96"/>
  <c r="I337" i="96"/>
  <c r="P337" i="96" s="1"/>
  <c r="P336" i="96"/>
  <c r="N336" i="96"/>
  <c r="L336" i="96"/>
  <c r="I336" i="96"/>
  <c r="L335" i="96"/>
  <c r="I335" i="96"/>
  <c r="P335" i="96" s="1"/>
  <c r="P334" i="96"/>
  <c r="N334" i="96"/>
  <c r="L334" i="96"/>
  <c r="I334" i="96"/>
  <c r="L333" i="96"/>
  <c r="I333" i="96"/>
  <c r="P332" i="96"/>
  <c r="L332" i="96"/>
  <c r="I332" i="96"/>
  <c r="N332" i="96" s="1"/>
  <c r="P331" i="96"/>
  <c r="N331" i="96"/>
  <c r="L331" i="96"/>
  <c r="I331" i="96"/>
  <c r="L330" i="96"/>
  <c r="I330" i="96"/>
  <c r="P330" i="96" s="1"/>
  <c r="P329" i="96"/>
  <c r="N329" i="96"/>
  <c r="L329" i="96"/>
  <c r="I329" i="96"/>
  <c r="L328" i="96"/>
  <c r="I328" i="96"/>
  <c r="L327" i="96"/>
  <c r="I327" i="96"/>
  <c r="N327" i="96" s="1"/>
  <c r="P326" i="96"/>
  <c r="N326" i="96"/>
  <c r="L326" i="96"/>
  <c r="I326" i="96"/>
  <c r="L325" i="96"/>
  <c r="I325" i="96"/>
  <c r="P325" i="96" s="1"/>
  <c r="P324" i="96"/>
  <c r="N324" i="96"/>
  <c r="L324" i="96"/>
  <c r="I324" i="96"/>
  <c r="L323" i="96"/>
  <c r="I323" i="96"/>
  <c r="L322" i="96"/>
  <c r="I322" i="96"/>
  <c r="P322" i="96" s="1"/>
  <c r="P321" i="96"/>
  <c r="N321" i="96"/>
  <c r="L321" i="96"/>
  <c r="I321" i="96"/>
  <c r="N320" i="96"/>
  <c r="L320" i="96"/>
  <c r="I320" i="96"/>
  <c r="P320" i="96" s="1"/>
  <c r="P319" i="96"/>
  <c r="N319" i="96"/>
  <c r="L319" i="96"/>
  <c r="I319" i="96"/>
  <c r="L318" i="96"/>
  <c r="I318" i="96"/>
  <c r="N317" i="96"/>
  <c r="L317" i="96"/>
  <c r="I317" i="96"/>
  <c r="P317" i="96" s="1"/>
  <c r="P316" i="96"/>
  <c r="N316" i="96"/>
  <c r="L316" i="96"/>
  <c r="I316" i="96"/>
  <c r="N315" i="96"/>
  <c r="L315" i="96"/>
  <c r="I315" i="96"/>
  <c r="P315" i="96" s="1"/>
  <c r="P314" i="96"/>
  <c r="N314" i="96"/>
  <c r="L314" i="96"/>
  <c r="I314" i="96"/>
  <c r="L313" i="96"/>
  <c r="I313" i="96"/>
  <c r="P312" i="96"/>
  <c r="N312" i="96"/>
  <c r="L312" i="96"/>
  <c r="I312" i="96"/>
  <c r="P311" i="96"/>
  <c r="N311" i="96"/>
  <c r="L311" i="96"/>
  <c r="I311" i="96"/>
  <c r="L310" i="96"/>
  <c r="I310" i="96"/>
  <c r="P310" i="96" s="1"/>
  <c r="P309" i="96"/>
  <c r="N309" i="96"/>
  <c r="L309" i="96"/>
  <c r="I309" i="96"/>
  <c r="L308" i="96"/>
  <c r="I308" i="96"/>
  <c r="L307" i="96"/>
  <c r="I307" i="96"/>
  <c r="P307" i="96" s="1"/>
  <c r="P306" i="96"/>
  <c r="N306" i="96"/>
  <c r="L306" i="96"/>
  <c r="I306" i="96"/>
  <c r="N305" i="96"/>
  <c r="L305" i="96"/>
  <c r="I305" i="96"/>
  <c r="P305" i="96" s="1"/>
  <c r="P304" i="96"/>
  <c r="N304" i="96"/>
  <c r="L304" i="96"/>
  <c r="I304" i="96"/>
  <c r="L303" i="96"/>
  <c r="I303" i="96"/>
  <c r="N302" i="96"/>
  <c r="L302" i="96"/>
  <c r="I302" i="96"/>
  <c r="P302" i="96" s="1"/>
  <c r="P301" i="96"/>
  <c r="N301" i="96"/>
  <c r="L301" i="96"/>
  <c r="I301" i="96"/>
  <c r="N300" i="96"/>
  <c r="L300" i="96"/>
  <c r="I300" i="96"/>
  <c r="P300" i="96" s="1"/>
  <c r="P299" i="96"/>
  <c r="N299" i="96"/>
  <c r="L299" i="96"/>
  <c r="I299" i="96"/>
  <c r="L298" i="96"/>
  <c r="I298" i="96"/>
  <c r="P297" i="96"/>
  <c r="N297" i="96"/>
  <c r="L297" i="96"/>
  <c r="I297" i="96"/>
  <c r="P296" i="96"/>
  <c r="N296" i="96"/>
  <c r="L296" i="96"/>
  <c r="I296" i="96"/>
  <c r="N295" i="96"/>
  <c r="L295" i="96"/>
  <c r="I295" i="96"/>
  <c r="P295" i="96" s="1"/>
  <c r="P294" i="96"/>
  <c r="N294" i="96"/>
  <c r="L294" i="96"/>
  <c r="I294" i="96"/>
  <c r="L293" i="96"/>
  <c r="I293" i="96"/>
  <c r="P292" i="96"/>
  <c r="N292" i="96"/>
  <c r="L292" i="96"/>
  <c r="I292" i="96"/>
  <c r="P291" i="96"/>
  <c r="N291" i="96"/>
  <c r="L291" i="96"/>
  <c r="I291" i="96"/>
  <c r="L290" i="96"/>
  <c r="I290" i="96"/>
  <c r="P290" i="96" s="1"/>
  <c r="P289" i="96"/>
  <c r="N289" i="96"/>
  <c r="L289" i="96"/>
  <c r="I289" i="96"/>
  <c r="L288" i="96"/>
  <c r="I288" i="96"/>
  <c r="L287" i="96"/>
  <c r="I287" i="96"/>
  <c r="P287" i="96" s="1"/>
  <c r="P286" i="96"/>
  <c r="N286" i="96"/>
  <c r="L286" i="96"/>
  <c r="I286" i="96"/>
  <c r="L285" i="96"/>
  <c r="I285" i="96"/>
  <c r="P285" i="96" s="1"/>
  <c r="P284" i="96"/>
  <c r="N284" i="96"/>
  <c r="L284" i="96"/>
  <c r="I284" i="96"/>
  <c r="L283" i="96"/>
  <c r="I283" i="96"/>
  <c r="P282" i="96"/>
  <c r="L282" i="96"/>
  <c r="I282" i="96"/>
  <c r="N282" i="96" s="1"/>
  <c r="P281" i="96"/>
  <c r="N281" i="96"/>
  <c r="L281" i="96"/>
  <c r="I281" i="96"/>
  <c r="L280" i="96"/>
  <c r="I280" i="96"/>
  <c r="P280" i="96" s="1"/>
  <c r="P279" i="96"/>
  <c r="N279" i="96"/>
  <c r="L279" i="96"/>
  <c r="I279" i="96"/>
  <c r="L278" i="96"/>
  <c r="I278" i="96"/>
  <c r="L277" i="96"/>
  <c r="I277" i="96"/>
  <c r="P277" i="96" s="1"/>
  <c r="P276" i="96"/>
  <c r="N276" i="96"/>
  <c r="L276" i="96"/>
  <c r="I276" i="96"/>
  <c r="L275" i="96"/>
  <c r="I275" i="96"/>
  <c r="P275" i="96" s="1"/>
  <c r="P274" i="96"/>
  <c r="N274" i="96"/>
  <c r="L274" i="96"/>
  <c r="I274" i="96"/>
  <c r="L273" i="96"/>
  <c r="I273" i="96"/>
  <c r="L272" i="96"/>
  <c r="I272" i="96"/>
  <c r="P272" i="96" s="1"/>
  <c r="P271" i="96"/>
  <c r="N271" i="96"/>
  <c r="L271" i="96"/>
  <c r="I271" i="96"/>
  <c r="N270" i="96"/>
  <c r="L270" i="96"/>
  <c r="I270" i="96"/>
  <c r="P270" i="96" s="1"/>
  <c r="P269" i="96"/>
  <c r="N269" i="96"/>
  <c r="L269" i="96"/>
  <c r="I269" i="96"/>
  <c r="L268" i="96"/>
  <c r="I268" i="96"/>
  <c r="N267" i="96"/>
  <c r="L267" i="96"/>
  <c r="I267" i="96"/>
  <c r="P267" i="96" s="1"/>
  <c r="P266" i="96"/>
  <c r="N266" i="96"/>
  <c r="L266" i="96"/>
  <c r="I266" i="96"/>
  <c r="N265" i="96"/>
  <c r="L265" i="96"/>
  <c r="I265" i="96"/>
  <c r="P265" i="96" s="1"/>
  <c r="P264" i="96"/>
  <c r="N264" i="96"/>
  <c r="L264" i="96"/>
  <c r="I264" i="96"/>
  <c r="L263" i="96"/>
  <c r="I263" i="96"/>
  <c r="P262" i="96"/>
  <c r="N262" i="96"/>
  <c r="L262" i="96"/>
  <c r="I262" i="96"/>
  <c r="P261" i="96"/>
  <c r="N261" i="96"/>
  <c r="L261" i="96"/>
  <c r="I261" i="96"/>
  <c r="L260" i="96"/>
  <c r="I260" i="96"/>
  <c r="P260" i="96" s="1"/>
  <c r="P259" i="96"/>
  <c r="N259" i="96"/>
  <c r="L259" i="96"/>
  <c r="I259" i="96"/>
  <c r="L258" i="96"/>
  <c r="I258" i="96"/>
  <c r="L257" i="96"/>
  <c r="I257" i="96"/>
  <c r="P257" i="96" s="1"/>
  <c r="P256" i="96"/>
  <c r="N256" i="96"/>
  <c r="L256" i="96"/>
  <c r="I256" i="96"/>
  <c r="N255" i="96"/>
  <c r="L255" i="96"/>
  <c r="I255" i="96"/>
  <c r="P255" i="96" s="1"/>
  <c r="P254" i="96"/>
  <c r="N254" i="96"/>
  <c r="L254" i="96"/>
  <c r="I254" i="96"/>
  <c r="L253" i="96"/>
  <c r="I253" i="96"/>
  <c r="N252" i="96"/>
  <c r="L252" i="96"/>
  <c r="I252" i="96"/>
  <c r="P252" i="96" s="1"/>
  <c r="P251" i="96"/>
  <c r="N251" i="96"/>
  <c r="L251" i="96"/>
  <c r="I251" i="96"/>
  <c r="P250" i="96"/>
  <c r="L250" i="96"/>
  <c r="I250" i="96"/>
  <c r="N250" i="96" s="1"/>
  <c r="L249" i="96"/>
  <c r="I249" i="96"/>
  <c r="P249" i="96" s="1"/>
  <c r="L248" i="96"/>
  <c r="I248" i="96"/>
  <c r="P247" i="96"/>
  <c r="L247" i="96"/>
  <c r="I247" i="96"/>
  <c r="N247" i="96" s="1"/>
  <c r="P246" i="96"/>
  <c r="N246" i="96"/>
  <c r="L246" i="96"/>
  <c r="I246" i="96"/>
  <c r="P245" i="96"/>
  <c r="N245" i="96"/>
  <c r="L245" i="96"/>
  <c r="I245" i="96"/>
  <c r="N244" i="96"/>
  <c r="L244" i="96"/>
  <c r="I244" i="96"/>
  <c r="P244" i="96" s="1"/>
  <c r="L243" i="96"/>
  <c r="I243" i="96"/>
  <c r="P242" i="96"/>
  <c r="N242" i="96"/>
  <c r="L242" i="96"/>
  <c r="I242" i="96"/>
  <c r="P241" i="96"/>
  <c r="N241" i="96"/>
  <c r="L241" i="96"/>
  <c r="I241" i="96"/>
  <c r="P240" i="96"/>
  <c r="N240" i="96"/>
  <c r="L240" i="96"/>
  <c r="I240" i="96"/>
  <c r="P239" i="96"/>
  <c r="L239" i="96"/>
  <c r="I239" i="96"/>
  <c r="N239" i="96" s="1"/>
  <c r="L238" i="96"/>
  <c r="I238" i="96"/>
  <c r="P237" i="96"/>
  <c r="N237" i="96"/>
  <c r="L237" i="96"/>
  <c r="I237" i="96"/>
  <c r="P236" i="96"/>
  <c r="N236" i="96"/>
  <c r="L236" i="96"/>
  <c r="I236" i="96"/>
  <c r="L235" i="96"/>
  <c r="I235" i="96"/>
  <c r="P235" i="96" s="1"/>
  <c r="P234" i="96"/>
  <c r="N234" i="96"/>
  <c r="L234" i="96"/>
  <c r="I234" i="96"/>
  <c r="L233" i="96"/>
  <c r="I233" i="96"/>
  <c r="L232" i="96"/>
  <c r="I232" i="96"/>
  <c r="P232" i="96" s="1"/>
  <c r="P231" i="96"/>
  <c r="N231" i="96"/>
  <c r="L231" i="96"/>
  <c r="I231" i="96"/>
  <c r="N230" i="96"/>
  <c r="L230" i="96"/>
  <c r="I230" i="96"/>
  <c r="P230" i="96" s="1"/>
  <c r="P229" i="96"/>
  <c r="N229" i="96"/>
  <c r="L229" i="96"/>
  <c r="I229" i="96"/>
  <c r="L228" i="96"/>
  <c r="I228" i="96"/>
  <c r="N227" i="96"/>
  <c r="L227" i="96"/>
  <c r="I227" i="96"/>
  <c r="P227" i="96" s="1"/>
  <c r="P226" i="96"/>
  <c r="N226" i="96"/>
  <c r="L226" i="96"/>
  <c r="I226" i="96"/>
  <c r="P225" i="96"/>
  <c r="L225" i="96"/>
  <c r="I225" i="96"/>
  <c r="N225" i="96" s="1"/>
  <c r="L224" i="96"/>
  <c r="I224" i="96"/>
  <c r="P224" i="96" s="1"/>
  <c r="L223" i="96"/>
  <c r="I223" i="96"/>
  <c r="P222" i="96"/>
  <c r="L222" i="96"/>
  <c r="I222" i="96"/>
  <c r="N222" i="96" s="1"/>
  <c r="P221" i="96"/>
  <c r="N221" i="96"/>
  <c r="L221" i="96"/>
  <c r="I221" i="96"/>
  <c r="P220" i="96"/>
  <c r="N220" i="96"/>
  <c r="L220" i="96"/>
  <c r="I220" i="96"/>
  <c r="N219" i="96"/>
  <c r="L219" i="96"/>
  <c r="I219" i="96"/>
  <c r="P219" i="96" s="1"/>
  <c r="L218" i="96"/>
  <c r="I218" i="96"/>
  <c r="P217" i="96"/>
  <c r="N217" i="96"/>
  <c r="L217" i="96"/>
  <c r="I217" i="96"/>
  <c r="P216" i="96"/>
  <c r="N216" i="96"/>
  <c r="L216" i="96"/>
  <c r="I216" i="96"/>
  <c r="P215" i="96"/>
  <c r="N215" i="96"/>
  <c r="L215" i="96"/>
  <c r="I215" i="96"/>
  <c r="P214" i="96"/>
  <c r="L214" i="96"/>
  <c r="I214" i="96"/>
  <c r="N214" i="96" s="1"/>
  <c r="L213" i="96"/>
  <c r="I213" i="96"/>
  <c r="P212" i="96"/>
  <c r="N212" i="96"/>
  <c r="L212" i="96"/>
  <c r="I212" i="96"/>
  <c r="P211" i="96"/>
  <c r="N211" i="96"/>
  <c r="L211" i="96"/>
  <c r="I211" i="96"/>
  <c r="L210" i="96"/>
  <c r="I210" i="96"/>
  <c r="P210" i="96" s="1"/>
  <c r="P209" i="96"/>
  <c r="N209" i="96"/>
  <c r="L209" i="96"/>
  <c r="I209" i="96"/>
  <c r="L208" i="96"/>
  <c r="I208" i="96"/>
  <c r="L207" i="96"/>
  <c r="I207" i="96"/>
  <c r="P207" i="96" s="1"/>
  <c r="P206" i="96"/>
  <c r="N206" i="96"/>
  <c r="L206" i="96"/>
  <c r="I206" i="96"/>
  <c r="N205" i="96"/>
  <c r="L205" i="96"/>
  <c r="I205" i="96"/>
  <c r="P205" i="96" s="1"/>
  <c r="P204" i="96"/>
  <c r="N204" i="96"/>
  <c r="L204" i="96"/>
  <c r="I204" i="96"/>
  <c r="L203" i="96"/>
  <c r="I203" i="96"/>
  <c r="N202" i="96"/>
  <c r="L202" i="96"/>
  <c r="I202" i="96"/>
  <c r="P202" i="96" s="1"/>
  <c r="P201" i="96"/>
  <c r="N201" i="96"/>
  <c r="L201" i="96"/>
  <c r="I201" i="96"/>
  <c r="P200" i="96"/>
  <c r="L200" i="96"/>
  <c r="I200" i="96"/>
  <c r="N200" i="96" s="1"/>
  <c r="L199" i="96"/>
  <c r="I199" i="96"/>
  <c r="P199" i="96" s="1"/>
  <c r="L198" i="96"/>
  <c r="I198" i="96"/>
  <c r="P197" i="96"/>
  <c r="L197" i="96"/>
  <c r="I197" i="96"/>
  <c r="N197" i="96" s="1"/>
  <c r="P196" i="96"/>
  <c r="N196" i="96"/>
  <c r="L196" i="96"/>
  <c r="I196" i="96"/>
  <c r="P195" i="96"/>
  <c r="N195" i="96"/>
  <c r="L195" i="96"/>
  <c r="I195" i="96"/>
  <c r="N194" i="96"/>
  <c r="L194" i="96"/>
  <c r="I194" i="96"/>
  <c r="P194" i="96" s="1"/>
  <c r="L193" i="96"/>
  <c r="I193" i="96"/>
  <c r="P192" i="96"/>
  <c r="N192" i="96"/>
  <c r="L192" i="96"/>
  <c r="I192" i="96"/>
  <c r="P191" i="96"/>
  <c r="N191" i="96"/>
  <c r="L191" i="96"/>
  <c r="I191" i="96"/>
  <c r="P190" i="96"/>
  <c r="N190" i="96"/>
  <c r="L190" i="96"/>
  <c r="I190" i="96"/>
  <c r="P189" i="96"/>
  <c r="L189" i="96"/>
  <c r="I189" i="96"/>
  <c r="N189" i="96" s="1"/>
  <c r="L188" i="96"/>
  <c r="I188" i="96"/>
  <c r="P187" i="96"/>
  <c r="N187" i="96"/>
  <c r="L187" i="96"/>
  <c r="I187" i="96"/>
  <c r="P186" i="96"/>
  <c r="N186" i="96"/>
  <c r="L186" i="96"/>
  <c r="I186" i="96"/>
  <c r="L185" i="96"/>
  <c r="I185" i="96"/>
  <c r="P185" i="96" s="1"/>
  <c r="P184" i="96"/>
  <c r="N184" i="96"/>
  <c r="L184" i="96"/>
  <c r="I184" i="96"/>
  <c r="L183" i="96"/>
  <c r="I183" i="96"/>
  <c r="L182" i="96"/>
  <c r="I182" i="96"/>
  <c r="P182" i="96" s="1"/>
  <c r="P181" i="96"/>
  <c r="N181" i="96"/>
  <c r="L181" i="96"/>
  <c r="I181" i="96"/>
  <c r="N180" i="96"/>
  <c r="L180" i="96"/>
  <c r="I180" i="96"/>
  <c r="P180" i="96" s="1"/>
  <c r="P179" i="96"/>
  <c r="N179" i="96"/>
  <c r="L179" i="96"/>
  <c r="I179" i="96"/>
  <c r="L178" i="96"/>
  <c r="I178" i="96"/>
  <c r="N177" i="96"/>
  <c r="L177" i="96"/>
  <c r="I177" i="96"/>
  <c r="P177" i="96" s="1"/>
  <c r="P176" i="96"/>
  <c r="N176" i="96"/>
  <c r="L176" i="96"/>
  <c r="I176" i="96"/>
  <c r="P175" i="96"/>
  <c r="L175" i="96"/>
  <c r="I175" i="96"/>
  <c r="N175" i="96" s="1"/>
  <c r="L174" i="96"/>
  <c r="I174" i="96"/>
  <c r="P174" i="96" s="1"/>
  <c r="L173" i="96"/>
  <c r="I173" i="96"/>
  <c r="P172" i="96"/>
  <c r="L172" i="96"/>
  <c r="I172" i="96"/>
  <c r="N172" i="96" s="1"/>
  <c r="P171" i="96"/>
  <c r="N171" i="96"/>
  <c r="L171" i="96"/>
  <c r="I171" i="96"/>
  <c r="P170" i="96"/>
  <c r="N170" i="96"/>
  <c r="L170" i="96"/>
  <c r="I170" i="96"/>
  <c r="N169" i="96"/>
  <c r="L169" i="96"/>
  <c r="I169" i="96"/>
  <c r="P169" i="96" s="1"/>
  <c r="L168" i="96"/>
  <c r="I168" i="96"/>
  <c r="P167" i="96"/>
  <c r="N167" i="96"/>
  <c r="L167" i="96"/>
  <c r="I167" i="96"/>
  <c r="P166" i="96"/>
  <c r="N166" i="96"/>
  <c r="L166" i="96"/>
  <c r="I166" i="96"/>
  <c r="P165" i="96"/>
  <c r="N165" i="96"/>
  <c r="L165" i="96"/>
  <c r="I165" i="96"/>
  <c r="P164" i="96"/>
  <c r="L164" i="96"/>
  <c r="I164" i="96"/>
  <c r="N164" i="96" s="1"/>
  <c r="L163" i="96"/>
  <c r="I163" i="96"/>
  <c r="P162" i="96"/>
  <c r="N162" i="96"/>
  <c r="L162" i="96"/>
  <c r="I162" i="96"/>
  <c r="P161" i="96"/>
  <c r="N161" i="96"/>
  <c r="L161" i="96"/>
  <c r="I161" i="96"/>
  <c r="L160" i="96"/>
  <c r="I160" i="96"/>
  <c r="P160" i="96" s="1"/>
  <c r="P159" i="96"/>
  <c r="N159" i="96"/>
  <c r="L159" i="96"/>
  <c r="I159" i="96"/>
  <c r="L158" i="96"/>
  <c r="I158" i="96"/>
  <c r="L157" i="96"/>
  <c r="I157" i="96"/>
  <c r="P157" i="96" s="1"/>
  <c r="P156" i="96"/>
  <c r="N156" i="96"/>
  <c r="L156" i="96"/>
  <c r="I156" i="96"/>
  <c r="N155" i="96"/>
  <c r="L155" i="96"/>
  <c r="I155" i="96"/>
  <c r="P155" i="96" s="1"/>
  <c r="P154" i="96"/>
  <c r="N154" i="96"/>
  <c r="L154" i="96"/>
  <c r="I154" i="96"/>
  <c r="L153" i="96"/>
  <c r="I153" i="96"/>
  <c r="N152" i="96"/>
  <c r="L152" i="96"/>
  <c r="I152" i="96"/>
  <c r="P152" i="96" s="1"/>
  <c r="P151" i="96"/>
  <c r="N151" i="96"/>
  <c r="L151" i="96"/>
  <c r="I151" i="96"/>
  <c r="P150" i="96"/>
  <c r="L150" i="96"/>
  <c r="I150" i="96"/>
  <c r="N150" i="96" s="1"/>
  <c r="L149" i="96"/>
  <c r="I149" i="96"/>
  <c r="P149" i="96" s="1"/>
  <c r="L148" i="96"/>
  <c r="I148" i="96"/>
  <c r="P147" i="96"/>
  <c r="L147" i="96"/>
  <c r="I147" i="96"/>
  <c r="N147" i="96" s="1"/>
  <c r="P146" i="96"/>
  <c r="N146" i="96"/>
  <c r="L146" i="96"/>
  <c r="I146" i="96"/>
  <c r="P145" i="96"/>
  <c r="N145" i="96"/>
  <c r="L145" i="96"/>
  <c r="I145" i="96"/>
  <c r="N144" i="96"/>
  <c r="L144" i="96"/>
  <c r="I144" i="96"/>
  <c r="P144" i="96" s="1"/>
  <c r="L143" i="96"/>
  <c r="I143" i="96"/>
  <c r="P142" i="96"/>
  <c r="N142" i="96"/>
  <c r="L142" i="96"/>
  <c r="I142" i="96"/>
  <c r="P141" i="96"/>
  <c r="N141" i="96"/>
  <c r="L141" i="96"/>
  <c r="I141" i="96"/>
  <c r="P140" i="96"/>
  <c r="N140" i="96"/>
  <c r="L140" i="96"/>
  <c r="I140" i="96"/>
  <c r="P139" i="96"/>
  <c r="L139" i="96"/>
  <c r="I139" i="96"/>
  <c r="N139" i="96" s="1"/>
  <c r="L138" i="96"/>
  <c r="I138" i="96"/>
  <c r="P137" i="96"/>
  <c r="N137" i="96"/>
  <c r="L137" i="96"/>
  <c r="I137" i="96"/>
  <c r="P136" i="96"/>
  <c r="N136" i="96"/>
  <c r="L136" i="96"/>
  <c r="I136" i="96"/>
  <c r="L135" i="96"/>
  <c r="I135" i="96"/>
  <c r="P135" i="96" s="1"/>
  <c r="P134" i="96"/>
  <c r="N134" i="96"/>
  <c r="L134" i="96"/>
  <c r="I134" i="96"/>
  <c r="L133" i="96"/>
  <c r="I133" i="96"/>
  <c r="L132" i="96"/>
  <c r="I132" i="96"/>
  <c r="P132" i="96" s="1"/>
  <c r="P131" i="96"/>
  <c r="N131" i="96"/>
  <c r="L131" i="96"/>
  <c r="I131" i="96"/>
  <c r="N130" i="96"/>
  <c r="L130" i="96"/>
  <c r="I130" i="96"/>
  <c r="P130" i="96" s="1"/>
  <c r="P129" i="96"/>
  <c r="N129" i="96"/>
  <c r="L129" i="96"/>
  <c r="I129" i="96"/>
  <c r="L128" i="96"/>
  <c r="I128" i="96"/>
  <c r="N127" i="96"/>
  <c r="L127" i="96"/>
  <c r="I127" i="96"/>
  <c r="P127" i="96" s="1"/>
  <c r="P126" i="96"/>
  <c r="N126" i="96"/>
  <c r="L126" i="96"/>
  <c r="I126" i="96"/>
  <c r="P125" i="96"/>
  <c r="L125" i="96"/>
  <c r="I125" i="96"/>
  <c r="N125" i="96" s="1"/>
  <c r="L124" i="96"/>
  <c r="I124" i="96"/>
  <c r="P124" i="96" s="1"/>
  <c r="L123" i="96"/>
  <c r="I123" i="96"/>
  <c r="P122" i="96"/>
  <c r="L122" i="96"/>
  <c r="I122" i="96"/>
  <c r="N122" i="96" s="1"/>
  <c r="P121" i="96"/>
  <c r="N121" i="96"/>
  <c r="L121" i="96"/>
  <c r="I121" i="96"/>
  <c r="P120" i="96"/>
  <c r="N120" i="96"/>
  <c r="L120" i="96"/>
  <c r="I120" i="96"/>
  <c r="N119" i="96"/>
  <c r="L119" i="96"/>
  <c r="I119" i="96"/>
  <c r="P119" i="96" s="1"/>
  <c r="L118" i="96"/>
  <c r="I118" i="96"/>
  <c r="P117" i="96"/>
  <c r="N117" i="96"/>
  <c r="L117" i="96"/>
  <c r="I117" i="96"/>
  <c r="P116" i="96"/>
  <c r="N116" i="96"/>
  <c r="L116" i="96"/>
  <c r="I116" i="96"/>
  <c r="P115" i="96"/>
  <c r="N115" i="96"/>
  <c r="L115" i="96"/>
  <c r="I115" i="96"/>
  <c r="P114" i="96"/>
  <c r="L114" i="96"/>
  <c r="I114" i="96"/>
  <c r="N114" i="96" s="1"/>
  <c r="L113" i="96"/>
  <c r="I113" i="96"/>
  <c r="P112" i="96"/>
  <c r="N112" i="96"/>
  <c r="L112" i="96"/>
  <c r="I112" i="96"/>
  <c r="P111" i="96"/>
  <c r="N111" i="96"/>
  <c r="L111" i="96"/>
  <c r="I111" i="96"/>
  <c r="L110" i="96"/>
  <c r="I110" i="96"/>
  <c r="P110" i="96" s="1"/>
  <c r="P109" i="96"/>
  <c r="N109" i="96"/>
  <c r="L109" i="96"/>
  <c r="I109" i="96"/>
  <c r="L108" i="96"/>
  <c r="I108" i="96"/>
  <c r="L107" i="96"/>
  <c r="I107" i="96"/>
  <c r="P107" i="96" s="1"/>
  <c r="P106" i="96"/>
  <c r="N106" i="96"/>
  <c r="L106" i="96"/>
  <c r="I106" i="96"/>
  <c r="N105" i="96"/>
  <c r="L105" i="96"/>
  <c r="I105" i="96"/>
  <c r="P105" i="96" s="1"/>
  <c r="P104" i="96"/>
  <c r="N104" i="96"/>
  <c r="L104" i="96"/>
  <c r="I104" i="96"/>
  <c r="L103" i="96"/>
  <c r="I103" i="96"/>
  <c r="N102" i="96"/>
  <c r="L102" i="96"/>
  <c r="I102" i="96"/>
  <c r="P102" i="96" s="1"/>
  <c r="P101" i="96"/>
  <c r="N101" i="96"/>
  <c r="L101" i="96"/>
  <c r="I101" i="96"/>
  <c r="P100" i="96"/>
  <c r="L100" i="96"/>
  <c r="I100" i="96"/>
  <c r="N100" i="96" s="1"/>
  <c r="L99" i="96"/>
  <c r="I99" i="96"/>
  <c r="P99" i="96" s="1"/>
  <c r="L98" i="96"/>
  <c r="I98" i="96"/>
  <c r="P97" i="96"/>
  <c r="L97" i="96"/>
  <c r="I97" i="96"/>
  <c r="N97" i="96" s="1"/>
  <c r="P96" i="96"/>
  <c r="N96" i="96"/>
  <c r="L96" i="96"/>
  <c r="I96" i="96"/>
  <c r="P95" i="96"/>
  <c r="N95" i="96"/>
  <c r="L95" i="96"/>
  <c r="I95" i="96"/>
  <c r="N94" i="96"/>
  <c r="L94" i="96"/>
  <c r="I94" i="96"/>
  <c r="P94" i="96" s="1"/>
  <c r="L93" i="96"/>
  <c r="I93" i="96"/>
  <c r="P92" i="96"/>
  <c r="N92" i="96"/>
  <c r="L92" i="96"/>
  <c r="I92" i="96"/>
  <c r="P91" i="96"/>
  <c r="N91" i="96"/>
  <c r="L91" i="96"/>
  <c r="I91" i="96"/>
  <c r="P90" i="96"/>
  <c r="N90" i="96"/>
  <c r="L90" i="96"/>
  <c r="I90" i="96"/>
  <c r="P89" i="96"/>
  <c r="L89" i="96"/>
  <c r="I89" i="96"/>
  <c r="N89" i="96" s="1"/>
  <c r="L88" i="96"/>
  <c r="I88" i="96"/>
  <c r="P87" i="96"/>
  <c r="N87" i="96"/>
  <c r="L87" i="96"/>
  <c r="I87" i="96"/>
  <c r="P86" i="96"/>
  <c r="N86" i="96"/>
  <c r="L86" i="96"/>
  <c r="I86" i="96"/>
  <c r="L85" i="96"/>
  <c r="I85" i="96"/>
  <c r="P85" i="96" s="1"/>
  <c r="P84" i="96"/>
  <c r="N84" i="96"/>
  <c r="L84" i="96"/>
  <c r="I84" i="96"/>
  <c r="L83" i="96"/>
  <c r="I83" i="96"/>
  <c r="L82" i="96"/>
  <c r="I82" i="96"/>
  <c r="P82" i="96" s="1"/>
  <c r="P81" i="96"/>
  <c r="N81" i="96"/>
  <c r="L81" i="96"/>
  <c r="I81" i="96"/>
  <c r="N80" i="96"/>
  <c r="L80" i="96"/>
  <c r="I80" i="96"/>
  <c r="P80" i="96" s="1"/>
  <c r="P79" i="96"/>
  <c r="N79" i="96"/>
  <c r="L79" i="96"/>
  <c r="I79" i="96"/>
  <c r="L78" i="96"/>
  <c r="I78" i="96"/>
  <c r="N77" i="96"/>
  <c r="L77" i="96"/>
  <c r="I77" i="96"/>
  <c r="P77" i="96" s="1"/>
  <c r="P76" i="96"/>
  <c r="N76" i="96"/>
  <c r="L76" i="96"/>
  <c r="I76" i="96"/>
  <c r="P75" i="96"/>
  <c r="L75" i="96"/>
  <c r="I75" i="96"/>
  <c r="N75" i="96" s="1"/>
  <c r="L74" i="96"/>
  <c r="I74" i="96"/>
  <c r="P74" i="96" s="1"/>
  <c r="L73" i="96"/>
  <c r="I73" i="96"/>
  <c r="P72" i="96"/>
  <c r="L72" i="96"/>
  <c r="I72" i="96"/>
  <c r="N72" i="96" s="1"/>
  <c r="P71" i="96"/>
  <c r="N71" i="96"/>
  <c r="L71" i="96"/>
  <c r="I71" i="96"/>
  <c r="P70" i="96"/>
  <c r="N70" i="96"/>
  <c r="L70" i="96"/>
  <c r="I70" i="96"/>
  <c r="N69" i="96"/>
  <c r="L69" i="96"/>
  <c r="I69" i="96"/>
  <c r="P69" i="96" s="1"/>
  <c r="L68" i="96"/>
  <c r="I68" i="96"/>
  <c r="P67" i="96"/>
  <c r="N67" i="96"/>
  <c r="L67" i="96"/>
  <c r="I67" i="96"/>
  <c r="P66" i="96"/>
  <c r="N66" i="96"/>
  <c r="L66" i="96"/>
  <c r="I66" i="96"/>
  <c r="P65" i="96"/>
  <c r="N65" i="96"/>
  <c r="L65" i="96"/>
  <c r="I65" i="96"/>
  <c r="P64" i="96"/>
  <c r="L64" i="96"/>
  <c r="I64" i="96"/>
  <c r="N64" i="96" s="1"/>
  <c r="L63" i="96"/>
  <c r="I63" i="96"/>
  <c r="P62" i="96"/>
  <c r="N62" i="96"/>
  <c r="L62" i="96"/>
  <c r="I62" i="96"/>
  <c r="P61" i="96"/>
  <c r="N61" i="96"/>
  <c r="L61" i="96"/>
  <c r="I61" i="96"/>
  <c r="L60" i="96"/>
  <c r="I60" i="96"/>
  <c r="P60" i="96" s="1"/>
  <c r="P59" i="96"/>
  <c r="N59" i="96"/>
  <c r="L59" i="96"/>
  <c r="I59" i="96"/>
  <c r="L58" i="96"/>
  <c r="I58" i="96"/>
  <c r="L57" i="96"/>
  <c r="I57" i="96"/>
  <c r="P57" i="96" s="1"/>
  <c r="P56" i="96"/>
  <c r="N56" i="96"/>
  <c r="L56" i="96"/>
  <c r="I56" i="96"/>
  <c r="N55" i="96"/>
  <c r="L55" i="96"/>
  <c r="I55" i="96"/>
  <c r="P55" i="96" s="1"/>
  <c r="P54" i="96"/>
  <c r="N54" i="96"/>
  <c r="L54" i="96"/>
  <c r="I54" i="96"/>
  <c r="L53" i="96"/>
  <c r="I53" i="96"/>
  <c r="N52" i="96"/>
  <c r="L52" i="96"/>
  <c r="I52" i="96"/>
  <c r="P52" i="96" s="1"/>
  <c r="P51" i="96"/>
  <c r="N51" i="96"/>
  <c r="L51" i="96"/>
  <c r="I51" i="96"/>
  <c r="P50" i="96"/>
  <c r="L50" i="96"/>
  <c r="I50" i="96"/>
  <c r="N50" i="96" s="1"/>
  <c r="L49" i="96"/>
  <c r="I49" i="96"/>
  <c r="P49" i="96" s="1"/>
  <c r="L48" i="96"/>
  <c r="I48" i="96"/>
  <c r="P47" i="96"/>
  <c r="L47" i="96"/>
  <c r="I47" i="96"/>
  <c r="N47" i="96" s="1"/>
  <c r="L46" i="96"/>
  <c r="I46" i="96"/>
  <c r="P46" i="96" s="1"/>
  <c r="P45" i="96"/>
  <c r="N45" i="96"/>
  <c r="L45" i="96"/>
  <c r="I45" i="96"/>
  <c r="N44" i="96"/>
  <c r="L44" i="96"/>
  <c r="I44" i="96"/>
  <c r="P44" i="96" s="1"/>
  <c r="P43" i="96"/>
  <c r="N43" i="96"/>
  <c r="L43" i="96"/>
  <c r="I43" i="96"/>
  <c r="P42" i="96"/>
  <c r="L42" i="96"/>
  <c r="I42" i="96"/>
  <c r="N42" i="96" s="1"/>
  <c r="L41" i="96"/>
  <c r="I41" i="96"/>
  <c r="P41" i="96" s="1"/>
  <c r="P40" i="96"/>
  <c r="N40" i="96"/>
  <c r="L40" i="96"/>
  <c r="I40" i="96"/>
  <c r="N39" i="96"/>
  <c r="L39" i="96"/>
  <c r="I39" i="96"/>
  <c r="P39" i="96" s="1"/>
  <c r="P38" i="96"/>
  <c r="N38" i="96"/>
  <c r="L38" i="96"/>
  <c r="I38" i="96"/>
  <c r="P37" i="96"/>
  <c r="L37" i="96"/>
  <c r="I37" i="96"/>
  <c r="N37" i="96" s="1"/>
  <c r="L36" i="96"/>
  <c r="I36" i="96"/>
  <c r="P36" i="96" s="1"/>
  <c r="P35" i="96"/>
  <c r="N35" i="96"/>
  <c r="L35" i="96"/>
  <c r="I35" i="96"/>
  <c r="N34" i="96"/>
  <c r="L34" i="96"/>
  <c r="I34" i="96"/>
  <c r="P34" i="96" s="1"/>
  <c r="P33" i="96"/>
  <c r="N33" i="96"/>
  <c r="L33" i="96"/>
  <c r="I33" i="96"/>
  <c r="P32" i="96"/>
  <c r="L32" i="96"/>
  <c r="I32" i="96"/>
  <c r="N32" i="96" s="1"/>
  <c r="L31" i="96"/>
  <c r="I31" i="96"/>
  <c r="P31" i="96" s="1"/>
  <c r="P30" i="96"/>
  <c r="N30" i="96"/>
  <c r="L30" i="96"/>
  <c r="I30" i="96"/>
  <c r="N29" i="96"/>
  <c r="L29" i="96"/>
  <c r="I29" i="96"/>
  <c r="P29" i="96" s="1"/>
  <c r="P28" i="96"/>
  <c r="N28" i="96"/>
  <c r="L28" i="96"/>
  <c r="I28" i="96"/>
  <c r="P27" i="96"/>
  <c r="L27" i="96"/>
  <c r="I27" i="96"/>
  <c r="N27" i="96" s="1"/>
  <c r="L26" i="96"/>
  <c r="I26" i="96"/>
  <c r="P26" i="96" s="1"/>
  <c r="P25" i="96"/>
  <c r="N25" i="96"/>
  <c r="L25" i="96"/>
  <c r="I25" i="96"/>
  <c r="N24" i="96"/>
  <c r="L24" i="96"/>
  <c r="I24" i="96"/>
  <c r="P24" i="96" s="1"/>
  <c r="P23" i="96"/>
  <c r="N23" i="96"/>
  <c r="L23" i="96"/>
  <c r="I23" i="96"/>
  <c r="P22" i="96"/>
  <c r="L22" i="96"/>
  <c r="I22" i="96"/>
  <c r="N22" i="96" s="1"/>
  <c r="L21" i="96"/>
  <c r="I21" i="96"/>
  <c r="P21" i="96" s="1"/>
  <c r="P20" i="96"/>
  <c r="N20" i="96"/>
  <c r="L20" i="96"/>
  <c r="I20" i="96"/>
  <c r="N19" i="96"/>
  <c r="L19" i="96"/>
  <c r="I19" i="96"/>
  <c r="P19" i="96" s="1"/>
  <c r="P18" i="96"/>
  <c r="N18" i="96"/>
  <c r="L18" i="96"/>
  <c r="I18" i="96"/>
  <c r="P17" i="96"/>
  <c r="L17" i="96"/>
  <c r="I17" i="96"/>
  <c r="N17" i="96" s="1"/>
  <c r="L16" i="96"/>
  <c r="I16" i="96"/>
  <c r="P16" i="96" s="1"/>
  <c r="P15" i="96"/>
  <c r="N15" i="96"/>
  <c r="L15" i="96"/>
  <c r="I15" i="96"/>
  <c r="N14" i="96"/>
  <c r="L14" i="96"/>
  <c r="I14" i="96"/>
  <c r="P14" i="96" s="1"/>
  <c r="P13" i="96"/>
  <c r="N13" i="96"/>
  <c r="L13" i="96"/>
  <c r="I13" i="96"/>
  <c r="P12" i="96"/>
  <c r="L12" i="96"/>
  <c r="I12" i="96"/>
  <c r="N12" i="96" s="1"/>
  <c r="L11" i="96"/>
  <c r="I11" i="96"/>
  <c r="P11" i="96" s="1"/>
  <c r="P10" i="96"/>
  <c r="N10" i="96"/>
  <c r="L10" i="96"/>
  <c r="I10" i="96"/>
  <c r="N9" i="96"/>
  <c r="L9" i="96"/>
  <c r="I9" i="96"/>
  <c r="P9" i="96" s="1"/>
  <c r="P8" i="96"/>
  <c r="N8" i="96"/>
  <c r="L8" i="96"/>
  <c r="I8" i="96"/>
  <c r="P7" i="96"/>
  <c r="L7" i="96"/>
  <c r="I7" i="96"/>
  <c r="N7" i="96" s="1"/>
  <c r="L6" i="96"/>
  <c r="I6" i="96"/>
  <c r="P6" i="96" s="1"/>
  <c r="P5" i="96"/>
  <c r="N5" i="96"/>
  <c r="L5" i="96"/>
  <c r="I5" i="96"/>
  <c r="P268" i="96" l="1"/>
  <c r="N268" i="96"/>
  <c r="P318" i="96"/>
  <c r="N318" i="96"/>
  <c r="P368" i="96"/>
  <c r="N368" i="96"/>
  <c r="P418" i="96"/>
  <c r="N418" i="96"/>
  <c r="P48" i="96"/>
  <c r="N48" i="96"/>
  <c r="P73" i="96"/>
  <c r="N73" i="96"/>
  <c r="P98" i="96"/>
  <c r="N98" i="96"/>
  <c r="P123" i="96"/>
  <c r="N123" i="96"/>
  <c r="P148" i="96"/>
  <c r="N148" i="96"/>
  <c r="P173" i="96"/>
  <c r="N173" i="96"/>
  <c r="P198" i="96"/>
  <c r="N198" i="96"/>
  <c r="P223" i="96"/>
  <c r="N223" i="96"/>
  <c r="P248" i="96"/>
  <c r="N248" i="96"/>
  <c r="P283" i="96"/>
  <c r="N283" i="96"/>
  <c r="P333" i="96"/>
  <c r="N333" i="96"/>
  <c r="P383" i="96"/>
  <c r="N383" i="96"/>
  <c r="P433" i="96"/>
  <c r="N433" i="96"/>
  <c r="N380" i="96"/>
  <c r="P448" i="96"/>
  <c r="N448" i="96"/>
  <c r="P462" i="96"/>
  <c r="N462" i="96"/>
  <c r="N277" i="96"/>
  <c r="P298" i="96"/>
  <c r="N298" i="96"/>
  <c r="N377" i="96"/>
  <c r="P398" i="96"/>
  <c r="N398" i="96"/>
  <c r="P68" i="96"/>
  <c r="N68" i="96"/>
  <c r="P93" i="96"/>
  <c r="N93" i="96"/>
  <c r="P118" i="96"/>
  <c r="N118" i="96"/>
  <c r="P143" i="96"/>
  <c r="N143" i="96"/>
  <c r="P168" i="96"/>
  <c r="N168" i="96"/>
  <c r="P193" i="96"/>
  <c r="N193" i="96"/>
  <c r="P218" i="96"/>
  <c r="N218" i="96"/>
  <c r="P243" i="96"/>
  <c r="N243" i="96"/>
  <c r="P263" i="96"/>
  <c r="N263" i="96"/>
  <c r="P313" i="96"/>
  <c r="N313" i="96"/>
  <c r="P327" i="96"/>
  <c r="P363" i="96"/>
  <c r="N363" i="96"/>
  <c r="P413" i="96"/>
  <c r="N413" i="96"/>
  <c r="N257" i="96"/>
  <c r="N260" i="96"/>
  <c r="P278" i="96"/>
  <c r="N278" i="96"/>
  <c r="N307" i="96"/>
  <c r="N310" i="96"/>
  <c r="P328" i="96"/>
  <c r="N328" i="96"/>
  <c r="N357" i="96"/>
  <c r="N360" i="96"/>
  <c r="P378" i="96"/>
  <c r="N378" i="96"/>
  <c r="N407" i="96"/>
  <c r="N410" i="96"/>
  <c r="P428" i="96"/>
  <c r="N428" i="96"/>
  <c r="P452" i="96"/>
  <c r="N452" i="96"/>
  <c r="N280" i="96"/>
  <c r="N6" i="96"/>
  <c r="N11" i="96"/>
  <c r="N16" i="96"/>
  <c r="N21" i="96"/>
  <c r="N26" i="96"/>
  <c r="N31" i="96"/>
  <c r="N36" i="96"/>
  <c r="N41" i="96"/>
  <c r="N46" i="96"/>
  <c r="N49" i="96"/>
  <c r="N57" i="96"/>
  <c r="N60" i="96"/>
  <c r="P63" i="96"/>
  <c r="N63" i="96"/>
  <c r="N74" i="96"/>
  <c r="N82" i="96"/>
  <c r="N85" i="96"/>
  <c r="P88" i="96"/>
  <c r="N88" i="96"/>
  <c r="N99" i="96"/>
  <c r="N107" i="96"/>
  <c r="N110" i="96"/>
  <c r="P113" i="96"/>
  <c r="N113" i="96"/>
  <c r="N124" i="96"/>
  <c r="N132" i="96"/>
  <c r="N135" i="96"/>
  <c r="P138" i="96"/>
  <c r="N138" i="96"/>
  <c r="N149" i="96"/>
  <c r="N157" i="96"/>
  <c r="N160" i="96"/>
  <c r="P163" i="96"/>
  <c r="N163" i="96"/>
  <c r="N174" i="96"/>
  <c r="N182" i="96"/>
  <c r="N185" i="96"/>
  <c r="P188" i="96"/>
  <c r="N188" i="96"/>
  <c r="N199" i="96"/>
  <c r="N207" i="96"/>
  <c r="N210" i="96"/>
  <c r="P213" i="96"/>
  <c r="N213" i="96"/>
  <c r="N224" i="96"/>
  <c r="N232" i="96"/>
  <c r="N235" i="96"/>
  <c r="P238" i="96"/>
  <c r="N238" i="96"/>
  <c r="N249" i="96"/>
  <c r="N272" i="96"/>
  <c r="N275" i="96"/>
  <c r="P293" i="96"/>
  <c r="N293" i="96"/>
  <c r="N322" i="96"/>
  <c r="N325" i="96"/>
  <c r="P343" i="96"/>
  <c r="N343" i="96"/>
  <c r="N372" i="96"/>
  <c r="N375" i="96"/>
  <c r="P393" i="96"/>
  <c r="N393" i="96"/>
  <c r="N422" i="96"/>
  <c r="N425" i="96"/>
  <c r="P443" i="96"/>
  <c r="N443" i="96"/>
  <c r="N330" i="96"/>
  <c r="P258" i="96"/>
  <c r="N258" i="96"/>
  <c r="N287" i="96"/>
  <c r="N290" i="96"/>
  <c r="P308" i="96"/>
  <c r="N308" i="96"/>
  <c r="N337" i="96"/>
  <c r="N340" i="96"/>
  <c r="P358" i="96"/>
  <c r="N358" i="96"/>
  <c r="N387" i="96"/>
  <c r="N390" i="96"/>
  <c r="P408" i="96"/>
  <c r="N408" i="96"/>
  <c r="N437" i="96"/>
  <c r="N440" i="96"/>
  <c r="P83" i="96"/>
  <c r="N83" i="96"/>
  <c r="P108" i="96"/>
  <c r="N108" i="96"/>
  <c r="P133" i="96"/>
  <c r="N133" i="96"/>
  <c r="P158" i="96"/>
  <c r="N158" i="96"/>
  <c r="P183" i="96"/>
  <c r="N183" i="96"/>
  <c r="P208" i="96"/>
  <c r="N208" i="96"/>
  <c r="P233" i="96"/>
  <c r="N233" i="96"/>
  <c r="P273" i="96"/>
  <c r="N273" i="96"/>
  <c r="P323" i="96"/>
  <c r="N323" i="96"/>
  <c r="P373" i="96"/>
  <c r="N373" i="96"/>
  <c r="P423" i="96"/>
  <c r="N423" i="96"/>
  <c r="P348" i="96"/>
  <c r="N348" i="96"/>
  <c r="P288" i="96"/>
  <c r="N288" i="96"/>
  <c r="P338" i="96"/>
  <c r="N338" i="96"/>
  <c r="P388" i="96"/>
  <c r="N388" i="96"/>
  <c r="P438" i="96"/>
  <c r="N438" i="96"/>
  <c r="P457" i="96"/>
  <c r="N457" i="96"/>
  <c r="P58" i="96"/>
  <c r="N58" i="96"/>
  <c r="P53" i="96"/>
  <c r="N53" i="96"/>
  <c r="P78" i="96"/>
  <c r="N78" i="96"/>
  <c r="P103" i="96"/>
  <c r="N103" i="96"/>
  <c r="P128" i="96"/>
  <c r="N128" i="96"/>
  <c r="P153" i="96"/>
  <c r="N153" i="96"/>
  <c r="P178" i="96"/>
  <c r="N178" i="96"/>
  <c r="P203" i="96"/>
  <c r="N203" i="96"/>
  <c r="P228" i="96"/>
  <c r="N228" i="96"/>
  <c r="P253" i="96"/>
  <c r="N253" i="96"/>
  <c r="N285" i="96"/>
  <c r="P303" i="96"/>
  <c r="N303" i="96"/>
  <c r="N335" i="96"/>
  <c r="P353" i="96"/>
  <c r="N353" i="96"/>
  <c r="N385" i="96"/>
  <c r="P403" i="96"/>
  <c r="N403" i="96"/>
  <c r="N435" i="96"/>
  <c r="N467" i="96"/>
  <c r="N450" i="96"/>
  <c r="N455" i="96"/>
  <c r="N460" i="96"/>
  <c r="N465" i="96"/>
  <c r="N453" i="96"/>
  <c r="N458" i="96"/>
  <c r="N463" i="96"/>
  <c r="N468" i="96"/>
  <c r="N9" i="80" l="1"/>
  <c r="L9" i="80" s="1"/>
  <c r="O9" i="80" s="1"/>
  <c r="N8" i="80"/>
  <c r="L8" i="80" s="1"/>
  <c r="O8" i="80" s="1"/>
  <c r="C32" i="5" l="1"/>
  <c r="C10" i="5" l="1"/>
  <c r="C35" i="5"/>
  <c r="J8" i="1" s="1"/>
  <c r="F10" i="5" l="1"/>
  <c r="B3" i="71"/>
  <c r="L33" i="74" l="1"/>
  <c r="L32" i="83" l="1"/>
  <c r="I181" i="1" l="1"/>
  <c r="L37" i="80"/>
  <c r="L35" i="79"/>
  <c r="N29" i="83" l="1"/>
  <c r="L29" i="83" s="1"/>
  <c r="O29" i="83" l="1"/>
  <c r="F9" i="5" l="1"/>
  <c r="N24" i="83" l="1"/>
  <c r="L24" i="83" s="1"/>
  <c r="O24" i="83" l="1"/>
  <c r="I4" i="80" l="1"/>
  <c r="I4" i="83"/>
  <c r="I4" i="79"/>
  <c r="I4" i="74"/>
  <c r="D41" i="5"/>
  <c r="D38" i="5"/>
  <c r="D35" i="5"/>
  <c r="D32" i="5"/>
  <c r="D29" i="5"/>
  <c r="D26" i="5"/>
  <c r="R22" i="74" l="1"/>
  <c r="R23" i="74"/>
  <c r="T9" i="74"/>
  <c r="T23" i="74"/>
  <c r="T22" i="74"/>
  <c r="R29" i="83"/>
  <c r="R9" i="74"/>
  <c r="T24" i="83"/>
  <c r="T29" i="83"/>
  <c r="R24" i="83"/>
  <c r="R23" i="83"/>
  <c r="F37" i="80"/>
  <c r="F33" i="74"/>
  <c r="F39" i="80"/>
  <c r="F38" i="80"/>
  <c r="F29" i="5" l="1"/>
  <c r="B9" i="71" l="1"/>
  <c r="B7" i="71"/>
  <c r="B6" i="71"/>
  <c r="B5" i="71"/>
  <c r="B4" i="71"/>
  <c r="B2" i="71"/>
  <c r="B24" i="71"/>
  <c r="B20" i="71"/>
  <c r="B16" i="71" l="1"/>
  <c r="B12" i="71"/>
  <c r="Q3" i="83" l="1"/>
  <c r="R2" i="83"/>
  <c r="P2" i="83"/>
  <c r="O2" i="83"/>
  <c r="Q3" i="79"/>
  <c r="R2" i="79"/>
  <c r="P2" i="79"/>
  <c r="O2" i="79"/>
  <c r="D44" i="5" l="1"/>
  <c r="D47" i="5"/>
  <c r="W2" i="74" s="1"/>
  <c r="H35" i="74" l="1"/>
  <c r="H34" i="74"/>
  <c r="H33" i="74"/>
  <c r="H37" i="79"/>
  <c r="H36" i="79"/>
  <c r="H35" i="79"/>
  <c r="H33" i="83"/>
  <c r="H32" i="83"/>
  <c r="H34" i="83"/>
  <c r="R21" i="74" l="1"/>
  <c r="R20" i="74"/>
  <c r="R19" i="74"/>
  <c r="T6" i="74"/>
  <c r="T21" i="74"/>
  <c r="T20" i="74"/>
  <c r="T19" i="74"/>
  <c r="V2" i="83"/>
  <c r="V2" i="79"/>
  <c r="R33" i="79"/>
  <c r="U2" i="83"/>
  <c r="U2" i="79"/>
  <c r="T30" i="83"/>
  <c r="T13" i="74"/>
  <c r="T21" i="79"/>
  <c r="R16" i="83"/>
  <c r="T8" i="79"/>
  <c r="T25" i="79"/>
  <c r="T11" i="83"/>
  <c r="T26" i="79"/>
  <c r="T14" i="83"/>
  <c r="T11" i="79"/>
  <c r="T34" i="79"/>
  <c r="T15" i="83"/>
  <c r="R18" i="83"/>
  <c r="T12" i="83"/>
  <c r="T27" i="79"/>
  <c r="T10" i="79"/>
  <c r="R8" i="83"/>
  <c r="T26" i="83"/>
  <c r="T9" i="79"/>
  <c r="R15" i="83"/>
  <c r="T31" i="83"/>
  <c r="T17" i="79"/>
  <c r="T28" i="79"/>
  <c r="R26" i="83"/>
  <c r="T19" i="83"/>
  <c r="T18" i="79"/>
  <c r="T29" i="79"/>
  <c r="R27" i="83"/>
  <c r="T20" i="83"/>
  <c r="T19" i="79"/>
  <c r="R30" i="83"/>
  <c r="T22" i="83"/>
  <c r="T12" i="79"/>
  <c r="T20" i="79"/>
  <c r="R6" i="83"/>
  <c r="T9" i="83"/>
  <c r="T23" i="83"/>
  <c r="T27" i="83"/>
  <c r="T28" i="83"/>
  <c r="R9" i="83"/>
  <c r="R19" i="83"/>
  <c r="R31" i="83"/>
  <c r="T7" i="79"/>
  <c r="T22" i="79"/>
  <c r="T30" i="79"/>
  <c r="R11" i="83"/>
  <c r="R20" i="83"/>
  <c r="T6" i="83"/>
  <c r="T16" i="83"/>
  <c r="T6" i="79"/>
  <c r="T15" i="79"/>
  <c r="T23" i="79"/>
  <c r="T31" i="79"/>
  <c r="R12" i="83"/>
  <c r="R22" i="83"/>
  <c r="T7" i="83"/>
  <c r="T17" i="83"/>
  <c r="T13" i="79"/>
  <c r="T16" i="79"/>
  <c r="T24" i="79"/>
  <c r="T33" i="79"/>
  <c r="R14" i="83"/>
  <c r="T8" i="83"/>
  <c r="T18" i="83"/>
  <c r="R7" i="83"/>
  <c r="R17" i="83"/>
  <c r="R28" i="83"/>
  <c r="R12" i="79"/>
  <c r="R34" i="79"/>
  <c r="R19" i="79"/>
  <c r="R28" i="79"/>
  <c r="R8" i="79"/>
  <c r="R21" i="79"/>
  <c r="R29" i="79"/>
  <c r="R25" i="79"/>
  <c r="R18" i="79"/>
  <c r="R10" i="79"/>
  <c r="R20" i="79"/>
  <c r="R7" i="79"/>
  <c r="R22" i="79"/>
  <c r="R30" i="79"/>
  <c r="R17" i="79"/>
  <c r="R11" i="79"/>
  <c r="R26" i="79"/>
  <c r="R27" i="79"/>
  <c r="R6" i="79"/>
  <c r="R15" i="79"/>
  <c r="R23" i="79"/>
  <c r="R31" i="79"/>
  <c r="R9" i="79"/>
  <c r="R13" i="79"/>
  <c r="R16" i="79"/>
  <c r="R24" i="79"/>
  <c r="F17" i="5"/>
  <c r="F15" i="5" l="1"/>
  <c r="R28" i="74"/>
  <c r="R14" i="74"/>
  <c r="R26" i="74"/>
  <c r="R15" i="74"/>
  <c r="R13" i="74"/>
  <c r="R25" i="74"/>
  <c r="R12" i="74"/>
  <c r="R8" i="74"/>
  <c r="R27" i="74"/>
  <c r="R17" i="74"/>
  <c r="R10" i="74"/>
  <c r="R16" i="74"/>
  <c r="R7" i="74"/>
  <c r="R6" i="74"/>
  <c r="U2" i="74"/>
  <c r="V2" i="74"/>
  <c r="T16" i="74"/>
  <c r="T7" i="74"/>
  <c r="T28" i="74"/>
  <c r="T27" i="74"/>
  <c r="T12" i="74"/>
  <c r="T26" i="74"/>
  <c r="T15" i="74"/>
  <c r="T25" i="74"/>
  <c r="T14" i="74"/>
  <c r="T8" i="74"/>
  <c r="T10" i="74"/>
  <c r="T17" i="74"/>
  <c r="O2" i="74" l="1"/>
  <c r="N31" i="83" l="1"/>
  <c r="L31" i="83" s="1"/>
  <c r="N19" i="83"/>
  <c r="L19" i="83" s="1"/>
  <c r="N9" i="83"/>
  <c r="N30" i="83"/>
  <c r="L30" i="83" s="1"/>
  <c r="N8" i="83"/>
  <c r="N28" i="83"/>
  <c r="L28" i="83" s="1"/>
  <c r="N17" i="83"/>
  <c r="L17" i="83" s="1"/>
  <c r="N7" i="83"/>
  <c r="N16" i="83"/>
  <c r="L16" i="83" s="1"/>
  <c r="N26" i="83"/>
  <c r="L26" i="83" s="1"/>
  <c r="N15" i="83"/>
  <c r="L15" i="83" s="1"/>
  <c r="N22" i="83"/>
  <c r="L22" i="83" s="1"/>
  <c r="N20" i="83"/>
  <c r="L20" i="83" s="1"/>
  <c r="N11" i="83"/>
  <c r="L11" i="83" s="1"/>
  <c r="O22" i="83" l="1"/>
  <c r="L8" i="83"/>
  <c r="O8" i="83" s="1"/>
  <c r="L9" i="83"/>
  <c r="O9" i="83" s="1"/>
  <c r="O30" i="83"/>
  <c r="O31" i="83"/>
  <c r="O11" i="83"/>
  <c r="L7" i="83"/>
  <c r="O7" i="83" s="1"/>
  <c r="O20" i="83"/>
  <c r="O19" i="83"/>
  <c r="O17" i="83"/>
  <c r="F13" i="5"/>
  <c r="O28" i="83" l="1"/>
  <c r="O26" i="83"/>
  <c r="O16" i="83"/>
  <c r="O15" i="83"/>
  <c r="R2" i="74" l="1"/>
  <c r="Q3" i="74"/>
  <c r="P2" i="74"/>
  <c r="G14" i="5" l="1"/>
  <c r="G9" i="5"/>
  <c r="G5" i="5"/>
  <c r="N36" i="80" l="1"/>
  <c r="L36" i="80" s="1"/>
  <c r="O36" i="80" s="1"/>
  <c r="N35" i="80"/>
  <c r="L35" i="80" s="1"/>
  <c r="O35" i="80" s="1"/>
  <c r="N34" i="80"/>
  <c r="L34" i="80" s="1"/>
  <c r="O34" i="80" s="1"/>
  <c r="N33" i="80"/>
  <c r="L33" i="80" s="1"/>
  <c r="O33" i="80" s="1"/>
  <c r="N31" i="80"/>
  <c r="L31" i="80" s="1"/>
  <c r="O31" i="80" s="1"/>
  <c r="N28" i="80"/>
  <c r="L28" i="80" s="1"/>
  <c r="O28" i="80" s="1"/>
  <c r="N27" i="80"/>
  <c r="L27" i="80" s="1"/>
  <c r="O27" i="80" s="1"/>
  <c r="N30" i="80"/>
  <c r="L30" i="80" s="1"/>
  <c r="O30" i="80" s="1"/>
  <c r="N26" i="80"/>
  <c r="L26" i="80" s="1"/>
  <c r="O26" i="80" s="1"/>
  <c r="N32" i="80"/>
  <c r="L32" i="80" s="1"/>
  <c r="O32" i="80" s="1"/>
  <c r="F8" i="5" l="1"/>
  <c r="H14" i="5" l="1"/>
  <c r="H5" i="5"/>
  <c r="N11" i="80" l="1"/>
  <c r="L11" i="80" s="1"/>
  <c r="O11" i="80" s="1"/>
  <c r="N23" i="74"/>
  <c r="L23" i="74" s="1"/>
  <c r="O23" i="74" s="1"/>
  <c r="N22" i="74"/>
  <c r="L22" i="74" s="1"/>
  <c r="O22" i="74" s="1"/>
  <c r="N6" i="83"/>
  <c r="L6" i="83" s="1"/>
  <c r="O6" i="83" s="1"/>
  <c r="N14" i="83"/>
  <c r="L14" i="83" s="1"/>
  <c r="O14" i="83" s="1"/>
  <c r="N27" i="83"/>
  <c r="L27" i="83" s="1"/>
  <c r="O27" i="83" s="1"/>
  <c r="N18" i="83"/>
  <c r="L18" i="83" s="1"/>
  <c r="O18" i="83" s="1"/>
  <c r="N23" i="83"/>
  <c r="L23" i="83" s="1"/>
  <c r="O23" i="83" s="1"/>
  <c r="N12" i="83"/>
  <c r="L12" i="83" s="1"/>
  <c r="O12" i="83" s="1"/>
  <c r="N29" i="80"/>
  <c r="L29" i="80" s="1"/>
  <c r="O29" i="80" s="1"/>
  <c r="N30" i="79"/>
  <c r="N21" i="79"/>
  <c r="N17" i="79"/>
  <c r="N24" i="79"/>
  <c r="N31" i="79"/>
  <c r="N22" i="79"/>
  <c r="N12" i="79"/>
  <c r="N27" i="79"/>
  <c r="N8" i="79"/>
  <c r="N16" i="79"/>
  <c r="N19" i="79"/>
  <c r="N10" i="79"/>
  <c r="N34" i="79"/>
  <c r="N23" i="79"/>
  <c r="N13" i="79"/>
  <c r="N7" i="79"/>
  <c r="L7" i="79" s="1"/>
  <c r="N15" i="79"/>
  <c r="L15" i="79" s="1"/>
  <c r="N18" i="79"/>
  <c r="N26" i="79"/>
  <c r="N28" i="79"/>
  <c r="N6" i="79"/>
  <c r="N20" i="79"/>
  <c r="N9" i="79"/>
  <c r="N29" i="79"/>
  <c r="N25" i="79"/>
  <c r="N33" i="79"/>
  <c r="L33" i="79" s="1"/>
  <c r="N11" i="79"/>
  <c r="N9" i="74"/>
  <c r="N17" i="74"/>
  <c r="L17" i="74" s="1"/>
  <c r="N12" i="74"/>
  <c r="L12" i="74" s="1"/>
  <c r="N13" i="74"/>
  <c r="L13" i="74" s="1"/>
  <c r="N16" i="74"/>
  <c r="L16" i="74" s="1"/>
  <c r="N25" i="74"/>
  <c r="N26" i="74"/>
  <c r="N27" i="74"/>
  <c r="L27" i="74" s="1"/>
  <c r="N28" i="74"/>
  <c r="L28" i="74" s="1"/>
  <c r="N6" i="74"/>
  <c r="N7" i="74"/>
  <c r="L7" i="74" s="1"/>
  <c r="N14" i="74"/>
  <c r="L14" i="74" s="1"/>
  <c r="N15" i="74"/>
  <c r="L15" i="74" s="1"/>
  <c r="N8" i="74"/>
  <c r="N10" i="74"/>
  <c r="N19" i="74"/>
  <c r="N20" i="74"/>
  <c r="L20" i="74" s="1"/>
  <c r="N21" i="74"/>
  <c r="N21" i="80"/>
  <c r="L21" i="80" s="1"/>
  <c r="N14" i="80"/>
  <c r="L14" i="80" s="1"/>
  <c r="O14" i="80" s="1"/>
  <c r="N13" i="80"/>
  <c r="L13" i="80" s="1"/>
  <c r="O13" i="80" s="1"/>
  <c r="N18" i="80"/>
  <c r="L18" i="80" s="1"/>
  <c r="N31" i="74"/>
  <c r="L31" i="74" s="1"/>
  <c r="N15" i="80"/>
  <c r="L15" i="80" s="1"/>
  <c r="O15" i="80" s="1"/>
  <c r="N22" i="80"/>
  <c r="L22" i="80" s="1"/>
  <c r="N23" i="80"/>
  <c r="L23" i="80" s="1"/>
  <c r="N32" i="74"/>
  <c r="L32" i="74" s="1"/>
  <c r="N16" i="80"/>
  <c r="L16" i="80" s="1"/>
  <c r="O16" i="80" s="1"/>
  <c r="N19" i="80"/>
  <c r="L19" i="80" s="1"/>
  <c r="N20" i="80"/>
  <c r="L20" i="80" s="1"/>
  <c r="N7" i="80"/>
  <c r="L7" i="80" s="1"/>
  <c r="O7" i="80" s="1"/>
  <c r="N25" i="80"/>
  <c r="L25" i="80" s="1"/>
  <c r="O25" i="80" s="1"/>
  <c r="N30" i="74"/>
  <c r="L30" i="74" s="1"/>
  <c r="N6" i="80"/>
  <c r="L6" i="80" s="1"/>
  <c r="O6" i="80" s="1"/>
  <c r="L21" i="74" l="1"/>
  <c r="L26" i="74"/>
  <c r="L25" i="74"/>
  <c r="L10" i="74"/>
  <c r="L19" i="74"/>
  <c r="L8" i="74"/>
  <c r="L6" i="74"/>
  <c r="L9" i="74"/>
  <c r="L6" i="79"/>
  <c r="B21" i="71"/>
  <c r="L28" i="79"/>
  <c r="L10" i="79"/>
  <c r="L24" i="79"/>
  <c r="L11" i="79"/>
  <c r="L26" i="79"/>
  <c r="L19" i="79"/>
  <c r="L17" i="79"/>
  <c r="L18" i="79"/>
  <c r="L16" i="79"/>
  <c r="L21" i="79"/>
  <c r="L25" i="79"/>
  <c r="L8" i="79"/>
  <c r="L30" i="79"/>
  <c r="L29" i="79"/>
  <c r="L27" i="79"/>
  <c r="L9" i="79"/>
  <c r="L13" i="79"/>
  <c r="L12" i="79"/>
  <c r="L20" i="79"/>
  <c r="L23" i="79"/>
  <c r="L22" i="79"/>
  <c r="L34" i="79"/>
  <c r="L31" i="79"/>
  <c r="O28" i="74"/>
  <c r="O7" i="74"/>
  <c r="O32" i="74"/>
  <c r="O31" i="74"/>
  <c r="O30" i="74"/>
  <c r="O6" i="79" l="1"/>
  <c r="O25" i="74"/>
  <c r="O26" i="74"/>
  <c r="O15" i="74"/>
  <c r="O13" i="74"/>
  <c r="O17" i="74"/>
  <c r="O14" i="74"/>
  <c r="O12" i="74"/>
  <c r="O21" i="80"/>
  <c r="O27" i="74"/>
  <c r="O24" i="79"/>
  <c r="O6" i="74"/>
  <c r="O16" i="79"/>
  <c r="O21" i="79"/>
  <c r="O12" i="79"/>
  <c r="O30" i="79"/>
  <c r="O18" i="79"/>
  <c r="O10" i="79"/>
  <c r="O13" i="79"/>
  <c r="O8" i="79"/>
  <c r="O33" i="79"/>
  <c r="O28" i="79"/>
  <c r="O22" i="79"/>
  <c r="O9" i="79"/>
  <c r="O15" i="79"/>
  <c r="O17" i="79"/>
  <c r="O23" i="79"/>
  <c r="O25" i="79"/>
  <c r="O19" i="79"/>
  <c r="O31" i="79"/>
  <c r="O20" i="79"/>
  <c r="O27" i="79"/>
  <c r="O16" i="74"/>
  <c r="O26" i="79"/>
  <c r="O34" i="79"/>
  <c r="O29" i="79"/>
  <c r="O11" i="79"/>
  <c r="O7" i="79"/>
  <c r="O9" i="74"/>
  <c r="O19" i="80"/>
  <c r="O20" i="80"/>
  <c r="O23" i="80"/>
  <c r="O18" i="80"/>
  <c r="O8" i="74"/>
  <c r="O10" i="74"/>
  <c r="O22" i="80"/>
  <c r="O19" i="74"/>
  <c r="O20" i="74"/>
  <c r="O21" i="74"/>
  <c r="B17" i="71" l="1"/>
  <c r="B25" i="71"/>
  <c r="B13" i="71"/>
  <c r="W32" i="83"/>
  <c r="C38" i="71"/>
  <c r="D15" i="5"/>
  <c r="C29" i="5"/>
  <c r="C44" i="5" l="1"/>
  <c r="D56" i="5" s="1"/>
  <c r="N3" i="80"/>
  <c r="L4" i="74"/>
  <c r="L4" i="79"/>
  <c r="N2" i="74"/>
  <c r="N2" i="83"/>
  <c r="L4" i="83"/>
  <c r="C38" i="5"/>
  <c r="N2" i="79"/>
  <c r="I8" i="1"/>
  <c r="C41" i="5"/>
  <c r="C26" i="5"/>
  <c r="F33" i="5"/>
  <c r="B27" i="71"/>
  <c r="B8" i="71"/>
  <c r="S2" i="83" l="1"/>
  <c r="R3" i="74"/>
  <c r="R3" i="79"/>
  <c r="D50" i="5"/>
  <c r="S2" i="79"/>
  <c r="S2" i="74"/>
  <c r="R3" i="83"/>
  <c r="F232" i="1"/>
  <c r="AD6" i="79"/>
  <c r="F222" i="1"/>
  <c r="F141" i="1"/>
  <c r="F149" i="1"/>
  <c r="F125" i="1"/>
  <c r="F199" i="1"/>
  <c r="F156" i="1"/>
  <c r="F127" i="1"/>
  <c r="F211" i="1"/>
  <c r="F166" i="1"/>
  <c r="G88" i="1"/>
  <c r="D148" i="1"/>
  <c r="C45" i="1"/>
  <c r="G254" i="1"/>
  <c r="F100" i="1"/>
  <c r="F77" i="1"/>
  <c r="G97" i="1"/>
  <c r="C183" i="1"/>
  <c r="F16" i="1"/>
  <c r="E151" i="1"/>
  <c r="D137" i="1"/>
  <c r="E201" i="1"/>
  <c r="Z23" i="74"/>
  <c r="G58" i="1"/>
  <c r="AD8" i="83"/>
  <c r="C239" i="1"/>
  <c r="G221" i="1"/>
  <c r="D61" i="1"/>
  <c r="G77" i="1"/>
  <c r="E161" i="1"/>
  <c r="C226" i="1"/>
  <c r="D239" i="1"/>
  <c r="E248" i="1"/>
  <c r="E130" i="1"/>
  <c r="F34" i="79"/>
  <c r="D215" i="1"/>
  <c r="D252" i="1"/>
  <c r="X6" i="79"/>
  <c r="F223" i="1"/>
  <c r="F138" i="1"/>
  <c r="Z6" i="83"/>
  <c r="F196" i="1"/>
  <c r="F247" i="1"/>
  <c r="F236" i="1"/>
  <c r="F147" i="1"/>
  <c r="Z6" i="79"/>
  <c r="F148" i="1"/>
  <c r="F203" i="1"/>
  <c r="F226" i="1"/>
  <c r="F251" i="1"/>
  <c r="F212" i="1"/>
  <c r="F115" i="1"/>
  <c r="F174" i="1"/>
  <c r="F235" i="1"/>
  <c r="D149" i="1"/>
  <c r="D236" i="1"/>
  <c r="X18" i="83"/>
  <c r="J20" i="83"/>
  <c r="D240" i="1"/>
  <c r="G119" i="1"/>
  <c r="M31" i="74"/>
  <c r="J25" i="80"/>
  <c r="Z22" i="74"/>
  <c r="G29" i="1"/>
  <c r="AD20" i="79"/>
  <c r="J10" i="79"/>
  <c r="I27" i="79"/>
  <c r="E59" i="1"/>
  <c r="W7" i="74"/>
  <c r="C180" i="1"/>
  <c r="G85" i="1"/>
  <c r="M32" i="80"/>
  <c r="X20" i="79"/>
  <c r="G14" i="1"/>
  <c r="E19" i="1"/>
  <c r="C223" i="1"/>
  <c r="J26" i="79"/>
  <c r="G168" i="1"/>
  <c r="D173" i="1"/>
  <c r="J24" i="83"/>
  <c r="AB6" i="79"/>
  <c r="F234" i="1"/>
  <c r="F140" i="1"/>
  <c r="F225" i="1"/>
  <c r="F135" i="1"/>
  <c r="F248" i="1"/>
  <c r="F253" i="1"/>
  <c r="F229" i="1"/>
  <c r="F210" i="1"/>
  <c r="F180" i="1"/>
  <c r="F163" i="1"/>
  <c r="F177" i="1"/>
  <c r="AC6" i="74"/>
  <c r="F215" i="1"/>
  <c r="F237" i="1"/>
  <c r="AD6" i="74"/>
  <c r="F170" i="1"/>
  <c r="F6" i="79"/>
  <c r="F132" i="1"/>
  <c r="D141" i="1"/>
  <c r="C119" i="1"/>
  <c r="AA26" i="83"/>
  <c r="E208" i="1"/>
  <c r="D40" i="1"/>
  <c r="G19" i="79"/>
  <c r="D21" i="1"/>
  <c r="C227" i="1"/>
  <c r="F29" i="79"/>
  <c r="D107" i="1"/>
  <c r="G138" i="1"/>
  <c r="G131" i="1"/>
  <c r="AA23" i="74"/>
  <c r="F48" i="1"/>
  <c r="C48" i="1"/>
  <c r="F90" i="1"/>
  <c r="G9" i="83"/>
  <c r="D160" i="1"/>
  <c r="C138" i="1"/>
  <c r="W29" i="83"/>
  <c r="G210" i="1"/>
  <c r="E185" i="1"/>
  <c r="F33" i="1"/>
  <c r="C243" i="1"/>
  <c r="K34" i="80"/>
  <c r="E115" i="1"/>
  <c r="G12" i="1"/>
  <c r="F146" i="1"/>
  <c r="F188" i="1"/>
  <c r="F204" i="1"/>
  <c r="F162" i="1"/>
  <c r="F190" i="1"/>
  <c r="F119" i="1"/>
  <c r="W6" i="79"/>
  <c r="F136" i="1"/>
  <c r="F153" i="1"/>
  <c r="F233" i="1"/>
  <c r="F120" i="1"/>
  <c r="F238" i="1"/>
  <c r="F218" i="1"/>
  <c r="F131" i="1"/>
  <c r="F202" i="1"/>
  <c r="F157" i="1"/>
  <c r="C182" i="1"/>
  <c r="G191" i="1"/>
  <c r="G18" i="79"/>
  <c r="M10" i="79"/>
  <c r="K29" i="79"/>
  <c r="J6" i="80"/>
  <c r="Y7" i="79"/>
  <c r="C60" i="1"/>
  <c r="G17" i="83"/>
  <c r="D226" i="1"/>
  <c r="D154" i="1"/>
  <c r="K26" i="83"/>
  <c r="G167" i="1"/>
  <c r="G195" i="1"/>
  <c r="M12" i="79"/>
  <c r="D23" i="1"/>
  <c r="G187" i="1"/>
  <c r="M35" i="80"/>
  <c r="F30" i="79"/>
  <c r="J23" i="79"/>
  <c r="F107" i="1"/>
  <c r="F178" i="1"/>
  <c r="F207" i="1"/>
  <c r="F258" i="1"/>
  <c r="F245" i="1"/>
  <c r="F161" i="1"/>
  <c r="F176" i="1"/>
  <c r="F116" i="1"/>
  <c r="F129" i="1"/>
  <c r="F128" i="1"/>
  <c r="F241" i="1"/>
  <c r="F130" i="1" a="1"/>
  <c r="F130" i="1" s="1"/>
  <c r="F231" i="1"/>
  <c r="F167" i="1"/>
  <c r="F186" i="1"/>
  <c r="Y6" i="74"/>
  <c r="F194" i="1"/>
  <c r="F209" i="1"/>
  <c r="Y6" i="83"/>
  <c r="K9" i="83"/>
  <c r="X33" i="79"/>
  <c r="F61" i="1"/>
  <c r="M26" i="79"/>
  <c r="I7" i="80"/>
  <c r="K8" i="83"/>
  <c r="F67" i="1"/>
  <c r="F32" i="74"/>
  <c r="H14" i="80"/>
  <c r="G32" i="74"/>
  <c r="F66" i="1"/>
  <c r="E152" i="1"/>
  <c r="G161" i="1"/>
  <c r="I31" i="74"/>
  <c r="C109" i="1"/>
  <c r="C215" i="1"/>
  <c r="G46" i="1"/>
  <c r="G122" i="1"/>
  <c r="G190" i="1"/>
  <c r="D62" i="1"/>
  <c r="F19" i="80"/>
  <c r="F165" i="1"/>
  <c r="F243" i="1"/>
  <c r="F242" i="1"/>
  <c r="AB6" i="83"/>
  <c r="F230" i="1"/>
  <c r="F244" i="1"/>
  <c r="F198" i="1"/>
  <c r="F259" i="1"/>
  <c r="F220" i="1"/>
  <c r="F121" i="1"/>
  <c r="F189" i="1"/>
  <c r="F145" i="1"/>
  <c r="F214" i="1"/>
  <c r="F126" i="1"/>
  <c r="F195" i="1"/>
  <c r="D129" i="1"/>
  <c r="C105" i="1"/>
  <c r="X9" i="83"/>
  <c r="Y20" i="79"/>
  <c r="C76" i="1"/>
  <c r="D153" i="1"/>
  <c r="C221" i="1"/>
  <c r="F58" i="1"/>
  <c r="C217" i="1"/>
  <c r="G27" i="74"/>
  <c r="M24" i="83"/>
  <c r="E187" i="1"/>
  <c r="D177" i="1"/>
  <c r="G40" i="1"/>
  <c r="G156" i="1"/>
  <c r="I23" i="83"/>
  <c r="D64" i="1"/>
  <c r="G257" i="1"/>
  <c r="F93" i="1"/>
  <c r="F28" i="80"/>
  <c r="E84" i="1"/>
  <c r="F175" i="1"/>
  <c r="F137" i="1"/>
  <c r="F217" i="1"/>
  <c r="F124" i="1"/>
  <c r="F208" i="1"/>
  <c r="F255" i="1"/>
  <c r="Z6" i="74"/>
  <c r="F133" i="1"/>
  <c r="F221" i="1"/>
  <c r="F179" i="1"/>
  <c r="F6" i="74"/>
  <c r="F134" i="1"/>
  <c r="F152" i="1"/>
  <c r="F144" i="1"/>
  <c r="F159" i="1"/>
  <c r="F201" i="1"/>
  <c r="F191" i="1"/>
  <c r="C233" i="1"/>
  <c r="M28" i="74"/>
  <c r="G78" i="1"/>
  <c r="AC10" i="74"/>
  <c r="Z29" i="79"/>
  <c r="E32" i="1"/>
  <c r="D176" i="1"/>
  <c r="J13" i="79"/>
  <c r="Y18" i="79"/>
  <c r="W22" i="74"/>
  <c r="F16" i="74"/>
  <c r="G90" i="1"/>
  <c r="C162" i="1"/>
  <c r="C166" i="1"/>
  <c r="G24" i="79"/>
  <c r="G50" i="1"/>
  <c r="J6" i="79"/>
  <c r="E23" i="1"/>
  <c r="D192" i="1"/>
  <c r="G44" i="1"/>
  <c r="D30" i="1"/>
  <c r="F240" i="1"/>
  <c r="F254" i="1"/>
  <c r="F171" i="1"/>
  <c r="F154" i="1"/>
  <c r="AA6" i="79"/>
  <c r="F118" i="1"/>
  <c r="H118" i="1" s="1"/>
  <c r="F193" i="1"/>
  <c r="F151" i="1"/>
  <c r="F197" i="1"/>
  <c r="F228" i="1"/>
  <c r="F213" i="1"/>
  <c r="F168" i="1"/>
  <c r="F256" i="1"/>
  <c r="F123" i="1"/>
  <c r="F257" i="1"/>
  <c r="F216" i="1"/>
  <c r="F249" i="1"/>
  <c r="AB6" i="74"/>
  <c r="F6" i="80"/>
  <c r="F200" i="1"/>
  <c r="F206" i="1"/>
  <c r="F224" i="1"/>
  <c r="F142" i="1"/>
  <c r="F173" i="1"/>
  <c r="F155" i="1"/>
  <c r="K31" i="79"/>
  <c r="AD23" i="83"/>
  <c r="D211" i="1"/>
  <c r="W23" i="74"/>
  <c r="G189" i="1"/>
  <c r="K10" i="74"/>
  <c r="G201" i="1"/>
  <c r="J31" i="79"/>
  <c r="C151" i="1"/>
  <c r="D115" i="1"/>
  <c r="D59" i="1"/>
  <c r="W21" i="74"/>
  <c r="G146" i="1"/>
  <c r="D139" i="1"/>
  <c r="K27" i="79"/>
  <c r="G135" i="1"/>
  <c r="D123" i="1"/>
  <c r="D143" i="1"/>
  <c r="G104" i="1"/>
  <c r="E220" i="1"/>
  <c r="K36" i="80"/>
  <c r="C238" i="1"/>
  <c r="D80" i="1"/>
  <c r="E12" i="1"/>
  <c r="E234" i="1"/>
  <c r="D82" i="1"/>
  <c r="F246" i="1"/>
  <c r="F192" i="1"/>
  <c r="F252" i="1"/>
  <c r="F158" i="1"/>
  <c r="F250" i="1"/>
  <c r="F139" i="1"/>
  <c r="F160" i="1"/>
  <c r="F117" i="1"/>
  <c r="W6" i="74"/>
  <c r="AA6" i="83"/>
  <c r="F183" i="1"/>
  <c r="G238" i="1"/>
  <c r="G126" i="1"/>
  <c r="E259" i="1"/>
  <c r="I30" i="83"/>
  <c r="M29" i="79"/>
  <c r="G183" i="1"/>
  <c r="C171" i="1"/>
  <c r="M6" i="79"/>
  <c r="G35" i="1"/>
  <c r="X12" i="83"/>
  <c r="J18" i="80"/>
  <c r="D142" i="1"/>
  <c r="D156" i="1"/>
  <c r="G151" i="1"/>
  <c r="C259" i="1"/>
  <c r="I14" i="74"/>
  <c r="C161" i="1"/>
  <c r="G120" i="1"/>
  <c r="G64" i="1"/>
  <c r="M19" i="83"/>
  <c r="G86" i="1"/>
  <c r="Y26" i="83"/>
  <c r="D202" i="1"/>
  <c r="J30" i="79"/>
  <c r="AC23" i="74"/>
  <c r="Y11" i="79"/>
  <c r="G207" i="1"/>
  <c r="C54" i="1"/>
  <c r="D195" i="1"/>
  <c r="E80" i="1"/>
  <c r="D161" i="1"/>
  <c r="E49" i="1"/>
  <c r="D214" i="1"/>
  <c r="C193" i="1"/>
  <c r="D248" i="1"/>
  <c r="C128" i="1"/>
  <c r="C156" i="1"/>
  <c r="AB28" i="79"/>
  <c r="Z11" i="79"/>
  <c r="AD11" i="79"/>
  <c r="I6" i="80"/>
  <c r="G8" i="79"/>
  <c r="C254" i="1"/>
  <c r="W21" i="79"/>
  <c r="F64" i="1"/>
  <c r="K17" i="79"/>
  <c r="E223" i="1"/>
  <c r="F53" i="1"/>
  <c r="E209" i="1"/>
  <c r="D189" i="1"/>
  <c r="F17" i="83"/>
  <c r="D104" i="1"/>
  <c r="D13" i="1"/>
  <c r="G216" i="1"/>
  <c r="G192" i="1"/>
  <c r="D145" i="1"/>
  <c r="M7" i="79"/>
  <c r="C104" i="1"/>
  <c r="J28" i="74"/>
  <c r="I15" i="83"/>
  <c r="X8" i="83"/>
  <c r="F99" i="1"/>
  <c r="D79" i="1"/>
  <c r="C73" i="1"/>
  <c r="G96" i="1"/>
  <c r="D25" i="1"/>
  <c r="M6" i="74"/>
  <c r="AD16" i="79"/>
  <c r="F68" i="1"/>
  <c r="D212" i="1"/>
  <c r="D196" i="1"/>
  <c r="W17" i="79"/>
  <c r="AB22" i="74"/>
  <c r="H35" i="80"/>
  <c r="E255" i="1"/>
  <c r="I22" i="79"/>
  <c r="Y10" i="79"/>
  <c r="C89" i="1"/>
  <c r="AD26" i="83"/>
  <c r="F185" i="1"/>
  <c r="X6" i="83"/>
  <c r="F172" i="1"/>
  <c r="F6" i="83"/>
  <c r="G20" i="83"/>
  <c r="G173" i="1"/>
  <c r="W27" i="74"/>
  <c r="D251" i="1"/>
  <c r="C116" i="1"/>
  <c r="G153" i="1"/>
  <c r="C247" i="1"/>
  <c r="I18" i="83"/>
  <c r="G59" i="1"/>
  <c r="C123" i="1"/>
  <c r="D73" i="1"/>
  <c r="E135" i="1"/>
  <c r="F110" i="1"/>
  <c r="C245" i="1"/>
  <c r="G37" i="1"/>
  <c r="G208" i="1"/>
  <c r="G143" i="1"/>
  <c r="X15" i="79"/>
  <c r="F26" i="80"/>
  <c r="E37" i="1"/>
  <c r="K9" i="79"/>
  <c r="C143" i="1"/>
  <c r="E238" i="1"/>
  <c r="F3" i="74"/>
  <c r="E166" i="1"/>
  <c r="I8" i="74"/>
  <c r="G51" i="1"/>
  <c r="C79" i="1"/>
  <c r="K6" i="79"/>
  <c r="D100" i="1"/>
  <c r="D157" i="1"/>
  <c r="F20" i="80"/>
  <c r="AA7" i="79"/>
  <c r="AD30" i="83"/>
  <c r="C163" i="1"/>
  <c r="D70" i="1"/>
  <c r="G206" i="1"/>
  <c r="K28" i="83"/>
  <c r="F9" i="83"/>
  <c r="AA30" i="79"/>
  <c r="J30" i="80"/>
  <c r="D46" i="1"/>
  <c r="G13" i="74"/>
  <c r="G245" i="1"/>
  <c r="M22" i="79"/>
  <c r="F76" i="1"/>
  <c r="C188" i="1"/>
  <c r="E227" i="1"/>
  <c r="F105" i="1"/>
  <c r="E168" i="1"/>
  <c r="G218" i="1"/>
  <c r="I14" i="80"/>
  <c r="M9" i="83"/>
  <c r="G148" i="1"/>
  <c r="D249" i="1"/>
  <c r="K22" i="79"/>
  <c r="G184" i="1"/>
  <c r="F30" i="83"/>
  <c r="K22" i="80"/>
  <c r="F31" i="80"/>
  <c r="D48" i="1"/>
  <c r="D33" i="1"/>
  <c r="J29" i="83"/>
  <c r="G54" i="1"/>
  <c r="G158" i="1"/>
  <c r="C258" i="1"/>
  <c r="G22" i="80"/>
  <c r="G177" i="1"/>
  <c r="C142" i="1"/>
  <c r="C242" i="1"/>
  <c r="F184" i="1"/>
  <c r="F187" i="1"/>
  <c r="K30" i="83"/>
  <c r="G12" i="74"/>
  <c r="C177" i="1"/>
  <c r="I18" i="80"/>
  <c r="G48" i="1"/>
  <c r="M17" i="79"/>
  <c r="C38" i="1"/>
  <c r="G160" i="1"/>
  <c r="D155" i="1"/>
  <c r="F49" i="1"/>
  <c r="E199" i="1"/>
  <c r="M7" i="83"/>
  <c r="E128" i="1"/>
  <c r="F95" i="1"/>
  <c r="I11" i="83"/>
  <c r="D218" i="1"/>
  <c r="G194" i="1"/>
  <c r="AD19" i="83"/>
  <c r="F14" i="1"/>
  <c r="G12" i="83"/>
  <c r="K21" i="79"/>
  <c r="I30" i="80"/>
  <c r="G140" i="1"/>
  <c r="D91" i="1"/>
  <c r="I17" i="80"/>
  <c r="I31" i="79"/>
  <c r="D180" i="1"/>
  <c r="AC8" i="74"/>
  <c r="F85" i="1" a="1"/>
  <c r="F85" i="1" s="1"/>
  <c r="G71" i="1"/>
  <c r="C55" i="1"/>
  <c r="H36" i="80"/>
  <c r="D219" i="1"/>
  <c r="G26" i="79"/>
  <c r="G36" i="80"/>
  <c r="G41" i="1"/>
  <c r="J8" i="80"/>
  <c r="C251" i="1"/>
  <c r="E257" i="1"/>
  <c r="D31" i="1"/>
  <c r="C144" i="1"/>
  <c r="Z18" i="79"/>
  <c r="G22" i="1"/>
  <c r="M21" i="80"/>
  <c r="E54" i="1"/>
  <c r="D152" i="1"/>
  <c r="F23" i="79"/>
  <c r="F92" i="1"/>
  <c r="C231" i="1"/>
  <c r="M6" i="83"/>
  <c r="M7" i="74"/>
  <c r="I9" i="79"/>
  <c r="G176" i="1"/>
  <c r="D131" i="1"/>
  <c r="C179" i="1"/>
  <c r="E33" i="1"/>
  <c r="E42" i="1"/>
  <c r="G121" i="1"/>
  <c r="C204" i="1"/>
  <c r="D245" i="1"/>
  <c r="C41" i="1"/>
  <c r="AB21" i="79"/>
  <c r="F11" i="79"/>
  <c r="F15" i="80"/>
  <c r="G129" i="1"/>
  <c r="C157" i="1"/>
  <c r="F28" i="83"/>
  <c r="G219" i="1"/>
  <c r="J32" i="80"/>
  <c r="AA6" i="74"/>
  <c r="F164" i="1"/>
  <c r="AD6" i="83"/>
  <c r="M30" i="83"/>
  <c r="D39" i="1"/>
  <c r="G95" i="1"/>
  <c r="C34" i="1"/>
  <c r="G166" i="1"/>
  <c r="AC7" i="74"/>
  <c r="M27" i="74"/>
  <c r="J32" i="74"/>
  <c r="X16" i="79"/>
  <c r="AB21" i="74"/>
  <c r="G81" i="1"/>
  <c r="G42" i="1"/>
  <c r="I31" i="80"/>
  <c r="G163" i="1"/>
  <c r="G222" i="1"/>
  <c r="D28" i="1"/>
  <c r="C211" i="1"/>
  <c r="I15" i="80"/>
  <c r="M27" i="83"/>
  <c r="M14" i="83"/>
  <c r="C121" i="1"/>
  <c r="G132" i="1"/>
  <c r="G231" i="1"/>
  <c r="G101" i="1"/>
  <c r="C236" i="1"/>
  <c r="D37" i="1"/>
  <c r="F24" i="83"/>
  <c r="E60" i="1"/>
  <c r="J15" i="83"/>
  <c r="M17" i="74"/>
  <c r="F150" i="1"/>
  <c r="H31" i="80"/>
  <c r="AB20" i="83"/>
  <c r="C173" i="1"/>
  <c r="K27" i="83"/>
  <c r="F69" i="1"/>
  <c r="K26" i="79"/>
  <c r="F89" i="1"/>
  <c r="M22" i="80"/>
  <c r="E213" i="1"/>
  <c r="D208" i="1"/>
  <c r="D225" i="1"/>
  <c r="G193" i="1"/>
  <c r="AC20" i="83"/>
  <c r="M15" i="83"/>
  <c r="I27" i="83"/>
  <c r="F24" i="79"/>
  <c r="M25" i="74"/>
  <c r="G26" i="80"/>
  <c r="D237" i="1"/>
  <c r="G10" i="74"/>
  <c r="AC22" i="79"/>
  <c r="D20" i="1"/>
  <c r="C196" i="1"/>
  <c r="D232" i="1"/>
  <c r="D108" i="1"/>
  <c r="C35" i="1"/>
  <c r="J20" i="80"/>
  <c r="G7" i="83"/>
  <c r="X22" i="83"/>
  <c r="C257" i="1"/>
  <c r="F205" i="1"/>
  <c r="F169" i="1"/>
  <c r="F122" i="1"/>
  <c r="E247" i="1"/>
  <c r="I6" i="79"/>
  <c r="C126" i="1"/>
  <c r="F57" i="1"/>
  <c r="K22" i="83"/>
  <c r="E252" i="1"/>
  <c r="C131" i="1"/>
  <c r="G211" i="1"/>
  <c r="D163" i="1"/>
  <c r="AC21" i="74"/>
  <c r="H26" i="80"/>
  <c r="E101" i="1"/>
  <c r="K14" i="80"/>
  <c r="F106" i="1"/>
  <c r="G228" i="1"/>
  <c r="AB9" i="83"/>
  <c r="I9" i="83"/>
  <c r="E189" i="1"/>
  <c r="D55" i="1"/>
  <c r="K34" i="79"/>
  <c r="E241" i="1"/>
  <c r="D193" i="1"/>
  <c r="E205" i="1"/>
  <c r="D16" i="1"/>
  <c r="AC18" i="79"/>
  <c r="C65" i="1"/>
  <c r="M14" i="80"/>
  <c r="G251" i="1"/>
  <c r="W22" i="83"/>
  <c r="D204" i="1"/>
  <c r="F143" i="1"/>
  <c r="E71" i="1"/>
  <c r="F8" i="74"/>
  <c r="I23" i="74"/>
  <c r="G7" i="79"/>
  <c r="K31" i="83"/>
  <c r="G19" i="80"/>
  <c r="G232" i="1"/>
  <c r="D130" i="1"/>
  <c r="C250" i="1"/>
  <c r="J16" i="80"/>
  <c r="C160" i="1"/>
  <c r="C135" i="1"/>
  <c r="D135" i="1"/>
  <c r="W19" i="79"/>
  <c r="D183" i="1"/>
  <c r="D201" i="1"/>
  <c r="G111" i="1"/>
  <c r="G233" i="1"/>
  <c r="AB29" i="83"/>
  <c r="G174" i="1"/>
  <c r="D41" i="1"/>
  <c r="K20" i="79"/>
  <c r="K35" i="80"/>
  <c r="G180" i="1"/>
  <c r="D246" i="1"/>
  <c r="F40" i="1"/>
  <c r="C80" i="1"/>
  <c r="C203" i="1"/>
  <c r="K21" i="74"/>
  <c r="G102" i="1"/>
  <c r="X6" i="74"/>
  <c r="F219" i="1"/>
  <c r="F25" i="1"/>
  <c r="D32" i="1"/>
  <c r="G30" i="74"/>
  <c r="I16" i="79"/>
  <c r="W6" i="83"/>
  <c r="Y6" i="79"/>
  <c r="F182" i="1"/>
  <c r="C46" i="1"/>
  <c r="E34" i="1"/>
  <c r="D233" i="1"/>
  <c r="D128" i="1"/>
  <c r="E57" i="1"/>
  <c r="C77" i="1"/>
  <c r="Z12" i="83"/>
  <c r="C169" i="1"/>
  <c r="I9" i="74"/>
  <c r="F13" i="79"/>
  <c r="C178" i="1"/>
  <c r="E190" i="1"/>
  <c r="K13" i="74"/>
  <c r="D210" i="1"/>
  <c r="M26" i="83"/>
  <c r="I21" i="74"/>
  <c r="D144" i="1"/>
  <c r="I22" i="80"/>
  <c r="D159" i="1"/>
  <c r="G118" i="1"/>
  <c r="D255" i="1"/>
  <c r="C61" i="1"/>
  <c r="I27" i="74"/>
  <c r="D65" i="1"/>
  <c r="F88" i="1"/>
  <c r="J9" i="74"/>
  <c r="F39" i="1"/>
  <c r="C110" i="1"/>
  <c r="D81" i="1"/>
  <c r="D191" i="1"/>
  <c r="C88" i="1"/>
  <c r="D88" i="1"/>
  <c r="G214" i="1"/>
  <c r="K14" i="74"/>
  <c r="K20" i="80"/>
  <c r="J34" i="80"/>
  <c r="C139" i="1"/>
  <c r="I17" i="74"/>
  <c r="Z8" i="79"/>
  <c r="X8" i="74"/>
  <c r="K17" i="83"/>
  <c r="G171" i="1"/>
  <c r="K32" i="80"/>
  <c r="D151" i="1"/>
  <c r="G196" i="1"/>
  <c r="G31" i="74"/>
  <c r="G34" i="1"/>
  <c r="Z33" i="79"/>
  <c r="C159" i="1"/>
  <c r="E134" i="1"/>
  <c r="E164" i="1"/>
  <c r="I8" i="83"/>
  <c r="C158" i="1"/>
  <c r="D42" i="1"/>
  <c r="J8" i="74"/>
  <c r="G73" i="1"/>
  <c r="F10" i="79"/>
  <c r="Y24" i="79"/>
  <c r="D77" i="1"/>
  <c r="D224" i="1"/>
  <c r="G259" i="1"/>
  <c r="C249" i="1"/>
  <c r="K25" i="74"/>
  <c r="G175" i="1"/>
  <c r="K29" i="80"/>
  <c r="D78" i="1"/>
  <c r="C18" i="1"/>
  <c r="G6" i="79"/>
  <c r="G8" i="80"/>
  <c r="Y8" i="79"/>
  <c r="AA34" i="79"/>
  <c r="M16" i="80"/>
  <c r="C252" i="1"/>
  <c r="E41" i="1"/>
  <c r="I26" i="74"/>
  <c r="D147" i="1"/>
  <c r="Y33" i="79"/>
  <c r="Y27" i="79"/>
  <c r="C102" i="1"/>
  <c r="G16" i="1"/>
  <c r="C125" i="1"/>
  <c r="Z9" i="83"/>
  <c r="D50" i="1"/>
  <c r="C184" i="1"/>
  <c r="C213" i="1"/>
  <c r="D238" i="1"/>
  <c r="AC28" i="79"/>
  <c r="C40" i="1"/>
  <c r="F79" i="1"/>
  <c r="M30" i="74"/>
  <c r="G186" i="1"/>
  <c r="AA7" i="83"/>
  <c r="E253" i="1"/>
  <c r="E46" i="1"/>
  <c r="D125" i="1"/>
  <c r="J29" i="80"/>
  <c r="K25" i="80"/>
  <c r="AC23" i="79"/>
  <c r="J28" i="80"/>
  <c r="AC12" i="79"/>
  <c r="AD7" i="79"/>
  <c r="G134" i="1"/>
  <c r="F30" i="80"/>
  <c r="G16" i="74"/>
  <c r="G227" i="1"/>
  <c r="Y19" i="79"/>
  <c r="F96" i="1"/>
  <c r="J22" i="80"/>
  <c r="C53" i="1"/>
  <c r="I27" i="80"/>
  <c r="E106" i="1"/>
  <c r="G26" i="74"/>
  <c r="H30" i="74"/>
  <c r="E216" i="1"/>
  <c r="C25" i="1"/>
  <c r="D254" i="1"/>
  <c r="E159" i="1"/>
  <c r="G62" i="1"/>
  <c r="E38" i="1"/>
  <c r="G27" i="79"/>
  <c r="AC34" i="79"/>
  <c r="D95" i="1"/>
  <c r="E240" i="1"/>
  <c r="D98" i="1"/>
  <c r="AA27" i="83"/>
  <c r="AD21" i="74"/>
  <c r="G45" i="1"/>
  <c r="H18" i="80"/>
  <c r="J17" i="83"/>
  <c r="C220" i="1"/>
  <c r="C107" i="1"/>
  <c r="G255" i="1"/>
  <c r="C174" i="1"/>
  <c r="G14" i="74"/>
  <c r="Y28" i="83"/>
  <c r="E78" i="1"/>
  <c r="K15" i="79"/>
  <c r="E176" i="1"/>
  <c r="K32" i="74"/>
  <c r="E77" i="1"/>
  <c r="Z26" i="79"/>
  <c r="D133" i="1"/>
  <c r="AA13" i="79"/>
  <c r="I6" i="74"/>
  <c r="W29" i="79"/>
  <c r="E14" i="1"/>
  <c r="F32" i="80"/>
  <c r="AB11" i="79"/>
  <c r="Y25" i="79"/>
  <c r="AA26" i="79"/>
  <c r="E210" i="1"/>
  <c r="AA8" i="83"/>
  <c r="F59" i="1"/>
  <c r="D90" i="1"/>
  <c r="E61" i="1"/>
  <c r="G215" i="1"/>
  <c r="X28" i="79"/>
  <c r="F8" i="83"/>
  <c r="G84" i="1"/>
  <c r="E129" i="1"/>
  <c r="J30" i="83"/>
  <c r="G28" i="79"/>
  <c r="G159" i="1"/>
  <c r="E102" i="1"/>
  <c r="W8" i="79"/>
  <c r="G141" i="1"/>
  <c r="G106" i="1"/>
  <c r="G23" i="79"/>
  <c r="C15" i="1"/>
  <c r="E244" i="1"/>
  <c r="G253" i="1"/>
  <c r="H30" i="80"/>
  <c r="G124" i="1"/>
  <c r="G149" i="1"/>
  <c r="C108" i="1"/>
  <c r="C206" i="1"/>
  <c r="K20" i="83"/>
  <c r="M13" i="74"/>
  <c r="M22" i="74"/>
  <c r="K13" i="79"/>
  <c r="D185" i="1"/>
  <c r="E119" i="1"/>
  <c r="C98" i="1"/>
  <c r="F12" i="1"/>
  <c r="D259" i="1"/>
  <c r="G8" i="83"/>
  <c r="E194" i="1"/>
  <c r="Z7" i="79"/>
  <c r="F18" i="83"/>
  <c r="F13" i="80"/>
  <c r="Y12" i="79"/>
  <c r="H9" i="80"/>
  <c r="D231" i="1"/>
  <c r="Z9" i="74"/>
  <c r="W18" i="79"/>
  <c r="G67" i="1"/>
  <c r="M18" i="83"/>
  <c r="F35" i="80"/>
  <c r="X7" i="79"/>
  <c r="E224" i="1"/>
  <c r="AD23" i="74"/>
  <c r="I30" i="74"/>
  <c r="E165" i="1"/>
  <c r="I24" i="83"/>
  <c r="K23" i="83"/>
  <c r="G13" i="79"/>
  <c r="F21" i="79"/>
  <c r="W26" i="79"/>
  <c r="F65" i="1"/>
  <c r="E179" i="1"/>
  <c r="F25" i="79"/>
  <c r="AC27" i="79"/>
  <c r="I30" i="79"/>
  <c r="D223" i="1"/>
  <c r="M27" i="80"/>
  <c r="AD24" i="79"/>
  <c r="F31" i="1"/>
  <c r="C81" i="1"/>
  <c r="W27" i="79"/>
  <c r="K12" i="83"/>
  <c r="J12" i="79"/>
  <c r="E98" i="1"/>
  <c r="E30" i="1"/>
  <c r="D76" i="1"/>
  <c r="C145" i="1"/>
  <c r="C229" i="1"/>
  <c r="E233" i="1"/>
  <c r="K7" i="83"/>
  <c r="Y27" i="83"/>
  <c r="E90" i="1"/>
  <c r="E58" i="1"/>
  <c r="Y30" i="83"/>
  <c r="G252" i="1"/>
  <c r="W8" i="74"/>
  <c r="G89" i="1"/>
  <c r="C118" i="1"/>
  <c r="C59" i="1"/>
  <c r="J19" i="79"/>
  <c r="F24" i="1"/>
  <c r="C94" i="1"/>
  <c r="J25" i="74"/>
  <c r="C195" i="1"/>
  <c r="D146" i="1"/>
  <c r="J8" i="79"/>
  <c r="D124" i="1"/>
  <c r="C24" i="1"/>
  <c r="K27" i="80"/>
  <c r="C93" i="1"/>
  <c r="F30" i="1"/>
  <c r="J11" i="80"/>
  <c r="M8" i="83"/>
  <c r="G28" i="80"/>
  <c r="G6" i="74"/>
  <c r="Y16" i="79"/>
  <c r="Y9" i="79"/>
  <c r="Y20" i="74"/>
  <c r="C214" i="1"/>
  <c r="D205" i="1"/>
  <c r="D253" i="1"/>
  <c r="G98" i="1"/>
  <c r="C132" i="1"/>
  <c r="E72" i="1"/>
  <c r="G25" i="80"/>
  <c r="D14" i="1"/>
  <c r="F32" i="1"/>
  <c r="C172" i="1"/>
  <c r="C207" i="1"/>
  <c r="I16" i="74"/>
  <c r="E163" i="1"/>
  <c r="C149" i="1"/>
  <c r="E44" i="1"/>
  <c r="D109" i="1"/>
  <c r="I34" i="79"/>
  <c r="D203" i="1"/>
  <c r="G23" i="83"/>
  <c r="K15" i="80"/>
  <c r="H27" i="80"/>
  <c r="C210" i="1"/>
  <c r="M31" i="83"/>
  <c r="M19" i="80"/>
  <c r="C113" i="1"/>
  <c r="C101" i="1"/>
  <c r="E124" i="1"/>
  <c r="F27" i="83"/>
  <c r="G127" i="1"/>
  <c r="F13" i="74"/>
  <c r="E91" i="1"/>
  <c r="K18" i="83"/>
  <c r="F56" i="1"/>
  <c r="C122" i="1"/>
  <c r="G27" i="83"/>
  <c r="E104" i="1"/>
  <c r="J7" i="79"/>
  <c r="F27" i="80"/>
  <c r="D72" i="1"/>
  <c r="I11" i="79"/>
  <c r="C200" i="1"/>
  <c r="J14" i="80"/>
  <c r="G123" i="1"/>
  <c r="J22" i="83"/>
  <c r="D169" i="1"/>
  <c r="AA10" i="74"/>
  <c r="Y27" i="74"/>
  <c r="I8" i="80"/>
  <c r="M33" i="79"/>
  <c r="G220" i="1"/>
  <c r="K25" i="79"/>
  <c r="K19" i="83"/>
  <c r="C137" i="1"/>
  <c r="AD24" i="83"/>
  <c r="M13" i="79"/>
  <c r="G26" i="83"/>
  <c r="AB26" i="79"/>
  <c r="G23" i="1"/>
  <c r="G93" i="1"/>
  <c r="D138" i="1"/>
  <c r="E237" i="1"/>
  <c r="F101" i="1"/>
  <c r="D258" i="1"/>
  <c r="I11" i="80"/>
  <c r="G209" i="1"/>
  <c r="J15" i="74"/>
  <c r="E27" i="1"/>
  <c r="W22" i="79"/>
  <c r="W30" i="83"/>
  <c r="K6" i="74"/>
  <c r="C244" i="1"/>
  <c r="C186" i="1"/>
  <c r="I29" i="80"/>
  <c r="G24" i="1"/>
  <c r="M9" i="74"/>
  <c r="J28" i="83"/>
  <c r="C82" i="1"/>
  <c r="K8" i="79"/>
  <c r="F55" i="1"/>
  <c r="M28" i="80"/>
  <c r="I7" i="74"/>
  <c r="F22" i="80"/>
  <c r="C13" i="1"/>
  <c r="G115" i="1"/>
  <c r="D75" i="1"/>
  <c r="G16" i="80"/>
  <c r="G229" i="1"/>
  <c r="D26" i="1"/>
  <c r="G15" i="74"/>
  <c r="F27" i="74"/>
  <c r="E108" i="1"/>
  <c r="G60" i="1"/>
  <c r="C14" i="1"/>
  <c r="M23" i="79"/>
  <c r="G29" i="80"/>
  <c r="F227" i="1"/>
  <c r="J18" i="83"/>
  <c r="G244" i="1"/>
  <c r="G7" i="74"/>
  <c r="G105" i="1"/>
  <c r="C176" i="1"/>
  <c r="AA10" i="79"/>
  <c r="W24" i="79"/>
  <c r="Z16" i="79"/>
  <c r="K14" i="83"/>
  <c r="F28" i="79"/>
  <c r="E196" i="1"/>
  <c r="G128" i="1"/>
  <c r="M31" i="79"/>
  <c r="X23" i="83"/>
  <c r="G25" i="1"/>
  <c r="C78" i="1"/>
  <c r="C240" i="1"/>
  <c r="F15" i="83"/>
  <c r="G157" i="1"/>
  <c r="C164" i="1"/>
  <c r="F20" i="79"/>
  <c r="W18" i="83"/>
  <c r="M33" i="80"/>
  <c r="F51" i="1"/>
  <c r="I29" i="79"/>
  <c r="I34" i="80"/>
  <c r="D194" i="1"/>
  <c r="D217" i="1"/>
  <c r="AC21" i="79"/>
  <c r="K6" i="80"/>
  <c r="M14" i="74"/>
  <c r="G57" i="1"/>
  <c r="J14" i="74"/>
  <c r="K28" i="80"/>
  <c r="C187" i="1"/>
  <c r="Y22" i="79"/>
  <c r="D166" i="1"/>
  <c r="C241" i="1"/>
  <c r="D228" i="1"/>
  <c r="C205" i="1"/>
  <c r="M18" i="79"/>
  <c r="E219" i="1"/>
  <c r="D89" i="1"/>
  <c r="E126" i="1"/>
  <c r="I12" i="79"/>
  <c r="C255" i="1"/>
  <c r="F26" i="74"/>
  <c r="D207" i="1"/>
  <c r="D172" i="1"/>
  <c r="G179" i="1"/>
  <c r="E15" i="1"/>
  <c r="I24" i="80"/>
  <c r="AA17" i="79"/>
  <c r="D190" i="1"/>
  <c r="K9" i="80"/>
  <c r="M28" i="79"/>
  <c r="K31" i="74"/>
  <c r="C99" i="1"/>
  <c r="J26" i="74"/>
  <c r="C33" i="1"/>
  <c r="G29" i="79"/>
  <c r="G92" i="1"/>
  <c r="I12" i="74"/>
  <c r="E93" i="1"/>
  <c r="C39" i="1"/>
  <c r="K15" i="74"/>
  <c r="K11" i="80"/>
  <c r="G76" i="1"/>
  <c r="G205" i="1"/>
  <c r="X24" i="79"/>
  <c r="M28" i="83"/>
  <c r="C246" i="1"/>
  <c r="G31" i="79"/>
  <c r="G237" i="1"/>
  <c r="C237" i="1"/>
  <c r="D121" i="1"/>
  <c r="G19" i="1"/>
  <c r="I29" i="83"/>
  <c r="G75" i="1"/>
  <c r="K11" i="79"/>
  <c r="G113" i="1"/>
  <c r="J23" i="83"/>
  <c r="G55" i="1"/>
  <c r="F15" i="74"/>
  <c r="J19" i="74"/>
  <c r="E180" i="1"/>
  <c r="G15" i="79"/>
  <c r="AB13" i="79"/>
  <c r="G32" i="1"/>
  <c r="G150" i="1"/>
  <c r="F7" i="83"/>
  <c r="G147" i="1"/>
  <c r="AC28" i="83"/>
  <c r="E88" i="1"/>
  <c r="G53" i="1"/>
  <c r="G69" i="1"/>
  <c r="I25" i="74"/>
  <c r="D175" i="1"/>
  <c r="M20" i="80"/>
  <c r="F82" i="1"/>
  <c r="G33" i="1"/>
  <c r="AC31" i="79"/>
  <c r="C154" i="1"/>
  <c r="I10" i="79"/>
  <c r="C72" i="1"/>
  <c r="G25" i="74"/>
  <c r="E198" i="1"/>
  <c r="C140" i="1"/>
  <c r="D213" i="1"/>
  <c r="AB12" i="83"/>
  <c r="I13" i="74"/>
  <c r="C152" i="1"/>
  <c r="E94" i="1"/>
  <c r="F31" i="79"/>
  <c r="J30" i="74"/>
  <c r="G178" i="1"/>
  <c r="F36" i="80"/>
  <c r="C150" i="1"/>
  <c r="D256" i="1"/>
  <c r="Z30" i="79"/>
  <c r="D132" i="1"/>
  <c r="C202" i="1"/>
  <c r="G28" i="74"/>
  <c r="D242" i="1"/>
  <c r="E169" i="1"/>
  <c r="C86" i="1"/>
  <c r="AD31" i="79"/>
  <c r="F54" i="1"/>
  <c r="G117" i="1"/>
  <c r="E79" i="1"/>
  <c r="J31" i="83"/>
  <c r="G212" i="1"/>
  <c r="W33" i="79"/>
  <c r="G200" i="1"/>
  <c r="M20" i="74"/>
  <c r="C115" i="1"/>
  <c r="I12" i="83"/>
  <c r="C120" i="1"/>
  <c r="G239" i="1"/>
  <c r="D216" i="1"/>
  <c r="D103" i="1"/>
  <c r="F37" i="1"/>
  <c r="K11" i="83"/>
  <c r="C16" i="1"/>
  <c r="AD25" i="79"/>
  <c r="K28" i="79"/>
  <c r="D54" i="1"/>
  <c r="X11" i="79"/>
  <c r="E144" i="1"/>
  <c r="W7" i="83"/>
  <c r="M30" i="80"/>
  <c r="C75" i="1"/>
  <c r="G30" i="1"/>
  <c r="E24" i="1"/>
  <c r="C232" i="1"/>
  <c r="C66" i="1"/>
  <c r="Z19" i="74"/>
  <c r="D164" i="1"/>
  <c r="G79" i="1"/>
  <c r="I12" i="80"/>
  <c r="AB31" i="79"/>
  <c r="I19" i="83"/>
  <c r="J14" i="83"/>
  <c r="E149" i="1"/>
  <c r="D250" i="1"/>
  <c r="G139" i="1"/>
  <c r="AD20" i="83"/>
  <c r="AA22" i="83"/>
  <c r="F19" i="1" a="1"/>
  <c r="F19" i="1" s="1"/>
  <c r="G145" i="1"/>
  <c r="D22" i="1"/>
  <c r="G38" i="1"/>
  <c r="I16" i="83"/>
  <c r="J33" i="80"/>
  <c r="Z21" i="79"/>
  <c r="C136" i="1"/>
  <c r="C235" i="1"/>
  <c r="F26" i="83"/>
  <c r="M34" i="79"/>
  <c r="Y12" i="83"/>
  <c r="F19" i="79"/>
  <c r="D60" i="1"/>
  <c r="G226" i="1"/>
  <c r="G241" i="1"/>
  <c r="E154" i="1"/>
  <c r="C146" i="1"/>
  <c r="AD19" i="74"/>
  <c r="G230" i="1"/>
  <c r="Z20" i="79"/>
  <c r="E222" i="1"/>
  <c r="AC19" i="83"/>
  <c r="G20" i="1"/>
  <c r="M25" i="80"/>
  <c r="E25" i="1"/>
  <c r="E226" i="1"/>
  <c r="M30" i="79"/>
  <c r="J16" i="83"/>
  <c r="C192" i="1"/>
  <c r="C42" i="1"/>
  <c r="K26" i="74"/>
  <c r="C224" i="1"/>
  <c r="D15" i="1"/>
  <c r="K8" i="74"/>
  <c r="J11" i="83"/>
  <c r="G182" i="1"/>
  <c r="K21" i="80"/>
  <c r="I28" i="79"/>
  <c r="K10" i="79"/>
  <c r="J35" i="80"/>
  <c r="G21" i="1"/>
  <c r="G22" i="79"/>
  <c r="D93" i="1"/>
  <c r="W28" i="79"/>
  <c r="G258" i="1"/>
  <c r="Z15" i="79"/>
  <c r="E127" i="1"/>
  <c r="C68" i="1"/>
  <c r="K30" i="74"/>
  <c r="J26" i="80"/>
  <c r="W7" i="79"/>
  <c r="G248" i="1"/>
  <c r="E212" i="1"/>
  <c r="E29" i="1"/>
  <c r="D234" i="1"/>
  <c r="Y23" i="79"/>
  <c r="D126" i="1"/>
  <c r="C168" i="1"/>
  <c r="G250" i="1"/>
  <c r="F70" i="1"/>
  <c r="M15" i="80"/>
  <c r="AC9" i="79"/>
  <c r="D122" i="1"/>
  <c r="X21" i="74"/>
  <c r="D63" i="1"/>
  <c r="Y30" i="79"/>
  <c r="G204" i="1"/>
  <c r="G240" i="1"/>
  <c r="I6" i="83"/>
  <c r="G109" i="1"/>
  <c r="AD27" i="83"/>
  <c r="Y7" i="83"/>
  <c r="J21" i="79"/>
  <c r="AB18" i="83"/>
  <c r="AD34" i="79"/>
  <c r="AA20" i="74"/>
  <c r="AD26" i="79"/>
  <c r="E228" i="1"/>
  <c r="E211" i="1"/>
  <c r="Y29" i="79"/>
  <c r="E136" i="1"/>
  <c r="AC24" i="79"/>
  <c r="M16" i="74"/>
  <c r="H8" i="80"/>
  <c r="D57" i="1"/>
  <c r="C134" i="1"/>
  <c r="W9" i="83"/>
  <c r="M10" i="74"/>
  <c r="G70" i="1"/>
  <c r="K12" i="74"/>
  <c r="G133" i="1"/>
  <c r="X29" i="79"/>
  <c r="AB7" i="79"/>
  <c r="E145" i="1"/>
  <c r="E26" i="1"/>
  <c r="G31" i="83"/>
  <c r="C27" i="1"/>
  <c r="E97" i="1"/>
  <c r="Y9" i="74"/>
  <c r="AC22" i="83"/>
  <c r="AC26" i="79"/>
  <c r="AA9" i="79"/>
  <c r="E67" i="1"/>
  <c r="AA12" i="83"/>
  <c r="X20" i="74"/>
  <c r="F42" i="1"/>
  <c r="E175" i="1"/>
  <c r="E239" i="1"/>
  <c r="Y8" i="83"/>
  <c r="C67" i="1"/>
  <c r="AA27" i="74"/>
  <c r="C69" i="1"/>
  <c r="AD21" i="79"/>
  <c r="W20" i="79"/>
  <c r="Z28" i="79"/>
  <c r="C32" i="1"/>
  <c r="J31" i="74"/>
  <c r="C147" i="1"/>
  <c r="W28" i="83"/>
  <c r="E70" i="1"/>
  <c r="E193" i="1"/>
  <c r="E206" i="1"/>
  <c r="J12" i="83"/>
  <c r="G63" i="1"/>
  <c r="D106" i="1"/>
  <c r="D35" i="1"/>
  <c r="J16" i="74"/>
  <c r="C103" i="1"/>
  <c r="E250" i="1"/>
  <c r="C175" i="1"/>
  <c r="E113" i="1"/>
  <c r="AA33" i="79"/>
  <c r="E171" i="1"/>
  <c r="E111" i="1"/>
  <c r="D92" i="1"/>
  <c r="Z19" i="79"/>
  <c r="E230" i="1"/>
  <c r="E236" i="1"/>
  <c r="F45" i="1" a="1"/>
  <c r="F45" i="1" s="1"/>
  <c r="AB19" i="83"/>
  <c r="X10" i="79"/>
  <c r="F9" i="74"/>
  <c r="AC8" i="79"/>
  <c r="K33" i="80"/>
  <c r="G24" i="83"/>
  <c r="C64" i="1"/>
  <c r="F9" i="80"/>
  <c r="AD9" i="74"/>
  <c r="D101" i="1"/>
  <c r="F18" i="1" a="1"/>
  <c r="F18" i="1" s="1"/>
  <c r="K7" i="80"/>
  <c r="D178" i="1"/>
  <c r="D117" i="1"/>
  <c r="C225" i="1"/>
  <c r="G142" i="1"/>
  <c r="G125" i="1"/>
  <c r="I15" i="79"/>
  <c r="C84" i="1"/>
  <c r="C70" i="1"/>
  <c r="Y9" i="83"/>
  <c r="H7" i="80"/>
  <c r="D19" i="1"/>
  <c r="J21" i="80"/>
  <c r="F35" i="1"/>
  <c r="I13" i="80"/>
  <c r="W10" i="74"/>
  <c r="AB10" i="74"/>
  <c r="C29" i="1"/>
  <c r="K28" i="74"/>
  <c r="E82" i="1"/>
  <c r="F81" i="1"/>
  <c r="K12" i="79"/>
  <c r="K16" i="74"/>
  <c r="C248" i="1"/>
  <c r="AA15" i="79"/>
  <c r="C167" i="1"/>
  <c r="AA25" i="79"/>
  <c r="AC27" i="83"/>
  <c r="C194" i="1"/>
  <c r="E170" i="1"/>
  <c r="AB23" i="79"/>
  <c r="C185" i="1"/>
  <c r="F28" i="1"/>
  <c r="D38" i="1"/>
  <c r="G165" i="1"/>
  <c r="AD23" i="79"/>
  <c r="AB23" i="83"/>
  <c r="E192" i="1"/>
  <c r="AA21" i="79"/>
  <c r="F21" i="80"/>
  <c r="E66" i="1"/>
  <c r="K17" i="74"/>
  <c r="E51" i="1"/>
  <c r="AA9" i="83"/>
  <c r="AA23" i="83"/>
  <c r="I28" i="83"/>
  <c r="F8" i="79"/>
  <c r="G15" i="1"/>
  <c r="F97" i="1"/>
  <c r="X20" i="83"/>
  <c r="E231" i="1"/>
  <c r="C133" i="1"/>
  <c r="Y26" i="79"/>
  <c r="AC17" i="79"/>
  <c r="G39" i="1"/>
  <c r="K29" i="83"/>
  <c r="M8" i="80"/>
  <c r="X23" i="74"/>
  <c r="G169" i="1"/>
  <c r="G144" i="1"/>
  <c r="X8" i="79"/>
  <c r="Y18" i="83"/>
  <c r="E56" i="1"/>
  <c r="E251" i="1"/>
  <c r="Z13" i="79"/>
  <c r="J31" i="80"/>
  <c r="E86" i="1"/>
  <c r="M25" i="79"/>
  <c r="E133" i="1"/>
  <c r="AC9" i="74"/>
  <c r="D206" i="1"/>
  <c r="AB8" i="79"/>
  <c r="AD27" i="74"/>
  <c r="K24" i="83"/>
  <c r="M20" i="83"/>
  <c r="C218" i="1"/>
  <c r="Z8" i="83"/>
  <c r="AA9" i="74"/>
  <c r="AA12" i="79"/>
  <c r="E202" i="1"/>
  <c r="AC28" i="74"/>
  <c r="G203" i="1"/>
  <c r="F3" i="80"/>
  <c r="G11" i="79"/>
  <c r="AD29" i="79"/>
  <c r="G30" i="79"/>
  <c r="AB10" i="79"/>
  <c r="J17" i="79"/>
  <c r="J9" i="80"/>
  <c r="D99" i="1"/>
  <c r="G34" i="80"/>
  <c r="D158" i="1"/>
  <c r="D52" i="1"/>
  <c r="K13" i="80"/>
  <c r="E21" i="1"/>
  <c r="J36" i="80"/>
  <c r="AD29" i="83"/>
  <c r="AC20" i="79"/>
  <c r="G246" i="1"/>
  <c r="F78" i="1"/>
  <c r="F3" i="83"/>
  <c r="E207" i="1"/>
  <c r="F29" i="83"/>
  <c r="E75" i="1"/>
  <c r="D56" i="1"/>
  <c r="C91" i="1"/>
  <c r="G22" i="83"/>
  <c r="G155" i="1"/>
  <c r="AB19" i="74"/>
  <c r="E137" i="1"/>
  <c r="J13" i="80"/>
  <c r="J6" i="74"/>
  <c r="M22" i="83"/>
  <c r="D244" i="1"/>
  <c r="AD17" i="79"/>
  <c r="E203" i="1"/>
  <c r="E123" i="1"/>
  <c r="G94" i="1"/>
  <c r="D229" i="1"/>
  <c r="Z28" i="74"/>
  <c r="J25" i="79"/>
  <c r="E40" i="1"/>
  <c r="I7" i="83"/>
  <c r="E73" i="1"/>
  <c r="X30" i="79"/>
  <c r="I23" i="79"/>
  <c r="D235" i="1"/>
  <c r="D198" i="1"/>
  <c r="D197" i="1"/>
  <c r="I8" i="79"/>
  <c r="F18" i="80"/>
  <c r="G110" i="1"/>
  <c r="AD27" i="79"/>
  <c r="C12" i="1"/>
  <c r="F20" i="1"/>
  <c r="H23" i="80"/>
  <c r="D69" i="1"/>
  <c r="W9" i="74"/>
  <c r="F98" i="1"/>
  <c r="AC27" i="74"/>
  <c r="AD18" i="79"/>
  <c r="M9" i="80"/>
  <c r="AB16" i="79"/>
  <c r="X18" i="79"/>
  <c r="C19" i="1"/>
  <c r="C47" i="1"/>
  <c r="C191" i="1"/>
  <c r="X9" i="74"/>
  <c r="E214" i="1"/>
  <c r="D165" i="1"/>
  <c r="Y20" i="83"/>
  <c r="E186" i="1"/>
  <c r="M23" i="74"/>
  <c r="E148" i="1"/>
  <c r="AC26" i="83"/>
  <c r="W11" i="79"/>
  <c r="K24" i="79"/>
  <c r="AB17" i="79"/>
  <c r="K30" i="80"/>
  <c r="E200" i="1"/>
  <c r="E89" i="1"/>
  <c r="Z18" i="83"/>
  <c r="AD7" i="83"/>
  <c r="I14" i="83"/>
  <c r="E182" i="1"/>
  <c r="AD18" i="83"/>
  <c r="K23" i="80"/>
  <c r="M12" i="83"/>
  <c r="W25" i="79"/>
  <c r="J20" i="74"/>
  <c r="I21" i="80"/>
  <c r="J10" i="74"/>
  <c r="G236" i="1"/>
  <c r="E143" i="1"/>
  <c r="AD28" i="74"/>
  <c r="Y19" i="74"/>
  <c r="AC18" i="83"/>
  <c r="E68" i="1"/>
  <c r="D171" i="1"/>
  <c r="I16" i="80"/>
  <c r="C234" i="1"/>
  <c r="C199" i="1"/>
  <c r="Y28" i="79"/>
  <c r="G217" i="1"/>
  <c r="G20" i="79"/>
  <c r="G224" i="1"/>
  <c r="J22" i="79"/>
  <c r="D168" i="1"/>
  <c r="D67" i="1"/>
  <c r="Y31" i="83"/>
  <c r="D119" i="1"/>
  <c r="M36" i="80"/>
  <c r="D96" i="1"/>
  <c r="Z8" i="74"/>
  <c r="G10" i="79"/>
  <c r="G32" i="80"/>
  <c r="J23" i="74"/>
  <c r="J12" i="74"/>
  <c r="K6" i="83"/>
  <c r="G108" i="1"/>
  <c r="F34" i="1"/>
  <c r="F14" i="74"/>
  <c r="D186" i="1"/>
  <c r="I17" i="79"/>
  <c r="G52" i="1"/>
  <c r="D199" i="1"/>
  <c r="C49" i="1"/>
  <c r="AB18" i="79"/>
  <c r="E22" i="1"/>
  <c r="G9" i="79"/>
  <c r="AC20" i="74"/>
  <c r="M32" i="74"/>
  <c r="C127" i="1"/>
  <c r="K7" i="74"/>
  <c r="G116" i="1"/>
  <c r="D174" i="1"/>
  <c r="Y8" i="74"/>
  <c r="E18" i="1"/>
  <c r="F12" i="79"/>
  <c r="G152" i="1"/>
  <c r="G33" i="80"/>
  <c r="Z10" i="79"/>
  <c r="C230" i="1"/>
  <c r="J29" i="79"/>
  <c r="F26" i="79"/>
  <c r="G14" i="83"/>
  <c r="AA27" i="79"/>
  <c r="G27" i="1"/>
  <c r="AA16" i="79"/>
  <c r="E96" i="1"/>
  <c r="E48" i="1"/>
  <c r="W27" i="83"/>
  <c r="G249" i="1"/>
  <c r="AC15" i="79"/>
  <c r="F11" i="83"/>
  <c r="E147" i="1"/>
  <c r="M29" i="83"/>
  <c r="G170" i="1"/>
  <c r="E229" i="1"/>
  <c r="AC23" i="83"/>
  <c r="Z27" i="79"/>
  <c r="K31" i="80"/>
  <c r="G112" i="1"/>
  <c r="I13" i="79"/>
  <c r="F12" i="83"/>
  <c r="W9" i="79"/>
  <c r="M26" i="74"/>
  <c r="AB7" i="83"/>
  <c r="G130" i="1"/>
  <c r="D34" i="1"/>
  <c r="F16" i="80"/>
  <c r="AB28" i="74"/>
  <c r="F52" i="1"/>
  <c r="D162" i="1"/>
  <c r="F20" i="83"/>
  <c r="D27" i="1"/>
  <c r="G225" i="1"/>
  <c r="F13" i="1"/>
  <c r="F84" i="1" a="1"/>
  <c r="F84" i="1" s="1"/>
  <c r="G49" i="1"/>
  <c r="F31" i="74"/>
  <c r="J28" i="79"/>
  <c r="F33" i="80"/>
  <c r="Z24" i="79"/>
  <c r="Y31" i="79"/>
  <c r="F30" i="74"/>
  <c r="D66" i="1"/>
  <c r="I9" i="80"/>
  <c r="G23" i="80"/>
  <c r="F7" i="74"/>
  <c r="F8" i="80"/>
  <c r="D247" i="1"/>
  <c r="X25" i="79"/>
  <c r="C219" i="1"/>
  <c r="G6" i="80"/>
  <c r="E31" i="1"/>
  <c r="I19" i="80"/>
  <c r="AA28" i="83"/>
  <c r="I28" i="80"/>
  <c r="F25" i="80"/>
  <c r="F86" i="1"/>
  <c r="K26" i="80"/>
  <c r="AA18" i="83"/>
  <c r="D112" i="1"/>
  <c r="G17" i="79"/>
  <c r="E141" i="1"/>
  <c r="F31" i="83"/>
  <c r="D170" i="1"/>
  <c r="G35" i="80"/>
  <c r="E167" i="1"/>
  <c r="M8" i="74"/>
  <c r="I35" i="80"/>
  <c r="M34" i="80"/>
  <c r="G162" i="1"/>
  <c r="E138" i="1"/>
  <c r="E81" i="1"/>
  <c r="I20" i="74"/>
  <c r="D140" i="1"/>
  <c r="G202" i="1"/>
  <c r="W23" i="83"/>
  <c r="G172" i="1"/>
  <c r="D53" i="1"/>
  <c r="E50" i="1"/>
  <c r="J27" i="83"/>
  <c r="G30" i="80"/>
  <c r="F17" i="74"/>
  <c r="M18" i="80"/>
  <c r="H33" i="80"/>
  <c r="M23" i="83"/>
  <c r="AB22" i="79"/>
  <c r="F17" i="79"/>
  <c r="X17" i="79"/>
  <c r="K9" i="74"/>
  <c r="W20" i="74"/>
  <c r="M11" i="80"/>
  <c r="E63" i="1"/>
  <c r="J8" i="83"/>
  <c r="D220" i="1"/>
  <c r="D167" i="1"/>
  <c r="F109" i="1"/>
  <c r="H31" i="74"/>
  <c r="AB20" i="79"/>
  <c r="C124" i="1"/>
  <c r="AC29" i="79"/>
  <c r="E197" i="1"/>
  <c r="G18" i="83"/>
  <c r="X34" i="79"/>
  <c r="D127" i="1"/>
  <c r="E99" i="1"/>
  <c r="E100" i="1"/>
  <c r="M26" i="80"/>
  <c r="M9" i="79"/>
  <c r="F12" i="74"/>
  <c r="W31" i="83"/>
  <c r="J9" i="79"/>
  <c r="K16" i="80"/>
  <c r="C37" i="1"/>
  <c r="D241" i="1"/>
  <c r="E118" i="1"/>
  <c r="G56" i="1"/>
  <c r="AB9" i="74"/>
  <c r="J19" i="80"/>
  <c r="E39" i="1"/>
  <c r="Z27" i="74"/>
  <c r="AA8" i="79"/>
  <c r="E243" i="1"/>
  <c r="C216" i="1"/>
  <c r="D45" i="1"/>
  <c r="E69" i="1"/>
  <c r="C117" i="1"/>
  <c r="J21" i="74"/>
  <c r="F23" i="83"/>
  <c r="M12" i="74"/>
  <c r="AD28" i="79"/>
  <c r="E103" i="1"/>
  <c r="AC24" i="83"/>
  <c r="M21" i="79"/>
  <c r="C31" i="1"/>
  <c r="Y23" i="74"/>
  <c r="M8" i="79"/>
  <c r="E235" i="1"/>
  <c r="F102" i="1"/>
  <c r="C208" i="1"/>
  <c r="F27" i="79"/>
  <c r="E160" i="1"/>
  <c r="I23" i="80"/>
  <c r="G164" i="1"/>
  <c r="Y7" i="74"/>
  <c r="F16" i="79"/>
  <c r="M15" i="79"/>
  <c r="AC13" i="79"/>
  <c r="M17" i="83"/>
  <c r="C26" i="1"/>
  <c r="AD19" i="79"/>
  <c r="X24" i="83"/>
  <c r="G137" i="1"/>
  <c r="E174" i="1"/>
  <c r="D51" i="1"/>
  <c r="G197" i="1"/>
  <c r="E221" i="1"/>
  <c r="E76" i="1"/>
  <c r="F62" i="1"/>
  <c r="G243" i="1"/>
  <c r="H16" i="80"/>
  <c r="AC22" i="74"/>
  <c r="D68" i="1"/>
  <c r="G13" i="80"/>
  <c r="M11" i="79"/>
  <c r="G18" i="80"/>
  <c r="AD12" i="79"/>
  <c r="D118" i="1"/>
  <c r="AC9" i="83"/>
  <c r="W12" i="79"/>
  <c r="AB30" i="79"/>
  <c r="I10" i="74"/>
  <c r="AA20" i="83"/>
  <c r="I25" i="80"/>
  <c r="E150" i="1"/>
  <c r="AD22" i="83"/>
  <c r="AB15" i="79"/>
  <c r="G223" i="1"/>
  <c r="E218" i="1"/>
  <c r="D209" i="1"/>
  <c r="AC30" i="83"/>
  <c r="G34" i="79"/>
  <c r="G198" i="1"/>
  <c r="AD22" i="74"/>
  <c r="AD22" i="79"/>
  <c r="Z24" i="83"/>
  <c r="AB23" i="74"/>
  <c r="D49" i="1"/>
  <c r="AB8" i="83"/>
  <c r="M11" i="83"/>
  <c r="F38" i="1"/>
  <c r="AC10" i="79"/>
  <c r="AB19" i="79"/>
  <c r="F10" i="74"/>
  <c r="AA7" i="74"/>
  <c r="J26" i="83"/>
  <c r="G7" i="80"/>
  <c r="C87" i="1"/>
  <c r="E13" i="1"/>
  <c r="Y22" i="83"/>
  <c r="AA31" i="83"/>
  <c r="AC31" i="83"/>
  <c r="F75" i="1"/>
  <c r="AC16" i="79"/>
  <c r="D243" i="1"/>
  <c r="F104" i="1"/>
  <c r="Z34" i="79"/>
  <c r="F29" i="80"/>
  <c r="I28" i="74"/>
  <c r="C96" i="1"/>
  <c r="Z21" i="74"/>
  <c r="F15" i="79"/>
  <c r="Z23" i="79"/>
  <c r="F60" i="1"/>
  <c r="E191" i="1"/>
  <c r="G82" i="1"/>
  <c r="I20" i="83"/>
  <c r="F63" i="1"/>
  <c r="E178" i="1"/>
  <c r="E140" i="1"/>
  <c r="E107" i="1"/>
  <c r="Y17" i="79"/>
  <c r="X28" i="74"/>
  <c r="E85" i="1"/>
  <c r="G136" i="1"/>
  <c r="AA18" i="79"/>
  <c r="D134" i="1"/>
  <c r="E65" i="1"/>
  <c r="I7" i="79"/>
  <c r="C71" i="1"/>
  <c r="F44" i="1" a="1"/>
  <c r="F44" i="1" s="1"/>
  <c r="AB28" i="83"/>
  <c r="H21" i="80"/>
  <c r="E87" i="1"/>
  <c r="E28" i="1"/>
  <c r="E16" i="1"/>
  <c r="E122" i="1"/>
  <c r="G80" i="1"/>
  <c r="Y13" i="79"/>
  <c r="W24" i="83"/>
  <c r="D222" i="1"/>
  <c r="C92" i="1"/>
  <c r="Z7" i="83"/>
  <c r="Y21" i="79"/>
  <c r="E232" i="1"/>
  <c r="C222" i="1"/>
  <c r="AB34" i="79"/>
  <c r="I18" i="79"/>
  <c r="AA22" i="74"/>
  <c r="M15" i="74"/>
  <c r="E146" i="1"/>
  <c r="E225" i="1"/>
  <c r="G188" i="1"/>
  <c r="C85" i="1"/>
  <c r="C57" i="1"/>
  <c r="F111" i="1"/>
  <c r="X10" i="74"/>
  <c r="J24" i="79"/>
  <c r="C97" i="1"/>
  <c r="J27" i="74"/>
  <c r="C253" i="1"/>
  <c r="E215" i="1"/>
  <c r="D136" i="1"/>
  <c r="C30" i="1"/>
  <c r="X27" i="74"/>
  <c r="C155" i="1"/>
  <c r="G12" i="79"/>
  <c r="I20" i="80"/>
  <c r="G8" i="74"/>
  <c r="G256" i="1"/>
  <c r="G25" i="79"/>
  <c r="AC7" i="79"/>
  <c r="G19" i="83"/>
  <c r="AA29" i="83"/>
  <c r="G154" i="1"/>
  <c r="W19" i="74"/>
  <c r="F11" i="80"/>
  <c r="AD12" i="83"/>
  <c r="D87" i="1"/>
  <c r="E112" i="1"/>
  <c r="W31" i="79"/>
  <c r="AA29" i="79"/>
  <c r="X13" i="79"/>
  <c r="F46" i="1"/>
  <c r="D113" i="1"/>
  <c r="X27" i="79"/>
  <c r="Y21" i="74"/>
  <c r="X22" i="79"/>
  <c r="AD10" i="74"/>
  <c r="E173" i="1"/>
  <c r="D71" i="1"/>
  <c r="E254" i="1"/>
  <c r="M20" i="79"/>
  <c r="M23" i="80"/>
  <c r="AD7" i="74"/>
  <c r="K22" i="74"/>
  <c r="K18" i="80"/>
  <c r="X23" i="79"/>
  <c r="W13" i="79"/>
  <c r="C141" i="1"/>
  <c r="I24" i="79"/>
  <c r="G31" i="80"/>
  <c r="C50" i="1"/>
  <c r="AD13" i="79"/>
  <c r="M19" i="74"/>
  <c r="I33" i="80"/>
  <c r="C112" i="1"/>
  <c r="J15" i="79"/>
  <c r="K19" i="79"/>
  <c r="F22" i="83"/>
  <c r="I17" i="83"/>
  <c r="D182" i="1"/>
  <c r="J22" i="74"/>
  <c r="Z12" i="79"/>
  <c r="G6" i="83"/>
  <c r="I19" i="74"/>
  <c r="G14" i="80"/>
  <c r="F41" i="1"/>
  <c r="M6" i="80"/>
  <c r="D105" i="1"/>
  <c r="D94" i="1"/>
  <c r="E116" i="1"/>
  <c r="E125" i="1"/>
  <c r="K33" i="79"/>
  <c r="AA31" i="79"/>
  <c r="F239" i="1"/>
  <c r="G16" i="83"/>
  <c r="G31" i="1"/>
  <c r="E153" i="1"/>
  <c r="K27" i="74"/>
  <c r="I36" i="80"/>
  <c r="AB9" i="79"/>
  <c r="E45" i="1"/>
  <c r="J23" i="80"/>
  <c r="G91" i="1"/>
  <c r="C212" i="1"/>
  <c r="G15" i="80"/>
  <c r="D230" i="1"/>
  <c r="I32" i="80"/>
  <c r="F103" i="1"/>
  <c r="F113" i="1"/>
  <c r="G28" i="83"/>
  <c r="C170" i="1"/>
  <c r="E95" i="1"/>
  <c r="AA11" i="79"/>
  <c r="E131" i="1"/>
  <c r="C153" i="1"/>
  <c r="AD9" i="83"/>
  <c r="D24" i="1"/>
  <c r="C148" i="1"/>
  <c r="E156" i="1"/>
  <c r="C22" i="1"/>
  <c r="J27" i="80"/>
  <c r="E142" i="1"/>
  <c r="Y23" i="83"/>
  <c r="G27" i="80"/>
  <c r="AD8" i="74"/>
  <c r="M16" i="79"/>
  <c r="AD15" i="79"/>
  <c r="D102" i="1"/>
  <c r="Y29" i="83"/>
  <c r="D84" i="1"/>
  <c r="F22" i="79"/>
  <c r="F9" i="79"/>
  <c r="X21" i="79"/>
  <c r="AD33" i="79"/>
  <c r="G103" i="1"/>
  <c r="K18" i="79"/>
  <c r="F80" i="1"/>
  <c r="AC12" i="83"/>
  <c r="H20" i="80"/>
  <c r="AC29" i="83"/>
  <c r="Z20" i="74"/>
  <c r="M27" i="79"/>
  <c r="F19" i="83"/>
  <c r="E184" i="1"/>
  <c r="X31" i="79"/>
  <c r="M19" i="79"/>
  <c r="AB8" i="74"/>
  <c r="AC19" i="79"/>
  <c r="F29" i="1"/>
  <c r="M7" i="80"/>
  <c r="F3" i="79"/>
  <c r="K30" i="79"/>
  <c r="C95" i="1"/>
  <c r="AA24" i="79"/>
  <c r="C165" i="1"/>
  <c r="Z22" i="79"/>
  <c r="W15" i="79"/>
  <c r="AC19" i="74"/>
  <c r="E183" i="1"/>
  <c r="AC6" i="83"/>
  <c r="E132" i="1"/>
  <c r="G65" i="1"/>
  <c r="E64" i="1"/>
  <c r="C90" i="1"/>
  <c r="I15" i="74"/>
  <c r="I22" i="83"/>
  <c r="F50" i="1"/>
  <c r="E158" i="1"/>
  <c r="W12" i="83"/>
  <c r="F27" i="1"/>
  <c r="AB12" i="79"/>
  <c r="D29" i="1"/>
  <c r="AC33" i="79"/>
  <c r="G13" i="1"/>
  <c r="I26" i="83"/>
  <c r="G87" i="1"/>
  <c r="AC7" i="83"/>
  <c r="X7" i="74"/>
  <c r="H32" i="74"/>
  <c r="E62" i="1"/>
  <c r="E52" i="1"/>
  <c r="F73" i="1"/>
  <c r="G21" i="79"/>
  <c r="Z23" i="83"/>
  <c r="E92" i="1"/>
  <c r="AB24" i="83"/>
  <c r="Z20" i="83"/>
  <c r="F15" i="1"/>
  <c r="AC6" i="79"/>
  <c r="J19" i="83"/>
  <c r="E53" i="1"/>
  <c r="Y28" i="74"/>
  <c r="G47" i="1"/>
  <c r="D120" i="1"/>
  <c r="F112" i="1"/>
  <c r="G30" i="83"/>
  <c r="M24" i="79"/>
  <c r="AD8" i="79"/>
  <c r="F72" i="1"/>
  <c r="M21" i="74"/>
  <c r="F21" i="1"/>
  <c r="F14" i="83"/>
  <c r="H13" i="80"/>
  <c r="I33" i="79"/>
  <c r="F18" i="79"/>
  <c r="M29" i="80"/>
  <c r="I26" i="79"/>
  <c r="AB30" i="83"/>
  <c r="C106" i="1"/>
  <c r="J34" i="79"/>
  <c r="G199" i="1"/>
  <c r="D150" i="1"/>
  <c r="G235" i="1"/>
  <c r="H34" i="80"/>
  <c r="K8" i="80"/>
  <c r="C256" i="1"/>
  <c r="K19" i="74"/>
  <c r="K23" i="79"/>
  <c r="G17" i="74"/>
  <c r="G242" i="1"/>
  <c r="E117" i="1"/>
  <c r="H32" i="80"/>
  <c r="G33" i="79"/>
  <c r="C52" i="1"/>
  <c r="D97" i="1"/>
  <c r="K16" i="83"/>
  <c r="J27" i="79"/>
  <c r="G21" i="80"/>
  <c r="AA8" i="74"/>
  <c r="D188" i="1"/>
  <c r="C58" i="1"/>
  <c r="AB25" i="79"/>
  <c r="AA22" i="79"/>
  <c r="AB24" i="79"/>
  <c r="E109" i="1"/>
  <c r="G16" i="79"/>
  <c r="J17" i="74"/>
  <c r="G68" i="1"/>
  <c r="AB7" i="74"/>
  <c r="AB27" i="74"/>
  <c r="F14" i="80"/>
  <c r="G18" i="1"/>
  <c r="E246" i="1"/>
  <c r="X26" i="79"/>
  <c r="G107" i="1"/>
  <c r="K7" i="79"/>
  <c r="G100" i="1"/>
  <c r="AD28" i="83"/>
  <c r="D257" i="1"/>
  <c r="E177" i="1"/>
  <c r="J13" i="74"/>
  <c r="Y10" i="74"/>
  <c r="F23" i="80"/>
  <c r="K20" i="74"/>
  <c r="C51" i="1"/>
  <c r="D111" i="1"/>
  <c r="H28" i="80"/>
  <c r="H19" i="80"/>
  <c r="G29" i="83"/>
  <c r="J7" i="80"/>
  <c r="F47" i="1"/>
  <c r="D187" i="1"/>
  <c r="K19" i="80"/>
  <c r="M13" i="80"/>
  <c r="AC8" i="83"/>
  <c r="J18" i="79"/>
  <c r="Z9" i="79"/>
  <c r="F22" i="1"/>
  <c r="H6" i="80"/>
  <c r="E121" i="1"/>
  <c r="E204" i="1"/>
  <c r="G213" i="1"/>
  <c r="G11" i="83"/>
  <c r="AC11" i="79"/>
  <c r="AB29" i="79"/>
  <c r="G20" i="80"/>
  <c r="X22" i="74"/>
  <c r="W34" i="79"/>
  <c r="E35" i="1"/>
  <c r="AA28" i="74"/>
  <c r="E157" i="1"/>
  <c r="AB22" i="83"/>
  <c r="W28" i="74"/>
  <c r="E162" i="1"/>
  <c r="D227" i="1"/>
  <c r="X12" i="79"/>
  <c r="E20" i="1"/>
  <c r="J6" i="83"/>
  <c r="AC25" i="79"/>
  <c r="AD10" i="79"/>
  <c r="Y22" i="74"/>
  <c r="I26" i="80"/>
  <c r="D85" i="1"/>
  <c r="AA19" i="83"/>
  <c r="AB33" i="79"/>
  <c r="M16" i="83"/>
  <c r="C20" i="1"/>
  <c r="AA20" i="79"/>
  <c r="K23" i="74"/>
  <c r="E47" i="1"/>
  <c r="C23" i="1"/>
  <c r="C201" i="1"/>
  <c r="C56" i="1"/>
  <c r="W19" i="83"/>
  <c r="Y15" i="79"/>
  <c r="I20" i="79"/>
  <c r="C228" i="1"/>
  <c r="G9" i="80"/>
  <c r="Y34" i="79"/>
  <c r="AD9" i="79"/>
  <c r="D179" i="1"/>
  <c r="D110" i="1"/>
  <c r="D58" i="1"/>
  <c r="Z7" i="74"/>
  <c r="D18" i="1"/>
  <c r="E249" i="1"/>
  <c r="J20" i="79"/>
  <c r="F25" i="74"/>
  <c r="W30" i="79"/>
  <c r="G72" i="1"/>
  <c r="H25" i="80"/>
  <c r="Y19" i="83"/>
  <c r="D44" i="1"/>
  <c r="E242" i="1"/>
  <c r="G234" i="1"/>
  <c r="X19" i="83"/>
  <c r="I32" i="74"/>
  <c r="F94" i="1"/>
  <c r="AA19" i="79"/>
  <c r="C21" i="1"/>
  <c r="C209" i="1"/>
  <c r="E120" i="1"/>
  <c r="D221" i="1"/>
  <c r="W20" i="83"/>
  <c r="C28" i="1"/>
  <c r="F23" i="1"/>
  <c r="G15" i="83"/>
  <c r="W16" i="79"/>
  <c r="I21" i="79"/>
  <c r="J11" i="79"/>
  <c r="G26" i="1"/>
  <c r="AA23" i="79"/>
  <c r="J16" i="79"/>
  <c r="J7" i="74"/>
  <c r="Z25" i="79"/>
  <c r="D116" i="1"/>
  <c r="H22" i="80"/>
  <c r="E188" i="1"/>
  <c r="M31" i="80"/>
  <c r="F108" i="1"/>
  <c r="AB31" i="83"/>
  <c r="AB20" i="74"/>
  <c r="F91" i="1"/>
  <c r="E217" i="1"/>
  <c r="W10" i="79"/>
  <c r="G61" i="1"/>
  <c r="E105" i="1"/>
  <c r="X19" i="74"/>
  <c r="C44" i="1"/>
  <c r="J15" i="80"/>
  <c r="H11" i="80"/>
  <c r="E172" i="1"/>
  <c r="F16" i="83"/>
  <c r="I22" i="74"/>
  <c r="C63" i="1"/>
  <c r="E256" i="1"/>
  <c r="Z10" i="74"/>
  <c r="D200" i="1"/>
  <c r="AC30" i="79"/>
  <c r="AD20" i="74"/>
  <c r="AA24" i="83"/>
  <c r="Y24" i="83"/>
  <c r="E245" i="1"/>
  <c r="F7" i="80"/>
  <c r="F87" i="1"/>
  <c r="H15" i="80"/>
  <c r="D86" i="1"/>
  <c r="D47" i="1"/>
  <c r="AB27" i="83"/>
  <c r="W8" i="83"/>
  <c r="J7" i="83"/>
  <c r="G11" i="80"/>
  <c r="I25" i="79"/>
  <c r="F26" i="1"/>
  <c r="D184" i="1"/>
  <c r="AA19" i="74"/>
  <c r="C62" i="1"/>
  <c r="K15" i="83"/>
  <c r="G247" i="1"/>
  <c r="E110" i="1"/>
  <c r="C189" i="1"/>
  <c r="AB26" i="83"/>
  <c r="G185" i="1"/>
  <c r="AA21" i="74"/>
  <c r="C197" i="1"/>
  <c r="X7" i="83"/>
  <c r="C129" i="1"/>
  <c r="AD31" i="83"/>
  <c r="D12" i="1"/>
  <c r="Z17" i="79"/>
  <c r="E195" i="1"/>
  <c r="E139" i="1"/>
  <c r="J33" i="79"/>
  <c r="F71" i="1"/>
  <c r="Z31" i="79"/>
  <c r="Z19" i="83"/>
  <c r="E55" i="1"/>
  <c r="W26" i="83"/>
  <c r="C130" i="1"/>
  <c r="C100" i="1"/>
  <c r="G28" i="1"/>
  <c r="AA30" i="83"/>
  <c r="X19" i="79"/>
  <c r="AB27" i="79"/>
  <c r="I19" i="79"/>
  <c r="X9" i="79"/>
  <c r="I31" i="83"/>
  <c r="F34" i="80"/>
  <c r="C198" i="1"/>
  <c r="G66" i="1"/>
  <c r="H29" i="80"/>
  <c r="AA28" i="79"/>
  <c r="G99" i="1"/>
  <c r="F33" i="79"/>
  <c r="Z22" i="83"/>
  <c r="C190" i="1"/>
  <c r="J25" i="83"/>
  <c r="AD30" i="79"/>
  <c r="W23" i="79"/>
  <c r="F7" i="79"/>
  <c r="E155" i="1"/>
  <c r="F28" i="74"/>
  <c r="K16" i="79"/>
  <c r="J9" i="83"/>
  <c r="E258" i="1"/>
  <c r="C111" i="1"/>
  <c r="G9" i="74"/>
  <c r="T2" i="83"/>
  <c r="T2" i="79"/>
  <c r="D53" i="5"/>
  <c r="T2" i="74"/>
  <c r="I219" i="1" l="1"/>
  <c r="H219" i="1"/>
  <c r="I184" i="1"/>
  <c r="H184" i="1"/>
  <c r="H250" i="1"/>
  <c r="I250" i="1"/>
  <c r="H216" i="1"/>
  <c r="I216" i="1"/>
  <c r="H144" i="1"/>
  <c r="I144" i="1"/>
  <c r="I124" i="1"/>
  <c r="H124" i="1"/>
  <c r="H121" i="1"/>
  <c r="I121" i="1"/>
  <c r="H128" i="1"/>
  <c r="I128" i="1"/>
  <c r="I157" i="1"/>
  <c r="H157" i="1"/>
  <c r="H119" i="1"/>
  <c r="I119" i="1"/>
  <c r="I177" i="1"/>
  <c r="H177" i="1"/>
  <c r="H234" i="1"/>
  <c r="I234" i="1"/>
  <c r="I115" i="1"/>
  <c r="H115" i="1"/>
  <c r="H196" i="1"/>
  <c r="I196" i="1"/>
  <c r="H222" i="1"/>
  <c r="I222" i="1"/>
  <c r="X33" i="74"/>
  <c r="X32" i="83" s="1"/>
  <c r="F39" i="83"/>
  <c r="K45" i="80" s="1"/>
  <c r="F38" i="83"/>
  <c r="K44" i="80" s="1"/>
  <c r="F37" i="83"/>
  <c r="K43" i="80" s="1"/>
  <c r="F40" i="83"/>
  <c r="K46" i="80" s="1"/>
  <c r="F36" i="83"/>
  <c r="K42" i="80" s="1" a="1"/>
  <c r="K42" i="80" s="1"/>
  <c r="H158" i="1"/>
  <c r="I158" i="1"/>
  <c r="H155" i="1"/>
  <c r="I155" i="1"/>
  <c r="H257" i="1"/>
  <c r="I257" i="1"/>
  <c r="AA35" i="79"/>
  <c r="AA33" i="83" s="1"/>
  <c r="H152" i="1"/>
  <c r="I152" i="1"/>
  <c r="I217" i="1"/>
  <c r="H217" i="1"/>
  <c r="I220" i="1"/>
  <c r="H220" i="1"/>
  <c r="Y34" i="83"/>
  <c r="I129" i="1"/>
  <c r="H129" i="1"/>
  <c r="I202" i="1"/>
  <c r="H202" i="1"/>
  <c r="H190" i="1"/>
  <c r="I190" i="1"/>
  <c r="H163" i="1"/>
  <c r="I163" i="1"/>
  <c r="AB35" i="79"/>
  <c r="AB33" i="83" s="1"/>
  <c r="I212" i="1"/>
  <c r="H212" i="1"/>
  <c r="Z34" i="83"/>
  <c r="AD35" i="79"/>
  <c r="AD33" i="83" s="1"/>
  <c r="H143" i="1"/>
  <c r="I143" i="1"/>
  <c r="H172" i="1"/>
  <c r="I172" i="1"/>
  <c r="I252" i="1"/>
  <c r="H252" i="1"/>
  <c r="I173" i="1"/>
  <c r="H173" i="1"/>
  <c r="H123" i="1"/>
  <c r="I123" i="1"/>
  <c r="I154" i="1"/>
  <c r="H154" i="1"/>
  <c r="H134" i="1"/>
  <c r="I134" i="1"/>
  <c r="H137" i="1"/>
  <c r="I137" i="1"/>
  <c r="I259" i="1"/>
  <c r="H259" i="1"/>
  <c r="I209" i="1"/>
  <c r="H209" i="1"/>
  <c r="H116" i="1"/>
  <c r="I116" i="1"/>
  <c r="H131" i="1"/>
  <c r="I131" i="1"/>
  <c r="I162" i="1"/>
  <c r="H162" i="1"/>
  <c r="I180" i="1"/>
  <c r="H180" i="1"/>
  <c r="I251" i="1"/>
  <c r="H251" i="1"/>
  <c r="I138" i="1"/>
  <c r="H138" i="1"/>
  <c r="H166" i="1"/>
  <c r="I166" i="1"/>
  <c r="H232" i="1"/>
  <c r="I232" i="1"/>
  <c r="I227" i="1"/>
  <c r="H227" i="1"/>
  <c r="H239" i="1"/>
  <c r="I239" i="1"/>
  <c r="H182" i="1"/>
  <c r="I182" i="1"/>
  <c r="H122" i="1"/>
  <c r="I122" i="1"/>
  <c r="X34" i="83"/>
  <c r="I192" i="1"/>
  <c r="H192" i="1"/>
  <c r="I142" i="1"/>
  <c r="H142" i="1"/>
  <c r="I256" i="1"/>
  <c r="H256" i="1"/>
  <c r="H171" i="1"/>
  <c r="I171" i="1"/>
  <c r="F37" i="74"/>
  <c r="I42" i="80" s="1" a="1"/>
  <c r="I42" i="80" s="1"/>
  <c r="F38" i="74"/>
  <c r="I43" i="80" s="1" a="1"/>
  <c r="I43" i="80" s="1"/>
  <c r="F39" i="74"/>
  <c r="I44" i="80" s="1" a="1"/>
  <c r="I44" i="80" s="1"/>
  <c r="F40" i="74"/>
  <c r="I45" i="80" s="1" a="1"/>
  <c r="I45" i="80" s="1"/>
  <c r="F41" i="74"/>
  <c r="I46" i="80" s="1" a="1"/>
  <c r="I46" i="80" s="1"/>
  <c r="I175" i="1"/>
  <c r="H175" i="1"/>
  <c r="I198" i="1"/>
  <c r="H198" i="1"/>
  <c r="I194" i="1"/>
  <c r="H194" i="1"/>
  <c r="I176" i="1"/>
  <c r="H176" i="1"/>
  <c r="I218" i="1"/>
  <c r="H218" i="1"/>
  <c r="I204" i="1"/>
  <c r="H204" i="1"/>
  <c r="I132" i="1"/>
  <c r="H132" i="1"/>
  <c r="I210" i="1"/>
  <c r="H210" i="1"/>
  <c r="I226" i="1"/>
  <c r="H226" i="1"/>
  <c r="I223" i="1"/>
  <c r="H223" i="1"/>
  <c r="H211" i="1"/>
  <c r="I211" i="1"/>
  <c r="Y35" i="79"/>
  <c r="Y33" i="83" s="1"/>
  <c r="I169" i="1"/>
  <c r="H169" i="1"/>
  <c r="I185" i="1"/>
  <c r="H185" i="1"/>
  <c r="H183" i="1"/>
  <c r="I183" i="1"/>
  <c r="H246" i="1"/>
  <c r="I246" i="1"/>
  <c r="H224" i="1"/>
  <c r="I224" i="1"/>
  <c r="H168" i="1"/>
  <c r="I168" i="1"/>
  <c r="H254" i="1"/>
  <c r="I254" i="1"/>
  <c r="I179" i="1"/>
  <c r="H179" i="1"/>
  <c r="H244" i="1"/>
  <c r="I244" i="1"/>
  <c r="Y33" i="74"/>
  <c r="Y32" i="83" s="1"/>
  <c r="I161" i="1"/>
  <c r="H161" i="1"/>
  <c r="H238" i="1"/>
  <c r="I238" i="1"/>
  <c r="H188" i="1"/>
  <c r="I188" i="1"/>
  <c r="F39" i="79"/>
  <c r="J42" i="80" s="1" a="1"/>
  <c r="J42" i="80" s="1"/>
  <c r="F42" i="79"/>
  <c r="J45" i="80" s="1"/>
  <c r="F41" i="79"/>
  <c r="J44" i="80" s="1"/>
  <c r="F43" i="79"/>
  <c r="J46" i="80" s="1"/>
  <c r="F40" i="79"/>
  <c r="J43" i="80" s="1"/>
  <c r="H229" i="1"/>
  <c r="I229" i="1"/>
  <c r="I203" i="1"/>
  <c r="H203" i="1"/>
  <c r="X35" i="79"/>
  <c r="X33" i="83" s="1"/>
  <c r="H127" i="1"/>
  <c r="I127" i="1"/>
  <c r="W34" i="83"/>
  <c r="I205" i="1"/>
  <c r="H205" i="1"/>
  <c r="AA34" i="83"/>
  <c r="H206" i="1"/>
  <c r="I206" i="1"/>
  <c r="I213" i="1"/>
  <c r="H213" i="1"/>
  <c r="I240" i="1"/>
  <c r="H240" i="1"/>
  <c r="I221" i="1"/>
  <c r="H221" i="1"/>
  <c r="H195" i="1"/>
  <c r="I195" i="1"/>
  <c r="I230" i="1"/>
  <c r="H230" i="1"/>
  <c r="H186" i="1"/>
  <c r="I186" i="1"/>
  <c r="H245" i="1"/>
  <c r="I245" i="1"/>
  <c r="I120" i="1"/>
  <c r="H120" i="1"/>
  <c r="I146" i="1"/>
  <c r="H146" i="1"/>
  <c r="I170" i="1"/>
  <c r="H170" i="1"/>
  <c r="H253" i="1"/>
  <c r="I253" i="1"/>
  <c r="I148" i="1"/>
  <c r="H148" i="1"/>
  <c r="I156" i="1"/>
  <c r="H156" i="1"/>
  <c r="H150" i="1"/>
  <c r="I150" i="1"/>
  <c r="W33" i="74"/>
  <c r="H200" i="1"/>
  <c r="I200" i="1"/>
  <c r="H228" i="1"/>
  <c r="I228" i="1"/>
  <c r="I133" i="1"/>
  <c r="H133" i="1"/>
  <c r="H126" i="1"/>
  <c r="I126" i="1"/>
  <c r="AB34" i="83"/>
  <c r="H167" i="1"/>
  <c r="I167" i="1"/>
  <c r="I258" i="1"/>
  <c r="H258" i="1"/>
  <c r="I233" i="1"/>
  <c r="H233" i="1"/>
  <c r="G261" i="1"/>
  <c r="AD33" i="74"/>
  <c r="AD32" i="83" s="1"/>
  <c r="H248" i="1"/>
  <c r="I248" i="1"/>
  <c r="Z35" i="79"/>
  <c r="Z33" i="83" s="1"/>
  <c r="H199" i="1"/>
  <c r="I199" i="1"/>
  <c r="AC34" i="83"/>
  <c r="AD34" i="83"/>
  <c r="I117" i="1"/>
  <c r="H117" i="1"/>
  <c r="F45" i="80"/>
  <c r="F42" i="80"/>
  <c r="F43" i="80"/>
  <c r="F46" i="80"/>
  <c r="L46" i="80" s="1"/>
  <c r="F44" i="80"/>
  <c r="L44" i="80" s="1"/>
  <c r="H197" i="1"/>
  <c r="I197" i="1"/>
  <c r="H191" i="1"/>
  <c r="I191" i="1"/>
  <c r="Z33" i="74"/>
  <c r="Z32" i="83" s="1"/>
  <c r="H214" i="1"/>
  <c r="I214" i="1"/>
  <c r="H242" i="1"/>
  <c r="I242" i="1"/>
  <c r="H231" i="1"/>
  <c r="I231" i="1"/>
  <c r="I207" i="1"/>
  <c r="H207" i="1"/>
  <c r="H153" i="1"/>
  <c r="I153" i="1"/>
  <c r="I237" i="1"/>
  <c r="H237" i="1"/>
  <c r="I135" i="1"/>
  <c r="H135" i="1"/>
  <c r="H147" i="1"/>
  <c r="I147" i="1"/>
  <c r="I125" i="1"/>
  <c r="H125" i="1"/>
  <c r="AC35" i="79"/>
  <c r="AC33" i="83" s="1"/>
  <c r="I164" i="1"/>
  <c r="H164" i="1"/>
  <c r="H160" i="1"/>
  <c r="I160" i="1"/>
  <c r="AB33" i="74"/>
  <c r="AB32" i="83" s="1"/>
  <c r="I151" i="1"/>
  <c r="H151" i="1"/>
  <c r="H201" i="1"/>
  <c r="I201" i="1"/>
  <c r="I255" i="1"/>
  <c r="H255" i="1"/>
  <c r="H145" i="1"/>
  <c r="I145" i="1"/>
  <c r="H243" i="1"/>
  <c r="I243" i="1"/>
  <c r="I130" i="1"/>
  <c r="H130" i="1"/>
  <c r="I178" i="1"/>
  <c r="H178" i="1"/>
  <c r="I136" i="1"/>
  <c r="H136" i="1"/>
  <c r="I215" i="1"/>
  <c r="H215" i="1"/>
  <c r="H225" i="1"/>
  <c r="I225" i="1"/>
  <c r="I235" i="1"/>
  <c r="H235" i="1"/>
  <c r="I236" i="1"/>
  <c r="H236" i="1"/>
  <c r="I149" i="1"/>
  <c r="H149" i="1"/>
  <c r="AA33" i="74"/>
  <c r="AA32" i="83" s="1"/>
  <c r="H187" i="1"/>
  <c r="I187" i="1"/>
  <c r="I139" i="1"/>
  <c r="H139" i="1"/>
  <c r="I249" i="1"/>
  <c r="H249" i="1"/>
  <c r="I193" i="1"/>
  <c r="H193" i="1"/>
  <c r="H159" i="1"/>
  <c r="I159" i="1"/>
  <c r="I208" i="1"/>
  <c r="H208" i="1"/>
  <c r="H189" i="1"/>
  <c r="I189" i="1"/>
  <c r="H165" i="1"/>
  <c r="I165" i="1"/>
  <c r="I241" i="1"/>
  <c r="H241" i="1"/>
  <c r="W35" i="79"/>
  <c r="W33" i="83" s="1"/>
  <c r="W35" i="83" s="1"/>
  <c r="AC33" i="74"/>
  <c r="AC32" i="83" s="1"/>
  <c r="H140" i="1"/>
  <c r="I140" i="1"/>
  <c r="H174" i="1"/>
  <c r="I174" i="1"/>
  <c r="I247" i="1"/>
  <c r="H247" i="1"/>
  <c r="I141" i="1"/>
  <c r="H141" i="1"/>
  <c r="AB35" i="83" l="1"/>
  <c r="L45" i="80"/>
  <c r="L42" i="80"/>
  <c r="AD35" i="83"/>
  <c r="AD42" i="83" s="1"/>
  <c r="AC35" i="83"/>
  <c r="AA35" i="83"/>
  <c r="AA36" i="83" s="1"/>
  <c r="Z35" i="83"/>
  <c r="Z42" i="83" s="1"/>
  <c r="AB42" i="83"/>
  <c r="AB36" i="83"/>
  <c r="AA42" i="83"/>
  <c r="W36" i="83"/>
  <c r="W42" i="83"/>
  <c r="L43" i="80"/>
  <c r="Y35" i="83"/>
  <c r="AC42" i="83"/>
  <c r="AC36" i="83"/>
  <c r="X35" i="83"/>
  <c r="X42" i="83" s="1"/>
  <c r="AD36" i="83" l="1"/>
  <c r="Y42" i="83"/>
  <c r="Y36" i="8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<sst xmlns="http://schemas.openxmlformats.org/spreadsheetml/2006/main" count="121308" uniqueCount="10633">
  <si>
    <t xml:space="preserve">  Notes</t>
  </si>
  <si>
    <t>More Information</t>
  </si>
  <si>
    <t>United States</t>
  </si>
  <si>
    <t>Qty</t>
  </si>
  <si>
    <t>Extended
MSRP</t>
  </si>
  <si>
    <t>Description</t>
  </si>
  <si>
    <t>Access Point</t>
  </si>
  <si>
    <t>Xirrus Support</t>
  </si>
  <si>
    <t>Part Number</t>
  </si>
  <si>
    <t>Yes</t>
  </si>
  <si>
    <t>cnPilot</t>
  </si>
  <si>
    <t>Accessory</t>
  </si>
  <si>
    <t>India</t>
  </si>
  <si>
    <t>Cambium Care Advanced, 1-year support for one XP8-MSI device.  24x7 TAC support, SW updates, and NBD advance replacement for HW</t>
  </si>
  <si>
    <t>Cambium Care Advanced, 3-year support for one XP8-MSI device.  24x7 TAC support, SW updates, and NBD advance replacement for HW</t>
  </si>
  <si>
    <t>Cambium Care Advanced, 5-year support for one XP8-MSI device.  24x7 TAC support, SW updates, and NBD advance replacement for HW</t>
  </si>
  <si>
    <t>Taiwan</t>
  </si>
  <si>
    <t>Turkey</t>
  </si>
  <si>
    <t>Mexico</t>
  </si>
  <si>
    <t>Philippines</t>
  </si>
  <si>
    <t>China</t>
  </si>
  <si>
    <t>CCADV-SUP-XP8-MSI-1</t>
  </si>
  <si>
    <t>CCADV-SUP-XP8-MSI-3</t>
  </si>
  <si>
    <t>CCADV-SUP-XP8-MSI-5</t>
  </si>
  <si>
    <t>No</t>
  </si>
  <si>
    <t xml:space="preserve">Quantity
</t>
  </si>
  <si>
    <t>Ukraine</t>
  </si>
  <si>
    <t>Cambium Care Advanced, 1-year support for one XR-600 Wireless AP.  24x7 TAC support, SW updates, and NBD advance replacement for HW</t>
  </si>
  <si>
    <t>Cambium Care Advanced, 3-year support for one XR-600 Wireless AP.  24x7 TAC support, SW updates, and NBD advance replacement for HW</t>
  </si>
  <si>
    <t>Cambium Care Advanced, 5-year support for one XR-600 Wireless AP.  24x7 TAC support, SW updates, and NBD advance replacement for HW</t>
  </si>
  <si>
    <t>Cambium Care Pro, 1-year support renewal for one XR-600 Wireless AP.  24x7 TAC support, SW updates, and NBD advance replacement for HW</t>
  </si>
  <si>
    <t>Cambium Care Pro, 3-year support renewal for one XR-600 Wireless AP.  24x7 TAC support, SW updates, and NBD advance replacement for HW</t>
  </si>
  <si>
    <t>Cambium Care Pro, 5-year support renewal for one XR-600 Wireless AP.  24x7 TAC support, SW updates, and NBD advance replacement for HW</t>
  </si>
  <si>
    <t>cnMatrix</t>
  </si>
  <si>
    <t>SFP-10G-SR</t>
  </si>
  <si>
    <t>SFP-1G-SX</t>
  </si>
  <si>
    <t>SFP-10G-LR</t>
  </si>
  <si>
    <t>10G SFP+ SMF LR Transceiver, 1310nm. -40C to 85C</t>
  </si>
  <si>
    <t>SFP-1G-LX</t>
  </si>
  <si>
    <t>1G SFP SMF LX Transceiver, 1310nm. -40C to 85C</t>
  </si>
  <si>
    <t>SFP-1G-Copper</t>
  </si>
  <si>
    <t>SFP-10G-Copper</t>
  </si>
  <si>
    <t>EX2052</t>
  </si>
  <si>
    <t>EX2052-P</t>
  </si>
  <si>
    <t>EX2010</t>
  </si>
  <si>
    <t>EX2010-P</t>
  </si>
  <si>
    <t>EX2016M-P</t>
  </si>
  <si>
    <t>EX2028</t>
  </si>
  <si>
    <t>EX2028-P</t>
  </si>
  <si>
    <t>EX2052R-P</t>
  </si>
  <si>
    <t>cnMatrix Switches</t>
  </si>
  <si>
    <t>N000000L142A</t>
  </si>
  <si>
    <t>N000900L031A</t>
  </si>
  <si>
    <t>N000900L032A</t>
  </si>
  <si>
    <t>N000900L033A</t>
  </si>
  <si>
    <t>N000900L034A</t>
  </si>
  <si>
    <t>N000900L012A</t>
  </si>
  <si>
    <t>N000900L013A</t>
  </si>
  <si>
    <t>N000900L015A</t>
  </si>
  <si>
    <t>CCADV-SUP-XV3-8-1</t>
  </si>
  <si>
    <t>Cambium Care Advanced, 1-year support for one XV3-8 Wireless AP.  24x7 TAC support, SW updates, and NBD advance replacement for HW</t>
  </si>
  <si>
    <t>CCADV-SUP-XV3-8-3</t>
  </si>
  <si>
    <t>Cambium Care Advanced, 3-year support for one XV3-8 Wireless AP.  24x7 TAC support, SW updates, and NBD advance replacement for HW</t>
  </si>
  <si>
    <t>CCADV-SUP-XV3-8-5</t>
  </si>
  <si>
    <t>Cambium Care Advanced, 5-year support for one XV3-8 Wireless AP.  24x7 TAC support, SW updates, and NBD advance replacement for HW</t>
  </si>
  <si>
    <t>EX1028</t>
  </si>
  <si>
    <t>EX1028-P</t>
  </si>
  <si>
    <t>EX1010</t>
  </si>
  <si>
    <t>EX1010-P</t>
  </si>
  <si>
    <t>Class</t>
  </si>
  <si>
    <t>Enterprise</t>
  </si>
  <si>
    <t>cnPilot Indoor</t>
  </si>
  <si>
    <t>cnPilot Outdoor</t>
  </si>
  <si>
    <t>PL-E505X00A-RW</t>
  </si>
  <si>
    <t>N000900L017A</t>
  </si>
  <si>
    <t>N000065L001C</t>
  </si>
  <si>
    <t>PTP</t>
  </si>
  <si>
    <t>AC line cord, US Type B, 720mm, C5 connector</t>
  </si>
  <si>
    <t>AC line cord, EU Type F angled, 720mm, C5 connector</t>
  </si>
  <si>
    <t>AC line cord, UK Type G angled, 720mm, C5 connector</t>
  </si>
  <si>
    <t>AC line cord, BR Type N, 720mm, C5 connector</t>
  </si>
  <si>
    <t>AC line cord, IN Type D angled, 720mm, C5 connector</t>
  </si>
  <si>
    <t>AC line cord, AR Type I, 720mm, C5 connector</t>
  </si>
  <si>
    <t>AC line cord, CN Type I, 720mm, C5 connector</t>
  </si>
  <si>
    <t>CCADV-SUP-XV2-2-1</t>
  </si>
  <si>
    <t>CCADV-SUP-XV2-2-3</t>
  </si>
  <si>
    <t>CCADV-SUP-XV2-2-5</t>
  </si>
  <si>
    <t>CCPRO-SUP-XV2-2-1</t>
  </si>
  <si>
    <t>CCPRO-SUP-XV2-2-3</t>
  </si>
  <si>
    <t>CCPRO-SUP-XV2-2-5</t>
  </si>
  <si>
    <t xml:space="preserve">MSRP
</t>
  </si>
  <si>
    <t>To create a BOM, complete each of the "SELECTIONS" worksheets, then add other products in the "Additional Products" section below.   Then 1) click the "Quantity" filter arrow, 2) uncheck "0" to remove lines with Qty = 0, and the complete BOM with price totals is revealed.</t>
  </si>
  <si>
    <t>MSRP Total</t>
  </si>
  <si>
    <t>MSRP Price (USD)</t>
  </si>
  <si>
    <t>Price Group</t>
  </si>
  <si>
    <t>Item Category</t>
  </si>
  <si>
    <t>Frequency Band</t>
  </si>
  <si>
    <t>Lead Time Category</t>
  </si>
  <si>
    <t>US Lead Time (Business Days)</t>
  </si>
  <si>
    <t>Weight</t>
  </si>
  <si>
    <t>Weight Units</t>
  </si>
  <si>
    <t>Height (cm)</t>
  </si>
  <si>
    <t>Width (cm)</t>
  </si>
  <si>
    <t>Length (cm)</t>
  </si>
  <si>
    <t>HTS Code NA</t>
  </si>
  <si>
    <t>COO</t>
  </si>
  <si>
    <t>ECCN (US)</t>
  </si>
  <si>
    <t>Part Status (NA D/C)</t>
  </si>
  <si>
    <t>Last Modified</t>
  </si>
  <si>
    <t>Sales Group</t>
  </si>
  <si>
    <t>SR</t>
  </si>
  <si>
    <t/>
  </si>
  <si>
    <t>Product</t>
  </si>
  <si>
    <t>kg</t>
  </si>
  <si>
    <t>8544.42.2000</t>
  </si>
  <si>
    <t>EAR99</t>
  </si>
  <si>
    <t>Released</t>
  </si>
  <si>
    <t>8517.70.0000</t>
  </si>
  <si>
    <t>SW Key</t>
  </si>
  <si>
    <t>Pending Obsolete</t>
  </si>
  <si>
    <t>APAC Standard,CALA Standard,EMEA Standard,NA Standard,Network Products,WIFI6,cnMatrix,cnPilot</t>
  </si>
  <si>
    <t>8504.40.8500</t>
  </si>
  <si>
    <t>8302.50.0000</t>
  </si>
  <si>
    <t>8517.62.0090</t>
  </si>
  <si>
    <t>5A992.c</t>
  </si>
  <si>
    <t>CCADV-RNW-1-X2</t>
  </si>
  <si>
    <t>Xirrus_Renewal</t>
  </si>
  <si>
    <t>CCADV-RNW-1-XA4</t>
  </si>
  <si>
    <t>CCADV-RNW-1-XD2-230</t>
  </si>
  <si>
    <t>CCADV-RNW-1-XD2-240</t>
  </si>
  <si>
    <t>CCADV-RNW-1-XD4</t>
  </si>
  <si>
    <t>CCADV-RNW-1-XH2</t>
  </si>
  <si>
    <t>CCADV-RNW-1-XI-2PACK</t>
  </si>
  <si>
    <t>CCADV-RNW-1-XI-4PACK</t>
  </si>
  <si>
    <t>CCADV-RNW-1-XI-XT-5024</t>
  </si>
  <si>
    <t>CCADV-RNW-1-XP2-MSI-95M</t>
  </si>
  <si>
    <t>CCADV-RNW-1-XP8-MSI</t>
  </si>
  <si>
    <t>CCADV-RNW-1-XR-2200</t>
  </si>
  <si>
    <t>CCADV-RNW-1-XR-2400</t>
  </si>
  <si>
    <t>CCADV-RNW-1-XR-2400H</t>
  </si>
  <si>
    <t>CCADV-RNW-1-XR-300</t>
  </si>
  <si>
    <t>CCADV-RNW-1-XR-4400</t>
  </si>
  <si>
    <t>CCADV-RNW-1-XR-4800</t>
  </si>
  <si>
    <t>CCADV-RNW-1-XR-500H</t>
  </si>
  <si>
    <t>CCADV-RNW-1-XR-600</t>
  </si>
  <si>
    <t>CCADV-RNW-1-XT-5028</t>
  </si>
  <si>
    <t>CCADV-RNW-3-X2</t>
  </si>
  <si>
    <t>CCADV-RNW-3-XA4</t>
  </si>
  <si>
    <t>CCADV-RNW-3-XD2-230</t>
  </si>
  <si>
    <t>CCADV-RNW-3-XD2-240</t>
  </si>
  <si>
    <t>CCADV-RNW-3-XD4</t>
  </si>
  <si>
    <t>CCADV-RNW-3-XH2</t>
  </si>
  <si>
    <t>CCADV-RNW-3-XI-2PACK</t>
  </si>
  <si>
    <t>CCADV-RNW-3-XI-2PACK-MON</t>
  </si>
  <si>
    <t>Cambium Care Advanced, 1-month support renewal for one XI-2PACK modular radio kit.  24x7 TAC support, SW updates, and NBD advance replacement for HW, 3-year rate</t>
  </si>
  <si>
    <t>CCADV-RNW-3-XI-4PACK</t>
  </si>
  <si>
    <t>CCADV-RNW-3-XI-4PACK-MON</t>
  </si>
  <si>
    <t>CCADV-RNW-3-XI-XT-5024</t>
  </si>
  <si>
    <t>CCADV-RNW-3-XI-XT-5024-MON</t>
  </si>
  <si>
    <t>CCADV-RNW-3-XP2-MSI-95M</t>
  </si>
  <si>
    <t>CCADV-RNW-3-XP2-MSI-95M-MON</t>
  </si>
  <si>
    <t>CCADV-RNW-3-XP8-MSI</t>
  </si>
  <si>
    <t>CCADV-RNW-3-XR-1200</t>
  </si>
  <si>
    <t>CCADV-RNW-3-XR-1200-MON</t>
  </si>
  <si>
    <t>CCADV-RNW-3-XR-1200H</t>
  </si>
  <si>
    <t>CCADV-RNW-3-XR-1200H-MON</t>
  </si>
  <si>
    <t>CCADV-RNW-3-XR-2200</t>
  </si>
  <si>
    <t>CCADV-RNW-3-XR-2200-MON</t>
  </si>
  <si>
    <t>CCADV-RNW-3-XR-2400</t>
  </si>
  <si>
    <t>CCADV-RNW-3-XR-2400-MON</t>
  </si>
  <si>
    <t>CCADV-RNW-3-XR-2400H</t>
  </si>
  <si>
    <t>CCADV-RNW-3-XR-2400H-MON</t>
  </si>
  <si>
    <t>CCADV-RNW-3-XR-300</t>
  </si>
  <si>
    <t>CCADV-RNW-3-XR-4400</t>
  </si>
  <si>
    <t>CCADV-RNW-3-XR-4400-MON</t>
  </si>
  <si>
    <t>CCADV-RNW-3-XR-4800</t>
  </si>
  <si>
    <t>CCADV-RNW-3-XR-4800-MON</t>
  </si>
  <si>
    <t>CCADV-RNW-3-XR-500</t>
  </si>
  <si>
    <t>CCADV-RNW-3-XR-500-MON</t>
  </si>
  <si>
    <t>CCADV-RNW-3-XR-500H</t>
  </si>
  <si>
    <t>CCADV-RNW-3-XR-500H-MON</t>
  </si>
  <si>
    <t>CCADV-RNW-3-XR-6800</t>
  </si>
  <si>
    <t>CCADV-RNW-3-XR-6800-MON</t>
  </si>
  <si>
    <t>CCADV-RNW-3-XR-7200</t>
  </si>
  <si>
    <t>CCADV-RNW-3-XR-7200-MON</t>
  </si>
  <si>
    <t>CCADV-RNW-3-XR-7600</t>
  </si>
  <si>
    <t>CCADV-RNW-3-XR-7600-MON</t>
  </si>
  <si>
    <t>CCADV-RNW-3-XT-5028</t>
  </si>
  <si>
    <t>CCADV-RNW-3-XT-5028-MON</t>
  </si>
  <si>
    <t>CCADV-RNW-5-X2</t>
  </si>
  <si>
    <t>CCADV-RNW-5-X2-MON</t>
  </si>
  <si>
    <t>CCADV-RNW-5-XA4</t>
  </si>
  <si>
    <t>CCADV-RNW-5-XD2-230</t>
  </si>
  <si>
    <t>CCADV-RNW-5-XD2-240</t>
  </si>
  <si>
    <t>CCADV-RNW-5-XD4</t>
  </si>
  <si>
    <t>CCADV-RNW-5-XH2</t>
  </si>
  <si>
    <t>CCADV-RNW-5-XP8-MSI</t>
  </si>
  <si>
    <t>CCADV-RNW-5-XR-300</t>
  </si>
  <si>
    <t>CCADV-RNW-5-XR-300-MON</t>
  </si>
  <si>
    <t>CCADV-RNW-5-XR-600</t>
  </si>
  <si>
    <t>CCADV-RNW-5-XR-600-MON</t>
  </si>
  <si>
    <t>Cambium Care Advanced, 1-year support renewal for one X2 Wireless AP.  24x7 TAC support, SW updates, and NBD advance replacement for HW</t>
  </si>
  <si>
    <t>Cambium Care Advanced, 3-year support renewal for one X2 Wireless AP.  24x7 TAC support, SW updates, and NBD advance replacement for HW</t>
  </si>
  <si>
    <t>Cambium Care Advanced, 5-year support renewal for one X2 Wireless AP.  24x7 TAC support, SW updates, and NBD advance replacement for HW</t>
  </si>
  <si>
    <t>Cambium Care Advanced, 1-year support renewal for one XA4 Wireless AP.  24x7 TAC support, SW updates, and NBD advance replacement for HW</t>
  </si>
  <si>
    <t>Cambium Care Advanced, 3-year support renewal for one XA4 Wireless AP.  24x7 TAC support, SW updates, and NBD advance replacement for HW</t>
  </si>
  <si>
    <t>Cambium Care Advanced, 5-year support renewal for one XA4 Wireless AP.  24x7 TAC support, SW updates, and NBD advance replacement for HW</t>
  </si>
  <si>
    <t>Cambium Care Advanced, 1-year support renewal for one XD2-230 Wireless AP.  24x7 TAC support, SW updates, and NBD advance replacement for HW</t>
  </si>
  <si>
    <t>Cambium Care Advanced, 3-year support renewal for one XD2-230 Wireless AP.  24x7 TAC support, SW updates, and NBD advance replacement for HW</t>
  </si>
  <si>
    <t>Cambium Care Advanced, 5-year support renewal for one XD2-230 Wireless AP.  24x7 TAC support, SW updates, and NBD advance replacement for HW</t>
  </si>
  <si>
    <t>Cambium Care Advanced, 1-year support renewal for one XD2-240 Wireless AP.  24x7 TAC support, SW updates, and NBD advance replacement for HW</t>
  </si>
  <si>
    <t>Cambium Care Advanced, 3-year support renewal for one XD2-240 Wireless AP.  24x7 TAC support, SW updates, and NBD advance replacement for HW</t>
  </si>
  <si>
    <t>Cambium Care Advanced, 5-year support renewal for one XD2-240 Wireless AP.  24x7 TAC support, SW updates, and NBD advance replacement for HW</t>
  </si>
  <si>
    <t>Cambium Care Advanced, 1-year support renewal for one XD4 Wireless AP.  24x7 TAC support, SW updates, and NBD advance replacement for HW</t>
  </si>
  <si>
    <t>Cambium Care Advanced, 3-year support renewal for one XD4 Wireless AP.  24x7 TAC support, SW updates, and NBD advance replacement for HW</t>
  </si>
  <si>
    <t>Cambium Care Advanced, 5-year support renewal for one XD4 Wireless AP.  24x7 TAC support, SW updates, and NBD advance replacement for HW</t>
  </si>
  <si>
    <t>Cambium Care Advanced, 1-year support renewal for one XH2 Wireless AP.  24x7 TAC support, SW updates, and NBD advance replacement for HW</t>
  </si>
  <si>
    <t>Cambium Care Advanced, 3-year support renewal for one XH2 Wireless AP.  24x7 TAC support, SW updates, and NBD advance replacement for HW</t>
  </si>
  <si>
    <t>Cambium Care Advanced, 5-year support renewal for one XH2 Wireless AP.  24x7 TAC support, SW updates, and NBD advance replacement for HW</t>
  </si>
  <si>
    <t>Cambium Care Advanced, 3-year support renewal for one XP8-MSI device.  24x7 TAC support, SW updates, and NBD advance replacement for HW</t>
  </si>
  <si>
    <t>Cambium Care Advanced, 1-year support renewal for one XR-300 Wireless AP.  24x7 TAC support, SW updates, and NBD advance replacement for HW</t>
  </si>
  <si>
    <t>Cambium Care Advanced, 3-year support renewal for one XR-300 Wireless AP.  24x7 TAC support, SW updates, and NBD advance replacement for HW</t>
  </si>
  <si>
    <t>Cambium Care Advanced, 5-year support renewal for one XR-300 Wireless AP.  24x7 TAC support, SW updates, and NBD advance replacement for HW</t>
  </si>
  <si>
    <t>Cambium Care Advanced, 3-year support renewal for one XR-7200 ccess point</t>
  </si>
  <si>
    <t>CCADV-SUP-XE-4KOD-1</t>
  </si>
  <si>
    <t>CCADV-SUP-XE-4KOD-3</t>
  </si>
  <si>
    <t>CCADV-SUP-XE-4KOD-5</t>
  </si>
  <si>
    <t>Cambium Care Advanced, 1-year support for one XV2-2 Wireless AP.  24x7 TAC support, SW updates, and NBD advance replacement for HW</t>
  </si>
  <si>
    <t>0000.00.0000</t>
  </si>
  <si>
    <t>Cambium Care Advanced, 3-year support for one XV2-2 Wireless AP.  24x7 TAC support, SW updates, and NBD advance replacement for HW</t>
  </si>
  <si>
    <t>Cambium Care Advanced, 5-year support for one XV2-2 Wireless AP.  24x7 TAC support, SW updates, and NBD advance replacement for HW</t>
  </si>
  <si>
    <t>CCPRO-RNW-1-X2</t>
  </si>
  <si>
    <t>CCPRO-RNW-1-XA4</t>
  </si>
  <si>
    <t>CCPRO-RNW-1-XD2-230</t>
  </si>
  <si>
    <t>CCPRO-RNW-1-XD2-240</t>
  </si>
  <si>
    <t>CCPRO-RNW-1-XD4</t>
  </si>
  <si>
    <t>CCPRO-RNW-1-XH2</t>
  </si>
  <si>
    <t>CCPRO-RNW-1-XI-2PACK</t>
  </si>
  <si>
    <t>CCPRO-RNW-1-XI-4PACK</t>
  </si>
  <si>
    <t>CCPRO-RNW-1-XI-XT-5024</t>
  </si>
  <si>
    <t>CCPRO-RNW-1-XMSE-100</t>
  </si>
  <si>
    <t>CCPRO-RNW-1-XMSE-1000</t>
  </si>
  <si>
    <t>CCPRO-RNW-1-XMSE-20</t>
  </si>
  <si>
    <t>CCPRO-RNW-1-XMSE-200</t>
  </si>
  <si>
    <t>CCPRO-RNW-1-XMSE-2000</t>
  </si>
  <si>
    <t>CCPRO-RNW-1-XMSE-30</t>
  </si>
  <si>
    <t>CCPRO-RNW-1-XMSE-300</t>
  </si>
  <si>
    <t>CCPRO-RNW-1-XMSE-3000</t>
  </si>
  <si>
    <t>CCPRO-RNW-1-XMSE-40</t>
  </si>
  <si>
    <t>CCPRO-RNW-1-XMSE-400</t>
  </si>
  <si>
    <t>CCPRO-RNW-1-XMSE-4000</t>
  </si>
  <si>
    <t>CCPRO-RNW-1-XMSE-50</t>
  </si>
  <si>
    <t>CCPRO-RNW-1-XMSE-500</t>
  </si>
  <si>
    <t>CCPRO-RNW-1-XMSE-5000</t>
  </si>
  <si>
    <t>CCPRO-RNW-1-XMSE-60</t>
  </si>
  <si>
    <t>CCPRO-RNW-1-XMSE-600</t>
  </si>
  <si>
    <t>CCPRO-RNW-1-XMSE-70</t>
  </si>
  <si>
    <t>CCPRO-RNW-1-XMSE-700</t>
  </si>
  <si>
    <t>CCPRO-RNW-1-XMSE-80</t>
  </si>
  <si>
    <t>CCPRO-RNW-1-XMSE-800</t>
  </si>
  <si>
    <t>CCPRO-RNW-1-XMSE-90</t>
  </si>
  <si>
    <t>CCPRO-RNW-1-XMSE-900</t>
  </si>
  <si>
    <t>CCPRO-RNW-1-XP2-MSI-95M</t>
  </si>
  <si>
    <t>CCPRO-RNW-1-XR-2200</t>
  </si>
  <si>
    <t>CCPRO-RNW-1-XR-2400</t>
  </si>
  <si>
    <t>CCPRO-RNW-1-XR-2400H</t>
  </si>
  <si>
    <t>CCPRO-RNW-1-XR-300</t>
  </si>
  <si>
    <t>CCPRO-RNW-1-XR-4400</t>
  </si>
  <si>
    <t>CCPRO-RNW-1-XR-4800</t>
  </si>
  <si>
    <t>CCPRO-RNW-1-XR-500H</t>
  </si>
  <si>
    <t>CCPRO-RNW-1-XR-600</t>
  </si>
  <si>
    <t>CCPRO-RNW-1-XT-5028</t>
  </si>
  <si>
    <t>CCPRO-RNW-3-X2</t>
  </si>
  <si>
    <t>CCPRO-RNW-3-XA4</t>
  </si>
  <si>
    <t>CCPRO-RNW-3-XD2-230</t>
  </si>
  <si>
    <t>CCPRO-RNW-3-XD2-240</t>
  </si>
  <si>
    <t>CCPRO-RNW-3-XD4</t>
  </si>
  <si>
    <t>CCPRO-RNW-3-XH2</t>
  </si>
  <si>
    <t>CCPRO-RNW-3-XI-2PACK</t>
  </si>
  <si>
    <t>CCPRO-RNW-3-XI-2PACK-MON</t>
  </si>
  <si>
    <t>CCPRO-RNW-3-XI-4PACK</t>
  </si>
  <si>
    <t>CCPRO-RNW-3-XI-4PACK-MON</t>
  </si>
  <si>
    <t>CCPRO-RNW-3-XI-XT-5024</t>
  </si>
  <si>
    <t>CCPRO-RNW-3-XI-XT-5024-MON</t>
  </si>
  <si>
    <t>CCPRO-RNW-3-XMSE-100</t>
  </si>
  <si>
    <t>CCPRO-RNW-3-XMSE-1000</t>
  </si>
  <si>
    <t>CCPRO-RNW-3-XMSE-20</t>
  </si>
  <si>
    <t>CCPRO-RNW-3-XMSE-200</t>
  </si>
  <si>
    <t>CCPRO-RNW-3-XMSE-2000</t>
  </si>
  <si>
    <t>CCPRO-RNW-3-XMSE-30</t>
  </si>
  <si>
    <t>CCPRO-RNW-3-XMSE-300</t>
  </si>
  <si>
    <t>CCPRO-RNW-3-XMSE-3000</t>
  </si>
  <si>
    <t>CCPRO-RNW-3-XMSE-40</t>
  </si>
  <si>
    <t>CCPRO-RNW-3-XMSE-400</t>
  </si>
  <si>
    <t>CCPRO-RNW-3-XMSE-4000</t>
  </si>
  <si>
    <t>CCPRO-RNW-3-XMSE-50</t>
  </si>
  <si>
    <t>CCPRO-RNW-3-XMSE-500</t>
  </si>
  <si>
    <t>CCPRO-RNW-3-XMSE-5000</t>
  </si>
  <si>
    <t>CCPRO-RNW-3-XMSE-60</t>
  </si>
  <si>
    <t>CCPRO-RNW-3-XMSE-600</t>
  </si>
  <si>
    <t>CCPRO-RNW-3-XMSE-70</t>
  </si>
  <si>
    <t>CCPRO-RNW-3-XMSE-700</t>
  </si>
  <si>
    <t>CCPRO-RNW-3-XMSE-80</t>
  </si>
  <si>
    <t>CCPRO-RNW-3-XMSE-800</t>
  </si>
  <si>
    <t>CCPRO-RNW-3-XMSE-90</t>
  </si>
  <si>
    <t>CCPRO-RNW-3-XMSE-900</t>
  </si>
  <si>
    <t>CCPRO-RNW-3-XP2-MSI-95M-MON</t>
  </si>
  <si>
    <t>CCPRO-RNW-3-XR-1200</t>
  </si>
  <si>
    <t>CCPRO-RNW-3-XR-1200-MON</t>
  </si>
  <si>
    <t>CCPRO-RNW-3-XR-1200H</t>
  </si>
  <si>
    <t>CCPRO-RNW-3-XR-1200H-MON</t>
  </si>
  <si>
    <t>CCPRO-RNW-3-XR-2200</t>
  </si>
  <si>
    <t>CCPRO-RNW-3-XR-2200-MON</t>
  </si>
  <si>
    <t>CCPRO-RNW-3-XR-2400</t>
  </si>
  <si>
    <t>CCPRO-RNW-3-XR-2400-MON</t>
  </si>
  <si>
    <t>CCPRO-RNW-3-XR-2400H</t>
  </si>
  <si>
    <t>CCPRO-RNW-3-XR-2400H-MON</t>
  </si>
  <si>
    <t>CCPRO-RNW-3-XR-300</t>
  </si>
  <si>
    <t>CCPRO-RNW-3-XR-4400</t>
  </si>
  <si>
    <t>CCPRO-RNW-3-XR-4400-MON</t>
  </si>
  <si>
    <t>CCPRO-RNW-3-XR-4800</t>
  </si>
  <si>
    <t>CCPRO-RNW-3-XR-4800-MON</t>
  </si>
  <si>
    <t>CCPRO-RNW-3-XR-500</t>
  </si>
  <si>
    <t>CCPRO-RNW-3-XR-500-MON</t>
  </si>
  <si>
    <t>CCPRO-RNW-3-XR-500H</t>
  </si>
  <si>
    <t>CCPRO-RNW-3-XR-500H-MON</t>
  </si>
  <si>
    <t>CCPRO-RNW-3-XR-600</t>
  </si>
  <si>
    <t>CCPRO-RNW-3-XR-600-MON</t>
  </si>
  <si>
    <t>CCPRO-RNW-3-XR-6800</t>
  </si>
  <si>
    <t>CCPRO-RNW-3-XR-6800-MON</t>
  </si>
  <si>
    <t>CCPRO-RNW-3-XR-7200</t>
  </si>
  <si>
    <t>CCPRO-RNW-3-XR-7200-MON</t>
  </si>
  <si>
    <t>CCPRO-RNW-3-XR-7600</t>
  </si>
  <si>
    <t>CCPRO-RNW-3-XR-7600-MON</t>
  </si>
  <si>
    <t>CCPRO-RNW-3-XT-5028</t>
  </si>
  <si>
    <t>CCPRO-RNW-3-XT-5028-MON</t>
  </si>
  <si>
    <t>CCPRO-RNW-5-X2-MON</t>
  </si>
  <si>
    <t>CCPRO-RNW-5-XH2</t>
  </si>
  <si>
    <t>CCPRO-RNW-5-XMSE-100</t>
  </si>
  <si>
    <t>CCPRO-RNW-5-XMSE-1000</t>
  </si>
  <si>
    <t>CCPRO-RNW-5-XMSE-20</t>
  </si>
  <si>
    <t>CCPRO-RNW-5-XMSE-200</t>
  </si>
  <si>
    <t>CCPRO-RNW-5-XMSE-2000</t>
  </si>
  <si>
    <t>CCPRO-RNW-5-XMSE-30</t>
  </si>
  <si>
    <t>CCPRO-RNW-5-XMSE-300</t>
  </si>
  <si>
    <t>CCPRO-RNW-5-XMSE-3000</t>
  </si>
  <si>
    <t>CCPRO-RNW-5-XMSE-40</t>
  </si>
  <si>
    <t>CCPRO-RNW-5-XMSE-400</t>
  </si>
  <si>
    <t>CCPRO-RNW-5-XMSE-4000</t>
  </si>
  <si>
    <t>CCPRO-RNW-5-XMSE-50</t>
  </si>
  <si>
    <t>CCPRO-RNW-5-XMSE-500</t>
  </si>
  <si>
    <t>CCPRO-RNW-5-XMSE-5000</t>
  </si>
  <si>
    <t>CCPRO-RNW-5-XMSE-60</t>
  </si>
  <si>
    <t>CCPRO-RNW-5-XMSE-600</t>
  </si>
  <si>
    <t>CCPRO-RNW-5-XMSE-70</t>
  </si>
  <si>
    <t>CCPRO-RNW-5-XMSE-700</t>
  </si>
  <si>
    <t>CCPRO-RNW-5-XMSE-80</t>
  </si>
  <si>
    <t>CCPRO-RNW-5-XMSE-800</t>
  </si>
  <si>
    <t>CCPRO-RNW-5-XMSE-90</t>
  </si>
  <si>
    <t>CCPRO-RNW-5-XMSE-900</t>
  </si>
  <si>
    <t>CCPRO-RNW-5-XR-300</t>
  </si>
  <si>
    <t>CCPRO-RNW-5-XR-300-MON</t>
  </si>
  <si>
    <t>CCPRO-RNW-5-XR-600-MON</t>
  </si>
  <si>
    <t>Cambium Care Pro, 1-year support renewal for one X2 Wireless AP.  24x7 TAC support, SW updates, and NBD advance replacement for HW</t>
  </si>
  <si>
    <t>Cambium Care Pro, 5-year support renewal for one X2 Wireless AP.  24x7 TAC support, SW updates, and NBD advance replacement for HW</t>
  </si>
  <si>
    <t>Cambium Care Pro, 1-year support renewal for one XA4 Wireless AP.  24x7 TAC support, SW updates, and NBD advance replacement for HW</t>
  </si>
  <si>
    <t>Cambium Care Pro, 5-year support renewal for one XA4 Wireless AP.  24x7 TAC support, SW updates, and NBD advance replacement for HW</t>
  </si>
  <si>
    <t>Cambium Care Pro, 1-year support renewal for one XD2-230 Wireless AP.  24x7 TAC support, SW updates, and NBD advance replacement for HW</t>
  </si>
  <si>
    <t>Cambium Care Pro, 3-year support renewal for one XD2-230 Wireless AP.  24x7 TAC support, SW updates, and NBD advance replacement for HW</t>
  </si>
  <si>
    <t>Cambium Care Pro, 5-year support renewal for one XD2-230 Wireless AP.  24x7 TAC support, SW updates, and NBD advance replacement for HW</t>
  </si>
  <si>
    <t>Cambium Care Pro, 1-year support renewal for one XD2-240 Wireless AP.  24x7 TAC support, SW updates, and NBD advance replacement for HW</t>
  </si>
  <si>
    <t>Cambium Care Pro, 3-year support renewal for one XD2-240 Wireless AP.  24x7 TAC support, SW updates, and NBD advance replacement for HW</t>
  </si>
  <si>
    <t>Cambium Care Pro, 5-year support renewal for one XD2-240 Wireless AP.  24x7 TAC support, SW updates, and NBD advance replacement for HW</t>
  </si>
  <si>
    <t>Cambium Care Pro, 1-year support renewal for one XD4 Wireless AP.  24x7 TAC support, SW updates, and NBD advance replacement for HW</t>
  </si>
  <si>
    <t>Cambium Care Pro, 5-year support renewal for one XD4 Wireless AP.  24x7 TAC support, SW updates, and NBD advance replacement for HW</t>
  </si>
  <si>
    <t>Cambium Care Pro, 1-year support renewal for one XH2 Wireless AP.  24x7 TAC support, SW updates, and NBD advance replacement for HW</t>
  </si>
  <si>
    <t>Cambium Care Pro, 3-year support renewal for one XH2 Wireless AP.  24x7 TAC support, SW updates, and NBD advance replacement for HW</t>
  </si>
  <si>
    <t>Cambium Care Pro, 5-year support renewal for one XH2 Wireless AP.  24x7 TAC support, SW updates, and NBD advance replacement for HW</t>
  </si>
  <si>
    <t>Cambium Care Pro, 3-year support renewal for one XR-300 Wireless AP.  24x7 TAC support, SW updates, and NBD advance replacement for HW</t>
  </si>
  <si>
    <t>Cambium Care Pro, 5-year support renewal for one XR-300 Wireless AP.  24x7 TAC support, SW updates, and NBD advance replacement for HW</t>
  </si>
  <si>
    <t>Cambium Care Pro, 1-year support for one XV2-2 Wireless AP.  24x7 TAC support and SW updates</t>
  </si>
  <si>
    <t>Cambium Care Pro, 3-year support for one XV2-2 Wireless AP.  24x7 TAC support and SW updates</t>
  </si>
  <si>
    <t>Cambium Care Pro, 5-year support for one XV2-2 Wireless AP.  24x7 TAC support and SW updates</t>
  </si>
  <si>
    <t>5A002.a.1.a</t>
  </si>
  <si>
    <t>5A002</t>
  </si>
  <si>
    <t>7326.90.8688</t>
  </si>
  <si>
    <t>ePMP</t>
  </si>
  <si>
    <t>PMP Accessory</t>
  </si>
  <si>
    <t>cnWave</t>
  </si>
  <si>
    <t>AC power Injector 56V, 60W</t>
  </si>
  <si>
    <t>PTP Accessory</t>
  </si>
  <si>
    <t>8544.42.9090</t>
  </si>
  <si>
    <t>8544.49.9000</t>
  </si>
  <si>
    <t>5.0GHz</t>
  </si>
  <si>
    <t>5D991</t>
  </si>
  <si>
    <t>In Design</t>
  </si>
  <si>
    <t>8517620050</t>
  </si>
  <si>
    <t>5A991</t>
  </si>
  <si>
    <t>8517620090</t>
  </si>
  <si>
    <t>Cambium Care</t>
  </si>
  <si>
    <t>Service</t>
  </si>
  <si>
    <t xml:space="preserve">10G Base-T (RJ45) SFP Transceiver.  0C to 70C </t>
  </si>
  <si>
    <t>APAC Standard,CALA Standard,EMEA Standard,NA Standard,Network Products,WIFI6,cnMatrix,cnPilot,ePMP EU,ePMP RoW,ePMP US</t>
  </si>
  <si>
    <t>10G SFP+ MMF SR Transceiver, 850nm.  -40C to 85C</t>
  </si>
  <si>
    <t xml:space="preserve">1000Base-T (RJ45) SFP Transceiver.  -40C to 85C </t>
  </si>
  <si>
    <t>1G SFP MMF SX Transceiver, 850nm.  -40C to 85C</t>
  </si>
  <si>
    <t>Product Description</t>
  </si>
  <si>
    <t xml:space="preserve">CONFIGURED WI-FI PRODUCTS:  Part numbers, quantities, and pricing based on "Selections" worksheet.  </t>
  </si>
  <si>
    <t>See "ADDITIONAL WI-FI PRODUCTS" section below to add other Wi-Fi related products</t>
  </si>
  <si>
    <t>C000000L065A</t>
  </si>
  <si>
    <t>Gigabit Surge Suppressor (30V)</t>
  </si>
  <si>
    <t>8535.40.0000</t>
  </si>
  <si>
    <t>C000000L123A</t>
  </si>
  <si>
    <t>8536.90.8585</t>
  </si>
  <si>
    <t>C000000L124A</t>
  </si>
  <si>
    <t>C000000L136A</t>
  </si>
  <si>
    <t>Universal Wall Mount Bracket</t>
  </si>
  <si>
    <t>C000000L137A</t>
  </si>
  <si>
    <t>Universal Pole Mount Bracket for 1" - 3" diameter poles</t>
  </si>
  <si>
    <t>C000000L138A</t>
  </si>
  <si>
    <t>Grounding Cable, 0.6m with M6 ring to M6 ring</t>
  </si>
  <si>
    <t>CCADV-SUP-X2-1</t>
  </si>
  <si>
    <t>Cambium Care Advanced, 1-year support for one X2 Wireless AP.  24x7 TAC support, SW updates, and NBD advance replacement for HW</t>
  </si>
  <si>
    <t>CCADV-SUP-X2-3</t>
  </si>
  <si>
    <t>Cambium Care Advanced, 3-year support for one X2 Wireless AP.  24x7 TAC support, SW updates, and NBD advance replacement for HW</t>
  </si>
  <si>
    <t>CCADV-SUP-X2-5</t>
  </si>
  <si>
    <t>Cambium Care Advanced, 5-year support for one X2 Wireless AP.  24x7 TAC support, SW updates, and NBD advance replacement for HW</t>
  </si>
  <si>
    <t>CCADV-SUP-XA4-1</t>
  </si>
  <si>
    <t>Cambium Care Advanced, 1-year support for one XA4 Wireless AP.  24x7 TAC support, SW updates, and NBD advance replacement for HW</t>
  </si>
  <si>
    <t>CCADV-SUP-XA4-3</t>
  </si>
  <si>
    <t>Cambium Care Advanced, 3-year support for one XA4 Wireless AP.  24x7 TAC support, SW updates, and NBD advance replacement for HW</t>
  </si>
  <si>
    <t>CCADV-SUP-XA4-5</t>
  </si>
  <si>
    <t>Cambium Care Advanced, 5-year support for one XA4 Wireless AP.  24x7 TAC support, SW updates, and NBD advance replacement for HW</t>
  </si>
  <si>
    <t>CCADV-SUP-XD2-230-1</t>
  </si>
  <si>
    <t>Cambium Care Advanced, 1-year support for one XD2-230 Wireless AP.  24x7 TAC support, SW updates, and NBD advance replacement for HW</t>
  </si>
  <si>
    <t>CCADV-SUP-XD2-230-3</t>
  </si>
  <si>
    <t>Cambium Care Advanced, 3-year support for one XD2-230 Wireless AP.  24x7 TAC support, SW updates, and NBD advance replacement for HW</t>
  </si>
  <si>
    <t>CCADV-SUP-XD2-230-5</t>
  </si>
  <si>
    <t>Cambium Care Advanced, 5-year support for one XD2-230 Wireless AP.  24x7 TAC support, SW updates, and NBD advance replacement for HW</t>
  </si>
  <si>
    <t>CCADV-SUP-XD2-240-1</t>
  </si>
  <si>
    <t>Cambium Care Advanced, 1-year support for one XD2-240 Wireless AP.  24x7 TAC support, SW updates, and NBD advance replacement for HW</t>
  </si>
  <si>
    <t>CCADV-SUP-XD2-240-3</t>
  </si>
  <si>
    <t>Cambium Care Advanced, 3-year support for one XD2-240 Wireless AP.  24x7 TAC support, SW updates, and NBD advance replacement for HW</t>
  </si>
  <si>
    <t>CCADV-SUP-XD2-240-5</t>
  </si>
  <si>
    <t>Cambium Care Advanced, 5-year support for one XD2-240 Wireless AP.  24x7 TAC support, SW updates, and NBD advance replacement for HW</t>
  </si>
  <si>
    <t>CCADV-SUP-XD4-1</t>
  </si>
  <si>
    <t>Cambium Care Advanced, 1-year support for one XD4 Wireless AP.  24x7 TAC support, SW updates, and NBD advance replacement for HW</t>
  </si>
  <si>
    <t>CCADV-SUP-XD4-3</t>
  </si>
  <si>
    <t>Cambium Care Advanced, 3-year support for one XD4 Wireless AP.  24x7 TAC support, SW updates, and NBD advance replacement for HW</t>
  </si>
  <si>
    <t>CCADV-SUP-XD4-5</t>
  </si>
  <si>
    <t>Cambium Care Advanced, 5-year support for one XD4 Wireless AP.  24x7 TAC support, SW updates, and NBD advance replacement for HW</t>
  </si>
  <si>
    <t>CCADV-SUP-XH2-1</t>
  </si>
  <si>
    <t>Cambium Care Advanced, 1-year support for one XH2 Wireless AP.  24x7 TAC support, SW updates, and NBD advance replacement for HW</t>
  </si>
  <si>
    <t>CCADV-SUP-XH2-3</t>
  </si>
  <si>
    <t>Cambium Care Advanced, 3-year support for one XH2 Wireless AP.  24x7 TAC support, SW updates, and NBD advance replacement for HW</t>
  </si>
  <si>
    <t>CCADV-SUP-XH2-5</t>
  </si>
  <si>
    <t>Cambium Care Advanced, 5-year support for one XH2 Wireless AP.  24x7 TAC support, SW updates, and NBD advance replacement for HW</t>
  </si>
  <si>
    <t>CCADV-SUP-XR-300-1</t>
  </si>
  <si>
    <t>Cambium Care Advanced, 1-year support for one XR-300 Wireless AP.  24x7 TAC support, SW updates, and NBD advance replacement for HW</t>
  </si>
  <si>
    <t>CCADV-SUP-XR-300-3</t>
  </si>
  <si>
    <t>Cambium Care Advanced, 3-year support for one XR-300 Wireless AP.  24x7 TAC support, SW updates, and NBD advance replacement for HW</t>
  </si>
  <si>
    <t>CCADV-SUP-XR-300-5</t>
  </si>
  <si>
    <t>Cambium Care Advanced, 5-year support for one XR-300 Wireless AP.  24x7 TAC support, SW updates, and NBD advance replacement for HW</t>
  </si>
  <si>
    <t>CCADV-SUP-XR-600-1</t>
  </si>
  <si>
    <t>CCADV-SUP-XR-600-3</t>
  </si>
  <si>
    <t>CCADV-SUP-XR-600-5</t>
  </si>
  <si>
    <t>CCPRO-SUP-X2-1</t>
  </si>
  <si>
    <t>Cambium Care Pro, 1-year support for one X2 Wireless AP.  24x7 TAC support and SW updates</t>
  </si>
  <si>
    <t>CCPRO-SUP-X2-3</t>
  </si>
  <si>
    <t>Cambium Care Pro, 3-year support for one X2 Wireless AP.  24x7 TAC support and SW updates</t>
  </si>
  <si>
    <t>CCPRO-SUP-X2-5</t>
  </si>
  <si>
    <t>Cambium Care Pro, 5-year support for one X2 Wireless AP.  24x7 TAC support and SW updates</t>
  </si>
  <si>
    <t>CCPRO-SUP-XA4-1</t>
  </si>
  <si>
    <t>Cambium Care Pro, 1-year support for one XA4 Wireless AP.  24x7 TAC support and SW updates</t>
  </si>
  <si>
    <t>CCPRO-SUP-XA4-3</t>
  </si>
  <si>
    <t>Cambium Care Pro, 3-year support for one XA4 Wireless AP.  24x7 TAC support and SW updates</t>
  </si>
  <si>
    <t>CCPRO-SUP-XA4-5</t>
  </si>
  <si>
    <t>Cambium Care Pro, 5-year support for one XA4 Wireless AP.  24x7 TAC support and SW updates</t>
  </si>
  <si>
    <t>CCPRO-SUP-XD2-230-1</t>
  </si>
  <si>
    <t>Cambium Care Pro, 1-year support for one XD2-230 Wireless AP.  24x7 TAC support and SW updates</t>
  </si>
  <si>
    <t>CCPRO-SUP-XD2-230-3</t>
  </si>
  <si>
    <t>Cambium Care Pro, 3-year support for one XD2-230 Wireless AP.  24x7 TAC support and SW updates</t>
  </si>
  <si>
    <t>CCPRO-SUP-XD2-230-5</t>
  </si>
  <si>
    <t>Cambium Care Pro, 5-year support for one XD2-230 Wireless AP.  24x7 TAC support and SW updates</t>
  </si>
  <si>
    <t>CCPRO-SUP-XD2-240-1</t>
  </si>
  <si>
    <t>Cambium Care Pro, 1-year support for one XD2-240 Wireless AP.  24x7 TAC support and SW updates</t>
  </si>
  <si>
    <t>CCPRO-SUP-XD2-240-3</t>
  </si>
  <si>
    <t>Cambium Care Pro, 3-year support for one XD2-240 Wireless AP.  24x7 TAC support and SW updates</t>
  </si>
  <si>
    <t>CCPRO-SUP-XD2-240-5</t>
  </si>
  <si>
    <t>Cambium Care Pro, 5-year support for one XD2-240 Wireless AP.  24x7 TAC support and SW updates</t>
  </si>
  <si>
    <t>CCPRO-SUP-XD4-1</t>
  </si>
  <si>
    <t>Cambium Care Pro, 1-year support for one XD4 Wireless AP.  24x7 TAC support and SW updates</t>
  </si>
  <si>
    <t>CCPRO-SUP-XD4-3</t>
  </si>
  <si>
    <t>Cambium Care Pro, 3-year support for one XD4 Wireless AP.  24x7 TAC support and SW updates</t>
  </si>
  <si>
    <t>CCPRO-SUP-XD4-5</t>
  </si>
  <si>
    <t>Cambium Care Pro, 5-year support for one XD4 Wireless AP.  24x7 TAC support and SW updates</t>
  </si>
  <si>
    <t>CCPRO-SUP-XH2-1</t>
  </si>
  <si>
    <t>Cambium Care Pro, 1-year support for one XH2 Wireless AP.  24x7 TAC support and SW updates</t>
  </si>
  <si>
    <t>CCPRO-SUP-XH2-3</t>
  </si>
  <si>
    <t>Cambium Care Pro, 3-year support for one XH2 Wireless AP.  24x7 TAC support and SW updates</t>
  </si>
  <si>
    <t>CCPRO-SUP-XH2-5</t>
  </si>
  <si>
    <t>Cambium Care Pro, 5-year support for one XH2 Wireless AP.  24x7 TAC support and SW updates</t>
  </si>
  <si>
    <t>CCPRO-SUP-XMSE-100-1</t>
  </si>
  <si>
    <t>Cambium Care Pro for XMS-Enterprise Server, 1-year support for 100 radios.  24x7 TAC support and SW updates</t>
  </si>
  <si>
    <t>CCPRO-SUP-XMSE-100-3</t>
  </si>
  <si>
    <t>Cambium Care Pro for XMS-Enterprise Server, 3-year support for 100 radios.  24x7 TAC support and SW updates</t>
  </si>
  <si>
    <t>CCPRO-SUP-XMSE-100-5</t>
  </si>
  <si>
    <t>Cambium Care Pro for XMS-Enterprise Server, 5-year support for 100 radios.  24x7 TAC support and SW updates</t>
  </si>
  <si>
    <t>CCPRO-SUP-XMSE-1000-1</t>
  </si>
  <si>
    <t>Cambium Care Pro for XMS-Enterprise Server, 1-year support for 1000 radios.  24x7 TAC support and SW updates</t>
  </si>
  <si>
    <t>CCPRO-SUP-XMSE-1000-3</t>
  </si>
  <si>
    <t>Cambium Care Pro for XMS-Enterprise Server, 3-year support for 1000 radios.  24x7 TAC support and SW updates</t>
  </si>
  <si>
    <t>CCPRO-SUP-XMSE-1000-5</t>
  </si>
  <si>
    <t>Cambium Care Pro for XMS-Enterprise Server, 5-year support for 1000 radios.  24x7 TAC support and SW updates</t>
  </si>
  <si>
    <t>CCPRO-SUP-XMSE-20-1</t>
  </si>
  <si>
    <t>Cambium Care Pro for XMS-Enterprise Server, 1-year support for 20 radios.  24x7 TAC support and SW updates</t>
  </si>
  <si>
    <t>CCPRO-SUP-XMSE-20-3</t>
  </si>
  <si>
    <t>Cambium Care Pro for XMS-Enterprise Server, 3-year support for 20 radios.  24x7 TAC support and SW updates</t>
  </si>
  <si>
    <t>CCPRO-SUP-XMSE-20-5</t>
  </si>
  <si>
    <t>Cambium Care Pro for XMS-Enterprise Server, 5-year support for 20 radios.  24x7 TAC support and SW updates</t>
  </si>
  <si>
    <t>CCPRO-SUP-XMSE-200-1</t>
  </si>
  <si>
    <t>Cambium Care Pro for XMS-Enterprise Server, 1-year support for 200 radios.  24x7 TAC support and SW updates</t>
  </si>
  <si>
    <t>CCPRO-SUP-XMSE-200-3</t>
  </si>
  <si>
    <t>Cambium Care Pro for XMS-Enterprise Server, 3-year support for 200 radios.  24x7 TAC support and SW updates</t>
  </si>
  <si>
    <t>CCPRO-SUP-XMSE-200-5</t>
  </si>
  <si>
    <t>Cambium Care Pro for XMS-Enterprise Server, 5-year support for 200 radios.  24x7 TAC support and SW updates</t>
  </si>
  <si>
    <t>CCPRO-SUP-XMSE-2000-1</t>
  </si>
  <si>
    <t>Cambium Care Pro for XMS-Enterprise Server, 1-year support for 2000 radios.  24x7 TAC support and SW updates</t>
  </si>
  <si>
    <t>CCPRO-SUP-XMSE-2000-3</t>
  </si>
  <si>
    <t>Cambium Care Pro for XMS-Enterprise Server, 3-year support for 2000 radios.  24x7 TAC support and SW updates</t>
  </si>
  <si>
    <t>CCPRO-SUP-XMSE-2000-5</t>
  </si>
  <si>
    <t>Cambium Care Pro for XMS-Enterprise Server, 5-year support for 2000 radios.  24x7 TAC support and SW updates</t>
  </si>
  <si>
    <t>CCPRO-SUP-XMSE-30-1</t>
  </si>
  <si>
    <t>Cambium Care Pro for XMS-Enterprise Server, 1-year support for 30 radios.  24x7 TAC support and SW updates</t>
  </si>
  <si>
    <t>CCPRO-SUP-XMSE-30-3</t>
  </si>
  <si>
    <t>Cambium Care Pro for XMS-Enterprise Server, 3-year support for 30 radios.  24x7 TAC support and SW updates</t>
  </si>
  <si>
    <t>CCPRO-SUP-XMSE-30-5</t>
  </si>
  <si>
    <t>Cambium Care Pro for XMS-Enterprise Server, 5-year support for 30 radios.  24x7 TAC support and SW updates</t>
  </si>
  <si>
    <t>CCPRO-SUP-XMSE-300-1</t>
  </si>
  <si>
    <t>Cambium Care Pro for XMS-Enterprise Server, 1-year support for 300 radios.  24x7 TAC support and SW updates</t>
  </si>
  <si>
    <t>CCPRO-SUP-XMSE-300-3</t>
  </si>
  <si>
    <t>Cambium Care Pro for XMS-Enterprise Server, 3-year support for 300 radios.  24x7 TAC support and SW updates</t>
  </si>
  <si>
    <t>CCPRO-SUP-XMSE-300-5</t>
  </si>
  <si>
    <t>Cambium Care Pro for XMS-Enterprise Server, 5-year support for 300 radios.  24x7 TAC support and SW updates</t>
  </si>
  <si>
    <t>CCPRO-SUP-XMSE-3000-1</t>
  </si>
  <si>
    <t>Cambium Care Pro for XMS-Enterprise Server, 1-year support for 3000 radios.  24x7 TAC support and SW updates</t>
  </si>
  <si>
    <t>CCPRO-SUP-XMSE-3000-3</t>
  </si>
  <si>
    <t>Cambium Care Pro for XMS-Enterprise Server, 3-year support for 3000 radios.  24x7 TAC support and SW updates</t>
  </si>
  <si>
    <t>CCPRO-SUP-XMSE-3000-5</t>
  </si>
  <si>
    <t>Cambium Care Pro for XMS-Enterprise Server, 5-year support for 3000 radios.  24x7 TAC support and SW updates</t>
  </si>
  <si>
    <t>CCPRO-SUP-XMSE-40-1</t>
  </si>
  <si>
    <t>Cambium Care Pro for XMS-Enterprise Server, 1-year support for 40 radios.  24x7 TAC support and SW updates</t>
  </si>
  <si>
    <t>CCPRO-SUP-XMSE-40-3</t>
  </si>
  <si>
    <t>Cambium Care Pro for XMS-Enterprise Server, 3-year support for 40 radios.  24x7 TAC support and SW updates</t>
  </si>
  <si>
    <t>CCPRO-SUP-XMSE-40-5</t>
  </si>
  <si>
    <t>Cambium Care Pro for XMS-Enterprise Server, 5-year support for 40 radios.  24x7 TAC support and SW updates</t>
  </si>
  <si>
    <t>CCPRO-SUP-XMSE-400-1</t>
  </si>
  <si>
    <t>Cambium Care Pro for XMS-Enterprise Server, 1-year support for 400 radios.  24x7 TAC support and SW updates</t>
  </si>
  <si>
    <t>CCPRO-SUP-XMSE-400-3</t>
  </si>
  <si>
    <t>Cambium Care Pro for XMS-Enterprise Server, 3-year support for 400 radios.  24x7 TAC support and SW updates</t>
  </si>
  <si>
    <t>CCPRO-SUP-XMSE-400-5</t>
  </si>
  <si>
    <t>Cambium Care Pro for XMS-Enterprise Server, 5-year support for 400 radios.  24x7 TAC support and SW updates</t>
  </si>
  <si>
    <t>CCPRO-SUP-XMSE-4000-1</t>
  </si>
  <si>
    <t>Cambium Care Pro for XMS-Enterprise Server, 1-year support for 4000 radios.  24x7 TAC support and SW updates</t>
  </si>
  <si>
    <t>CCPRO-SUP-XMSE-4000-3</t>
  </si>
  <si>
    <t>Cambium Care Pro for XMS-Enterprise Server, 3-year support for 4000 radios.  24x7 TAC support and SW updates</t>
  </si>
  <si>
    <t>CCPRO-SUP-XMSE-4000-5</t>
  </si>
  <si>
    <t>Cambium Care Pro for XMS-Enterprise Server, 5-year support for 4000 radios.  24x7 TAC support and SW updates</t>
  </si>
  <si>
    <t>CCPRO-SUP-XMSE-50-1</t>
  </si>
  <si>
    <t>Cambium Care Pro for XMS-Enterprise Server, 1-year support for 50 radios.  24x7 TAC support and SW updates</t>
  </si>
  <si>
    <t>CCPRO-SUP-XMSE-50-3</t>
  </si>
  <si>
    <t>Cambium Care Pro for XMS-Enterprise Server, 3-year support for 50 radios.  24x7 TAC support and SW updates</t>
  </si>
  <si>
    <t>CCPRO-SUP-XMSE-50-5</t>
  </si>
  <si>
    <t>Cambium Care Pro for XMS-Enterprise Server, 5-year support for 50 radios.  24x7 TAC support and SW updates</t>
  </si>
  <si>
    <t>CCPRO-SUP-XMSE-500-1</t>
  </si>
  <si>
    <t>Cambium Care Pro for XMS-Enterprise Server, 1-year support for 500 radios.  24x7 TAC support and SW updates</t>
  </si>
  <si>
    <t>CCPRO-SUP-XMSE-500-3</t>
  </si>
  <si>
    <t>Cambium Care Pro for XMS-Enterprise Server, 3-year support for 500 radios.  24x7 TAC support and SW updates</t>
  </si>
  <si>
    <t>CCPRO-SUP-XMSE-500-5</t>
  </si>
  <si>
    <t>Cambium Care Pro for XMS-Enterprise Server, 5-year support for 500 radios.  24x7 TAC support and SW updates</t>
  </si>
  <si>
    <t>CCPRO-SUP-XMSE-5000-1</t>
  </si>
  <si>
    <t>Cambium Care Pro for XMS-Enterprise Server, 1-year support for 5000 or greater radios.  24x7 TAC support and SW updates</t>
  </si>
  <si>
    <t>CCPRO-SUP-XMSE-5000-3</t>
  </si>
  <si>
    <t>Cambium Care Pro for XMS-Enterprise Server, 3-year support for 5000 or greater radios.  24x7 TAC support and SW updates</t>
  </si>
  <si>
    <t>CCPRO-SUP-XMSE-5000-5</t>
  </si>
  <si>
    <t>Cambium Care Pro for XMS-Enterprise Server, 5-year support for 5000 or greater radios.  24x7 TAC support and SW updates</t>
  </si>
  <si>
    <t>CCPRO-SUP-XMSE-60-1</t>
  </si>
  <si>
    <t>Cambium Care Pro for XMS-Enterprise Server, 1-year support for 60 radios.  24x7 TAC support and SW updates</t>
  </si>
  <si>
    <t>CCPRO-SUP-XMSE-60-3</t>
  </si>
  <si>
    <t>Cambium Care Pro for XMS-Enterprise Server, 3-year support for 60 radios.  24x7 TAC support and SW updates</t>
  </si>
  <si>
    <t>CCPRO-SUP-XMSE-60-5</t>
  </si>
  <si>
    <t>Cambium Care Pro for XMS-Enterprise Server, 5-year support for 60 radios.  24x7 TAC support and SW updates</t>
  </si>
  <si>
    <t>CCPRO-SUP-XMSE-600-1</t>
  </si>
  <si>
    <t>Cambium Care Pro for XMS-Enterprise Server, 1-year support for 600 radios.  24x7 TAC support and SW updates</t>
  </si>
  <si>
    <t>CCPRO-SUP-XMSE-600-3</t>
  </si>
  <si>
    <t>Cambium Care Pro for XMS-Enterprise Server, 3-year support for 600 radios.  24x7 TAC support and SW updates</t>
  </si>
  <si>
    <t>CCPRO-SUP-XMSE-600-5</t>
  </si>
  <si>
    <t>Cambium Care Pro for XMS-Enterprise Server, 5-year support for 600 radios.  24x7 TAC support and SW updates</t>
  </si>
  <si>
    <t>CCPRO-SUP-XMSE-70-1</t>
  </si>
  <si>
    <t>Cambium Care Pro for XMS-Enterprise Server, 1-year support for 70 radios.  24x7 TAC support and SW updates</t>
  </si>
  <si>
    <t>CCPRO-SUP-XMSE-70-3</t>
  </si>
  <si>
    <t>Cambium Care Pro for XMS-Enterprise Server, 3-year support for 70 radios.  24x7 TAC support and SW updates</t>
  </si>
  <si>
    <t>CCPRO-SUP-XMSE-70-5</t>
  </si>
  <si>
    <t>Cambium Care Pro for XMS-Enterprise Server, 5-year support for 70 radios.  24x7 TAC support and SW updates</t>
  </si>
  <si>
    <t>CCPRO-SUP-XMSE-700-1</t>
  </si>
  <si>
    <t>Cambium Care Pro for XMS-Enterprise Server, 1-year support for 700 radios.  24x7 TAC support and SW updates</t>
  </si>
  <si>
    <t>CCPRO-SUP-XMSE-700-3</t>
  </si>
  <si>
    <t>Cambium Care Pro for XMS-Enterprise Server, 3-year support for 700 radios.  24x7 TAC support and SW updates</t>
  </si>
  <si>
    <t>CCPRO-SUP-XMSE-700-5</t>
  </si>
  <si>
    <t>Cambium Care Pro for XMS-Enterprise Server, 5-year support for 700 radios.  24x7 TAC support and SW updates</t>
  </si>
  <si>
    <t>CCPRO-SUP-XMSE-80-1</t>
  </si>
  <si>
    <t>Cambium Care Pro for XMS-Enterprise Server, 1-year support for 80 radios.  24x7 TAC support and SW updates</t>
  </si>
  <si>
    <t>CCPRO-SUP-XMSE-80-3</t>
  </si>
  <si>
    <t>Cambium Care Pro for XMS-Enterprise Server, 3-year support for 80 radios.  24x7 TAC support and SW updates</t>
  </si>
  <si>
    <t>CCPRO-SUP-XMSE-80-5</t>
  </si>
  <si>
    <t>Cambium Care Pro for XMS-Enterprise Server, 5-year support for 80 radios.  24x7 TAC support and SW updates</t>
  </si>
  <si>
    <t>CCPRO-SUP-XMSE-800-1</t>
  </si>
  <si>
    <t>Cambium Care Pro for XMS-Enterprise Server, 1-year support for 800 radios.  24x7 TAC support and SW updates</t>
  </si>
  <si>
    <t>CCPRO-SUP-XMSE-800-3</t>
  </si>
  <si>
    <t>Cambium Care Pro for XMS-Enterprise Server, 3-year support for 800 radios.  24x7 TAC support and SW updates</t>
  </si>
  <si>
    <t>CCPRO-SUP-XMSE-800-5</t>
  </si>
  <si>
    <t>Cambium Care Pro for XMS-Enterprise Server, 5-year support for 800 radios.  24x7 TAC support and SW updates</t>
  </si>
  <si>
    <t>CCPRO-SUP-XMSE-90-1</t>
  </si>
  <si>
    <t>Cambium Care Pro for XMS-Enterprise Server, 1-year support for 90 radios.  24x7 TAC support and SW updates</t>
  </si>
  <si>
    <t>CCPRO-SUP-XMSE-90-3</t>
  </si>
  <si>
    <t>Cambium Care Pro for XMS-Enterprise Server, 3-year support for 90 radios.  24x7 TAC support and SW updates</t>
  </si>
  <si>
    <t>CCPRO-SUP-XMSE-90-5</t>
  </si>
  <si>
    <t>Cambium Care Pro for XMS-Enterprise Server, 5-year support for 90 radios.  24x7 TAC support and SW updates</t>
  </si>
  <si>
    <t>CCPRO-SUP-XMSE-900-1</t>
  </si>
  <si>
    <t>Cambium Care Pro for XMS-Enterprise Server, 1-year support for 900 radios.  24x7 TAC support and SW updates</t>
  </si>
  <si>
    <t>CCPRO-SUP-XMSE-900-3</t>
  </si>
  <si>
    <t>Cambium Care Pro for XMS-Enterprise Server, 3-year support for 900 radios.  24x7 TAC support and SW updates</t>
  </si>
  <si>
    <t>CCPRO-SUP-XMSE-900-5</t>
  </si>
  <si>
    <t>Cambium Care Pro for XMS-Enterprise Server, 5-year support for 900 radios.  24x7 TAC support and SW updates</t>
  </si>
  <si>
    <t>CCPRO-SUP-XR-300-1</t>
  </si>
  <si>
    <t>Cambium Care Pro, 1-year support for one XR-300 Wireless AP.  24x7 TAC support and SW updates</t>
  </si>
  <si>
    <t>CCPRO-SUP-XR-300-3</t>
  </si>
  <si>
    <t>Cambium Care Pro, 3-year support for one XR-300 Wireless AP.  24x7 TAC support and SW updates</t>
  </si>
  <si>
    <t>CCPRO-SUP-XR-300-5</t>
  </si>
  <si>
    <t>Cambium Care Pro, 5-year support for one XR-300 Wireless AP.  24x7 TAC support and SW updates</t>
  </si>
  <si>
    <t>CCPRO-SUP-XR-600-1</t>
  </si>
  <si>
    <t>CCPRO-SUP-XR-600-3</t>
  </si>
  <si>
    <t>CCPRO-SUP-XR-600-5</t>
  </si>
  <si>
    <t>GW-630-0002-WW</t>
  </si>
  <si>
    <t>GW: Gateway Onsite config and ops training course up to 8 students***</t>
  </si>
  <si>
    <t>N000000L140A</t>
  </si>
  <si>
    <t>Silver RJ-45 Gland Spare - PG16 Long size - pack of 5</t>
  </si>
  <si>
    <t>PMP450</t>
  </si>
  <si>
    <t>N000000L178A</t>
  </si>
  <si>
    <t>Outdoor AC/DC PSU, 60W, 54VDC</t>
  </si>
  <si>
    <t>PoE Gigabit DC Injector, 15W Output at 30V, Energy Level 6 Supply</t>
  </si>
  <si>
    <t>N000900L008A</t>
  </si>
  <si>
    <t>CABLE, UL POWER SUPPLY CORD SET, EU</t>
  </si>
  <si>
    <t>N000900L009A</t>
  </si>
  <si>
    <t>CABLE, UL POWER SUPPLY CORD SET, UK</t>
  </si>
  <si>
    <t>N000900L060A</t>
  </si>
  <si>
    <t>ePMP 3000 Pole and Wall Mount Bracket</t>
  </si>
  <si>
    <t>8302500000</t>
  </si>
  <si>
    <t>Hungary</t>
  </si>
  <si>
    <t>Israel</t>
  </si>
  <si>
    <t>Italy</t>
  </si>
  <si>
    <t>MSX-SUB-T3-1</t>
  </si>
  <si>
    <t>MSX-SUB-T3-3</t>
  </si>
  <si>
    <t>MSX-SUB-T3-5</t>
  </si>
  <si>
    <t>CC-PRC10T1-WW</t>
  </si>
  <si>
    <t>Cambium Care Prime Service Category 10 Price Tier 1</t>
  </si>
  <si>
    <t>CC-PRC10T2-WW</t>
  </si>
  <si>
    <t>Cambium Care Prime Service Category 10 Price Tier 2</t>
  </si>
  <si>
    <t>CC-PRC10T3-WW</t>
  </si>
  <si>
    <t>Cambium Care Prime Service Category 10 Price Tier 3</t>
  </si>
  <si>
    <t>CC-PRC10T4-WW</t>
  </si>
  <si>
    <t>Cambium Care Prime Service Category 10 Price Tier 4</t>
  </si>
  <si>
    <t>CC-PRC10T5-WW</t>
  </si>
  <si>
    <t>Cambium Care Prime Service Category 10 Price Tier 5</t>
  </si>
  <si>
    <t>CC-PRC15T1-WW</t>
  </si>
  <si>
    <t>Cambium Care Prime Service Category 15 Price Tier 1</t>
  </si>
  <si>
    <t>CC-PRC15T2-WW</t>
  </si>
  <si>
    <t>Cambium Care Prime Service Category 15 Price Tier 2</t>
  </si>
  <si>
    <t>CC-PRC15T3-WW</t>
  </si>
  <si>
    <t>Cambium Care Prime Service Category 15 Price Tier 3</t>
  </si>
  <si>
    <t>CC-PRC15T4-WW</t>
  </si>
  <si>
    <t>Cambium Care Prime Service Category 15 Price Tier 4</t>
  </si>
  <si>
    <t>CC-PRC15T5-WW</t>
  </si>
  <si>
    <t>Cambium Care Prime Service Category 15 Price Tier 5</t>
  </si>
  <si>
    <t>CC-PRC20T1-WW</t>
  </si>
  <si>
    <t>Cambium Care Prime Service Category 20 Price Tier 1</t>
  </si>
  <si>
    <t>CC-PRC20T2-WW</t>
  </si>
  <si>
    <t>Cambium Care Prime Service Category 20 Price Tier 2</t>
  </si>
  <si>
    <t>CC-PRC20T3-WW</t>
  </si>
  <si>
    <t>Cambium Care Prime Service Category 20 Price Tier 3</t>
  </si>
  <si>
    <t>CC-PRC20T4-WW</t>
  </si>
  <si>
    <t>Cambium Care Prime Service Category 20 Price Tier 4</t>
  </si>
  <si>
    <t>CC-PRC20T5-WW</t>
  </si>
  <si>
    <t>Cambium Care Prime Service Category 20 Price Tier 5</t>
  </si>
  <si>
    <t>CC-PRC25T1-WW</t>
  </si>
  <si>
    <t>Cambium Care Prime Service Category 25 Price Tier 1</t>
  </si>
  <si>
    <t>CC-PRC25T2-WW</t>
  </si>
  <si>
    <t>Cambium Care Prime Service Category 25 Price Tier 2</t>
  </si>
  <si>
    <t>CC-PRC25T3-WW</t>
  </si>
  <si>
    <t>Cambium Care Prime Service Category 25 Price Tier 3</t>
  </si>
  <si>
    <t>CC-PRC25T4-WW</t>
  </si>
  <si>
    <t>Cambium Care Prime Service Category 25 Price Tier 4</t>
  </si>
  <si>
    <t>CC-PRC25T5-WW</t>
  </si>
  <si>
    <t>Cambium Care Prime Service Category 25 Price Tier 5</t>
  </si>
  <si>
    <t>CC-PRC30T1-WW</t>
  </si>
  <si>
    <t>Cambium Care Prime Service Category 30 Price Tier 1</t>
  </si>
  <si>
    <t>CC-PRC30T2-WW</t>
  </si>
  <si>
    <t>Cambium Care Prime Service Category 30 Price Tier 2</t>
  </si>
  <si>
    <t>CC-PRC30T3-WW</t>
  </si>
  <si>
    <t>Cambium Care Prime Service Category 30 Price Tier 3</t>
  </si>
  <si>
    <t>CC-PRC30T4-WW</t>
  </si>
  <si>
    <t>Cambium Care Prime Service Category 30 Price Tier 4</t>
  </si>
  <si>
    <t>CC-PRC30T5-WW</t>
  </si>
  <si>
    <t>Cambium Care Prime Service Category 30 Price Tier 5</t>
  </si>
  <si>
    <t>CC-PRC40T1-WW</t>
  </si>
  <si>
    <t>Cambium Care Prime Service Category 40 Price Tier 1</t>
  </si>
  <si>
    <t>CC-PRC40T2-WW</t>
  </si>
  <si>
    <t>Cambium Care Prime Service Category 40 Price Tier 2</t>
  </si>
  <si>
    <t>CC-PRC40T3-WW</t>
  </si>
  <si>
    <t>Cambium Care Prime Service Category 40 Price Tier 3</t>
  </si>
  <si>
    <t>CC-PRC40T4-WW</t>
  </si>
  <si>
    <t>Cambium Care Prime Service Category 40 Price Tier 4</t>
  </si>
  <si>
    <t>CC-PRC40T5-WW</t>
  </si>
  <si>
    <t>Cambium Care Prime Service Category 40 Price Tier 5</t>
  </si>
  <si>
    <t>CC-PRC50T1-WW</t>
  </si>
  <si>
    <t>Cambium Care Prime Service Category 50 Price Tier 1</t>
  </si>
  <si>
    <t>CC-PRC50T2-WW</t>
  </si>
  <si>
    <t>Cambium Care Prime Service Category 50 Price Tier 2</t>
  </si>
  <si>
    <t>CC-PRC50T3-WW</t>
  </si>
  <si>
    <t>Cambium Care Prime Service Category 50 Price Tier 3</t>
  </si>
  <si>
    <t>CC-PRC50T4-WW</t>
  </si>
  <si>
    <t>Cambium Care Prime Service Category 50 Price Tier 4</t>
  </si>
  <si>
    <t>CC-PRC50T5-WW</t>
  </si>
  <si>
    <t>Cambium Care Prime Service Category 50 Price Tier 5</t>
  </si>
  <si>
    <t>CC-PRC60T1-WW</t>
  </si>
  <si>
    <t>Cambium Care Prime Service Category 60 Price Tier 1</t>
  </si>
  <si>
    <t>CC-PRC60T10-WW</t>
  </si>
  <si>
    <t>Cambium Care Prime Service Category 60 10 Year Coverage</t>
  </si>
  <si>
    <t>CC-PRC60T2-WW</t>
  </si>
  <si>
    <t>Cambium Care Prime Service Category 60 Price Tier 2</t>
  </si>
  <si>
    <t>CC-PRC60T3-WW</t>
  </si>
  <si>
    <t>Cambium Care Prime Service Category 60 Price Tier 3</t>
  </si>
  <si>
    <t>CC-PRC60T4-WW</t>
  </si>
  <si>
    <t>Cambium Care Prime Service Category 60 Price Tier 4</t>
  </si>
  <si>
    <t>CC-PRC60T5-WW</t>
  </si>
  <si>
    <t>Cambium Care Prime Service Category 60 Price Tier 5</t>
  </si>
  <si>
    <t>CC-PRO10T1-WW</t>
  </si>
  <si>
    <t>Cambium Care Pro Service Category 10 Price Tier 1</t>
  </si>
  <si>
    <t>CC-PRO10T2-WW</t>
  </si>
  <si>
    <t>Cambium Care Pro Service Category 10 Price Tier 2</t>
  </si>
  <si>
    <t>CC-PRO10T4-WW</t>
  </si>
  <si>
    <t>Cambium Care Pro Service Category 10 Price Tier 4</t>
  </si>
  <si>
    <t>CC-PRO10T5-WW</t>
  </si>
  <si>
    <t>Cambium Care Pro Service Category 10 Price Tier 5</t>
  </si>
  <si>
    <t>CC-PRO20T1-WW</t>
  </si>
  <si>
    <t>Cambium Care Pro Service Category 20 Price Tier 1</t>
  </si>
  <si>
    <t>CC-PRO20T2-WW</t>
  </si>
  <si>
    <t>Cambium Care Pro Service Category 20 Price Tier 2</t>
  </si>
  <si>
    <t>CC-PRO20T3-WW</t>
  </si>
  <si>
    <t>Cambium Care Pro Service Category 20 Price Tier 3</t>
  </si>
  <si>
    <t>CC-PRO20T4-WW</t>
  </si>
  <si>
    <t>Cambium Care Pro Service Category 20 Price Tier 4</t>
  </si>
  <si>
    <t>CC-PRO20T5-WW</t>
  </si>
  <si>
    <t>Cambium Care Pro Service Category 20 Price Tier 5</t>
  </si>
  <si>
    <t>CC-PRO30T1-WW</t>
  </si>
  <si>
    <t>Cambium Care Pro Service Category 30 Price Tier 1</t>
  </si>
  <si>
    <t>CC-PRO30T2-WW</t>
  </si>
  <si>
    <t>Cambium Care Pro Service Category 30 Price Tier 2</t>
  </si>
  <si>
    <t>CC-PRO30T3-WW</t>
  </si>
  <si>
    <t>Cambium Care Pro Service Category 30 Price Tier 3</t>
  </si>
  <si>
    <t>CC-PRO30T4-WW</t>
  </si>
  <si>
    <t>Cambium Care Pro Service Category 30 Price Tier 4</t>
  </si>
  <si>
    <t>CC-PRO30T5-WW</t>
  </si>
  <si>
    <t>Cambium Care Pro Service Category 30 Price Tier 5</t>
  </si>
  <si>
    <t>CC-PRO40T1-WW</t>
  </si>
  <si>
    <t>Cambium Care Pro Service Category 40 Price Tier 1</t>
  </si>
  <si>
    <t>CC-PRO40T2-WW</t>
  </si>
  <si>
    <t>Cambium Care Pro Service Category 40 Price Tier 2</t>
  </si>
  <si>
    <t>CC-PRO40T3-WW</t>
  </si>
  <si>
    <t>Cambium Care Pro Service Category 40 Price Tier 3</t>
  </si>
  <si>
    <t>CC-PRO40T4-WW</t>
  </si>
  <si>
    <t>Cambium Care Pro Service Category 40 Price Tier 4</t>
  </si>
  <si>
    <t>CC-PRO40T5-WW</t>
  </si>
  <si>
    <t>Cambium Care Pro Service Category 40 Price Tier 5</t>
  </si>
  <si>
    <t>CC-PRO50T1-WW</t>
  </si>
  <si>
    <t>Cambium Care Pro Service Category 50 Price Tier 1</t>
  </si>
  <si>
    <t>CC-PRO50T2-WW</t>
  </si>
  <si>
    <t>Cambium Care Pro Service Category 50 Price Tier 2</t>
  </si>
  <si>
    <t>CC-PRO50T3-WW</t>
  </si>
  <si>
    <t>Cambium Care Pro Service Category 50 Price Tier 3</t>
  </si>
  <si>
    <t>CC-PRO50T4-WW</t>
  </si>
  <si>
    <t>Cambium Care Pro Service Category 50 Price Tier 4</t>
  </si>
  <si>
    <t>CC-PRO50T5-WW</t>
  </si>
  <si>
    <t>Cambium Care Pro Service Category 50 Price Tier 5</t>
  </si>
  <si>
    <t>CC-PRO60T1-WW</t>
  </si>
  <si>
    <t>Cambium Care Pro Service Category 60 Price Tier 1</t>
  </si>
  <si>
    <t>CC-PRO60T2-WW</t>
  </si>
  <si>
    <t>Cambium Care Pro Service Category 60 Price Tier 2</t>
  </si>
  <si>
    <t>CC-PRO60T3-WW</t>
  </si>
  <si>
    <t>Cambium Care Pro Service Category 60 Price Tier 3</t>
  </si>
  <si>
    <t>CC-PRO60T4-WW</t>
  </si>
  <si>
    <t>Cambium Care Pro Service Category 60 Price Tier 4</t>
  </si>
  <si>
    <t>CC-PRO60T5-WW</t>
  </si>
  <si>
    <t>Cambium Care Pro Service Category 60 Price Tier 5</t>
  </si>
  <si>
    <t>Cambium Care Advanced, 1-year support renewal for one XI-2PACK modular radio kit.  24x7 TAC support, SW updates, and NBD advance replacement for HW</t>
  </si>
  <si>
    <t>Cambium Care Advanced, 1-year support renewal for one XI-4PACK modular radio kit.  24x7 TAC support, SW updates, and NBD advance replacement for HW</t>
  </si>
  <si>
    <t>Cambium Care Advanced, 1-year support renewal for one XT-5024 access switch.  24x7 TAC support, SW updates, and NBD advance replacement for HW</t>
  </si>
  <si>
    <t>Cambium Care Advanced, 1-year support renewal for one XP2-MSI-95M power injector.  24x7 TAC support, SW updates, and NBD advance replacement for HW</t>
  </si>
  <si>
    <t>Cambium Care Advanced, 1-year support renewal for one XP8-MSI device.  24x7 TAC support, SW updates, and NBD advance replacement for HW</t>
  </si>
  <si>
    <t>Cambium Care Advanced, 1-year support renewal for one XR-1200 Wireless AP.  24x7 TAC support, SW updates, and NBD advance replacement for HW</t>
  </si>
  <si>
    <t>Cambium Care Advanced, 1-year support renewal for one XR-1200H Wireless AP.  24x7 TAC support, SW updates, and NBD advance replacement for HW</t>
  </si>
  <si>
    <t>Cambium Care Advanced, 1-year support renewal for one XR-2200 Wireless AP.  24x7 TAC support, SW updates, and NBD advance replacement for HW</t>
  </si>
  <si>
    <t>Cambium Care Advanced, 1-year support renewal for one XR-2400 Wireless AP.  24x7 TAC support, SW updates, and NBD advance replacement for HW</t>
  </si>
  <si>
    <t>Cambium Care Advanced, 1-year support renewal for one XR-2400H Wireless AP.  24x7 TAC support, SW updates, and NBD advance replacement for HW</t>
  </si>
  <si>
    <t>Cambium Care Advanced, 1-year support renewal for one XR-4400 Wireless AP.  24x7 TAC support, SW updates, and NBD advance replacement for HW</t>
  </si>
  <si>
    <t>Cambium Care Advanced, 1-year support renewal for one XR-4800 Wireless AP.  24x7 TAC support, SW updates, and NBD advance replacement for HW</t>
  </si>
  <si>
    <t>Cambium Care Advanced, 1-year support renewal for one XR-500H Wireless AP.  24x7 TAC support, SW updates, and NBD advance replacement for HW</t>
  </si>
  <si>
    <t>Cambium Care Advanced, 1-year support renewal for one XR-600 Wireless AP.  24x7 TAC support, SW updates, and NBD advance replacement for HW</t>
  </si>
  <si>
    <t>Cambium Care Advanced, 1-year support renewal for one XT-5028 access switch.  24x7 TAC support, SW updates, and NBD advance replacement for HW</t>
  </si>
  <si>
    <t>Cambium Care Advanced, 3-year support renewal for one XI-2PACK modular radio kit.  24x7 TAC support, SW updates, and NBD advance replacement for HW</t>
  </si>
  <si>
    <t>Cambium Care Advanced, 3-year support renewal for one XI-4PACK modular radio kit.  24x7 TAC support, SW updates, and NBD advance replacement for HW</t>
  </si>
  <si>
    <t>Cambium Care Advanced, 1-month support renewal for one XI-4PACK modular radio kit.  24x7 TAC support, SW updates, and NBD advance replacement for HW, 3-year rate</t>
  </si>
  <si>
    <t>Cambium Care Advanced, 3-year support renewal for one XT-5024 access switch.  24x7 TAC support, SW updates, and NBD advance replacement for HW</t>
  </si>
  <si>
    <t>Cambium Care Advanced, 1-month support renewal for one XT-5024 access switch.  24x7 TAC support, SW updates, and NBD advance replacement for HW, 3-year rate</t>
  </si>
  <si>
    <t>Cambium Care Advanced, 3-year support renewal for one XP2-MSI-95M power injector.  24x7 TAC support, SW updates, and NBD advance replacement for HW</t>
  </si>
  <si>
    <t>Cambium Care Advanced, 1-month support renewal for one XP2-MSI-95M power injector.  24x7 TAC support, SW updates, and NBD advance replacement for HW, 3-year rate</t>
  </si>
  <si>
    <t>Cambium Care Advanced, 3-year support renewal for one XR-1200 Wireless AP.  24x7 TAC support, SW updates, and NBD advance replacement for HW</t>
  </si>
  <si>
    <t>Cambium Care Advanced, 1-month support renewal for one XR-1200 Wireless AP.  24x7 TAC support, SW updates, and NBD advance replacement for HW, 3-year rate</t>
  </si>
  <si>
    <t>Cambium Care Advanced, 3-year support renewal for one XR-1200H Wireless AP.  24x7 TAC support, SW updates, and NBD advance replacement for HW</t>
  </si>
  <si>
    <t>Cambium Care Advanced, 1-month support renewal for one XR-1200H Wireless AP.  24x7 TAC support, SW updates, and NBD advance replacement for HW, 3-year rate</t>
  </si>
  <si>
    <t>Cambium Care Advanced, 3-year support renewal for one XR-2200 Wireless AP.  24x7 TAC support, SW updates, and NBD advance replacement for HW</t>
  </si>
  <si>
    <t>Cambium Care Advanced, 1-month support renewal for one XR-2200 Wireless AP.  24x7 TAC support, SW updates, and NBD advance replacement for HW, 3-year rate</t>
  </si>
  <si>
    <t>Cambium Care Advanced, 3-year support renewal for one XR-2400 Wireless AP.  24x7 TAC support, SW updates, and NBD advance replacement for HW</t>
  </si>
  <si>
    <t>Cambium Care Advanced, 1-month support renewal for one XR-2400 Wireless AP.  24x7 TAC support, SW updates, and NBD advance replacement for HW, 3-year rate</t>
  </si>
  <si>
    <t>Cambium Care Advanced, 3-year support renewal for one XR-2400H Wireless AP.  24x7 TAC support, SW updates, and NBD advance replacement for HW</t>
  </si>
  <si>
    <t>Cambium Care Advanced, 1-month support renewal for one XR-2400H Wireless AP.  24x7 TAC support, SW updates, and NBD advance replacement for HW, 3-year rate</t>
  </si>
  <si>
    <t>Cambium Care Advanced, 3-year support renewal for one XR-4400 Wireless AP.  24x7 TAC support, SW updates, and NBD advance replacement for HW</t>
  </si>
  <si>
    <t>Cambium Care Advanced, 1-month support renewal for one XR-4400 Wireless AP.  24x7 TAC support, SW updates, and NBD advance replacement for HW, 3-year rate</t>
  </si>
  <si>
    <t>Cambium Care Advanced, 3-year support renewal for one XR-4800 Wireless AP.  24x7 TAC support, SW updates, and NBD advance replacement for HW</t>
  </si>
  <si>
    <t>Cambium Care Advanced, 1-month support renewal for one XR-4800 Wireless AP.  24x7 TAC support, SW updates, and NBD advance replacement for HW, 3-year rate</t>
  </si>
  <si>
    <t>Cambium Care Advanced, 3-year support renewal for one XR-500 Wireless AP.  24x7 TAC support, SW updates, and NBD advance replacement for HW</t>
  </si>
  <si>
    <t>Cambium Care Advanced, 1-month support renewal for one XR-500 Wireless AP.  24x7 TAC support, SW updates, and NBD advance replacement for HW, 3-year rate</t>
  </si>
  <si>
    <t>Cambium Care Advanced, 3-year support renewal for one XR-500H Wireless AP.  24x7 TAC support, SW updates, and NBD advance replacement for HW</t>
  </si>
  <si>
    <t>Cambium Care Advanced, 1-month support renewal for one XR-500H Wireless AP.  24x7 TAC support, SW updates, and NBD advance replacement for HW, 3-year rate</t>
  </si>
  <si>
    <t>Cambium Care Advanced, 3-year support renewal for one XR-6800 Wireless AP.  24x7 TAC support, SW updates, and NBD advance replacement for HW</t>
  </si>
  <si>
    <t>Cambium Care Advanced, 1-month support renewal for one XR-6800 Wireless AP.  24x7 TAC support, SW updates, and NBD advance replacement for HW, 3-year rate</t>
  </si>
  <si>
    <t>Cambium Care Advanced, 3-year support renewal for one XR-7200 Wireless AP.  24x7 TAC support, SW updates, and NBD advance replacement for HW</t>
  </si>
  <si>
    <t>Cambium Care Advanced, 1-month support renewal for one XR-7200 Wireless AP.  24x7 TAC support, SW updates, and NBD advance replacement for HW, 3-year rate</t>
  </si>
  <si>
    <t>Cambium Care Advanced, 3-year support renewal for one XR-7600 Wireless AP.  24x7 TAC support, SW updates, and NBD advance replacement for HW</t>
  </si>
  <si>
    <t>Cambium Care Advanced, 1-month support renewal for one XR-7600 Wireless AP.  24x7 TAC support, SW updates, and NBD advance replacement for HW, 3-year rate</t>
  </si>
  <si>
    <t>Cambium Care Advanced, 3-year support renewal for one XT-5028 access switch.  24x7 TAC support, SW updates, and NBD advance replacement for HW</t>
  </si>
  <si>
    <t>Cambium Care Advanced, 1-month support renewal for one XT-5028 access switch.  24x7 TAC support, SW updates, and NBD advance replacement for HW, 3-year rate</t>
  </si>
  <si>
    <t>Cambium Care Advanced, 1-month support renewal for one X2 Wireless AP.  24x7 TAC support, SW updates, and NBD advance replacement for HW, 5-year rate</t>
  </si>
  <si>
    <t>Cambium Care Advanced, 5-year support renewal for one XP8-MSI device.  24x7 TAC support, SW updates, and NBD advance replacement for HW</t>
  </si>
  <si>
    <t>Cambium Care Advanced, 1-month support renewal for one XR-300 Wireless AP.  24x7 TAC support, SW updates, and NBD advance replacement for HW, 5-year rate</t>
  </si>
  <si>
    <t>Cambium Care Advanced, 5-year support renewal for one XR-600 Wireless AP.  24x7 TAC support, SW updates, and NBD advance replacement for HW</t>
  </si>
  <si>
    <t>Cambium Care Advanced, 1-month support renewal for one XR-600 Wireless AP.  24x7 TAC support, SW updates, and NBD advance replacement for HW, 5-year rate</t>
  </si>
  <si>
    <t>Cambium Care Advanced, 3-year support renewal for one XT-5048 access switch.  24x7 TAC support, SW updates, and NBD advance replacement for HW</t>
  </si>
  <si>
    <t>CCADV-SUP-V5000-5</t>
  </si>
  <si>
    <t>Cambium Care Advanced, 5-year support for one V5000.  24x7 TAC support, SW updates, and NBDS advance replacement for HW</t>
  </si>
  <si>
    <t>Cambium Care Advanced, 1-year support for one XE-4000-OUTDOOR enclosure (electronics only).  24x7 TAC support, SW updates, and NBD advance replacement for HW</t>
  </si>
  <si>
    <t>Cambium Care Advanced, 3-year support for one XE-4000-OUTDOOR enclosure (electronics only).  24x7 TAC support, SW updates, and NBD advance replacement for HW</t>
  </si>
  <si>
    <t>Cambium Care Advanced, 5-year support for one XE-4000-OUTDOOR enclosure (electronics only).  24x7 TAC support, SW updates, and NBD advance replacement for HW</t>
  </si>
  <si>
    <t>Cambium Care Pro for XMS-Enterprise Server, support renewal for 100 radios , 1-year. 24x7 TAC support and SW updates. 1-year minimum.</t>
  </si>
  <si>
    <t>Cambium Care Pro for XMS-Enterprise Server, support renewal for 1000 radios , 1-year. 24x7 TAC support and SW updates. 1-year minimum.</t>
  </si>
  <si>
    <t>Cambium Care Pro for XMS-Enterprise Server, support renewal for 20 radios , 1-year. 24x7 TAC support and SW updates. 1-year minimum.</t>
  </si>
  <si>
    <t>Cambium Care Pro for XMS-Enterprise Server, support renewal for 200 radios , 1-year. 24x7 TAC support and SW updates. 1-year minimum.</t>
  </si>
  <si>
    <t>Cambium Care Pro for XMS-Enterprise Server, support renewal for 2000 radios , 1-year. 24x7 TAC support and SW updates. 1-year minimum.</t>
  </si>
  <si>
    <t>Cambium Care Pro for XMS-Enterprise Server, support renewal for 30 radios , 1-year. 24x7 TAC support and SW updates. 1-year minimum.</t>
  </si>
  <si>
    <t>Cambium Care Pro for XMS-Enterprise Server, support renewal for 300 radios , 1-year. 24x7 TAC support and SW updates. 1-year minimum.</t>
  </si>
  <si>
    <t>Cambium Care Pro for XMS-Enterprise Server, support renewal for 3000 radios , 1-year. 24x7 TAC support and SW updates. 1-year minimum.</t>
  </si>
  <si>
    <t>Cambium Care Pro for XMS-Enterprise Server, support renewal for 40 radios , 1-year. 24x7 TAC support and SW updates. 1-year minimum.</t>
  </si>
  <si>
    <t>Cambium Care Pro for XMS-Enterprise Server, support renewal for 400 radios , 1-year. 24x7 TAC support and SW updates. 1-year minimum.</t>
  </si>
  <si>
    <t>Cambium Care Pro for XMS-Enterprise Server, support renewal for 4000 radios , 1-year. 24x7 TAC support and SW updates. 1-year minimum.</t>
  </si>
  <si>
    <t>Cambium Care Pro for XMS-Enterprise Server, support renewal for 50 radios , 1-year. 24x7 TAC support and SW updates. 1-year minimum.</t>
  </si>
  <si>
    <t>Cambium Care Pro for XMS-Enterprise Server, support renewal for 500 radios , 1-year. 24x7 TAC support and SW updates. 1-year minimum.</t>
  </si>
  <si>
    <t>Cambium Care Pro for XMS-Enterprise Server, support renewal for 5000 or greater radios , 1-year. 24x7 TAC support and SW updates. 1-year minimum.</t>
  </si>
  <si>
    <t>Cambium Care Pro for XMS-Enterprise Server, support renewal for 60 radios , 1-year. 24x7 TAC support and SW updates. 1-year minimum.</t>
  </si>
  <si>
    <t>Cambium Care Pro for XMS-Enterprise Server, support renewal for 600 radios , 1-year. 24x7 TAC support and SW updates. 1-year minimum.</t>
  </si>
  <si>
    <t>Cambium Care Pro for XMS-Enterprise Server, support renewal for 70 radios , 1-year. 24x7 TAC support and SW updates. 1-year minimum.</t>
  </si>
  <si>
    <t>Cambium Care Pro for XMS-Enterprise Server, support renewal for 700 radios , 1-year. 24x7 TAC support and SW updates. 1-year minimum.</t>
  </si>
  <si>
    <t>Cambium Care Pro for XMS-Enterprise Server, support renewal for 80 radios , 1-year. 24x7 TAC support and SW updates. 1-year minimum.</t>
  </si>
  <si>
    <t>Cambium Care Pro for XMS-Enterprise Server, support renewal for 800 radios , 1-year. 24x7 TAC support and SW updates. 1-year minimum.</t>
  </si>
  <si>
    <t>Cambium Care Pro for XMS-Enterprise Server, support renewal for 90 radios , 1-year. 24x7 TAC support and SW updates. 1-year minimum.</t>
  </si>
  <si>
    <t>Cambium Care Pro for XMS-Enterprise Server, support renewal for 900 radios , 1-year. 24x7 TAC support and SW updates. 1-year minimum.</t>
  </si>
  <si>
    <t>Cambium Care Pro, 1-year support renewal for one XR00 Wireless AP.  24x7 TAC support, SW updates, and NBD advance replacement for HW</t>
  </si>
  <si>
    <t>Cambium Care Pro, 1-month support renewal for one XI-2PACK modular radio kit.  24x7 TAC support, SW updates, and NBD advance replacement for HW, 3-year rate</t>
  </si>
  <si>
    <t>Cambium Care Pro, 1-month support renewal for one XI-4PACK modular radio kit.  24x7 TAC support, SW updates, and NBD advance replacement for HW, 3-year rate</t>
  </si>
  <si>
    <t>Cambium Care Pro, 1-month support renewal for one XT-5024 access switch.  24x7 TAC support, SW updates, and NBD advance replacement for HW, 3-year rate</t>
  </si>
  <si>
    <t>Cambium Care Pro for XMS-Enterprise Server, support renewal for 100 radios , 3-year. 24x7 TAC support and SW updates. 3-year minimum.</t>
  </si>
  <si>
    <t>Cambium Care Pro for XMS-Enterprise Server, support renewal for 1000 radios , 3-year. 24x7 TAC support and SW updates. 3-year minimum.</t>
  </si>
  <si>
    <t>Cambium Care Pro for XMS-Enterprise Server, support renewal for 20 radios , 3-year. 24x7 TAC support and SW updates. 3-year minimum.</t>
  </si>
  <si>
    <t>Cambium Care Pro for XMS-Enterprise Server, support renewal for 200 radios , 3-year. 24x7 TAC support and SW updates. 3-year minimum.</t>
  </si>
  <si>
    <t>Cambium Care Pro for XMS-Enterprise Server, support renewal for 2000 radios , 3-year. 24x7 TAC support and SW updates. 3-year minimum.</t>
  </si>
  <si>
    <t>Cambium Care Pro for XMS-Enterprise Server, support renewal for 30 radios , 3-year. 24x7 TAC support and SW updates. 3-year minimum.</t>
  </si>
  <si>
    <t>Cambium Care Pro for XMS-Enterprise Server, support renewal for 300 radios , 3-year. 24x7 TAC support and SW updates. 3-year minimum.</t>
  </si>
  <si>
    <t>Cambium Care Pro for XMS-Enterprise Server, support renewal for 3000 radios , 3-year. 24x7 TAC support and SW updates. 3-year minimum.</t>
  </si>
  <si>
    <t>Cambium Care Pro for XMS-Enterprise Server, support renewal for 40 radios , 3-year. 24x7 TAC support and SW updates. 3-year minimum.</t>
  </si>
  <si>
    <t>Cambium Care Pro for XMS-Enterprise Server, support renewal for 400 radios , 3-year. 24x7 TAC support and SW updates. 3-year minimum.</t>
  </si>
  <si>
    <t>Cambium Care Pro for XMS-Enterprise Server, support renewal for 4000 radios , 3-year. 24x7 TAC support and SW updates. 3-year minimum.</t>
  </si>
  <si>
    <t>Cambium Care Pro for XMS-Enterprise Server, support renewal for 50 radios , 3-year. 24x7 TAC support and SW updates. 3-year minimum.</t>
  </si>
  <si>
    <t>Cambium Care Pro for XMS-Enterprise Server, support renewal for 500 radios , 3-year. 24x7 TAC support and SW updates. 3-year minimum.</t>
  </si>
  <si>
    <t>Cambium Care Pro for XMS-Enterprise Server, support renewal for 5000 or greater radios , 3-year. 24x7 TAC support and SW updates. 3-year minimum.</t>
  </si>
  <si>
    <t>Cambium Care Pro for XMS-Enterprise Server, support renewal for 60 radios , 3-year. 24x7 TAC support and SW updates. 3-year minimum.</t>
  </si>
  <si>
    <t>Cambium Care Pro for XMS-Enterprise Server, support renewal for 600 radios , 3-year. 24x7 TAC support and SW updates. 3-year minimum.</t>
  </si>
  <si>
    <t>Cambium Care Pro for XMS-Enterprise Server, support renewal for 70 radios , 3-year. 24x7 TAC support and SW updates. 3-year minimum.</t>
  </si>
  <si>
    <t>Cambium Care Pro for XMS-Enterprise Server, support renewal for 700 radios , 3-year. 24x7 TAC support and SW updates. 3-year minimum.</t>
  </si>
  <si>
    <t>Cambium Care Pro for XMS-Enterprise Server, support renewal for 80 radios , 3-year. 24x7 TAC support and SW updates. 3-year minimum.</t>
  </si>
  <si>
    <t>Cambium Care Pro for XMS-Enterprise Server, support renewal for 800 radios , 3-year. 24x7 TAC support and SW updates. 3-year minimum.</t>
  </si>
  <si>
    <t>Cambium Care Pro for XMS-Enterprise Server, support renewal for 90 radios , 3-year. 24x7 TAC support and SW updates. 3-year minimum.</t>
  </si>
  <si>
    <t>Cambium Care Pro for XMS-Enterprise Server, support renewal for 900 radios , 3-year. 24x7 TAC support and SW updates. 3-year minimum.</t>
  </si>
  <si>
    <t>Cambium Care Pro, 1-month support renewal for one XP2-MSI-95M power injector.  24x7 TAC support, SW updates, and NBD advance replacement for HW, 3-year rate</t>
  </si>
  <si>
    <t>Cambium Care Pro, 1-month support renewal for one XR-1200 Wireless AP.  24x7 TAC support, SW updates, and NBD advance replacement for HW, 3-year rate</t>
  </si>
  <si>
    <t>Cambium Care Pro, 1-month support renewal for one XR-1200H Wireless AP.  24x7 TAC support, SW updates, and NBD advance replacement for HW, 3-year rate</t>
  </si>
  <si>
    <t>Cambium Care Pro, 1-month support renewal for one XR-2200 Wireless AP.  24x7 TAC support, SW updates, and NBD advance replacement for HW, 3-year rate</t>
  </si>
  <si>
    <t>Cambium Care Pro, 1-month support renewal for one XR-2400 Wireless AP.  24x7 TAC support, SW updates, and NBD advance replacement for HW, 3-year rate</t>
  </si>
  <si>
    <t>Cambium Care Pro, 1-month support renewal for one XR-2400H Wireless AP.  24x7 TAC support, SW updates, and NBD advance replacement for HW, 3-year rate</t>
  </si>
  <si>
    <t>Cambium Care Pro, 1-month support renewal for one XR-4400 Wireless AP.  24x7 TAC support, SW updates, and NBD advance replacement for HW, 3-year rate</t>
  </si>
  <si>
    <t>Cambium Care Pro, 1-month support renewal for one XR-4800 Wireless AP.  24x7 TAC support, SW updates, and NBD advance replacement for HW, 3-year rate</t>
  </si>
  <si>
    <t>Cambium Care Pro, 1-month support renewal for one XR-500 Wireless AP.  24x7 TAC support, SW updates, and NBD advance replacement for HW, 3-year rate</t>
  </si>
  <si>
    <t>Cambium Care Pro, 1-month support renewal for one XR-500H Wireless AP.  24x7 TAC support, SW updates, and NBD advance replacement for HW, 3-year rate</t>
  </si>
  <si>
    <t>Cambium Care Pro, 1-month support renewal for one XR-600 Wireless AP.  24x7 TAC support and SW updates, 3-year rate</t>
  </si>
  <si>
    <t>Cambium Care Pro, 1-month support renewal for one XR-6800 Wireless AP.  24x7 TAC support, SW updates, and NBD advance replacement for HW, 3-year rate</t>
  </si>
  <si>
    <t>Cambium Care Pro, 1-month support renewal for one XR-7200 Wireless AP.  24x7 TAC support, SW updates, and NBD advance replacement for HW, 3-year rate</t>
  </si>
  <si>
    <t>Cambium Care Pro, 1-month support renewal for one XR-7600 Wireless AP.  24x7 TAC support, SW updates, and NBD advance replacement for HW, 3-year rate</t>
  </si>
  <si>
    <t>Cambium Care Pro, 1-month support renewal for one XT-5028 access switch.  24x7 TAC support, SW updates, and NBD advance replacement for HW, 3-year rate</t>
  </si>
  <si>
    <t>Cambium Care Pro, 1-month support renewal for one X2 Wireless AP.  24x7 TAC support and SW updates, 5-year rate</t>
  </si>
  <si>
    <t>Cambium Care Pro for XMS-Enterprise Server, support renewal for 100 radios , 5-year. 24x7 TAC support and SW updates. 5-year minimum.</t>
  </si>
  <si>
    <t>Cambium Care Pro for XMS-Enterprise Server, support renewal for 1000 radios , 5-year. 24x7 TAC support and SW updates. 5-year minimum.</t>
  </si>
  <si>
    <t>Cambium Care Pro for XMS-Enterprise Server, support renewal for 20 radios , 5-year. 24x7 TAC support and SW updates. 5-year minimum.</t>
  </si>
  <si>
    <t>Cambium Care Pro for XMS-Enterprise Server, support renewal for 200 radios , 5-year. 24x7 TAC support and SW updates. 5-year minimum.</t>
  </si>
  <si>
    <t>Cambium Care Pro for XMS-Enterprise Server, support renewal for 2000 radios , 5-year. 24x7 TAC support and SW updates. 5-year minimum.</t>
  </si>
  <si>
    <t>Cambium Care Pro for XMS-Enterprise Server, support renewal for 30 radios , 5-year. 24x7 TAC support and SW updates. 5-year minimum.</t>
  </si>
  <si>
    <t>Cambium Care Pro for XMS-Enterprise Server, support renewal for 300 radios , 5-year. 24x7 TAC support and SW updates. 5-year minimum.</t>
  </si>
  <si>
    <t>Cambium Care Pro for XMS-Enterprise Server, support renewal for 3000 radios , 5-year. 24x7 TAC support and SW updates. 5-year minimum.</t>
  </si>
  <si>
    <t>Cambium Care Pro for XMS-Enterprise Server, support renewal for 40 radios , 5-year. 24x7 TAC support and SW updates. 5-year minimum.</t>
  </si>
  <si>
    <t>Cambium Care Pro for XMS-Enterprise Server, support renewal for 400 radios , 5-year. 24x7 TAC support and SW updates. 5-year minimum.</t>
  </si>
  <si>
    <t>Cambium Care Pro for XMS-Enterprise Server, support renewal for 4000 radios , 5-year. 24x7 TAC support and SW updates. 5-year minimum.</t>
  </si>
  <si>
    <t>Cambium Care Pro for XMS-Enterprise Server, support renewal for 50 radios , 5-year. 24x7 TAC support and SW updates. 5-year minimum.</t>
  </si>
  <si>
    <t>Cambium Care Pro for XMS-Enterprise Server, support renewal for 500 radios , 5-year. 24x7 TAC support and SW updates. 5-year minimum.</t>
  </si>
  <si>
    <t>Cambium Care Pro for XMS-Enterprise Server, support renewal for 5000 or greater radios , 5-year. 24x7 TAC support and SW updates. 5-year minimum.</t>
  </si>
  <si>
    <t>Cambium Care Pro for XMS-Enterprise Server, support renewal for 60 radios , 5-year. 24x7 TAC support and SW updates. 5-year minimum.</t>
  </si>
  <si>
    <t>Cambium Care Pro for XMS-Enterprise Server, support renewal for 600 radios , 5-year. 24x7 TAC support and SW updates. 5-year minimum.</t>
  </si>
  <si>
    <t>Cambium Care Pro for XMS-Enterprise Server, support renewal for 70 radios , 5-year. 24x7 TAC support and SW updates. 5-year minimum.</t>
  </si>
  <si>
    <t>Cambium Care Pro for XMS-Enterprise Server, support renewal for 700 radios , 5-year. 24x7 TAC support and SW updates. 5-year minimum.</t>
  </si>
  <si>
    <t>Cambium Care Pro for XMS-Enterprise Server, support renewal for 80 radios , 5-year. 24x7 TAC support and SW updates. 5-year minimum.</t>
  </si>
  <si>
    <t>Cambium Care Pro for XMS-Enterprise Server, support renewal for 800 radios , 5-year. 24x7 TAC support and SW updates. 5-year minimum.</t>
  </si>
  <si>
    <t>Cambium Care Pro for XMS-Enterprise Server, support renewal for 90 radios , 5-year. 24x7 TAC support and SW updates. 5-year minimum.</t>
  </si>
  <si>
    <t>Cambium Care Pro for XMS-Enterprise Server, support renewal for 900 radios , 5-year. 24x7 TAC support and SW updates. 5-year minimum.</t>
  </si>
  <si>
    <t>Cambium Care Pro, 1-month support renewal for one XR-300 Wireless AP.  24x7 TAC support and SW updates, 5-year rate</t>
  </si>
  <si>
    <t>Cambium Care Pro, 1-month support renewal for one XR-600 Wireless AP.  24x7 TAC support and SW updates, 5-year rate</t>
  </si>
  <si>
    <t>CCPRO-SUP-V1000-1</t>
  </si>
  <si>
    <t>Cambium Care Pro, 1-year support for one V1000.  24x7 TAC support, SW updates</t>
  </si>
  <si>
    <t>CCPRO-SUP-V1000-5</t>
  </si>
  <si>
    <t>Cambium Care Pro, 5-year support for one V1000.  24x7 TAC support, SW updates</t>
  </si>
  <si>
    <t>CCPRO-SUP-V3000-1</t>
  </si>
  <si>
    <t>Cambium Care Pro, 1-year support for one V3000.  24x7 TAC support, SW updates</t>
  </si>
  <si>
    <t>CCPRO-SUP-V5000-1</t>
  </si>
  <si>
    <t>Cambium Care Pro, 1-year support for one V5000.  24x7 TAC support, SW updates</t>
  </si>
  <si>
    <t>CCPRO-SUP-V5000-3</t>
  </si>
  <si>
    <t>Cambium Care Pro, 3-year support for one V5000.  24x7 TAC support, SW updates</t>
  </si>
  <si>
    <t>N000082L116B</t>
  </si>
  <si>
    <t xml:space="preserve">Grounding Cable, 1m with M6 ring to M6 ring </t>
  </si>
  <si>
    <t>PTP820</t>
  </si>
  <si>
    <t>CCADV-SUP-EX1010-1</t>
  </si>
  <si>
    <t>CCADV-SUP-EX1010-3</t>
  </si>
  <si>
    <t>CCADV-SUP-EX1010-5</t>
  </si>
  <si>
    <t>CCADV-SUP-EX1010-P-1</t>
  </si>
  <si>
    <t>CCADV-SUP-EX1010-P-3</t>
  </si>
  <si>
    <t>CCADV-SUP-EX1010-P-5</t>
  </si>
  <si>
    <t>CCADV-SUP-EX1028-1</t>
  </si>
  <si>
    <t>CCADV-SUP-EX1028-3</t>
  </si>
  <si>
    <t>CCADV-SUP-EX1028-5</t>
  </si>
  <si>
    <t>CCADV-SUP-EX1028-P-1</t>
  </si>
  <si>
    <t>CCADV-SUP-EX1028-P-3</t>
  </si>
  <si>
    <t>CCADV-SUP-EX1028-P-5</t>
  </si>
  <si>
    <t>CCADV-SUP-EX2010-1</t>
  </si>
  <si>
    <t>CCADV-SUP-EX2010-3</t>
  </si>
  <si>
    <t>CCADV-SUP-EX2010-5</t>
  </si>
  <si>
    <t>CCADV-SUP-EX2010-P-1</t>
  </si>
  <si>
    <t>CCADV-SUP-EX2010-P-3</t>
  </si>
  <si>
    <t>CCADV-SUP-EX2010-P-5</t>
  </si>
  <si>
    <t>CCADV-SUP-EX2016M-P-3</t>
  </si>
  <si>
    <t>CCADV-SUP-EX2016M-P-5</t>
  </si>
  <si>
    <t>CCADV-SUP-EX2028-1</t>
  </si>
  <si>
    <t>CCADV-SUP-EX2028-3</t>
  </si>
  <si>
    <t>CCADV-SUP-EX2028-5</t>
  </si>
  <si>
    <t>CCADV-SUP-EX2028-P-1</t>
  </si>
  <si>
    <t>CCADV-SUP-EX2028-P-3</t>
  </si>
  <si>
    <t>CCADV-SUP-EX2028-P-5</t>
  </si>
  <si>
    <t>CCADV-SUP-EX2052-1</t>
  </si>
  <si>
    <t>CCADV-SUP-EX2052-3</t>
  </si>
  <si>
    <t>CCADV-SUP-EX2052-5</t>
  </si>
  <si>
    <t>CCADV-SUP-EX2052-P-1</t>
  </si>
  <si>
    <t>CCADV-SUP-EX2052-P-3</t>
  </si>
  <si>
    <t>CCADV-SUP-EX2052-P-5</t>
  </si>
  <si>
    <t>CCADV-SUP-EX2052R-P-1</t>
  </si>
  <si>
    <t>CCADV-SUP-EX2052R-P-3</t>
  </si>
  <si>
    <t>CCADV-SUP-EX2052R-P-5</t>
  </si>
  <si>
    <t>CCPRO-SUP-EX1010-1</t>
  </si>
  <si>
    <t>CCPRO-SUP-EX1010-3</t>
  </si>
  <si>
    <t>CCPRO-SUP-EX1010-5</t>
  </si>
  <si>
    <t>CCPRO-SUP-EX1010-P-1</t>
  </si>
  <si>
    <t>CCPRO-SUP-EX1010-P-3</t>
  </si>
  <si>
    <t>CCPRO-SUP-EX1010-P-5</t>
  </si>
  <si>
    <t>CCPRO-SUP-EX1028-1</t>
  </si>
  <si>
    <t>CCPRO-SUP-EX1028-3</t>
  </si>
  <si>
    <t>CCPRO-SUP-EX1028-5</t>
  </si>
  <si>
    <t>CCPRO-SUP-EX1028-P-1</t>
  </si>
  <si>
    <t>CCPRO-SUP-EX1028-P-3</t>
  </si>
  <si>
    <t>CCPRO-SUP-EX1028-P-5</t>
  </si>
  <si>
    <t>CCPRO-SUP-EX2010-1</t>
  </si>
  <si>
    <t>CCPRO-SUP-EX2010-3</t>
  </si>
  <si>
    <t>CCPRO-SUP-EX2010-5</t>
  </si>
  <si>
    <t>CCPRO-SUP-EX2010-P-1</t>
  </si>
  <si>
    <t>CCPRO-SUP-EX2010-P-3</t>
  </si>
  <si>
    <t>CCPRO-SUP-EX2010-P-5</t>
  </si>
  <si>
    <t>CCPRO-SUP-EX2016M-P-1</t>
  </si>
  <si>
    <t>CCPRO-SUP-EX2016M-P-3</t>
  </si>
  <si>
    <t>CCPRO-SUP-EX2016M-P-5</t>
  </si>
  <si>
    <t>CCPRO-SUP-EX2028-1</t>
  </si>
  <si>
    <t>CCPRO-SUP-EX2028-3</t>
  </si>
  <si>
    <t>CCPRO-SUP-EX2028-5</t>
  </si>
  <si>
    <t>CCPRO-SUP-EX2028-P-1</t>
  </si>
  <si>
    <t>CCPRO-SUP-EX2028-P-3</t>
  </si>
  <si>
    <t>CCPRO-SUP-EX2028-P-5</t>
  </si>
  <si>
    <t>CCPRO-SUP-EX2052-1</t>
  </si>
  <si>
    <t>CCPRO-SUP-EX2052-3</t>
  </si>
  <si>
    <t>CCPRO-SUP-EX2052-5</t>
  </si>
  <si>
    <t>CCPRO-SUP-EX2052-P-1</t>
  </si>
  <si>
    <t>CCPRO-SUP-EX2052-P-3</t>
  </si>
  <si>
    <t>CCPRO-SUP-EX2052-P-5</t>
  </si>
  <si>
    <t>CCPRO-SUP-EX2052R-P-1</t>
  </si>
  <si>
    <t>CCPRO-SUP-EX2052R-P-3</t>
  </si>
  <si>
    <t>CCPRO-SUP-EX2052R-P-5</t>
  </si>
  <si>
    <t>CCADV-SUP-E410-1</t>
  </si>
  <si>
    <t>CCADV-SUP-E410-3</t>
  </si>
  <si>
    <t>CCADV-SUP-E410-5</t>
  </si>
  <si>
    <t>CCADV-SUP-E425-1</t>
  </si>
  <si>
    <t>CCADV-SUP-E425-3</t>
  </si>
  <si>
    <t>CCADV-SUP-E425-5</t>
  </si>
  <si>
    <t>CCADV-SUP-E430-1</t>
  </si>
  <si>
    <t>CCADV-SUP-E430-3</t>
  </si>
  <si>
    <t>CCADV-SUP-E430-5</t>
  </si>
  <si>
    <t>CCADV-SUP-E600-1</t>
  </si>
  <si>
    <t>Cambium Care Advanced, 1-year support for one cnPilot e600. 24x7 TAC support, SW updates, and NBDS advance replacement for HW</t>
  </si>
  <si>
    <t>CCADV-SUP-E600-3</t>
  </si>
  <si>
    <t>CCADV-SUP-E600-5</t>
  </si>
  <si>
    <t>CCADV-SUP-E500-1</t>
  </si>
  <si>
    <t>Cambium Care Advanced, 1-year support for one cnPilot e500. 24x7 TAC support, SW updates, and NBDS advance replacement for HW</t>
  </si>
  <si>
    <t>CCADV-SUP-E500-3</t>
  </si>
  <si>
    <t>CCADV-SUP-E500-5</t>
  </si>
  <si>
    <t>CCADV-SUP-E501-1</t>
  </si>
  <si>
    <t>Cambium Care Advanced, 1-year support for one cnPilot e501S. 24x7 TAC support, SW updates, and NBDS advance replacement for HW</t>
  </si>
  <si>
    <t>CCADV-SUP-E501-3</t>
  </si>
  <si>
    <t>CCADV-SUP-E501-5</t>
  </si>
  <si>
    <t>CCADV-SUP-E502-1</t>
  </si>
  <si>
    <t>Cambium Care Advanced, 1-year support for one cnPilot e502S. 24x7 TAC support, SW updates, and NBDS advance replacement for HW</t>
  </si>
  <si>
    <t>CCADV-SUP-E502-3</t>
  </si>
  <si>
    <t>CCADV-SUP-E502-5</t>
  </si>
  <si>
    <t>CCADV-SUP-E505-1</t>
  </si>
  <si>
    <t>Cambium Care Advanced, 1-year support for one cnPilot e505. 24x7 TAC support, SW updates, and NBDS advance replacement for HW</t>
  </si>
  <si>
    <t>CCADV-SUP-E505-3</t>
  </si>
  <si>
    <t>CCADV-SUP-E505-5</t>
  </si>
  <si>
    <t>CCADV-SUP-E510-1</t>
  </si>
  <si>
    <t>Cambium Care Advanced, 1-year support for one cnPilot e510. 24x7 TAC support, SW updates, and NBDS advance replacement for HW</t>
  </si>
  <si>
    <t>CCADV-SUP-E510-3</t>
  </si>
  <si>
    <t>CCADV-SUP-E510-5</t>
  </si>
  <si>
    <t>CCADV-SUP-E700-1</t>
  </si>
  <si>
    <t>Cambium Care Advanced, 1-year support for one cnPilot e700. 24x7 TAC support, SW updates, and NBDS advance replacement for HW</t>
  </si>
  <si>
    <t>CCADV-SUP-E700-3</t>
  </si>
  <si>
    <t>CCADV-SUP-E700-5</t>
  </si>
  <si>
    <t>CCPRO-SUP-E410-1</t>
  </si>
  <si>
    <t>Cambium Care Pro, 1-year support for one cnPilot e410.  24x7 TAC support, SW updates</t>
  </si>
  <si>
    <t>CCPRO-SUP-E410-3</t>
  </si>
  <si>
    <t>Cambium Care Pro, 3-year support for one cnPilot e410.  24x7 TAC support, SW updates</t>
  </si>
  <si>
    <t>CCPRO-SUP-E410-5</t>
  </si>
  <si>
    <t>Cambium Care Pro, 5-year support for one cnPilot e410.  24x7 TAC support, SW updates</t>
  </si>
  <si>
    <t>CCPRO-SUP-E425-1</t>
  </si>
  <si>
    <t>Cambium Care Pro, 1-year support for one cnPilot e425.  24x7 TAC support, SW updates</t>
  </si>
  <si>
    <t>CCPRO-SUP-E425-3</t>
  </si>
  <si>
    <t>Cambium Care Pro, 3-year support for one cnPilot e425.  24x7 TAC support, SW updates</t>
  </si>
  <si>
    <t>CCPRO-SUP-E425-5</t>
  </si>
  <si>
    <t>Cambium Care Pro, 5-year support for one cnPilot e425.  24x7 TAC support, SW updates</t>
  </si>
  <si>
    <t>CCPRO-SUP-E430-1</t>
  </si>
  <si>
    <t>Cambium Care Pro, 1-year support for one cnPilot e430.  24x7 TAC support, SW updates</t>
  </si>
  <si>
    <t>CCPRO-SUP-E430-3</t>
  </si>
  <si>
    <t>Cambium Care Pro, 3-year support for one cnPilot e430.  24x7 TAC support, SW updates</t>
  </si>
  <si>
    <t>CCPRO-SUP-E430-5</t>
  </si>
  <si>
    <t>Cambium Care Pro, 5-year support for one cnPilot e430.  24x7 TAC support, SW updates</t>
  </si>
  <si>
    <t>CCPRO-SUP-E600-1</t>
  </si>
  <si>
    <t>Cambium Care Pro, 1-year support for one cnPilot e600.  24x7 TAC support, SW updates</t>
  </si>
  <si>
    <t>CCPRO-SUP-E600-3</t>
  </si>
  <si>
    <t>Cambium Care Pro, 3-year support for one cnPilot e600.  24x7 TAC support, SW updates</t>
  </si>
  <si>
    <t>CCPRO-SUP-E600-5</t>
  </si>
  <si>
    <t>Cambium Care Pro, 5-year support for one cnPilot e600.  24x7 TAC support, SW updates</t>
  </si>
  <si>
    <t>CCPRO-SUP-E500-1</t>
  </si>
  <si>
    <t>Cambium Care Pro, 1-year support for one cnPilot e500.  24x7 TAC support, SW updates</t>
  </si>
  <si>
    <t>CCPRO-SUP-E500-3</t>
  </si>
  <si>
    <t>Cambium Care Pro, 3-year support for one cnPilot e500.  24x7 TAC support, SW updates</t>
  </si>
  <si>
    <t>CCPRO-SUP-E500-5</t>
  </si>
  <si>
    <t>Cambium Care Pro, 5-year support for one cnPilot e500.  24x7 TAC support, SW updates</t>
  </si>
  <si>
    <t>CCPRO-SUP-E501-1</t>
  </si>
  <si>
    <t>Cambium Care Pro, 1-year support for one cnPilot e501S.  24x7 TAC support, SW updates</t>
  </si>
  <si>
    <t>CCPRO-SUP-E501-3</t>
  </si>
  <si>
    <t>Cambium Care Pro, 3-year support for one cnPilot e501S.  24x7 TAC support, SW updates</t>
  </si>
  <si>
    <t>CCPRO-SUP-E501-5</t>
  </si>
  <si>
    <t>Cambium Care Pro, 5-year support for one cnPilot e501S.  24x7 TAC support, SW updates</t>
  </si>
  <si>
    <t>CCPRO-SUP-E502-1</t>
  </si>
  <si>
    <t>Cambium Care Pro, 1-year support for one cnPilot e502S.  24x7 TAC support, SW updates</t>
  </si>
  <si>
    <t>CCPRO-SUP-E502-3</t>
  </si>
  <si>
    <t>Cambium Care Pro, 3-year support for one cnPilot e502S.  24x7 TAC support, SW updates</t>
  </si>
  <si>
    <t>CCPRO-SUP-E502-5</t>
  </si>
  <si>
    <t>Cambium Care Pro, 5-year support for one cnPilot e502S.  24x7 TAC support, SW updates</t>
  </si>
  <si>
    <t>CCPRO-SUP-E505-1</t>
  </si>
  <si>
    <t>Cambium Care Pro, 1-year support for one cnPilot e505.  24x7 TAC support, SW updates</t>
  </si>
  <si>
    <t>CCPRO-SUP-E505-3</t>
  </si>
  <si>
    <t>Cambium Care Pro, 3-year support for one cnPilot e505.  24x7 TAC support, SW updates</t>
  </si>
  <si>
    <t>CCPRO-SUP-E505-5</t>
  </si>
  <si>
    <t>Cambium Care Pro, 5-year support for one cnPilot e505.  24x7 TAC support, SW updates</t>
  </si>
  <si>
    <t>CCPRO-SUP-E510-1</t>
  </si>
  <si>
    <t>Cambium Care Pro, 1-year support for one cnPilot e510.  24x7 TAC support, SW updates</t>
  </si>
  <si>
    <t>CCPRO-SUP-E510-3</t>
  </si>
  <si>
    <t>Cambium Care Pro, 3-year support for one cnPilot e510.  24x7 TAC support, SW updates</t>
  </si>
  <si>
    <t>CCPRO-SUP-E510-5</t>
  </si>
  <si>
    <t>Cambium Care Pro, 5-year support for one cnPilot e510.  24x7 TAC support, SW updates</t>
  </si>
  <si>
    <t>CCPRO-SUP-E700-1</t>
  </si>
  <si>
    <t>Cambium Care Pro, 1-year support for one cnPilot e700.  24x7 TAC support, SW updates</t>
  </si>
  <si>
    <t>CCPRO-SUP-E700-3</t>
  </si>
  <si>
    <t>Cambium Care Pro, 3-year support for one cnPilot e700.  24x7 TAC support, SW updates</t>
  </si>
  <si>
    <t>CCPRO-SUP-E700-5</t>
  </si>
  <si>
    <t>Cambium Care Pro, 5-year support for one cnPilot e700.  24x7 TAC support, SW updates</t>
  </si>
  <si>
    <t>CCPRO-SUP-XV3-8-1</t>
  </si>
  <si>
    <t>CCPRO-SUP-XV3-8-3</t>
  </si>
  <si>
    <t>CCPRO-SUP-XV3-8-5</t>
  </si>
  <si>
    <t>Start Here</t>
  </si>
  <si>
    <t>Bill of Materials</t>
  </si>
  <si>
    <t>Model Name</t>
  </si>
  <si>
    <t>PMP 450 Access Points</t>
  </si>
  <si>
    <t>PMP 450 AP</t>
  </si>
  <si>
    <t>PMP 450i AP</t>
  </si>
  <si>
    <t>PMP 450m AP</t>
  </si>
  <si>
    <t>PMP 450 Subscriber Modules</t>
  </si>
  <si>
    <t>PMP 450 SM</t>
  </si>
  <si>
    <t>PMP 450i SM</t>
  </si>
  <si>
    <t>PMP 450 900 MHz SM</t>
  </si>
  <si>
    <t>cnRanger BBU</t>
  </si>
  <si>
    <t>cnRanger RRH</t>
  </si>
  <si>
    <t>MSX-SUB-T1-1</t>
  </si>
  <si>
    <t>MSX-SUB-T1-3</t>
  </si>
  <si>
    <t>MSX-SUB-T1-5</t>
  </si>
  <si>
    <t>MSX-SUB-T2-1</t>
  </si>
  <si>
    <t>MSX-SUB-T2-3</t>
  </si>
  <si>
    <t>MSX-SUB-T2-5</t>
  </si>
  <si>
    <t>MSX-SUB-T4-1</t>
  </si>
  <si>
    <t>MSX-SUB-T4-3</t>
  </si>
  <si>
    <t>MSX-SUB-T4-5</t>
  </si>
  <si>
    <t>MSX-SUB-T5-1</t>
  </si>
  <si>
    <t>MSX-SUB-T5-3</t>
  </si>
  <si>
    <t>MSX-SUB-T5-5</t>
  </si>
  <si>
    <t>Extended Warranty</t>
  </si>
  <si>
    <t>All Risks Advance Replacement</t>
  </si>
  <si>
    <t>Type</t>
  </si>
  <si>
    <t>01009504002</t>
  </si>
  <si>
    <t>DryLine Dehydrator, Low-pressure membrane, Wall Mountable, 115 Vac</t>
  </si>
  <si>
    <t>PTP 820 Accy</t>
  </si>
  <si>
    <t>8479.89.1000</t>
  </si>
  <si>
    <t>APAC Standard,CALA Standard,NA Standard</t>
  </si>
  <si>
    <t>01010419001</t>
  </si>
  <si>
    <t>Coaxial Cable Grounding Kits for 1/4" and 3/8" Cable</t>
  </si>
  <si>
    <t>APAC Standard,CALA Standard,EMEA Standard,NA Standard</t>
  </si>
  <si>
    <t>01010589001</t>
  </si>
  <si>
    <t>RF CONNECTOR,N,MALE,RIGHT ANGLE FOR CNT-400 CABLE</t>
  </si>
  <si>
    <t>8536.69.4010</t>
  </si>
  <si>
    <t>Czech Republic</t>
  </si>
  <si>
    <t>07009304001</t>
  </si>
  <si>
    <t>Hoisting Grip for CNT-400 cable</t>
  </si>
  <si>
    <t>7312.10.2000</t>
  </si>
  <si>
    <t>07009343001</t>
  </si>
  <si>
    <t>Grounding Kit for waveguide EWP52 and EWP63</t>
  </si>
  <si>
    <t>07009343002</t>
  </si>
  <si>
    <t>Grounding Kit for waveguide EWP90</t>
  </si>
  <si>
    <t>07009344001</t>
  </si>
  <si>
    <t>Hoisting Grip for waveguide EWP52 and EWP63</t>
  </si>
  <si>
    <t>07009344002</t>
  </si>
  <si>
    <t>Hoisting Grip for waveguide EWP90</t>
  </si>
  <si>
    <t>09009399001</t>
  </si>
  <si>
    <t>Fixed-tuned CPR137G connector for EWP52</t>
  </si>
  <si>
    <t>7419.99.5050</t>
  </si>
  <si>
    <t>09009399002</t>
  </si>
  <si>
    <t>Fixed-tuned CPR90G connector for EWP90</t>
  </si>
  <si>
    <t>09009399003</t>
  </si>
  <si>
    <t>Fixed-tuned CPR137G connector for EWP63</t>
  </si>
  <si>
    <t>09010091001</t>
  </si>
  <si>
    <t>RF CONNECTOR,N,MALE,STRAIGHT FOR CNT-400 CABLE</t>
  </si>
  <si>
    <t>2LTE-ANT-90</t>
  </si>
  <si>
    <t>cnRanger Sector Antenna - 90/120 degree, 16 dBi</t>
  </si>
  <si>
    <t>cnRanger</t>
  </si>
  <si>
    <t>Antenna</t>
  </si>
  <si>
    <t>8517700000</t>
  </si>
  <si>
    <t>2LTE-RRH-220</t>
  </si>
  <si>
    <t>2 GHz cnRanger 220 RRH, 2x2, 2W per port</t>
  </si>
  <si>
    <t>2.5GHz</t>
  </si>
  <si>
    <t>2LTE-SM-101</t>
  </si>
  <si>
    <t>2 GHz cnRanger 101 SM, CAT4, 14 dBi (PSU only)</t>
  </si>
  <si>
    <t>CPE,SM or RM</t>
  </si>
  <si>
    <t>2LTE-SM-101-US</t>
  </si>
  <si>
    <t>NA Standard</t>
  </si>
  <si>
    <t>30009406002</t>
  </si>
  <si>
    <t>N-to-N CABLE (16")</t>
  </si>
  <si>
    <t>8544.20.0000</t>
  </si>
  <si>
    <t>30010194001</t>
  </si>
  <si>
    <t>50 Ohm Braided Coaxial Cable - 75 meter</t>
  </si>
  <si>
    <t>30010195001</t>
  </si>
  <si>
    <t>30010227001</t>
  </si>
  <si>
    <t>POWER INJECTOR, 29.5V</t>
  </si>
  <si>
    <t>APAC Standard,CALA Standard,EMEA Standard,NA Standard,ePMP EU,ePMP RoW,ePMP US</t>
  </si>
  <si>
    <t>3LTE-SM-201</t>
  </si>
  <si>
    <t>3 GHz cnRanger 201 SM, CAT6, 21 dBi (PSU only)</t>
  </si>
  <si>
    <t>3LTE-SM-201-EU</t>
  </si>
  <si>
    <t>3 GHz cnRanger 201 SM, CAT6, 21 dBi (EU PSU and AC Line Cord)</t>
  </si>
  <si>
    <t>lb</t>
  </si>
  <si>
    <t>3LTE-SM-201-UK</t>
  </si>
  <si>
    <t>3 GHz cnRanger 201 SM, CAT6, 21 dBi (UK PSU and AC Line Cord)</t>
  </si>
  <si>
    <t>3LTE-SM-201-US</t>
  </si>
  <si>
    <t>3 GHz cnRanger 201 SM, CAT6, 21 dBi (US PSU and AC Line Cord)</t>
  </si>
  <si>
    <t>N/A</t>
  </si>
  <si>
    <t>58009279001</t>
  </si>
  <si>
    <t>Flexible Twist,WR90,CPR90G,12.0 inch,CPR90G,8.2 - 12.4 GHz,VSWR 1.10</t>
  </si>
  <si>
    <t>11GHz</t>
  </si>
  <si>
    <t>8307.90.3000</t>
  </si>
  <si>
    <t>58009279002</t>
  </si>
  <si>
    <t>Flexible Twist,WR90,CPR90G,24.0 inch,CPR90G,8.2 - 12.4 GHz,VSWR 1.10</t>
  </si>
  <si>
    <t>58009280001</t>
  </si>
  <si>
    <t>Flexible Twist,WR137,CPR137G,12.0 inch,CPR137G,5.85 - 8.2 GHz,VSWR 1.10</t>
  </si>
  <si>
    <t>58009280002</t>
  </si>
  <si>
    <t>Flexible Twist,WR137,CPR137G,24.0 inch,CPR137G,5.85 - 8.2 GHz,VSWR 1.10</t>
  </si>
  <si>
    <t>58009280003</t>
  </si>
  <si>
    <t>Flexible Twist,WR137,CPR137G,35.0 inch,CPR137G,5.85 - 8.2 GHz,VSWR 1.10</t>
  </si>
  <si>
    <t>58009283001</t>
  </si>
  <si>
    <t>Pressure Window for WR137, 5.85-8.2 GHz, mates to CPR137G</t>
  </si>
  <si>
    <t>58009283002</t>
  </si>
  <si>
    <t>Pressure Window for WR90, 8.2-12.4 GHz, mates to CPR90G</t>
  </si>
  <si>
    <t>58009284001</t>
  </si>
  <si>
    <t>2-port Gas Distribution Manifold</t>
  </si>
  <si>
    <t>8479.90.9496</t>
  </si>
  <si>
    <t>58010077001</t>
  </si>
  <si>
    <t>Tapered Transition, WR75 - WR90, PBR120, UDR100</t>
  </si>
  <si>
    <t>600SSH</t>
  </si>
  <si>
    <t>SURGE SUPPRESSOR</t>
  </si>
  <si>
    <t>66010063001</t>
  </si>
  <si>
    <t>Crimp tool for N-type connector</t>
  </si>
  <si>
    <t>8203.20.6060</t>
  </si>
  <si>
    <t>85009324001</t>
  </si>
  <si>
    <t>5.4-6.0 GHZ, ANTENNA FOR 90 DEGREE SECTOR</t>
  </si>
  <si>
    <t>85009325001</t>
  </si>
  <si>
    <t>5.4-6.0 GHZ, ANTENNA FOR 60 DEGREE SECTOR</t>
  </si>
  <si>
    <t>ACATHS-01A</t>
  </si>
  <si>
    <t>ALIGN TOOL HSET</t>
  </si>
  <si>
    <t>8518.30.2000</t>
  </si>
  <si>
    <t>AR-E0L220RH-WW</t>
  </si>
  <si>
    <t>cnRanger 2 GHz Palisade 220 RRH Upgrade to All Risks Advance Replacement during Std Warranty</t>
  </si>
  <si>
    <t>AR</t>
  </si>
  <si>
    <t>AR-E0L888BU-WW</t>
  </si>
  <si>
    <t>Sierra 800 Baseband Unit Upgrade to All Risks Advance Replacement during Std Warranty</t>
  </si>
  <si>
    <t>AR-E0NBN51-WW</t>
  </si>
  <si>
    <t>cnReach N500 Single Radio Upgrade to All Risks Adv. Replacement during Std Warranty</t>
  </si>
  <si>
    <t>cnReach N500 Single Radio</t>
  </si>
  <si>
    <t>AR-E0NBN52-WW</t>
  </si>
  <si>
    <t>cnReach N500 Dual Radio Upgrade to All Risks Adv. Replacement during Std Warranty</t>
  </si>
  <si>
    <t>cnReach N500 Dual Radio</t>
  </si>
  <si>
    <t>AR-E0PM45AP-WW</t>
  </si>
  <si>
    <t>PMP450/450i Access Point Upgrade to All Risks Advance Replacement during Std Warranty</t>
  </si>
  <si>
    <t>AR-E0PM4MAP-WW</t>
  </si>
  <si>
    <t>PMP450m Access Point Upgrade to All Risks Advance Replacement during Std Warranty</t>
  </si>
  <si>
    <t>AR-E0PT450I-WW</t>
  </si>
  <si>
    <t>PTP 450i Upgrade to All Risks Advanced Replacement during Standard Warranty (per END)</t>
  </si>
  <si>
    <t>PTP 450i</t>
  </si>
  <si>
    <t>AR-E0PT550-WW</t>
  </si>
  <si>
    <t>PTP 550 Upgrade to All Risks Advanced Replacement during Standard Warranty (per END)</t>
  </si>
  <si>
    <t>PTP 550</t>
  </si>
  <si>
    <t>AR-E0PT670M-WW</t>
  </si>
  <si>
    <t>PTP 670 (Mexico) Upgrade to All Risks Advanced Replacement during Standard Warranty (per END)</t>
  </si>
  <si>
    <t>PTP 670 (Mexico)</t>
  </si>
  <si>
    <t>AR-E0PT6XX-WW</t>
  </si>
  <si>
    <t>AR-E0PT820C-WW</t>
  </si>
  <si>
    <t>PTP820C Upgrade to All Risks Advance Replacement during Standard Warranty</t>
  </si>
  <si>
    <t>PTP 820C</t>
  </si>
  <si>
    <t>AR-E0PT820F-WW</t>
  </si>
  <si>
    <t>PTP 820F, 3x Radio, 6x Eth + 16x E1/T1 Upgrade to All Risks Advance Replacement during Standard Warr</t>
  </si>
  <si>
    <t>PTP 820F</t>
  </si>
  <si>
    <t>AR-E0PT820S-WW</t>
  </si>
  <si>
    <t>PTP820S Upgrade to All Risks Advance Replacement during Standard Warranty</t>
  </si>
  <si>
    <t>PTP 820S</t>
  </si>
  <si>
    <t>AR-E0PT82CHP-WW</t>
  </si>
  <si>
    <t>PTP 820C-HP Upgrade to All Risks Advance Replacement during Standard Warranty</t>
  </si>
  <si>
    <t>PTP 820C-HP</t>
  </si>
  <si>
    <t>AR-E0PT82D1-WW</t>
  </si>
  <si>
    <t>PTP820 RFU-D [6-15GHz] Upgrade to All Risks Advance Replacement during Standard Warranty</t>
  </si>
  <si>
    <t>PTP 820 RFU-D [6-15GHz]</t>
  </si>
  <si>
    <t>AR-E0PT82D2-WW</t>
  </si>
  <si>
    <t>PTP820 RFU-D [18-23GHz] Upgrade to All Risks Advance Replacement during Standard Warranty</t>
  </si>
  <si>
    <t>PTP 820 RFU-D [18-23GHz]</t>
  </si>
  <si>
    <t>AR-E0PT82DH-WW</t>
  </si>
  <si>
    <t>PTP820 RFU D-HP Upgrade to All Risks Advance Replacement during Standard Warranty</t>
  </si>
  <si>
    <t>AR-E0PT82E1-WW</t>
  </si>
  <si>
    <t>PTP820 RFU-E Upgrade to All Risks Advance Replacement during Standard Warranty</t>
  </si>
  <si>
    <t>PTP 820 RFU-E</t>
  </si>
  <si>
    <t>AR-E0PT82E2-WW</t>
  </si>
  <si>
    <t>PTP820 RFU-E with 43 dBi ant Upgrade to All Risks Advance Replacement during Standard Warranty</t>
  </si>
  <si>
    <t>AR-E0PT82E3-WW</t>
  </si>
  <si>
    <t>PTP820E Radio Upgrade to All Risks Advance Replacement during Standard Warranty</t>
  </si>
  <si>
    <t>PTP 820E</t>
  </si>
  <si>
    <t>AR-E0PT82E4-WW</t>
  </si>
  <si>
    <t>PTP820E Radio with 43 dBi ant Upgrade to All Risks Advance Replacement during Standard Warranty</t>
  </si>
  <si>
    <t>AR-E0PT82M1-WW</t>
  </si>
  <si>
    <t>PTP 820G IDU (Single Modem) Upgrade to All Risks Adv. Replacement during Std Warranty</t>
  </si>
  <si>
    <t>PTP 820G IDU (Single Modem)</t>
  </si>
  <si>
    <t>AR-E0PT82M2-WW</t>
  </si>
  <si>
    <t>PTP 820G IDU (Dual Modem) Upgrade to All Risks Adv. Replacement during Std Warranty</t>
  </si>
  <si>
    <t>AR-E0PT82RA-WW</t>
  </si>
  <si>
    <t>PTP820G RFU-A Upgrade to All Risks Advance Replacement during Standard Warranty</t>
  </si>
  <si>
    <t>PTP 820G RFU-A</t>
  </si>
  <si>
    <t>AR-E0PT82RC-WW</t>
  </si>
  <si>
    <t>PTP820G RFU-C Upgrade to All Risks Advance Replacement during Standard Warranty</t>
  </si>
  <si>
    <t>PTP 820G RFU-C</t>
  </si>
  <si>
    <t>AR-E0PT82RS-WW</t>
  </si>
  <si>
    <t>PTP 820 RFU-S, Single Tx, Split Upgrade to All Risks Advance Replacement during Standard Warranty</t>
  </si>
  <si>
    <t>AR-E0PT850E-WW</t>
  </si>
  <si>
    <t>PTP850E Radio Upgrade to All Risks Advance Replacement during Standard Warranty</t>
  </si>
  <si>
    <t>PTP 850E</t>
  </si>
  <si>
    <t>AR-E0RGT1SM-WW</t>
  </si>
  <si>
    <t>cnRanger 2/3 GHz Tyndall  1xx SM All Risks Advance Replacement during Std Warranty</t>
  </si>
  <si>
    <t>AR-E0RGT2SM-WW</t>
  </si>
  <si>
    <t>cnRanger 2/3 GHz Tyndall  2xx SM All Risks Advance Replacement during Std Warranty</t>
  </si>
  <si>
    <t>AR-E1L220RH-WW</t>
  </si>
  <si>
    <t>cnRanger 2 GHz Palisade 220 RRH All Risks Advance Replacement, 1 Additional Year</t>
  </si>
  <si>
    <t>AR-E1L888BU-WW</t>
  </si>
  <si>
    <t>Sierra 800 Baseband Unit All Risks Advance Replacement, 1 Additional Year</t>
  </si>
  <si>
    <t>AR-E1NBN51-WW</t>
  </si>
  <si>
    <t>cnReach N500 Single Radio All Risks Advance Replacement, 1 Additional Year</t>
  </si>
  <si>
    <t>AR-E1NBN52-WW</t>
  </si>
  <si>
    <t>cnReach N500 Dual Radio  All Risks Advance Replacement, 1 Additional Year</t>
  </si>
  <si>
    <t>AR-E1PM45AP-WW</t>
  </si>
  <si>
    <t>PMP450/450i Access Point All Risks Advance Replacement, 1 Additional Year</t>
  </si>
  <si>
    <t>AR-E1PM4MAP-WW</t>
  </si>
  <si>
    <t>PMP450m Access Point All Risks Advance Replacement, 1 Additional Year</t>
  </si>
  <si>
    <t>AR-E1PT450I-WW</t>
  </si>
  <si>
    <t>PTP 450i All Risks Advance Replacement, 1 additional year (per END)</t>
  </si>
  <si>
    <t>AR-E1PT550-WW</t>
  </si>
  <si>
    <t>PTP 550 All Risks Advance Replacement, 1 additional year (per END)</t>
  </si>
  <si>
    <t>AR-E1PT670M-WW</t>
  </si>
  <si>
    <t>PTP 670 (Mexico) All Risks Advance Replacement, 1 additional year (per END)</t>
  </si>
  <si>
    <t>AR-E1PT6XX-WW</t>
  </si>
  <si>
    <t>AR-E1PT820C-WW</t>
  </si>
  <si>
    <t>PTP820C All Risks Advance Replacement, 1 Additional Year</t>
  </si>
  <si>
    <t>AR-E1PT820F-WW</t>
  </si>
  <si>
    <t>PTP 820F, 3x Radio, 6x Eth + 16x E1/T1 All Risks Advance Replacement, 1 Additional Year</t>
  </si>
  <si>
    <t>AR-E1PT820S-WW</t>
  </si>
  <si>
    <t>PTP820S All Risks Advance Replacement, 1 Additional Year</t>
  </si>
  <si>
    <t>AR-E1PT82CHP-WW</t>
  </si>
  <si>
    <t>PTP 820C-HP All Risks Advance Replacement, 1 Additional Year</t>
  </si>
  <si>
    <t>AR-E1PT82D1-WW</t>
  </si>
  <si>
    <t>PTP820 RFU-D [6-15GHz] All Risks Advance Replacement, 1 Additional Year</t>
  </si>
  <si>
    <t>AR-E1PT82D2-WW</t>
  </si>
  <si>
    <t>PTP820 RFU-D [18-23GHz] All Risks Advance Replacement, 1 Additional Year</t>
  </si>
  <si>
    <t>AR-E1PT82DH-WW</t>
  </si>
  <si>
    <t>PTP820 RFU D-HP All Risks Advance Replacement, 1 Additional Year</t>
  </si>
  <si>
    <t>AR-E1PT82E1-WW</t>
  </si>
  <si>
    <t>PTP820 RFU-E All Risks Advance Replacement, 1 Additional Year</t>
  </si>
  <si>
    <t>AR-E1PT82E2-WW</t>
  </si>
  <si>
    <t>PTP820 RFU-E with 43 dBi ant All Risks Advance Replacement, 1 Additional Year</t>
  </si>
  <si>
    <t>AR-E1PT82E3-WW</t>
  </si>
  <si>
    <t>PTP820E Radio All Risks Advance Replacement, 1 Additional Year</t>
  </si>
  <si>
    <t>AR-E1PT82E4-WW</t>
  </si>
  <si>
    <t>PTP820E Radio with 43 dBi ant All Risks Advance Replacement, 1 Additional Year</t>
  </si>
  <si>
    <t>AR-E1PT82M1-WW</t>
  </si>
  <si>
    <t>PTP 820G IDU (Single Modem) All Risks Advance Replacement, 1 Additional Year</t>
  </si>
  <si>
    <t>AR-E1PT82M2-WW</t>
  </si>
  <si>
    <t>PTP 820G IDU (Dual Modem) All Risks Advance Replacement, 1 Additional Year</t>
  </si>
  <si>
    <t>AR-E1PT82RA-WW</t>
  </si>
  <si>
    <t>PTP820G RFU-A All Risks Advance Replacement, 1 Additional Year</t>
  </si>
  <si>
    <t>AR-E1PT82RC-WW</t>
  </si>
  <si>
    <t>PTP820G RFU-C All Risks Advance Replacement, 1 Additional Year</t>
  </si>
  <si>
    <t>AR-E1PT82RS-WW</t>
  </si>
  <si>
    <t>PTP 820 RFU-S, Single Tx, Split All Risks Advance Replacement, 1 Additional Year</t>
  </si>
  <si>
    <t>AR-E1PT850E-WW</t>
  </si>
  <si>
    <t>PTP850E Radio All Risks Advance Replacement, 1 Additional Year</t>
  </si>
  <si>
    <t>AR-E1RGT1SM-WW</t>
  </si>
  <si>
    <t>cnRanger 2/3 GHz Tyndall 1xx SM All Risks Advance Replacement, 1 Additional Year</t>
  </si>
  <si>
    <t>AR-E1RGT2SM-WW</t>
  </si>
  <si>
    <t>cnRanger 2/3 GHz Tyndall 2xx SM All Risks Advance Replacement, 1 Additional Year</t>
  </si>
  <si>
    <t>AR-E2L220RH-WW</t>
  </si>
  <si>
    <t>cnRanger 2 GHz Palisade 220 RRH All Risks Advance Replacement, 2 Additional Years</t>
  </si>
  <si>
    <t>AR-E2L888BU-WW</t>
  </si>
  <si>
    <t>Sierra 800 Baseband Unit All Risks Advance Replacement, 2 Additional Years</t>
  </si>
  <si>
    <t>AR-E2NBN51-WW</t>
  </si>
  <si>
    <t>cnReach N500 Single Radio All Risks Advance Replacement, 2 Additional Years</t>
  </si>
  <si>
    <t>AR-E2NBN52-WW</t>
  </si>
  <si>
    <t>cnReach N500 Dual Radio  All Risks Advance Replacement, 2 Additional Years</t>
  </si>
  <si>
    <t>AR-E2PM45AP-WW</t>
  </si>
  <si>
    <t>PMP450/450i Access Point All Risks Advance Replacement, 2 Additional Years</t>
  </si>
  <si>
    <t>AR-E2PM4MAP-WW</t>
  </si>
  <si>
    <t>PMP450m Access Point All Risks Advance Replacement, 2 Additional Years</t>
  </si>
  <si>
    <t>AR-E2PT450I-WW</t>
  </si>
  <si>
    <t>PTP 450i All Risks Advance Replacement, 2 additional years (per END)</t>
  </si>
  <si>
    <t>AR-E2PT550-WW</t>
  </si>
  <si>
    <t>PTP 550 All Risks Advance Replacement, 2 additional years (per END)</t>
  </si>
  <si>
    <t>AR-E2PT670M-WW</t>
  </si>
  <si>
    <t>PTP 670 (Mexico) All Risks Advance Replacement, 2 additional years (per END)</t>
  </si>
  <si>
    <t>AR-E2PT6XX-WW</t>
  </si>
  <si>
    <t>AR-E2PT820C-WW</t>
  </si>
  <si>
    <t>PTP820C All Risks Advance Replacement, 2 Additional Years</t>
  </si>
  <si>
    <t>AR-E2PT820F-WW</t>
  </si>
  <si>
    <t>PTP 820F, 3x Radio, 6x Eth + 16x E1/T1 All Risks Advance Replacement, 2 Additional Years</t>
  </si>
  <si>
    <t>AR-E2PT820S-WW</t>
  </si>
  <si>
    <t>PTP820S All Risks Advance Replacement, 2 Additional Years</t>
  </si>
  <si>
    <t>AR-E2PT82CHP-WW</t>
  </si>
  <si>
    <t>PTP 820C-HP All Risks Advance Replacement, 2 Additional Years</t>
  </si>
  <si>
    <t>AR-E2PT82D1-WW</t>
  </si>
  <si>
    <t>PTP820 RFU-D [6-15GHz] All Risks Advance Replacement, 2 Additional Years</t>
  </si>
  <si>
    <t>AR-E2PT82D2-WW</t>
  </si>
  <si>
    <t>PTP820 RFU-D [18-23GHz] All Risks Advance Replacement, 2 Additional Years</t>
  </si>
  <si>
    <t>AR-E2PT82DH-WW</t>
  </si>
  <si>
    <t>PTP820 RFU D-HP All Risks Advance Replacement, 2 Additional Years</t>
  </si>
  <si>
    <t>AR-E2PT82E1-WW</t>
  </si>
  <si>
    <t>PTP820 RFU-E All Risks Advance Replacement, 2 Additional Years</t>
  </si>
  <si>
    <t>AR-E2PT82E2-WW</t>
  </si>
  <si>
    <t>PTP820 RFU-E with 43 dBi ant All Risks Advance Replacement, 2 Additional Years</t>
  </si>
  <si>
    <t>AR-E2PT82E3-WW</t>
  </si>
  <si>
    <t>PTP820E Radio All Risks Advance Replacement, 2 Additional Years</t>
  </si>
  <si>
    <t>AR-E2PT82E4-WW</t>
  </si>
  <si>
    <t>PTP820E Radio with 43 dBi ant All Risks Advance Replacement, 2 Additional Years</t>
  </si>
  <si>
    <t>AR-E2PT82M1-WW</t>
  </si>
  <si>
    <t>PTP 820G IDU (Single Modem) All Risks Advance Replacement, 2 Additional Years</t>
  </si>
  <si>
    <t>AR-E2PT82M2-WW</t>
  </si>
  <si>
    <t>PTP 820G IDU (Dual Modem) All Risks Advance Replacement, 2 Additional Years</t>
  </si>
  <si>
    <t>AR-E2PT82RA-WW</t>
  </si>
  <si>
    <t>PTP820G RFU-A All Risks Advance Replacement, 2 Additional Years</t>
  </si>
  <si>
    <t>AR-E2PT82RC-WW</t>
  </si>
  <si>
    <t>PTP820G RFU-C All Risks Advance Replacement, 2 Additional Years</t>
  </si>
  <si>
    <t>AR-E2PT82RS-WW</t>
  </si>
  <si>
    <t>PTP 820 RFU-S, Single Tx, Split All Risks Advance Replacement, 2 Additional Years</t>
  </si>
  <si>
    <t>AR-E2PT850E-WW</t>
  </si>
  <si>
    <t>PTP850E Radio All Risks Advance Replacement, 2 Additional Years</t>
  </si>
  <si>
    <t>AR-E2RGT1SM-WW</t>
  </si>
  <si>
    <t>cnRanger 2/3 GHz Tyndall 1xx SM All Risks Advance Replacement, 2 Additional Years</t>
  </si>
  <si>
    <t>AR-E2RGT2SM-WW</t>
  </si>
  <si>
    <t>cnRanger 2/3 GHz Tyndall 2xx SM All Risks Advance Replacement, 2 Additional Years</t>
  </si>
  <si>
    <t>AR-E3PT670M-WW</t>
  </si>
  <si>
    <t>PTP 670 (Mexico) All Risks Advance Replacement, 3 additional years (per END)</t>
  </si>
  <si>
    <t>AR-E3PT6XX-WW</t>
  </si>
  <si>
    <t>AR-E3PT820C-WW</t>
  </si>
  <si>
    <t>PTP820C All Risks Advance Replacement, 3 Additional Years</t>
  </si>
  <si>
    <t>AR-E3PT820F-WW</t>
  </si>
  <si>
    <t>PTP 820F, 3x Radio, 6x Eth + 16x E1/T1 All Risks Advance Replacement, 3 Additional Years</t>
  </si>
  <si>
    <t>AR-E3PT820S-WW</t>
  </si>
  <si>
    <t>PTP820S All Risks Advance Replacement, 3 Additional Years</t>
  </si>
  <si>
    <t>AR-E3PT82CHP-WW</t>
  </si>
  <si>
    <t>PTP 820C-HP All Risks Advance Replacement, 3 Additional Years</t>
  </si>
  <si>
    <t>AR-E3PT82D1-WW</t>
  </si>
  <si>
    <t>PTP820 RFU-D [6-15GHz] All Risks Advance Replacement, 3 Additional Years</t>
  </si>
  <si>
    <t>AR-E3PT82D2-WW</t>
  </si>
  <si>
    <t>PTP820 RFU-D [18-23GHz] All Risks Advance Replacement, 3 Additional Years</t>
  </si>
  <si>
    <t>AR-E3PT82DH-WW</t>
  </si>
  <si>
    <t>PTP820 RFU D-HP All Risks Advance Replacement, 3 Additional Years</t>
  </si>
  <si>
    <t>AR-E3PT82E1-WW</t>
  </si>
  <si>
    <t>PTP820 RFU-E All Risks Advance Replacement, 3 Additional Years</t>
  </si>
  <si>
    <t>AR-E3PT82E2-WW</t>
  </si>
  <si>
    <t>PTP820 RFU-E with 43 dBi ant All Risks Advance Replacement, 3 Additional Years</t>
  </si>
  <si>
    <t>AR-E3PT82E3-WW</t>
  </si>
  <si>
    <t>PTP820E Radio All Risks Advance Replacement, 3 Additional Years</t>
  </si>
  <si>
    <t>AR-E3PT82E4-WW</t>
  </si>
  <si>
    <t>PTP820E Radio with 43 dBi ant All Risks Advance Replacement, 3 Additional Years</t>
  </si>
  <si>
    <t>AR-E3PT82M1-WW</t>
  </si>
  <si>
    <t>PTP 820G IDU (Single Modem) All Risks Advance Replacement, 3 Additional Years</t>
  </si>
  <si>
    <t>AR-E3PT82M2-WW</t>
  </si>
  <si>
    <t>PTP 820G IDU (Dual Modem) All Risks Advance Replacement, 3 Additional Years</t>
  </si>
  <si>
    <t>AR-E3PT82RA-WW</t>
  </si>
  <si>
    <t>PTP820G RFU-A All Risks Advance Replacement, 3 Additional Years</t>
  </si>
  <si>
    <t>AR-E3PT82RC-WW</t>
  </si>
  <si>
    <t>PTP820G RFU-C All Risks Advance Replacement, 3 Additional Years</t>
  </si>
  <si>
    <t>AR-E3PT82RS-WW</t>
  </si>
  <si>
    <t>PTP 820 RFU-S, Single Tx, Split All Risks Advance Replacement, 3 Additional Years</t>
  </si>
  <si>
    <t>AR-E3PT850E-WW</t>
  </si>
  <si>
    <t>PTP850E Radio All Risks Advance Replacement, 3 Additional Years</t>
  </si>
  <si>
    <t>AR-E4PT6XX-WW</t>
  </si>
  <si>
    <t>AR-E4PT820C-WW</t>
  </si>
  <si>
    <t>PTP820C All Risks Advance Replacement, 4 Additional Years</t>
  </si>
  <si>
    <t>AR-E4PT820F-WW</t>
  </si>
  <si>
    <t>PTP 820F, 3x Radio, 6x Eth + 16x E1/T1 All Risks Advance Replacement, 4 Additional Years</t>
  </si>
  <si>
    <t>AR-E4PT820S-WW</t>
  </si>
  <si>
    <t>PTP820S All Risks Advance Replacement, 4 Additional Years</t>
  </si>
  <si>
    <t>AR-E4PT82CHP-WW</t>
  </si>
  <si>
    <t>PTP 820C-HP All Risks Advance Replacement, 4 Additional Years</t>
  </si>
  <si>
    <t>AR-E4PT82D1-WW</t>
  </si>
  <si>
    <t>PTP820 RFU-D [6-15GHz] All Risks Advance Replacement, 4 Additional Years</t>
  </si>
  <si>
    <t>AR-E4PT82D2-WW</t>
  </si>
  <si>
    <t>PTP820 RFU-D [18-23GHz] All Risks Advance Replacement, 4 Additional Years</t>
  </si>
  <si>
    <t>AR-E4PT82DH-WW</t>
  </si>
  <si>
    <t>PTP820 RFU D-HP All Risks Advance Replacement, 4 Additional Years</t>
  </si>
  <si>
    <t>AR-E4PT82E1-WW</t>
  </si>
  <si>
    <t>PTP820 RFU-E All Risks Advance Replacement, 4 Additional Years</t>
  </si>
  <si>
    <t>AR-E4PT82E2-WW</t>
  </si>
  <si>
    <t>PTP820 RFU-E with 43 dBi ant All Risks Advance Replacement, 4 Additional Years</t>
  </si>
  <si>
    <t>AR-E4PT82E3-WW</t>
  </si>
  <si>
    <t>PTP820E Radio All Risks Advance Replacement, 4 Additional Years</t>
  </si>
  <si>
    <t>AR-E4PT82E4-WW</t>
  </si>
  <si>
    <t>PTP820E Radio with 43 dBi ant All Risks Advance Replacement, 4 Additional Years</t>
  </si>
  <si>
    <t>AR-E4PT82M1-WW</t>
  </si>
  <si>
    <t>PTP 820G IDU (Single Modem) All Risks Advance Replacement, 4 Additional Years</t>
  </si>
  <si>
    <t>AR-E4PT82M2-WW</t>
  </si>
  <si>
    <t>PTP 820G IDU (Dual Modem) All Risks Advance Replacement, 4 Additional Years</t>
  </si>
  <si>
    <t>AR-E4PT82RA-WW</t>
  </si>
  <si>
    <t>PTP820G RFU-A All Risks Advance Replacement, 4 Additional Years</t>
  </si>
  <si>
    <t>AR-E4PT82RC-WW</t>
  </si>
  <si>
    <t>PTP820G RFU-C All Risks Advance Replacement, 4 Additional Years</t>
  </si>
  <si>
    <t>AR-E4PT82RS-WW</t>
  </si>
  <si>
    <t>PTP 820 RFU-S, Single Tx, Split All Risks Advance Replacement, 4 Additional Years</t>
  </si>
  <si>
    <t>AR-E4PT850E-WW</t>
  </si>
  <si>
    <t>PTP850E Radio All Risks Advance Replacement, 4 Additional Years</t>
  </si>
  <si>
    <t>BPSGVNPL5830-2DD</t>
  </si>
  <si>
    <t>PTP 54/58 600 Series Lite to Full Upgrade Key - Link (5 GHz only)</t>
  </si>
  <si>
    <t>C000000H002A</t>
  </si>
  <si>
    <t>Intelligent Positioner for Nomadic Wireless Broadband</t>
  </si>
  <si>
    <t>Ancillary</t>
  </si>
  <si>
    <t>8543.70.6000</t>
  </si>
  <si>
    <t>C000000H003A</t>
  </si>
  <si>
    <t>Intelligent Positioner for Nomadic Wireless Fiber</t>
  </si>
  <si>
    <t>C000000L033A</t>
  </si>
  <si>
    <t>Gigabit Surge Suppressor (56V), 10/100/1000 BaseT</t>
  </si>
  <si>
    <t>C000000L055A</t>
  </si>
  <si>
    <t>WM 4.0, UPGRADE NODE LICENSE</t>
  </si>
  <si>
    <t>C000000L056A</t>
  </si>
  <si>
    <t>WM 4.0, INCLUDES 10 NODE LICENSES</t>
  </si>
  <si>
    <t>C000000L057A</t>
  </si>
  <si>
    <t>WM 4.0 NODE LICENSE, QTY = 1</t>
  </si>
  <si>
    <t>C000000L060A</t>
  </si>
  <si>
    <t>WM 4.0 NODE LIC, UPGR TO HA, QTY=1</t>
  </si>
  <si>
    <t>C000000L061A</t>
  </si>
  <si>
    <t>WM 4.0, HA, INCL 10 NODE LICENSES</t>
  </si>
  <si>
    <t>C000000L062A</t>
  </si>
  <si>
    <t>WM 4.0 NODE LICENSE, HA, QTY = 1</t>
  </si>
  <si>
    <t>C000000L066B</t>
  </si>
  <si>
    <t>cnPulse Sync Generator with CambiumSYNC</t>
  </si>
  <si>
    <t>8529104040</t>
  </si>
  <si>
    <t>C000000L109A</t>
  </si>
  <si>
    <t>Industrial Grade RJ45 Connector 100 Pack</t>
  </si>
  <si>
    <t>8536.69.8000</t>
  </si>
  <si>
    <t>C000000L114A</t>
  </si>
  <si>
    <t>DC Surge Suppressor (DC LPU kit) with 2x 4-pin power connectors</t>
  </si>
  <si>
    <t>PTP700 - Connectivity Kit</t>
  </si>
  <si>
    <t>60GHz cnWave</t>
  </si>
  <si>
    <t>C000000L125A</t>
  </si>
  <si>
    <t>cnWave Precision Mounting Bracket</t>
  </si>
  <si>
    <t>CALA Standard,EMEA Standard,NA Standard</t>
  </si>
  <si>
    <t>C000000L139A</t>
  </si>
  <si>
    <t>Telescope mounting kit</t>
  </si>
  <si>
    <t>C000000L184A</t>
  </si>
  <si>
    <t>DC to RJ45 Plug Adapter</t>
  </si>
  <si>
    <t>CMM5 Controller</t>
  </si>
  <si>
    <t>C000000L529A</t>
  </si>
  <si>
    <t>CMM5 Power and Sync Injector 29V</t>
  </si>
  <si>
    <t>C000045K008A</t>
  </si>
  <si>
    <t>PMP 450 Lite AP to Full AP UPGRADE KEY</t>
  </si>
  <si>
    <t>C000045K009A</t>
  </si>
  <si>
    <t>256-bit AES Enable Key for 450 Platform</t>
  </si>
  <si>
    <t>5D002.a</t>
  </si>
  <si>
    <t>C000045K010A</t>
  </si>
  <si>
    <t>PMP 450i Lite AP to Full AP UPGRADE KEY</t>
  </si>
  <si>
    <t>C000045K011A</t>
  </si>
  <si>
    <t>128-bit AES Enable Key for 450 Platform</t>
  </si>
  <si>
    <t>C000045K100A</t>
  </si>
  <si>
    <t>MU-MIMO Enable Key</t>
  </si>
  <si>
    <t>C000045K149A</t>
  </si>
  <si>
    <t>4.9 GHz Enable Key for PMP 450m cnMedusa</t>
  </si>
  <si>
    <t>C000045K201A</t>
  </si>
  <si>
    <t>450 MicroPoP Unlock Key</t>
  </si>
  <si>
    <t>C000045L005A</t>
  </si>
  <si>
    <t>450i AP Mounting Bracket Kit (A005243)</t>
  </si>
  <si>
    <t>C000045L100A</t>
  </si>
  <si>
    <t>C000065K018A</t>
  </si>
  <si>
    <t>PTP 650/670 128-bit AES Encryption - per ODU</t>
  </si>
  <si>
    <t>PTP 650</t>
  </si>
  <si>
    <t>C000065K019A</t>
  </si>
  <si>
    <t>PTP 650/670 256-bit AES Encryption - per ODU</t>
  </si>
  <si>
    <t>C000065K022A</t>
  </si>
  <si>
    <t>PTP 650 Lite (Up to 125Mbps) to Full (Up to 450Mbps) Link Capacity upgrade license per ODU</t>
  </si>
  <si>
    <t>C000065K040A</t>
  </si>
  <si>
    <t>PTP 650/670 Precise Network Timing Software License (per END)</t>
  </si>
  <si>
    <t>C000065K041A</t>
  </si>
  <si>
    <t>PTP 650S Upgrade Limited Range to Full Range Software License (per END)</t>
  </si>
  <si>
    <t>C000065K049A</t>
  </si>
  <si>
    <t>8-Port T1/E1 Software License (per END).</t>
  </si>
  <si>
    <t>C000065K050A</t>
  </si>
  <si>
    <t>PTP 650 5/10 MHz channel (up to 100Mbps) License per END</t>
  </si>
  <si>
    <t>C000065K051A</t>
  </si>
  <si>
    <t>PTP 650 5/10/15/20 MHz channel (up to 200Mbps) License per END</t>
  </si>
  <si>
    <t>C000065K052A</t>
  </si>
  <si>
    <t>MAB License per END</t>
  </si>
  <si>
    <t>C000065K053A</t>
  </si>
  <si>
    <t>PTP 650/670 Group Access License per END</t>
  </si>
  <si>
    <t>C000065K054A</t>
  </si>
  <si>
    <t>PTP 650 10 MHz to 20MHz Channel Upgrade License per END</t>
  </si>
  <si>
    <t>C000065K055A</t>
  </si>
  <si>
    <t>PTP 650 10 MHz to 45MHz Channel Upgrade License per END</t>
  </si>
  <si>
    <t>C000065K056A</t>
  </si>
  <si>
    <t>PTP 650 20 MHz to 45MHz Channel Upgrade License per END</t>
  </si>
  <si>
    <t>C000065K059A</t>
  </si>
  <si>
    <t>PTP 650L 30MHz to Full Capacity Upgrade License per END</t>
  </si>
  <si>
    <t>AC+DC Enhanced Power Injector 58V</t>
  </si>
  <si>
    <t>C000065L007B</t>
  </si>
  <si>
    <t>LPU and Grounding Kit (1 kit per ODU)</t>
  </si>
  <si>
    <t>C000065L008A</t>
  </si>
  <si>
    <t>Single Mode Optical 1000BaseLX SFP Interface per ODU</t>
  </si>
  <si>
    <t>C000065L009A</t>
  </si>
  <si>
    <t>Multi-mode Optical 1000BaseSX SFP Interface per ODU</t>
  </si>
  <si>
    <t>C000065L010A</t>
  </si>
  <si>
    <t>Gigabit Ethernet 1000BaseT SFP Interface per ODU</t>
  </si>
  <si>
    <t>C000065L011A</t>
  </si>
  <si>
    <t>2.5G BASE-T Copper SFP Interface per ODU</t>
  </si>
  <si>
    <t>C000065L043A</t>
  </si>
  <si>
    <t>Network Indoor Unit  (One per END)</t>
  </si>
  <si>
    <t>5A992.a</t>
  </si>
  <si>
    <t>C000065L044A</t>
  </si>
  <si>
    <t>NIDU - DC Power Connector Spare (10 pack)</t>
  </si>
  <si>
    <t>C000065S045A</t>
  </si>
  <si>
    <t>NIDU Extended Warranty per END, 1 additional year</t>
  </si>
  <si>
    <t>EW</t>
  </si>
  <si>
    <t>C000065S046A</t>
  </si>
  <si>
    <t>NIDU Extended Warranty per END, 2 additional years</t>
  </si>
  <si>
    <t>C000065S047A</t>
  </si>
  <si>
    <t>NIDU Extended Warranty per END, 3 additional years</t>
  </si>
  <si>
    <t>C000065S048A</t>
  </si>
  <si>
    <t>NIDU Extended Warranty per END, 4 additional years</t>
  </si>
  <si>
    <t>C000067K001A</t>
  </si>
  <si>
    <t>PTP 670 Basic High-Capacity Multipoint Upgrade - per Access Point</t>
  </si>
  <si>
    <t>PTP 670</t>
  </si>
  <si>
    <t>C000067K002A</t>
  </si>
  <si>
    <t>PTP 670 OTAR support - per End</t>
  </si>
  <si>
    <t>C000070L010A</t>
  </si>
  <si>
    <t>AUTO-ALIGNING POSITIONER - QD25</t>
  </si>
  <si>
    <t>PTP700</t>
  </si>
  <si>
    <t>8529.10.9100</t>
  </si>
  <si>
    <t>C000070L020A</t>
  </si>
  <si>
    <t>AUTO-ALIGNING SOLID-STATE FAST POSITIONER, 5.8 GHz, 30 DEG ELEVATION</t>
  </si>
  <si>
    <t>C000082K172A</t>
  </si>
  <si>
    <t>PTP 820 Act.Key - PTP 820C HP &amp; RFU-D HP 2nd Core Activation</t>
  </si>
  <si>
    <t>PTP 820</t>
  </si>
  <si>
    <t>C000082K173A</t>
  </si>
  <si>
    <t>PTP 820 Act.Key - RFU-D 2nd Rx activation for BBC Space Diversity</t>
  </si>
  <si>
    <t>C000082K174A</t>
  </si>
  <si>
    <t>PTP 820 Act.Key - RFU-D 2nd Core Activation</t>
  </si>
  <si>
    <t>C000082K175A</t>
  </si>
  <si>
    <t>PTP 820 Act.Key - PTP 820F IDU additional RFU Port Activation</t>
  </si>
  <si>
    <t>C000082K176A</t>
  </si>
  <si>
    <t>PTP 820/850 Act.Key – Capacity Upgrade from 500M to 650M, Per Tx Chan</t>
  </si>
  <si>
    <t>C000082L153A</t>
  </si>
  <si>
    <t>PTP 820G Fast Ethernet Protection Y-cable, 1.34m, Cat5E</t>
  </si>
  <si>
    <t>5A991.b.7.a</t>
  </si>
  <si>
    <t>C000082L154A</t>
  </si>
  <si>
    <t>PTP 820G TDM Protection Y cable, 0.6m, 120 ohm</t>
  </si>
  <si>
    <t>C000082L155A</t>
  </si>
  <si>
    <t>PTP820G Splitter cable for protection and management, 1.34m, CAT5E</t>
  </si>
  <si>
    <t>C000082M001A</t>
  </si>
  <si>
    <t>PTP 820G, Single Modem, Eth Only</t>
  </si>
  <si>
    <t>Modem</t>
  </si>
  <si>
    <t>C000082M002A</t>
  </si>
  <si>
    <t>PTP 820G, Single Modem, Eth + 16 E1/T1</t>
  </si>
  <si>
    <t>C000082M004A</t>
  </si>
  <si>
    <t>PTP 820G, Dual Modem, Eth Only</t>
  </si>
  <si>
    <t>C000082M005A</t>
  </si>
  <si>
    <t>PTP 820G, Dual Modem, Eth + 16 E1/T1</t>
  </si>
  <si>
    <t>C000082M163A</t>
  </si>
  <si>
    <t>PTP 820F, 3x Radio, 6x Eth + 16x E1/T1</t>
  </si>
  <si>
    <t>PTP820 RFU-C</t>
  </si>
  <si>
    <t>C000082T007A</t>
  </si>
  <si>
    <t>PTP 820/850 NMS Basic to Advanced Upgrade, Per Tx Channel</t>
  </si>
  <si>
    <t>C000082T009A</t>
  </si>
  <si>
    <t>PTP 820/850 NMS Basic Package,Per Tx Channel</t>
  </si>
  <si>
    <t>C000082T010A</t>
  </si>
  <si>
    <t>PTP 820/850 NMS Advanced Package, Per Tx Channel</t>
  </si>
  <si>
    <t>C000082T011A</t>
  </si>
  <si>
    <t>PTP 820/850 NMS Open SNMP Manager, per Element</t>
  </si>
  <si>
    <t>C009045A001A</t>
  </si>
  <si>
    <t>900 MHz PMP 450i Connectorized Access Point</t>
  </si>
  <si>
    <t>900MHz</t>
  </si>
  <si>
    <t>PMP450i</t>
  </si>
  <si>
    <t>C009045B001A</t>
  </si>
  <si>
    <t>PTP 450 900 MHz END - Connectorized</t>
  </si>
  <si>
    <t>Backhaul</t>
  </si>
  <si>
    <t>C009045B002A</t>
  </si>
  <si>
    <t>PTP 450i 900 MHz END – Connectorized</t>
  </si>
  <si>
    <t>C009045C001A</t>
  </si>
  <si>
    <t>900 MHz PMP 450 Connectorized Subscriber Module</t>
  </si>
  <si>
    <t>C009045C002A</t>
  </si>
  <si>
    <t>900 MHz PMP 450i Connectorized Subscriber Module</t>
  </si>
  <si>
    <t>C024045A001A</t>
  </si>
  <si>
    <t>2.4 GHz PMP 450 Connectorized Access Point</t>
  </si>
  <si>
    <t>C024045A003A</t>
  </si>
  <si>
    <t>2.4 GHz PMP 450 Connectorized Access Point, No Encryption</t>
  </si>
  <si>
    <t>C024045A011A</t>
  </si>
  <si>
    <t>2.4 GHz PMP 450 Connectorized Access Point - Lite</t>
  </si>
  <si>
    <t>2.4GHz</t>
  </si>
  <si>
    <t>C024045C001A</t>
  </si>
  <si>
    <t>2.4 GHz PMP 450 Subscriber Module, 4 Mbps</t>
  </si>
  <si>
    <t>C024045C002A</t>
  </si>
  <si>
    <t>2.4 GHz PMP 450 Subscriber Module, 10 Mbps</t>
  </si>
  <si>
    <t>C024045C003A</t>
  </si>
  <si>
    <t>2.4 GHz PMP 450 Subscriber Module, 20 Mbps</t>
  </si>
  <si>
    <t>C024045C004A</t>
  </si>
  <si>
    <t>2.4 GHz PMP 450 Subscriber Module, Uncapped</t>
  </si>
  <si>
    <t>C024045D601A</t>
  </si>
  <si>
    <t>ANTENNA,2.4GHZ,DUAL SLANT 60 DEGREE SECTOR</t>
  </si>
  <si>
    <t>C030045A001A</t>
  </si>
  <si>
    <t>3 GHz PMP 450i Connectorized Access Point</t>
  </si>
  <si>
    <t>C030045A002A</t>
  </si>
  <si>
    <t>3 GHz PMP 450i Integrated Access Point, 90 Degree</t>
  </si>
  <si>
    <t>C030045A003A</t>
  </si>
  <si>
    <t>3 GHz PMP 450i Connectorized Access Point, No Encryption</t>
  </si>
  <si>
    <t>C030045A004A</t>
  </si>
  <si>
    <t>3 GHz PMP 450i Integrated Access Point, 90 Degree, No Encryption</t>
  </si>
  <si>
    <t>C030045A101A</t>
  </si>
  <si>
    <t>3 GHz PMP 450m Integrated Access Point, 90 Degree</t>
  </si>
  <si>
    <t>C030045A104A</t>
  </si>
  <si>
    <t>3 GHz PMP 450m Integrated Access Point, 90 Degree (No Encryption)</t>
  </si>
  <si>
    <t>C030045A111A</t>
  </si>
  <si>
    <t>3 GHz PMP 450m Integrated Access Point, 90 Degree, Limited</t>
  </si>
  <si>
    <t>C030045A114A</t>
  </si>
  <si>
    <t>3 GHz PMP 450m Integrated Access Point, 90 Degree (No Encryption), Limited</t>
  </si>
  <si>
    <t>C030045AL01A</t>
  </si>
  <si>
    <t>3 GHz PMP 450i Connectorized Access Point, LITE</t>
  </si>
  <si>
    <t>C030045AL02A</t>
  </si>
  <si>
    <t>3 GHz PMP 450i Integrated Access Point, 90 Degree, LITE</t>
  </si>
  <si>
    <t>C030045AL03A</t>
  </si>
  <si>
    <t>3 GHz PMP 450i Connectorized Access Point, No Encryption, LITE</t>
  </si>
  <si>
    <t>C030045AL04A</t>
  </si>
  <si>
    <t>3 GHz PMP 450i Integrated Access Point, 90 Degree, No Encryption, LITE</t>
  </si>
  <si>
    <t>C030045B001A</t>
  </si>
  <si>
    <t>3 GHz PTP 450i END, Connectorized</t>
  </si>
  <si>
    <t>C030045B002A</t>
  </si>
  <si>
    <t>3 GHz PTP 450i END, Integrated High Gain Antenna</t>
  </si>
  <si>
    <t>C030045B003A</t>
  </si>
  <si>
    <t>3 GHz PTP 450i END, Connectorized, No Encryption</t>
  </si>
  <si>
    <t>C030045B004A</t>
  </si>
  <si>
    <t>3 GHz PTP 450i END, Integrated High Gain Antenna, No Encryption</t>
  </si>
  <si>
    <t>C030045B021A</t>
  </si>
  <si>
    <t>3 GHz 450b - High Gain - Radio Only</t>
  </si>
  <si>
    <t>C030045B025A</t>
  </si>
  <si>
    <t>3 GHz 450b - High Gain – No Encryption – Radio Only</t>
  </si>
  <si>
    <t>C030045C001A</t>
  </si>
  <si>
    <t>3 GHz PMP 450i Connectorized Subscriber Module</t>
  </si>
  <si>
    <t>C030045C002A</t>
  </si>
  <si>
    <t>3 GHz PMP 450i SM, Integrated High Gain Antenna</t>
  </si>
  <si>
    <t>C030045D901A</t>
  </si>
  <si>
    <t>3.3-3.8 GHz Dual Slant Antenna for 90 Degree Sector</t>
  </si>
  <si>
    <t>3926.90.9996</t>
  </si>
  <si>
    <t>C050000D004A</t>
  </si>
  <si>
    <t>4.9 to 5.9 GHz, Dual-Pol 90 Degree Sector Antenna with Mounting Bracket</t>
  </si>
  <si>
    <t>PTP Accessory - Antennas</t>
  </si>
  <si>
    <t>5 GHz PMP 450i Connectorized Access Point (ROW)</t>
  </si>
  <si>
    <t>C050045A001B</t>
  </si>
  <si>
    <t>C050045A002B</t>
  </si>
  <si>
    <t>5 GHz PMP 450i Connectorized Access Point (FCC)</t>
  </si>
  <si>
    <t>C050045A004B</t>
  </si>
  <si>
    <t>5 GHz PMP 450i Connectorized Access Point (No Encryption)</t>
  </si>
  <si>
    <t>C050045A005B</t>
  </si>
  <si>
    <t>5 GHz PMP 450i Integrated Access Point, 90 degree (ROW)</t>
  </si>
  <si>
    <t>C050045A006B</t>
  </si>
  <si>
    <t>5 GHz PMP 450i Integrated Access Point, 90 degree (FCC)</t>
  </si>
  <si>
    <t>C050045A007B</t>
  </si>
  <si>
    <t>5 GHz PMP 450i Integrated Access Point, 90 degree (EU)</t>
  </si>
  <si>
    <t>C050045A008B</t>
  </si>
  <si>
    <t>5 GHz PMP 450i Integrated Access Point, 90 degree (No Encryption)</t>
  </si>
  <si>
    <t>C050045A009B</t>
  </si>
  <si>
    <t>5 GHz PMP 450i Conn Access Point (ROW), ATEX/HAZLOC</t>
  </si>
  <si>
    <t>ATEX/HAZLOC (BTO Radios)</t>
  </si>
  <si>
    <t>C050045A010B</t>
  </si>
  <si>
    <t>5 GHz PMP 450i Conn Access Point (FCC), ATEX/HAZLOC</t>
  </si>
  <si>
    <t>C050045A011B</t>
  </si>
  <si>
    <t>5 GHz PMP 450i Conn Access Point (EU), ATEX/HAZLOC</t>
  </si>
  <si>
    <t>C050045A012B</t>
  </si>
  <si>
    <t>5 GHz PMP 450i Integrated Access Point, 90 degree (ROW), ATEX/HAZLOC</t>
  </si>
  <si>
    <t>C050045A013B</t>
  </si>
  <si>
    <t>5 GHz PMP 450i Integrated Access Point, 90 degree (FCC), ATEX/HAZLOC</t>
  </si>
  <si>
    <t>C050045A014B</t>
  </si>
  <si>
    <t>5 GHz PMP 450i Integrated Access Point, 90 degree (EU), ATEX/HAZLOC</t>
  </si>
  <si>
    <t>C050045A015B</t>
  </si>
  <si>
    <t>5 GHz PMP 450i Connectorized Access Point (IC)</t>
  </si>
  <si>
    <t>C050045A016B</t>
  </si>
  <si>
    <t>5 GHz PMP 450i Integrated Access Point, 90 degree (IC)</t>
  </si>
  <si>
    <t>C050045A017B</t>
  </si>
  <si>
    <t>5 GHz PMP 450i Conn Access Point (IC), ATEX/HAZLOC</t>
  </si>
  <si>
    <t>C050045A018B</t>
  </si>
  <si>
    <t>5 GHz PMP 450i Integrated Access Point, 90 degree (IC), ATEX/HAZLOC</t>
  </si>
  <si>
    <t>C050045A019B</t>
  </si>
  <si>
    <t>5 GHz PMP 450i Conn Access Point (No Encryption), ATEX/HAZLOC</t>
  </si>
  <si>
    <t>C050045A020B</t>
  </si>
  <si>
    <t>5 GHz PMP 450i Integrated Access Point, 90 degree (No Encryption), ATEX/HAZLOC</t>
  </si>
  <si>
    <t>C050045A046B</t>
  </si>
  <si>
    <t>5 GHz PMP 450i Integrated Narrow Beam Access Point, 10 degree (ROW)</t>
  </si>
  <si>
    <t>C050045A047B</t>
  </si>
  <si>
    <t>5 GHz PMP 450i Integrated Narrow Beam Access Point, 10 degree (FCC)</t>
  </si>
  <si>
    <t>C050045A048B</t>
  </si>
  <si>
    <t>5 GHz PMP 450i Integrated Narrow Beam Access Point, 10 degree (ISED)</t>
  </si>
  <si>
    <t>C050045A101A</t>
  </si>
  <si>
    <t>5 GHz PMP 450m Integrated Access Point, 90 Degree (ROW)</t>
  </si>
  <si>
    <t>PMP450m</t>
  </si>
  <si>
    <t>C050045A102A</t>
  </si>
  <si>
    <t>5 GHz PMP 450m Integrated Access Point, 90 Degree (FCC)</t>
  </si>
  <si>
    <t>C050045A105A</t>
  </si>
  <si>
    <t>5 GHz PMP 450m Integrated Access Point, 90 Degree (IC)</t>
  </si>
  <si>
    <t>APAC Standard,NA Standard</t>
  </si>
  <si>
    <t>C050045A111A</t>
  </si>
  <si>
    <t>5 GHz PMP 450m Integrated Access Point, 90 Degree (ROW), Limited</t>
  </si>
  <si>
    <t>C050045A112A</t>
  </si>
  <si>
    <t>5 GHz PMP 450m Integrated Access Point, 90 Degree (FCC), Limited</t>
  </si>
  <si>
    <t>CALA Standard,NA Standard</t>
  </si>
  <si>
    <t>C050045A115A</t>
  </si>
  <si>
    <t>5 GHz PMP 450m Integrated Access Point, 90 Degree (IC), Limited</t>
  </si>
  <si>
    <t>C050045A201A</t>
  </si>
  <si>
    <t>5 GHz 450 MicroPoP Omni - ROW</t>
  </si>
  <si>
    <t>C050045A202A</t>
  </si>
  <si>
    <t>5 GHz 450 MicroPoP Omni – FCC</t>
  </si>
  <si>
    <t>C050045A203A</t>
  </si>
  <si>
    <t>5 GHz 450 MicroPoP Omni - ISED</t>
  </si>
  <si>
    <t>C050045A204A</t>
  </si>
  <si>
    <t>5 GHz 450 MicroPoP Omni – EU</t>
  </si>
  <si>
    <t>C050045A205A</t>
  </si>
  <si>
    <t>5 GHz 450 MicroPoP Omni – No Encryption</t>
  </si>
  <si>
    <t>C050045A206A</t>
  </si>
  <si>
    <t>5 GHz 450 MicroPoP Sector - 90 Degree - ROW</t>
  </si>
  <si>
    <t>C050045A207A</t>
  </si>
  <si>
    <t>5 GHz 450 MicroPoP Sector - 90 Degree – FCC</t>
  </si>
  <si>
    <t>C050045A208A</t>
  </si>
  <si>
    <t>5 GHz 450 MicroPoP Sector - 90 Degree - ISED</t>
  </si>
  <si>
    <t>C050045A209A</t>
  </si>
  <si>
    <t>5 GHz 450 MicroPoP Sector - 90 Degree – EU</t>
  </si>
  <si>
    <t>C050045A210A</t>
  </si>
  <si>
    <t>5 GHz 450 MicroPoP Sector - 90 Degree – No Encryption</t>
  </si>
  <si>
    <t>C050045AL01B</t>
  </si>
  <si>
    <t>5 GHz PMP 450i Connectorized Access Point (ROW), LITE</t>
  </si>
  <si>
    <t>C050045AL02B</t>
  </si>
  <si>
    <t>5 GHz PMP 450i Connectorized Access Point (FCC), LITE</t>
  </si>
  <si>
    <t>C050045AL03B</t>
  </si>
  <si>
    <t>5 GHz PMP 450i Connectorized Access Point (EU), LITE</t>
  </si>
  <si>
    <t>C050045AL04B</t>
  </si>
  <si>
    <t>5 GHz PMP 450i Connectorized Access Point (No Encryption), LITE</t>
  </si>
  <si>
    <t>C050045AL05B</t>
  </si>
  <si>
    <t>5 GHz PMP 450i Integrated Access Point, 90 degree (ROW), LITE</t>
  </si>
  <si>
    <t>C050045AL06B</t>
  </si>
  <si>
    <t>5 GHz PMP 450i Integrated Access Point, 90 degree (FCC), LITE</t>
  </si>
  <si>
    <t>C050045AL07B</t>
  </si>
  <si>
    <t>5 GHz PMP 450i Integrated Access Point, 90 degree (EU), LITE</t>
  </si>
  <si>
    <t>C050045AL08B</t>
  </si>
  <si>
    <t>5 GHz PMP 450i Integrated Access Point, 90 degree (No Encryption), LITE</t>
  </si>
  <si>
    <t>C050045AL15B</t>
  </si>
  <si>
    <t>5 GHz PMP 450i Connectorized Access Point (IC), LITE</t>
  </si>
  <si>
    <t>C050045AL16B</t>
  </si>
  <si>
    <t>5 GHz PMP 450i Integrated Access Point, 90 degree (IC), LITE</t>
  </si>
  <si>
    <t>C050045B001B</t>
  </si>
  <si>
    <t>5 GHz PTP 450i END, Connectorized (ROW)</t>
  </si>
  <si>
    <t>C050045B002B</t>
  </si>
  <si>
    <t>5 GHz PTP 450i END, Integrated High Gain Antenna (ROW)</t>
  </si>
  <si>
    <t>C050045B003B</t>
  </si>
  <si>
    <t>5 GHz PTP 450i END, Connectorized (FCC)</t>
  </si>
  <si>
    <t>C050045B004B</t>
  </si>
  <si>
    <t>5 GHz PTP 450i END, Integrated High Gain Antenna (FCC)</t>
  </si>
  <si>
    <t>C050045B007B</t>
  </si>
  <si>
    <t>5 GHz PTP 450i END, Connectorized (No Encryption)</t>
  </si>
  <si>
    <t>C050045B008B</t>
  </si>
  <si>
    <t>5 GHz PTP 450i END, Integrated High Gain Antenna (No Encryption)</t>
  </si>
  <si>
    <t>C050045B009B</t>
  </si>
  <si>
    <t>5 GHz PTP 450i END, Connectorized (ROW), ATEX/HAZLOC</t>
  </si>
  <si>
    <t>C050045B010B</t>
  </si>
  <si>
    <t>5 GHz PTP 450i END, Integrated High Gain Antenna (ROW), ATEX/HAZLOC</t>
  </si>
  <si>
    <t>C050045B011B</t>
  </si>
  <si>
    <t>5 GHz PTP 450i END, Connectorized (FCC), ATEX/HAZLOC</t>
  </si>
  <si>
    <t>C050045B012B</t>
  </si>
  <si>
    <t>5 GHz PTP 450i END, Integrated High Gain Antenna (FCC), ATEX/HAZLOC</t>
  </si>
  <si>
    <t>C050045B013B</t>
  </si>
  <si>
    <t>5 GHz PTP 450i END, Connectorized (EU), ATEX/HAZLOC</t>
  </si>
  <si>
    <t>C050045B014B</t>
  </si>
  <si>
    <t>5 GHz PTP 450i END, Integrated High Gain Antenna (EU), ATEX/HAZLOC</t>
  </si>
  <si>
    <t>C050045B015B</t>
  </si>
  <si>
    <t>5 GHz PTP 450i END, Connectorized (IC)</t>
  </si>
  <si>
    <t>C050045B016B</t>
  </si>
  <si>
    <t>5 GHz PTP 450i END, Integrated High Gain Antenna (IC)</t>
  </si>
  <si>
    <t>C050045B017B</t>
  </si>
  <si>
    <t>5 GHz PTP 450i END, Connectorized (IC), ATEX/HAZLOC</t>
  </si>
  <si>
    <t>C050045B018B</t>
  </si>
  <si>
    <t>5 GHz PTP 450i END, Integrated High Gain Antenna (IC), ATEX/HAZLOC</t>
  </si>
  <si>
    <t>C050045B019B</t>
  </si>
  <si>
    <t>5 GHz PTP 450i END, Connectorized (No Encryption), ATEX/HAZLOC</t>
  </si>
  <si>
    <t>C050045B020B</t>
  </si>
  <si>
    <t>5 GHz PTP 450i END, Integrated High Gain Antenna (No Encryption), ATEX/HAZLOC</t>
  </si>
  <si>
    <t>C050045B021A</t>
  </si>
  <si>
    <t>5 GHz 450b - High Gain – ROW – Radio Only</t>
  </si>
  <si>
    <t>C050045B022A</t>
  </si>
  <si>
    <t>5 GHz 450b - High Gain – FCC – Radio Only</t>
  </si>
  <si>
    <t>C050045B023A</t>
  </si>
  <si>
    <t>5 GHz 450b - High Gain – ISED – Radio Only</t>
  </si>
  <si>
    <t>C050045B024A</t>
  </si>
  <si>
    <t>5 GHz 450b - High Gain – EU – Radio Only</t>
  </si>
  <si>
    <t>C050045B025A</t>
  </si>
  <si>
    <t>5 GHz 450b - High Gain – No Encryption – Radio Only</t>
  </si>
  <si>
    <t>C050045B031A</t>
  </si>
  <si>
    <t>5 GHz 450b - Mid-Gain – ROW</t>
  </si>
  <si>
    <t>C050045B032A</t>
  </si>
  <si>
    <t>5 GHz 450b - Mid-Gain – FCC</t>
  </si>
  <si>
    <t>C050045B033A</t>
  </si>
  <si>
    <t>5 GHz 450b - Mid-Gain – ISED</t>
  </si>
  <si>
    <t>C050045B034A</t>
  </si>
  <si>
    <t>5 GHz 450b - Mid-Gain – EU</t>
  </si>
  <si>
    <t>C050045B035A</t>
  </si>
  <si>
    <t>5 GHz 450b - Mid-Gain – No Encryption</t>
  </si>
  <si>
    <t>Kit or Mixed Components</t>
  </si>
  <si>
    <t>C050045B101A</t>
  </si>
  <si>
    <t>C050045B102A</t>
  </si>
  <si>
    <t>C050045B103A</t>
  </si>
  <si>
    <t>C050045B104A</t>
  </si>
  <si>
    <t>5 GHz 450b Retro – EU</t>
  </si>
  <si>
    <t>C050045B105A</t>
  </si>
  <si>
    <t>C050045C001B</t>
  </si>
  <si>
    <t>5 GHz PMP 450i Connectorized Subscriber Module</t>
  </si>
  <si>
    <t>C050045C002C</t>
  </si>
  <si>
    <t>5 GHz PMP 450i SM, Integrated High Gain Antenna</t>
  </si>
  <si>
    <t>C050045C003B</t>
  </si>
  <si>
    <t>5 GHz PMP 450i Conn Subscriber Module, ATEX/HAZLOC</t>
  </si>
  <si>
    <t>C050045C004B</t>
  </si>
  <si>
    <t>5 GHz PMP 450i Integrated High Gain Antenna, ATEX/HAZLOC</t>
  </si>
  <si>
    <t>C050045C011A</t>
  </si>
  <si>
    <t>5 GHz 450b - Mid-Gain WB SM</t>
  </si>
  <si>
    <t>C050045C012A</t>
  </si>
  <si>
    <t>5 GHz 450b - High Gain WB SM - Radio Only - SPARE</t>
  </si>
  <si>
    <t>C050055L001A</t>
  </si>
  <si>
    <t>PTP 550 SFP Interface for Gigabit Ethernet 1000BaseT per ODU</t>
  </si>
  <si>
    <t>C050055L002A</t>
  </si>
  <si>
    <t>PTP 550 SFP Multi-mode Optical 1000BaseSX SFP Interface per ODU</t>
  </si>
  <si>
    <t>C050055L003A</t>
  </si>
  <si>
    <t>PTP 550 SFP Single Mode Optical 1000BaseLX SFP Interface per ODU</t>
  </si>
  <si>
    <t>C050067B001B</t>
  </si>
  <si>
    <t>PTP 670 (4.9 to 6.05 GHz) Integrated 23 dBi ODU (FCC)</t>
  </si>
  <si>
    <t>ODU or IRFU</t>
  </si>
  <si>
    <t>PTP670</t>
  </si>
  <si>
    <t>C050067B003B</t>
  </si>
  <si>
    <t>PTP 670 (4.9 to 6.05 GHz) Connectorized ODU (FCC)</t>
  </si>
  <si>
    <t>C050067B004B</t>
  </si>
  <si>
    <t>PTP 670 (4.9 to 6.05 GHz) Integrated 23 dBi ODU (ROW)</t>
  </si>
  <si>
    <t>C050067B006B</t>
  </si>
  <si>
    <t>PTP 670 (4.9 to 6.05 GHz) Connectorized ODU (ROW)</t>
  </si>
  <si>
    <t>C050067B010B</t>
  </si>
  <si>
    <t>PTP 670 (4.9 to 6.05 GHz) Integrated 23 dBi ODU (IC)</t>
  </si>
  <si>
    <t>C050067B012B</t>
  </si>
  <si>
    <t>PTP 670 (4.9 to 6.05 GHz) Connectorized ODU (IC)</t>
  </si>
  <si>
    <t>C050067B015A</t>
  </si>
  <si>
    <t>PTP 670 (4.9 to 5.9 GHz) ATEX/HAZLOC Integrated 23 dBi ODU (ROW)</t>
  </si>
  <si>
    <t>C050067B016A</t>
  </si>
  <si>
    <t>PTP 670 (4.9 to 5.9 GHz) ATEX/HAZLOC Connectorized ODU (ROW)</t>
  </si>
  <si>
    <t>C050067B018A</t>
  </si>
  <si>
    <t>PTP 670 (4.9 to 5.9 GHz) ATEX/HAZLOC Connectorized ODU (EU)</t>
  </si>
  <si>
    <t>C050067B021A</t>
  </si>
  <si>
    <t>PTP 670 (4.8 to 5.9 GHz) Integrated 23 dBi ODU (Mexico)</t>
  </si>
  <si>
    <t>C050067B021B</t>
  </si>
  <si>
    <t>PTP 48670 (4.7 to 5.9 GHz) Integrated ODU</t>
  </si>
  <si>
    <t>C050067B022B</t>
  </si>
  <si>
    <t>PTP 48670 (4.7 to 5.9 GHz) Connectorized ODU</t>
  </si>
  <si>
    <t>C050067H001B</t>
  </si>
  <si>
    <t>PTP 670 Connectorized END with AC Supply (FCC)</t>
  </si>
  <si>
    <t>PTP 670 Connectorized END with AC+DC Enhanced Supply (FCC)</t>
  </si>
  <si>
    <t>C050067H003B</t>
  </si>
  <si>
    <t>PTP 670 Integrated 23dBi END with AC Supply (FCC)</t>
  </si>
  <si>
    <t>PTP 670 Integrated 23dBi END with AC+DC Enhanced Supply (FCC)</t>
  </si>
  <si>
    <t>C050067H007B</t>
  </si>
  <si>
    <t>PTP 670 Connectorized END with AC Supply (ROW - U.S. Line Cord)</t>
  </si>
  <si>
    <t>C050067H008B</t>
  </si>
  <si>
    <t>PTP 670 Connectorized END with AC+DC Enhanced Supply (ROW - U.S. Line Cord)</t>
  </si>
  <si>
    <t>C050067H009A</t>
  </si>
  <si>
    <t>PTP 670 Integrated 23dBi END with AC Supply (ROW - U.S. Line Cord)</t>
  </si>
  <si>
    <t>C050067H009B</t>
  </si>
  <si>
    <t>PTP 670 Integrated 23dBi END with AC+DC Enhanced Supply (ROW - U.S. Line Cord)</t>
  </si>
  <si>
    <t>C050067H013B</t>
  </si>
  <si>
    <t>PTP 670 Connectorized END with AC Supply (ROW - EU Line Cord)</t>
  </si>
  <si>
    <t>PTP 670 Connectorized END with AC+DC Enhanced Supply (ROW - EU Line Cord)</t>
  </si>
  <si>
    <t>C050067H015B</t>
  </si>
  <si>
    <t>PTP 670 Integrated 23dBi END with AC Supply (ROW - EU Line Cord)</t>
  </si>
  <si>
    <t>PTP 670 Integrated 23dBi END with AC+DC Enhanced Supply (ROW - EU Line Cord)</t>
  </si>
  <si>
    <t>C050067H019B</t>
  </si>
  <si>
    <t>PTP 670 Connectorized END with AC Supply (EU)</t>
  </si>
  <si>
    <t>PTP 670 Connectorized END with AC+DC Enhanced Supply (EU)</t>
  </si>
  <si>
    <t>C050067H021B</t>
  </si>
  <si>
    <t>PTP 670 Integrated 23dBi END with AC Supply (EU)</t>
  </si>
  <si>
    <t>PTP 670 Integrated 23dBi END with AC+DC Enhanced Supply (EU)</t>
  </si>
  <si>
    <t>C050067H025B</t>
  </si>
  <si>
    <t>PTP 670 Connectorized END with AC Supply (IC)</t>
  </si>
  <si>
    <t>PTP 670 Connectorized END with AC+DC Enhanced Supply (IC)</t>
  </si>
  <si>
    <t>C050067H027B</t>
  </si>
  <si>
    <t>PTP 670 Integrated 23dBi END with AC Supply (IC)</t>
  </si>
  <si>
    <t>PTP 670 Integrated 23dBi END with AC+DC Enhanced Supply (IC)</t>
  </si>
  <si>
    <t>C050067H029B</t>
  </si>
  <si>
    <t>PTP 670 Connectorized END with AC Supply (ROW - UK line Cord)</t>
  </si>
  <si>
    <t>PTP 670 Connectorized END with AC+DC Enhanced Supply (ROW - UK line Cord)</t>
  </si>
  <si>
    <t>C050067H031B</t>
  </si>
  <si>
    <t>PTP 670 Integrated 23dBi END with AC Supply (ROW - UK line Cord)</t>
  </si>
  <si>
    <t>PTP 670 Integrated 23dBi END with AC+DC Enhanced Supply (ROW - UK line Cord)</t>
  </si>
  <si>
    <t>C050900D020A</t>
  </si>
  <si>
    <t>ePMP 2000: 5GHz Smart Antenna</t>
  </si>
  <si>
    <t>C058082M001A</t>
  </si>
  <si>
    <t>PTP 820 RFU-A Extended modulation, 5.8_6LGHz</t>
  </si>
  <si>
    <t>C058082M002A</t>
  </si>
  <si>
    <t>PTP 820 RFU-A Extended Premium modulation, 5.8_6LGHz</t>
  </si>
  <si>
    <t>C060082B001A</t>
  </si>
  <si>
    <t>PTP 820S Radio 6LGHz,TR65A,Ch1W3,Hi,5790-5820MHz</t>
  </si>
  <si>
    <t>PTP820S ODU and common accy</t>
  </si>
  <si>
    <t>C060082B002A</t>
  </si>
  <si>
    <t>PTP 820S Radio 6LGHz,TR65A,Ch1W3,Lo,5725-5755MHz</t>
  </si>
  <si>
    <t>C060082B003A</t>
  </si>
  <si>
    <t>PTP 820S Radio 6LGHz,TR65A,Ch4W6,Hi,5820-5850MHz</t>
  </si>
  <si>
    <t>C060082B004A</t>
  </si>
  <si>
    <t>PTP 820S Radio 6LGHz,TR65A,Ch4W6,Lo,5755-5785MHz</t>
  </si>
  <si>
    <t>C060082B005A</t>
  </si>
  <si>
    <t>PTP 820S Radio 6LGHz,TR240A,Ch1W3,Hi,6176-6294MHz</t>
  </si>
  <si>
    <t>C060082B006A</t>
  </si>
  <si>
    <t>PTP 820S Radio 6LGHz,TR240A,Ch1W3,Lo,5936-6054MHz</t>
  </si>
  <si>
    <t>C060082B007A</t>
  </si>
  <si>
    <t>PTP 820S Radio 6LGHz,TR240A,Ch4W6,Hi,6296-6414MHz</t>
  </si>
  <si>
    <t>C060082B008A</t>
  </si>
  <si>
    <t>PTP 820S Radio 6LGHz,TR240A,Ch4W6,Lo,6056-6174MHz</t>
  </si>
  <si>
    <t>C060082B009A</t>
  </si>
  <si>
    <t>PTP 820S Radio 6LGHz,TR252A,Ch1W4,Hi,6179.415-6304.015MHz</t>
  </si>
  <si>
    <t>C060082B010A</t>
  </si>
  <si>
    <t>PTP 820S Radio 6LGHz,TR252A,Ch1W4,Lo,5927.375-6051.975MHz</t>
  </si>
  <si>
    <t>C060082B011A</t>
  </si>
  <si>
    <t>PTP 820S Radio 6LGHz,TR252A,Ch3W6,Hi,6238.715-6363.315MHz</t>
  </si>
  <si>
    <t>C060082B012A</t>
  </si>
  <si>
    <t>PTP 820S Radio 6LGHz,TR252A,Ch3W6,Lo,5986.675-6111.275MHz</t>
  </si>
  <si>
    <t>C060082B013A</t>
  </si>
  <si>
    <t>PTP 820S Radio 6LGHz,TR252A,Ch5W8,Hi,6298.015-6422.615MHz</t>
  </si>
  <si>
    <t>C060082B014A</t>
  </si>
  <si>
    <t>PTP 820S Radio 6LGHz,TR252A,Ch5W8,Lo,6045.975-6170.575MHz</t>
  </si>
  <si>
    <t>C060082B019A</t>
  </si>
  <si>
    <t>PTP 820S Radio 6LGHz,TR260B,Ch1W3,Hi,6185-6305MHz</t>
  </si>
  <si>
    <t>C060082B020A</t>
  </si>
  <si>
    <t>PTP 820S Radio 6LGHz,TR260B,Ch1W3,Lo,5925-6045MHz</t>
  </si>
  <si>
    <t>C060082B021A</t>
  </si>
  <si>
    <t>PTP 820S Radio 6LGHz,TR260B,Ch4W6,Hi,6305-6425MHz</t>
  </si>
  <si>
    <t>C060082B022A</t>
  </si>
  <si>
    <t>PTP 820S Radio 6LGHz,TR260B,Ch4W6,Lo,6045-6165MHz</t>
  </si>
  <si>
    <t>C060082B023A</t>
  </si>
  <si>
    <t>PTP 820S Radio 6LGHz,TR266A,Ch1W4,Hi,6191.5-6306.5MHz</t>
  </si>
  <si>
    <t>C060082B024A</t>
  </si>
  <si>
    <t>PTP 820S Radio 6LGHz,TR266A,Ch1W4,Lo,5925.5-6040.5MHz</t>
  </si>
  <si>
    <t>C060082B025A</t>
  </si>
  <si>
    <t>PTP 820S Radio 6LGHz,TR266A,Ch5W8,Hi,6303.5-6418.5MHz</t>
  </si>
  <si>
    <t>C060082B026A</t>
  </si>
  <si>
    <t>PTP 820S Radio 6LGHz,TR266A,Ch5W8,Lo,6037.5-6152.5MHz</t>
  </si>
  <si>
    <t>C060082B027A</t>
  </si>
  <si>
    <t>PTP 820S Radio 6HGHz,TR150A,Ch1W3,Hi,7025-7100MHz</t>
  </si>
  <si>
    <t>C060082B028A</t>
  </si>
  <si>
    <t>PTP 820S Radio 6HGHz,TR150A,Ch1W3,Lo,6875-6950MHz</t>
  </si>
  <si>
    <t>C060082B029A</t>
  </si>
  <si>
    <t>PTP 820S Radio 6HGHz,TR150A,Ch2W4,Hi,7050-7125MHz</t>
  </si>
  <si>
    <t>C060082B030A</t>
  </si>
  <si>
    <t>PTP 820S Radio 6HGHz,TR150A,Ch2W4,Lo,6900-6975MHz</t>
  </si>
  <si>
    <t>C060082B031A</t>
  </si>
  <si>
    <t>PTP 820S Radio 6HGHz,TR160A,Ch1W6,Hi,6707.5-6772.5MHz</t>
  </si>
  <si>
    <t>C060082B032A</t>
  </si>
  <si>
    <t>PTP 820S Radio 6HGHz,TR160A,Ch1W6,Lo,6537.5-6612.5MHz</t>
  </si>
  <si>
    <t>C060082B033A</t>
  </si>
  <si>
    <t>PTP 820S Radio 6HGHz,TR160A,Ch7W12,Hi,6767.5-6832.5MHz</t>
  </si>
  <si>
    <t>C060082B034A</t>
  </si>
  <si>
    <t>PTP 820S Radio 6HGHz,TR160A,Ch7W12,Lo,6607.5-6672.5MHz</t>
  </si>
  <si>
    <t>C060082B035A</t>
  </si>
  <si>
    <t>PTP 820S Radio 6HGHz,TR160A,Ch13W16,Hi,6827.5-6872.5MHz</t>
  </si>
  <si>
    <t>C060082B036A</t>
  </si>
  <si>
    <t>PTP 820S Radio 6HGHz,TR160A,Ch13W16,Lo,6667.5-6712.5MHz</t>
  </si>
  <si>
    <t>C060082B037A</t>
  </si>
  <si>
    <t>PTP 820S Radio 6HGHz,TR340A,Ch1W4,Hi,6781-6939MHz</t>
  </si>
  <si>
    <t>C060082B038A</t>
  </si>
  <si>
    <t>PTP 820S Radio 6HGHz,TR340A,Ch1W4,Lo,6441-6599MHz</t>
  </si>
  <si>
    <t>C060082B039A</t>
  </si>
  <si>
    <t>PTP 820S Radio 6HGHz,TR340A,Ch5W8,Hi,6941-7099MHz</t>
  </si>
  <si>
    <t>C060082B040A</t>
  </si>
  <si>
    <t>PTP 820S Radio 6HGHz,TR340A,Ch5W8,Lo,6601-6759MHz</t>
  </si>
  <si>
    <t>C060082B041A</t>
  </si>
  <si>
    <t>PTP 820C Radio 6LGHz,TR65A,Ch1W3,Hi,5790-5820MHz</t>
  </si>
  <si>
    <t>PTP820C ODU and common accy</t>
  </si>
  <si>
    <t>C060082B042A</t>
  </si>
  <si>
    <t>PTP 820C Radio 6LGHz,TR65A,Ch1W3,Lo,5725-5755MHz</t>
  </si>
  <si>
    <t>C060082B043A</t>
  </si>
  <si>
    <t>PTP 820C Radio 6LGHz,TR65A,Ch4W6,Hi,5820-5850MHz</t>
  </si>
  <si>
    <t>C060082B044A</t>
  </si>
  <si>
    <t>PTP 820C Radio 6LGHz,TR65A,Ch4W6,Lo,5755-5785MHz</t>
  </si>
  <si>
    <t>C060082B045A</t>
  </si>
  <si>
    <t>PTP 820C Radio 6LGHz,TR240A,Ch1W3,Hi,6176-6294MHz</t>
  </si>
  <si>
    <t>C060082B046A</t>
  </si>
  <si>
    <t>PTP 820C Radio 6LGHz,TR240A,Ch1W3,Lo,5936-6054MHz</t>
  </si>
  <si>
    <t>C060082B047A</t>
  </si>
  <si>
    <t>PTP 820C Radio 6LGHz,TR240A,Ch4W6,Hi,6296-6414MHz</t>
  </si>
  <si>
    <t>C060082B048A</t>
  </si>
  <si>
    <t>PTP 820C Radio 6LGHz,TR240A,Ch4W6,Lo,6056-6174MHz</t>
  </si>
  <si>
    <t>C060082B049A</t>
  </si>
  <si>
    <t>PTP 820C Radio 6LGHz,TR252A,Ch1W4,Hi,6179.415-6304.015MHz</t>
  </si>
  <si>
    <t>C060082B050A</t>
  </si>
  <si>
    <t>PTP 820C Radio 6LGHz,TR252A,Ch1W4,Lo,5927.375-6051.975MHz</t>
  </si>
  <si>
    <t>C060082B051A</t>
  </si>
  <si>
    <t>PTP 820C Radio 6LGHz,TR252A,Ch3W6,Hi,6238.715-6363.315MHz</t>
  </si>
  <si>
    <t>C060082B052A</t>
  </si>
  <si>
    <t>PTP 820C Radio 6LGHz,TR252A,Ch3W6,Lo,5986.675-6111.275MHz</t>
  </si>
  <si>
    <t>C060082B053A</t>
  </si>
  <si>
    <t>PTP 820C Radio 6LGHz,TR252A,Ch5W8,Hi,6298.015-6422.615MHz</t>
  </si>
  <si>
    <t>C060082B054A</t>
  </si>
  <si>
    <t>PTP 820C Radio 6LGHz,TR252A,Ch5W8,Lo,6045.975-6170.575MHz</t>
  </si>
  <si>
    <t>C060082B059A</t>
  </si>
  <si>
    <t>PTP 820C Radio 6LGHz,TR260B,Ch1W3,Hi,6185-6305MHz</t>
  </si>
  <si>
    <t>C060082B060A</t>
  </si>
  <si>
    <t>PTP 820C Radio 6LGHz,TR260B,Ch1W3,Lo,5925-6045MHz</t>
  </si>
  <si>
    <t>C060082B061A</t>
  </si>
  <si>
    <t>PTP 820C Radio 6LGHz,TR260B,Ch4W6,Hi,6305-6425MHz</t>
  </si>
  <si>
    <t>C060082B062A</t>
  </si>
  <si>
    <t>PTP 820C Radio 6LGHz,TR260B,Ch4W6,Lo,6045-6165MHz</t>
  </si>
  <si>
    <t>C060082B063A</t>
  </si>
  <si>
    <t>PTP 820C Radio 6LGHz,TR266A,Ch1W4,Hi,6191.5-6306.5MHz</t>
  </si>
  <si>
    <t>C060082B064A</t>
  </si>
  <si>
    <t>PTP 820C Radio 6LGHz,TR266A,Ch1W4,Lo,5925.5-6040.5MHz</t>
  </si>
  <si>
    <t>C060082B065A</t>
  </si>
  <si>
    <t>PTP 820C Radio 6LGHz,TR266A,Ch5W8,Hi,6303.5-6418.5MHz</t>
  </si>
  <si>
    <t>C060082B066A</t>
  </si>
  <si>
    <t>PTP 820C Radio 6LGHz,TR266A,Ch5W8,Lo,6037.5-6152.5MHz</t>
  </si>
  <si>
    <t>C060082B067A</t>
  </si>
  <si>
    <t>PTP 820C Radio 6HGHz,TR150A,Ch1W3,Hi,7025-7100MHz</t>
  </si>
  <si>
    <t>C060082B068A</t>
  </si>
  <si>
    <t>PTP 820C Radio 6HGHz,TR150A,Ch1W3,Lo,6875-6950MHz</t>
  </si>
  <si>
    <t>C060082B069A</t>
  </si>
  <si>
    <t>PTP 820C Radio 6HGHz,TR150A,Ch2W4,Hi,7050-7125MHz</t>
  </si>
  <si>
    <t>C060082B070A</t>
  </si>
  <si>
    <t>PTP 820C Radio 6HGHz,TR150A,Ch2W4,Lo,6900-6975MHz</t>
  </si>
  <si>
    <t>C060082B071A</t>
  </si>
  <si>
    <t>PTP 820C Radio 6HGHz,TR160A,Ch1W6,Hi,6707.5-6772.5MHz</t>
  </si>
  <si>
    <t>C060082B072A</t>
  </si>
  <si>
    <t>PTP 820C Radio 6HGHz,TR160A,Ch1W6,Lo,6537.5-6612.5MHz</t>
  </si>
  <si>
    <t>C060082B073A</t>
  </si>
  <si>
    <t>PTP 820C Radio 6HGHz,TR160A,Ch7W12,Hi,6767.5-6832.5MHz</t>
  </si>
  <si>
    <t>C060082B074A</t>
  </si>
  <si>
    <t>PTP 820C Radio 6HGHz,TR160A,Ch7W12,Lo,6607.5-6672.5MHz</t>
  </si>
  <si>
    <t>C060082B075A</t>
  </si>
  <si>
    <t>PTP 820C Radio 6HGHz,TR160A,Ch13W16,Hi,6827.5-6872.5MHz</t>
  </si>
  <si>
    <t>C060082B076A</t>
  </si>
  <si>
    <t>PTP 820C Radio 6HGHz,TR160A,Ch13W16,Lo,6667.5-6712.5MHz</t>
  </si>
  <si>
    <t>C060082B077A</t>
  </si>
  <si>
    <t>PTP 820C Radio 6HGHz,TR340A,Ch1W4,Hi,6781-6939MHz</t>
  </si>
  <si>
    <t>C060082B078A</t>
  </si>
  <si>
    <t>PTP 820C Radio 6HGHz,TR340A,Ch1W4,Lo,6441-6599MHz</t>
  </si>
  <si>
    <t>C060082B079A</t>
  </si>
  <si>
    <t>PTP 820C Radio 6HGHz,TR340A,Ch5W8,Hi,6941-7099MHz</t>
  </si>
  <si>
    <t>C060082B080A</t>
  </si>
  <si>
    <t>PTP 820C Radio 6HGHz,TR340A,Ch5W8,Lo,6601-6759MHz</t>
  </si>
  <si>
    <t>C060082B164A</t>
  </si>
  <si>
    <t>PTP 820S Radio 6HGHz,TR340D,Ch7W11,Lo,6625-6775MHz</t>
  </si>
  <si>
    <t>C060082B165A</t>
  </si>
  <si>
    <t>PTP 820S Radio 6HGHz,TR340D,Ch7W11,Hi,6965-7115MHz</t>
  </si>
  <si>
    <t>C060082B219A</t>
  </si>
  <si>
    <t>PTP 820C-HP, Basic Radio,6 GHz</t>
  </si>
  <si>
    <t>C060082B220A</t>
  </si>
  <si>
    <t>PTP 820C-HP, Basic Radio, 6 GHz, ESS</t>
  </si>
  <si>
    <t>C060082L001A</t>
  </si>
  <si>
    <t>PTP 820C Radio 6LGHz,TR252A,Ch1W4,Hi,6179.415-6304.015MHz, ESS</t>
  </si>
  <si>
    <t>C060082L002A</t>
  </si>
  <si>
    <t>PTP 820C Radio 6LGHz,TR252A,Ch1W4,Lo,5927.375-6051.975MHz, ESS</t>
  </si>
  <si>
    <t>C060082L003A</t>
  </si>
  <si>
    <t>PTP 820C Radio 6LGHz,TR252A,Ch3W6,Hi,6238.715-6363.315MHz, ESS</t>
  </si>
  <si>
    <t>C060082L004A</t>
  </si>
  <si>
    <t>PTP 820C Radio 6LGHz,TR252A,Ch3W6,Lo,5986.675-6111.275MHz, ESS</t>
  </si>
  <si>
    <t>C060082L005A</t>
  </si>
  <si>
    <t>PTP 820C Radio 6LGHz,TR252A,Ch5W8,Hi,6298.015-6422.615MHz, ESS</t>
  </si>
  <si>
    <t>C060082L006A</t>
  </si>
  <si>
    <t>PTP 820C Radio 6LGHz,TR252A,Ch5W8,Lo,6045.975-6170.575MHz, ESS</t>
  </si>
  <si>
    <t>C060082M127A</t>
  </si>
  <si>
    <t>PTP 820 RFU-A Extended modulation, 6HGHz</t>
  </si>
  <si>
    <t>C060082M128A</t>
  </si>
  <si>
    <t>PTP 820 RFU-A Extended Premium modulation, 6HGHz</t>
  </si>
  <si>
    <t>C060082R081A</t>
  </si>
  <si>
    <t>PTP 820 RFU-C,6LGHz,TR240A,Ch1W3,Hi,6176-6294MHz</t>
  </si>
  <si>
    <t>C060082R082A</t>
  </si>
  <si>
    <t>PTP 820 RFU-C,6LGHz,TR240A,Ch1W3,Lo,5936-6054MHz</t>
  </si>
  <si>
    <t>C060082R083A</t>
  </si>
  <si>
    <t>PTP 820 RFU-C,6LGHz,TR240A,Ch4W6,Hi,6296-6414MHz</t>
  </si>
  <si>
    <t>C060082R084A</t>
  </si>
  <si>
    <t>PTP 820 RFU-C,6LGHz,TR240A,Ch4W6,Lo,6056-6174MHz</t>
  </si>
  <si>
    <t>C060082R085A</t>
  </si>
  <si>
    <t>PTP 820 RFU-C,6LGHz,TR252A,Ch1W4,Hi,6181.74-6301.69MHz</t>
  </si>
  <si>
    <t>C060082R086A</t>
  </si>
  <si>
    <t>PTP 820 RFU-C,6LGHz,TR252A,Ch1W4,Lo,5929.7-6049.65MHz</t>
  </si>
  <si>
    <t>C060082R087A</t>
  </si>
  <si>
    <t>PTP 820 RFU-C,6LGHz,TR252A,Ch3W6,Hi,6241.04-6360.99MHz</t>
  </si>
  <si>
    <t>C060082R088A</t>
  </si>
  <si>
    <t>PTP 820 RFU-C,6LGHz,TR252A,Ch3W6,Lo,5989-6108.95MHz</t>
  </si>
  <si>
    <t>C060082R089A</t>
  </si>
  <si>
    <t>PTP 820 RFU-C,6LGHz,TR252A,Ch5W8,Hi,6300.34-6420.29MHz</t>
  </si>
  <si>
    <t>C060082R090A</t>
  </si>
  <si>
    <t>PTP 820 RFU-C,6LGHz,TR252A,Ch5W8,Lo,6048.3-6168.25MHz</t>
  </si>
  <si>
    <t>C060082R095A</t>
  </si>
  <si>
    <t>PTP 820 RFU-C,6LGHz,TR260A,Ch1W2,Hi,6187-6303MHz</t>
  </si>
  <si>
    <t>C060082R096A</t>
  </si>
  <si>
    <t>PTP 820 RFU-C,6LGHz,TR260A,Ch1W2,Lo,5927-6043MHz</t>
  </si>
  <si>
    <t>C060082R097A</t>
  </si>
  <si>
    <t>PTP 820 RFU-C,6LGHz,TR260A,Ch3W4,Hi,6307-6423MHz</t>
  </si>
  <si>
    <t>C060082R098A</t>
  </si>
  <si>
    <t>PTP 820 RFU-C,6LGHz,TR260A,Ch3W4,Lo,6047-6163MHz</t>
  </si>
  <si>
    <t>C060082R099A</t>
  </si>
  <si>
    <t>PTP 820 RFU-C,6LGHz,TR266A,Ch1W4,Hi,6191.5-6306.5MHz</t>
  </si>
  <si>
    <t>C060082R100A</t>
  </si>
  <si>
    <t>PTP 820 RFU-C,6LGHz,TR266A,Ch1W4,Lo,5925.5-6040.5MHz</t>
  </si>
  <si>
    <t>C060082R101A</t>
  </si>
  <si>
    <t>PTP 820 RFU-C,6LGHz,TR266A,Ch5W8,Hi,6303.5-6418.5MHz</t>
  </si>
  <si>
    <t>C060082R102A</t>
  </si>
  <si>
    <t>PTP 820 RFU-C,6LGHz,TR266A,Ch5W8,Lo,6037.5-6152.5MHz</t>
  </si>
  <si>
    <t>C060082R103A</t>
  </si>
  <si>
    <t>PTP 820 RFU-C,6LGHz,TR300A,Ch2W3,Hi,6272-6393MHz</t>
  </si>
  <si>
    <t>C060082R104A</t>
  </si>
  <si>
    <t>PTP 820 RFU-C,6LGHz,TR300A,Ch2W3,Lo,5972-6093MHz</t>
  </si>
  <si>
    <t>C060082R105A</t>
  </si>
  <si>
    <t>PTP 820 RFU-C,6HGHz,TR160A,Ch1W6,Hi,6707.5-6772.5MHz</t>
  </si>
  <si>
    <t>C060082R106A</t>
  </si>
  <si>
    <t>PTP 820 RFU-C,6HGHz,TR160A,Ch1W6,Lo,6537.5-6612.5MHz</t>
  </si>
  <si>
    <t>C060082R107A</t>
  </si>
  <si>
    <t>PTP 820 RFU-C,6HGHz,TR160A,Ch7W12,Hi,6767.5-6832.5MHz</t>
  </si>
  <si>
    <t>C060082R108A</t>
  </si>
  <si>
    <t>PTP 820 RFU-C,6HGHz,TR160A,Ch7W12,Lo,6607.5-6672.5MHz</t>
  </si>
  <si>
    <t>C060082R109A</t>
  </si>
  <si>
    <t>PTP 820 RFU-C,6HGHz,TR160A,Ch13W16,Hi,6827.5-6872.5MHz</t>
  </si>
  <si>
    <t>C060082R110A</t>
  </si>
  <si>
    <t>PTP 820 RFU-C,6HGHz,TR160A,Ch13W16,Lo,6667.5-6712.5MHz</t>
  </si>
  <si>
    <t>C060082R111A</t>
  </si>
  <si>
    <t>PTP 820 RFU-C,6HGHz,TR340A,Ch1W4,Hi,6781-6939MHz</t>
  </si>
  <si>
    <t>C060082R112A</t>
  </si>
  <si>
    <t>PTP 820 RFU-C,6HGHz,TR340A,Ch1W4,Lo,6441-6599MHz</t>
  </si>
  <si>
    <t>C060082R113A</t>
  </si>
  <si>
    <t>PTP 820 RFU-C,6HGHz,TR340A,Ch5W8,Hi,6941-7099MHz</t>
  </si>
  <si>
    <t>C060082R114A</t>
  </si>
  <si>
    <t>PTP 820 RFU-C,6HGHz,TR340A,Ch5W8,Lo,6601-6759MHz</t>
  </si>
  <si>
    <t>C060082R115A</t>
  </si>
  <si>
    <t>PTP 820 RFU-C,6HGHz,TR340B,Ch1W4,Hi,6761-6919MHz</t>
  </si>
  <si>
    <t>C060082R116A</t>
  </si>
  <si>
    <t>PTP 820 RFU-C,6HGHz,TR340B,Ch1W4,Lo,6421-6579MHz</t>
  </si>
  <si>
    <t>C060082R117A</t>
  </si>
  <si>
    <t>PTP 820 RFU-C,6HGHz,TR340B,Ch5W8,Hi,6921-7079MHz</t>
  </si>
  <si>
    <t>C060082R118A</t>
  </si>
  <si>
    <t>PTP 820 RFU-C,6HGHz,TR340B,Ch5W8,Lo,6581-6739MHz</t>
  </si>
  <si>
    <t>C060082R119A</t>
  </si>
  <si>
    <t>PTP 820 RFU-C,6HGHz,TR340C,Ch1W2,Hi,7032.5-7091.5MHz</t>
  </si>
  <si>
    <t>C060082R120A</t>
  </si>
  <si>
    <t>PTP 820 RFU-C,6HGHz,TR340C,Ch1W2,Lo,6692.5-6751.5MHz</t>
  </si>
  <si>
    <t>C060082R121A</t>
  </si>
  <si>
    <t>PTP 820 RFU-C,6HGHz,TR340D,Ch6W10,Hi,6935-7085MHz</t>
  </si>
  <si>
    <t>C060082R122A</t>
  </si>
  <si>
    <t>PTP 820 RFU-C,6HGHz,TR340D,Ch6W10,Lo,6595-6745MHz</t>
  </si>
  <si>
    <t>C060082R123A</t>
  </si>
  <si>
    <t>PTP 820 RFU-C,6HGHz,TR340D,Ch7W11,Hi,6965-7115MHz</t>
  </si>
  <si>
    <t>C060082R124A</t>
  </si>
  <si>
    <t>PTP 820 RFU-C,6HGHz,TR340D,Ch7W11,Lo,6625-6775MHz</t>
  </si>
  <si>
    <t>C060082R125A</t>
  </si>
  <si>
    <t>PTP 820 RFU-C,6HGHz,TR500A,Ch1W4,Hi,6920-7080MHz</t>
  </si>
  <si>
    <t>C060082R126A</t>
  </si>
  <si>
    <t>PTP 820 RFU-C,6HGHz,TR500A,Ch1W4,Lo,6420-6580MHz</t>
  </si>
  <si>
    <t>C060082R239A</t>
  </si>
  <si>
    <t>PTP 820 RFU-D-HP, Dual TX, 6 GHz, Split, Basic Radio</t>
  </si>
  <si>
    <t>C060082R240A</t>
  </si>
  <si>
    <t>PTP 820 RFU-D, Dual TX, 6 GHz, Split, Basic Radio</t>
  </si>
  <si>
    <t>C070082B001A</t>
  </si>
  <si>
    <t>PTP 820S Radio 7GHz,TR154A,Ch1W2,Hi,7580.5-7639.5MHz</t>
  </si>
  <si>
    <t>C070082B002A</t>
  </si>
  <si>
    <t>PTP 820S Radio 7GHz,TR154A,Ch1W2,Lo,7426.5-7485.5MHz</t>
  </si>
  <si>
    <t>C070082B003A</t>
  </si>
  <si>
    <t>PTP 820S Radio 7GHz,TR154A,Ch2W3,Hi,7608.5-7667.5MHz</t>
  </si>
  <si>
    <t>C070082B004A</t>
  </si>
  <si>
    <t>PTP 820S Radio 7GHz,TR154A,Ch2W3,Lo,7454.5-7513.5MHz</t>
  </si>
  <si>
    <t>C070082B005A</t>
  </si>
  <si>
    <t>PTP 820S Radio 7GHz,TR154A,Ch3W4,Hi,7636.5-7695.5MHz</t>
  </si>
  <si>
    <t>C070082B006A</t>
  </si>
  <si>
    <t>PTP 820S Radio 7GHz,TR154A,Ch3W4,Lo,7482.5-7541.5MHz</t>
  </si>
  <si>
    <t>C070082B007A</t>
  </si>
  <si>
    <t>PTP 820S Radio 7GHz,TR154A,Ch4W5,Hi,7664.5-7723.5MHz</t>
  </si>
  <si>
    <t>C070082B008A</t>
  </si>
  <si>
    <t>PTP 820S Radio 7GHz,TR154A,Ch4W5,Lo,7510.5-7569.5MHz</t>
  </si>
  <si>
    <t>C070082B009A</t>
  </si>
  <si>
    <t>PTP 820S Radio 7GHz,TR154C,Ch1W2,Hi,7280.5-7339.5MHz</t>
  </si>
  <si>
    <t>C070082B010A</t>
  </si>
  <si>
    <t>PTP 820S Radio 7GHz,TR154C,Ch1W2,Lo,7126.5-7185.5MHz</t>
  </si>
  <si>
    <t>C070082B011A</t>
  </si>
  <si>
    <t>PTP 820S Radio 7GHz,TR154C,Ch2W3,Hi,7308.5-7367.5MHz</t>
  </si>
  <si>
    <t>C070082B012A</t>
  </si>
  <si>
    <t>PTP 820S Radio 7GHz,TR154C,Ch2W3,Lo,7154.5-7213.5MHz</t>
  </si>
  <si>
    <t>C070082B013A</t>
  </si>
  <si>
    <t>PTP 820S Radio 7GHz,TR154C,Ch3W4,Hi,7336.5-7395.5MHz</t>
  </si>
  <si>
    <t>C070082B014A</t>
  </si>
  <si>
    <t>PTP 820S Radio 7GHz,TR154C,Ch3W4,Lo,7182.5-7241.5MHz</t>
  </si>
  <si>
    <t>C070082B015A</t>
  </si>
  <si>
    <t>PTP 820S Radio 7GHz,TR154C,Ch4W5,Hi,7364.5-7423.5MHz</t>
  </si>
  <si>
    <t>C070082B016A</t>
  </si>
  <si>
    <t>PTP 820S Radio 7GHz,TR154C,Ch4W5,Lo,7210.5-7269.5MHz</t>
  </si>
  <si>
    <t>C070082B017A</t>
  </si>
  <si>
    <t>PTP 820S Radio 7GHz,TR161A,Ch1W2,Hi,7284-7343MHz</t>
  </si>
  <si>
    <t>C070082B018A</t>
  </si>
  <si>
    <t>PTP 820S Radio 7GHz,TR161A,Ch1W2,Lo,7123-7182MHz</t>
  </si>
  <si>
    <t>C070082B019A</t>
  </si>
  <si>
    <t>PTP 820S Radio 7GHz,TR161A,Ch2W3,Hi,7312-7371MHz</t>
  </si>
  <si>
    <t>C070082B020A</t>
  </si>
  <si>
    <t>PTP 820S Radio 7GHz,TR161A,Ch2W3,Lo,7151-7210MHz</t>
  </si>
  <si>
    <t>C070082B021A</t>
  </si>
  <si>
    <t>PTP 820S Radio 7GHz,TR161A,Ch3W4,Hi,7340-7399MHz</t>
  </si>
  <si>
    <t>C070082B022A</t>
  </si>
  <si>
    <t>PTP 820S Radio 7GHz,TR161A,Ch3W4,Lo,7179-7238MHz</t>
  </si>
  <si>
    <t>C070082B023A</t>
  </si>
  <si>
    <t>PTP 820S Radio 7GHz,TR161A,Ch4W5,Hi,7368-7427MHz</t>
  </si>
  <si>
    <t>C070082B024A</t>
  </si>
  <si>
    <t>PTP 820S Radio 7GHz,TR161A,Ch4W5,Lo,7207-7266MHz</t>
  </si>
  <si>
    <t>C070082B025A</t>
  </si>
  <si>
    <t>PTP 820S Radio 7GHz,TR161J,Ch1W2,Hi,7573.5-7632.5MHz</t>
  </si>
  <si>
    <t>C070082B026A</t>
  </si>
  <si>
    <t>PTP 820S Radio 7GHz,TR161J,Ch1W2,Lo,7412.5-7471.5MHz</t>
  </si>
  <si>
    <t>C070082B027A</t>
  </si>
  <si>
    <t>PTP 820S Radio 7GHz,TR161J,Ch2W3,Hi,7601.5-7660.5MHz</t>
  </si>
  <si>
    <t>C070082B028A</t>
  </si>
  <si>
    <t>PTP 820S Radio 7GHz,TR161J,Ch2W3,Lo,7440.5-7499.5MHz</t>
  </si>
  <si>
    <t>C070082B029A</t>
  </si>
  <si>
    <t>PTP 820S Radio 7GHz,TR161J,Ch4W5,Hi,7657.5-7716.5MHz</t>
  </si>
  <si>
    <t>C070082B030A</t>
  </si>
  <si>
    <t>PTP 820S Radio 7GHz,TR161J,Ch4W5,Lo,7496.5-7555.5MHz</t>
  </si>
  <si>
    <t>C070082B031A</t>
  </si>
  <si>
    <t>PTP 820S Radio 7GHz,TR168B,Ch1W2,Hi,7609.5-7668.5MHz</t>
  </si>
  <si>
    <t>C070082B032A</t>
  </si>
  <si>
    <t>PTP 820S Radio 7GHz,TR168B,Ch1W2,Lo,7441.5-7500.5MHz</t>
  </si>
  <si>
    <t>C070082B033A</t>
  </si>
  <si>
    <t>PTP 820S Radio 7GHz,TR168B,Ch2W3,Hi,7637.5-7696.5MHz</t>
  </si>
  <si>
    <t>C070082B034A</t>
  </si>
  <si>
    <t>PTP 820S Radio 7GHz,TR168B,Ch2W3,Lo,7469.5-7528.5MHz</t>
  </si>
  <si>
    <t>C070082B035A</t>
  </si>
  <si>
    <t>PTP 820S Radio 7GHz,TR168B,Ch4W5,Hi,7693.5-7752.5MHz</t>
  </si>
  <si>
    <t>C070082B036A</t>
  </si>
  <si>
    <t>PTP 820S Radio 7GHz,TR168B,Ch4W5,Lo,7525.5-7584.5MHz</t>
  </si>
  <si>
    <t>C070082B037A</t>
  </si>
  <si>
    <t>PTP 820S Radio 7GHz,TR196A,Ch1W3,Hi,7301.5-7388.5MHz</t>
  </si>
  <si>
    <t>C070082B038A</t>
  </si>
  <si>
    <t>PTP 820S Radio 7GHz,TR196A,Ch1W3,Lo,7105.5-7192.5MHz</t>
  </si>
  <si>
    <t>C070082B039A</t>
  </si>
  <si>
    <t>PTP 820S Radio 7GHz,TR196A,Ch3W5,Hi,7357.5-7444.5MHz</t>
  </si>
  <si>
    <t>C070082B040A</t>
  </si>
  <si>
    <t>PTP 820S Radio 7GHz,TR196A,Ch3W5,Lo,7161.5-7248.5MHz</t>
  </si>
  <si>
    <t>C070082B041A</t>
  </si>
  <si>
    <t>PTP 820S Radio 7GHz,TR245A,Ch1W4,Hi,7671.5-7786.5MHz</t>
  </si>
  <si>
    <t>C070082B042A</t>
  </si>
  <si>
    <t>PTP 820S Radio 7GHz,TR245A,Ch1W4,Lo,7426.5-7541.5MHz</t>
  </si>
  <si>
    <t>C070082B045A</t>
  </si>
  <si>
    <t>PTP 820C Radio 7GHz,TR154A,Ch1W2,Hi,7580.5-7639.5MHz</t>
  </si>
  <si>
    <t>C070082B046A</t>
  </si>
  <si>
    <t>PTP 820C Radio 7GHz,TR154A,Ch1W2,Lo,7426.5-7485.5MHz</t>
  </si>
  <si>
    <t>C070082B047A</t>
  </si>
  <si>
    <t>PTP 820C Radio 7GHz,TR154A,Ch2W3,Hi,7608.5-7667.5MHz</t>
  </si>
  <si>
    <t>C070082B048A</t>
  </si>
  <si>
    <t>PTP 820C Radio 7GHz,TR154A,Ch2W3,Lo,7454.5-7513.5MHz</t>
  </si>
  <si>
    <t>C070082B049A</t>
  </si>
  <si>
    <t>PTP 820C Radio 7GHz,TR154A,Ch3W4,Hi,7636.5-7695.5MHz</t>
  </si>
  <si>
    <t>C070082B050A</t>
  </si>
  <si>
    <t>PTP 820C Radio 7GHz,TR154A,Ch3W4,Lo,7482.5-7541.5MHz</t>
  </si>
  <si>
    <t>C070082B053A</t>
  </si>
  <si>
    <t>PTP 820C Radio 7GHz,TR154C,Ch1W2,Hi,7280.5-7339.5MHz</t>
  </si>
  <si>
    <t>C070082B054A</t>
  </si>
  <si>
    <t>PTP 820C Radio 7GHz,TR154C,Ch1W2,Lo,7126.5-7185.5MHz</t>
  </si>
  <si>
    <t>C070082B055A</t>
  </si>
  <si>
    <t>PTP 820C Radio 7GHz,TR154C,Ch2W3,Hi,7308.5-7367.5MHz</t>
  </si>
  <si>
    <t>C070082B056A</t>
  </si>
  <si>
    <t>PTP 820C Radio 7GHz,TR154C,Ch2W3,Lo,7154.5-7213.5MHz</t>
  </si>
  <si>
    <t>C070082B057A</t>
  </si>
  <si>
    <t>PTP 820C Radio 7GHz,TR154C,Ch3W4,Hi,7336.5-7395.5MHz</t>
  </si>
  <si>
    <t>C070082B058A</t>
  </si>
  <si>
    <t>PTP 820C Radio 7GHz,TR154C,Ch3W4,Lo,7182.5-7241.5MHz</t>
  </si>
  <si>
    <t>C070082B059A</t>
  </si>
  <si>
    <t>PTP 820C Radio 7GHz,TR154C,Ch4W5,Hi,7364.5-7423.5MHz</t>
  </si>
  <si>
    <t>C070082B060A</t>
  </si>
  <si>
    <t>PTP 820C Radio 7GHz,TR154C,Ch4W5,Lo,7210.5-7269.5MHz</t>
  </si>
  <si>
    <t>C070082B061A</t>
  </si>
  <si>
    <t>PTP 820C Radio 7GHz,TR161A,Ch1W2,Hi,7284-7343MHz</t>
  </si>
  <si>
    <t>C070082B062A</t>
  </si>
  <si>
    <t>PTP 820C Radio 7GHz,TR161A,Ch1W2,Lo,7123-7182MHz</t>
  </si>
  <si>
    <t>C070082B063A</t>
  </si>
  <si>
    <t>PTP 820C Radio 7GHz,TR161A,Ch2W3,Hi,7312-7371MHz</t>
  </si>
  <si>
    <t>C070082B064A</t>
  </si>
  <si>
    <t>PTP 820C Radio 7GHz,TR161A,Ch2W3,Lo,7151-7210MHz</t>
  </si>
  <si>
    <t>C070082B065A</t>
  </si>
  <si>
    <t>PTP 820C Radio 7GHz,TR161A,Ch3W4,Hi,7340-7399MHz</t>
  </si>
  <si>
    <t>C070082B066A</t>
  </si>
  <si>
    <t>PTP 820C Radio 7GHz,TR161A,Ch3W4,Lo,7179-7238MHz</t>
  </si>
  <si>
    <t>C070082B067A</t>
  </si>
  <si>
    <t>PTP 820C Radio 7GHz,TR161A,Ch4W5,Hi,7368-7427MHz</t>
  </si>
  <si>
    <t>C070082B068A</t>
  </si>
  <si>
    <t>PTP 820C Radio 7GHz,TR161A,Ch4W5,Lo,7207-7266MHz</t>
  </si>
  <si>
    <t>C070082B069A</t>
  </si>
  <si>
    <t>PTP 820C Radio 7GHz,TR161J,Ch1W2,Hi,7573.5-7632.5MHz</t>
  </si>
  <si>
    <t>C070082B070A</t>
  </si>
  <si>
    <t>PTP 820C Radio 7GHz,TR161J,Ch1W2,Lo,7412.5-7471.5MHz</t>
  </si>
  <si>
    <t>C070082B071A</t>
  </si>
  <si>
    <t>PTP 820C Radio 7GHz,TR161J,Ch2W3,Hi,7601.5-7660.5MHz</t>
  </si>
  <si>
    <t>C070082B072A</t>
  </si>
  <si>
    <t>PTP 820C Radio 7GHz,TR161J,Ch2W3,Lo,7440.5-7499.5MHz</t>
  </si>
  <si>
    <t>C070082B073A</t>
  </si>
  <si>
    <t>PTP 820C Radio 7GHz,TR161J,Ch4W5,Hi,7657.5-7716.5MHz</t>
  </si>
  <si>
    <t>C070082B074A</t>
  </si>
  <si>
    <t>PTP 820C Radio 7GHz,TR161J,Ch4W5,Lo,7496.5-7555.5MHz</t>
  </si>
  <si>
    <t>C070082B075A</t>
  </si>
  <si>
    <t>PTP 820C Radio 7GHz,TR168B,Ch1W2,Hi,7609.5-7668.5MHz</t>
  </si>
  <si>
    <t>C070082B076A</t>
  </si>
  <si>
    <t>PTP 820C Radio 7GHz,TR168B,Ch1W2,Lo,7441.5-7500.5MHz</t>
  </si>
  <si>
    <t>C070082B077A</t>
  </si>
  <si>
    <t>PTP 820C Radio 7GHz,TR168B,Ch2W3,Hi,7637.5-7696.5MHz</t>
  </si>
  <si>
    <t>C070082B078A</t>
  </si>
  <si>
    <t>PTP 820C Radio 7GHz,TR168B,Ch2W3,Lo,7469.5-7528.5MHz</t>
  </si>
  <si>
    <t>C070082B079A</t>
  </si>
  <si>
    <t>PTP 820C Radio 7GHz,TR168B,Ch4W5,Hi,7693.5-7752.5MHz</t>
  </si>
  <si>
    <t>C070082B080A</t>
  </si>
  <si>
    <t>PTP 820C Radio 7GHz,TR168B,Ch4W5,Lo,7525.5-7584.5MHz</t>
  </si>
  <si>
    <t>C070082B081A</t>
  </si>
  <si>
    <t>PTP 820C Radio 7GHz,TR196A,Ch1W3,Hi,7301.5-7388.5MHz</t>
  </si>
  <si>
    <t>C070082B082A</t>
  </si>
  <si>
    <t>PTP 820C Radio 7GHz,TR196A,Ch1W3,Lo,7105.5-7192.5MHz</t>
  </si>
  <si>
    <t>C070082B083A</t>
  </si>
  <si>
    <t>PTP 820C Radio 7GHz,TR196A,Ch3W5,Hi,7357.5-7444.5MHz</t>
  </si>
  <si>
    <t>C070082B084A</t>
  </si>
  <si>
    <t>PTP 820C Radio 7GHz,TR196A,Ch3W5,Lo,7161.5-7248.5MHz</t>
  </si>
  <si>
    <t>C070082B085A</t>
  </si>
  <si>
    <t>PTP 820C Radio 7GHz,TR245A,Ch1W4,Hi,7671.5-7786.5MHz</t>
  </si>
  <si>
    <t>C070082B086A</t>
  </si>
  <si>
    <t>PTP 820C Radio 7GHz,TR245A,Ch1W4,Lo,7426.5-7541.5MHz</t>
  </si>
  <si>
    <t>C070082B087A</t>
  </si>
  <si>
    <t>PTP 820C Radio 7GHz,TR245A,Ch5W8,Hi,7783.5-7898.5MHz</t>
  </si>
  <si>
    <t>C070082B088A</t>
  </si>
  <si>
    <t>PTP 820C Radio 7GHz,TR245A,Ch5W8,Lo,7538.5-7653.5MHz</t>
  </si>
  <si>
    <t>C070082B099A</t>
  </si>
  <si>
    <t>PTP 820S Radio 7GHz,TR161B,Ch2W3,Hi,7437-7496MHz</t>
  </si>
  <si>
    <t>C070082B100A</t>
  </si>
  <si>
    <t>PTP 820S Radio 7GHz,TR161B,Ch2W3,Lo,7276-7335MHz</t>
  </si>
  <si>
    <t>C070082B101A</t>
  </si>
  <si>
    <t>PTP 820S Radio 7GHz,TR161B,Ch3W4,Hi,7465-7524MHz</t>
  </si>
  <si>
    <t>C070082B102A</t>
  </si>
  <si>
    <t>PTP 820S Radio 7GHz,TR161B,Ch3W4,Lo,7304-7363MHz</t>
  </si>
  <si>
    <t>C070082B103A</t>
  </si>
  <si>
    <t>PTP 820S Radio 7GHz,TR161B,Ch4W5,Hi,7493-7552MHz</t>
  </si>
  <si>
    <t>C070082B104A</t>
  </si>
  <si>
    <t>PTP 820S Radio 7GHz,TR161B,Ch4W5,Lo,7332-7391MHz</t>
  </si>
  <si>
    <t>C070082B316A</t>
  </si>
  <si>
    <t>PTP 820C Radio 7GHz,TR161B,Ch1W2,Hi,7409-7468MHz</t>
  </si>
  <si>
    <t>C070082B317A</t>
  </si>
  <si>
    <t>PTP 820C Radio 7GHz,TR161B,Ch1W2,Lo,7248-7307MHz</t>
  </si>
  <si>
    <t>C070082B322A</t>
  </si>
  <si>
    <t>PTP 820S Radio 7GHz,TR161B,Ch1W2,Hi,7408-74683MHz</t>
  </si>
  <si>
    <t>C070082B323A</t>
  </si>
  <si>
    <t>PTP 820S Radio 7GHz,TR161B,Ch1W2,Lo,7247-7307MHz</t>
  </si>
  <si>
    <t>C070082B324A</t>
  </si>
  <si>
    <t>PTP 820C-HP, Basic Radio,7 GHz</t>
  </si>
  <si>
    <t>C070082B325A</t>
  </si>
  <si>
    <t>PTP 820C-HP, Basic Radio, 7 GHz, ESS</t>
  </si>
  <si>
    <t>C070082R089A</t>
  </si>
  <si>
    <t>PTP 820 RFU-C,7GHz,TR151A,Ch1W2,Hi,7274-7323MHz</t>
  </si>
  <si>
    <t>C070082R090A</t>
  </si>
  <si>
    <t>PTP 820 RFU-C,7GHz,TR151A,Ch1W2,Lo,7122-7171MHz</t>
  </si>
  <si>
    <t>C070082R091A</t>
  </si>
  <si>
    <t>PTP 820 RFU-C,7GHz,TR151A,Ch3W4,Hi,7320-7370MHz</t>
  </si>
  <si>
    <t>C070082R092A</t>
  </si>
  <si>
    <t>PTP 820 RFU-C,7GHz,TR151A,Ch3W4,Lo,7169-7218MHz</t>
  </si>
  <si>
    <t>C070082R093A</t>
  </si>
  <si>
    <t>PTP 820 RFU-C,7GHz,TR151A,Ch5W6,Hi,7367-7416MHz</t>
  </si>
  <si>
    <t>C070082R094A</t>
  </si>
  <si>
    <t>PTP 820 RFU-C,7GHz,TR151A,Ch5W6,Lo,7215-7265MHz</t>
  </si>
  <si>
    <t>C070082R103A</t>
  </si>
  <si>
    <t>PTP 820 RFU-C,7GHz,TR154B,Ch1W2,Hi,7594.5-7653.5MHz</t>
  </si>
  <si>
    <t>C070082R104A</t>
  </si>
  <si>
    <t>PTP 820 RFU-C,7GHz,TR154B,Ch1W2,Lo,7440.5-7499.5MHz</t>
  </si>
  <si>
    <t>C070082R105A</t>
  </si>
  <si>
    <t>PTP 820 RFU-C,7GHz,TR154B,Ch2W3,Hi,7622.5-7681.5MHz</t>
  </si>
  <si>
    <t>C070082R106A</t>
  </si>
  <si>
    <t>PTP 820 RFU-C,7GHz,TR154B,Ch2W3,Lo,7468.5-7527.5MHz</t>
  </si>
  <si>
    <t>C070082R107A</t>
  </si>
  <si>
    <t>PTP 820 RFU-C,7GHz,TR154B,Ch4W5,Hi,7678.5-7737.5MHz</t>
  </si>
  <si>
    <t>C070082R108A</t>
  </si>
  <si>
    <t>PTP 820 RFU-C,7GHz,TR154B,Ch4W5,Lo,7524.5-7583.5MHz</t>
  </si>
  <si>
    <t>C070082R109A</t>
  </si>
  <si>
    <t>PTP 820 RFU-C,7GHz,TR154C,Ch1W2,Hi,7280.5-7339.5MHz</t>
  </si>
  <si>
    <t>C070082R110A</t>
  </si>
  <si>
    <t>PTP 820 RFU-C,7GHz,TR154C,Ch1W2,Lo,7126.5-7185.5MHz</t>
  </si>
  <si>
    <t>C070082R111A</t>
  </si>
  <si>
    <t>PTP 820 RFU-C,7GHz,TR154C,Ch2W3,Hi,7308.5-7367.5MHz</t>
  </si>
  <si>
    <t>C070082R112A</t>
  </si>
  <si>
    <t>PTP 820 RFU-C,7GHz,TR154C,Ch2W3,Lo,7154.5-7213.5MHz</t>
  </si>
  <si>
    <t>C070082R113A</t>
  </si>
  <si>
    <t>PTP 820 RFU-C,7GHz,TR154C,Ch3W4,Hi,7336.5-7395.5MHz</t>
  </si>
  <si>
    <t>C070082R114A</t>
  </si>
  <si>
    <t>PTP 820 RFU-C,7GHz,TR154C,Ch3W4,Lo,7182.5-7241.5MHz</t>
  </si>
  <si>
    <t>C070082R115A</t>
  </si>
  <si>
    <t>PTP 820 RFU-C,7GHz,TR154C,Ch4W5,Hi,7364.5-7423.5MHz</t>
  </si>
  <si>
    <t>C070082R116A</t>
  </si>
  <si>
    <t>PTP 820 RFU-C,7GHz,TR154C,Ch4W5,Lo,7210.5-7269.5MHz</t>
  </si>
  <si>
    <t>C070082R117A</t>
  </si>
  <si>
    <t>PTP 820 RFU-C,7GHz,TR154F,Ch1W3,Hi,7580.5-7667.5MHz</t>
  </si>
  <si>
    <t>C070082R118A</t>
  </si>
  <si>
    <t>PTP 820 RFU-C,7GHz,TR154F,Ch1W3,Lo,7426.5-7513.5MHz</t>
  </si>
  <si>
    <t>C070082R119A</t>
  </si>
  <si>
    <t>PTP 820 RFU-C,7GHz,TR154F,Ch3W5,Hi,7636.5-7723.5MHz</t>
  </si>
  <si>
    <t>C070082R120A</t>
  </si>
  <si>
    <t>PTP 820 RFU-C,7GHz,TR154F,Ch3W5,Lo,7482.5-7569.5MHz</t>
  </si>
  <si>
    <t>C070082R121A</t>
  </si>
  <si>
    <t>PTP 820 RFU-C,7GHz,TR154G,Ch1W2,Hi,7273.5-7339.5MHz</t>
  </si>
  <si>
    <t>C070082R122A</t>
  </si>
  <si>
    <t>PTP 820 RFU-C,7GHz,TR154G,Ch1W2,Lo,7119.5-7185.5MHz</t>
  </si>
  <si>
    <t>C070082R123A</t>
  </si>
  <si>
    <t>PTP 820 RFU-C,7GHz,TR154G,Ch3W4,Hi,7343.5-7409.5MHz</t>
  </si>
  <si>
    <t>C070082R124A</t>
  </si>
  <si>
    <t>PTP 820 RFU-C,7GHz,TR154G,Ch3W4,Lo,7189.5-7255.5MHz</t>
  </si>
  <si>
    <t>C070082R125A</t>
  </si>
  <si>
    <t>PTP 820 RFU-C,7GHz,TR154H,Ch1WD,Hi,7405-7435MHz</t>
  </si>
  <si>
    <t>C070082R126A</t>
  </si>
  <si>
    <t>PTP 820 RFU-C,7GHz,TR154H,Ch1WD,Lo,7251-7281MHz</t>
  </si>
  <si>
    <t>C070082R127A</t>
  </si>
  <si>
    <t>PTP 820 RFU-C,7GHz,TR161A,Ch1W2,Hi,7284-7343MHz</t>
  </si>
  <si>
    <t>C070082R128A</t>
  </si>
  <si>
    <t>PTP 820 RFU-C,7GHz,TR161A,Ch1W2,Lo,7123-7182MHz</t>
  </si>
  <si>
    <t>C070082R129A</t>
  </si>
  <si>
    <t>PTP 820 RFU-C,7GHz,TR161A,Ch2W3,Hi,7312-7371MHz</t>
  </si>
  <si>
    <t>C070082R130A</t>
  </si>
  <si>
    <t>PTP 820 RFU-C,7GHz,TR161A,Ch2W3,Lo,7151-7210MHz</t>
  </si>
  <si>
    <t>C070082R131A</t>
  </si>
  <si>
    <t>PTP 820 RFU-C,7GHz,TR161A,Ch3W4,Hi,7340-7399MHz</t>
  </si>
  <si>
    <t>C070082R132A</t>
  </si>
  <si>
    <t>PTP 820 RFU-C,7GHz,TR161A,Ch3W4,Lo,7179-7238MHz</t>
  </si>
  <si>
    <t>C070082R133A</t>
  </si>
  <si>
    <t>PTP 820 RFU-C,7GHz,TR161A,Ch4W5,Hi,7368-7427MHz</t>
  </si>
  <si>
    <t>C070082R134A</t>
  </si>
  <si>
    <t>PTP 820 RFU-C,7GHz,TR161A,Ch4W5,Lo,7207-7266MHz</t>
  </si>
  <si>
    <t>C070082R135A</t>
  </si>
  <si>
    <t>PTP 820 RFU-C,7GHz,TR161B,Ch1W2,Hi,7409-7468MHz</t>
  </si>
  <si>
    <t>C070082R136A</t>
  </si>
  <si>
    <t>PTP 820 RFU-C,7GHz,TR161B,Ch1W2,Lo,7248-7307MHz</t>
  </si>
  <si>
    <t>C070082R137A</t>
  </si>
  <si>
    <t>PTP 820 RFU-C,7GHz,TR161B,Ch2W3,Hi,7437-7496MHz</t>
  </si>
  <si>
    <t>C070082R138A</t>
  </si>
  <si>
    <t>PTP 820 RFU-C,7GHz,TR161B,Ch2W3,Lo,7276-7335MHz</t>
  </si>
  <si>
    <t>C070082R139A</t>
  </si>
  <si>
    <t>PTP 820 RFU-C,7GHz,TR161B,Ch3W4,Hi,7465-7524MHz</t>
  </si>
  <si>
    <t>C070082R140A</t>
  </si>
  <si>
    <t>PTP 820 RFU-C,7GHz,TR161B,Ch3W4,Lo,7304-7363MHz</t>
  </si>
  <si>
    <t>C070082R141A</t>
  </si>
  <si>
    <t>PTP 820 RFU-C,7GHz,TR161B,Ch4W5,Hi,7493-7552MHz</t>
  </si>
  <si>
    <t>C070082R142A</t>
  </si>
  <si>
    <t>PTP 820 RFU-C,7GHz,TR161B,Ch4W5,Lo,7332-7391MHz</t>
  </si>
  <si>
    <t>C070082R143A</t>
  </si>
  <si>
    <t>PTP 820 RFU-C,7GHz,TR161C,Ch1W2,Hi,7584-7643MHz</t>
  </si>
  <si>
    <t>C070082R144A</t>
  </si>
  <si>
    <t>PTP 820 RFU-C,7GHz,TR161C,Ch1W2,Lo,7423-7482MHz</t>
  </si>
  <si>
    <t>C070082R145A</t>
  </si>
  <si>
    <t>PTP 820 RFU-C,7GHz,TR161C,Ch2W3,Hi,7612-7671MHz</t>
  </si>
  <si>
    <t>C070082R146A</t>
  </si>
  <si>
    <t>PTP 820 RFU-C,7GHz,TR161C,Ch2W3,Lo,7451-7510MHz</t>
  </si>
  <si>
    <t>C070082R147A</t>
  </si>
  <si>
    <t>PTP 820 RFU-C,7GHz,TR161C,Ch3W4,Hi,7640-7699MHz</t>
  </si>
  <si>
    <t>C070082R148A</t>
  </si>
  <si>
    <t>PTP 820 RFU-C,7GHz,TR161C,Ch3W4,Lo,7479-7538MHz</t>
  </si>
  <si>
    <t>C070082R149A</t>
  </si>
  <si>
    <t>PTP 820 RFU-C,7GHz,TR161C,Ch4W5,Hi,7668-7727MHz</t>
  </si>
  <si>
    <t>C070082R150A</t>
  </si>
  <si>
    <t>PTP 820 RFU-C,7GHz,TR161C,Ch4W5,Lo,7507-7566MHz</t>
  </si>
  <si>
    <t>C070082R151A</t>
  </si>
  <si>
    <t>PTP 820 RFU-C,7GHz,TR161D,Ch1W2,Hi,7709-7768MHz</t>
  </si>
  <si>
    <t>C070082R152A</t>
  </si>
  <si>
    <t>PTP 820 RFU-C,7GHz,TR161D,Ch1W2,Lo,7548-7607MHz</t>
  </si>
  <si>
    <t>C070082R153A</t>
  </si>
  <si>
    <t>PTP 820 RFU-C,7GHz,TR161D,Ch2W3,Hi,7737-7796MHz</t>
  </si>
  <si>
    <t>C070082R154A</t>
  </si>
  <si>
    <t>PTP 820 RFU-C,7GHz,TR161D,Ch2W3,Lo,7576-7635MHz</t>
  </si>
  <si>
    <t>C070082R155A</t>
  </si>
  <si>
    <t>PTP 820 RFU-C,7GHz,TR161D,Ch3W4,Hi,7765-7824MHz</t>
  </si>
  <si>
    <t>C070082R156A</t>
  </si>
  <si>
    <t>PTP 820 RFU-C,7GHz,TR161D,Ch3W4,Lo,7604-7663MHz</t>
  </si>
  <si>
    <t>C070082R157A</t>
  </si>
  <si>
    <t>PTP 820 RFU-C,7GHz,TR161D,Ch4W5,Hi,7793-7852MHz</t>
  </si>
  <si>
    <t>C070082R158A</t>
  </si>
  <si>
    <t>PTP 820 RFU-C,7GHz,TR161D,Ch4W5,Lo,7632-7691MHz</t>
  </si>
  <si>
    <t>C070082R159A</t>
  </si>
  <si>
    <t>PTP 820 RFU-C,7GHz,TR161F,Ch1W2,Hi,7273.5-7353.5MHz</t>
  </si>
  <si>
    <t>C070082R160A</t>
  </si>
  <si>
    <t>PTP 820 RFU-C,7GHz,TR161F,Ch1W2,Lo,7112.5-7192.5MHz</t>
  </si>
  <si>
    <t>C070082R161A</t>
  </si>
  <si>
    <t>PTP 820 RFU-C,7GHz,TR161F,Ch2W3,Hi,7322.5-7402.5MHz</t>
  </si>
  <si>
    <t>C070082R162A</t>
  </si>
  <si>
    <t>PTP 820 RFU-C,7GHz,TR161F,Ch2W3,Lo,7161.5-7241.5MHz</t>
  </si>
  <si>
    <t>C070082R163A</t>
  </si>
  <si>
    <t>PTP 820 RFU-C,7GHz,TR161F,Ch4W5,Hi,7573.5-7653.5MHz</t>
  </si>
  <si>
    <t>C070082R164A</t>
  </si>
  <si>
    <t>PTP 820 RFU-C,7GHz,TR161F,Ch4W5,Lo,7412.5-7492.5MHz</t>
  </si>
  <si>
    <t>C070082R165A</t>
  </si>
  <si>
    <t>PTP 820 RFU-C,7GHz,TR161F,Ch5W6,Hi,7622.5-7702.5MHz</t>
  </si>
  <si>
    <t>C070082R166A</t>
  </si>
  <si>
    <t>PTP 820 RFU-C,7GHz,TR161F,Ch5W6,Lo,7461.5-7541.5MHz</t>
  </si>
  <si>
    <t>C070082R167A</t>
  </si>
  <si>
    <t>PTP 820 RFU-C,7GHz,TR161I,Ch1W2,Hi,7580.5-7639.5MHz</t>
  </si>
  <si>
    <t>C070082R168A</t>
  </si>
  <si>
    <t>PTP 820 RFU-C,7GHz,TR161I,Ch1W2,Lo,7419.5-7478.5MHz</t>
  </si>
  <si>
    <t>C070082R169A</t>
  </si>
  <si>
    <t>PTP 820 RFU-C,7GHz,TR161I,Ch2W3,Hi,7608.5-7667.5MHz</t>
  </si>
  <si>
    <t>C070082R170A</t>
  </si>
  <si>
    <t>PTP 820 RFU-C,7GHz,TR161I,Ch2W3,Lo,7447.5-7506.5MHz</t>
  </si>
  <si>
    <t>C070082R171A</t>
  </si>
  <si>
    <t>PTP 820 RFU-C,7GHz,TR161I,Ch4W5,Hi,7664.5-7723.5MHz</t>
  </si>
  <si>
    <t>C070082R172A</t>
  </si>
  <si>
    <t>PTP 820 RFU-C,7GHz,TR161I,Ch4W5,Lo,7503.5-7562.5MHz</t>
  </si>
  <si>
    <t>C070082R173A</t>
  </si>
  <si>
    <t>PTP 820 RFU-C,7GHz,TR161J,Ch1W2,Hi,7573.5-7632.5MHz</t>
  </si>
  <si>
    <t>C070082R174A</t>
  </si>
  <si>
    <t>PTP 820 RFU-C,7GHz,TR161J,Ch1W2,Lo,7412.5-7471.5MHz</t>
  </si>
  <si>
    <t>C070082R175A</t>
  </si>
  <si>
    <t>PTP 820 RFU-C,7GHz,TR161J,Ch2W3,Hi,7601.5-7660.5MHz</t>
  </si>
  <si>
    <t>C070082R176A</t>
  </si>
  <si>
    <t>PTP 820 RFU-C,7GHz,TR161J,Ch2W3,Lo,7440.5-7499.5MHz</t>
  </si>
  <si>
    <t>C070082R177A</t>
  </si>
  <si>
    <t>PTP 820 RFU-C,7GHz,TR161J,Ch4W5,Hi,7657.5-7716.5MHz</t>
  </si>
  <si>
    <t>C070082R178A</t>
  </si>
  <si>
    <t>PTP 820 RFU-C,7GHz,TR161J,Ch4W5,Lo,7496.5-7555.5MHz</t>
  </si>
  <si>
    <t>C070082R179A</t>
  </si>
  <si>
    <t>PTP 820 RFU-C,7GHz,TR161K,Ch1W2,Hi,7643.5-7702.5MHz</t>
  </si>
  <si>
    <t>C070082R180A</t>
  </si>
  <si>
    <t>PTP 820 RFU-C,7GHz,TR161K,Ch1W2,Lo,7482.5-7541.5MHz</t>
  </si>
  <si>
    <t>C070082R181A</t>
  </si>
  <si>
    <t>PTP 820 RFU-C,7GHz,TR161K,Ch2W3,Hi,7671.5-7730.5MHz</t>
  </si>
  <si>
    <t>C070082R182A</t>
  </si>
  <si>
    <t>PTP 820 RFU-C,7GHz,TR161K,Ch2W3,Lo,7510.5-7569.5MHz</t>
  </si>
  <si>
    <t>C070082R183A</t>
  </si>
  <si>
    <t>PTP 820 RFU-C,7GHz,TR161M,Ch1W2,Hi,7587.5-7646.5MHz</t>
  </si>
  <si>
    <t>C070082R184A</t>
  </si>
  <si>
    <t>PTP 820 RFU-C,7GHz,TR161M,Ch1W2,Lo,7426.5-7485.5MHz</t>
  </si>
  <si>
    <t>C070082R185A</t>
  </si>
  <si>
    <t>PTP 820 RFU-C,7GHz,TR161M,Ch2W3,Hi,7615.5-7674.5MHz</t>
  </si>
  <si>
    <t>C070082R186A</t>
  </si>
  <si>
    <t>PTP 820 RFU-C,7GHz,TR161M,Ch2W3,Lo,7454.5-7513.5MHz</t>
  </si>
  <si>
    <t>C070082R187A</t>
  </si>
  <si>
    <t>PTP 820 RFU-C,7GHz,TR161O,Ch1W2,Hi,7582-7638MHz</t>
  </si>
  <si>
    <t>C070082R188A</t>
  </si>
  <si>
    <t>PTP 820 RFU-C,7GHz,TR161O,Ch1W2,Lo,7421-7477MHz</t>
  </si>
  <si>
    <t>C070082R189A</t>
  </si>
  <si>
    <t>PTP 820 RFU-C,7GHz,TR161O,Ch2W3,Hi,7666-7722MHz</t>
  </si>
  <si>
    <t>C070082R190A</t>
  </si>
  <si>
    <t>PTP 820 RFU-C,7GHz,TR161O,Ch2W3,Lo,7505-7561MHz</t>
  </si>
  <si>
    <t>C070082R191A</t>
  </si>
  <si>
    <t>PTP 820 RFU-C,7GHz,TR161P,Ch1W2,Hi,7280.5-7339.5MHz</t>
  </si>
  <si>
    <t>C070082R192A</t>
  </si>
  <si>
    <t>PTP 820 RFU-C,7GHz,TR161P,Ch1W2,Lo,7119.5-7178.5MHz</t>
  </si>
  <si>
    <t>C070082R193A</t>
  </si>
  <si>
    <t>PTP 820 RFU-C,7GHz,TR161P,Ch2W3,Hi,7308.5-7367.5MHz</t>
  </si>
  <si>
    <t>C070082R194A</t>
  </si>
  <si>
    <t>PTP 820 RFU-C,7GHz,TR161P,Ch2W3,Lo,7147.5-7206.5MHz</t>
  </si>
  <si>
    <t>C070082R195A</t>
  </si>
  <si>
    <t>PTP 820 RFU-C,7GHz,TR161P,Ch3W4,Hi,7336.5-7395.5MHz</t>
  </si>
  <si>
    <t>C070082R196A</t>
  </si>
  <si>
    <t>PTP 820 RFU-C,7GHz,TR161P,Ch3W4,Lo,7175.5-7234.5MHz</t>
  </si>
  <si>
    <t>C070082R197A</t>
  </si>
  <si>
    <t>PTP 820 RFU-C,7GHz,TR161P,Ch4W5,Hi,7364.5-7423.5MHz</t>
  </si>
  <si>
    <t>C070082R198A</t>
  </si>
  <si>
    <t>PTP 820 RFU-C,7GHz,TR161P,Ch4W5,Lo,7203.5-7262.5MHz</t>
  </si>
  <si>
    <t>C070082R199A</t>
  </si>
  <si>
    <t>PTP 820 RFU-C,7GHz,TR161Q,Ch1W2,Hi,7596-7652MHz</t>
  </si>
  <si>
    <t>C070082R200A</t>
  </si>
  <si>
    <t>PTP 820 RFU-C,7GHz,TR161Q,Ch1W2,Lo,7435-7491MHz</t>
  </si>
  <si>
    <t>C070082R201A</t>
  </si>
  <si>
    <t>PTP 820 RFU-C,7GHz,TR161Q,Ch2W3,Hi,7624-7680MHz</t>
  </si>
  <si>
    <t>C070082R202A</t>
  </si>
  <si>
    <t>PTP 820 RFU-C,7GHz,TR161Q,Ch2W3,Lo,7463-7519MHz</t>
  </si>
  <si>
    <t>C070082R203A</t>
  </si>
  <si>
    <t>PTP 820 RFU-C,7GHz,TR161Q,Ch3W4,Hi,7652-7708MHz</t>
  </si>
  <si>
    <t>C070082R204A</t>
  </si>
  <si>
    <t>PTP 820 RFU-C,7GHz,TR161Q,Ch3W4,Lo,7491-7547MHz</t>
  </si>
  <si>
    <t>C070082R205A</t>
  </si>
  <si>
    <t>PTP 820 RFU-C,7GHz,TR161Q,Ch4W5,Hi,7680-7736MHz</t>
  </si>
  <si>
    <t>C070082R206A</t>
  </si>
  <si>
    <t>PTP 820 RFU-C,7GHz,TR161Q,Ch4W5,Lo,7519-7575MHz</t>
  </si>
  <si>
    <t>C070082R207A</t>
  </si>
  <si>
    <t>PTP 820 RFU-C,7GHz,TR161R,Ch1W2,Hi,7391-7453MHz</t>
  </si>
  <si>
    <t>C070082R208A</t>
  </si>
  <si>
    <t>PTP 820 RFU-C,7GHz,TR161R,Ch1W2,Lo,7230-7292MHz</t>
  </si>
  <si>
    <t>C070082R209A</t>
  </si>
  <si>
    <t>PTP 820 RFU-C,7GHz,TR161S,Ch1W2,Hi,7359-7415MHz</t>
  </si>
  <si>
    <t>C070082R210A</t>
  </si>
  <si>
    <t>PTP 820 RFU-C,7GHz,TR161S,Ch1W2,Lo,7198-7254MHz</t>
  </si>
  <si>
    <t>C070082R211A</t>
  </si>
  <si>
    <t>PTP 820 RFU-C,7GHz,TR161T,Ch1,Hi,7387-7449MHz</t>
  </si>
  <si>
    <t>C070082R212A</t>
  </si>
  <si>
    <t>PTP 820 RFU-C,7GHz,TR161T,Ch1,Lo,7226-7288MHz</t>
  </si>
  <si>
    <t>C070082R213A</t>
  </si>
  <si>
    <t>PTP 820 RFU-C,7GHz,TR168A,Ch1W2,Hi,7273.5-7332.5MHz</t>
  </si>
  <si>
    <t>C070082R214A</t>
  </si>
  <si>
    <t>PTP 820 RFU-C,7GHz,TR168A,Ch1W2,Lo,7105.5-7164.5MHz</t>
  </si>
  <si>
    <t>C070082R215A</t>
  </si>
  <si>
    <t>PTP 820 RFU-C,7GHz,TR168A,Ch2W3,Hi,7301.5-7360.5MHz</t>
  </si>
  <si>
    <t>C070082R216A</t>
  </si>
  <si>
    <t>PTP 820 RFU-C,7GHz,TR168A,Ch2W3,Lo,7133.5-7192.5MHz</t>
  </si>
  <si>
    <t>C070082R217A</t>
  </si>
  <si>
    <t>PTP 820 RFU-C,7GHz,TR168A,Ch4W5,Hi,7357.5-7416.5MHz</t>
  </si>
  <si>
    <t>C070082R218A</t>
  </si>
  <si>
    <t>PTP 820 RFU-C,7GHz,TR168A,Ch4W5,Lo,7189.5-7248.5MHz</t>
  </si>
  <si>
    <t>C070082R219A</t>
  </si>
  <si>
    <t>PTP 820 RFU-C,7GHz,TR168B,Ch1W2,Hi,7609.5-7668.5MHz</t>
  </si>
  <si>
    <t>C070082R220A</t>
  </si>
  <si>
    <t>PTP 820 RFU-C,7GHz,TR168B,Ch1W2,Lo,7441.5-7500.5MHz</t>
  </si>
  <si>
    <t>C070082R221A</t>
  </si>
  <si>
    <t>PTP 820 RFU-C,7GHz,TR168B,Ch2W3,Hi,7637.5-7696.5MHz</t>
  </si>
  <si>
    <t>C070082R222A</t>
  </si>
  <si>
    <t>PTP 820 RFU-C,7GHz,TR168B,Ch2W3,Lo,7469.5-7528.5MHz</t>
  </si>
  <si>
    <t>C070082R223A</t>
  </si>
  <si>
    <t>PTP 820 RFU-C,7GHz,TR168B,Ch4W5,Hi,7693.5-7752.5MHz</t>
  </si>
  <si>
    <t>C070082R224A</t>
  </si>
  <si>
    <t>PTP 820 RFU-C,7GHz,TR168B,Ch4W5,Lo,7525.5-7584.5MHz</t>
  </si>
  <si>
    <t>C070082R225A</t>
  </si>
  <si>
    <t>PTP 820 RFU-C,7GHz,TR168C,Ch1W2,Hi,7580.5-7639.5MHz</t>
  </si>
  <si>
    <t>C070082R226A</t>
  </si>
  <si>
    <t>PTP 820 RFU-C,7GHz,TR168C,Ch1W2,Lo,7412.5-7471.5MHz</t>
  </si>
  <si>
    <t>C070082R227A</t>
  </si>
  <si>
    <t>PTP 820 RFU-C,7GHz,TR168C,Ch2W3,Hi,7608.5-7667.5MHz</t>
  </si>
  <si>
    <t>C070082R228A</t>
  </si>
  <si>
    <t>PTP 820 RFU-C,7GHz,TR168C,Ch2W3,Lo,7440.5-7499.5MHz</t>
  </si>
  <si>
    <t>C070082R229A</t>
  </si>
  <si>
    <t>PTP 820 RFU-C,7GHz,TR168C,Ch4W5,Hi,7664.5-7723.5MHz</t>
  </si>
  <si>
    <t>C070082R230A</t>
  </si>
  <si>
    <t>PTP 820 RFU-C,7GHz,TR168C,Ch4W5,Lo,7496.5-7555.5MHz</t>
  </si>
  <si>
    <t>C070082R231A</t>
  </si>
  <si>
    <t>PTP 820 RFU-C,7GHz,TR168D,Ch1W2,Hi,7280.5-7339.5MHz</t>
  </si>
  <si>
    <t>C070082R232A</t>
  </si>
  <si>
    <t>PTP 820 RFU-C,7GHz,TR168D,Ch1W2,Lo,7112.5-7171.5MHz</t>
  </si>
  <si>
    <t>C070082R233A</t>
  </si>
  <si>
    <t>PTP 820 RFU-C,7GHz,TR168D,Ch2W3,Hi,7308.5-7367.5MHz</t>
  </si>
  <si>
    <t>C070082R234A</t>
  </si>
  <si>
    <t>PTP 820 RFU-C,7GHz,TR168D,Ch2W3,Lo,7140.5-7199.5MHz</t>
  </si>
  <si>
    <t>C070082R235A</t>
  </si>
  <si>
    <t>PTP 820 RFU-C,7GHz,TR168D,Ch4W5,Hi,7364.5-7423.5MHz</t>
  </si>
  <si>
    <t>C070082R236A</t>
  </si>
  <si>
    <t>PTP 820 RFU-C,7GHz,TR168D,Ch4W5,Lo,7196.5-7255.5MHz</t>
  </si>
  <si>
    <t>C070082R237A</t>
  </si>
  <si>
    <t>PTP 820 RFU-C,7GHz,TR168E,Ch1W2,Hi,7294.5-7353.5MHz</t>
  </si>
  <si>
    <t>C070082R238A</t>
  </si>
  <si>
    <t>PTP 820 RFU-C,7GHz,TR168E,Ch1W2,Lo,7126.5-7185.5MHz</t>
  </si>
  <si>
    <t>C070082R239A</t>
  </si>
  <si>
    <t>PTP 820 RFU-C,7GHz,TR168E,Ch3W4,Hi,7350.5-7409.5MHz</t>
  </si>
  <si>
    <t>C070082R240A</t>
  </si>
  <si>
    <t>PTP 820 RFU-C,7GHz,TR168E,Ch3W4,Lo,7182.5-7241.5MHz</t>
  </si>
  <si>
    <t>C070082R241A</t>
  </si>
  <si>
    <t>PTP 820 RFU-C,7GHz,TR175B,Ch1W8,Hi,7299.50-7355.50MHz</t>
  </si>
  <si>
    <t>C070082R242A</t>
  </si>
  <si>
    <t>PTP 820 RFU-C,7GHz,TR175B,Ch1W8,Lo,7124.50-7180.50MHz</t>
  </si>
  <si>
    <t>C070082R243A</t>
  </si>
  <si>
    <t>PTP 820 RFU-C,7GHz,TR175B,Ch9W16,Hi,7355.50-7411.50MHz</t>
  </si>
  <si>
    <t>C070082R244A</t>
  </si>
  <si>
    <t>PTP 820 RFU-C,7GHz,TR175B,Ch9W16,Lo,7180.50-7236.50MHz</t>
  </si>
  <si>
    <t>C070082R245A</t>
  </si>
  <si>
    <t>PTP 820 RFU-C,7GHz,TR175B,Ch13W20,Hi,7383.50-7439.50MHz</t>
  </si>
  <si>
    <t>C070082R246A</t>
  </si>
  <si>
    <t>PTP 820 RFU-C,7GHz,TR175B,Ch13W20,Lo,7208.50-7264.50MHz</t>
  </si>
  <si>
    <t>C070082R247A</t>
  </si>
  <si>
    <t>PTP 820 RFU-C,7GHz,TR182A,Ch1W2,Hi,7594.5-7653.5MHz</t>
  </si>
  <si>
    <t>C070082R248A</t>
  </si>
  <si>
    <t>PTP 820 RFU-C,7GHz,TR182A,Ch1W2,Lo,7412.5-7471.5MHz</t>
  </si>
  <si>
    <t>C070082R249A</t>
  </si>
  <si>
    <t>PTP 820 RFU-C,7GHz,TR182A,Ch2W3,Hi,7622.5-7681.5MHz</t>
  </si>
  <si>
    <t>C070082R250A</t>
  </si>
  <si>
    <t>PTP 820 RFU-C,7GHz,TR182A,Ch2W3,Lo,7440.5-7499.5MHz</t>
  </si>
  <si>
    <t>C070082R251A</t>
  </si>
  <si>
    <t>PTP 820 RFU-C,7GHz,TR182A,Ch4W5,Hi,7678.5-7737.5MHz</t>
  </si>
  <si>
    <t>C070082R252A</t>
  </si>
  <si>
    <t>PTP 820 RFU-C,7GHz,TR182A,Ch4W5,Lo,7496.5-7555.5MHz</t>
  </si>
  <si>
    <t>C070082R253A</t>
  </si>
  <si>
    <t>PTP 820 RFU-C,7GHz,TR196A,Ch1W3,Hi,7301.5-7388.5MHz</t>
  </si>
  <si>
    <t>C070082R254A</t>
  </si>
  <si>
    <t>PTP 820 RFU-C,7GHz,TR196A,Ch1W3,Lo,7105.5-7192.5MHz</t>
  </si>
  <si>
    <t>C070082R255A</t>
  </si>
  <si>
    <t>PTP 820 RFU-C,7GHz,TR196A,Ch3W5,Hi,7357.5-7444.5MHz</t>
  </si>
  <si>
    <t>C070082R256A</t>
  </si>
  <si>
    <t>PTP 820 RFU-C,7GHz,TR196A,Ch3W5,Lo,7161.5-7248.5MHz</t>
  </si>
  <si>
    <t>C070082R257A</t>
  </si>
  <si>
    <t>PTP 820 RFU-C,7GHz,TR245A,Ch1W4,Hi,7671.5-7786.5MHz</t>
  </si>
  <si>
    <t>C070082R258A</t>
  </si>
  <si>
    <t>PTP 820 RFU-C,7GHz,TR245A,Ch1W4,Lo,7426.5-7541.5MHz</t>
  </si>
  <si>
    <t>C070082R259A</t>
  </si>
  <si>
    <t>PTP 820 RFU-C,7GHz,TR245A,Ch5W8,Hi,7783.5-7898.5MHz</t>
  </si>
  <si>
    <t>C070082R260A</t>
  </si>
  <si>
    <t>PTP 820 RFU-C,7GHz,TR245A,Ch5W8,Lo,7538.5-7653.5MHz</t>
  </si>
  <si>
    <t>C070082R326A</t>
  </si>
  <si>
    <t>PTP 820 RFU-D, Dual TX, 7 GHz, Split, Basic Radio</t>
  </si>
  <si>
    <t>C080082B001A</t>
  </si>
  <si>
    <t>PTP 820S Radio 8GHz,TR119A,Ch1W3,Hi,8396.5-8455.5MHz</t>
  </si>
  <si>
    <t>C080082B002A</t>
  </si>
  <si>
    <t>PTP 820S Radio 8GHz,TR119A,Ch1W3,Lo,8277.5-8336.5MHz</t>
  </si>
  <si>
    <t>C080082B003A</t>
  </si>
  <si>
    <t>PTP 820S Radio 8GHz,TR119A,Ch4W6,Hi,8438.5-8497.5MHz</t>
  </si>
  <si>
    <t>C080082B004A</t>
  </si>
  <si>
    <t>PTP 820S Radio 8GHz,TR119A,Ch4W6,Lo,8319.5-8378.5MHz</t>
  </si>
  <si>
    <t>C080082B005A</t>
  </si>
  <si>
    <t>PTP 820S Radio 8GHz,TR266A,Ch1W4,Hi,8176.5-8291.5MHz</t>
  </si>
  <si>
    <t>C080082B006A</t>
  </si>
  <si>
    <t>PTP 820S Radio 8GHz,TR266A,Ch1W4,Lo,7910.5-8025.5MHz</t>
  </si>
  <si>
    <t>C080082B007A</t>
  </si>
  <si>
    <t>PTP 820S Radio 8GHz,TR310C,Ch1W3,Hi,8212-8302MHz</t>
  </si>
  <si>
    <t>C080082B008A</t>
  </si>
  <si>
    <t>PTP 820S Radio 8GHz,TR310C,Ch1W3,Lo,7902-7992MHz</t>
  </si>
  <si>
    <t>C080082B009A</t>
  </si>
  <si>
    <t>PTP 820S Radio 8GHz,TR310C,Ch2W4,Hi,8240-8330MHz</t>
  </si>
  <si>
    <t>C080082B010A</t>
  </si>
  <si>
    <t>PTP 820S Radio 8GHz,TR310C,Ch2W4,Lo,7930-8020MHz</t>
  </si>
  <si>
    <t>C080082B011A</t>
  </si>
  <si>
    <t>PTP 820S Radio 8GHz,TR310C,Ch4W6,Hi,8296-8386MHz</t>
  </si>
  <si>
    <t>C080082B012A</t>
  </si>
  <si>
    <t>PTP 820S Radio 8GHz,TR310C,Ch4W6,Lo,7986-8076MHz</t>
  </si>
  <si>
    <t>C080082B013A</t>
  </si>
  <si>
    <t>PTP 820S Radio 8GHz,TR310C,Ch7W9,Hi,8380-8470MHz</t>
  </si>
  <si>
    <t>C080082B014A</t>
  </si>
  <si>
    <t>PTP 820S Radio 8GHz,TR310C,Ch7W9,Lo,8070-8160MHz</t>
  </si>
  <si>
    <t>C080082B015A</t>
  </si>
  <si>
    <t>PTP 820S Radio 8GHz,TR310C,Ch8W10,Hi,8408-8498MHz</t>
  </si>
  <si>
    <t>C080082B016A</t>
  </si>
  <si>
    <t>PTP 820S Radio 8GHz,TR310C,Ch8W10,Lo,8098-8188MHz</t>
  </si>
  <si>
    <t>C080082B017A</t>
  </si>
  <si>
    <t>PTP 820S Radio 8GHz,TR311A,Ch1W4,Hi,8043.52-8163.47MHz</t>
  </si>
  <si>
    <t>C080082B018A</t>
  </si>
  <si>
    <t>PTP 820S Radio 8GHz,TR311A,Ch1W4,Lo,7732.2-7852.15MHz</t>
  </si>
  <si>
    <t>C080082B019A</t>
  </si>
  <si>
    <t>PTP 820S Radio 8GHz,TR311A,Ch5W8,Hi,8162.12-8282.07MHz</t>
  </si>
  <si>
    <t>C080082B020A</t>
  </si>
  <si>
    <t>PTP 820S Radio 8GHz,TR311A,Ch5W8,Lo,7850.8-7970.75MHz</t>
  </si>
  <si>
    <t>C080082B041A</t>
  </si>
  <si>
    <t>PTP 820C Radio 8GHz,TR119A,Ch1W3,Hi,8396.5-8455.5MHz</t>
  </si>
  <si>
    <t>C080082B042A</t>
  </si>
  <si>
    <t>PTP 820C Radio 8GHz,TR119A,Ch1W3,Lo,8277.5-8336.5MHz</t>
  </si>
  <si>
    <t>C080082B043A</t>
  </si>
  <si>
    <t>PTP 820C Radio 8GHz,TR119A,Ch4W6,Hi,8438.5-8497.5MHz</t>
  </si>
  <si>
    <t>C080082B044A</t>
  </si>
  <si>
    <t>PTP 820C Radio 8GHz,TR119A,Ch4W6,Lo,8319.5-8378.5MHz</t>
  </si>
  <si>
    <t>C080082B045A</t>
  </si>
  <si>
    <t>PTP 820C Radio 8GHz,TR266A,Ch1W4,Hi,8176.5-8291.5MHz</t>
  </si>
  <si>
    <t>C080082B046A</t>
  </si>
  <si>
    <t>PTP 820C Radio 8GHz,TR266A,Ch1W4,Lo,7910.5-8025.5MHz</t>
  </si>
  <si>
    <t>C080082B047A</t>
  </si>
  <si>
    <t>PTP 820C Radio 8GHz,TR310C,Ch1W3,Hi,8212-8302MHz</t>
  </si>
  <si>
    <t>C080082B048A</t>
  </si>
  <si>
    <t>PTP 820C Radio 8GHz,TR310C,Ch1W3,Lo,7902-7992MHz</t>
  </si>
  <si>
    <t>C080082B049A</t>
  </si>
  <si>
    <t>PTP 820C Radio 8GHz,TR310C,Ch2W4,Hi,8240-8330MHz</t>
  </si>
  <si>
    <t>C080082B050A</t>
  </si>
  <si>
    <t>PTP 820C Radio 8GHz,TR310C,Ch2W4,Lo,7930-8020MHz</t>
  </si>
  <si>
    <t>C080082B051A</t>
  </si>
  <si>
    <t>PTP 820C Radio 8GHz,TR310C,Ch4W6,Hi,8296-8386MHz</t>
  </si>
  <si>
    <t>C080082B052A</t>
  </si>
  <si>
    <t>PTP 820C Radio 8GHz,TR310C,Ch4W6,Lo,7986-8076MHz</t>
  </si>
  <si>
    <t>C080082B053A</t>
  </si>
  <si>
    <t>PTP 820C Radio 8GHz,TR310C,Ch7W9,Hi,8380-8470MHz</t>
  </si>
  <si>
    <t>C080082B054A</t>
  </si>
  <si>
    <t>PTP 820C Radio 8GHz,TR310C,Ch7W9,Lo,8070-8160MHz</t>
  </si>
  <si>
    <t>C080082B055A</t>
  </si>
  <si>
    <t>PTP 820C Radio 8GHz,TR310C,Ch8W10,Hi,8408-8498MHz</t>
  </si>
  <si>
    <t>C080082B056A</t>
  </si>
  <si>
    <t>PTP 820C Radio 8GHz,TR310C,Ch8W10,Lo,8098-8188MHz</t>
  </si>
  <si>
    <t>C080082B057A</t>
  </si>
  <si>
    <t>PTP 820C Radio 8GHz,TR311A,Ch1W4,Hi,8043.52-8163.47MHz</t>
  </si>
  <si>
    <t>C080082B058A</t>
  </si>
  <si>
    <t>PTP 820C Radio 8GHz,TR311A,Ch1W4,Lo,7732.2-7852.15MHz</t>
  </si>
  <si>
    <t>C080082B059A</t>
  </si>
  <si>
    <t>PTP 820C Radio 8GHz,TR311A,Ch5W8,Hi,8162.12-8282.07MHz</t>
  </si>
  <si>
    <t>C080082B060A</t>
  </si>
  <si>
    <t>PTP 820C Radio 8GHz,TR311A,Ch5W8,Lo,7850.8-7970.75MHz</t>
  </si>
  <si>
    <t>C080082B174A</t>
  </si>
  <si>
    <t>PTP 820C-HP, Basic Radio,8 GHz</t>
  </si>
  <si>
    <t>C080082B175A</t>
  </si>
  <si>
    <t>PTP 820C-HP, Basic Radio, 8 GHz, ESS</t>
  </si>
  <si>
    <t>C080082R081A</t>
  </si>
  <si>
    <t>PTP 820 RFU-C,8GHz,TR119A,Ch1W3,Hi,8396.5-8455.5MHz</t>
  </si>
  <si>
    <t>C080082R082A</t>
  </si>
  <si>
    <t>PTP 820 RFU-C,8GHz,TR119A,Ch1W3,Lo,8277.5-8336.5MHz</t>
  </si>
  <si>
    <t>C080082R083A</t>
  </si>
  <si>
    <t>PTP 820 RFU-C,8GHz,TR119A,Ch4W6,Hi,8438.5-8497.5MHz</t>
  </si>
  <si>
    <t>C080082R084A</t>
  </si>
  <si>
    <t>PTP 820 RFU-C,8GHz,TR119A,Ch4W6,Lo,8319.5-8378.5MHz</t>
  </si>
  <si>
    <t>C080082R085A</t>
  </si>
  <si>
    <t>PTP 820 RFU-C,8GHz,TR148A,Ch01,Hi,7896.75-7973.75MHz</t>
  </si>
  <si>
    <t>C080082R086A</t>
  </si>
  <si>
    <t>PTP 820 RFU-C,8GHz,TR148A,Ch01,Lo,7748.25-7825.25MHz</t>
  </si>
  <si>
    <t>C080082R087A</t>
  </si>
  <si>
    <t>PTP 820 RFU-C,8GHz,TR151A,Ch1W3,Hi,8346.162-8423.81MHz</t>
  </si>
  <si>
    <t>C080082R088A</t>
  </si>
  <si>
    <t>PTP 820 RFU-C,8GHz,TR151A,Ch1W3,Lo,8194.548-8272.196MHz</t>
  </si>
  <si>
    <t>C080082R089A</t>
  </si>
  <si>
    <t>PTP 820 RFU-C,8GHz,TR151A,Ch4W6,Hi,8416.134-8493.782MHz</t>
  </si>
  <si>
    <t>C080082R090A</t>
  </si>
  <si>
    <t>PTP 820 RFU-C,8GHz,TR151A,Ch4W6,Lo,8264.52-8342.168MHz</t>
  </si>
  <si>
    <t>C080082R091A</t>
  </si>
  <si>
    <t>PTP 820 RFU-C,8GHz,TR151B,Ch01,Hi,8425.803-8495.775MHz</t>
  </si>
  <si>
    <t>C080082R092A</t>
  </si>
  <si>
    <t>PTP 820 RFU-C,8GHz,TR151B,Ch01,Lo,8274.189-8344.161MHz</t>
  </si>
  <si>
    <t>C080082R093A</t>
  </si>
  <si>
    <t>PTP 820 RFU-C,8GHz,TR154A,Ch1W2,Hi,8355.5-8414.5MHz</t>
  </si>
  <si>
    <t>C080082R094A</t>
  </si>
  <si>
    <t>PTP 820 RFU-C,8GHz,TR154A,Ch1W2,Lo,8201.5-8260.5MHz</t>
  </si>
  <si>
    <t>C080082R095A</t>
  </si>
  <si>
    <t>PTP 820 RFU-C,8GHz,TR154A,Ch2W3,Hi,8383.5-8442.5MHz</t>
  </si>
  <si>
    <t>C080082R096A</t>
  </si>
  <si>
    <t>PTP 820 RFU-C,8GHz,TR154A,Ch2W3,Lo,8229.5-8288.5MHz</t>
  </si>
  <si>
    <t>C080082R097A</t>
  </si>
  <si>
    <t>PTP 820 RFU-C,8GHz,TR154A,Ch4W5,Hi,8439.5-8498.5MHz</t>
  </si>
  <si>
    <t>C080082R098A</t>
  </si>
  <si>
    <t>PTP 820 RFU-C,8GHz,TR154A,Ch4W5,Lo,8285.5-8344.5MHz</t>
  </si>
  <si>
    <t>C080082R099A</t>
  </si>
  <si>
    <t>PTP 820 RFU-C,8GHz,TR161A,Ch1w,Hi,8072-8100MHz</t>
  </si>
  <si>
    <t>C080082R100A</t>
  </si>
  <si>
    <t>PTP 820 RFU-C,8GHz,TR161A,Ch1w,Lo,7911-7939MHz</t>
  </si>
  <si>
    <t>C080082R101A</t>
  </si>
  <si>
    <t>PTP 820 RFU-C,8GHz,TR208A,Ch1W4,Hi,8256.5-8371.5MHz</t>
  </si>
  <si>
    <t>C080082R102A</t>
  </si>
  <si>
    <t>PTP 820 RFU-C,8GHz,TR208A,Ch1W4,Lo,8048.5-8163.5MHz</t>
  </si>
  <si>
    <t>C080082R103A</t>
  </si>
  <si>
    <t>PTP 820 RFU-C,8GHz,TR208A,Ch5W7,Hi,8368.5-8455.5MHz</t>
  </si>
  <si>
    <t>C080082R104A</t>
  </si>
  <si>
    <t>PTP 820 RFU-C,8GHz,TR208A,Ch5W7,Lo,8160.5-8247.5MHz</t>
  </si>
  <si>
    <t>C080082R105A</t>
  </si>
  <si>
    <t>PTP 820 RFU-C,8GHz,TR252A,Ch1W2,Hi,8226.52-8287.52MHz</t>
  </si>
  <si>
    <t>C080082R106A</t>
  </si>
  <si>
    <t>PTP 820 RFU-C,8GHz,TR252A,Ch1W2,Lo,7974.5-8035.5MHz</t>
  </si>
  <si>
    <t>C080082R107A</t>
  </si>
  <si>
    <t>PTP 820 RFU-C,8GHz,TR250A,Ch1W4,Hi,8270.5-8349.5MHz</t>
  </si>
  <si>
    <t>C080082R108A</t>
  </si>
  <si>
    <t>PTP 820 RFU-C,8GHz,TR250A,Ch1W4,Lo,8020.5-8099.5MHz</t>
  </si>
  <si>
    <t>C080082R109A</t>
  </si>
  <si>
    <t>PTP 820 RFU-C,8GHz,TR250A,Ch5W8,Hi,8326.5-8405.5MHz</t>
  </si>
  <si>
    <t>C080082R110A</t>
  </si>
  <si>
    <t>PTP 820 RFU-C,8GHz,TR250A,Ch5W8,Lo,8076.5-8155.5MHz</t>
  </si>
  <si>
    <t>C080082R111A</t>
  </si>
  <si>
    <t>PTP 820 RFU-C,8GHz,TR266A,Ch1W4,Hi,8176.5-8291.5MHz</t>
  </si>
  <si>
    <t>C080082R112A</t>
  </si>
  <si>
    <t>PTP 820 RFU-C,8GHz,TR266A,Ch1W4,Lo,7910.5-8025.5MHz</t>
  </si>
  <si>
    <t>C080082R113A</t>
  </si>
  <si>
    <t>PTP 820 RFU-C,8GHz,TR266A,Ch5W8,Hi,8288.5-8403.5MHz</t>
  </si>
  <si>
    <t>C080082R114A</t>
  </si>
  <si>
    <t>PTP 820 RFU-C,8GHz,TR266A,Ch5W8,Lo,8022.5-8137.5MHz</t>
  </si>
  <si>
    <t>C080082R119A</t>
  </si>
  <si>
    <t>PTP 820 RFU-C,8GHz,TR266D,Ch1W3,Hi,8276-8339MHz</t>
  </si>
  <si>
    <t>C080082R120A</t>
  </si>
  <si>
    <t>PTP 820 RFU-C,8GHz,TR266D,Ch1W3,Lo,8010-8073MHz</t>
  </si>
  <si>
    <t>C080082R121A</t>
  </si>
  <si>
    <t>PTP 820 RFU-C,8GHz,TR274A,Ch1W4,Hi,8027.25-8139.25MHz</t>
  </si>
  <si>
    <t>C080082R122A</t>
  </si>
  <si>
    <t>PTP 820 RFU-C,8GHz,TR274A,Ch1W4,Lo,7753.25-7865.25MHz</t>
  </si>
  <si>
    <t>C080082R123A</t>
  </si>
  <si>
    <t>PTP 820 RFU-C,8GHz,TR274A,Ch5W8,Hi,8139.25-8251.25MHz</t>
  </si>
  <si>
    <t>C080082R124A</t>
  </si>
  <si>
    <t>PTP 820 RFU-C,8GHz,TR274A,Ch5W8,Lo,7865.25-7977.25MHz</t>
  </si>
  <si>
    <t>C080082R125A</t>
  </si>
  <si>
    <t>PTP 820 RFU-C,8GHz,TR300A,Ch1W4,Hi,8024.5-8145.5MHz</t>
  </si>
  <si>
    <t>C080082R126A</t>
  </si>
  <si>
    <t>PTP 820 RFU-C,8GHz,TR300A,Ch1W4,Lo,7724.5-7845.5MHz</t>
  </si>
  <si>
    <t>C080082R127A</t>
  </si>
  <si>
    <t>PTP 820 RFU-C,8GHz,TR300A,Ch5W8,Hi,8144.5-8265.5MHz</t>
  </si>
  <si>
    <t>C080082R128A</t>
  </si>
  <si>
    <t>PTP 820 RFU-C,8GHz,TR300A,Ch5W8,Lo,7844.5-7965.5MHz</t>
  </si>
  <si>
    <t>C080082R129A</t>
  </si>
  <si>
    <t>PTP 820 RFU-C,8GHz,TR300B,Ch19W21,Hi,7990-8080MHz</t>
  </si>
  <si>
    <t>C080082R130A</t>
  </si>
  <si>
    <t>PTP 820 RFU-C,8GHz,TR300B,Ch19W21,Lo,7690-7780MHz</t>
  </si>
  <si>
    <t>C080082R131A</t>
  </si>
  <si>
    <t>PTP 820 RFU-C,8GHz,TR300B,Ch20W22,Hi,8020-8110MHz</t>
  </si>
  <si>
    <t>C080082R132A</t>
  </si>
  <si>
    <t>PTP 820 RFU-C,8GHz,TR300B,Ch20W22,Lo,7720-7810MHz</t>
  </si>
  <si>
    <t>C080082R133A</t>
  </si>
  <si>
    <t>PTP 820 RFU-C,8GHz,TR310A,Ch1W3,Hi,8035-8155MHz</t>
  </si>
  <si>
    <t>C080082R134A</t>
  </si>
  <si>
    <t>PTP 820 RFU-C,8GHz,TR310A,Ch1W3,Lo,7725-7845MHz</t>
  </si>
  <si>
    <t>C080082R135A</t>
  </si>
  <si>
    <t>PTP 820 RFU-C,8GHz,TR310A,Ch4W6,Hi,8155-8275MHz</t>
  </si>
  <si>
    <t>C080082R136A</t>
  </si>
  <si>
    <t>PTP 820 RFU-C,8GHz,TR310A,Ch4W6,Lo,7845-7965MHz</t>
  </si>
  <si>
    <t>C080082R137A</t>
  </si>
  <si>
    <t>PTP 820 RFU-C,8GHz,TR310C,Ch1W3,Hi,8212-8302MHz</t>
  </si>
  <si>
    <t>C080082R138A</t>
  </si>
  <si>
    <t>PTP 820 RFU-C,8GHz,TR310C,Ch1W3,Lo,7902-7992MHz</t>
  </si>
  <si>
    <t>C080082R139A</t>
  </si>
  <si>
    <t>PTP 820 RFU-C,8GHz,TR310C,Ch2W4,Hi,8240-8330MHz</t>
  </si>
  <si>
    <t>C080082R140A</t>
  </si>
  <si>
    <t>PTP 820 RFU-C,8GHz,TR310C,Ch2W4,Lo,7930-8020MHz</t>
  </si>
  <si>
    <t>C080082R141A</t>
  </si>
  <si>
    <t>PTP 820 RFU-C,8GHz,TR310C,Ch4W6,Hi,8296-8386MHz</t>
  </si>
  <si>
    <t>C080082R142A</t>
  </si>
  <si>
    <t>PTP 820 RFU-C,8GHz,TR310C,Ch4W6,Lo,7986-8076MHz</t>
  </si>
  <si>
    <t>C080082R143A</t>
  </si>
  <si>
    <t>PTP 820 RFU-C,8GHz,TR310C,Ch7W9,Hi,8380-8470MHz</t>
  </si>
  <si>
    <t>C080082R144A</t>
  </si>
  <si>
    <t>PTP 820 RFU-C,8GHz,TR310C,Ch7W9,Lo,8070-8160MHz</t>
  </si>
  <si>
    <t>C080082R145A</t>
  </si>
  <si>
    <t>PTP 820 RFU-C,8GHz,TR310C,Ch8W10,Hi,8408-8498MHz</t>
  </si>
  <si>
    <t>C080082R146A</t>
  </si>
  <si>
    <t>PTP 820 RFU-C,8GHz,TR310C,Ch8W10,Lo,8098-8188MHz</t>
  </si>
  <si>
    <t>C080082R149A</t>
  </si>
  <si>
    <t>PTP 820 RFU-C,8GHz,TR311A,Ch5W8,Hi,8162.12-8282.07MHz</t>
  </si>
  <si>
    <t>C080082R150A</t>
  </si>
  <si>
    <t>PTP 820 RFU-C,8GHz,TR311A,Ch5W8,Lo,7850.8-7970.75MHz</t>
  </si>
  <si>
    <t>C080082R153A</t>
  </si>
  <si>
    <t>PTP 820 RFU-C,8GHz,TR311B,Ch5W8,Hi,8147.295-8267.245MHz</t>
  </si>
  <si>
    <t>C080082R154A</t>
  </si>
  <si>
    <t>PTP 820 RFU-C,8GHz,TR311B,Ch5W8,Lo,7835.975-7955.925MHz</t>
  </si>
  <si>
    <t>C080082R161A</t>
  </si>
  <si>
    <t>PTP 820 RFU-C,8GHz,TR311C to J,ChAll,Hi,8023-8186.32MHz</t>
  </si>
  <si>
    <t>C080082R162A</t>
  </si>
  <si>
    <t>PTP 820 RFU-C,8GHz,TR311C to J,ChAll,Lo,7711.68-7875MHz</t>
  </si>
  <si>
    <t>C080082R169A</t>
  </si>
  <si>
    <t>PTP 820 RFU-C,8GHz,TR500A,Ch1W2,Hi,8304.5-8395.5MHz</t>
  </si>
  <si>
    <t>C080082R170A</t>
  </si>
  <si>
    <t>PTP 820 RFU-C,8GHz,TR500A,Ch1W2,Lo,7804.5-7895.5MHz</t>
  </si>
  <si>
    <t>C080082R171A</t>
  </si>
  <si>
    <t>PTP 820 RFU-C,8GHz,TR530A,Ch1W2,Hi,8274.5-8305.5MHz</t>
  </si>
  <si>
    <t>C080082R172A</t>
  </si>
  <si>
    <t>PTP 820 RFU-C,8GHz,TR530A,Ch1W2,Lo,7744.5-7775.5MHz</t>
  </si>
  <si>
    <t>C080082R175A</t>
  </si>
  <si>
    <t>PTP 820 RFU-D-HP, Dual TX, 8 GHz, Split, Basic Radio</t>
  </si>
  <si>
    <t>C080082R176A</t>
  </si>
  <si>
    <t>PTP 820 RFU-D, Dual TX, 8 GHz, Split, Basic Radio</t>
  </si>
  <si>
    <t>C100082B001A</t>
  </si>
  <si>
    <t>PTP 820S Radio 10GHz,TR182A,Ch1W2,Hi,10483-10539MHz</t>
  </si>
  <si>
    <t>C100082B002A</t>
  </si>
  <si>
    <t>PTP 820S Radio 10GHz,TR182A,Ch1W2,Lo,10301-10357MHz</t>
  </si>
  <si>
    <t>C100082B003A</t>
  </si>
  <si>
    <t>PTP 820S Radio 10GHz,TR182A,Ch2W4,Hi,10539-10595MHz</t>
  </si>
  <si>
    <t>C100082B004A</t>
  </si>
  <si>
    <t>PTP 820S Radio 10GHz,TR182A,Ch2W4,Lo,10357-10413MHz</t>
  </si>
  <si>
    <t>C100082B005A</t>
  </si>
  <si>
    <t>PTP 820S Radio 10GHz,TR350A,Ch1W5,Hi,10501-10647MHz</t>
  </si>
  <si>
    <t>C100082B006A</t>
  </si>
  <si>
    <t>PTP 820S Radio 10GHz,TR350A,Ch1W5,Lo,10151-10297MHz</t>
  </si>
  <si>
    <t>C100082B007A</t>
  </si>
  <si>
    <t>PTP 820C Radio 10GHz,TR182A,Ch1W2,Hi,10483-10539MHz</t>
  </si>
  <si>
    <t>C100082B008A</t>
  </si>
  <si>
    <t>PTP 820C Radio 10GHz,TR182A,Ch1W2,Lo,10301-10357MHz</t>
  </si>
  <si>
    <t>C100082B009A</t>
  </si>
  <si>
    <t>PTP 820C Radio 10GHz,TR182A,Ch2W4,Hi,10539-10595MHz</t>
  </si>
  <si>
    <t>C100082B010A</t>
  </si>
  <si>
    <t>PTP 820C Radio 10GHz,TR182A,Ch2W4,Lo,10357-10413MHz</t>
  </si>
  <si>
    <t>C100082B011A</t>
  </si>
  <si>
    <t>PTP 820C Radio 10GHz,TR350A,Ch1W5,Hi,10501-10647MHz</t>
  </si>
  <si>
    <t>C100082B012A</t>
  </si>
  <si>
    <t>PTP 820C Radio 10GHz,TR350A,Ch1W5,Lo,10151-10297MHz</t>
  </si>
  <si>
    <t>C100082B051A</t>
  </si>
  <si>
    <t>PTP 820S Radio 10GHz,TR91A,Ch1W4,Hi,10590-10622MHz</t>
  </si>
  <si>
    <t>C100082B052A</t>
  </si>
  <si>
    <t>PTP 820S Radio 10GHz,TR91A,Ch1W4,Lo,10499-10531MHz</t>
  </si>
  <si>
    <t>C100082D049B</t>
  </si>
  <si>
    <t>SHPX4 - 4' ANT, 10_11GHz with Radome, Dual Pol, CPR90G</t>
  </si>
  <si>
    <t>C100082D050B</t>
  </si>
  <si>
    <t>HX6 - 6' ANT, 10_11 GHz with Radome, Dual Pol, CPR90G</t>
  </si>
  <si>
    <t>C100082R013A</t>
  </si>
  <si>
    <t>PTP 820 RFU-C,10GHz,TR65A,Ch01,Hi,10619.5 - 10633.5MHz</t>
  </si>
  <si>
    <t>C100082R014A</t>
  </si>
  <si>
    <t>PTP 820 RFU-C,10GHz,TR65A,Ch01,Lo,10554.5 - 10568.5MHz</t>
  </si>
  <si>
    <t>C100082R015A</t>
  </si>
  <si>
    <t>PTP 820 RFU-C,10GHz,TR65A,Ch02,Hi,10633.5 - 10647.5MHz</t>
  </si>
  <si>
    <t>C100082R016A</t>
  </si>
  <si>
    <t>PTP 820 RFU-C,10GHz,TR65A,Ch02,Lo,10568.5 - 10582.5MHz</t>
  </si>
  <si>
    <t>C100082R017A</t>
  </si>
  <si>
    <t>PTP 820 RFU-C,10GHz,TR65A,Ch03,Hi,10647.5 - 10661.5MHz</t>
  </si>
  <si>
    <t>C100082R018A</t>
  </si>
  <si>
    <t>PTP 820 RFU-C,10GHz,TR65A,Ch03,Lo,10582.5 - 10596.5MHz</t>
  </si>
  <si>
    <t>C100082R019A</t>
  </si>
  <si>
    <t>PTP 820 RFU-C,10GHz,TR65A,Ch04,Hi,10661.5 - 10675.5MHz</t>
  </si>
  <si>
    <t>C100082R020A</t>
  </si>
  <si>
    <t>PTP 820 RFU-C,10GHz,TR65A,Ch04,Lo,10596.5 - 10610.5MHz</t>
  </si>
  <si>
    <t>C100082R021A</t>
  </si>
  <si>
    <t>PTP 820 RFU-C,10GHz,TR91A,Ch1W4,Hi,10590-10622MHz</t>
  </si>
  <si>
    <t>C100082R022A</t>
  </si>
  <si>
    <t>PTP 820 RFU-C,10GHz,TR91A,Ch1W4,Lo,10499-10531MHz</t>
  </si>
  <si>
    <t>C100082R023A</t>
  </si>
  <si>
    <t>PTP 820 RFU-C,10GHz,TR91A,Ch5W8,Hi,10618-10649MHz</t>
  </si>
  <si>
    <t>C100082R024A</t>
  </si>
  <si>
    <t>PTP 820 RFU-C,10GHz,TR91A,Ch5W8,Lo,10527-10558MHz</t>
  </si>
  <si>
    <t>C100082R025A</t>
  </si>
  <si>
    <t>PTP 820 RFU-C,10GHz,TR91A,Ch9W12,Hi,10646-10677MHz</t>
  </si>
  <si>
    <t>C100082R026A</t>
  </si>
  <si>
    <t>PTP 820 RFU-C,10GHz,TR91A,Ch9W12,Lo,10555-10586MHz</t>
  </si>
  <si>
    <t>C100082R027A</t>
  </si>
  <si>
    <t>PTP 820 RFU-C,10GHz,TR120A,Ch1,Hi,10624-10680MHz</t>
  </si>
  <si>
    <t>C100082R028A</t>
  </si>
  <si>
    <t>PTP 820 RFU-C,10GHz,TR120A,Ch1,Lo,10504-10560MHz</t>
  </si>
  <si>
    <t>C100082R035A</t>
  </si>
  <si>
    <t>PTP 820 RFU-C,10GHz,TR350A,Ch1W5,Hi,10501-10647MHz</t>
  </si>
  <si>
    <t>C100082R036A</t>
  </si>
  <si>
    <t>PTP 820 RFU-C,10GHz,TR350A,Ch1W5,Lo,10151-10297MHz</t>
  </si>
  <si>
    <t>C100082R037A</t>
  </si>
  <si>
    <t>PTP 820 RFU-C,10GHz,TR350B,Ch1W5w,Hi,10498-10670MHz</t>
  </si>
  <si>
    <t>C100082R038A</t>
  </si>
  <si>
    <t>PTP 820 RFU-C,10GHz,TR350B,Ch1W5w,Lo,10148-10320MHz</t>
  </si>
  <si>
    <t>C100082R039A</t>
  </si>
  <si>
    <t>PTP 820 RFU-C,10GHz,TR350C,Ch1W5,Hi,10475-10575MHz</t>
  </si>
  <si>
    <t>C100082R040A</t>
  </si>
  <si>
    <t>PTP 820 RFU-C,10GHz,TR350C,Ch1W5,Lo,10125-10225MHz</t>
  </si>
  <si>
    <t>C100082R041A</t>
  </si>
  <si>
    <t>PTP 820 RFU-C,10GHz,TR350D,Ch1W5,Hi,10360-10460MHz</t>
  </si>
  <si>
    <t>C100082R042A</t>
  </si>
  <si>
    <t>PTP 820 RFU-C,10GHz,TR350D,Ch1W5,Lo,10010-10110MHz</t>
  </si>
  <si>
    <t>C100082R043A</t>
  </si>
  <si>
    <t>PTP 820 RFU-C,10GHz,TR350E,Ch1W5,Hi,10361-10507MHz</t>
  </si>
  <si>
    <t>C100082R044A</t>
  </si>
  <si>
    <t>PTP 820 RFU-C,10GHz,TR350E,Ch1W5,Lo,10011-10157MHz</t>
  </si>
  <si>
    <t>C100082R045A</t>
  </si>
  <si>
    <t>PTP 820 RFU-C,10GHz,TR550A,Ch1W5,Hi,10561-10707MHz</t>
  </si>
  <si>
    <t>C100082R046A</t>
  </si>
  <si>
    <t>PTP 820 RFU-C,10GHz,TR550A,Ch1W5,Lo,10011-10157MHz</t>
  </si>
  <si>
    <t>C100082R047A</t>
  </si>
  <si>
    <t>PTP 820 RFU-C,10GHz,TR550A,Ch6WT10,Hi,10701-10847MHz</t>
  </si>
  <si>
    <t>C100082R048A</t>
  </si>
  <si>
    <t>PTP 820 RFU-C,10GHz,TR550A,Ch6WT10,Lo,10151-10297MHz</t>
  </si>
  <si>
    <t>C110082B001A</t>
  </si>
  <si>
    <t>PTP 820S Radio 11GHz,TR500,Ch1W6,Hi,11185-11485MHz</t>
  </si>
  <si>
    <t>C110082B002A</t>
  </si>
  <si>
    <t>PTP 820S Radio 11GHz,TR500,Ch1W6,Lo,10695-10955MHz</t>
  </si>
  <si>
    <t>C110082B007A</t>
  </si>
  <si>
    <t>PTP 820S Radio 11GHz,TR500,Ch4W9,Hi,11305-11585MHz</t>
  </si>
  <si>
    <t>C110082B008A</t>
  </si>
  <si>
    <t>PTP 820S Radio 11GHz,TR500,Ch4W9,Lo,10815-11095MHz</t>
  </si>
  <si>
    <t>C110082B013A</t>
  </si>
  <si>
    <t>PTP 820S Radio 11GHz,TR500,Ch7W13,Hi,11425-11725MHz</t>
  </si>
  <si>
    <t>C110082B014A</t>
  </si>
  <si>
    <t>PTP 820S Radio 11GHz,TR500,Ch7W13,Lo,10915-11207MHz</t>
  </si>
  <si>
    <t>C110082B015A</t>
  </si>
  <si>
    <t>PTP 820S Radio 11WGHz,TR500,Ch1W6,Hi,11185-11485MHz</t>
  </si>
  <si>
    <t>C110082B016A</t>
  </si>
  <si>
    <t>PTP 820S Radio 11WGHz,TR500,Ch1W6,Lo,10695-10955MHz</t>
  </si>
  <si>
    <t>C110082B021A</t>
  </si>
  <si>
    <t>PTP 820S Radio 11WGHz,TR500,Ch4W9,Hi,11305-11585MHz</t>
  </si>
  <si>
    <t>C110082B022A</t>
  </si>
  <si>
    <t>PTP 820S Radio 11WGHz,TR500,Ch4W9,Lo,10815-11095MHz</t>
  </si>
  <si>
    <t>C110082B027A</t>
  </si>
  <si>
    <t>PTP 820S Radio 11WGHz,TR500,Ch7W13,Hi,11425-11725MHz</t>
  </si>
  <si>
    <t>C110082B028A</t>
  </si>
  <si>
    <t>PTP 820S Radio 11WGHz,TR500,Ch7W13,Lo,10915-11207MHz</t>
  </si>
  <si>
    <t>C110082B029A</t>
  </si>
  <si>
    <t>PTP 820C Radio 11GHz,TR500,Ch1W6,Hi,11185-11485MHz</t>
  </si>
  <si>
    <t>C110082B030A</t>
  </si>
  <si>
    <t>PTP 820C Radio 11GHz,TR500,Ch1W6,Lo,10695-10955MHz</t>
  </si>
  <si>
    <t>C110082B035A</t>
  </si>
  <si>
    <t>PTP 820C Radio 11GHz,TR500,Ch4W9,Hi,11305-11585MHz</t>
  </si>
  <si>
    <t>C110082B036A</t>
  </si>
  <si>
    <t>PTP 820C Radio 11GHz,TR500,Ch4W9,Lo,10815-11095MHz</t>
  </si>
  <si>
    <t>C110082B041A</t>
  </si>
  <si>
    <t>PTP 820C Radio 11GHz,TR500,Ch7W13,Hi,11425-11725MHz</t>
  </si>
  <si>
    <t>C110082B042A</t>
  </si>
  <si>
    <t>PTP 820C Radio 11GHz,TR500,Ch7W13,Lo,10915-11207MHz</t>
  </si>
  <si>
    <t>C110082B043A</t>
  </si>
  <si>
    <t>PTP 820C Radio 11WGHz,TR500,Ch1W6,Hi,11185-11485MHz,ESX</t>
  </si>
  <si>
    <t>C110082B044A</t>
  </si>
  <si>
    <t>PTP 820C Radio 11WGHz,TR500,Ch1W6,Lo,10695-10955MHz,ESX</t>
  </si>
  <si>
    <t>C110082B053A</t>
  </si>
  <si>
    <t>PTP 820C Radio 11WGHz,TR500,Ch6W12,Hi,11385-11705MHz,ESX</t>
  </si>
  <si>
    <t>C110082B054A</t>
  </si>
  <si>
    <t>PTP 820C Radio 11WGHz,TR500,Ch6W12,Lo,10895-11205MHz,ESX</t>
  </si>
  <si>
    <t>C110082B055A</t>
  </si>
  <si>
    <t>PTP 820C Radio 11WGHz,TR500,Ch7W13,Hi,11425-11725MHz,ESX</t>
  </si>
  <si>
    <t>C110082B056A</t>
  </si>
  <si>
    <t>PTP 820C Radio 11WGHz,TR500,Ch7W13,Lo,10915-11207MHz,ESX</t>
  </si>
  <si>
    <t>C110082B128A</t>
  </si>
  <si>
    <t>PTP 820C-HP, Basic Radio,11 GHz</t>
  </si>
  <si>
    <t>C110082B129A</t>
  </si>
  <si>
    <t>PTP 820C-HP, Basic Radio, 11 GHz, ESS</t>
  </si>
  <si>
    <t>C110082L002A</t>
  </si>
  <si>
    <t>PTP 820C Radio 11GHz,TR500,Ch1W6,Lo,10695-10955MHz, ESS</t>
  </si>
  <si>
    <t>C110082L015A</t>
  </si>
  <si>
    <t>PTP 820C Radio 11WGHz,TR500,Ch1W6,Hi,11185-11485MHz, ESS</t>
  </si>
  <si>
    <t>C110082L016A</t>
  </si>
  <si>
    <t>PTP 820C Radio 11WGHz,TR500,Ch1W6,Lo,10695-10955MHz, ESS</t>
  </si>
  <si>
    <t>C110082L025A</t>
  </si>
  <si>
    <t>PTP 820C Radio 11WGHz,TR500,Ch6W12,Hi,11385-11705MHz, ESS</t>
  </si>
  <si>
    <t>C110082L026A</t>
  </si>
  <si>
    <t>PTP 820C Radio 11WGHz,TR500,Ch6W12,Lo,10895-11205MHz, ESS</t>
  </si>
  <si>
    <t>C110082L027A</t>
  </si>
  <si>
    <t>PTP 820C Radio 11WGHz,TR500,Ch7W13,Hi,11425-11725MHz, ESS</t>
  </si>
  <si>
    <t>C110082L028A</t>
  </si>
  <si>
    <t>PTP 820C Radio 11WGHz,TR500,Ch7W13,Lo,10915-11207MHz, ESS</t>
  </si>
  <si>
    <t>C110082M069A</t>
  </si>
  <si>
    <t>PTP 820 RFU-A Extended modulation, 11GHz</t>
  </si>
  <si>
    <t>C110082R057A</t>
  </si>
  <si>
    <t>PTP 820 RFU-C,11GHz,TR490,ChLz,Hi,11185-11485MHz</t>
  </si>
  <si>
    <t>C110082R058A</t>
  </si>
  <si>
    <t>PTP 820 RFU-C,11GHz,TR490,ChLz,Lo,10695-10955MHz</t>
  </si>
  <si>
    <t>C110082R059A</t>
  </si>
  <si>
    <t>PTP 820 RFU-C,11GHz,TR490,ChHz,Hi,11425-11725MHz</t>
  </si>
  <si>
    <t>C110082R060A</t>
  </si>
  <si>
    <t>PTP 820 RFU-C,11GHz,TR490,ChHz,Lo,10915-11207MHz</t>
  </si>
  <si>
    <t>C110082R061A</t>
  </si>
  <si>
    <t>PTP 820 RFU-C,11GHz,TR530,ChDX-11,Hi,11231-11339MHz</t>
  </si>
  <si>
    <t>C110082R062A</t>
  </si>
  <si>
    <t>PTP 820 RFU-C,11GHz,TR530,ChDX-11,Lo,10701-10809MHz</t>
  </si>
  <si>
    <t>C110082R063A</t>
  </si>
  <si>
    <t>PTP 820 RFU-C,11GHz,TR530,ChDX-12,Hi,11351-11459MHz</t>
  </si>
  <si>
    <t>C110082R064A</t>
  </si>
  <si>
    <t>PTP 820 RFU-C,11GHz,TR530,ChDX-12,Lo,10821-10929MHz</t>
  </si>
  <si>
    <t>C110082R065A</t>
  </si>
  <si>
    <t>PTP 820 RFU-C,11GHz,TR530,ChDX-13,Hi,11471-11579MHz</t>
  </si>
  <si>
    <t>C110082R066A</t>
  </si>
  <si>
    <t>PTP 820 RFU-C,11GHz,TR530,ChDX-13,Lo,10941-11049MHz</t>
  </si>
  <si>
    <t>C110082R067A</t>
  </si>
  <si>
    <t>PTP 820 RFU-C,11GHz,TR530,ChDX-14,Hi,11591-11699MHz</t>
  </si>
  <si>
    <t>C110082R068A</t>
  </si>
  <si>
    <t>PTP 820 RFU-C,11GHz,TR530,ChDX-14,Lo,11061-11169MHz</t>
  </si>
  <si>
    <t>C110082R149A</t>
  </si>
  <si>
    <t>PTP 820 RFU-D-HP, Dual TX, 11 GHz, Split, Basic Radio</t>
  </si>
  <si>
    <t>C110082R150A</t>
  </si>
  <si>
    <t>PTP 820 RFU-D, Dual TX, 11 GHz, Split, Basic Radio</t>
  </si>
  <si>
    <t>C110085B001A</t>
  </si>
  <si>
    <t>PTP 850S, Basic Radio, 11 GHz</t>
  </si>
  <si>
    <t>C110085B002A</t>
  </si>
  <si>
    <t xml:space="preserve">PTP 850C, Basic Radio, 11 GHz </t>
  </si>
  <si>
    <t>C130082B001A</t>
  </si>
  <si>
    <t>PTP 820S Radio 13GHz,TR225,Ch1W3,Hi,12900-13000MHz</t>
  </si>
  <si>
    <t>C130082B002A</t>
  </si>
  <si>
    <t>PTP 820S Radio 13GHz,TR225,Ch1W3,Lo,12700-12775MHz</t>
  </si>
  <si>
    <t>C130082B003A</t>
  </si>
  <si>
    <t>PTP 820S Radio 13GHz,TR225,Ch3W5,Hi,12950-13050MHz</t>
  </si>
  <si>
    <t>C130082B004A</t>
  </si>
  <si>
    <t>PTP 820S Radio 13GHz,TR225,Ch3W5,Lo,12750-12825MHz</t>
  </si>
  <si>
    <t>C130082B005A</t>
  </si>
  <si>
    <t>PTP 820S Radio 13GHz,TR225,Ch5W7,Hi,13000-13100MHz</t>
  </si>
  <si>
    <t>C130082B006A</t>
  </si>
  <si>
    <t>PTP 820S Radio 13GHz,TR225,Ch5W7,Lo,12800-12870MHz</t>
  </si>
  <si>
    <t>C130082B007A</t>
  </si>
  <si>
    <t>PTP 820S Radio 13GHz,TR225,Ch7W9,Hi,13050-13150MHz</t>
  </si>
  <si>
    <t>C130082B008A</t>
  </si>
  <si>
    <t>PTP 820S Radio 13GHz,TR225,Ch7W9,Lo,12850-12925MHz</t>
  </si>
  <si>
    <t>C130082B009A</t>
  </si>
  <si>
    <t>PTP 820S Radio 13GHz,TR266,Ch1W4,Hi,13002-13141MHz</t>
  </si>
  <si>
    <t>C130082B010A</t>
  </si>
  <si>
    <t>PTP 820S Radio 13GHz,TR266,Ch1W4,Lo,12747-12866MHz</t>
  </si>
  <si>
    <t>C130082B011A</t>
  </si>
  <si>
    <t>PTP 820S Radio 13GHz,TR266,Ch5W8,Hi,13127-13246MHz</t>
  </si>
  <si>
    <t>C130082B012A</t>
  </si>
  <si>
    <t>PTP 820S Radio 13GHz,TR266,Ch5W8,Lo,12858-12990MHz</t>
  </si>
  <si>
    <t>C130082B013A</t>
  </si>
  <si>
    <t>PTP 820S Radio 13GHz,TR266A,Ch3W5,Hi,13073-13185MHz</t>
  </si>
  <si>
    <t>C130082B014A</t>
  </si>
  <si>
    <t>PTP 820S Radio 13GHz,TR266A,Ch3W5,Lo,12807-12919MHz</t>
  </si>
  <si>
    <t>C130082B015A</t>
  </si>
  <si>
    <t>PTP 820C Radio 13GHz,TR225,Ch1W3,Hi,12900-13000MHz</t>
  </si>
  <si>
    <t>C130082B016A</t>
  </si>
  <si>
    <t>PTP 820C Radio 13GHz,TR225,Ch1W3,Lo,12700-12775MHz</t>
  </si>
  <si>
    <t>C130082B017A</t>
  </si>
  <si>
    <t>PTP 820C Radio 13GHz,TR225,Ch3W5,Hi,12950-13050MHz</t>
  </si>
  <si>
    <t>C130082B018A</t>
  </si>
  <si>
    <t>PTP 820C Radio 13GHz,TR225,Ch3W5,Lo,12750-12825MHz</t>
  </si>
  <si>
    <t>C130082B019A</t>
  </si>
  <si>
    <t>PTP 820C Radio 13GHz,TR225,Ch5W7,Hi,13000-13100MHz</t>
  </si>
  <si>
    <t>C130082B020A</t>
  </si>
  <si>
    <t>PTP 820C Radio 13GHz,TR225,Ch5W7,Lo,12800-12870MHz</t>
  </si>
  <si>
    <t>C130082B021A</t>
  </si>
  <si>
    <t>PTP 820C Radio 13GHz,TR225,Ch7W9,Hi,13050-13150MHz</t>
  </si>
  <si>
    <t>C130082B022A</t>
  </si>
  <si>
    <t>PTP 820C Radio 13GHz,TR225,Ch7W9,Lo,12850-12925MHz</t>
  </si>
  <si>
    <t>C130082B023A</t>
  </si>
  <si>
    <t>PTP 820C Radio 13GHz,TR266,Ch1W4,Hi,13002-13141MHz</t>
  </si>
  <si>
    <t>C130082B024A</t>
  </si>
  <si>
    <t>PTP 820C Radio 13GHz,TR266,Ch1W4,Lo,12747-12866MHz</t>
  </si>
  <si>
    <t>C130082B025A</t>
  </si>
  <si>
    <t>PTP 820C Radio 13GHz,TR266,Ch5W8,Hi,13127-13246MHz</t>
  </si>
  <si>
    <t>C130082B026A</t>
  </si>
  <si>
    <t>PTP 820C Radio 13GHz,TR266,Ch5W8,Lo,12858-12990MHz</t>
  </si>
  <si>
    <t>C130082B027A</t>
  </si>
  <si>
    <t>PTP 820C Radio 13GHz,TR266A,Ch3W5,Hi,13073-13185MHz</t>
  </si>
  <si>
    <t>C130082B028A</t>
  </si>
  <si>
    <t>PTP 820C Radio 13GHz,TR266A,Ch3W5,Lo,12807-12919MHz</t>
  </si>
  <si>
    <t>C130082R029A</t>
  </si>
  <si>
    <t>PTP 820 RFU-C,13GHz,TR266,Ch1W4wza,Hi,13002-13141MHz</t>
  </si>
  <si>
    <t>C130082R030A</t>
  </si>
  <si>
    <t>PTP 820 RFU-C,13GHz,TR266,Ch1W4wza,Lo,12745.75-12866MHz</t>
  </si>
  <si>
    <t>C130082R031A</t>
  </si>
  <si>
    <t>PTP 820 RFU-C,13GHz,TR266,Ch5W8w,Hi,13127-13246MHz</t>
  </si>
  <si>
    <t>C130082R032A</t>
  </si>
  <si>
    <t>PTP 820 RFU-C,13GHz,TR266,Ch5W8w,Lo,12858-12990MHz</t>
  </si>
  <si>
    <t>C130082R033A</t>
  </si>
  <si>
    <t>PTP 820 RFU-C,13GHz,TR266A,Ch3w5,Hi,13073-13185MHz</t>
  </si>
  <si>
    <t>C130082R034A</t>
  </si>
  <si>
    <t>PTP 820 RFU-C,13GHz,TR266A,Ch3w5,Lo,12807-12919MHz</t>
  </si>
  <si>
    <t>C130082R035A</t>
  </si>
  <si>
    <t>PTP 820 RFU-C,13GHz,TR200,Ch1W3,Hi,12900-13000MHz</t>
  </si>
  <si>
    <t>C130082R036A</t>
  </si>
  <si>
    <t>PTP 820 RFU-C,13GHz,TR200,Ch1W3,Lo,12700-12775MHz</t>
  </si>
  <si>
    <t>C130082R037A</t>
  </si>
  <si>
    <t>PTP 820 RFU-C,13GHz,TR200,Ch3W5,Hi,12950-13050MHz</t>
  </si>
  <si>
    <t>C130082R038A</t>
  </si>
  <si>
    <t>PTP 820 RFU-C,13GHz,TR200,Ch3W5,Lo,12750-12825MHz</t>
  </si>
  <si>
    <t>C130082R039A</t>
  </si>
  <si>
    <t>PTP 820 RFU-C,13GHz,TR200,Ch5W7,Hi,13000-13100MHz</t>
  </si>
  <si>
    <t>C130082R040A</t>
  </si>
  <si>
    <t>PTP 820 RFU-C,13GHz,TR200,Ch5W7,Lo,12800-12870MHz</t>
  </si>
  <si>
    <t>C130082R041A</t>
  </si>
  <si>
    <t>PTP 820 RFU-C,13GHz,TR200,Ch7W9,Hi,13050-13150MHz</t>
  </si>
  <si>
    <t>C130082R042A</t>
  </si>
  <si>
    <t>PTP 820 RFU-C,13GHz,TR200,Ch7W9,Lo,12850-12925MHz</t>
  </si>
  <si>
    <t>C130082R076A</t>
  </si>
  <si>
    <t>PTP 820 RFU-D, Dual TX, 13 GHz, Split, Basic Radio</t>
  </si>
  <si>
    <t>C150082B001A</t>
  </si>
  <si>
    <t>PTP 820S Radio 15GHz,TR315,Ch1W4,Hi,14963-15075MHz</t>
  </si>
  <si>
    <t>C150082B002A</t>
  </si>
  <si>
    <t>PTP 820S Radio 15GHz,TR315,Ch1W4,Lo,14648-14760MHz</t>
  </si>
  <si>
    <t>C150082B003A</t>
  </si>
  <si>
    <t>PTP 820S Radio 15GHz,TR315,Ch4W7,Hi,15047-15159MHz</t>
  </si>
  <si>
    <t>C150082B004A</t>
  </si>
  <si>
    <t>PTP 820S Radio 15GHz,TR315,Ch4W7,Lo,14732-14844MHz</t>
  </si>
  <si>
    <t>C150082B005A</t>
  </si>
  <si>
    <t>PTP 820S Radio 15GHz,TR420,Ch1W8,Hi,14921-15145MHz</t>
  </si>
  <si>
    <t>C150082B006A</t>
  </si>
  <si>
    <t>PTP 820S Radio 15GHz,TR420,Ch1W8,Lo,14501-14725MHz</t>
  </si>
  <si>
    <t>C150082B007A</t>
  </si>
  <si>
    <t>PTP 820S Radio 15GHz,TR420,Ch5W12,Hi,15033-15257MHz</t>
  </si>
  <si>
    <t>C150082B008A</t>
  </si>
  <si>
    <t>PTP 820S Radio 15GHz,TR420,Ch5W12,Lo,14613-14837MHz</t>
  </si>
  <si>
    <t>C150082B009A</t>
  </si>
  <si>
    <t>PTP 820S Radio 15GHz,TR420,Ch8W15,Hi,15117-15341MHz</t>
  </si>
  <si>
    <t>C150082B010A</t>
  </si>
  <si>
    <t>PTP 820S Radio 15GHz,TR420,Ch8W15,Lo,14697-14921MHz</t>
  </si>
  <si>
    <t>C150082B011A</t>
  </si>
  <si>
    <t>PTP 820S Radio 15GHz,TR475,Ch1W4,Hi,14975-15135MHz</t>
  </si>
  <si>
    <t>C150082B012A</t>
  </si>
  <si>
    <t>PTP 820S Radio 15GHz,TR475,Ch1W4,Lo,14500-14660MHz</t>
  </si>
  <si>
    <t>C150082B013A</t>
  </si>
  <si>
    <t>PTP 820S Radio 15GHz,TR475,Ch5W8,Hi,15135-15295MHz</t>
  </si>
  <si>
    <t>C150082B014A</t>
  </si>
  <si>
    <t>PTP 820S Radio 15GHz,TR475,Ch5W8,Lo,14660-14820MHz</t>
  </si>
  <si>
    <t>C150082B015A</t>
  </si>
  <si>
    <t>PTP 820S Radio 15GHz,TR490A,Ch1W8,Hi,14887-15117MHz</t>
  </si>
  <si>
    <t>C150082B016A</t>
  </si>
  <si>
    <t>PTP 820S Radio 15GHz,TR490A,Ch1W8,Lo,14397-14627MHz</t>
  </si>
  <si>
    <t>C150082B017A</t>
  </si>
  <si>
    <t>PTP 820S Radio 15GHz,TR490B,Ch9W16,Hi,15110-15348MHz</t>
  </si>
  <si>
    <t>C150082B018A</t>
  </si>
  <si>
    <t>PTP 820S Radio 15GHz,TR490B,Ch9W16,Lo,14620-14858MHz</t>
  </si>
  <si>
    <t>C150082B019A</t>
  </si>
  <si>
    <t>PTP 820S Radio 15GHz,TR644,ChAll,Hi,15144-15341MHz</t>
  </si>
  <si>
    <t>C150082B020A</t>
  </si>
  <si>
    <t>PTP 820S Radio 15GHz,TR644,ChAll,Lo,14500-14697MHz</t>
  </si>
  <si>
    <t>C150082B021A</t>
  </si>
  <si>
    <t>PTP 820S Radio 15GHz,TR728,Ch1W4,Hi,15229-15375MHz</t>
  </si>
  <si>
    <t>C150082B022A</t>
  </si>
  <si>
    <t>PTP 820S Radio 15GHz,TR728,Ch1W4,Lo,14500-14647MHz</t>
  </si>
  <si>
    <t>C150082B023A</t>
  </si>
  <si>
    <t>PTP 820C Radio 15GHz,TR315,Ch1W4,Hi,14963-15075MHz</t>
  </si>
  <si>
    <t>C150082B024A</t>
  </si>
  <si>
    <t>PTP 820C Radio 15GHz,TR315,Ch1W4,Lo,14648-14760MHz</t>
  </si>
  <si>
    <t>C150082B025A</t>
  </si>
  <si>
    <t>PTP 820C Radio 15GHz,TR315,Ch4W7,Hi,15047-15159MHz</t>
  </si>
  <si>
    <t>C150082B026A</t>
  </si>
  <si>
    <t>PTP 820C Radio 15GHz,TR315,Ch4W7,Lo,14732-14844MHz</t>
  </si>
  <si>
    <t>C150082B027A</t>
  </si>
  <si>
    <t>PTP 820C Radio 15GHz,TR420,Ch1W8,Hi,14921-15145MHz</t>
  </si>
  <si>
    <t>C150082B028A</t>
  </si>
  <si>
    <t>PTP 820C Radio 15GHz,TR420,Ch1W8,Lo,14501-14725MHz</t>
  </si>
  <si>
    <t>C150082B029A</t>
  </si>
  <si>
    <t>PTP 820C Radio 15GHz,TR420,Ch5W12,Hi,15033-15257MHz</t>
  </si>
  <si>
    <t>C150082B030A</t>
  </si>
  <si>
    <t>PTP 820C Radio 15GHz,TR420,Ch5W12,Lo,14613-14837MHz</t>
  </si>
  <si>
    <t>C150082B031A</t>
  </si>
  <si>
    <t>PTP 820C Radio 15GHz,TR420,Ch8W15,Hi,15117-15341MHz</t>
  </si>
  <si>
    <t>C150082B032A</t>
  </si>
  <si>
    <t>PTP 820C Radio 15GHz,TR420,Ch8W15,Lo,14697-14921MHz</t>
  </si>
  <si>
    <t>C150082B033A</t>
  </si>
  <si>
    <t>PTP 820C Radio 15GHz,TR475,Ch1W4,Hi,14975-15135MHz</t>
  </si>
  <si>
    <t>C150082B034A</t>
  </si>
  <si>
    <t>PTP 820C Radio 15GHz,TR475,Ch1W4,Lo,14500-14660MHz</t>
  </si>
  <si>
    <t>C150082B035A</t>
  </si>
  <si>
    <t>PTP 820C Radio 15GHz,TR475,Ch5W8,Hi,15135-15295MHz</t>
  </si>
  <si>
    <t>C150082B036A</t>
  </si>
  <si>
    <t>PTP 820C Radio 15GHz,TR475,Ch5W8,Lo,14660-14820MHz</t>
  </si>
  <si>
    <t>C150082B037A</t>
  </si>
  <si>
    <t>PTP 820C Radio 15GHz,TR490A,Ch1W8,Hi,14887-15117MHz</t>
  </si>
  <si>
    <t>C150082B038A</t>
  </si>
  <si>
    <t>PTP 820C Radio 15GHz,TR490A,Ch1W8,Lo,14397-14627MHz</t>
  </si>
  <si>
    <t>C150082B039A</t>
  </si>
  <si>
    <t>PTP 820C Radio 15GHz,TR490B,Ch9W16,Hi,15110-15348MHz</t>
  </si>
  <si>
    <t>C150082B040A</t>
  </si>
  <si>
    <t>PTP 820C Radio 15GHz,TR490B,Ch9W16,Lo,14620-14858MHz</t>
  </si>
  <si>
    <t>C150082B041A</t>
  </si>
  <si>
    <t>PTP 820C Radio 15GHz,TR644,ChAll,Hi,15144-15341MHz</t>
  </si>
  <si>
    <t>C150082B042A</t>
  </si>
  <si>
    <t>PTP 820C Radio 15GHz,TR644,ChAll,Lo,14500-14697MHz</t>
  </si>
  <si>
    <t>C150082B043A</t>
  </si>
  <si>
    <t>PTP 820C Radio 15GHz,TR728,Ch1W4,Hi,15229-15375MHz</t>
  </si>
  <si>
    <t>C150082B044A</t>
  </si>
  <si>
    <t>PTP 820C Radio 15GHz,TR728,Ch1W4,Lo,14500-14647MHz</t>
  </si>
  <si>
    <t>C150082R045A</t>
  </si>
  <si>
    <t>PTP 820 RFU-C,15GHz,TR315,Ch1W4,Hi,14963-15075MHz</t>
  </si>
  <si>
    <t>C150082R046A</t>
  </si>
  <si>
    <t>PTP 820 RFU-C,15GHz,TR315,Ch1W4,Lo,14648-14760MHz</t>
  </si>
  <si>
    <t>C150082R047A</t>
  </si>
  <si>
    <t>PTP 820 RFU-C,15GHz,TR315,Ch4W7,Hi,15047-15159MHz</t>
  </si>
  <si>
    <t>C150082R048A</t>
  </si>
  <si>
    <t>PTP 820 RFU-C,15GHz,TR315,Ch4W7,Lo,14732-14844MHz</t>
  </si>
  <si>
    <t>C150082R049A</t>
  </si>
  <si>
    <t>PTP 820 RFU-C,15GHz,TR420,Ch1W8,Hi,14921-15145MHz</t>
  </si>
  <si>
    <t>C150082R050A</t>
  </si>
  <si>
    <t>PTP 820 RFU-C,15GHz,TR420,Ch1W8,Lo,14501-14725MHz</t>
  </si>
  <si>
    <t>C150082R051A</t>
  </si>
  <si>
    <t>PTP 820 RFU-C,15GHz,TR420,Ch8W15,Hi,15117-15341MHz</t>
  </si>
  <si>
    <t>C150082R052A</t>
  </si>
  <si>
    <t>PTP 820 RFU-C,15GHz,TR420,Ch8W15,Lo,14697-14921MHz</t>
  </si>
  <si>
    <t>C150082R053A</t>
  </si>
  <si>
    <t>PTP 820 RFU-C,15GHz,TR475,Ch1W4w,Hi,14970-15135MHz</t>
  </si>
  <si>
    <t>C150082R054A</t>
  </si>
  <si>
    <t>PTP 820 RFU-C,15GHz,TR475,Ch1W4w,Lo,14500-14660MHz</t>
  </si>
  <si>
    <t>C150082R055A</t>
  </si>
  <si>
    <t>PTP 820 RFU-C,15GHz,TR475,Ch5W8w,Hi,15135-15295MHz</t>
  </si>
  <si>
    <t>C150082R056A</t>
  </si>
  <si>
    <t>PTP 820 RFU-C,15GHz,TR475,Ch5W8w,Lo,14660-14820MHz</t>
  </si>
  <si>
    <t>C150082R057A</t>
  </si>
  <si>
    <t>PTP 820 RFU-C,15GHz,TR490A,Ch1W8z,Hi,14887-15117MHz</t>
  </si>
  <si>
    <t>C150082R058A</t>
  </si>
  <si>
    <t>PTP 820 RFU-C,15GHz,TR490A,Ch1W8z,Lo,14397-14627MHz</t>
  </si>
  <si>
    <t>C150082R059A</t>
  </si>
  <si>
    <t>PTP 820 RFU-C,15GHz,TR490B,Ch9W16z,Hi,15110-15348MHz</t>
  </si>
  <si>
    <t>C150082R060A</t>
  </si>
  <si>
    <t>PTP 820 RFU-C,15GHz,TR490B,Ch9W16z,Lo,14620-14858MHz</t>
  </si>
  <si>
    <t>C150082R061A</t>
  </si>
  <si>
    <t>PTP 820 RFU-C,15GHz,TR644,ChAll,Hi,15144-15341MHz</t>
  </si>
  <si>
    <t>C150082R062A</t>
  </si>
  <si>
    <t>PTP 820 RFU-C,15GHz,TR644,ChAll,Lo,14500-14697MHz</t>
  </si>
  <si>
    <t>C150082R063A</t>
  </si>
  <si>
    <t>PTP 820 RFU-C,15GHz,TR728,Ch1W4w,Hi,15229-15375MHz</t>
  </si>
  <si>
    <t>C150082R064A</t>
  </si>
  <si>
    <t>PTP 820 RFU-C,15GHz,TR728,Ch1W4w,Lo,14500-14647MHz</t>
  </si>
  <si>
    <t>C150082R096A</t>
  </si>
  <si>
    <t>PTP 820 RFU-D, Dual TX, 15 GHz, Split, Basic Radio</t>
  </si>
  <si>
    <t>C180082B001A</t>
  </si>
  <si>
    <t>PTP 820S Radio 18GHz,TR1010,ChLow,Hi,18710-19220MHz</t>
  </si>
  <si>
    <t>C180082B002A</t>
  </si>
  <si>
    <t>PTP 820S Radio 18GHz,TR1010,ChLow,Lo,17700-18200MHz</t>
  </si>
  <si>
    <t>C180082B003A</t>
  </si>
  <si>
    <t>PTP 820S Radio 18GHz,TR1010,ChHigh,Hi,19160-19700MHz</t>
  </si>
  <si>
    <t>C180082B004A</t>
  </si>
  <si>
    <t>PTP 820S Radio 18GHz,TR1010,ChHigh,Lo,18126-18690MHz</t>
  </si>
  <si>
    <t>C180082B005A</t>
  </si>
  <si>
    <t>PTP 820S Radio 18GHz,TR1560,ChAll,Hi,19259-19710MHz</t>
  </si>
  <si>
    <t>C180082B006A</t>
  </si>
  <si>
    <t>PTP 820S Radio 18GHz,TR1560,ChAll,Lo,17699-18150MHz</t>
  </si>
  <si>
    <t>C180082B011A</t>
  </si>
  <si>
    <t>PTP 820S Radio 18WGHz,TR1560,ChAll,Hi,19259-19710MHz</t>
  </si>
  <si>
    <t>C180082B012A</t>
  </si>
  <si>
    <t>PTP 820S Radio 18WGHz,TR1560,ChAll,Lo,17699-18150MHz</t>
  </si>
  <si>
    <t>C180082B013A</t>
  </si>
  <si>
    <t>PTP 820C Radio 18GHz,TR1010,ChLow,Hi,18710-19220MHz</t>
  </si>
  <si>
    <t>C180082B014A</t>
  </si>
  <si>
    <t>PTP 820C Radio 18GHz,TR1010,ChLow,Lo,17700-18200MHz</t>
  </si>
  <si>
    <t>C180082B015A</t>
  </si>
  <si>
    <t>PTP 820C Radio 18GHz,TR1010,ChHigh,Hi,19160-19700MHz</t>
  </si>
  <si>
    <t>C180082B016A</t>
  </si>
  <si>
    <t>PTP 820C Radio 18GHz,TR1010,ChHigh,Lo,18126-18690MHz</t>
  </si>
  <si>
    <t>C180082B017A</t>
  </si>
  <si>
    <t>PTP 820C Radio 18GHz,TR1560,ChAll,Hi,19259-19710MHz</t>
  </si>
  <si>
    <t>C180082B018A</t>
  </si>
  <si>
    <t>PTP 820C Radio 18GHz,TR1560,ChAll,Lo,17699-18150MHz</t>
  </si>
  <si>
    <t>C180082B023A</t>
  </si>
  <si>
    <t>PTP 820C Radio 18WGHz,TR1560,ChAll,Hi,19259-19710MHz,ESX</t>
  </si>
  <si>
    <t>C180082B024A</t>
  </si>
  <si>
    <t>PTP 820C Radio 18WGHz,TR1560,ChAll,Lo,17699-18150MHz,ESX</t>
  </si>
  <si>
    <t>C180082L003A</t>
  </si>
  <si>
    <t>PTP 820C Radio 18WGHz,TR1560,ChAll,Hi,19259-19710MHz, ESS</t>
  </si>
  <si>
    <t>C180082L004A</t>
  </si>
  <si>
    <t>PTP 820C Radio 18WGHz,TR1560,ChAll,Lo,17699-18150MHz, ESS</t>
  </si>
  <si>
    <t>C180082R025A</t>
  </si>
  <si>
    <t>PTP 820 RFU-C,18GHz,TR1010,ChL,Hi,18710-19220MHz</t>
  </si>
  <si>
    <t>C180082R026A</t>
  </si>
  <si>
    <t>PTP 820 RFU-C,18GHz,TR1010,ChL,Lo,17700-18200MHz</t>
  </si>
  <si>
    <t>C180082R027A</t>
  </si>
  <si>
    <t>PTP 820 RFU-C,18GHz,TR1010,ChH,Hi,19160-19700MHz</t>
  </si>
  <si>
    <t>C180082R028A</t>
  </si>
  <si>
    <t>PTP 820 RFU-C,18GHz,TR1010,ChH,Lo,18126-18690MHz</t>
  </si>
  <si>
    <t>C180082R029A</t>
  </si>
  <si>
    <t>PTP 820 RFU-C,18GHz,TR1560,ChF,Hi,19259-19710MHz</t>
  </si>
  <si>
    <t>C180082R030A</t>
  </si>
  <si>
    <t>PTP 820 RFU-C,18GHz,TR1560,ChF,Lo,17699-18150MHz</t>
  </si>
  <si>
    <t>C180082R065A</t>
  </si>
  <si>
    <t>PTP 820 RFU-D, Dual TX, 18 GHz, Split, TR 1010, ChH, Hi, 19160-19700MHz</t>
  </si>
  <si>
    <t>C180082R066A</t>
  </si>
  <si>
    <t>PTP 820 RFU-D, Dual TX, 18 GHz, Split, TR 1010, ChH, Lo, 18126-18690MHz</t>
  </si>
  <si>
    <t>C180082R067A</t>
  </si>
  <si>
    <t>PTP 820 RFU-D, Dual TX, 18 GHz, Split, TR 1010, ChL, Hi, 18710-19220MHz</t>
  </si>
  <si>
    <t>C180082R068A</t>
  </si>
  <si>
    <t>PTP 820 RFU-D, Dual TX, 18 GHz, Split, TR 1010, ChL, Lo, 17700-18200MHz</t>
  </si>
  <si>
    <t>C180082R069A</t>
  </si>
  <si>
    <t>PTP 820 RFU-D, Dual TX, 18 GHz, Split, TR 1560, ChF, Hi, 19259-19710MHz</t>
  </si>
  <si>
    <t>C180082R070A</t>
  </si>
  <si>
    <t>PTP 820 RFU-D, Dual TX, 18 GHz, Split, TR 1560, ChF, Lo, 17699-18150MHz</t>
  </si>
  <si>
    <t>C180085B001A</t>
  </si>
  <si>
    <t>PTP 850S Radio 18GHz,TR1560,ChAll,Hi,19259-19710MHz</t>
  </si>
  <si>
    <t>C180085B002A</t>
  </si>
  <si>
    <t>PTP 850S Radio 18GHz,TR1560,ChAll,Lo,17699-18150MHz</t>
  </si>
  <si>
    <t>C180085B005A</t>
  </si>
  <si>
    <t>PTP 850S Radio 18GHz,TR1010,ChLow,Hi,18710-19220MHz</t>
  </si>
  <si>
    <t>C180085B006A</t>
  </si>
  <si>
    <t>PTP 850S Radio 18GHz,TR1010,ChLow,Lo,17700-18200MHz</t>
  </si>
  <si>
    <t>C180085B007A</t>
  </si>
  <si>
    <t xml:space="preserve">PTP 850C Radio 18GHz,TR1560,ChAll,Hi,19259-19710MHz </t>
  </si>
  <si>
    <t>C180085B008A</t>
  </si>
  <si>
    <t xml:space="preserve">PTP 850C Radio 18GHz,TR1560,ChAll,Lo,17699-18150MHz </t>
  </si>
  <si>
    <t>C180085B009A</t>
  </si>
  <si>
    <t xml:space="preserve">PTP 850C Radio 18GHz,TR1010,ChHigh,Hi,19160-19700MHz </t>
  </si>
  <si>
    <t>C180085B010A</t>
  </si>
  <si>
    <t xml:space="preserve">PTP 850C Radio 18GHz,TR1010,ChHigh,Lo,18126-18690MHz </t>
  </si>
  <si>
    <t>C180085B011A</t>
  </si>
  <si>
    <t xml:space="preserve">PTP 850C Radio 18GHz,TR1010,ChLow,Hi,18710-19220MHz </t>
  </si>
  <si>
    <t>C180085B012A</t>
  </si>
  <si>
    <t xml:space="preserve">PTP 850C Radio 18GHz,TR1010,ChLow,Lo,17700-18200MHz </t>
  </si>
  <si>
    <t>C230082B001A</t>
  </si>
  <si>
    <t>PTP 820S Radio 23GHz,TR1008,ChAll,Hi,23001-23600MHz</t>
  </si>
  <si>
    <t>C230082B002A</t>
  </si>
  <si>
    <t>PTP 820S Radio 23GHz,TR1008,ChAll,Lo,22000-22600MHz</t>
  </si>
  <si>
    <t>C230082B003A</t>
  </si>
  <si>
    <t>PTP 820S Radio 23GHz,TR1200/1232,ChLow,Hi,22400-23020MHz</t>
  </si>
  <si>
    <t>C230082B004A</t>
  </si>
  <si>
    <t>PTP 820S Radio 23GHz,TR1200/1232,ChLow,Lo,21200-21800MHz</t>
  </si>
  <si>
    <t>C230082B005A</t>
  </si>
  <si>
    <t>PTP 820S Radio 23GHz,TR1200/1232,ChHigh,Hi,23000-23601MHz</t>
  </si>
  <si>
    <t>C230082B006A</t>
  </si>
  <si>
    <t>PTP 820S Radio 23GHz,TR1200/1232,ChHigh,Lo,21780-22400MHz</t>
  </si>
  <si>
    <t>C230082B007A</t>
  </si>
  <si>
    <t>PTP 820C Radio 23GHz,TR1008,ChAll,Hi,23001-23600MHz</t>
  </si>
  <si>
    <t>C230082B008A</t>
  </si>
  <si>
    <t>PTP 820C Radio 23GHz,TR1008,ChAll,Lo,22000-22600MHz</t>
  </si>
  <si>
    <t>C230082B009A</t>
  </si>
  <si>
    <t>PTP 820C Radio 23GHz,TR1200/1232,ChLow,Hi,22400-23020MHz</t>
  </si>
  <si>
    <t>C230082B010A</t>
  </si>
  <si>
    <t>PTP 820C Radio 23GHz,TR1200/1232,ChLow,Lo,21200-21800MHz</t>
  </si>
  <si>
    <t>C230082B011A</t>
  </si>
  <si>
    <t>PTP 820C Radio 23GHz,TR1200/1232,ChHigh,Hi,23000-23601MHz</t>
  </si>
  <si>
    <t>C230082B012A</t>
  </si>
  <si>
    <t>PTP 820C Radio 23GHz,TR1200/1232,ChHigh,Lo,21780-22400MHz</t>
  </si>
  <si>
    <t>C230082B074A</t>
  </si>
  <si>
    <t>PTP 820C Radio 23GHz,TR1200/1232,ChLow,Hi,22400-23020MHz, ESS</t>
  </si>
  <si>
    <t>C230082B075A</t>
  </si>
  <si>
    <t>PTP 820C Radio 23GHz,TR1200/1232,ChLow,Lo,21200-21800MHz, ESS</t>
  </si>
  <si>
    <t>C230082B076A</t>
  </si>
  <si>
    <t>PTP 820C Radio 23GHz,TR1200/1232,ChHigh,Hi,23000-23601MHz, ESS</t>
  </si>
  <si>
    <t>C230082B077A</t>
  </si>
  <si>
    <t>PTP 820C Radio 23GHz,TR1200/1232,ChHigh,Lo,21780-22400MHz, ESS</t>
  </si>
  <si>
    <t>C230082R013A</t>
  </si>
  <si>
    <t>PTP 820 RFU-C,23GHz,TR1008,ChE,Hi,23000-23600MHz</t>
  </si>
  <si>
    <t>C230082R014A</t>
  </si>
  <si>
    <t>PTP 820 RFU-C,23GHz,TR1008,ChE,Lo,22000-22600MHz</t>
  </si>
  <si>
    <t>C230082R017A</t>
  </si>
  <si>
    <t>PTP 820 RFU-C,23GHz,TR1200/1232,ChL,Hi,22400-23020MHz</t>
  </si>
  <si>
    <t>C230082R018A</t>
  </si>
  <si>
    <t>PTP 820 RFU-C,23GHz,TR1200/1232,ChL,Lo,21200-21800MHz</t>
  </si>
  <si>
    <t>C230082R019A</t>
  </si>
  <si>
    <t>PTP 820 RFU-C,23GHz,TR1200/1232,ChH,Hi,23000-23600MHz</t>
  </si>
  <si>
    <t>C230082R020A</t>
  </si>
  <si>
    <t>PTP 820 RFU-C,23GHz,TR1200/1232,ChH,Lo,21780-22400MHz</t>
  </si>
  <si>
    <t>C230082R071A</t>
  </si>
  <si>
    <t>PTP 820 RFU-D, Dual TX, 23 GHz, Split, TR 1200/1232, ChH, Hi, 23000-23600MHz</t>
  </si>
  <si>
    <t>C230082R072A</t>
  </si>
  <si>
    <t>PTP 820 RFU-D, Dual TX, 23 GHz, Split, TR 1200/1232, ChH, Lo, 21780-22400MHz</t>
  </si>
  <si>
    <t>C230082R073A</t>
  </si>
  <si>
    <t>PTP 820 RFU-D, Dual TX, 23 GHz, Split, TR 1200/1232, ChL, Hi, 22400-23020MHz</t>
  </si>
  <si>
    <t>C230082R074A</t>
  </si>
  <si>
    <t>PTP 820 RFU-D, Dual TX, 23 GHz, Split, TR 1200/1232, ChL, Lo, 21200-21800MHz</t>
  </si>
  <si>
    <t>C230082R075A</t>
  </si>
  <si>
    <t>PTP 820 RFU-D, Dual TX, 23 GHz, Split, TR 1008, ChE, Hi, 23000-23600MHz</t>
  </si>
  <si>
    <t>C230082R076A</t>
  </si>
  <si>
    <t>PTP 820 RFU-D, Dual TX, 23 GHz, Split, TR 1008, ChE, Lo, 22000-22600MHz</t>
  </si>
  <si>
    <t>C240082B001A</t>
  </si>
  <si>
    <t>PTP 820S Radio 24GHz,UL,All,Hi,24170-24250MHz</t>
  </si>
  <si>
    <t>C240082B002A</t>
  </si>
  <si>
    <t>PTP 820S Radio 24GHz,UL,All,Lo,24000-24080MHz</t>
  </si>
  <si>
    <t>C240082B003A</t>
  </si>
  <si>
    <t>PTP 820S Radio 24GHz,UL,All,24000-24250MHz</t>
  </si>
  <si>
    <t>C240082B004A</t>
  </si>
  <si>
    <t>PTP 820C Radio 24GHz,UL,All,Hi,24170-24250MHz</t>
  </si>
  <si>
    <t>C240082B005A</t>
  </si>
  <si>
    <t>PTP 820C Radio 24GHz,UL,All,Lo,24000-24080MHz</t>
  </si>
  <si>
    <t>C240082B006A</t>
  </si>
  <si>
    <t>PTP 820C Radio 24GHz,UL,All,24000-24250MHz</t>
  </si>
  <si>
    <t>C240082B027A</t>
  </si>
  <si>
    <t>PTP 820C Radio 24GHz,TR170,FCC,DX4,FT1,Hi,24170-24250MHz</t>
  </si>
  <si>
    <t>C240082B028A</t>
  </si>
  <si>
    <t>PTP 820C Radio 24GHz,TR170,FCC,DX4,FT1,Lo,24000-24080MHz</t>
  </si>
  <si>
    <t>C240082B029A</t>
  </si>
  <si>
    <t>PTP 820C Radio 24GHz,TR140,FCC,DX3,FT1,Hi,24220-24250MHz</t>
  </si>
  <si>
    <t>C240082B030A</t>
  </si>
  <si>
    <t>PTP 820C Radio 24GHz,TR140,FCC,DX3,FT1,Lo,24080-24110MHz</t>
  </si>
  <si>
    <t>C240082B031A</t>
  </si>
  <si>
    <t>PTP 820S Radio 24GHz,TR170,FCC,DX4,FT1,Hi,24170-24250MHz</t>
  </si>
  <si>
    <t>C240082B032A</t>
  </si>
  <si>
    <t>PTP 820S Radio 24GHz,TR170,FCC,DX4,FT1,Lo,24000-24080MHz</t>
  </si>
  <si>
    <t>C240082B033A</t>
  </si>
  <si>
    <t>PTP 820S Radio 24GHz,TR140,FCC,DX3,FT1,Hi,24220-24250MHz</t>
  </si>
  <si>
    <t>C240082B034A</t>
  </si>
  <si>
    <t>PTP 820S Radio 24GHz,TR140,FCC,DX3,FT1,Lo,24080-24110MHz</t>
  </si>
  <si>
    <t>C240082R007A</t>
  </si>
  <si>
    <t>PTP 820 RFU-C,24GHz,UL,24000-24250MHz</t>
  </si>
  <si>
    <t>C240082R008A</t>
  </si>
  <si>
    <t>PTP 820 RFU-C,24GHz,TR140,ChDX2,Hi,24190-24220MHz</t>
  </si>
  <si>
    <t>C240082R009A</t>
  </si>
  <si>
    <t>PTP 820 RFU-C,24GHz,TR140,ChDX2,Lo,24050-24080MHz</t>
  </si>
  <si>
    <t>C240082R010A</t>
  </si>
  <si>
    <t>PTP 820 RFU-C,24GHz,TR140,ChDX3,Hi,24220-24250MHz</t>
  </si>
  <si>
    <t>C240082R011A</t>
  </si>
  <si>
    <t>PTP 820 RFU-C,24GHz,TR140,ChDX3,Lo,24080-24110MHz</t>
  </si>
  <si>
    <t>C260082B001A</t>
  </si>
  <si>
    <t>PTP 820S Radio 26GHz,TR1008,ChLow,Hi,25530-26030MHz</t>
  </si>
  <si>
    <t>C260082B002A</t>
  </si>
  <si>
    <t>PTP 820S Radio 26GHz,TR1008,ChLow,Lo,24520-25030MHz</t>
  </si>
  <si>
    <t>C260082B003A</t>
  </si>
  <si>
    <t>PTP 820S Radio 26GHz,TR1008,ChHigh,Hi,25980-26480MHz</t>
  </si>
  <si>
    <t>C260082B004A</t>
  </si>
  <si>
    <t>PTP 820S Radio 26GHz,TR1008,ChHigh,Lo,24970-25480MHz</t>
  </si>
  <si>
    <t>C260082B005A</t>
  </si>
  <si>
    <t>PTP 820C Radio 26GHz,TR1008,ChLow,Hi,25530-26030MHz</t>
  </si>
  <si>
    <t>C260082B006A</t>
  </si>
  <si>
    <t>PTP 820C Radio 26GHz,TR1008,ChLow,Lo,24520-25030MHz</t>
  </si>
  <si>
    <t>C260082B007A</t>
  </si>
  <si>
    <t>PTP 820C Radio 26GHz,TR1008,ChHigh,Hi,25980-26480MHz</t>
  </si>
  <si>
    <t>C260082B008A</t>
  </si>
  <si>
    <t>PTP 820C Radio 26GHz,TR1008,ChHigh,Lo,24970-25480MHz</t>
  </si>
  <si>
    <t>C260082B041A</t>
  </si>
  <si>
    <t>PTP 820S Radio,26GHz,TR800,ChHigh,Hi,25050-25250MHz</t>
  </si>
  <si>
    <t>C260082B042A</t>
  </si>
  <si>
    <t>PTP 820S Radio,26GHz,TR800,ChHigh,Lo,24250-24450MHz</t>
  </si>
  <si>
    <t>C260082B043A</t>
  </si>
  <si>
    <t>PTP 820S Radio,26GHz,TR800,ChLow,Hi,25266-25350MHz</t>
  </si>
  <si>
    <t>C260082B044A</t>
  </si>
  <si>
    <t>PTP 820S Radio,26GHz,TR800,ChLow,Lo,24466-24550MHz</t>
  </si>
  <si>
    <t>C260082R009A</t>
  </si>
  <si>
    <t>PTP 820 RFU-C,26GHz,TR1008,ChL,Hi,25530-26030MHz</t>
  </si>
  <si>
    <t>C260082R010A</t>
  </si>
  <si>
    <t>PTP 820 RFU-C,26GHz,TR1008,ChL,Lo,24520-25030MHz</t>
  </si>
  <si>
    <t>C260082R011A</t>
  </si>
  <si>
    <t>PTP 820 RFU-C,26GHz,TR1008,ChH,Hi,25980-26480MHz</t>
  </si>
  <si>
    <t>C260082R012A</t>
  </si>
  <si>
    <t>PTP 820 RFU-C,26GHz,TR1008,ChH,Lo,24970-25480MHz</t>
  </si>
  <si>
    <t>C260082R013A</t>
  </si>
  <si>
    <t>PTP 820 RFU-C,26GHz,TR800,ChL,Hi,25266-25350MHz</t>
  </si>
  <si>
    <t>C260082R014A</t>
  </si>
  <si>
    <t>PTP 820 RFU-C,26GHz,TR800,ChL,Lo,24466-24550MHz</t>
  </si>
  <si>
    <t>C260082R015A</t>
  </si>
  <si>
    <t>PTP 820 RFU-C,26GHz,TR800,ChH,Hi,25050-25250MHz</t>
  </si>
  <si>
    <t>C260082R016A</t>
  </si>
  <si>
    <t>PTP 820 RFU-C,26GHz,TR800,ChH,Lo,24250-24450MHz</t>
  </si>
  <si>
    <t>C280082B001A</t>
  </si>
  <si>
    <t>PTP 820S Radio 28GHz,TR1008,ChLow,Hi,28556-29005MHz</t>
  </si>
  <si>
    <t>C280082B002A</t>
  </si>
  <si>
    <t>PTP 820S Radio 28GHz,TR1008,ChLow,Lo,27548-27997MHz</t>
  </si>
  <si>
    <t>C280082B003A</t>
  </si>
  <si>
    <t>PTP 820S Radio 28GHz,TR1008,ChHigh,Hi,29004-29456MHz</t>
  </si>
  <si>
    <t>C280082B004A</t>
  </si>
  <si>
    <t>PTP 820S Radio 28GHz,TR1008,ChHigh,Lo,27996-28448MHz</t>
  </si>
  <si>
    <t>C280082B005A</t>
  </si>
  <si>
    <t>PTP 820S Radio 28GHz,TR1008,ChDX8,Hi,28948-29453MHz</t>
  </si>
  <si>
    <t>C280082B006A</t>
  </si>
  <si>
    <t>PTP 820S Radio 28GHz,TR1008,ChDX8,Lo,27940-28445MHz</t>
  </si>
  <si>
    <t>C280082B007A</t>
  </si>
  <si>
    <t>PTP 820C Radio 28GHz,TR1008,ChLow,Hi,28556-29005MHz</t>
  </si>
  <si>
    <t>C280082B008A</t>
  </si>
  <si>
    <t>PTP 820C Radio 28GHz,TR1008,ChLow,Lo,27548-27997MHz</t>
  </si>
  <si>
    <t>C280082B009A</t>
  </si>
  <si>
    <t>PTP 820C Radio 28GHz,TR1008,ChHigh,Hi,29004-29456MHz</t>
  </si>
  <si>
    <t>C280082B010A</t>
  </si>
  <si>
    <t>PTP 820C Radio 28GHz,TR1008,ChHigh,Lo,27996-28448MHz</t>
  </si>
  <si>
    <t>C280082B011A</t>
  </si>
  <si>
    <t>PTP 820C Radio 28GHz,TR1008,ChDX8,Hi,28948-29453MHz</t>
  </si>
  <si>
    <t>C280082B012A</t>
  </si>
  <si>
    <t>PTP 820C Radio 28GHz,TR1008,ChDX8,Lo,27940-28445MHz</t>
  </si>
  <si>
    <t>C280082R013A</t>
  </si>
  <si>
    <t>PTP 820 RFU-C,28GHz,TR1008,ChL,Hi,28556-29005MHz</t>
  </si>
  <si>
    <t>C280082R014A</t>
  </si>
  <si>
    <t>PTP 820 RFU-C,28GHz,TR1008,ChL,Lo,27548-27997MHz</t>
  </si>
  <si>
    <t>C280082R015A</t>
  </si>
  <si>
    <t>PTP 820 RFU-C,28GHz,TR1008,ChHz,Hi,29004-29456MHz</t>
  </si>
  <si>
    <t>C280082R016A</t>
  </si>
  <si>
    <t>PTP 820 RFU-C,28GHz,TR1008,ChHz,Lo,27996-28448MHz</t>
  </si>
  <si>
    <t>C280082R017A</t>
  </si>
  <si>
    <t>PTP 820 RFU-C,28GHz,TR125,ChF,Hi,29223.5-29251.5MHz</t>
  </si>
  <si>
    <t>C280082R018A</t>
  </si>
  <si>
    <t>PTP 820 RFU-C,28GHz,TR125,ChF,Lo,29098.5-29126.5MHz</t>
  </si>
  <si>
    <t>C280082R019A</t>
  </si>
  <si>
    <t>PTP 820 RFU-C,28GHz,TR350,ChL,Hi,27960-28110MHz</t>
  </si>
  <si>
    <t>C280082R020A</t>
  </si>
  <si>
    <t>PTP 820 RFU-C,28GHz,TR350,ChL,Lo,27610-27760MHz</t>
  </si>
  <si>
    <t>C280082R021A</t>
  </si>
  <si>
    <t>PTP 820 RFU-C,28GHz,TR350,ChH,Hi,28050-28200MHz</t>
  </si>
  <si>
    <t>C280082R022A</t>
  </si>
  <si>
    <t>PTP 820 RFU-C,28GHz,TR350,ChH,Lo,27700-27850MHz</t>
  </si>
  <si>
    <t>C280082R023A</t>
  </si>
  <si>
    <t>PTP 820 RFU-C,28GHz,TR450,ChL,Hi,27950-28150MHz</t>
  </si>
  <si>
    <t>C280082R024A</t>
  </si>
  <si>
    <t>PTP 820 RFU-C,28GHz,TR450,ChL,Lo,27500-27700MHz</t>
  </si>
  <si>
    <t>C280082R025A</t>
  </si>
  <si>
    <t>PTP 820 RFU-C,28GHz,TR450,ChH,Hi,28150-28350MHz</t>
  </si>
  <si>
    <t>C280082R026A</t>
  </si>
  <si>
    <t>PTP 820 RFU-C,28GHz,TR450,ChH,Lo,27700-27900MHz</t>
  </si>
  <si>
    <t>C280082R027A</t>
  </si>
  <si>
    <t>PTP 820 RFU-C,28GHz,TR490,ChL,Hi,28090-28315MHz</t>
  </si>
  <si>
    <t>C280082R028A</t>
  </si>
  <si>
    <t>PTP 820 RFU-C,28GHz,TR490,ChL,Lo,27600-27825MHz</t>
  </si>
  <si>
    <t>C320082B001A</t>
  </si>
  <si>
    <t>PTP 820S Radio 32GHz,TR812,ChLow,Hi,32627-33019MHz</t>
  </si>
  <si>
    <t>C320082B002A</t>
  </si>
  <si>
    <t>PTP 820S Radio 32GHz,TR812,ChLow,Lo,31815-32207MHz</t>
  </si>
  <si>
    <t>C320082B003A</t>
  </si>
  <si>
    <t>PTP 820S Radio 32GHz,TR812,ChHigh,Hi,32991-33383MHz</t>
  </si>
  <si>
    <t>C320082B004A</t>
  </si>
  <si>
    <t>PTP 820S Radio 32GHz,TR812,ChHigh,Lo,32179-32571MHz</t>
  </si>
  <si>
    <t>C320082B005A</t>
  </si>
  <si>
    <t>PTP 820C Radio 32GHz,TR812,ChLow,Hi,32627-33019MHz</t>
  </si>
  <si>
    <t>C320082B006A</t>
  </si>
  <si>
    <t>PTP 820C Radio 32GHz,TR812,ChLow,Lo,31815-32207MHz</t>
  </si>
  <si>
    <t>C320082B007A</t>
  </si>
  <si>
    <t>PTP 820C Radio 32GHz,TR812,ChHigh,Hi,32991-33383MHz</t>
  </si>
  <si>
    <t>C320082B008A</t>
  </si>
  <si>
    <t>PTP 820C Radio 32GHz,TR812,ChHigh,Lo,32179-32571MHz</t>
  </si>
  <si>
    <t>C320082R009A</t>
  </si>
  <si>
    <t>PTP 820 RFU-C,32GHz,TR812,ChL,Hi,32627-33019MHz</t>
  </si>
  <si>
    <t>C320082R010A</t>
  </si>
  <si>
    <t>PTP 820 RFU-C,32GHz,TR812,ChL,Lo,31815-32207MHz</t>
  </si>
  <si>
    <t>C320082R011A</t>
  </si>
  <si>
    <t>PTP 820 RFU-C,32GHz,TR812,ChH,Hi,32991-33383MHz</t>
  </si>
  <si>
    <t>C320082R012A</t>
  </si>
  <si>
    <t>PTP 820 RFU-C,32GHz,TR812,ChH,Lo,32179-32571MHz</t>
  </si>
  <si>
    <t>C380082B001A</t>
  </si>
  <si>
    <t>PTP 820S Radio 38GHz,TR1260,ChLow,Hi,38316-38936MHz</t>
  </si>
  <si>
    <t>C380082B002A</t>
  </si>
  <si>
    <t>PTP 820S Radio 38GHz,TR1260,ChLow,Lo,37045-37676MHz</t>
  </si>
  <si>
    <t>C380082B003A</t>
  </si>
  <si>
    <t>PTP 820S Radio 38GHz,TR1260,ChHigh,Hi,38820-39440MHz</t>
  </si>
  <si>
    <t>C380082B004A</t>
  </si>
  <si>
    <t>PTP 820S Radio 38GHz,TR1260,ChHigh,Lo,37560-38180MHz</t>
  </si>
  <si>
    <t>C380082B005A</t>
  </si>
  <si>
    <t>PTP 820S Radio 38GHz,TR700,ChAL ,Hi,37700-38050MHz</t>
  </si>
  <si>
    <t>C380082B006A</t>
  </si>
  <si>
    <t>PTP 820S Radio 38GHz,TR700,ChAL,Lo,37000-37350MHz</t>
  </si>
  <si>
    <t>C380082B007A</t>
  </si>
  <si>
    <t>PTP 820S Radio 38GHz,TR700,ChAH,Hi,38050-38400MHz</t>
  </si>
  <si>
    <t>C380082B008A</t>
  </si>
  <si>
    <t>PTP 820S Radio 38GHz,TR700,ChAH,Lo,37350-37700MHz</t>
  </si>
  <si>
    <t>C380082B009A</t>
  </si>
  <si>
    <t>PTP 820S Radio 38GHz,TR700,ChBL,Hi,39300-39650MHz</t>
  </si>
  <si>
    <t>C380082B010A</t>
  </si>
  <si>
    <t>PTP 820S Radio 38GHz,TR700,ChBL,Lo,38600-38950MHz</t>
  </si>
  <si>
    <t>C380082B011A</t>
  </si>
  <si>
    <t>PTP 820S Radio 38GHz,TR700,ChBH,Hi,39650-40000MHz</t>
  </si>
  <si>
    <t>C380082B012A</t>
  </si>
  <si>
    <t>PTP 820S Radio 38GHz,TR700,ChBH,Lo,38950-39300MHz</t>
  </si>
  <si>
    <t>C380082B013A</t>
  </si>
  <si>
    <t>PTP 820C Radio 38GHz,TR1260,ChLow,Hi,38316-38936MHz</t>
  </si>
  <si>
    <t>C380082B014A</t>
  </si>
  <si>
    <t>PTP 820C Radio 38GHz,TR1260,ChLow,Lo,37045-37676MHz</t>
  </si>
  <si>
    <t>C380082B015A</t>
  </si>
  <si>
    <t>PTP 820C Radio 38GHz,TR1260,ChHigh,Hi,38820-39440MHz</t>
  </si>
  <si>
    <t>C380082B016A</t>
  </si>
  <si>
    <t>PTP 820C Radio 38GHz,TR1260,ChHigh,Lo,37560-38180MHz</t>
  </si>
  <si>
    <t>C380082B017A</t>
  </si>
  <si>
    <t>PTP 820C Radio 38GHz,TR700,ChAL ,Hi,37700-38050MHz</t>
  </si>
  <si>
    <t>C380082B018A</t>
  </si>
  <si>
    <t>PTP 820C Radio 38GHz,TR700,ChAL,Lo,37000-37350MHz</t>
  </si>
  <si>
    <t>C380082B019A</t>
  </si>
  <si>
    <t>PTP 820C Radio 38GHz,TR700,ChAH,Hi,38050-38400MHz</t>
  </si>
  <si>
    <t>C380082B020A</t>
  </si>
  <si>
    <t>PTP 820C Radio 38GHz,TR700,ChAH,Lo,37350-37700MHz</t>
  </si>
  <si>
    <t>C380082B021A</t>
  </si>
  <si>
    <t>PTP 820C Radio 38GHz,TR700,ChBL,Hi,39300-39650MHz</t>
  </si>
  <si>
    <t>C380082B022A</t>
  </si>
  <si>
    <t>PTP 820C Radio 38GHz,TR700,ChBL,Lo,38600-38950MHz</t>
  </si>
  <si>
    <t>C380082B023A</t>
  </si>
  <si>
    <t>PTP 820C Radio 38GHz,TR700,ChBH,Hi,39650-40000MHz</t>
  </si>
  <si>
    <t>C380082B024A</t>
  </si>
  <si>
    <t>PTP 820C Radio 38GHz,TR700,ChBH,Lo,38950-39300MHz</t>
  </si>
  <si>
    <t>C380082R025A</t>
  </si>
  <si>
    <t>PTP 820 RFU-C,38GHz,TR1260,ChLw,Hi,38316-38936MHz</t>
  </si>
  <si>
    <t>C380082R026A</t>
  </si>
  <si>
    <t>PTP 820 RFU-C,38GHz,TR1260,ChLw,Lo,37045-37676MHz</t>
  </si>
  <si>
    <t>C380082R027A</t>
  </si>
  <si>
    <t>PTP 820 RFU-C,38GHz,TR1260,ChH,Hi,38820-39440MHz</t>
  </si>
  <si>
    <t>C380082R028A</t>
  </si>
  <si>
    <t>PTP 820 RFU-C,38GHz,TR1260,ChH,Lo,37560-38180MHz</t>
  </si>
  <si>
    <t>C380082R029A</t>
  </si>
  <si>
    <t>PTP 820 RFU-C,38GHz,TR700,ChAL,Hi,37700-38050MHz</t>
  </si>
  <si>
    <t>C380082R030A</t>
  </si>
  <si>
    <t>PTP 820 RFU-C,38GHz,TR700,ChAL,Lo,37000-37350MHz</t>
  </si>
  <si>
    <t>C380082R031A</t>
  </si>
  <si>
    <t>PTP 820 RFU-C,38GHz,TR700,ChAH,Hi,38050-38400MHz</t>
  </si>
  <si>
    <t>C380082R032A</t>
  </si>
  <si>
    <t>PTP 820 RFU-C,38GHz,TR700,ChAH,Lo,37350-37700MHz</t>
  </si>
  <si>
    <t>C380082R033A</t>
  </si>
  <si>
    <t>PTP 820 RFU-C,38GHz,TR700,ChBL,Hi,39300-39650MHz</t>
  </si>
  <si>
    <t>C380082R034A</t>
  </si>
  <si>
    <t>PTP 820 RFU-C,38GHz,TR700,ChBL,Lo,38600-38950MHz</t>
  </si>
  <si>
    <t>C380082R035A</t>
  </si>
  <si>
    <t>PTP 820 RFU-C,38GHz,TR700,ChBH,Hi,39650-40000MHz</t>
  </si>
  <si>
    <t>C380082R036A</t>
  </si>
  <si>
    <t>PTP 820 RFU-C,38GHz,TR700,ChBH,Lo,38950-39300MHz</t>
  </si>
  <si>
    <t>C800082B002A</t>
  </si>
  <si>
    <t>PTP 820E Radio, Hi, TX 81-86GHz, RX 71-76GHz, ESP</t>
  </si>
  <si>
    <t>C800082B003A</t>
  </si>
  <si>
    <t>PTP 820E Radio, Lo, TX 71-76GHz, RX 81-86GHz, ESP</t>
  </si>
  <si>
    <t>C800082B004A</t>
  </si>
  <si>
    <t>PTP 820E Radio with 43 dBi ant, Hi, TX 81-86GHz, RX 71-76GHz, ESP</t>
  </si>
  <si>
    <t>C800082B005A</t>
  </si>
  <si>
    <t>PTP 820E Radio with 43 dBi ant, Lo, TX 71-76GHz, RX 81-86GHz, ESP</t>
  </si>
  <si>
    <t>C800082B006A</t>
  </si>
  <si>
    <t>PTP 820E Radio, Hi, TX 81-86GHz, RX 71-76GHz, ESE</t>
  </si>
  <si>
    <t>C800082B007A</t>
  </si>
  <si>
    <t>PTP 820E Radio, Lo, TX 71-76GHz, RX 81-86GHz, ESE</t>
  </si>
  <si>
    <t>C800082B008A</t>
  </si>
  <si>
    <t>PTP 820E Radio with 43 dBi ant, Hi, TX 81-86GHz, RX 71-76GHz, ESE</t>
  </si>
  <si>
    <t>C800082B009A</t>
  </si>
  <si>
    <t>PTP 820E Radio with 43 dBi ant, Lo, TX 71-76GHz, RX 81-86GHz, ESE</t>
  </si>
  <si>
    <t>C800082K003A</t>
  </si>
  <si>
    <t>C800082K004A</t>
  </si>
  <si>
    <t>PTP 820E/850E Act.Key - Capacity 1.6G with ACM Enabled, Per Tx Chan</t>
  </si>
  <si>
    <t>C800082K005A</t>
  </si>
  <si>
    <t>C800082K006A</t>
  </si>
  <si>
    <t>PTP 820/850 Act.Key - Advanced Space Diversity, Per Tx Chan</t>
  </si>
  <si>
    <t>C800082K008A</t>
  </si>
  <si>
    <t>PTP 820/850 Act.Key - Enhanced MC-ABC for Multi-band Support, Per Tx Chan</t>
  </si>
  <si>
    <t>C800082K009A</t>
  </si>
  <si>
    <t>PTP 820/850E Act.Key - XPIC for mmW</t>
  </si>
  <si>
    <t>C800082R004A</t>
  </si>
  <si>
    <t>PTP 820 RFU-E, Hi, TX 81-86GHz / RX 71-76GHz</t>
  </si>
  <si>
    <t>C800082R005A</t>
  </si>
  <si>
    <t>PTP 820 RFU-E, Lo, TX 71-76GHz / RX 81-86GHz</t>
  </si>
  <si>
    <t>C800082R006A</t>
  </si>
  <si>
    <t>PTP 820 RFU-E with 43 dBi ant, Hi, TX 81-86GHz, RX 71-76GHz</t>
  </si>
  <si>
    <t>C800082R007A</t>
  </si>
  <si>
    <t>PTP 820 RFU-E with 43 dBi ant, Lo, TX 71-76GHz, RX 81-86GHz</t>
  </si>
  <si>
    <t>C800085B001A</t>
  </si>
  <si>
    <t>PTP 850E Radio, 10Gbps, Hi, TX 81-86GHz, RX 71-76GHz</t>
  </si>
  <si>
    <t>C800085B002A</t>
  </si>
  <si>
    <t>PTP 850E Radio, 10Gbps, Lo, TX 71-76GHz, RX 81-86GHz</t>
  </si>
  <si>
    <t>C800085B003A</t>
  </si>
  <si>
    <t>PTP 850E Radio with 43 dBi ant, 10Gbps, Hi, TX 81-86GHz, RX 71-76GHz</t>
  </si>
  <si>
    <t>C800085B004A</t>
  </si>
  <si>
    <t>PTP 850E Radio with 43 dBi ant, 10Gbps, Lo, TX 71-76GHz, RX 81-86GHz</t>
  </si>
  <si>
    <t>C800085K002A</t>
  </si>
  <si>
    <t>PTP 850E Act.Key - Capacity 5G with ACM Enabled, Per Tx Chan</t>
  </si>
  <si>
    <t>C800085K003A</t>
  </si>
  <si>
    <t>PTP 850E Act.Key - Capacity 10G with ACM Enabled, Per Tx Chan</t>
  </si>
  <si>
    <t>Cambium Care Advanced, 3-year support for one cnPilot e700.  24x7 TAC support, SW updates, and NBDS advance replacement for HW</t>
  </si>
  <si>
    <t>Cambium Care Advanced, 5-year support for one cnPilot e700.  24x7 TAC support, SW updates, and NBDS advance replacement for HW</t>
  </si>
  <si>
    <t>CCADV-SUP-V1000-1</t>
  </si>
  <si>
    <t>Cambium Care Advanced, 1-year support for one V1000.  24x7 TAC support, SW updates, and NBDS advance replacement for HW</t>
  </si>
  <si>
    <t>CCADV-SUP-V1000-3</t>
  </si>
  <si>
    <t>Cambium Care Advanced, 3-year support for one V1000.  24x7 TAC support, SW updates, and NBDS advance replacement for HW</t>
  </si>
  <si>
    <t>CCADV-SUP-V1000-5</t>
  </si>
  <si>
    <t>Cambium Care Advanced, 5-year support for one V1000.  24x7 TAC support, SW updates, and NBDS advance replacement for HW</t>
  </si>
  <si>
    <t>CCADV-SUP-V3000-1</t>
  </si>
  <si>
    <t>Cambium Care Advanced, 1-year support for one V3000.  24x7 TAC support, SW updates, and NBDS advance replacement for HW</t>
  </si>
  <si>
    <t>CCADV-SUP-V3000-3</t>
  </si>
  <si>
    <t>Cambium Care Advanced, 3-year support for one V3000.  24x7 TAC support, SW updates, and NBDS advance replacement for HW</t>
  </si>
  <si>
    <t>CCADV-SUP-V3000-5</t>
  </si>
  <si>
    <t>Cambium Care Advanced, 5-year support for one V3000.  24x7 TAC support, SW updates, and NBDS advance replacement for HW</t>
  </si>
  <si>
    <t>CCADV-SUP-V5000-1</t>
  </si>
  <si>
    <t>Cambium Care Advanced, 1-year support for one V5000.  24x7 TAC support, SW updates, and NBDS advance replacement for HW</t>
  </si>
  <si>
    <t>CCADV-SUP-V5000-3</t>
  </si>
  <si>
    <t>Cambium Care Advanced, 3-year support for one V5000.  24x7 TAC support, SW updates, and NBDS advance replacement for HW</t>
  </si>
  <si>
    <t>Cambium Care Pro, 1-year support for one cnPilot e700.  24x7 TAC support, SW updates</t>
  </si>
  <si>
    <t>Cambium Care Pro, 3-year support for one cnPilot e700.  24x7 TAC support, SW updates</t>
  </si>
  <si>
    <t>Cambium Care Pro, 5-year support for one cnPilot e700.  24x7 TAC support, SW updates</t>
  </si>
  <si>
    <t>CCPRO-SUP-V1000-3</t>
  </si>
  <si>
    <t>Cambium Care Pro, 3-year support for one V1000.  24x7 TAC support, SW updates</t>
  </si>
  <si>
    <t>CCPRO-SUP-V3000-3</t>
  </si>
  <si>
    <t>Cambium Care Pro, 3-year support for one V3000.  24x7 TAC support, SW updates</t>
  </si>
  <si>
    <t>CCPRO-SUP-V3000-5</t>
  </si>
  <si>
    <t>Cambium Care Pro, 5-year support for one V3000.  24x7 TAC support, SW updates</t>
  </si>
  <si>
    <t>CCPRO-SUP-V5000-5</t>
  </si>
  <si>
    <t>Cambium Care Pro, 5-year support for one V5000.  24x7 TAC support, SW updates</t>
  </si>
  <si>
    <t>EW-E1L220RH-WW</t>
  </si>
  <si>
    <t>cnRanger 2 GHz Palisade 220 RRH Extended Warranty, 1 Additional Year</t>
  </si>
  <si>
    <t>EW-E1L888BU-WW</t>
  </si>
  <si>
    <t>Sierra 800 Baseband Unit Extended Warranty, 1 Additional Year</t>
  </si>
  <si>
    <t>EW-E1NBN51-WW</t>
  </si>
  <si>
    <t>cnReach N500 Single Radio Extended Warranty, 1 Additional Year</t>
  </si>
  <si>
    <t>EW-E1NBN52-WW</t>
  </si>
  <si>
    <t>cnReach N500 Dual Radio Extended Warranty, 1 Additional Year</t>
  </si>
  <si>
    <t>EW-E1PM45AP-WW</t>
  </si>
  <si>
    <t>PMP450/450i Access Point Extended Warranty, 1 Additional Year</t>
  </si>
  <si>
    <t>EW-E1PM45MPOP-WW</t>
  </si>
  <si>
    <t>PMP 450 MicroPop Extended Warranty, 1 additional year</t>
  </si>
  <si>
    <t>EW-E1PM45SM-WW</t>
  </si>
  <si>
    <t>PMP450/450b/450d Subscriber Module Extended Warranty, 1 Additional Year</t>
  </si>
  <si>
    <t>EW-E1PM4ISM-WW</t>
  </si>
  <si>
    <t>PMP450i Subscriber Module Extended Warranty, 1 Additional Year</t>
  </si>
  <si>
    <t>EW-E1PM4MAP-WW</t>
  </si>
  <si>
    <t>PMP450m Access Point Extended Warranty, 1 Additional Year</t>
  </si>
  <si>
    <t>EW-E1PMC5CL-WW</t>
  </si>
  <si>
    <t>CMM5 Controller Extended Warranty, 1 Additional Year</t>
  </si>
  <si>
    <t>EW-E1PMC5PS-WW</t>
  </si>
  <si>
    <t>CMM5 Power/Sync Injector Extended Warranty, 1 Additional Year</t>
  </si>
  <si>
    <t>EW-E1PT450-WW</t>
  </si>
  <si>
    <t>PTP 450 Extended Warranty, 1 additional year (per END)</t>
  </si>
  <si>
    <t>PTP 450</t>
  </si>
  <si>
    <t>EW-E1PT450B-WW</t>
  </si>
  <si>
    <t>PTP 450b Extended Warranty, 1 additional year (per END)</t>
  </si>
  <si>
    <t>PTP 450b</t>
  </si>
  <si>
    <t>EW-E1PT450I-WW</t>
  </si>
  <si>
    <t>PTP 450i Extended Warranty, 1 additional year (per END)</t>
  </si>
  <si>
    <t>EW-E1PT550-WW</t>
  </si>
  <si>
    <t>PTP 550 Extended Warranty, 1 Additional year (per END)</t>
  </si>
  <si>
    <t>EW-E1PT670M-WW</t>
  </si>
  <si>
    <t>PTP 670 (Mexico) Extended Warranty, 1 additional year (per END)</t>
  </si>
  <si>
    <t>EW-E1PT6XX-WW</t>
  </si>
  <si>
    <t>EW-E1PT820C-WW</t>
  </si>
  <si>
    <t>PTP820C Extended Warranty, 1 Additional Year</t>
  </si>
  <si>
    <t>EW-E1PT820F-WW</t>
  </si>
  <si>
    <t>PTP 820F, 3x Radio, 6x Eth + 16x E1/T1 Extended Warranty, 1 Additional Year</t>
  </si>
  <si>
    <t>EW-E1PT820S-WW</t>
  </si>
  <si>
    <t>PTP820S Extended Warranty, 1 Additional Year</t>
  </si>
  <si>
    <t>EW-E1PT82CHP-WW</t>
  </si>
  <si>
    <t>PTP 820C-HP Extended Warranty, 1 Additional Year</t>
  </si>
  <si>
    <t>EW-E1PT82D1-WW</t>
  </si>
  <si>
    <t>PTP820 RFU-D [6-15GHz] Extended Warranty, 1 Additional Year</t>
  </si>
  <si>
    <t>EW-E1PT82D2-WW</t>
  </si>
  <si>
    <t>PTP820 RFU-D [18-23GHz] Extended Warranty, 1 Additional Year</t>
  </si>
  <si>
    <t>EW-E1PT82DH-WW</t>
  </si>
  <si>
    <t>PTP820 RFU-D-HP Extended Warranty, 1 Additional Year</t>
  </si>
  <si>
    <t>EW-E1PT82E1-WW</t>
  </si>
  <si>
    <t>PTP820 RFU-E Extended Warranty, 1 Additional Year</t>
  </si>
  <si>
    <t>EW-E1PT82E2-WW</t>
  </si>
  <si>
    <t>PTP820 RFU-E with 43 dBi ant Extended Warranty, 1 Additional Year</t>
  </si>
  <si>
    <t>EW-E1PT82E3-WW</t>
  </si>
  <si>
    <t>PTP820E Radio Extended Warranty, 1 Additional Year</t>
  </si>
  <si>
    <t>EW-E1PT82E4-WW</t>
  </si>
  <si>
    <t>PTP820E Radio with 43 dBi ant Extended Warranty, 1 Additional Year</t>
  </si>
  <si>
    <t>EW-E1PT82M1-WW</t>
  </si>
  <si>
    <t>PTP 820G IDU (Single Modem) Extended Warranty, 1 Addl Year</t>
  </si>
  <si>
    <t>EW-E1PT82M2-WW</t>
  </si>
  <si>
    <t>PTP 820G IDU (Dual Modem) Extended Warranty, 1 Addl Year</t>
  </si>
  <si>
    <t>EW-E1PT82RA-WW</t>
  </si>
  <si>
    <t>PTP820G RFU-A Extended Warranty, 1 Additional Year</t>
  </si>
  <si>
    <t>EW-E1PT82RC-WW</t>
  </si>
  <si>
    <t>PTP820G RFU-C Extended Warranty, 1 Additional Year</t>
  </si>
  <si>
    <t>EW-E1PT82RS-WW</t>
  </si>
  <si>
    <t>PTP 820 RFU-S, Single Tx, Split Extended Warranty, 1 Additional Year</t>
  </si>
  <si>
    <t>EW-E1PT850E-WW</t>
  </si>
  <si>
    <t>PTP 850E Radio Extended Warranty, 1 Additional Year</t>
  </si>
  <si>
    <t>EW-E1RGT1SM-WW</t>
  </si>
  <si>
    <t>cnRanger Tyndall  1xx SM PSU/US/UK/EU Extended Warranty, 1 Additional Year</t>
  </si>
  <si>
    <t>EW-E1RGT2SM-WW</t>
  </si>
  <si>
    <t>cnRanger Tyndall  2xx SM PSU/US/UK/EU Extended Warranty, 1 Additional Year</t>
  </si>
  <si>
    <t>EW-E2L220RH-WW</t>
  </si>
  <si>
    <t>cnRanger 2 GHz Palisade 220 RRH Extended Warranty, 2 Additional Years</t>
  </si>
  <si>
    <t>EW-E2L888BU-WW</t>
  </si>
  <si>
    <t>Sierra 800 Baseband Unit Extended Warranty, 2 Additional Years</t>
  </si>
  <si>
    <t>EW-E2NBN51-WW</t>
  </si>
  <si>
    <t>cnReach N500 Single Radio Extended Warranty, 2 Additional Years</t>
  </si>
  <si>
    <t>EW-E2NBN52-WW</t>
  </si>
  <si>
    <t>cnReach N500 Dual Radio Extended Warranty, 2 Additional Years</t>
  </si>
  <si>
    <t>EW-E2PM45AP-WW</t>
  </si>
  <si>
    <t>PMP450/450i Access Point Extended Warranty, 2 Additional Years</t>
  </si>
  <si>
    <t>EW-E2PM45MPOP-WW</t>
  </si>
  <si>
    <t>PMP 450 MicroPop Extended Warranty, 2 additional years</t>
  </si>
  <si>
    <t>EW-E2PM45SM-WW</t>
  </si>
  <si>
    <t>PMP450/450b/450d Subscriber Module Extended Warranty, 2 Additional Years</t>
  </si>
  <si>
    <t>EW-E2PM4ISM-WW</t>
  </si>
  <si>
    <t>PMP450i Subscriber Module Extended Warranty, 2 Additional Years</t>
  </si>
  <si>
    <t>EW-E2PM4MAP-WW</t>
  </si>
  <si>
    <t>PMP450m Access Point Extended Warranty, 2 Additional Years</t>
  </si>
  <si>
    <t>EW-E2PMC5CL-WW</t>
  </si>
  <si>
    <t>CMM5 Controller Extended Warranty, 2 Additional Years</t>
  </si>
  <si>
    <t>EW-E2PMC5PS-WW</t>
  </si>
  <si>
    <t>CMM5 Power/Sync Injector Extended Warranty, 2 Additional Years</t>
  </si>
  <si>
    <t>EW-E2PT450-WW</t>
  </si>
  <si>
    <t>PTP 450 Extended Warranty, 2 additional years (per END)</t>
  </si>
  <si>
    <t>EW-E2PT450B-WW</t>
  </si>
  <si>
    <t>PTP 450b Extended Warranty, 2 additional years (per END)</t>
  </si>
  <si>
    <t>EW-E2PT450I-WW</t>
  </si>
  <si>
    <t>PTP 450i Extended Warranty, 2 additional years (per END)</t>
  </si>
  <si>
    <t>EW-E2PT550-WW</t>
  </si>
  <si>
    <t>PTP 550 Extended Warranty, 2 Additional years (per END)</t>
  </si>
  <si>
    <t>EW-E2PT670M-WW</t>
  </si>
  <si>
    <t>PTP 670 (Mexico) Extended Warranty, 2 additional years (per END)</t>
  </si>
  <si>
    <t>EW-E2PT6XX-WW</t>
  </si>
  <si>
    <t>EW-E2PT820C-WW</t>
  </si>
  <si>
    <t>PTP820C Extended Warranty, 2 Additional Years</t>
  </si>
  <si>
    <t>EW-E2PT820F-WW</t>
  </si>
  <si>
    <t>PTP 820F, 3x Radio, 6x Eth + 16x E1/T1 Extended Warranty, 2 Additional Years</t>
  </si>
  <si>
    <t>EW-E2PT820S-WW</t>
  </si>
  <si>
    <t>PTP820S Extended Warranty, 2 Additional Years</t>
  </si>
  <si>
    <t>EW-E2PT82CHP-WW</t>
  </si>
  <si>
    <t>PTP 820C-HP Extended Warranty, 2 Additional Years</t>
  </si>
  <si>
    <t>EW-E2PT82D1-WW</t>
  </si>
  <si>
    <t>PTP820 RFU-D [6-15GHz]  Extended Warranty, 2 Additional Years</t>
  </si>
  <si>
    <t>EW-E2PT82D2-WW</t>
  </si>
  <si>
    <t>PTP820 RFU-D [18-23GHz]  Extended Warranty, 2 Additional Years</t>
  </si>
  <si>
    <t>EW-E2PT82DH-WW</t>
  </si>
  <si>
    <t>PTP820 RFU-D-HP Extended Warranty, 2 Additional Years</t>
  </si>
  <si>
    <t>EW-E2PT82E1-WW</t>
  </si>
  <si>
    <t>PTP820 RFU-E  Extended Warranty, 2 Additional Years</t>
  </si>
  <si>
    <t>EW-E2PT82E2-WW</t>
  </si>
  <si>
    <t>PTP820 RFU-E with 43 dBi ant  Extended Warranty, 2 Additional Years</t>
  </si>
  <si>
    <t>EW-E2PT82E3-WW</t>
  </si>
  <si>
    <t>PTP820E Radio  Extended Warranty, 2 Additional Years</t>
  </si>
  <si>
    <t>EW-E2PT82E4-WW</t>
  </si>
  <si>
    <t>PTP820E Radio with 43 dBi ant  Extended Warranty, 2 Additional Years</t>
  </si>
  <si>
    <t>EW-E2PT82M1-WW</t>
  </si>
  <si>
    <t>PTP 820G IDU (Single Modem) Extended Warranty, 2 Addl Years</t>
  </si>
  <si>
    <t>EW-E2PT82M2-WW</t>
  </si>
  <si>
    <t>PTP 820G IDU (Dual Modem) Extended Warranty, 2 Addl Years</t>
  </si>
  <si>
    <t>EW-E2PT82RA-WW</t>
  </si>
  <si>
    <t>PTP820G RFU-A Extended Warranty, 2 Additional Years</t>
  </si>
  <si>
    <t>EW-E2PT82RC-WW</t>
  </si>
  <si>
    <t>PTP820G RFU-C Extended Warranty, 2 Additional Years</t>
  </si>
  <si>
    <t>EW-E2PT82RS-WW</t>
  </si>
  <si>
    <t>PTP 820 RFU-S, Single Tx, Split Extended Warranty, 2 Additional Years</t>
  </si>
  <si>
    <t>EW-E2PT850E-WW</t>
  </si>
  <si>
    <t>PTP 850E Radio Extended Warranty, 2 Additional Years</t>
  </si>
  <si>
    <t>EW-E2RGT1SM-WW</t>
  </si>
  <si>
    <t>cnRanger Tyndall  1xx SM PSU/US/UK/EU Extended Warranty, 2 Additional Years</t>
  </si>
  <si>
    <t>EW-E2RGT2SM-WW</t>
  </si>
  <si>
    <t>cnRanger Tyndall  2xx SM PSU/US/UK/EU Extended Warranty, 2 Additional Years</t>
  </si>
  <si>
    <t>EW-E3NBN51-WW</t>
  </si>
  <si>
    <t>cnReach N500 Single Radio Extended Warranty, 3 Additional Years</t>
  </si>
  <si>
    <t>EW-E3NBN52-WW</t>
  </si>
  <si>
    <t>cnReach N500 Dual Radio Extended Warranty, 3 Additional Years</t>
  </si>
  <si>
    <t>EW-E3PMC5CL-WW</t>
  </si>
  <si>
    <t>CMM5 Controller Extended Warranty, 3 Additional Years</t>
  </si>
  <si>
    <t>EW-E3PMC5PS-WW</t>
  </si>
  <si>
    <t>CMM5 Power/Sync Injector Extended Warranty, 3 Additional Years</t>
  </si>
  <si>
    <t>EW-E3PT670M-WW</t>
  </si>
  <si>
    <t>PTP 670 (Mexico) Extended Warranty, 3 additional years (per END)</t>
  </si>
  <si>
    <t>EW-E3PT6XX-WW</t>
  </si>
  <si>
    <t>EW-E3PT820C-WW</t>
  </si>
  <si>
    <t>PTP820C Extended Warranty, 3 Additional Years</t>
  </si>
  <si>
    <t>EW-E3PT820F-WW</t>
  </si>
  <si>
    <t>PTP 820F, 3x Radio, 6x Eth + 16x E1/T1 Extended Warranty, 3 Additional Years</t>
  </si>
  <si>
    <t>EW-E3PT820S-WW</t>
  </si>
  <si>
    <t>PTP820S Extended Warranty, 3 Additional Years</t>
  </si>
  <si>
    <t>EW-E3PT82CHP-WW</t>
  </si>
  <si>
    <t>PTP 820C-HP Extended Warranty, 3 Additional Years</t>
  </si>
  <si>
    <t>EW-E3PT82D1-WW</t>
  </si>
  <si>
    <t>PTP820 RFU-D [6-15GHz]  Extended Warranty, 3 Additional Years</t>
  </si>
  <si>
    <t>EW-E3PT82D2-WW</t>
  </si>
  <si>
    <t>PTP820 RFU-D [18-23GHz]  Extended Warranty, 3 Additional Years</t>
  </si>
  <si>
    <t>EW-E3PT82DH-WW</t>
  </si>
  <si>
    <t>PTP820 RFU-D-HP Extended Warranty, 3 Additional Years</t>
  </si>
  <si>
    <t>EW-E3PT82E1-WW</t>
  </si>
  <si>
    <t>PTP820 RFU-E  Extended Warranty, 3 Additional Years</t>
  </si>
  <si>
    <t>EW-E3PT82E2-WW</t>
  </si>
  <si>
    <t>PTP820 RFU-E with 43 dBi ant  Extended Warranty, 3 Additional Years</t>
  </si>
  <si>
    <t>EW-E3PT82E3-WW</t>
  </si>
  <si>
    <t>PTP820E Radio  Extended Warranty, 3 Additional Years</t>
  </si>
  <si>
    <t>EW-E3PT82E4-WW</t>
  </si>
  <si>
    <t>PTP820E Radio with 43 dBi ant  Extended Warranty, 3 Additional Years</t>
  </si>
  <si>
    <t>EW-E3PT82M1-WW</t>
  </si>
  <si>
    <t>PTP 820G IDU (Single Modem) Extended Warranty, 3 Addl Years</t>
  </si>
  <si>
    <t>EW-E3PT82M2-WW</t>
  </si>
  <si>
    <t>PTP 820G IDU (Dual Modem) Extended Warranty, 3 Addl Years</t>
  </si>
  <si>
    <t>EW-E3PT82RA-WW</t>
  </si>
  <si>
    <t>PTP820G RFU-A Extended Warranty, 3 Additional Years</t>
  </si>
  <si>
    <t>EW-E3PT82RC-WW</t>
  </si>
  <si>
    <t>PTP820G RFU-C Extended Warranty, 3 Additional Years</t>
  </si>
  <si>
    <t>EW-E3PT82RS-WW</t>
  </si>
  <si>
    <t>PTP 820 RFU-S, Single Tx, Split Extended Warranty, 3 Additional Years</t>
  </si>
  <si>
    <t>EW-E3PT850E-WW</t>
  </si>
  <si>
    <t>PTP 850E Radio Extended Warranty, 3 Additional Years</t>
  </si>
  <si>
    <t>EW-E4NBN51-WW</t>
  </si>
  <si>
    <t>cnReach N500 Single Radio Extended Warranty, 4 Additional Years</t>
  </si>
  <si>
    <t>EW-E4NBN52-WW</t>
  </si>
  <si>
    <t>cnReach N500 Dual Radio Extended Warranty, 4 Additional Years</t>
  </si>
  <si>
    <t>EW-E4PMC5CL-WW</t>
  </si>
  <si>
    <t>CMM5 Controller Extended Warranty, 4 Additional Years</t>
  </si>
  <si>
    <t>EW-E4PMC5PS-WW</t>
  </si>
  <si>
    <t>CMM5 Power/Sync Injector Extended Warranty, 4 Additional Years</t>
  </si>
  <si>
    <t>EW-E4PT670M-WW</t>
  </si>
  <si>
    <t>PTP 670 (Mexico) Extended Warranty, 4 additional years (per END)</t>
  </si>
  <si>
    <t>EW-E4PT6XX-WW</t>
  </si>
  <si>
    <t>EW-E4PT820C-WW</t>
  </si>
  <si>
    <t>PTP820C Extended Warranty, 4 Additional Years</t>
  </si>
  <si>
    <t>EW-E4PT820F-WW</t>
  </si>
  <si>
    <t>PTP 820F, 3x Radio, 6x Eth + 16x E1/T1 Extended Warranty, 4 Additional Years</t>
  </si>
  <si>
    <t>EW-E4PT820S-WW</t>
  </si>
  <si>
    <t>PTP820S Extended Warranty, 4 Additional Years</t>
  </si>
  <si>
    <t>EW-E4PT82CHP-WW</t>
  </si>
  <si>
    <t>PTP 820C-HP Extended Warranty, 4 Additional Years</t>
  </si>
  <si>
    <t>EW-E4PT82D1-WW</t>
  </si>
  <si>
    <t>PTP820 RFU-D [6-15GHz]  Extended Warranty, 4 Additional Years</t>
  </si>
  <si>
    <t>EW-E4PT82D2-WW</t>
  </si>
  <si>
    <t>PTP820 RFU-D [18-23GHz]  Extended Warranty, 4 Additional Years</t>
  </si>
  <si>
    <t>EW-E4PT82DH-WW</t>
  </si>
  <si>
    <t>PTP820 RFU-D-HP Extended Warranty, 4 Additional Years</t>
  </si>
  <si>
    <t>EW-E4PT82E1-WW</t>
  </si>
  <si>
    <t>PTP820 RFU-E  Extended Warranty, 4 Additional Years</t>
  </si>
  <si>
    <t>EW-E4PT82E2-WW</t>
  </si>
  <si>
    <t>PTP820 RFU-E with 43 dBi ant  Extended Warranty, 4 Additional Years</t>
  </si>
  <si>
    <t>EW-E4PT82E3-WW</t>
  </si>
  <si>
    <t>PTP820E Radio  Extended Warranty, 4 Additional Years</t>
  </si>
  <si>
    <t>EW-E4PT82E4-WW</t>
  </si>
  <si>
    <t>PTP820E Radio with 43 dBi ant  Extended Warranty, 4 Additional Years</t>
  </si>
  <si>
    <t>EW-E4PT82M1-WW</t>
  </si>
  <si>
    <t>PTP 820G IDU (Single Modem) Extended Warranty, 4 Addl Years</t>
  </si>
  <si>
    <t>EW-E4PT82M2-WW</t>
  </si>
  <si>
    <t>PTP 820G IDU (Dual Modem) Extended Warranty, 4 Addl Years</t>
  </si>
  <si>
    <t>EW-E4PT82RA-WW</t>
  </si>
  <si>
    <t>PTP820G RFU-A Extended Warranty, 4 Additional Years</t>
  </si>
  <si>
    <t>EW-E4PT82RC-WW</t>
  </si>
  <si>
    <t>PTP820G RFU-C Extended Warranty, 4 Additional Years</t>
  </si>
  <si>
    <t>EW-E4PT82RS-WW</t>
  </si>
  <si>
    <t>PTP 820 RFU-S, Single Tx, Split Extended Warranty, 4 Additional Years</t>
  </si>
  <si>
    <t>EW-E4PT850E-WW</t>
  </si>
  <si>
    <t>PTP 850E Radio Extended Warranty, 4 Additional Years</t>
  </si>
  <si>
    <t>EW-INTPOSNMB2-WW</t>
  </si>
  <si>
    <t>Intelligent Positioner for Nomadic Wireless Broadband Extended Warranty, 2 Additional Years.</t>
  </si>
  <si>
    <t>Global Services</t>
  </si>
  <si>
    <t>EW-INTPOSNMB3-WW</t>
  </si>
  <si>
    <t>Intelligent Positioner for Nomadic Wireless Broadband Extended Warranty, 3 Additional Years.</t>
  </si>
  <si>
    <t>EW-INTPOSNMB4-WW</t>
  </si>
  <si>
    <t>Intelligent Positioner for Nomadic Wireless Broadband Extended Warranty, 4 Additional Years.</t>
  </si>
  <si>
    <t>GW-610-0006-WW</t>
  </si>
  <si>
    <t>Benu Provider Plus - 3yr, NBD Support</t>
  </si>
  <si>
    <t>8471.50.0150</t>
  </si>
  <si>
    <t>HK2022A</t>
  </si>
  <si>
    <t>53CM OFFSET, REFLECTOR DISH KIT,4PK</t>
  </si>
  <si>
    <t>EMEA Standard,NA Standard</t>
  </si>
  <si>
    <t>LTE-BBU-800</t>
  </si>
  <si>
    <t>cnRanger 800 Baseband Unit, 8x8</t>
  </si>
  <si>
    <t>LTE-SIM-10</t>
  </si>
  <si>
    <t>SIM Card for cnRanger SM - 10 pack</t>
  </si>
  <si>
    <t>8542.32.0032</t>
  </si>
  <si>
    <t>MSE-SUB-T100-1</t>
  </si>
  <si>
    <t>FWB SW SUB</t>
  </si>
  <si>
    <t>MSE-SUB-T100-3</t>
  </si>
  <si>
    <t>MSE-SUB-T100-5</t>
  </si>
  <si>
    <t>ENT SW SUB</t>
  </si>
  <si>
    <t>N000000D001A</t>
  </si>
  <si>
    <t>4.4 - 5.0 GHz, 26.6 dBi, 2-ft (0.6m), Parabolic dish</t>
  </si>
  <si>
    <t>Antenna BTO (build to order)</t>
  </si>
  <si>
    <t>5A991.g</t>
  </si>
  <si>
    <t>N000000D002A</t>
  </si>
  <si>
    <t>4.4 - 5.0 GHz, 32.6 dBi, 4-ft (1.2m), Parabolic dish</t>
  </si>
  <si>
    <t>N000000D003A</t>
  </si>
  <si>
    <t>4.4-5.0 GHz, 16 dBi, Dual-Pol Sector Antenna</t>
  </si>
  <si>
    <t>N000000D004A</t>
  </si>
  <si>
    <t>SIDE STRUTS / STABILIZER ARMS 8FT</t>
  </si>
  <si>
    <t>N000000D005A</t>
  </si>
  <si>
    <t>4.4 - 5.0 GHz, 30 dBi, 3-ft (0.9m), Parabolic dish</t>
  </si>
  <si>
    <t>N000000D021A</t>
  </si>
  <si>
    <t>4.4 - 5.0 GHz, 2-FT (0.6M), DUAL-POL QUICK CONNECT FEEDHORN</t>
  </si>
  <si>
    <t>N000000D037A</t>
  </si>
  <si>
    <t>Inside strut kit for 4ft and 6ft Radiowave SP/HP antenna</t>
  </si>
  <si>
    <t>N000000L036A</t>
  </si>
  <si>
    <t>Power over Ethernet midspan, 60 W, -48 VDC Input</t>
  </si>
  <si>
    <t>N000000L054A</t>
  </si>
  <si>
    <t>POWER SUPPLY FOR CMM4, 54V, HLG-240H-54C</t>
  </si>
  <si>
    <t>N000000L054B</t>
  </si>
  <si>
    <t>Power Supply, AC, 54V 240W</t>
  </si>
  <si>
    <t>N000000L055A</t>
  </si>
  <si>
    <t>Power Supply, Single Output Switching, 30V, 240W, HLG-240H</t>
  </si>
  <si>
    <t>N000000L056A</t>
  </si>
  <si>
    <t>FILTER, 2-STAGE PWR LINE FILTER, 115/250VAC, 10A</t>
  </si>
  <si>
    <t>N000000L101A</t>
  </si>
  <si>
    <t>Power Supply AC, 48V, 600W</t>
  </si>
  <si>
    <t>N000000L103A</t>
  </si>
  <si>
    <t>CMM5 to uGPS Shielded Cable (20 meter)</t>
  </si>
  <si>
    <t>N000000L106A</t>
  </si>
  <si>
    <t>Industrial Grade CAT 5 Cable 50 meter unterminated</t>
  </si>
  <si>
    <t>N000000L107A</t>
  </si>
  <si>
    <t>Industrial Grade CAT 5 Cable 100 meter unterminated</t>
  </si>
  <si>
    <t>N000000L108A</t>
  </si>
  <si>
    <t>Industrial Grade CAT 5 Cable 300 meter unterminated</t>
  </si>
  <si>
    <t>N000000L111A</t>
  </si>
  <si>
    <t>Power Supply, AC to 48VDC, 240W, DIN Rail, UL Listed</t>
  </si>
  <si>
    <t>N000000L112A</t>
  </si>
  <si>
    <t>Power Supply, AC to 48VDC, 480W, DIN Rail, UL Listed</t>
  </si>
  <si>
    <t>N000000L115A</t>
  </si>
  <si>
    <t>4-Conductor 0.75mm x2 DC cable – 100m</t>
  </si>
  <si>
    <t>8544491000</t>
  </si>
  <si>
    <t>United Kingdom</t>
  </si>
  <si>
    <t>N000000L117A</t>
  </si>
  <si>
    <t>4-Conductor 0.75mm x2 DC cable – 300m</t>
  </si>
  <si>
    <t>N000000L118A</t>
  </si>
  <si>
    <t>4-Conductor 1mm x2 DC cable – 300m</t>
  </si>
  <si>
    <t>N000000L123A</t>
  </si>
  <si>
    <t>DC Power Connector Kit 18AWG, pkt of 10</t>
  </si>
  <si>
    <t>8536698000</t>
  </si>
  <si>
    <t>N000000L124A</t>
  </si>
  <si>
    <t>DC Power Connector Kit 16AWG, pkt of 10</t>
  </si>
  <si>
    <t>N000000L125A</t>
  </si>
  <si>
    <t>CMM5 to cnPulse Shielded Cable – 20m</t>
  </si>
  <si>
    <t>N000000L127A</t>
  </si>
  <si>
    <t>CABLE ASSY, SHIELDED, 4C STEREO PLUG -3.5MM TO RJ45</t>
  </si>
  <si>
    <t>N000000L128A</t>
  </si>
  <si>
    <t>7326908688</t>
  </si>
  <si>
    <t>N000000L129A</t>
  </si>
  <si>
    <t>XP Power 120W PSU for cnRanger BBU and RRH</t>
  </si>
  <si>
    <t>8504408290</t>
  </si>
  <si>
    <t>N000000L130A</t>
  </si>
  <si>
    <t>cnRanger RRH DC power cable (2 meter)</t>
  </si>
  <si>
    <t>N000000L131A</t>
  </si>
  <si>
    <t>cnRanger RRH CPRI Fiber cable (2 meter)</t>
  </si>
  <si>
    <t>8544.70.0000</t>
  </si>
  <si>
    <t>N000000L135A</t>
  </si>
  <si>
    <t>IP67 doors and glands for 450b High Gain, 4-pack</t>
  </si>
  <si>
    <t>N000000L141A</t>
  </si>
  <si>
    <t>PG16 Breathable vent. Pack of 10</t>
  </si>
  <si>
    <t>8481.80.9015</t>
  </si>
  <si>
    <t>N000000L143A</t>
  </si>
  <si>
    <t>Intelligent Positioning Systems PoE Cable with weather tight end, 30 meters</t>
  </si>
  <si>
    <t>N000000L144A</t>
  </si>
  <si>
    <t>Intelligent Positioning Systems PTP450/670 Radio adapter bracket</t>
  </si>
  <si>
    <t>7616.99.5190</t>
  </si>
  <si>
    <t>N000000L145A</t>
  </si>
  <si>
    <t>Intelligent Positioning Systems PTP820E/850E radio adapter bracket</t>
  </si>
  <si>
    <t>N000000L146A</t>
  </si>
  <si>
    <t>GPS Heading Unit (GHU) for Intelligent Positioner for Nomadic Wireless Fiber</t>
  </si>
  <si>
    <t>8529.90.4900</t>
  </si>
  <si>
    <t>N000000L147A</t>
  </si>
  <si>
    <t>GPS Heading Unit (GHU) adapter bracket</t>
  </si>
  <si>
    <t>N000000L155A</t>
  </si>
  <si>
    <t>CAT6A Outdoor Cable, 100m</t>
  </si>
  <si>
    <t>8544.49.1000</t>
  </si>
  <si>
    <t>Outdoor AC/DC PSU, 100W, 54VDC</t>
  </si>
  <si>
    <t>N000000L180A</t>
  </si>
  <si>
    <t>Waterproof PSU Cable Joiner 14-16 AWG</t>
  </si>
  <si>
    <t>N000000S006A</t>
  </si>
  <si>
    <t>Cambium Networks Professional Services</t>
  </si>
  <si>
    <t>Undefined</t>
  </si>
  <si>
    <t>N000000T001A</t>
  </si>
  <si>
    <t>Crimp tool for Molex MiniFitJr</t>
  </si>
  <si>
    <t>8203206060</t>
  </si>
  <si>
    <t>N000000T002A</t>
  </si>
  <si>
    <t>Crimp removal tool for Molex MiniFitJr</t>
  </si>
  <si>
    <t>8203.20.2000</t>
  </si>
  <si>
    <t>N000045L001A</t>
  </si>
  <si>
    <t>Ethernet cable adapter for CMM4</t>
  </si>
  <si>
    <t>N000045L002A</t>
  </si>
  <si>
    <t>Tilt Bracket Assembly</t>
  </si>
  <si>
    <t>N000045L056A</t>
  </si>
  <si>
    <t>PoE Gigabit DC Injector,  24V DC Input, 56V/625mA 802.3at Output</t>
  </si>
  <si>
    <t>N000065L003A</t>
  </si>
  <si>
    <t>US Line Cord Fig 8</t>
  </si>
  <si>
    <t>N000065L004A</t>
  </si>
  <si>
    <t>UK Line Cord Fig 8</t>
  </si>
  <si>
    <t>N000065L005A</t>
  </si>
  <si>
    <t>EU Line Cord Fig 8</t>
  </si>
  <si>
    <t>N000065L006A</t>
  </si>
  <si>
    <t>Australia Line Cord Fig 8</t>
  </si>
  <si>
    <t>N000065L030A</t>
  </si>
  <si>
    <t>Extended Diameter Mast mounting kit 3.5" and 4.5"</t>
  </si>
  <si>
    <t>N000065L031A</t>
  </si>
  <si>
    <t>Mounting Bracket (integrated)</t>
  </si>
  <si>
    <t>N000065L033A</t>
  </si>
  <si>
    <t>Silver RJ-45 Gland Spare - PG16 size - pack of 10</t>
  </si>
  <si>
    <t>N000065L036A</t>
  </si>
  <si>
    <t>Blanking Plug Pack (QTY 10)</t>
  </si>
  <si>
    <t>N000065L039A</t>
  </si>
  <si>
    <t>PTP 650 Low Profile Large Diameter Pole Mount Bracket</t>
  </si>
  <si>
    <t>N000065L042A</t>
  </si>
  <si>
    <t>Large Diameter Extension Kit for Standard Integrated Bracket</t>
  </si>
  <si>
    <t>N000070L001A</t>
  </si>
  <si>
    <t>QD POSITIONER SPARE CONTROLLER</t>
  </si>
  <si>
    <t>8517.70.9000</t>
  </si>
  <si>
    <t>N000070L002A</t>
  </si>
  <si>
    <t>QD POSITIONER SPARE POSITIONER MOTOR</t>
  </si>
  <si>
    <t>N000070L003A</t>
  </si>
  <si>
    <t>QD POSITIONER SPARE ETHERNET CABLE KIT</t>
  </si>
  <si>
    <t>N000070L004A</t>
  </si>
  <si>
    <t>QD POSITIONER SPARE POE POWER SUPPLY</t>
  </si>
  <si>
    <t>N000070L005A</t>
  </si>
  <si>
    <t>QD POSITIONER SPARE POWER CABLE KIT</t>
  </si>
  <si>
    <t>N000070L006A</t>
  </si>
  <si>
    <t>QD POSITIONER SPARE AC/DC POWER SUPPLY</t>
  </si>
  <si>
    <t>N000070L007A</t>
  </si>
  <si>
    <t>QD POSITIONER SPARE POLE MOUNT</t>
  </si>
  <si>
    <t>N000070L008A</t>
  </si>
  <si>
    <t>QD POSITIONER SPARE ANCILLARY KIT</t>
  </si>
  <si>
    <t>N000070L009A</t>
  </si>
  <si>
    <t>QD POSITIONER SPARE MOUNTING HARDWARE KIT</t>
  </si>
  <si>
    <t>PTP 700</t>
  </si>
  <si>
    <t>N000070L124A</t>
  </si>
  <si>
    <t>R-LPU / RF combiner pole mount bracket</t>
  </si>
  <si>
    <t>N000070L130A</t>
  </si>
  <si>
    <t>N000081L005A</t>
  </si>
  <si>
    <t>TNC Male for CNT-400 braided cable</t>
  </si>
  <si>
    <t>N000081L006A</t>
  </si>
  <si>
    <t>TNC Male Right Angle for CNT-400 braided cable</t>
  </si>
  <si>
    <t>N000081L007A</t>
  </si>
  <si>
    <t>Type N Female to TNC Male Adapter</t>
  </si>
  <si>
    <t>N000081L008A</t>
  </si>
  <si>
    <t>IF cable for PTP810 MMU and IRFU</t>
  </si>
  <si>
    <t>N000082D012A</t>
  </si>
  <si>
    <t>PTP 820 Gas Tube Surge Arrestor END KIT</t>
  </si>
  <si>
    <t>N000082D013A</t>
  </si>
  <si>
    <t>PTP 820 23-inch rack mounting adapter, 1RU</t>
  </si>
  <si>
    <t>N000082H160A</t>
  </si>
  <si>
    <t>PTP820G IDU to IDU Converter Box</t>
  </si>
  <si>
    <t>N000082K027B</t>
  </si>
  <si>
    <t>PTP 820/850 Act.Key - AES Key 256 bit - Per Tx Chan</t>
  </si>
  <si>
    <t>N000082K087A</t>
  </si>
  <si>
    <t>PTP 820/850 Act.Key - AFR, Per Tx Chan</t>
  </si>
  <si>
    <t>N000082K165A</t>
  </si>
  <si>
    <t>PTP 820/850 Act.Key - LLF</t>
  </si>
  <si>
    <t>N000082K166A</t>
  </si>
  <si>
    <t>PTP 820/850 Act.Key - LACP</t>
  </si>
  <si>
    <t>N000082K167A</t>
  </si>
  <si>
    <t>N000082L014A</t>
  </si>
  <si>
    <t>PTP 820 Glands_x5_KIT</t>
  </si>
  <si>
    <t>N000082L016A</t>
  </si>
  <si>
    <t>CAT5E Outdoor Cable, 100m drum</t>
  </si>
  <si>
    <t>N000082L018A</t>
  </si>
  <si>
    <t>PTP 820 Outdoor_DC_cbl_2x12AWG_drum, 305m</t>
  </si>
  <si>
    <t>8544.49.2000</t>
  </si>
  <si>
    <t>N000082L019A</t>
  </si>
  <si>
    <t>PTP 820 Outdoor_DC_cbl_2x18AWG_drum, 305m</t>
  </si>
  <si>
    <t>N000082L020A</t>
  </si>
  <si>
    <t>PTP 820 PoE Injector 19inch rack mount KIT</t>
  </si>
  <si>
    <t>N000082L021A</t>
  </si>
  <si>
    <t>PTP 820 PoE Injector 23inch rack mount KIT</t>
  </si>
  <si>
    <t>N000082L022A</t>
  </si>
  <si>
    <t>PTP 820 PoE Injector all outdoor, redundant DC input, +24VDC support</t>
  </si>
  <si>
    <t>N000082L023A</t>
  </si>
  <si>
    <t>PTP 820 16E1 cable MDR68-RJ45 3M,LA,cross</t>
  </si>
  <si>
    <t>N000082L024A</t>
  </si>
  <si>
    <t>PTP 820 16E1 cable open-end, 3M</t>
  </si>
  <si>
    <t>N000082L025A</t>
  </si>
  <si>
    <t>PTP 820 16T1 cable MDR68-RJ45 3M,LA,cross</t>
  </si>
  <si>
    <t>N000082L026A</t>
  </si>
  <si>
    <t>PTP 820 16T1 cable open-end, 3M</t>
  </si>
  <si>
    <t>N000082L027A</t>
  </si>
  <si>
    <t>PTP 820C/850C Act.Key - 2nd Core Activation</t>
  </si>
  <si>
    <t>N000082L028A</t>
  </si>
  <si>
    <t>PTP 820G Act.Key - 2nd Modem Activation</t>
  </si>
  <si>
    <t>N000082L030A</t>
  </si>
  <si>
    <t>PTP 820/850 Act.Key - Agg-Lvl-1-CET-Node mode</t>
  </si>
  <si>
    <t>N000082L037A</t>
  </si>
  <si>
    <t>PTP 820/850 Act.Key - Edge-CET-Node mode</t>
  </si>
  <si>
    <t>N000082L038A</t>
  </si>
  <si>
    <t>PTP 820/850 Act.Key - Enh. packet buffer Mng</t>
  </si>
  <si>
    <t>N000082L039A</t>
  </si>
  <si>
    <t>PTP 820 Act.Key - Eth. OAM - FM</t>
  </si>
  <si>
    <t>N000082L041A</t>
  </si>
  <si>
    <t>PTP 820/850 Act.Key - Frame Cut-Through</t>
  </si>
  <si>
    <t>N000082L042A</t>
  </si>
  <si>
    <t>PTP 820/850 Act.Key - 1 / 2.5 GE port, per additional port</t>
  </si>
  <si>
    <t>N000082L043A</t>
  </si>
  <si>
    <t>PTP 820/850 Act.Key - Header De-Dup, per Tx Chan</t>
  </si>
  <si>
    <t>N000082L047A</t>
  </si>
  <si>
    <t>PTP 820 Act.Key - IEEE-1588 TC</t>
  </si>
  <si>
    <t>N000082L048A</t>
  </si>
  <si>
    <t>PTP 820/850 Act.Key - MC-ABC, per Tx Chan</t>
  </si>
  <si>
    <t>N000082L049A</t>
  </si>
  <si>
    <t>PTP 820/850 Act.Key - MIMO, per Tx Chan</t>
  </si>
  <si>
    <t>N000082L050A</t>
  </si>
  <si>
    <t>PTP 820/850 Act.Key - Network Resiliency</t>
  </si>
  <si>
    <t>N000082L052A</t>
  </si>
  <si>
    <t>PTP 820/850 Act.Key - Sync. Unit</t>
  </si>
  <si>
    <t>N000082L053A</t>
  </si>
  <si>
    <t>PTP 820/850 Act.Key - TDM Pseudowire</t>
  </si>
  <si>
    <t>N000082L055A</t>
  </si>
  <si>
    <t>PTP 820/850 Act.Key - Upg Edge/Agg-Lvl-1 Node</t>
  </si>
  <si>
    <t>N000082L056A</t>
  </si>
  <si>
    <t>PTP 820/850 Act.Key - XPIC, per Tx Chan</t>
  </si>
  <si>
    <t>N000082L057A</t>
  </si>
  <si>
    <t>PTP 820 External Alarms open cable 2.5m</t>
  </si>
  <si>
    <t>N000082L058A</t>
  </si>
  <si>
    <t>PTP 820C 19inch Rack Mount KIT</t>
  </si>
  <si>
    <t>N000082L059A</t>
  </si>
  <si>
    <t>PTP 820 SFP Optical 1000Base-LX,EXT TEMP, 1310 nm, Single Mode</t>
  </si>
  <si>
    <t>N000082L060A</t>
  </si>
  <si>
    <t>PTP 820C MIMO or Prot management cable 10m</t>
  </si>
  <si>
    <t>N000082L061A</t>
  </si>
  <si>
    <t>PTP 820C MIMO or Prot management cable 1m</t>
  </si>
  <si>
    <t>N000082L062A</t>
  </si>
  <si>
    <t>PTP 820C MIMO or Prot management odu spltr</t>
  </si>
  <si>
    <t>N000082L063A</t>
  </si>
  <si>
    <t>PTP 820C,CABLE,SFP,4x4MIMO_DATA_SHARING_KIT_10M</t>
  </si>
  <si>
    <t>N000082L064A</t>
  </si>
  <si>
    <t>PTP 820C,SOURCE_SHARING_10M</t>
  </si>
  <si>
    <t>N000082L065A</t>
  </si>
  <si>
    <t>PTP 820 DC Connnector</t>
  </si>
  <si>
    <t>N000082L066A</t>
  </si>
  <si>
    <t>PTP 820 RFU-A blank panel</t>
  </si>
  <si>
    <t>N000082L070A</t>
  </si>
  <si>
    <t>PTP 820 RFU-A FixPlt</t>
  </si>
  <si>
    <t>N000082L071A</t>
  </si>
  <si>
    <t>PTP 820 RFU-C_19-inch_rack_adapt</t>
  </si>
  <si>
    <t>N000082L072A</t>
  </si>
  <si>
    <t>PTP 820 SFP Optical 1000Base-SX,EXT TEMP, 850 nm, Multi Mode</t>
  </si>
  <si>
    <t>N000082L073A</t>
  </si>
  <si>
    <t>RJ45 Connector for CAT5E Cable, Qty 10</t>
  </si>
  <si>
    <t>N000082L116A</t>
  </si>
  <si>
    <t>Grounding Cable, 1m with M6 ring to M6 ring</t>
  </si>
  <si>
    <t>N000082L117A</t>
  </si>
  <si>
    <t>PTP 820 SFP Electric Int 1000Base-T,EXT TEMP</t>
  </si>
  <si>
    <t>N000082L120A</t>
  </si>
  <si>
    <t>PTP 820C DC REMOTE MOUNT KIT</t>
  </si>
  <si>
    <t>N000082L121A</t>
  </si>
  <si>
    <t>PTP 820 RFU-C Pole Mount kit</t>
  </si>
  <si>
    <t>N000082L122A</t>
  </si>
  <si>
    <t>PTP 820G Ethernet split cable for Management</t>
  </si>
  <si>
    <t>N000082L123A</t>
  </si>
  <si>
    <t>PTP 820/850 Act.Key - Capacity 100M with ACM Enabled, Per Tx Chan</t>
  </si>
  <si>
    <t>N000082L124A</t>
  </si>
  <si>
    <t>PTP 820/850 Act.Key - Capacity 200M with ACM Enabled, Per Tx Chan</t>
  </si>
  <si>
    <t>N000082L125A</t>
  </si>
  <si>
    <t>PTP 820/850 Act.Key - Capacity 500M with ACM Enabled, Per Tx Chan</t>
  </si>
  <si>
    <t>N000082L126A</t>
  </si>
  <si>
    <t>PTP 820/850 Act.Key - Capacity 650M with ACM Enabled, Per Tx Chan</t>
  </si>
  <si>
    <t>N000082L133A</t>
  </si>
  <si>
    <t>PTP 820/850 Act.Key - Capacity 300M with ACM Enabled, Per Tx Chan</t>
  </si>
  <si>
    <t>N000082L136A</t>
  </si>
  <si>
    <t>PTP 820C/S MIMO or Prot management cable 20m</t>
  </si>
  <si>
    <t>N000082L137A</t>
  </si>
  <si>
    <t>PTP 820C,SOURCE_SHARING_20M</t>
  </si>
  <si>
    <t>N000082L138A</t>
  </si>
  <si>
    <t>PTP 820C,CABLE,SFP,4x4MIMO_DATA_SHARING_KIT_20M</t>
  </si>
  <si>
    <t>N000082L139A</t>
  </si>
  <si>
    <t>Optical CABLE,SM, 30m</t>
  </si>
  <si>
    <t>N000082L140A</t>
  </si>
  <si>
    <t>Optical CABLE,SM, 50m</t>
  </si>
  <si>
    <t>N000082L141A</t>
  </si>
  <si>
    <t>Optical CABLE,SM, 80m</t>
  </si>
  <si>
    <t>N000082L142A</t>
  </si>
  <si>
    <t>Optical CABLE,SM, 100m</t>
  </si>
  <si>
    <t>N000082L143A</t>
  </si>
  <si>
    <t>Optical CABLE,SM, 150m</t>
  </si>
  <si>
    <t>N000082L146A</t>
  </si>
  <si>
    <t>PTP 820 Fiber 1+1 Splitter, SM</t>
  </si>
  <si>
    <t>8536.70.0000</t>
  </si>
  <si>
    <t>N000082L147A</t>
  </si>
  <si>
    <t>PTP 820 Fiber Adapter</t>
  </si>
  <si>
    <t>N000082L150A</t>
  </si>
  <si>
    <t>PTP 820 RFU-A fans module</t>
  </si>
  <si>
    <t>8414.59.1500</t>
  </si>
  <si>
    <t>N000082L158A</t>
  </si>
  <si>
    <t>RFU-A Nebs Filter Replacement Kit</t>
  </si>
  <si>
    <t>8421.39.8015</t>
  </si>
  <si>
    <t>N000082L159A</t>
  </si>
  <si>
    <t>IF cable for PTP820G IDU and RFU-A</t>
  </si>
  <si>
    <t>N000082L164A</t>
  </si>
  <si>
    <t>PTP 820C INDOOR AC POE INJECTOR, 90W</t>
  </si>
  <si>
    <t>N000082L165A</t>
  </si>
  <si>
    <t>Mini Power Adapter</t>
  </si>
  <si>
    <t>N000082L166A</t>
  </si>
  <si>
    <t>PTP 820C-HP/RFU-D-HP Remote Mount kit</t>
  </si>
  <si>
    <t>N000082L167A</t>
  </si>
  <si>
    <t>PTP 820C HP/RFU-D-HP 19in Rack Mounting Kit</t>
  </si>
  <si>
    <t>N000082L169A</t>
  </si>
  <si>
    <t>PTP 820 Outdoor_DC_cbl_2x14AWG_drum, 305m</t>
  </si>
  <si>
    <t>N000082L172B</t>
  </si>
  <si>
    <t>CAT6A Outdoor Cable, 305m</t>
  </si>
  <si>
    <t>N000082L173A</t>
  </si>
  <si>
    <t>Grounding Kit for CAT5E F/UTP 8mm and Cat6A Cable</t>
  </si>
  <si>
    <t>N000082L174B</t>
  </si>
  <si>
    <t>RJ45 Connector for CAT6A Cable, Qty 10</t>
  </si>
  <si>
    <t>N000082L181A</t>
  </si>
  <si>
    <t xml:space="preserve">PTP 820 Outdoor DC Cable, 10AWG, 150m, M28 Gland to Open End </t>
  </si>
  <si>
    <t>N000082L182A</t>
  </si>
  <si>
    <t>PTP 820 Outdoor DC Cable, 10AWG, 200m, M28 Gland to Open End</t>
  </si>
  <si>
    <t>N000082L183A</t>
  </si>
  <si>
    <t>PTP 820 Outdoor DC Cable, 10AWG, 250m, M28 Gland to Open End</t>
  </si>
  <si>
    <t>N000082L184A</t>
  </si>
  <si>
    <t>PTP 820 Outdoor DC Cable, 10AWG, 300m, M28 Gland to Open End</t>
  </si>
  <si>
    <t>N000082L185A</t>
  </si>
  <si>
    <t xml:space="preserve">PTP 820 DC surge suppressor  </t>
  </si>
  <si>
    <t>N000082L186A</t>
  </si>
  <si>
    <t>Optical CABLE,SM, 2.2m</t>
  </si>
  <si>
    <t>N000082L187A</t>
  </si>
  <si>
    <t>Optical CABLE,SM, 10m</t>
  </si>
  <si>
    <t>N000082L188A</t>
  </si>
  <si>
    <t>Optical CABLE,SM, 20m</t>
  </si>
  <si>
    <t>N000082L192A</t>
  </si>
  <si>
    <t>Optical CABLE,MM, 10m</t>
  </si>
  <si>
    <t>N000082L194A</t>
  </si>
  <si>
    <t>Optical CABLE,MM, 30m</t>
  </si>
  <si>
    <t>N000082L196A</t>
  </si>
  <si>
    <t xml:space="preserve">Optical CABLE,MM, 80m </t>
  </si>
  <si>
    <t>N000082L198A</t>
  </si>
  <si>
    <t xml:space="preserve">Optical CABLE,MM, 150m </t>
  </si>
  <si>
    <t>N000082L201A</t>
  </si>
  <si>
    <t>PTP 850E Extension Cable for protection and XPIC</t>
  </si>
  <si>
    <t>N000082L202A</t>
  </si>
  <si>
    <t>PTP 850E Clock sharing Cable for XPIC</t>
  </si>
  <si>
    <t>N000082L203A</t>
  </si>
  <si>
    <t xml:space="preserve">PTP 850 QSFP Transceiver </t>
  </si>
  <si>
    <t>N000082L204A</t>
  </si>
  <si>
    <t xml:space="preserve">PTP 850 QSFP to SFP+ adatp 40GE to 1/10 GE temp </t>
  </si>
  <si>
    <t>N000082L205A</t>
  </si>
  <si>
    <t>Optical Cable,MPO(F)/MPO(F),4P,Type B,30m,MM,OM4,M28 Gland,ARM</t>
  </si>
  <si>
    <t>N000082L206A</t>
  </si>
  <si>
    <t>Optical Cable,MPO(F)/MPO(F),4P,Type B,50m,MM,OM4,M28 Gland,ARM</t>
  </si>
  <si>
    <t>N000082L207A</t>
  </si>
  <si>
    <t>Optical Cable,MPO(F)/MPO(F),4P,Type B,80m,MM,OM4,M28 Gland,ARM</t>
  </si>
  <si>
    <t>N000082L208A</t>
  </si>
  <si>
    <t>Optical Cable,MPO(F)/MPO(F),4P,Type B,100m,MM,OM4,M28 Gland,ARM</t>
  </si>
  <si>
    <t>N000082L209A</t>
  </si>
  <si>
    <t xml:space="preserve">Optical Cable,MPO(F)/MPO(F),4P,Type B,150m,MM,OM4,M28 Gland,ARM </t>
  </si>
  <si>
    <t>N000082L210A</t>
  </si>
  <si>
    <t>PTP 850 QSFP to 4xLC indoor splitter</t>
  </si>
  <si>
    <t>N000082L211A</t>
  </si>
  <si>
    <t>PTP 850 QSFP to 4xLC outdoor splitter</t>
  </si>
  <si>
    <t>N000082L212A</t>
  </si>
  <si>
    <t>Optical Cable, Dual LC to LC/LC Split, 5.3M, SM, 3 x M28 Gland, outdoor</t>
  </si>
  <si>
    <t>N000082L213A</t>
  </si>
  <si>
    <t>PTP 820 SFP, single fiber,1490nm Tx/1310nm Rx, SM, EXT TEMP</t>
  </si>
  <si>
    <t>N000082L214A</t>
  </si>
  <si>
    <t>PTP 820 SFP, single fiber,1310nm Tx/1490nm Rx, SM, EXT TEMP</t>
  </si>
  <si>
    <t>N000082L215A</t>
  </si>
  <si>
    <t>Optical CABLE,MM, 1m</t>
  </si>
  <si>
    <t>N000082L216A</t>
  </si>
  <si>
    <t xml:space="preserve"> PTP820 RFU-A Branching Dwr 2+0 DRW-A6L-252A-2N5N</t>
  </si>
  <si>
    <t>N000082L217A</t>
  </si>
  <si>
    <t>PTP820 RFU-A Branching Dwr 2+0 DRW-A6L-252A-2N7N</t>
  </si>
  <si>
    <t>N000082L218A</t>
  </si>
  <si>
    <t>PTP 850E DP to RJ45F, 0.2m, Field Debug</t>
  </si>
  <si>
    <t>N000082L219A</t>
  </si>
  <si>
    <t>N000082L220A</t>
  </si>
  <si>
    <t>N000082L221A</t>
  </si>
  <si>
    <t>N000082L222A</t>
  </si>
  <si>
    <t>N000082L223A</t>
  </si>
  <si>
    <t xml:space="preserve"> PTP 820 RFU-C 19inch AI Bracket </t>
  </si>
  <si>
    <t>N000082L224A</t>
  </si>
  <si>
    <t>Inside strut kit for Commscope 3ft, 4ft and 6ft Valuline antenna</t>
  </si>
  <si>
    <t>N000082L225A</t>
  </si>
  <si>
    <t>PTP820 RFU-A Branching Dwr 2+0 DRW-A6L-252A-6N8E</t>
  </si>
  <si>
    <t>N000082L226A</t>
  </si>
  <si>
    <t xml:space="preserve">PTP820 RFU-A Branching Dwr 2+0 DRW-A6L-252A-2N4N </t>
  </si>
  <si>
    <t>N000082L227A</t>
  </si>
  <si>
    <t xml:space="preserve">PTP820 RFU-A Branching Dwr 2+0 DRW-A6L-252A-5N7N </t>
  </si>
  <si>
    <t>N000082L228A</t>
  </si>
  <si>
    <t>SHPX3 - 3' Sentinel HP Antenna, 10.125-11.700 GHz with radome, Dual Pol, CPR90G</t>
  </si>
  <si>
    <t>N009045D001A</t>
  </si>
  <si>
    <t>900 MHz 60 degree Sector Antenna (Dual Slant)</t>
  </si>
  <si>
    <t>N009045D003A</t>
  </si>
  <si>
    <t>900 MHz 12 dBi gain directional antenna (Dual Slant)</t>
  </si>
  <si>
    <t>N025000D001A</t>
  </si>
  <si>
    <t>MTI 65 degree Sector Antenna, 17 dBi</t>
  </si>
  <si>
    <t>N030045D001A</t>
  </si>
  <si>
    <t>3 GHz 450b High Gain Antenna Assembly – 4-pack</t>
  </si>
  <si>
    <t>N050045D002A</t>
  </si>
  <si>
    <t>5 GHz 4 Pack High-Gain Antenna Assembly, IP55</t>
  </si>
  <si>
    <t>N050067D017A</t>
  </si>
  <si>
    <t>5.25-5.85 GHZ, 2-FT (0.6M), SINGLE-POL</t>
  </si>
  <si>
    <t>N050067D018A</t>
  </si>
  <si>
    <t>5.25-5.85 GHZ, 4-FT (1.2M), SINGLE-POL</t>
  </si>
  <si>
    <t>N050067D019A</t>
  </si>
  <si>
    <t>5.25-5.85 GHZ, 6-FT (1.8M), SINGLE-POL</t>
  </si>
  <si>
    <t>N060080L001B</t>
  </si>
  <si>
    <t>SHPX4 - 4' ANT, 6W GHz with Radome, Dual Pol, CPR137G</t>
  </si>
  <si>
    <t>N060080L006B</t>
  </si>
  <si>
    <t>HX6 - 6' ANT, 6W GHz with radome, Dual Pol, CPR137G</t>
  </si>
  <si>
    <t>N060082D128A</t>
  </si>
  <si>
    <t>PTP 820 3' ANT,SP,6GHz,RFU-C TYPE&amp;Std UDR70 - Andrew</t>
  </si>
  <si>
    <t>N060082D129A</t>
  </si>
  <si>
    <t>PTP 820 4' ANT,SP,6GHz,RFU-C TYPE&amp;Std UDR70 - Andrew</t>
  </si>
  <si>
    <t>N060082D132A</t>
  </si>
  <si>
    <t>PTP 820 6' ANT,SP,6GHz,RFU-C TYPE&amp;Std UDR70 - Andrew</t>
  </si>
  <si>
    <t>N060082D150A</t>
  </si>
  <si>
    <t>PTP 820 2' ANT,SP,6GHz,RFU-C TYPE&amp;UDR70 - Radiowave</t>
  </si>
  <si>
    <t>N060082D151A</t>
  </si>
  <si>
    <t>PTP 820 3' ANT,SP,6GHz,RFU-C TYPE&amp;UDR70 - Radiowave</t>
  </si>
  <si>
    <t>N060082D152A</t>
  </si>
  <si>
    <t>PTP 820 4' ANT,SP,6GHz,RFU-C TYPE&amp;UDR70 - Radiowave</t>
  </si>
  <si>
    <t>N060082D153A</t>
  </si>
  <si>
    <t>PTP 820 6' ANT,SP,6GHz,RFU-C TYPE&amp;UDR70 - Radiowave</t>
  </si>
  <si>
    <t>N060082D163A</t>
  </si>
  <si>
    <t>USX6 - 6' ANT, 6W GHz with Radome, Dual Pol, CPR137G</t>
  </si>
  <si>
    <t>8517.00.000</t>
  </si>
  <si>
    <t>N060082H240A</t>
  </si>
  <si>
    <t>PTP 820C HP/RFU-D-HP Test Kit - 6 GHz</t>
  </si>
  <si>
    <t>N060082L002A</t>
  </si>
  <si>
    <t>PTP 820C 6G Remote Mount adaptor - UDR70</t>
  </si>
  <si>
    <t>N060082L003A</t>
  </si>
  <si>
    <t>PTP 820 RFU-C ADPT 6GHz Remote Mount Adaptor - UDR70</t>
  </si>
  <si>
    <t>N060082L004A</t>
  </si>
  <si>
    <t>PTP 820 Andrew Valuline Antenna Convert kit, 6GHz</t>
  </si>
  <si>
    <t>N060082L135A</t>
  </si>
  <si>
    <t>PTP 820C DUAL COUPLER KIT 6GHz</t>
  </si>
  <si>
    <t>N060082L136A</t>
  </si>
  <si>
    <t>PTP 820C DUAL SPLITTER KIT 6GHz (UDR70)</t>
  </si>
  <si>
    <t>N060082L137A</t>
  </si>
  <si>
    <t>PTP 820C OMT KIT 6GHz</t>
  </si>
  <si>
    <t>N060082L138A</t>
  </si>
  <si>
    <t>PTP 820C SPLITTER KIT 6GHz</t>
  </si>
  <si>
    <t>N060082L139A</t>
  </si>
  <si>
    <t>PTP 820 RFU-A 6GHz L-Bend T1</t>
  </si>
  <si>
    <t>N060082L140A</t>
  </si>
  <si>
    <t>PTP 820 RFU-A 6GHz L-Bend T2</t>
  </si>
  <si>
    <t>N060082L141A</t>
  </si>
  <si>
    <t>PTP 820 RFU-A 6GHz system Housing</t>
  </si>
  <si>
    <t>N060082L142A</t>
  </si>
  <si>
    <t>PTP 820 RFU-A 6GHz Termination</t>
  </si>
  <si>
    <t>N060082L144A</t>
  </si>
  <si>
    <t>PTP 820 RFU-A External Coupler 6GHz Kit</t>
  </si>
  <si>
    <t>N060082L145A</t>
  </si>
  <si>
    <t>PTP 820 RFU-C 6GHz Coupler KIT</t>
  </si>
  <si>
    <t>N060082L146A</t>
  </si>
  <si>
    <t>PTP 820 RFU-C 6GHz OMT DM KIT</t>
  </si>
  <si>
    <t>N060082L147A</t>
  </si>
  <si>
    <t>PTP 820 RFU-C 6GHz OMT Interface-Andrew</t>
  </si>
  <si>
    <t>N060082L148A</t>
  </si>
  <si>
    <t>PTP 820 RFU-C 6GHz Twist Adaptor KIT</t>
  </si>
  <si>
    <t>N060082L149A</t>
  </si>
  <si>
    <t>PTP 820 RFU-C SPLITTER KIT 6GHz (UDR70)</t>
  </si>
  <si>
    <t>N060082L154A</t>
  </si>
  <si>
    <t>PTP 820 RFU-C 6GHz OMT Interface-Radiowave</t>
  </si>
  <si>
    <t>N060082L156A</t>
  </si>
  <si>
    <t>PTP 820 Flexible Twist,WR137,PDR70,48.0 inch,PDR70,6 GHz</t>
  </si>
  <si>
    <t>N060082L157A</t>
  </si>
  <si>
    <t>PTP 820 Flexible Twist,WR137,PDR70, 35.0 inch,CPR137G,6-8 GHz</t>
  </si>
  <si>
    <t>N060082L158A</t>
  </si>
  <si>
    <t>PTP 820 FLX-HNGR-6Ghz</t>
  </si>
  <si>
    <t>N060082L163A</t>
  </si>
  <si>
    <t>PTP820C/S 6 GHz Radio Flange Adaptor - UDR70</t>
  </si>
  <si>
    <t>N060082L164A</t>
  </si>
  <si>
    <t>RFU-A Branching Drawer 1+0 with Sampler, 6L-252A-1W4</t>
  </si>
  <si>
    <t>N060082L165A</t>
  </si>
  <si>
    <t>RFU-A Branching Drawer 1+0 with Sampler, 6L-252A-3W6</t>
  </si>
  <si>
    <t>N060082L166A</t>
  </si>
  <si>
    <t>RFU-A Branching Drawer 1+0 with Sampler, 6L-252A-5W8</t>
  </si>
  <si>
    <t>N060082L167A</t>
  </si>
  <si>
    <t>RFU-A Branching Drawer 1+0 with Sampler, 6H-160A-1W8</t>
  </si>
  <si>
    <t>N060082L168A</t>
  </si>
  <si>
    <t>RFU-A Branching Drawer 1+0 with Sampler, 6H-160A-6W14</t>
  </si>
  <si>
    <t>N060082L169A</t>
  </si>
  <si>
    <t>RFU-A Branching Drawer 1+0 with Sampler, 6H-160A-8W16</t>
  </si>
  <si>
    <t>N060082L170A</t>
  </si>
  <si>
    <t>RFU-A Branching Drawer 1+1 with Sampler+Coupler, 6L-252A-1W4</t>
  </si>
  <si>
    <t>N060082L171A</t>
  </si>
  <si>
    <t>RFU-A Branching Drawer 1+1 with Sampler+Coupler, 6L-252A-3W6</t>
  </si>
  <si>
    <t>N060082L172A</t>
  </si>
  <si>
    <t>RFU-A Branching Drawer 1+1 with Sampler+Coupler, 6L-252A-5W8</t>
  </si>
  <si>
    <t>N060082L173A</t>
  </si>
  <si>
    <t>RFU-A Branching Drawer 1+1 with Sampler+Coupler, 6H-160A-1W8</t>
  </si>
  <si>
    <t>N060082L174A</t>
  </si>
  <si>
    <t>RFU-A Branching Drawer 1+1 with Sampler+Coupler, 6H-160A-6W14</t>
  </si>
  <si>
    <t>N060082L175A</t>
  </si>
  <si>
    <t>RFU-A Branching Drawer 1+1 with Sampler+Coupler, 6H-160A-8W16</t>
  </si>
  <si>
    <t>N060082L176A</t>
  </si>
  <si>
    <t>RFU-A Branching Drawer 1+1 SD Tx-H Sampler+Coupler, 6L-252A-1W4</t>
  </si>
  <si>
    <t>N060082L177A</t>
  </si>
  <si>
    <t>RFU-A Branching Drawer 1+1 SD Tx-H Sampler+Coupler, 6L-252A-3W6</t>
  </si>
  <si>
    <t>N060082L178A</t>
  </si>
  <si>
    <t>RFU-A Branching Drawer 1+1 SD Tx-H Sampler+Coupler, 6L-252A-5W8</t>
  </si>
  <si>
    <t>N060082L179A</t>
  </si>
  <si>
    <t>RFU-A Branching Drawer 1+1 SD Tx-H Sampler+Coupler, 6H-160A-1W8</t>
  </si>
  <si>
    <t>N060082L180A</t>
  </si>
  <si>
    <t>RFU-A Branching Drawer 1+1 SD Tx-H Sampler+Coupler, 6H-160A-6W14</t>
  </si>
  <si>
    <t>N060082L181A</t>
  </si>
  <si>
    <t>RFU-A Branching Drawer 1+1 SD Tx-H Sampler+Coupler, 6H-160A-8W16</t>
  </si>
  <si>
    <t>N060082L182A</t>
  </si>
  <si>
    <t>RFU-A Branching Drawer 1+1 SD Tx-L Sampler+Coupler, 6L-252A-1W4</t>
  </si>
  <si>
    <t>N060082L183A</t>
  </si>
  <si>
    <t>RFU-A Branching Drawer 1+1 SD Tx-L Sampler+Coupler, 6L-252A-3W6</t>
  </si>
  <si>
    <t>N060082L184A</t>
  </si>
  <si>
    <t>RFU-A Branching Drawer 1+1 SD Tx-L Sampler+Coupler, 6L-252A-5W8</t>
  </si>
  <si>
    <t>N060082L185A</t>
  </si>
  <si>
    <t>RFU-A Branching Drawer 1+1 SD Tx-L Sampler+Coupler, 6H-160A-1W8</t>
  </si>
  <si>
    <t>N060082L186A</t>
  </si>
  <si>
    <t>RFU-A Branching Drawer 1+1 SD Tx-L Sampler+Coupler, 6H-160A-6W14</t>
  </si>
  <si>
    <t>N060082L187A</t>
  </si>
  <si>
    <t>RFU-A Branching Drawer 1+1 SD Tx-L Sampler+Coupler, 6H-160A-8W16</t>
  </si>
  <si>
    <t>N060082L188A</t>
  </si>
  <si>
    <t>RFU-A Branching Drawer 1+0 inverted with Sampler, 6L-252A-1W4</t>
  </si>
  <si>
    <t>N060082L189A</t>
  </si>
  <si>
    <t>RFU-A Branching Drawer 1+0 inverted with Sampler, 6L-252A-3W6</t>
  </si>
  <si>
    <t>N060082L190A</t>
  </si>
  <si>
    <t>RFU-A Branching Drawer 1+0 inverted with Sampler, 6L-252A-5W8</t>
  </si>
  <si>
    <t>N060082L191A</t>
  </si>
  <si>
    <t>RFU-A Branching Drawer 1+0 inverted with Sampler, 6H-160A-1W8</t>
  </si>
  <si>
    <t>N060082L192A</t>
  </si>
  <si>
    <t>RFU-A Branching Drawer 1+0 inverted with Sampler, 6H-160A-6W14</t>
  </si>
  <si>
    <t>N060082L193A</t>
  </si>
  <si>
    <t>RFU-A Branching Drawer 1+0 inverted with Sampler, 6H-160A-8W16</t>
  </si>
  <si>
    <t>N060082L196A</t>
  </si>
  <si>
    <t>RFU-A Branching Drawer 1+0 with Sampler, 6H-150A-1W2</t>
  </si>
  <si>
    <t>N060082L197A</t>
  </si>
  <si>
    <t>RFU-A Branching Drawer 1+0 with Sampler, 6H-150A-3W4</t>
  </si>
  <si>
    <t>N060082L200A</t>
  </si>
  <si>
    <t>RFU-A Branching Drawer 1+1 with Sampler+Coupler, 6H-150A-1W2</t>
  </si>
  <si>
    <t>N060082L201A</t>
  </si>
  <si>
    <t>RFU-A Branching Drawer 1+1 with Sampler+Coupler, 6H-150A-3W4</t>
  </si>
  <si>
    <t>N060082L204A</t>
  </si>
  <si>
    <t>RFU-A Branching Drawer 1+1 SD Tx-H Sampler+Coupler, 6H-150A-1W2</t>
  </si>
  <si>
    <t>N060082L205A</t>
  </si>
  <si>
    <t>RFU-A Branching Drawer 1+1 SD Tx-H Sampler+Coupler, 6H-150A-3W4</t>
  </si>
  <si>
    <t>N060082L208A</t>
  </si>
  <si>
    <t>RFU-A Branching Drawer 1+1 SD Tx-L Sampler+Coupler, 6H-150A-1W2</t>
  </si>
  <si>
    <t>N060082L209A</t>
  </si>
  <si>
    <t>RFU-A Branching Drawer 1+1 SD Tx-L Sampler+Coupler, 6H-150A-3W4</t>
  </si>
  <si>
    <t>N060082L212A</t>
  </si>
  <si>
    <t>RFU-A Branching Drawer 1+0 inverted with Sampler, 6H-150A-1W2</t>
  </si>
  <si>
    <t>N060082L213A</t>
  </si>
  <si>
    <t>RFU-A Branching Drawer 1+0 inverted with Sampler, 6H-150A-3W4</t>
  </si>
  <si>
    <t>N060082L217A</t>
  </si>
  <si>
    <t>PTP820 REMEC interface Antenna Adaptor Kit, 6 GHz, Single Pol</t>
  </si>
  <si>
    <t>N060082L218A</t>
  </si>
  <si>
    <t>PTP 820C-HP/RFU-D-HP, Diplexer,L6 GHz, TR 252A, CH1W4, Hi,6179.415-6304.015MHz</t>
  </si>
  <si>
    <t>N060082L219A</t>
  </si>
  <si>
    <t>PTP 820C-HP/RFU-D-HP, Diplexer,L6 GHz, TR 252A, CH1W4, Lo,5927.375-6051.975MHz</t>
  </si>
  <si>
    <t>N060082L220A</t>
  </si>
  <si>
    <t>PTP 820C-HP/RFU-D-HP, Diplexer,L6 GHz, TR 252A, CH5W8, Hi,6298.015-6422.615MHz</t>
  </si>
  <si>
    <t>N060082L221A</t>
  </si>
  <si>
    <t>PTP 820C-HP/RFU-D-HP, Diplexer,L6 GHz, TR 252A, CH5W8, Lo,6045.975-6170.575MHz</t>
  </si>
  <si>
    <t>N060082L222A</t>
  </si>
  <si>
    <t>PTP 820C-HP/RFU-D-HP, Diplexer,U6 GHz, TR 340A, CH1W4, Hi,6781-6939MHz</t>
  </si>
  <si>
    <t>N060082L223A</t>
  </si>
  <si>
    <t>PTP 820C-HP/RFU-D-HP, Diplexer,U6 GHz, TR 340A, CH1W4, Lo,6441-6599MHz</t>
  </si>
  <si>
    <t>N060082L224A</t>
  </si>
  <si>
    <t>PTP 820C-HP/RFU-D-HP, Diplexer,U6 GHz, TR 340A, CH5W8, Hi,6941-7099MHz</t>
  </si>
  <si>
    <t>N060082L225A</t>
  </si>
  <si>
    <t>PTP 820C-HP/RFU-D-HP, Diplexer,U6 GHz, TR 340A, CH5W8, Lo,6601-6759MHz</t>
  </si>
  <si>
    <t>N060082L226A</t>
  </si>
  <si>
    <t>PTP 820C-HP/RFU-D-HP OMT,6 GHz</t>
  </si>
  <si>
    <t>N060082L227A</t>
  </si>
  <si>
    <t>PTP 820C-HP/RFU-D-HP Dual Coupler,6 GHz</t>
  </si>
  <si>
    <t>N060082L228A</t>
  </si>
  <si>
    <t>PTP 820C-HP/RFU-D-HP Dual Splitter,6 GHz</t>
  </si>
  <si>
    <t>N060082L229A</t>
  </si>
  <si>
    <t>PTP 820C-HP/RFU-D-HP, Diplexer,L6 GHz, TR 252A, CH3W6, Hi,6238.715-6363.315MHz</t>
  </si>
  <si>
    <t>N060082L230A</t>
  </si>
  <si>
    <t>PTP 820C-HP/RFU-D-HP, Diplexer,L6 GHz, TR 252A, CH3W6, Lo,5986.675-6111.275MHz</t>
  </si>
  <si>
    <t>N060082L231A</t>
  </si>
  <si>
    <t>PTP 820C-HP/RFU-D-HP Remote Mount Adaptor,6 GHz</t>
  </si>
  <si>
    <t>N060082L232A</t>
  </si>
  <si>
    <t>PTP 820C-HP/RFU-D-HP Splitter,6 GHz</t>
  </si>
  <si>
    <t>N060082L233A</t>
  </si>
  <si>
    <t>PTP 820C-HP/RFU-D-HP Dual Circulator,6 GHz</t>
  </si>
  <si>
    <t>N060082L234A</t>
  </si>
  <si>
    <t>PTP 820C-HP/RFU-D-HP Space Diversity Kit,6 GHz</t>
  </si>
  <si>
    <t>N060082L235A</t>
  </si>
  <si>
    <t>PTP820 Radiowave Antenna Conversion kit, 6 GHz, 3ft</t>
  </si>
  <si>
    <t>N060082L236A</t>
  </si>
  <si>
    <t>PTP820 Radiowave Antenna Conversion kit, 6 GHz, 4ft</t>
  </si>
  <si>
    <t>N060082L237A</t>
  </si>
  <si>
    <t>PTP820 Radiowave Antenna Conversion kit, 6 GHz, 6ft</t>
  </si>
  <si>
    <t>N060082L238A</t>
  </si>
  <si>
    <t>PTP 820C-HP/RFU-D-HP, Diplexer,U6 GHz,TR160A,Ch1W6,Hi,6707.5-6772.5MHz</t>
  </si>
  <si>
    <t>N060082L239A</t>
  </si>
  <si>
    <t>PTP 820C-HP/RFU-D-HP, Diplexer,U6 GHz,TR160A,Ch1W6,Lo,6537.5-6612.5MHz</t>
  </si>
  <si>
    <t>N060082L240A</t>
  </si>
  <si>
    <t>PTP 820C-HP/RFU-D-HP, Diplexer,U6 GHz,TR160A,Ch7W12,Hi,6767.5-6832.5MHz</t>
  </si>
  <si>
    <t>N060082L241A</t>
  </si>
  <si>
    <t>PTP 820C-HP/RFU-D-HP, Diplexer,U6 GHz,TR160A,Ch7W12,Lo,6607.5-6672.5MHz</t>
  </si>
  <si>
    <t>N060082L242A</t>
  </si>
  <si>
    <t>PTP 820C-HP/RFU-D-HP, Diplexer,U6 GHz,TR160A,Ch13W16,Hi,6827.5-6872.5MHz</t>
  </si>
  <si>
    <t>N060082L243A</t>
  </si>
  <si>
    <t>PTP 820C-HP/RFU-D-HP, Diplexer,U6 GHz,TR160A,Ch13W16,Lo,6667.5-6712.5MHz</t>
  </si>
  <si>
    <t>N060082L244A</t>
  </si>
  <si>
    <t>PTP 820C-HP/RFU-D-HP OMT Plate Adaptor, 6 GHz</t>
  </si>
  <si>
    <t>N060082L245A</t>
  </si>
  <si>
    <t>PTP 820C-HP/RFU-D-HP, Diplexer,U6 GHz, TR 340D, CH7W11, Hi,6965-7115MHz</t>
  </si>
  <si>
    <t>N060082L246A</t>
  </si>
  <si>
    <t>PTP 820C-HP/RFU-D-HP, Diplexer,U6 GHz, TR 340D, CH7W11, Lo,6625-6775MHz</t>
  </si>
  <si>
    <t>N060082L247A</t>
  </si>
  <si>
    <t>PTP 820 RFU-D Diplexer,L6 GHz, TR 252A, CH1W4, Hi,6179.415-6304.015MHz</t>
  </si>
  <si>
    <t>N060082L248A</t>
  </si>
  <si>
    <t>PTP 820 RFU-D Diplexer,L6 GHz, TR 252A, CH1W4, Lo,5927.375-6051.975MHz</t>
  </si>
  <si>
    <t>N060082L249A</t>
  </si>
  <si>
    <t>PTP 820 RFU-D Diplexer,L6 GHz, TR 252A, CH3W6, Hi,6238.715-6363.315MHz</t>
  </si>
  <si>
    <t>N060082L250A</t>
  </si>
  <si>
    <t>PTP 820 RFU-D Diplexer,L6 GHz, TR 252A, CH3W6, Lo,5986.675-6111.275MHz</t>
  </si>
  <si>
    <t>N060082L251A</t>
  </si>
  <si>
    <t>PTP 820 RFU-D Diplexer,L6 GHz, TR 252A, CH5W8, Hi,6298.015-6422.615MHz</t>
  </si>
  <si>
    <t>N060082L252A</t>
  </si>
  <si>
    <t>PTP 820 RFU-D Diplexer,L6 GHz, TR 252A, CH5W8, Lo,6045.975-6170.575MHz</t>
  </si>
  <si>
    <t>N060082L253A</t>
  </si>
  <si>
    <t>PTP 820 RFU-D Diplexer,U6 GHz, TR160A,Ch1W6,Hi,6707.5-6772.5MHz</t>
  </si>
  <si>
    <t>N060082L254A</t>
  </si>
  <si>
    <t>PTP 820 RFU-D Diplexer,U6 GHz, TR160A,Ch1W6,Lo,6537.5-6612.5MHz</t>
  </si>
  <si>
    <t>N060082L255A</t>
  </si>
  <si>
    <t>PTP 820 RFU-D Diplexer,U6 GHz,TR160A,Ch7W12,Hi,6767.5-6832.5MHz</t>
  </si>
  <si>
    <t>N060082L256A</t>
  </si>
  <si>
    <t>PTP 820 RFU-D Diplexer,U6 GHz,TR160A,Ch7W12,Lo,6607.5-6672.5MHz</t>
  </si>
  <si>
    <t>N060082L257A</t>
  </si>
  <si>
    <t>PTP 820 RFU-D Diplexer,U6 GHz,TR160A,Ch13W16,Hi,6827.5-6872.5MHz</t>
  </si>
  <si>
    <t>N060082L258A</t>
  </si>
  <si>
    <t>PTP 820 RFU-D Diplexer,U6 GHz,TR160A,Ch13W16,Lo,6667.5-6712.5MHz</t>
  </si>
  <si>
    <t>N060082L259A</t>
  </si>
  <si>
    <t>PTP 820 RFU-D Diplexer,U6 GHz, TR 340A, CH1W4, Hi,6781-6939MHz</t>
  </si>
  <si>
    <t>N060082L260A</t>
  </si>
  <si>
    <t>PTP 820 RFU-D Diplexer,U6 GHz, TR 340A, CH1W4, Lo,6441-6599MHz</t>
  </si>
  <si>
    <t>N060082L261A</t>
  </si>
  <si>
    <t>PTP 820 RFU-D Diplexer,U6 GHz, TR 340A, CH5W8, Hi,6941-7099MHz</t>
  </si>
  <si>
    <t>N060082L262A</t>
  </si>
  <si>
    <t>PTP 820 RFU-D Diplexer,U6 GHz, TR 340A, CH5W8, Lo,6601-6759MHz</t>
  </si>
  <si>
    <t>N060082L279A</t>
  </si>
  <si>
    <t>PTP820 RFU-C 6 GHz Radio Flange Adaptor - UDR70</t>
  </si>
  <si>
    <t>N060082L283A</t>
  </si>
  <si>
    <t>PTP 820C Remote mount  for OMT kit 6 GHz UDR70</t>
  </si>
  <si>
    <t>N070082D284A</t>
  </si>
  <si>
    <t>PTP 820 2' ANT,SP,7_8GHz,RFU-C TYPE&amp;Std UBR84 - Andrew</t>
  </si>
  <si>
    <t>N070082D285A</t>
  </si>
  <si>
    <t>PTP 820 3' ANT,SP,7_8GHz,RFU-C TYPE&amp;Std UBR84 - Andrew</t>
  </si>
  <si>
    <t>N070082D286A</t>
  </si>
  <si>
    <t>PTP 820 4' ANT,SP,7_8GHz,RFU-C TYPE&amp;Std UBR84 - Andrew</t>
  </si>
  <si>
    <t>N070082D288A</t>
  </si>
  <si>
    <t>PTP 820 6' ANT,SP,7_8GHz,RFU-C TYPE&amp;Std UBR84 - Andrew</t>
  </si>
  <si>
    <t>N070082D306A</t>
  </si>
  <si>
    <t>PTP 820 2' ANT,SP,7_8GHz,RFU-C TYPE&amp;UBR84 - Radiowave</t>
  </si>
  <si>
    <t>N070082D307A</t>
  </si>
  <si>
    <t>PTP 820 3' ANT,SP,7_8GHz,RFU-C TYPE&amp;UBR84 - Radiowave</t>
  </si>
  <si>
    <t>N070082D308A</t>
  </si>
  <si>
    <t>PTP 820 4' ANT,SP,7_8GHz,RFU-C TYPE&amp;UBR84 - Radiowave</t>
  </si>
  <si>
    <t>N070082D309A</t>
  </si>
  <si>
    <t>PTP 820 6' ANT,SP,7_8GHz,RFU-C TYPE&amp;UBR84 - Radiowave</t>
  </si>
  <si>
    <t>N070082H327A</t>
  </si>
  <si>
    <t>PTP 820C HP/RFU-D-HP Test Kit - 7-8 GHz</t>
  </si>
  <si>
    <t>N070082L001A</t>
  </si>
  <si>
    <t>PTP 820C 7-8G Remote Mount adaptor - UBR84</t>
  </si>
  <si>
    <t>N070082L002A</t>
  </si>
  <si>
    <t>PTP 820 RFU-C ADPT 7_8GHz Remote Mount Adaptor - UBR84</t>
  </si>
  <si>
    <t>N070082L003A</t>
  </si>
  <si>
    <t>PTP 820 Andrew Valuline Antenna Convert kit, 7GHz</t>
  </si>
  <si>
    <t>N070082L004A</t>
  </si>
  <si>
    <t>PTP 820 Flexible Twist,WR112,PBR84,48.0 inch,PBR84,7-8 GHz</t>
  </si>
  <si>
    <t>N070082L292A</t>
  </si>
  <si>
    <t>PTP 820C DUAL COUPLER KIT 7-8GHz</t>
  </si>
  <si>
    <t>N070082L293A</t>
  </si>
  <si>
    <t>PTP 820C DUAL SPLITTER KIT 7-8GHz (UBR84)</t>
  </si>
  <si>
    <t>N070082L294A</t>
  </si>
  <si>
    <t>PTP 820C OMT KIT 7-8GHz</t>
  </si>
  <si>
    <t>N070082L295A</t>
  </si>
  <si>
    <t>PTP 820C SPLITTER KIT 7-8GHz</t>
  </si>
  <si>
    <t>N070082L301A</t>
  </si>
  <si>
    <t>PTP 820 RFU-C 7_8GHz Coupler KIT</t>
  </si>
  <si>
    <t>N070082L302A</t>
  </si>
  <si>
    <t>PTP 820 RFU-C 7_8GHz OMT DM KIT</t>
  </si>
  <si>
    <t>N070082L303A</t>
  </si>
  <si>
    <t>PTP 820 RFU-C 7_8GHz OMT Interface-Andrew</t>
  </si>
  <si>
    <t>N070082L304A</t>
  </si>
  <si>
    <t>PTP 820 RFU-C 7_8GHz Twist Adaptor KIT</t>
  </si>
  <si>
    <t>N070082L305A</t>
  </si>
  <si>
    <t>PTP 820 RFU-C SPLITTER KIT  7_8GHz (UBR84)</t>
  </si>
  <si>
    <t>N070082L310A</t>
  </si>
  <si>
    <t>PTP 820 RFU-C 7_8GHz OMT Interface-Radiowave</t>
  </si>
  <si>
    <t>N070082L311A</t>
  </si>
  <si>
    <t>PTP 820 RFU-C 7_8GHz OMT Interface-CNT</t>
  </si>
  <si>
    <t>N070082L312A</t>
  </si>
  <si>
    <t>PTP 820 FLX-HNGR-7_8Ghz</t>
  </si>
  <si>
    <t>N070082L319A</t>
  </si>
  <si>
    <t>PTP820C/S 7&amp;8 GHz Radio Flange Adaptor - UBR84</t>
  </si>
  <si>
    <t>N070082L326A</t>
  </si>
  <si>
    <t>PTP 820C-HP/RFU-D-HP, Diplexer,7 GHz, TR 154A, CH1W2, Hi,7580.5-7639.5MHz</t>
  </si>
  <si>
    <t>N070082L327A</t>
  </si>
  <si>
    <t>PTP 820C-HP/RFU-D-HP, Diplexer,7 GHz, TR 154A, CH1W2, Lo,7426.5-7485.5MHz</t>
  </si>
  <si>
    <t>N070082L328A</t>
  </si>
  <si>
    <t>PTP 820C-HP/RFU-D-HP, Diplexer,7 GHz, TR 154A, CH2W3, Hi,7608.5-7667.5MHz</t>
  </si>
  <si>
    <t>N070082L329A</t>
  </si>
  <si>
    <t>PTP 820C-HP/RFU-D-HP, Diplexer,7 GHz, TR 154A, CH2W3, Lo,7454.5-7513.5MHz</t>
  </si>
  <si>
    <t>N070082L330A</t>
  </si>
  <si>
    <t>PTP 820C-HP/RFU-D-HP, Diplexer,7 GHz, TR 154A, CH3W4, Hi,7636.5-7695.5MHz</t>
  </si>
  <si>
    <t>N070082L331A</t>
  </si>
  <si>
    <t>PTP 820C-HP/RFU-D-HP, Diplexer,7 GHz, TR 154A, CH3W4, Lo,7482.5-7541.5MHz</t>
  </si>
  <si>
    <t>N070082L332A</t>
  </si>
  <si>
    <t>PTP 820C-HP/RFU-D-HP, Diplexer,7 GHz, TR 154A, CH4W5, Hi,7664.5-7723.5MHz</t>
  </si>
  <si>
    <t>N070082L333A</t>
  </si>
  <si>
    <t>PTP 820C-HP/RFU-D-HP, Diplexer,7 GHz, TR 154A, CH4W5, Lo,7510.5-7569.5MHz</t>
  </si>
  <si>
    <t>N070082L334A</t>
  </si>
  <si>
    <t>PTP 820C-HP/RFU-D-HP, Diplexer,7 GHz, TR 161A, CH1W2, Hi,7284-7343MHz</t>
  </si>
  <si>
    <t>N070082L335A</t>
  </si>
  <si>
    <t>PTP 820C-HP/RFU-D-HP, Diplexer,7 GHz, TR 161A, CH1W2, Lo,7123-7182MHz</t>
  </si>
  <si>
    <t>N070082L336A</t>
  </si>
  <si>
    <t>PTP 820C-HP/RFU-D-HP, Diplexer,7 GHz, TR 161A, CH3W4, Hi,7340-7399MHz</t>
  </si>
  <si>
    <t>N070082L337A</t>
  </si>
  <si>
    <t>PTP 820C-HP/RFU-D-HP, Diplexer,7 GHz, TR 161A, CH3W4, Lo,7179-7238MHz</t>
  </si>
  <si>
    <t>N070082L338A</t>
  </si>
  <si>
    <t>PTP 820C-HP/RFU-D-HP Remote Mount Adaptor,7-8 GHz</t>
  </si>
  <si>
    <t>N070082L340A</t>
  </si>
  <si>
    <t>PTP 820C-HP/RFU-D-HP OMT,7-8 GHz</t>
  </si>
  <si>
    <t>N070082L341A</t>
  </si>
  <si>
    <t>PTP 820C-HP/RFU-D-HP OMT Plate Adaptor, 7-8 GHz</t>
  </si>
  <si>
    <t>N070082L342A</t>
  </si>
  <si>
    <t>PTP 820C-HP/RFU-D-HP Dual Coupler,7-8 GHz</t>
  </si>
  <si>
    <t>N070082L343A</t>
  </si>
  <si>
    <t>PTP 820C-HP/RFU-D-HP Dual Splitter,7-8 GHz</t>
  </si>
  <si>
    <t>N070082L344A</t>
  </si>
  <si>
    <t>PTP 820C-HP/RFU-D-HP Dual Circulator,7-8 GHz</t>
  </si>
  <si>
    <t>N070082L345A</t>
  </si>
  <si>
    <t>PTP 820C-HP/RFU-D-HP Space Diversity Kit,7-8 GHz</t>
  </si>
  <si>
    <t>N070082L346A</t>
  </si>
  <si>
    <t>PTP 820 RFU-D Diplexer,7 GHz, TR 154A, CH1W2, Hi,7580.5-7639.5MHz</t>
  </si>
  <si>
    <t>N070082L347A</t>
  </si>
  <si>
    <t>PTP 820 RFU-D Diplexer,7 GHz, TR 154A, CH1W2, Lo,7426.5-7485.5MHz</t>
  </si>
  <si>
    <t>N070082L348A</t>
  </si>
  <si>
    <t>PTP 820 RFU-D Diplexer,7 GHz, TR 154A, CH2W3, Hi,7608.5-7667.5MHz</t>
  </si>
  <si>
    <t>N070082L349A</t>
  </si>
  <si>
    <t>PTP 820 RFU-D Diplexer,7 GHz, TR 154A, CH2W3, Lo,7454.5-7513.5MHz</t>
  </si>
  <si>
    <t>N070082L350A</t>
  </si>
  <si>
    <t>PTP 820 RFU-D Diplexer,7 GHz, TR 154A, CH3W4, Hi,7636.5-7695.5MHz</t>
  </si>
  <si>
    <t>N070082L351A</t>
  </si>
  <si>
    <t>PTP 820 RFU-D Diplexer,7 GHz, TR 154A, CH3W4, Lo,7482.5-7541.5MHz</t>
  </si>
  <si>
    <t>N070082L352A</t>
  </si>
  <si>
    <t>PTP 820 RFU-D Diplexer,7 GHz, TR 154A, CH4W5, Hi,7664.5-7723.5MHz</t>
  </si>
  <si>
    <t>N070082L353A</t>
  </si>
  <si>
    <t>PTP 820 RFU-D Diplexer,7 GHz, TR 154A, CH4W5, Lo,7510.5-7569.5MHz</t>
  </si>
  <si>
    <t>N070082L354A</t>
  </si>
  <si>
    <t>PTP 820 RFU-D Diplexer,7 GHz, TR 161A, CH1W2, Hi,7284-7343MHz</t>
  </si>
  <si>
    <t>N070082L355A</t>
  </si>
  <si>
    <t>PTP 820 RFU-D Diplexer,7 GHz, TR 161A, CH1W2, Lo,7123-7182MHz</t>
  </si>
  <si>
    <t>N070082L356A</t>
  </si>
  <si>
    <t>PTP 820 RFU-D Diplexer,7 GHz, TR 161A, CH3W4, Hi,7340-7399MHz</t>
  </si>
  <si>
    <t>N070082L357A</t>
  </si>
  <si>
    <t>PTP 820 RFU-D Diplexer,7 GHz, TR 161A, CH3W4, Lo,7179-7238MHz</t>
  </si>
  <si>
    <t>N070082L358A</t>
  </si>
  <si>
    <t>PTP 820 RFU-D Diplexer,7 GHz, TR 245A, CH1W4, Hi,7671.5-7786.5MHz</t>
  </si>
  <si>
    <t>N070082L359A</t>
  </si>
  <si>
    <t>PTP 820 RFU-D Diplexer,7 GHz, TR 245A, CH1W4, Lo,7426.5-7541.5MHz</t>
  </si>
  <si>
    <t>N070082L360A</t>
  </si>
  <si>
    <t>PTP 820 RFU-D Diplexer,7 GHz, TR 245A, CH5W8, Hi,7783.5-7898.5MHz</t>
  </si>
  <si>
    <t>N070082L361A</t>
  </si>
  <si>
    <t>PTP 820 RFU-D Diplexer,7 GHz, TR 245A, CH5W8, Lo,7538.5-7653.5MHz</t>
  </si>
  <si>
    <t>N070082L386A</t>
  </si>
  <si>
    <t>PTP820 RFU-C 7&amp;8 GHz Radio Flange Adaptor - UBR84</t>
  </si>
  <si>
    <t>N070082L387A</t>
  </si>
  <si>
    <t>PTP 820C Remote mount  for OMT kit 7_8 GHz UBR84</t>
  </si>
  <si>
    <t>N080082L176A</t>
  </si>
  <si>
    <t>PTP 820C-HP/RFU-D-HP, Diplexer,8 GHz, TR 311A, CH1W4, Hi,8043.52-8163.47MHz</t>
  </si>
  <si>
    <t>N080082L177A</t>
  </si>
  <si>
    <t>PTP 820C-HP/RFU-D-HP, Diplexer,8 GHz, TR 311A, CH1W4, Lo,7732.2-7852.15MHz</t>
  </si>
  <si>
    <t>N080082L178A</t>
  </si>
  <si>
    <t>PTP 820C-HP/RFU-D-HP, Diplexer,8 GHz, TR 311A, CH5W8, Hi,8162.12-8282.07MHz</t>
  </si>
  <si>
    <t>N080082L179A</t>
  </si>
  <si>
    <t>PTP 820C-HP/RFU-D-HP, Diplexer,8 GHz, TR 311A, CH5W8, Lo,7850.8-7970.75MHz</t>
  </si>
  <si>
    <t>N080082L180A</t>
  </si>
  <si>
    <t>PTP 820 RFU-D Diplexer,8 GHz, TR 119A, CH1W3, Hi,8396.5-8455.5MHz</t>
  </si>
  <si>
    <t>N080082L181A</t>
  </si>
  <si>
    <t>PTP 820 RFU-D Diplexer,8 GHz, TR 119A, CH1W3, Lo,8277.5-8336.5MHz</t>
  </si>
  <si>
    <t>N080082L182A</t>
  </si>
  <si>
    <t>PTP 820 RFU-D Diplexer,8 GHz, TR 119A, CH4W6, Hi,8438.5-8497.5MHz</t>
  </si>
  <si>
    <t>N080082L183A</t>
  </si>
  <si>
    <t>PTP 820 RFU-D Diplexer,8 GHz, TR 119A, CH4W6, Lo,8319.5-8378.5MHz</t>
  </si>
  <si>
    <t>N080082L184A</t>
  </si>
  <si>
    <t>PTP 820 RFU-D Diplexer,8 GHz, TR 311A, CH1W4, Hi,8043.52-8163.47MHz</t>
  </si>
  <si>
    <t>N080082L185A</t>
  </si>
  <si>
    <t>PTP 820 RFU-D Diplexer,8 GHz, TR 311A, CH1W4, Lo,7732.2-7852.15MHz</t>
  </si>
  <si>
    <t>N080082L186A</t>
  </si>
  <si>
    <t>PTP 820 RFU-D Diplexer,8 GHz, TR 311A, CH5W8, Hi,8162.12-8282.07MHz</t>
  </si>
  <si>
    <t>N080082L187A</t>
  </si>
  <si>
    <t>PTP 820 RFU-D Diplexer,8 GHz, TR 311A, CH5W8, Lo,7850.8-7970.75MHz</t>
  </si>
  <si>
    <t>N100082D001A</t>
  </si>
  <si>
    <t>USX6 - 6' ANT, 11W GHz with Radome, Dual Pol, CPR90G</t>
  </si>
  <si>
    <t>N110082D072A</t>
  </si>
  <si>
    <t>PTP 820 2' ANT,SP,10_11GHz,RFU-C TYPE&amp;Std UBR100 - Andrew</t>
  </si>
  <si>
    <t>N110082D073A</t>
  </si>
  <si>
    <t>PTP 820 3' ANT,SP,11GHz,RFU-C TYPE&amp;Std UBR100 - Andrew</t>
  </si>
  <si>
    <t>N110082D075A</t>
  </si>
  <si>
    <t>PTP 820 4' ANT,SP,11GHz,RFU-C TYPE&amp;Std UBR100 - Andrew</t>
  </si>
  <si>
    <t>N110082D077A</t>
  </si>
  <si>
    <t>PTP 820 6' ANT,SP,10_11GHz,RFU-C TYPE&amp;Std UBR100 - Andrew</t>
  </si>
  <si>
    <t>N110082D096A</t>
  </si>
  <si>
    <t>PTP 820 2' ANT,SP,11GHz,RFU-C TYPE&amp;UBR100 - Radiowave</t>
  </si>
  <si>
    <t>N110082D098A</t>
  </si>
  <si>
    <t>PTP 820 3' ANT,SP,11GHz,RFU-C TYPE&amp;UBR100 - Radiowave</t>
  </si>
  <si>
    <t>N110082D100A</t>
  </si>
  <si>
    <t>PTP 820 4' ANT,SP,11GHz,RFU-C TYPE&amp;UBR100 - Radiowave</t>
  </si>
  <si>
    <t>N110082D102A</t>
  </si>
  <si>
    <t>PTP 820 6' ANT,SP,11GHz,RFU-C TYPE&amp;UBR100 - Radiowave</t>
  </si>
  <si>
    <t>N110082H150A</t>
  </si>
  <si>
    <t>PTP 820C HP/RFU-D-HP Test Kit - 11 GHz</t>
  </si>
  <si>
    <t>N110082L001A</t>
  </si>
  <si>
    <t>PTP 820C 10-11G Remote Mount adaptor - UBR100</t>
  </si>
  <si>
    <t>N110082L002A</t>
  </si>
  <si>
    <t>PTP 820 RFU-C ADPT 10_11GHz Remote Mount Adaptor - UBR100</t>
  </si>
  <si>
    <t>N110082L003A</t>
  </si>
  <si>
    <t>PTP 820 Andrew Valuline Antenna Convert kit, 11GHz</t>
  </si>
  <si>
    <t>N110082L004A</t>
  </si>
  <si>
    <t>PTP820 Radiowave Antenna Conversion kit, 11 GHz, 2ft</t>
  </si>
  <si>
    <t>N110082L005A</t>
  </si>
  <si>
    <t>PTP820 Radiowave Antenna Conversion kit, 11 GHz, 3ft</t>
  </si>
  <si>
    <t>N110082L006A</t>
  </si>
  <si>
    <t>PTP820 Radiowave Antenna Conversion kit, 11 GHz, 4ft</t>
  </si>
  <si>
    <t>N110082L007A</t>
  </si>
  <si>
    <t>PTP820 Radiowave Antenna Conversion kit, 11 GHz, 6ft</t>
  </si>
  <si>
    <t>N110082L011A</t>
  </si>
  <si>
    <t>PTP820 Dragonwave Antenna Adaptor for Cambium, 11GHz</t>
  </si>
  <si>
    <t>N110082L012A</t>
  </si>
  <si>
    <t>PTP 820 Flexible Twist,WR90,UBR100, 35.0 inch,PBR100,10.7 - 11.7 GHz</t>
  </si>
  <si>
    <t>N110082L080A</t>
  </si>
  <si>
    <t>PTP 820C DUAL COUPLER KIT 10-11GHz</t>
  </si>
  <si>
    <t>N110082L081A</t>
  </si>
  <si>
    <t>PTP 820C DUAL SPLITTER KIT 10-11GHz (UBR100)</t>
  </si>
  <si>
    <t>N110082L082A</t>
  </si>
  <si>
    <t>PTP 820C OMT KIT 10-11GHz</t>
  </si>
  <si>
    <t>N110082L083A</t>
  </si>
  <si>
    <t>PTP 820C SPLITTER KIT 10-11GHz</t>
  </si>
  <si>
    <t>N110082L084A</t>
  </si>
  <si>
    <t>PTP 820 RFU-A 11GHz L-Bend T1</t>
  </si>
  <si>
    <t>N110082L085A</t>
  </si>
  <si>
    <t>PTP 820 RFU-A 11GHz L-Bend T2</t>
  </si>
  <si>
    <t>N110082L086A</t>
  </si>
  <si>
    <t>PTP 820 RFU-A 11GHz system Housing</t>
  </si>
  <si>
    <t>N110082L087A</t>
  </si>
  <si>
    <t>PTP 820 RFU-A 11GHz Termination</t>
  </si>
  <si>
    <t>N110082L089A</t>
  </si>
  <si>
    <t>PTP 820 RFU-A External Coupler 11GHz Kit</t>
  </si>
  <si>
    <t>N110082L090A</t>
  </si>
  <si>
    <t>PTP 820 RFU-C 10_11GHz Coupler KIT</t>
  </si>
  <si>
    <t>Hong Kong</t>
  </si>
  <si>
    <t>N110082L091A</t>
  </si>
  <si>
    <t>PTP 820 RFU-C 10_11GHz OMT DM KIT</t>
  </si>
  <si>
    <t>N110082L092A</t>
  </si>
  <si>
    <t>PTP 820 RFU-C 10_11GHz OMT Interface-Andrew</t>
  </si>
  <si>
    <t>N110082L093A</t>
  </si>
  <si>
    <t>PTP 820 RFU-C 10_11GHz Twist Adaptor KIT</t>
  </si>
  <si>
    <t>N110082L094A</t>
  </si>
  <si>
    <t>PTP 820 RFU-C SPLITTER KIT 11GHz (UBR100)</t>
  </si>
  <si>
    <t>N110082L103A</t>
  </si>
  <si>
    <t>PTP 820 RFU-C 10_11GHz OMT Interface-Radiowave</t>
  </si>
  <si>
    <t>N110082L104A</t>
  </si>
  <si>
    <t>PTP 820 RFU-C 10_11GHz OMT Interface-CNT</t>
  </si>
  <si>
    <t>N110082L105A</t>
  </si>
  <si>
    <t>PTP 820 Flexible Twist,WR90,PBR100,48.0 inch,PBR100,10-11 GHz</t>
  </si>
  <si>
    <t>N110082L106A</t>
  </si>
  <si>
    <t>PTP 820 Flexible Twist,WR90,PBR100, 35.0 inch,CPR90G,10-11 GHz</t>
  </si>
  <si>
    <t>N110082L107A</t>
  </si>
  <si>
    <t>PTP 820 FLX-HNGR-11Ghz</t>
  </si>
  <si>
    <t>N110082L111A</t>
  </si>
  <si>
    <t>Fixed-tuned PBR100 connector for EWP90</t>
  </si>
  <si>
    <t>N110082L112A</t>
  </si>
  <si>
    <t>PTP820C/S 11 GHz Radio Flange Adaptor - UBR100</t>
  </si>
  <si>
    <t>N110082L113A</t>
  </si>
  <si>
    <t>RFU-A Branching Drawer 1+0 with Sampler, 11-All-1W6</t>
  </si>
  <si>
    <t>N110082L114A</t>
  </si>
  <si>
    <t>RFU-A Branching Drawer 1+0 with Sampler, 11-All-7W13</t>
  </si>
  <si>
    <t>N110082L115A</t>
  </si>
  <si>
    <t>RFU-A Branching Drawer 1+1 with Sampler+Coupler, 11-All-1W6</t>
  </si>
  <si>
    <t>N110082L116A</t>
  </si>
  <si>
    <t>RFU-A Branching Drawer 1+1 with Sampler+Coupler, 11-All-7W13</t>
  </si>
  <si>
    <t>N110082L117A</t>
  </si>
  <si>
    <t>RFU-A Branching Drawer 1+1 SD Tx-H Sampler+Coupler, 11-All-1W6</t>
  </si>
  <si>
    <t>N110082L118A</t>
  </si>
  <si>
    <t>RFU-A Branching Drawer 1+1 SD Tx-H Sampler+Coupler, 11-All-7W13</t>
  </si>
  <si>
    <t>N110082L119A</t>
  </si>
  <si>
    <t>RFU-A Branching Drawer 1+1 SD Tx-L Sampler+Coupler, 11-All-1W6</t>
  </si>
  <si>
    <t>N110082L120A</t>
  </si>
  <si>
    <t>RFU-A Branching Drawer 1+1 SD Tx-L Sampler+Coupler, 11-All-7W13</t>
  </si>
  <si>
    <t>N110082L121A</t>
  </si>
  <si>
    <t>RFU-A Branching Drawer 1+0 inverted with Sampler, 11-All-1W6</t>
  </si>
  <si>
    <t>N110082L122A</t>
  </si>
  <si>
    <t>RFU-A Branching Drawer 1+0 inverted with Sampler, 11-All-7W13</t>
  </si>
  <si>
    <t>N110082L125A</t>
  </si>
  <si>
    <t>PTP820 REMEC interface Antenna Adaptor Kit, 11 GHz, Single Pol</t>
  </si>
  <si>
    <t>N110082L126A</t>
  </si>
  <si>
    <t>PTP820 REMEC interface Antenna Adaptor Kit, 11 GHz, Dual Pol</t>
  </si>
  <si>
    <t>N110082L127A</t>
  </si>
  <si>
    <t>PTP 820C-HP/RFU-D-HP, Diplexer,11 GHz, TR 500, CH1W6, Hi,11185-11485MHz</t>
  </si>
  <si>
    <t>N110082L128A</t>
  </si>
  <si>
    <t>PTP 820C-HP/RFU-D-HP, Diplexer,11 GHz, TR 500, CH1W6, Lo,10695-10955MHz</t>
  </si>
  <si>
    <t>N110082L129A</t>
  </si>
  <si>
    <t>PTP 820C-HP/RFU-D-HP, Diplexer,11 GHz, TR 500, CH2W7, Hi,11225-11485MHz</t>
  </si>
  <si>
    <t>N110082L130A</t>
  </si>
  <si>
    <t>PTP 820C-HP/RFU-D-HP, Diplexer,11 GHz, TR 500, CH2W7, Lo,10735-10995MHz</t>
  </si>
  <si>
    <t>N110082L131A</t>
  </si>
  <si>
    <t>PTP 820C-HP/RFU-D-HP, Diplexer,11 GHz, TR 500, CH3W8, Hi,11265-11525MHz</t>
  </si>
  <si>
    <t>N110082L132A</t>
  </si>
  <si>
    <t>PTP 820C-HP/RFU-D-HP, Diplexer,11 GHz, TR 500, CH3W8, Lo,10775-11035MHz</t>
  </si>
  <si>
    <t>N110082L133A</t>
  </si>
  <si>
    <t>PTP 820C-HP/RFU-D-HP, Diplexer,11 GHz, TR 500, CH4W9, Hi,11305-11585MHz</t>
  </si>
  <si>
    <t>N110082L134A</t>
  </si>
  <si>
    <t>PTP 820C-HP/RFU-D-HP, Diplexer,11 GHz, TR 500, CH4W9, Lo,10815-11095MHz</t>
  </si>
  <si>
    <t>N110082L135A</t>
  </si>
  <si>
    <t>PTP 820C-HP/RFU-D-HP, Diplexer,11 GHz, TR 500, CH5W10, Hi,11345-11605MHz</t>
  </si>
  <si>
    <t>N110082L136A</t>
  </si>
  <si>
    <t>PTP 820C-HP/RFU-D-HP, Diplexer,11 GHz, TR 500, CH5W10, Lo,10855-11115MHz</t>
  </si>
  <si>
    <t>N110082L137A</t>
  </si>
  <si>
    <t>PTP 820C-HP/RFU-D-HP, Diplexer,11 GHz, TR 500, CH6W12, Hi,11385-11705MHz</t>
  </si>
  <si>
    <t>N110082L138A</t>
  </si>
  <si>
    <t>PTP 820C-HP/RFU-D-HP, Diplexer,11 GHz, TR 500, CH6W12, Lo,10895-11205MHz</t>
  </si>
  <si>
    <t>N110082L139A</t>
  </si>
  <si>
    <t>PTP 820C-HP/RFU-D-HP, Diplexer,11 GHz, TR 500, CH7W13, Hi,11425-11725MHz</t>
  </si>
  <si>
    <t>N110082L140A</t>
  </si>
  <si>
    <t>PTP 820C-HP/RFU-D-HP, Diplexer,11 GHz, TR 500, CH7W13, Lo,10915-11207MHz</t>
  </si>
  <si>
    <t>N110082L141A</t>
  </si>
  <si>
    <t>PTP 820C-HP/RFU-D-HP OMT,11 GHz</t>
  </si>
  <si>
    <t>N110082L142A</t>
  </si>
  <si>
    <t>PTP 820C-HP/RFU-D-HP Dual Coupler,11 GHz</t>
  </si>
  <si>
    <t>N110082L143A</t>
  </si>
  <si>
    <t>PTP 820C-HP/RFU-D-HP Dual Splitter,11 GHz</t>
  </si>
  <si>
    <t>N110082L144A</t>
  </si>
  <si>
    <t>PTP 820C-HP/RFU-D-HP Remote Mount Adaptor,11 GHz</t>
  </si>
  <si>
    <t>N110082L145A</t>
  </si>
  <si>
    <t>PTP 820C-HP/RFU-D-HP Splitter,11 GHz</t>
  </si>
  <si>
    <t>N110082L146A</t>
  </si>
  <si>
    <t>PTP 820C-HP/RFU-D-HP Dual Circulator,11 GHz</t>
  </si>
  <si>
    <t>N110082L147A</t>
  </si>
  <si>
    <t>PTP 820C-HP/RFU-D-HP Space Diversity Kit,11 GHz</t>
  </si>
  <si>
    <t>N110082L148A</t>
  </si>
  <si>
    <t>PTP 820C-HP/RFU-D-HP OMT Plate Adaptor, 11 GHz</t>
  </si>
  <si>
    <t>N110082L151A</t>
  </si>
  <si>
    <t>PTP 820 RFU-D Diplexer,11 GHz, TR 500, CH1W6, Hi,11185-11485MHz</t>
  </si>
  <si>
    <t>N110082L152A</t>
  </si>
  <si>
    <t>PTP 820 RFU-D Diplexer,11 GHz, TR 500, CH1W6, Lo,10695-10955MHz</t>
  </si>
  <si>
    <t>N110082L153A</t>
  </si>
  <si>
    <t>PTP 820 RFU-D Diplexer,11 GHz, TR 500, CH2W7, Hi,11225-11485MHz</t>
  </si>
  <si>
    <t>N110082L154A</t>
  </si>
  <si>
    <t>PTP 820 RFU-D Diplexer,11 GHz, TR 500, CH2W7, Lo,10735-10995MHz</t>
  </si>
  <si>
    <t>N110082L155A</t>
  </si>
  <si>
    <t>PTP 820 RFU-D Diplexer,11 GHz, TR 500, CH3W8, Hi,11265-11525MHz</t>
  </si>
  <si>
    <t>N110082L156A</t>
  </si>
  <si>
    <t>PTP 820 RFU-D Diplexer,11 GHz, TR 500, CH3W8, Lo,10775-11035MHz</t>
  </si>
  <si>
    <t>N110082L157A</t>
  </si>
  <si>
    <t>PTP 820 RFU-D Diplexer,11 GHz, TR 500, CH4W9, Hi,11305-11585MHz</t>
  </si>
  <si>
    <t>N110082L158A</t>
  </si>
  <si>
    <t>PTP 820 RFU-D Diplexer,11 GHz, TR 500, CH4W9, Lo,10815-11095MHz</t>
  </si>
  <si>
    <t>N110082L159A</t>
  </si>
  <si>
    <t>PTP 820 RFU-D Diplexer,11 GHz, TR 500, CH5W10, Hi,11345-11605MHz</t>
  </si>
  <si>
    <t>N110082L160A</t>
  </si>
  <si>
    <t>PTP 820 RFU-D Diplexer,11 GHz, TR 500, CH5W10, Lo,10855-11115MHz</t>
  </si>
  <si>
    <t>N110082L161A</t>
  </si>
  <si>
    <t>PTP 820 RFU-D Diplexer,11 GHz, TR 500, CH6W12, Hi,11385-11705MHz</t>
  </si>
  <si>
    <t>N110082L162A</t>
  </si>
  <si>
    <t>PTP 820 RFU-D Diplexer,11 GHz, TR 500, CH6W12, Lo,10895-11205MHz</t>
  </si>
  <si>
    <t>N110082L163A</t>
  </si>
  <si>
    <t>PTP 820 RFU-D Diplexer,11 GHz, TR 500, CH7W13, Hi,11425-11725MHz</t>
  </si>
  <si>
    <t>N110082L164A</t>
  </si>
  <si>
    <t>PTP 820 RFU-D Diplexer,11 GHz, TR 500, CH7W13, Lo,10915-11207MHz</t>
  </si>
  <si>
    <t>N110082L165A</t>
  </si>
  <si>
    <t>PTP 850S Diplexer,11 GHz, TR 500, CH1W6, Hi,11185-11485MHz</t>
  </si>
  <si>
    <t>N110082L166A</t>
  </si>
  <si>
    <t>PTP 850S Diplexer,11 GHz, TR 500, CH1W6, Lo,10695-10955MHz</t>
  </si>
  <si>
    <t>N110082L167A</t>
  </si>
  <si>
    <t>PTP 850S Diplexer,11 GHz, TR 500, CH2W7, Hi,11225-11485MHz</t>
  </si>
  <si>
    <t>N110082L168A</t>
  </si>
  <si>
    <t>PTP 850S Diplexer,11 GHz, TR 500, CH2W7, Lo,10735-10995MHz</t>
  </si>
  <si>
    <t>N110082L169A</t>
  </si>
  <si>
    <t>PTP 850S Diplexer,11 GHz, TR 500, CH3W8, Hi,11265-11525MHz</t>
  </si>
  <si>
    <t>N110082L170A</t>
  </si>
  <si>
    <t>PTP 850S Diplexer,11 GHz, TR 500, CH3W8, Lo,10775-11035MHz</t>
  </si>
  <si>
    <t>N110082L171A</t>
  </si>
  <si>
    <t>PTP 850S Diplexer,11 GHz, TR 500, CH4W9, Hi,11305-11585MHz</t>
  </si>
  <si>
    <t>N110082L172A</t>
  </si>
  <si>
    <t>PTP 850S Diplexer,11 GHz, TR 500, CH4W9, Lo,10815-11095MHz</t>
  </si>
  <si>
    <t>N110082L173A</t>
  </si>
  <si>
    <t>PTP 850S Diplexer,11 GHz, TR 500, CH5W10, Hi,11345-11605MHz</t>
  </si>
  <si>
    <t>N110082L174A</t>
  </si>
  <si>
    <t>PTP 850S Diplexer,11 GHz, TR 500, CH5W10, Lo,10855-11115MHz</t>
  </si>
  <si>
    <t>N110082L175A</t>
  </si>
  <si>
    <t>PTP 850S Diplexer,11 GHz, TR 500, CH6W12, Hi,11385-11705MHz</t>
  </si>
  <si>
    <t>N110082L176A</t>
  </si>
  <si>
    <t>PTP 850S Diplexer,11 GHz, TR 500, CH6W12, Lo,10895-11205MHz</t>
  </si>
  <si>
    <t>N110082L177A</t>
  </si>
  <si>
    <t>PTP 850S Diplexer,11 GHz, TR 500, CH7W13, Hi,11425-11725MHz</t>
  </si>
  <si>
    <t>N110082L178A</t>
  </si>
  <si>
    <t>PTP 850S Diplexer,11 GHz, TR 500, CH7W13, Lo,10915-11207MHz</t>
  </si>
  <si>
    <t>N110082L179A</t>
  </si>
  <si>
    <t>PTP820 RFU-C 11 GHz Radio Flange Adaptor - UBR100</t>
  </si>
  <si>
    <t>N110082L180A</t>
  </si>
  <si>
    <t>PTP 820C Remote mount  for OMT kit 10-11 GHz UBR100</t>
  </si>
  <si>
    <t>N110085L001A</t>
  </si>
  <si>
    <t>PTP 850C Diplexer,11 GHz, TR 500, CH1W6, Hi,11185-11485MHz</t>
  </si>
  <si>
    <t>N110085L002A</t>
  </si>
  <si>
    <t>PTP 850C Diplexer,11 GHz, TR 500, CH1W6, Lo,10695-10955MHz</t>
  </si>
  <si>
    <t>N110085L003A</t>
  </si>
  <si>
    <t>PTP 850C Diplexer,11 GHz, TR 500, CH2W7, Hi,11225-11485MHz</t>
  </si>
  <si>
    <t>N110085L004A</t>
  </si>
  <si>
    <t>PTP 850C Diplexer,11 GHz, TR 500, CH2W7, Lo,10735-10995MHz</t>
  </si>
  <si>
    <t>N110085L005A</t>
  </si>
  <si>
    <t>PTP 850C Diplexer,11 GHz, TR 500, CH3W8, Hi,11265-11525MHz</t>
  </si>
  <si>
    <t>N110085L006A</t>
  </si>
  <si>
    <t>PTP 850C Diplexer,11 GHz, TR 500, CH3W8, Lo,10775-11035MHz</t>
  </si>
  <si>
    <t>N110085L007A</t>
  </si>
  <si>
    <t>PTP 850C Diplexer,11 GHz, TR 500, CH4W9, Hi,11305-11585MHz</t>
  </si>
  <si>
    <t>N110085L008A</t>
  </si>
  <si>
    <t>PTP 850C Diplexer,11 GHz, TR 500, CH4W9, Lo,10815-11095MHz</t>
  </si>
  <si>
    <t>N110085L009A</t>
  </si>
  <si>
    <t>PTP 850C Diplexer,11 GHz, TR 500, CH5W10, Hi,11345-11605MHz</t>
  </si>
  <si>
    <t>N110085L010A</t>
  </si>
  <si>
    <t>PTP 850C Diplexer,11 GHz, TR 500, CH5W10, Lo,10855-11115MHz</t>
  </si>
  <si>
    <t>N110085L011A</t>
  </si>
  <si>
    <t>PTP 850C Diplexer,11 GHz, TR 500, CH6W12, Hi,11385-11705MHz</t>
  </si>
  <si>
    <t>N110085L012A</t>
  </si>
  <si>
    <t>PTP 850C Diplexer,11 GHz, TR 500, CH6W12, Lo,10895-11205MHz</t>
  </si>
  <si>
    <t>N110085L013A</t>
  </si>
  <si>
    <t>PTP 850C Diplexer,11 GHz, TR 500, CH7W13, Hi,11425-11725MHz</t>
  </si>
  <si>
    <t>N110085L014A</t>
  </si>
  <si>
    <t>PTP 850C Diplexer,11 GHz, TR 500, CH7W13, Lo,10915-11207MHz</t>
  </si>
  <si>
    <t>N130082D043A</t>
  </si>
  <si>
    <t>PTP 820 1' ANT,SP,13GHz,RFU-C TYPE&amp;Std UBR120 - Andrew</t>
  </si>
  <si>
    <t>N130082D045A</t>
  </si>
  <si>
    <t>PTP 820 2' ANT,SP,13GHz,RFU-C TYPE&amp;Std UBR120 - Andrew</t>
  </si>
  <si>
    <t>N130082D047A</t>
  </si>
  <si>
    <t>PTP 820 3' ANT,SP,13GHz,RFU-C TYPE&amp;Std UBR120 - Andrew</t>
  </si>
  <si>
    <t>N130082D048A</t>
  </si>
  <si>
    <t>PTP 820 4' ANT,SP,13GHz,RFU-C TYPE&amp;Std UBR120 - Andrew</t>
  </si>
  <si>
    <t>N130082D050A</t>
  </si>
  <si>
    <t>PTP 820 6' ANT,SP,13GHz,RFU-C TYPE&amp;Std UBR120  - Andrew</t>
  </si>
  <si>
    <t>N130082D063A</t>
  </si>
  <si>
    <t>PTP 820 1' ANT,SP,13GHz,RFU-C TYPE&amp;UBR120 - Radiowave</t>
  </si>
  <si>
    <t>N130082D064A</t>
  </si>
  <si>
    <t>PTP 820 2' ANT,SP,13GHz,RFU-C TYPE&amp;UBR120 - Radiowave</t>
  </si>
  <si>
    <t>N130082D065A</t>
  </si>
  <si>
    <t>PTP 820 3' ANT,SP,13GHz,RFU-C TYPE&amp;UBR120 - Radiowave</t>
  </si>
  <si>
    <t>N130082D066A</t>
  </si>
  <si>
    <t>PTP 820 4' ANT,SP,13GHz,RFU-C TYPE&amp;UBR120 - Radiowave</t>
  </si>
  <si>
    <t>N130082D067A</t>
  </si>
  <si>
    <t>PTP 820 6' ANT,SP,13GHz,RFU-C TYPE&amp;UBR120 - Radiowave</t>
  </si>
  <si>
    <t>N130082L001A</t>
  </si>
  <si>
    <t>PTP 820C 13G Remote Mount adaptor - UBR120</t>
  </si>
  <si>
    <t>N130082L002A</t>
  </si>
  <si>
    <t>PTP 820 RFU-C ADPT 13GHz Remote Mount Adaptor - UBR120</t>
  </si>
  <si>
    <t>N130082L003A</t>
  </si>
  <si>
    <t>PTP 820 Andrew Valuline Antenna Convert kit, 13GHz</t>
  </si>
  <si>
    <t>N130082L004A</t>
  </si>
  <si>
    <t>PTP820 Dragonwave Antenna Adaptor for Cambium, 13GHz</t>
  </si>
  <si>
    <t>N130082L054A</t>
  </si>
  <si>
    <t>PTP 820C DUAL COUPLER KIT 13GHz</t>
  </si>
  <si>
    <t>N130082L055A</t>
  </si>
  <si>
    <t>PTP 820C DUAL SPLITTER KIT 13GHz (UBR120)</t>
  </si>
  <si>
    <t>N130082L056A</t>
  </si>
  <si>
    <t>PTP 820C OMT KIT 13GHz</t>
  </si>
  <si>
    <t>N130082L057A</t>
  </si>
  <si>
    <t>PTP 820C SPLITTER KIT 13GHz</t>
  </si>
  <si>
    <t>N130082L058A</t>
  </si>
  <si>
    <t>PTP 820 RFU-C 13GHz Coupler KIT</t>
  </si>
  <si>
    <t>N130082L059A</t>
  </si>
  <si>
    <t>PTP 820 RFU-C 13GHz OMT DM KIT</t>
  </si>
  <si>
    <t>N130082L060A</t>
  </si>
  <si>
    <t>PTP 820 RFU-C 13GHz OMT Interface-Andrew</t>
  </si>
  <si>
    <t>N130082L061A</t>
  </si>
  <si>
    <t>PTP 820 RFU-C 13GHz Twist Adaptor KIT</t>
  </si>
  <si>
    <t>N130082L062A</t>
  </si>
  <si>
    <t>PTP 820 RFU-C SPLITTER KIT 13GHz (UBR120)</t>
  </si>
  <si>
    <t>N130082L068A</t>
  </si>
  <si>
    <t>PTP 820 RFU-C 13GHz OMT Interface-Radiowave</t>
  </si>
  <si>
    <t>N130082L069A</t>
  </si>
  <si>
    <t>PTP 820 RFU-C 13GHz OMT Interface-CNT</t>
  </si>
  <si>
    <t>N130082L070A</t>
  </si>
  <si>
    <t>PTP 820 Flexible Twist,WR75,PBR120,35.0 inch,PBR120,13 GHz</t>
  </si>
  <si>
    <t>N130082L071A</t>
  </si>
  <si>
    <t>PTP 820 FLX-HNGR-13Ghz</t>
  </si>
  <si>
    <t>N130082L073A</t>
  </si>
  <si>
    <t>PTP820C/S 13 GHz Radio Flange Adaptor - UBR120</t>
  </si>
  <si>
    <t>N130082L077A</t>
  </si>
  <si>
    <t>PTP 820 RFU-D Diplexer,13 GHz, TR 266, CH5W8, Hi,13127-13246MHz</t>
  </si>
  <si>
    <t>N130082L078A</t>
  </si>
  <si>
    <t>PTP 820 RFU-D Diplexer,13 GHz, TR 266, CH5W8, Lo,12858-12990MHz</t>
  </si>
  <si>
    <t>N130082L079A</t>
  </si>
  <si>
    <t>PTP 820 RFU-D Diplexer,13 GHz, TR 266, CH1W4, Hi,13002-13141MHz</t>
  </si>
  <si>
    <t>N130082L080A</t>
  </si>
  <si>
    <t>PTP 820 RFU-D Diplexer,13 GHz, TR 266, CH1W4, Lo,12745.75-12866MHz</t>
  </si>
  <si>
    <t>N130082L081A</t>
  </si>
  <si>
    <t>PTP 820 RFU-D Diplexer,13 GHz, TR 266A, CH3W5, Hi,13073-13185MHz</t>
  </si>
  <si>
    <t>N130082L082A</t>
  </si>
  <si>
    <t>PTP 820 RFU-D Diplexer,13 GHz, TR 266A, CH3W5, Lo,12807-12919MHz</t>
  </si>
  <si>
    <t>N130082L083A</t>
  </si>
  <si>
    <t>PTP 820 RFU-S Diplexer,13 GHz, TR 266, CH5W8, Hi,13127-13246MHz</t>
  </si>
  <si>
    <t>N130082L084A</t>
  </si>
  <si>
    <t>PTP 820 RFU-S Diplexer,13 GHz, TR 266, CH5W8, Lo,12858-12990MHz</t>
  </si>
  <si>
    <t>N130082L085A</t>
  </si>
  <si>
    <t>PTP 820 RFU-S Diplexer,13 GHz, TR 266, CH1W4, Hi,13002-13141MHz</t>
  </si>
  <si>
    <t>N130082L086A</t>
  </si>
  <si>
    <t>PTP 820 RFU-S Diplexer,13 GHz, TR 266, CH1W4, Lo,12745.75-12866MHz</t>
  </si>
  <si>
    <t>N130082L087A</t>
  </si>
  <si>
    <t>PTP 820 RFU-S Diplexer,13 GHz, TR 266A, CH3W5, Hi,13073-13185MHz</t>
  </si>
  <si>
    <t>N130082L088A</t>
  </si>
  <si>
    <t>PTP 820 RFU-S Diplexer,13 GHz, TR 266A, CH3W5, Lo,12807-12919MHz</t>
  </si>
  <si>
    <t>N130082L089A</t>
  </si>
  <si>
    <t>PTP820 RFU-C 13 GHz Radio Flange Adaptor - UBR120</t>
  </si>
  <si>
    <t>N150082D065A</t>
  </si>
  <si>
    <t>PTP 820 1' ANT,SP,15GHz,RFU-C TYPE&amp;Std UBR140 - Andrew</t>
  </si>
  <si>
    <t>N150082D067A</t>
  </si>
  <si>
    <t>PTP 820 2' ANT,SP,15GHz,RFU-C TYPE&amp;Std UBR140 - Andrew</t>
  </si>
  <si>
    <t>N150082D069A</t>
  </si>
  <si>
    <t>PTP 820 3' ANT,SP,15GHz,RFU-C TYPE&amp;Std UBR140 - Andrew</t>
  </si>
  <si>
    <t>N150082D070A</t>
  </si>
  <si>
    <t>PTP 820 4' ANT,SP,15GHz,RFU-C TYPE&amp;Std UBR140 - Andrew</t>
  </si>
  <si>
    <t>N150082D072A</t>
  </si>
  <si>
    <t>PTP 820 6' ANT,SP,15GHz,RFU-C TYPE&amp;Std UBR140 - Andrew</t>
  </si>
  <si>
    <t>N150082D085A</t>
  </si>
  <si>
    <t>PTP 820 1' ANT,SP,15GHz,RFU-C TYPE&amp;UBR140 - Radiowave</t>
  </si>
  <si>
    <t>N150082D086A</t>
  </si>
  <si>
    <t>PTP 820 2' ANT,SP,15GHz,RFU-C TYPE&amp;UBR140 - Radiowave</t>
  </si>
  <si>
    <t>N150082D087A</t>
  </si>
  <si>
    <t>PTP 820 3' ANT,SP,15GHz,RFU-C TYPE&amp;UBR140 - Radiowave</t>
  </si>
  <si>
    <t>N150082D088A</t>
  </si>
  <si>
    <t>PTP 820 4' ANT,SP,15GHz,RFU-C TYPE&amp;UBR140 - Radiowave</t>
  </si>
  <si>
    <t>N150082D089A</t>
  </si>
  <si>
    <t>PTP 820 6' ANT,SP,15GHz,RFU-C TYPE&amp;UBR140 - Radiowave</t>
  </si>
  <si>
    <t>N150082L001A</t>
  </si>
  <si>
    <t>PTP 820 Andrew Valuline Antenna Convert kit, 15GHz</t>
  </si>
  <si>
    <t>N150082L076A</t>
  </si>
  <si>
    <t>PTP 820C DUAL COUPLER KIT 15GHz</t>
  </si>
  <si>
    <t>N150082L077A</t>
  </si>
  <si>
    <t>PTP 820C DUAL SPLITTER KIT 15GHz (UBR140)</t>
  </si>
  <si>
    <t>N150082L078A</t>
  </si>
  <si>
    <t>PTP 820C OMT KIT 15GHz</t>
  </si>
  <si>
    <t>N150082L079A</t>
  </si>
  <si>
    <t>PTP 820C SPLITTER KIT 15GHz</t>
  </si>
  <si>
    <t>N150082L080A</t>
  </si>
  <si>
    <t>PTP 820 RFU-C 15GHz Coupler KIT</t>
  </si>
  <si>
    <t>N150082L081A</t>
  </si>
  <si>
    <t>PTP 820 RFU-C 15GHz OMT DM KIT</t>
  </si>
  <si>
    <t>N150082L082A</t>
  </si>
  <si>
    <t>PTP 820 RFU-C 15GHz OMT Interface-Andrew</t>
  </si>
  <si>
    <t>N150082L083A</t>
  </si>
  <si>
    <t>PTP 820 RFU-C 15GHz Twist Adaptor KIT</t>
  </si>
  <si>
    <t>N150082L084A</t>
  </si>
  <si>
    <t>PTP 820 RFU-C SPLITTER KIT 15GHz (UBR140)</t>
  </si>
  <si>
    <t>N150082L090A</t>
  </si>
  <si>
    <t>PTP 820 RFU-C 15GHz OMT Interface-Radiowave</t>
  </si>
  <si>
    <t>N150082L091A</t>
  </si>
  <si>
    <t>PTP 820 RFU-C 15GHz OMT Interface-CNT</t>
  </si>
  <si>
    <t>N150082L092A</t>
  </si>
  <si>
    <t>PTP 820 Flexible Twist,WR62,PBR140,35.0 inch,PBR140,15 GHz</t>
  </si>
  <si>
    <t>N150082L093A</t>
  </si>
  <si>
    <t>PTP 820 FLX-HNGR-15Ghz</t>
  </si>
  <si>
    <t>N150082L097A</t>
  </si>
  <si>
    <t>PTP 820 RFU-D Diplexer,15 GHz, TR 420, CH1W8, Hi,14921-15145MHz</t>
  </si>
  <si>
    <t>N150082L098A</t>
  </si>
  <si>
    <t>PTP 820 RFU-D Diplexer,15 GHz, TR 420, CH1W8, Lo,14501-14725MHz</t>
  </si>
  <si>
    <t>N150082L099A</t>
  </si>
  <si>
    <t>PTP 820 RFU-D Diplexer,15 GHz, TR 420, CH8W15, Hi,15117-15341MHz</t>
  </si>
  <si>
    <t>N150082L100A</t>
  </si>
  <si>
    <t>PTP 820 RFU-D Diplexer,15 GHz, TR 420, CH8W15, Lo,14697-14921MHz</t>
  </si>
  <si>
    <t>N150082L101A</t>
  </si>
  <si>
    <t>PTP 820 RFU-D Diplexer,15 GHz, TR 728, CH1W4, Hi,15229-15375MHz</t>
  </si>
  <si>
    <t>N150082L102A</t>
  </si>
  <si>
    <t>PTP 820 RFU-D Diplexer,15 GHz, TR 728, CH1W4, Lo,14500-14647MHz</t>
  </si>
  <si>
    <t>N150082L103A</t>
  </si>
  <si>
    <t>PTP 820 RFU-S Diplexer,15 GHz, TR 420, CH1W8, Hi,14921-15145MHz</t>
  </si>
  <si>
    <t>N150082L104A</t>
  </si>
  <si>
    <t>PTP 820 RFU-S Diplexer,15 GHz, TR 420, CH1W8, Lo,14501-14725MHz</t>
  </si>
  <si>
    <t>N150082L105A</t>
  </si>
  <si>
    <t>PTP 820 RFU-S Diplexer,15 GHz, TR 420, CH8W15, Hi,15117-15341MHz</t>
  </si>
  <si>
    <t>N150082L106A</t>
  </si>
  <si>
    <t>PTP 820 RFU-S Diplexer,15 GHz, TR 420, CH8W15, Lo,14697-14921MHz</t>
  </si>
  <si>
    <t>N150082L107A</t>
  </si>
  <si>
    <t>PTP 820 RFU-S Diplexer,15 GHz, TR 728, CH1W4, Hi,15229-15375MHz</t>
  </si>
  <si>
    <t>N150082L108A</t>
  </si>
  <si>
    <t>PTP 820 RFU-S Diplexer,15 GHz, TR 728, CH1W4, Lo,14500-14647MHz</t>
  </si>
  <si>
    <t>N180082D031A</t>
  </si>
  <si>
    <t>PTP 820 1' ANT,SP,18GHz,RFU-C TYPE&amp;Std UBR220 – Andrew</t>
  </si>
  <si>
    <t>N180082D033A</t>
  </si>
  <si>
    <t>PTP 820 2' ANT,SP,18GHz,RFU-C TYPE&amp;Std UBR220 - Andrew</t>
  </si>
  <si>
    <t>N180082D035A</t>
  </si>
  <si>
    <t>PTP 820 3' ANT,SP,18GHz,RFU-C TYPE&amp;Std UBR220 - Andrew</t>
  </si>
  <si>
    <t>N180082D036A</t>
  </si>
  <si>
    <t>PTP 820 4' ANT,SP,18GHz,RFU-C TYPE&amp;Std UBR220 - Andrew</t>
  </si>
  <si>
    <t>N180082D038A</t>
  </si>
  <si>
    <t>PTP 820 6' ANT,SP,18GHz,RFU-C TYPE&amp;Std UBR220 - Andrew</t>
  </si>
  <si>
    <t>N180082D051A</t>
  </si>
  <si>
    <t>PTP 820 1' ANT,SP,18GHz,RFU-C TYPE&amp;UBR220 - Radiowave</t>
  </si>
  <si>
    <t>N180082D052A</t>
  </si>
  <si>
    <t>PTP 820 2' ANT,SP,18GHz,RFU-C TYPE&amp;UBR220 - Radiowave</t>
  </si>
  <si>
    <t>N180082D053A</t>
  </si>
  <si>
    <t>PTP 820 3' ANT,SP,18GHz,RFU-C TYPE&amp;UBR220 - Radiowave</t>
  </si>
  <si>
    <t>N180082D054A</t>
  </si>
  <si>
    <t>PTP 820 4' ANT,SP,18GHz,RFU-C TYPE&amp;UBR220 - Radiowave</t>
  </si>
  <si>
    <t>N180082D055A</t>
  </si>
  <si>
    <t>PTP 820 6' ANT,SP,18GHz,RFU-C TYPE&amp;UBR220 - Radiowave</t>
  </si>
  <si>
    <t>N180082L001A</t>
  </si>
  <si>
    <t>PTP 820 Andrew Valuline Antenna Convert kit, 18GHz</t>
  </si>
  <si>
    <t>N180082L002A</t>
  </si>
  <si>
    <t>PTP820 Radiowave Antenna Conversion kit, 18 GHz, 2ft</t>
  </si>
  <si>
    <t>N180082L003A</t>
  </si>
  <si>
    <t>PTP820 Radiowave Antenna Conversion kit, 18 GHz, 3ft</t>
  </si>
  <si>
    <t>N180082L004A</t>
  </si>
  <si>
    <t>PTP820 Radiowave Antenna Conversion kit, 18 GHz, 4ft</t>
  </si>
  <si>
    <t>N180082L005A</t>
  </si>
  <si>
    <t>PTP820 Radiowave Antenna Conversion kit, 18 GHz, 6ft</t>
  </si>
  <si>
    <t>N180082L009A</t>
  </si>
  <si>
    <t>PTP820 Dragonwave Antenna Adaptor for Cambium, 18GHz</t>
  </si>
  <si>
    <t>N180082L042A</t>
  </si>
  <si>
    <t>PTP 820C DUAL COUPLER KIT 18GHz</t>
  </si>
  <si>
    <t>N180082L043A</t>
  </si>
  <si>
    <t>PTP 820C DUAL SPLITTER KIT 18GHz (UBR220)</t>
  </si>
  <si>
    <t>N180082L044A</t>
  </si>
  <si>
    <t>PTP 820C OMT KIT 18GHz</t>
  </si>
  <si>
    <t>N180082L045A</t>
  </si>
  <si>
    <t>PTP 820C SPLITTER KIT 18GHz</t>
  </si>
  <si>
    <t>N180082L046A</t>
  </si>
  <si>
    <t>PTP 820 RFU-C 18GHz Coupler KIT</t>
  </si>
  <si>
    <t>N180082L047A</t>
  </si>
  <si>
    <t>PTP 820 RFU-C 18GHz OMT DM KIT</t>
  </si>
  <si>
    <t>N180082L048A</t>
  </si>
  <si>
    <t>PTP 820 RFU-C 18GHz OMT Interface-Andrew</t>
  </si>
  <si>
    <t>N180082L049A</t>
  </si>
  <si>
    <t>PTP 820 RFU-C 18GHz Twist Adaptor KIT</t>
  </si>
  <si>
    <t>N180082L050A</t>
  </si>
  <si>
    <t>PTP 820 RFU-C SPLITTER KIT 18GHz (UBR220)</t>
  </si>
  <si>
    <t>N180082L056A</t>
  </si>
  <si>
    <t>PTP 820 RFU-C 18GHz OMT Interface-Radiowave</t>
  </si>
  <si>
    <t>N180082L057A</t>
  </si>
  <si>
    <t>PTP 820 RFU-C 18GHz OMT Interface-CNT</t>
  </si>
  <si>
    <t>N180082L058A</t>
  </si>
  <si>
    <t>PTP 820 Flexible Twist,WR42,PBR220,35.0 inch,PBR220,18-26 GHz</t>
  </si>
  <si>
    <t>N180082L059A</t>
  </si>
  <si>
    <t>PTP 820 FLX-HNGR-18_26Ghz</t>
  </si>
  <si>
    <t>N180082L062A</t>
  </si>
  <si>
    <t>PTP820 REMEC interface Antenna Adaptor Kit, 18 GHz, Single Pol</t>
  </si>
  <si>
    <t>N180082L063A</t>
  </si>
  <si>
    <t>PTP820 REMEC interface Antenna Adaptor Kit, 18 GHz, Dual Pol</t>
  </si>
  <si>
    <t>N180082L064A</t>
  </si>
  <si>
    <t>PTP820 SIAE interface Antenna Adaptor Kit, 18 GHz, Single Pol</t>
  </si>
  <si>
    <t>N230082D021A</t>
  </si>
  <si>
    <t>PTP 820 1' ANT,SP,23GHz,RFU-C TYPE&amp;Std UBR220 - Andrew</t>
  </si>
  <si>
    <t>N230082D023A</t>
  </si>
  <si>
    <t>PTP 820 2' ANT,SP,23GHz,RFU-C TYPE&amp;Std UBR220 - Andrew</t>
  </si>
  <si>
    <t>N230082D025A</t>
  </si>
  <si>
    <t>PTP 820 3' ANT,SP,23GHz,RFU-C TYPE&amp;Std UBR220  - Andrew</t>
  </si>
  <si>
    <t>N230082D026A</t>
  </si>
  <si>
    <t>PTP 820 4' ANT,SP,23GHz,RFU-C TYPE&amp;Std UBR220  - Andrew</t>
  </si>
  <si>
    <t>N230082D028A</t>
  </si>
  <si>
    <t>PTP 820 6' ANT,SP,23GHz,RFU-C TYPE&amp;Std UBR220  - Andrew</t>
  </si>
  <si>
    <t>N230082D041A</t>
  </si>
  <si>
    <t>PTP 820 1' ANT,SP,23GHz,RFU-C TYPE&amp;UBR220 - Radiowave</t>
  </si>
  <si>
    <t>N230082D042A</t>
  </si>
  <si>
    <t>PTP 820 2' ANT,SP,23GHz,RFU-C TYPE&amp;UBR220 - Radiowave</t>
  </si>
  <si>
    <t>N230082D043A</t>
  </si>
  <si>
    <t>PTP 820 3' ANT,SP,23GHz,RFU-C TYPE&amp;UBR220 - Radiowave</t>
  </si>
  <si>
    <t>N230082D045A</t>
  </si>
  <si>
    <t>PTP 820 6' ANT,SP,23GHz,RFU-C TYPE&amp;UBR220 - Radiowave</t>
  </si>
  <si>
    <t>N230082L001A</t>
  </si>
  <si>
    <t>PTP 820 Andrew Valuline Antenna Convert kit, 23GHz</t>
  </si>
  <si>
    <t>N230082L002A</t>
  </si>
  <si>
    <t>PTP820 Dragonwave Antenna Adaptor for Cambium, 23GHz</t>
  </si>
  <si>
    <t>N230082L032A</t>
  </si>
  <si>
    <t>PTP 820C DUAL COUPLER KIT 23GHz</t>
  </si>
  <si>
    <t>N230082L033A</t>
  </si>
  <si>
    <t>PTP 820C DUAL SPLITTER KIT 23GHz (UBR220)</t>
  </si>
  <si>
    <t>N230082L034A</t>
  </si>
  <si>
    <t>PTP 820C OMT KIT 23GHz</t>
  </si>
  <si>
    <t>N230082L035A</t>
  </si>
  <si>
    <t>PTP 820C SPLITTER KIT 23GHz</t>
  </si>
  <si>
    <t>N230082L036A</t>
  </si>
  <si>
    <t>PTP 820 RFU-C 23_26GHz Twist Adaptor KIT</t>
  </si>
  <si>
    <t>N230082L037A</t>
  </si>
  <si>
    <t>PTP 820 RFU-C 23GHz Coupler KIT</t>
  </si>
  <si>
    <t>N230082L038A</t>
  </si>
  <si>
    <t>PTP 820 RFU-C 23GHz OMT DM KIT</t>
  </si>
  <si>
    <t>N230082L039A</t>
  </si>
  <si>
    <t>PTP 820 RFU-C 23GHz OMT Interface-Andrew</t>
  </si>
  <si>
    <t>N230082L040A</t>
  </si>
  <si>
    <t>PTP 820 RFU-C SPLITTER KIT 23GHz (UBR220)</t>
  </si>
  <si>
    <t>N230082L046A</t>
  </si>
  <si>
    <t>PTP 820 RFU-C 23GHz OMT Interface-Radiowave</t>
  </si>
  <si>
    <t>N230082L070A</t>
  </si>
  <si>
    <t>PTP820 REMEC interface Antenna Adaptor Kit, 23 GHz, Dual Pol</t>
  </si>
  <si>
    <t>N260082D017A</t>
  </si>
  <si>
    <t>PTP 820 1' ANT,SP,26GHz,RFU-C TYPE&amp;Std UBR220 - Andrew</t>
  </si>
  <si>
    <t>N260082D019A</t>
  </si>
  <si>
    <t>PTP 820 2' ANT,SP,26GHz,RFU-C TYPE&amp;Std UBR220 - Andrew</t>
  </si>
  <si>
    <t>N260082D021A</t>
  </si>
  <si>
    <t>PTP 820 3' ANT,SP,26GHz,RFU-C TYPE&amp;Std UBR220 - Andrew</t>
  </si>
  <si>
    <t>N260082D022A</t>
  </si>
  <si>
    <t>PTP 820 4' ANT,SP,26GHz,RFU-C TYPE&amp;Std UBR220 - Andrew</t>
  </si>
  <si>
    <t>N260082D034A</t>
  </si>
  <si>
    <t>PTP 820 1' ANT,SP,26GHz,RFU-C TYPE&amp;UBR220 - Radiowave</t>
  </si>
  <si>
    <t>N260082D035A</t>
  </si>
  <si>
    <t>PTP 820 2' ANT,SP,26GHz,RFU-C TYPE&amp;UBR220 - Radiowave</t>
  </si>
  <si>
    <t>N260082D036A</t>
  </si>
  <si>
    <t>PTP 820 3' ANT,SP,26GHz,RFU-C TYPE&amp;UBR220 - Radiowave</t>
  </si>
  <si>
    <t>N260082D037A</t>
  </si>
  <si>
    <t>PTP 820 4' ANT,SP,26GHz,RFU-C TYPE&amp;UBR220 - Radiowave</t>
  </si>
  <si>
    <t>N260082L001A</t>
  </si>
  <si>
    <t>PTP 820 Andrew Valuline Antenna Convert kit, 26GHz</t>
  </si>
  <si>
    <t>N260082L026A</t>
  </si>
  <si>
    <t>PTP 820C DUAL COUPLER KIT 26GHz</t>
  </si>
  <si>
    <t>N260082L027A</t>
  </si>
  <si>
    <t>PTP 820C DUAL SPLITTER KIT 26GHz (UBR220)</t>
  </si>
  <si>
    <t>N260082L028A</t>
  </si>
  <si>
    <t>PTP 820C OMT KIT 26GHz</t>
  </si>
  <si>
    <t>N260082L029A</t>
  </si>
  <si>
    <t>PTP 820C SPLITTER KIT 26GHz</t>
  </si>
  <si>
    <t>N260082L031A</t>
  </si>
  <si>
    <t>PTP 820 RFU-C 26GHz OMT DM KIT</t>
  </si>
  <si>
    <t>N260082L032A</t>
  </si>
  <si>
    <t>PTP 820 RFU-C 26GHz OMT Interface-Andrew</t>
  </si>
  <si>
    <t>N260082L038A</t>
  </si>
  <si>
    <t>PTP 820 RFU-C 26GHz OMT Interface-Radiowave</t>
  </si>
  <si>
    <t>N280082D029A</t>
  </si>
  <si>
    <t>PTP 820 1' ANT,SP,28GHz,RFU-C TYPE&amp;Std UBR320 - Andrew</t>
  </si>
  <si>
    <t>N280082D031A</t>
  </si>
  <si>
    <t>PTP 820 2' ANT,SP,28GHz,RFU-C TYPE&amp;Std UBR320 - Andrew</t>
  </si>
  <si>
    <t>N280082D044A</t>
  </si>
  <si>
    <t>PTP 820 1' ANT,SP,28GHz,RFU-C TYPE&amp;UBR320 - Radiowave</t>
  </si>
  <si>
    <t>N280082L001A</t>
  </si>
  <si>
    <t>PTP 820 Andrew Valuline Antenna Convert kit, 28GHz</t>
  </si>
  <si>
    <t>N280082L035A</t>
  </si>
  <si>
    <t>PTP 820C DUAL COUPLER KIT 28GHz</t>
  </si>
  <si>
    <t>N280082L036A</t>
  </si>
  <si>
    <t>PTP 820C DUAL SPLITTER KIT 28GHz (UBR320)</t>
  </si>
  <si>
    <t>N280082L037A</t>
  </si>
  <si>
    <t>PTP 820C OMT KIT 28GHz</t>
  </si>
  <si>
    <t>N280082L038A</t>
  </si>
  <si>
    <t>PTP 820C SPLITTER KIT 28GHz</t>
  </si>
  <si>
    <t>N280082L039A</t>
  </si>
  <si>
    <t>PTP 820 RFU-C 28_32GHz Twist Adaptor KIT</t>
  </si>
  <si>
    <t>N280082L040A</t>
  </si>
  <si>
    <t>PTP 820 RFU-C 28GHz Coupler KIT</t>
  </si>
  <si>
    <t>N280082L041A</t>
  </si>
  <si>
    <t>PTP 820 RFU-C 28GHz OMT DM KIT</t>
  </si>
  <si>
    <t>N280082L042A</t>
  </si>
  <si>
    <t>PTP 820 RFU-C 28GHz OMT Interface-Andrew</t>
  </si>
  <si>
    <t>N280082L046A</t>
  </si>
  <si>
    <t>PTP 820 RFU-C 28GHz OMT Interface-Radiowave</t>
  </si>
  <si>
    <t>N280082L048A</t>
  </si>
  <si>
    <t>PTP 820 Flexible Twist,WR28,PBR320, 35.0 inch,PBR320,28-38 GHz</t>
  </si>
  <si>
    <t>N280082L049A</t>
  </si>
  <si>
    <t>PTP 820 FLX-HNGR-28_38Ghz</t>
  </si>
  <si>
    <t>N320082D013A</t>
  </si>
  <si>
    <t>PTP 820 1' ANT,SP,32GHz,RFU-C TYPE&amp;Std UBR320 - Andrew</t>
  </si>
  <si>
    <t>N320082D015A</t>
  </si>
  <si>
    <t>PTP 820 2' ANT,SP,32GHz,RFU-C TYPE&amp;Std UBR320 - Andrew</t>
  </si>
  <si>
    <t>N320082D027A</t>
  </si>
  <si>
    <t>PTP 820 1' ANT,SP,32GHz,RFU-C TYPE&amp;UBR320 - Radiowave</t>
  </si>
  <si>
    <t>N320082D028A</t>
  </si>
  <si>
    <t>PTP 820 2' ANT,SP,32GHz,RFU-C TYPE&amp;UBR320 - Radiowave</t>
  </si>
  <si>
    <t>N320082L001A</t>
  </si>
  <si>
    <t>PTP 820 Andrew Valuline Antenna Convert kit, 32GHz</t>
  </si>
  <si>
    <t>N320082L023A</t>
  </si>
  <si>
    <t>PTP 820 RFU-C 32GHz Coupler KIT</t>
  </si>
  <si>
    <t>N320082L024A</t>
  </si>
  <si>
    <t>PTP 820 RFU-C 32GHz OMT DM KIT</t>
  </si>
  <si>
    <t>N320082L025A</t>
  </si>
  <si>
    <t>PTP 820 RFU-C 32GHz OMT Interface-Andrew</t>
  </si>
  <si>
    <t>N380082D037A</t>
  </si>
  <si>
    <t>PTP 820 1' ANT,SP,38GHz,RFU-C TYPE&amp;Std UBR320 - Andrew</t>
  </si>
  <si>
    <t>N380082D039A</t>
  </si>
  <si>
    <t>PTP 820 2' ANT,SP,38GHz,RFU-C TYPE&amp;Std UBR320 - Andrew</t>
  </si>
  <si>
    <t>N380082D052A</t>
  </si>
  <si>
    <t>PTP 820 1' ANT,SP,38GHz,RFU-C TYPE&amp;UBR320 - Radiowave</t>
  </si>
  <si>
    <t>N380082D053A</t>
  </si>
  <si>
    <t>PTP 820 2' ANT,SP,38GHz,RFU-C TYPE&amp;UBR320 - Radiowave</t>
  </si>
  <si>
    <t>N380082L001A</t>
  </si>
  <si>
    <t>PTP 820 Andrew Valuline Antenna Convert kit, 38GHz</t>
  </si>
  <si>
    <t>N380082L043A</t>
  </si>
  <si>
    <t>PTP 820C DUAL COUPLER KIT 38GHz</t>
  </si>
  <si>
    <t>N380082L044A</t>
  </si>
  <si>
    <t>PTP 820C DUALSPLITTER KIT 38GHz (UBR320)</t>
  </si>
  <si>
    <t>N380082L045A</t>
  </si>
  <si>
    <t>PTP 820C OMT KIT 38GHz</t>
  </si>
  <si>
    <t>N380082L046A</t>
  </si>
  <si>
    <t>PTP 820C SPLITTER KIT 38GHz</t>
  </si>
  <si>
    <t>N380082L047A</t>
  </si>
  <si>
    <t>PTP 820 RFU-C 38GHz Coupler KIT</t>
  </si>
  <si>
    <t>N380082L048A</t>
  </si>
  <si>
    <t>PTP 820 RFU-C 38GHz OMT DM KIT</t>
  </si>
  <si>
    <t>N380082L049A</t>
  </si>
  <si>
    <t>PTP 820 RFU-C 38GHz OMT Interface-Andrew</t>
  </si>
  <si>
    <t>N380082L050A</t>
  </si>
  <si>
    <t>PTP 820 RFU-C 38GHz Twist Adaptor KIT</t>
  </si>
  <si>
    <t>N380082L051A</t>
  </si>
  <si>
    <t>PTP 820 RFU-C SPLITTER KIT 38GHz (UBR320)</t>
  </si>
  <si>
    <t>N380082L054A</t>
  </si>
  <si>
    <t>PTP 820 RFU-C 38GHz OMT Interface-Radiowave</t>
  </si>
  <si>
    <t>N800082D005A</t>
  </si>
  <si>
    <t>PTP 820 1' ANT,SP,80GHz, RFU-E TYPE &amp; UG387 - Andrew</t>
  </si>
  <si>
    <t>N800082D006A</t>
  </si>
  <si>
    <t>PTP 820 2' ANT,SP,18 &amp; 80 GHz multi-band</t>
  </si>
  <si>
    <t>N800082D007A</t>
  </si>
  <si>
    <t>PTP 820 2' ANT,SP,23 &amp; 80 GHz multi-band</t>
  </si>
  <si>
    <t>N800082D009A</t>
  </si>
  <si>
    <t>PTP 820 2' ANT,SP,80GHz, RFU-E TYPE &amp; UG387 - Andrew</t>
  </si>
  <si>
    <t>N800082D010A</t>
  </si>
  <si>
    <t>PTP 820 2' ANT,DP,18 &amp; 80 GHz multi-band</t>
  </si>
  <si>
    <t>N800082D011A</t>
  </si>
  <si>
    <t>PTP 820 2' ANT,DP,23 &amp; 80 GHz multi-band</t>
  </si>
  <si>
    <t>N800082H008A</t>
  </si>
  <si>
    <t>PTP 820E/850E Basic Test KIT</t>
  </si>
  <si>
    <t>N800082L001A</t>
  </si>
  <si>
    <t>PTP 820E/850E OMT Kit</t>
  </si>
  <si>
    <t>N800082L002A</t>
  </si>
  <si>
    <t>PTP 820E/850E Splitter Kit</t>
  </si>
  <si>
    <t>N800082L003A</t>
  </si>
  <si>
    <t>PTP 820E/850E Coupler Kit</t>
  </si>
  <si>
    <t>N800082L004A</t>
  </si>
  <si>
    <t>PTP 820E/850E Flat Antenna Mounting kit</t>
  </si>
  <si>
    <t>N800082L009A</t>
  </si>
  <si>
    <t>PTP 820E/850E Cable Protection Cap (Qty 10)</t>
  </si>
  <si>
    <t>N800082L010A</t>
  </si>
  <si>
    <t>PTP 820 CSFP, 1310nm Tx/1490nm Rx, SM, EXT TEMP</t>
  </si>
  <si>
    <t>N800082L011A</t>
  </si>
  <si>
    <t>PTP 820 CSFP, 1490nm Tx/1310nm Rx, SM, EXT TEMP</t>
  </si>
  <si>
    <t>N800082L012A</t>
  </si>
  <si>
    <t>PTP 820 SFP+, 850nm,MM, 10Gbit, Industrial Grade</t>
  </si>
  <si>
    <t>N800082L013A</t>
  </si>
  <si>
    <t>N800082L014A</t>
  </si>
  <si>
    <t>cnReach</t>
  </si>
  <si>
    <t>5A002.a.1</t>
  </si>
  <si>
    <t>NB-N500002A-US</t>
  </si>
  <si>
    <t>N500 Power Connector, Spare</t>
  </si>
  <si>
    <t>NB-N500003A-US</t>
  </si>
  <si>
    <t>N500 IO Connector, Spare</t>
  </si>
  <si>
    <t>NB-N500004A-US</t>
  </si>
  <si>
    <t>N500 DIN Rail Mount</t>
  </si>
  <si>
    <t>NB-N500005A-US</t>
  </si>
  <si>
    <t>N500 RJ45-DB9 Adaptor</t>
  </si>
  <si>
    <t>NB-N500006A-US</t>
  </si>
  <si>
    <t>N500 AC Power Supply</t>
  </si>
  <si>
    <t>NB-N500006B-US</t>
  </si>
  <si>
    <t>N500 AC Power Supply 24 VDC with US line cord</t>
  </si>
  <si>
    <t>NB-N500008A-US</t>
  </si>
  <si>
    <t>N500 900 MHz Whip Antenna</t>
  </si>
  <si>
    <t>NB-N500009A-US</t>
  </si>
  <si>
    <t>N500 700 MHz Whip Antenna</t>
  </si>
  <si>
    <t>NB-N500010A-US</t>
  </si>
  <si>
    <t>N500 450 MHz Whip Antenna</t>
  </si>
  <si>
    <t>NB-N500011B-GL</t>
  </si>
  <si>
    <t>N500 AC Power Supply 24 VDC (no line cord)</t>
  </si>
  <si>
    <t>NB-N500012A-US</t>
  </si>
  <si>
    <t>N500 220 MHz Whip Antenna</t>
  </si>
  <si>
    <t>NB-N500013A-GL</t>
  </si>
  <si>
    <t>Power Supply, AC to 24VDC, DIN RAIL MOUNT</t>
  </si>
  <si>
    <t>NB-N500014A-GL</t>
  </si>
  <si>
    <t>N500 Board Bracket</t>
  </si>
  <si>
    <t>NB-N500020A-GL</t>
  </si>
  <si>
    <t>Yagi Antenna, 900 MHz 6.5 dBd, Single Pol</t>
  </si>
  <si>
    <t>NB-N500021A-GL</t>
  </si>
  <si>
    <t>Yagi Antenna, 900 MHz 10 dBd, Single Pol</t>
  </si>
  <si>
    <t>NB-N500022A-GL</t>
  </si>
  <si>
    <t>Yagi Antenna, 700 MHz 10 dBd, Single Pol</t>
  </si>
  <si>
    <t>NB-N500024A-GL</t>
  </si>
  <si>
    <t>Yagi Antenna, 406-430 MHz 6.5 dBd, Single Pol</t>
  </si>
  <si>
    <t>NB-N500025A-GL</t>
  </si>
  <si>
    <t>Yagi Antenna, 406-430 MHz 10 dBd, Single Pol</t>
  </si>
  <si>
    <t>NB-N500026A-GL</t>
  </si>
  <si>
    <t>Yagi Antenna, 450-470 MHz 6 dBd, Single Pol</t>
  </si>
  <si>
    <t>NB-N500027A-GL</t>
  </si>
  <si>
    <t>Yagi Antenna, 450-470 MHz 10 dBd, Single Pol</t>
  </si>
  <si>
    <t>NB-N500029A-GL</t>
  </si>
  <si>
    <t>Omni Antenna, 899-960 MHz, HPOL, 5 dBi</t>
  </si>
  <si>
    <t>8517.70.000</t>
  </si>
  <si>
    <t>NB-N500030A-GL</t>
  </si>
  <si>
    <t>Yagi Antenna with Install Kit, 900 MHz 6.5 dBd, Single Pol</t>
  </si>
  <si>
    <t>NB-N500031A-GL</t>
  </si>
  <si>
    <t>Yagi Antenna with Install Kit, 900 MHz 10 dBd, Single Pol</t>
  </si>
  <si>
    <t>NB-N500032A-GL</t>
  </si>
  <si>
    <t>Yagi Antenna with Install Kit, 700 MHz 10 dBd, Single Pol</t>
  </si>
  <si>
    <t>NB-N500034A-GL</t>
  </si>
  <si>
    <t>Yagi Antenna with Install Kit, 406-430 MHz 6.5 dBd, Single Pol</t>
  </si>
  <si>
    <t>NB-N500035A-GL</t>
  </si>
  <si>
    <t>Yagi Antenna with Install Kit, 406-430 MHz 10 dBd, Single Pol</t>
  </si>
  <si>
    <t>NB-N500036A-GL</t>
  </si>
  <si>
    <t>Yagi Antenna with Install Kit, 450-470 MHz 6 dBd, Single Pol</t>
  </si>
  <si>
    <t>NB-N500037A-GL</t>
  </si>
  <si>
    <t>Yagi Antenna with Install Kit, 450-470 MHz 10 dBd, Single Pol</t>
  </si>
  <si>
    <t>NB-N500041A-GL</t>
  </si>
  <si>
    <t>Antenna Installation Kit, 50 foot</t>
  </si>
  <si>
    <t>NB-N500042A-GL</t>
  </si>
  <si>
    <t>Yagi Antenna, 215-225 MHz 6.5 dBd, Single Pol</t>
  </si>
  <si>
    <t>NB-N500044A-GL</t>
  </si>
  <si>
    <t>Omni Antenna, 902-928 MHz, VPOL, 5 dBi</t>
  </si>
  <si>
    <t>NB-N500045A-GL</t>
  </si>
  <si>
    <t>Omni Antenna, 902-928 MHz, VPOL, 8 dBi</t>
  </si>
  <si>
    <t>NB-N500046A-GL</t>
  </si>
  <si>
    <t>Omni Antenna, 406-470 MHz, VPOL, 5 dBi</t>
  </si>
  <si>
    <t>NB-N500052A-GL</t>
  </si>
  <si>
    <t>Yagi Antenna with Install Kit, 215-225 MHz 6.5 dBd, Single Pol</t>
  </si>
  <si>
    <t>NB-N500053A-GL</t>
  </si>
  <si>
    <t>Omni Antenna, 746-787 MHz, VPOL, 5.5 dBi</t>
  </si>
  <si>
    <t>NB-N500082A-US</t>
  </si>
  <si>
    <t>N500 Terminal Server Two Serial Port</t>
  </si>
  <si>
    <t>NB-N500721A-US</t>
  </si>
  <si>
    <t>N500 700 MHz Dual with IO</t>
  </si>
  <si>
    <t>NB-N500910B-US</t>
  </si>
  <si>
    <t>N500 900 MHz Single</t>
  </si>
  <si>
    <t>NB-N500911B-US</t>
  </si>
  <si>
    <t>N500 900 MHz Single with IO</t>
  </si>
  <si>
    <t>NB-N500921A-US</t>
  </si>
  <si>
    <t>N500 900 MHz Dual with IO</t>
  </si>
  <si>
    <t>NB-N500921B-US</t>
  </si>
  <si>
    <t>NB-N500930B-US</t>
  </si>
  <si>
    <t>N500 900 MHz Board Radio ISM Only</t>
  </si>
  <si>
    <t>cnPilot e505 Outdoor (ROW) 802.11ac wave 2, 2x2, 5dBi Omni AP, IP67</t>
  </si>
  <si>
    <t>cnHeat</t>
  </si>
  <si>
    <t>PS-ADV1DAY-US</t>
  </si>
  <si>
    <t>Advisory Services - 1 Day (Includes Travel &amp; Living)</t>
  </si>
  <si>
    <t>PS-BD100A-RW</t>
  </si>
  <si>
    <t>PS-BD300-RW</t>
  </si>
  <si>
    <t>PS-CHPLN1-US</t>
  </si>
  <si>
    <t>Spectrum Data Analysis/Channel Planning, Small Network (1-50 Access Points)</t>
  </si>
  <si>
    <t>NA Standard,ePMP US</t>
  </si>
  <si>
    <t>PS-CHPLN2-US</t>
  </si>
  <si>
    <t>Spectrum Data Analysis /Channel Planning, Medium Network (51-100 Access Points)</t>
  </si>
  <si>
    <t>PS-CHPLN3-US</t>
  </si>
  <si>
    <t>Spectrum Data Analysis /Channel Planning, Large Network (101-250 Access Points)</t>
  </si>
  <si>
    <t>PS-CHPLN4-US</t>
  </si>
  <si>
    <t>Spectrum Data Analysis /Channel Planning, Very Large Network (251-400 Access Points)</t>
  </si>
  <si>
    <t>PS-CVMAPT1-US</t>
  </si>
  <si>
    <t>RF Coverage Mapping, 1-5 Towers (Per Tower)</t>
  </si>
  <si>
    <t>PS-CVMAPT2-US</t>
  </si>
  <si>
    <t>RF Coverage Mapping, 6-10 Towers (Per Tower)</t>
  </si>
  <si>
    <t>PS-CVMAPT3-US</t>
  </si>
  <si>
    <t>RF Coverage Mapping, 11-20 Towers (Per Tower)</t>
  </si>
  <si>
    <t>PS-CVMAPT4-US</t>
  </si>
  <si>
    <t>RF Coverage Mapping, 21-40 Towers (Per Tower)</t>
  </si>
  <si>
    <t>PS-CVMAPT5-US</t>
  </si>
  <si>
    <t>RF Coverage Mapping, 41-80 Towers (Per Tower)</t>
  </si>
  <si>
    <t>PS-DATACQ-RW</t>
  </si>
  <si>
    <t>Data Acquisition as Quoted</t>
  </si>
  <si>
    <t>PS-DATAQA-RW</t>
  </si>
  <si>
    <t>Quality Assurance for Customer Provided Data as Quoted</t>
  </si>
  <si>
    <t>PS-FWUPDAT-US</t>
  </si>
  <si>
    <t>Firmware Update Service (Per Tower)</t>
  </si>
  <si>
    <t>PS-GFOPT-RW</t>
  </si>
  <si>
    <t>cnHeat OPTIMIZE Find Optimal Tower Locations</t>
  </si>
  <si>
    <t>PS-GFVER-RW</t>
  </si>
  <si>
    <t>cnHeat OPTIMIZE Verify Tower Location</t>
  </si>
  <si>
    <t>PS-HEATBN-US</t>
  </si>
  <si>
    <t>cnHeat-(Bundle) HiRes RF Coverage Map + Building Identification/Address Generation for single AP</t>
  </si>
  <si>
    <t>PS-HEATID-US</t>
  </si>
  <si>
    <t>cnHeat-Building Identification/Address Generation for single AP</t>
  </si>
  <si>
    <t>PS-HEATMP-US</t>
  </si>
  <si>
    <t>cnHeat-HiRes RF Coverage Map for single AP</t>
  </si>
  <si>
    <t>PS-HEATPR-US</t>
  </si>
  <si>
    <t>cnHeat-HiRes Data Preparation Covering 100 sq km</t>
  </si>
  <si>
    <t>PS-HLTCHK1C-US</t>
  </si>
  <si>
    <t>Health Check for Custom-sized Network</t>
  </si>
  <si>
    <t>PS-HLTCHK1L-US</t>
  </si>
  <si>
    <t>Health Check for Large-sized Network (251-500 Access Points)</t>
  </si>
  <si>
    <t>PS-HLTCHK1M-US</t>
  </si>
  <si>
    <t>Health Check for Medium-sized Network (101-250 Access Points)</t>
  </si>
  <si>
    <t>PS-HLTCHK1S-US</t>
  </si>
  <si>
    <t>Health Check for Small-sized Network (1-100 Access Points)</t>
  </si>
  <si>
    <t>PS-LIDAR-RW</t>
  </si>
  <si>
    <t>PS-LINKPLN-US</t>
  </si>
  <si>
    <t>LINKPlanner Project</t>
  </si>
  <si>
    <t>PS-MP1Y-RW</t>
  </si>
  <si>
    <t>HiRes RF Coverage Map, One Year Paid Up Front</t>
  </si>
  <si>
    <t>PS-MP3M1Y-RW</t>
  </si>
  <si>
    <t>HiRes RF Coverage Map, One Year Paid Every 3 Months</t>
  </si>
  <si>
    <t>PS-MP3M3Y-RW</t>
  </si>
  <si>
    <t>HiRes RF Coverage Map, Three Years Paid Every 3 Months</t>
  </si>
  <si>
    <t>PS-MP3Y-RW</t>
  </si>
  <si>
    <t>HiRes RF Coverage Map, Three Years Paid Up Front</t>
  </si>
  <si>
    <t>PS-MPSIOP-RW</t>
  </si>
  <si>
    <t>HiRes RF Coverage Map, Site Optimization</t>
  </si>
  <si>
    <t>PS-MPSUP-RW</t>
  </si>
  <si>
    <t>PS-NDCMT1-US</t>
  </si>
  <si>
    <t>RF Network Design with Coverage Map, 1-5 Towers (Per Tower)</t>
  </si>
  <si>
    <t>PS-NDCMT2-US</t>
  </si>
  <si>
    <t>RF Network Design with Coverage Map, 6-10 Towers (Per Tower)</t>
  </si>
  <si>
    <t>PS-NDCMT3-US</t>
  </si>
  <si>
    <t>RF Network Design with Coverage Map, 11-20 Towers (Per Tower)</t>
  </si>
  <si>
    <t>PS-NDCMT4-US</t>
  </si>
  <si>
    <t>RF Network Design with Coverage Map, 21-40 Towers (Per Tower)</t>
  </si>
  <si>
    <t>PS-NDCMT5-US</t>
  </si>
  <si>
    <t>RF Network Design with Coverage Map, 41-80 Towers (Per Tower)</t>
  </si>
  <si>
    <t>PS-NETDSGT1-US</t>
  </si>
  <si>
    <t>RF Network Design, 1-5 Towers (Per Tower)</t>
  </si>
  <si>
    <t>PS-NETDSGT2-US</t>
  </si>
  <si>
    <t>RF Network Design, 6-10 Towers (Per Tower)</t>
  </si>
  <si>
    <t>PS-NETDSGT3-US</t>
  </si>
  <si>
    <t>RF Network Design, 11-20 Towers (Per Tower)</t>
  </si>
  <si>
    <t>PS-NETDSGT4-US</t>
  </si>
  <si>
    <t>RF Network Design, 21-40 Towers (Per Tower)</t>
  </si>
  <si>
    <t>PS-NETDSGT5-US</t>
  </si>
  <si>
    <t>RF Network Design, 41-80 Towers (Per Tower)</t>
  </si>
  <si>
    <t>PS-PMPDPLY-US</t>
  </si>
  <si>
    <t>PMP Deployment Service (per Tower)</t>
  </si>
  <si>
    <t>PS-SPECAN1-US</t>
  </si>
  <si>
    <t>Spectrum Data Collection/Channel Planning, Small Network (1-50 Access Points)</t>
  </si>
  <si>
    <t>PS-SPECAN2-US</t>
  </si>
  <si>
    <t>Spectrum Data Collection/Channel Planning, Medium Network (51-100 Access Points)</t>
  </si>
  <si>
    <t>PS-SPECAN3-US</t>
  </si>
  <si>
    <t>Spectrum Data Collection/Channel Planning, Large Network (101-250 Access Points)</t>
  </si>
  <si>
    <t>PS-SPECAN4-US</t>
  </si>
  <si>
    <t>Spectrum Data Collection/Channel Planning, Very Large Network (251-400 Access Points)</t>
  </si>
  <si>
    <t>PS-SPECANLS-US</t>
  </si>
  <si>
    <t>Spectrum Data Analysis (per Tower)</t>
  </si>
  <si>
    <t>PS-SPECCOL-US</t>
  </si>
  <si>
    <t>Spectrum Data Collection (per Tower)</t>
  </si>
  <si>
    <t>PS-TRCUSTOM1-WW</t>
  </si>
  <si>
    <t>Select Training, Custom Delivery</t>
  </si>
  <si>
    <t>PT-PT820PRE-WW</t>
  </si>
  <si>
    <t>PTP820 Radio Rapid Deployment Configuration Service – (per END)</t>
  </si>
  <si>
    <t>RDH4499A</t>
  </si>
  <si>
    <t>4.4-5.0 GHZ, 2-FT (0.6M), H-POL &amp; V-POL, WITH FINE ADJUSTMENTS</t>
  </si>
  <si>
    <t>RDH4500A</t>
  </si>
  <si>
    <t>4.4-5.0 GHZ, 3-FT (0.9M), DUAL-POL, H-POL &amp; V-POL</t>
  </si>
  <si>
    <t>RDH4501A</t>
  </si>
  <si>
    <t>4.4-5.0 GHZ, 4-FT (1.2M), DUAL-POL, H-POL &amp; V-POL</t>
  </si>
  <si>
    <t>RDH4502A</t>
  </si>
  <si>
    <t>4.4-5.0 GHZ, 6-FT (1.8M), DUAL-POL, H-POL &amp; V-POL</t>
  </si>
  <si>
    <t>RDH4503C</t>
  </si>
  <si>
    <t xml:space="preserve"> Standard Performance 4.9-6 GHz, 2-FT (0.6M), DUAL-POL antenna with 2 x N-type Connector</t>
  </si>
  <si>
    <t>RDH4504C</t>
  </si>
  <si>
    <t xml:space="preserve"> Standard Performance 4.9-6 GHz, 3-FT (0.9M), DUAL-POL  antenna with 2 x N-type Connector</t>
  </si>
  <si>
    <t>RDH4505C</t>
  </si>
  <si>
    <t>Standard Performance 4.9-6 GHz, 4-FT (1.2M), DUAL-POL  antenna with 2 x N-type Connector</t>
  </si>
  <si>
    <t>RDH4506C</t>
  </si>
  <si>
    <t>Standard Performance 4.9-6 GHz, 6-FT (1.8M), DUAL-POL antenna with 2 x N-type Connector</t>
  </si>
  <si>
    <t>RDH4508B</t>
  </si>
  <si>
    <t>5.25-5.85 GHZ, 2-FT (0.6M), HIGH PERFORMANCE DUAL-POL</t>
  </si>
  <si>
    <t>RDH4508C</t>
  </si>
  <si>
    <t>High Performance 4.9-6 GHz, 2-FT (0.6M), DUAL-POL antenna with 2 x N-type Connector</t>
  </si>
  <si>
    <t>RDH4509C</t>
  </si>
  <si>
    <t>High Performance 4.9-6 GHz, 3-FT (0.9M), DUAL-POL  antenna with 2 x N-type Connector</t>
  </si>
  <si>
    <t>RDH4510C</t>
  </si>
  <si>
    <t>High Performance 4.9-6 GHz, 4-FT (1.2M), DUAL-POL  antenna with 2 x N-type Connector</t>
  </si>
  <si>
    <t>RDH4511C</t>
  </si>
  <si>
    <t xml:space="preserve"> High Performance 4.9-6 GHz, 6-FT (1.8M), DUAL-POL antenna with 2 x N-type Connector</t>
  </si>
  <si>
    <t>RDH4513B</t>
  </si>
  <si>
    <t>5.25-5.85 GHZ, 3-FT (0.9M), SINGLE-POL</t>
  </si>
  <si>
    <t>RDH4519A</t>
  </si>
  <si>
    <t>4.5-5.0 GHz, 20.8 dBi, 1-ft (0.3m), High Performance Dual-Pol, Low profile</t>
  </si>
  <si>
    <t>RDN5785A</t>
  </si>
  <si>
    <t>3 M (9.8 FT) SUPERFLEX RF LOW LOSS JUMPER CABLE</t>
  </si>
  <si>
    <t>RRDN7140B</t>
  </si>
  <si>
    <t>2-FT (0.6M), MOLDED RADOME, UV INHIBITED</t>
  </si>
  <si>
    <t>RRDN7141B</t>
  </si>
  <si>
    <t>3-FT (0.9M), MOLDED RADOME, UV INHIBITED</t>
  </si>
  <si>
    <t>RRDN7142B</t>
  </si>
  <si>
    <t>4-FT (1.2M), MOLDED RADOME, UV INHIBITED</t>
  </si>
  <si>
    <t>SG00PL3009AA</t>
  </si>
  <si>
    <t>PTP100 10 TO 20MB UPGRADE KEY</t>
  </si>
  <si>
    <t>SG00PL3013AA</t>
  </si>
  <si>
    <t>PTP100 2 MBPS TO 4 MBPS UPGRADE KEY</t>
  </si>
  <si>
    <t>SG00PL3014AA</t>
  </si>
  <si>
    <t>PTP100 4 MBPS TO 10 MBPSUPGRADE KEY</t>
  </si>
  <si>
    <t>SG00PL3015AA</t>
  </si>
  <si>
    <t>LITE SM 512KB TO 1MB FIXED LIC KEY</t>
  </si>
  <si>
    <t>SG00PL3016AA</t>
  </si>
  <si>
    <t>LITE SM 512KB TO 2MB FIXED LIC KEY</t>
  </si>
  <si>
    <t>SG00PL3017AA</t>
  </si>
  <si>
    <t>LITE SM 512KB TO 4MB FIXED LIC KEY</t>
  </si>
  <si>
    <t>SG00PL3018AA</t>
  </si>
  <si>
    <t>LITE SM 512KB TO 7MB FIXED LIC KEY</t>
  </si>
  <si>
    <t>SG00PL3019AA</t>
  </si>
  <si>
    <t>900 MHZ AP LMTD TO FULL UPGRADE KEY</t>
  </si>
  <si>
    <t>SG00PL3020AA</t>
  </si>
  <si>
    <t>PMP430 4 TO 10 MBPS UPGRADE KEY</t>
  </si>
  <si>
    <t>SG00PL3021AA</t>
  </si>
  <si>
    <t>PMP430 4 TO 20 MBPS UPGRADE KEY</t>
  </si>
  <si>
    <t>SG00PL3022AA</t>
  </si>
  <si>
    <t>PMP430 4 TO 40 MBPS UPGRADE KEY</t>
  </si>
  <si>
    <t>SG00PL3023AA</t>
  </si>
  <si>
    <t>PMP430 10 TO 20 MBPS UPGRADE KEY</t>
  </si>
  <si>
    <t>SG00PL3024AA</t>
  </si>
  <si>
    <t>PMP430 10 TO 40 MBPS UPGRADE KEY</t>
  </si>
  <si>
    <t>SG00PL3025AA</t>
  </si>
  <si>
    <t>PMP430 20 TO 40 MBPS UPGRADE KEY</t>
  </si>
  <si>
    <t>SG00PL3026AA</t>
  </si>
  <si>
    <t>LITE SM 2MB TO 4MB FIXED LIC KEY</t>
  </si>
  <si>
    <t>SG00PL3028AA</t>
  </si>
  <si>
    <t>LITE SM 2MB TO 7MB FIXED LIC KEY</t>
  </si>
  <si>
    <t>SG00PL3029AA</t>
  </si>
  <si>
    <t>PTP230 10 TO 20 MBPS UPGRADE KEY (PER LINK)</t>
  </si>
  <si>
    <t>SG00PL3030AA</t>
  </si>
  <si>
    <t>PTP230 20 TO 50 MBPS UPGRADE KEY (PER LINK)</t>
  </si>
  <si>
    <t>SG00PL3031AA</t>
  </si>
  <si>
    <t>PTP230 10 TO 50 MBPS UPGRADE KEY (PER LINK)</t>
  </si>
  <si>
    <t>SG00TS4003A</t>
  </si>
  <si>
    <t>1 YR CANOPY SOFTWARE CONTRACT (250+ AP/BH'S)</t>
  </si>
  <si>
    <t>SG00TS4013A</t>
  </si>
  <si>
    <t>CMMMICRO EXTD WARRANTY, 1 ADDL YEAR</t>
  </si>
  <si>
    <t>SG00TS4014A</t>
  </si>
  <si>
    <t>CMM4 EXTD WARRANTY, 1 ADDL YEAR</t>
  </si>
  <si>
    <t>SG00TS4022A</t>
  </si>
  <si>
    <t>CMM4 EXTD WARRANTY, 2 ADDL YEAR</t>
  </si>
  <si>
    <t>SG00TS4030A</t>
  </si>
  <si>
    <t>CMM4 EXTD WARRANTY, 4 ADDL YEAR</t>
  </si>
  <si>
    <t>SGHN5169A</t>
  </si>
  <si>
    <t>MOUNTING KIT BRACKET FOR SURGE SUPPRESSOR</t>
  </si>
  <si>
    <t>SGLN6552A</t>
  </si>
  <si>
    <t>BRACKET_MOUNTING POLE, M8</t>
  </si>
  <si>
    <t>SMMB1A</t>
  </si>
  <si>
    <t>Universal mounting bracket</t>
  </si>
  <si>
    <t>SMMB2A</t>
  </si>
  <si>
    <t>UNIVERSAL MOUNTING BRACKET, HEAVY DUTY</t>
  </si>
  <si>
    <t>WB1811B</t>
  </si>
  <si>
    <t>PTP SER EMC CABLE GLAND (GROUNDING) Qty. 10</t>
  </si>
  <si>
    <t>WB2312H</t>
  </si>
  <si>
    <t>PTP 600 Series Multi-Mode Optical Conversion Kit (per end)</t>
  </si>
  <si>
    <t>WB2643H</t>
  </si>
  <si>
    <t>PTP 600 Series Single-Mode Optical Conversion Kit (per end)</t>
  </si>
  <si>
    <t>WB2907H</t>
  </si>
  <si>
    <t>LPU End Kit PTP 600 (2 kits required per Link)</t>
  </si>
  <si>
    <t>WB2978H</t>
  </si>
  <si>
    <t>LPU End Kit PTP 250/300/500 (2 kits required per Link)</t>
  </si>
  <si>
    <t>WB3175A</t>
  </si>
  <si>
    <t>1000 ft Reel Outdoor Copper Clad CAT5E (Recommended for PTP)</t>
  </si>
  <si>
    <t>WB3176A</t>
  </si>
  <si>
    <t>328 ft (100 m) Reel Outdoor Copper Clad CAT5E (Recommended for PTP)</t>
  </si>
  <si>
    <t>WB3177B</t>
  </si>
  <si>
    <t>Tyco/AMP, Mod Plug RJ45, 100 pk</t>
  </si>
  <si>
    <t>WB3211A</t>
  </si>
  <si>
    <t>Tyco/AMP Crimp Tool</t>
  </si>
  <si>
    <t>WB3486H</t>
  </si>
  <si>
    <t>CMU/PTP-SYNC/NIDU 19inch Rack Mount Installation Kit</t>
  </si>
  <si>
    <t>WB3585</t>
  </si>
  <si>
    <t>PTP 300/500 Series 25 Mbps to 105 Mbps Upgrade Key - Link</t>
  </si>
  <si>
    <t>WB3616H</t>
  </si>
  <si>
    <t>Coaxial Cable Installation Assembly Kit (W/O LPU End Kit)</t>
  </si>
  <si>
    <t>WB3618A</t>
  </si>
  <si>
    <t>Mains Lead- US 3pin to C5  (PTP800 AC-DC PSU)</t>
  </si>
  <si>
    <t>WB3620A</t>
  </si>
  <si>
    <t>Mains Lead- EU with dual earth to C5  (PTP800 AC-DC PSU)</t>
  </si>
  <si>
    <t>WB3622A</t>
  </si>
  <si>
    <t>AC-DC Power Supply Convertor (no lead cable included)</t>
  </si>
  <si>
    <t>WB3657A</t>
  </si>
  <si>
    <t>LPU End Kit PTP 800/820</t>
  </si>
  <si>
    <t>WB3659</t>
  </si>
  <si>
    <t>FCC M/W Freq Coordination Service</t>
  </si>
  <si>
    <t>8517.61.0090</t>
  </si>
  <si>
    <t>WB3665HH</t>
  </si>
  <si>
    <t>PTP-SYNC</t>
  </si>
  <si>
    <t>WB3961H</t>
  </si>
  <si>
    <t>PTP-SYNC &lt;-&gt; Trimble Adapter Cable</t>
  </si>
  <si>
    <t>WB4113</t>
  </si>
  <si>
    <t>FCC M/W Freq Protection Service - 5 Additional Yr</t>
  </si>
  <si>
    <t>WB4114</t>
  </si>
  <si>
    <t>FCC M/W Freq Protection Service - 10 Additional Yr</t>
  </si>
  <si>
    <t>WB4141HH</t>
  </si>
  <si>
    <t>Trimble Acutime GPS / Adapter Cable Kit</t>
  </si>
  <si>
    <t>8529.10.4040</t>
  </si>
  <si>
    <t>Term</t>
  </si>
  <si>
    <t>Choose</t>
  </si>
  <si>
    <t>*</t>
  </si>
  <si>
    <t>Add'l
Years</t>
  </si>
  <si>
    <t>CC Advanced
Upgrade</t>
  </si>
  <si>
    <t>CC Advanced upgrade not available</t>
  </si>
  <si>
    <t>cnMaestro X Term</t>
  </si>
  <si>
    <t>5 years</t>
  </si>
  <si>
    <t>cnRanger 101 SM</t>
  </si>
  <si>
    <t>cnRanger 201 SM</t>
  </si>
  <si>
    <t>PTP Sub-6</t>
  </si>
  <si>
    <t>PTP 8XX</t>
  </si>
  <si>
    <t>PMP 450 MicroPoP AP</t>
  </si>
  <si>
    <t>PTP 820E Radio with 43 dBi Antenna</t>
  </si>
  <si>
    <t>PTP 820 RFU-D-HP</t>
  </si>
  <si>
    <t>PTP 820 RFU-E with 43 dBi Antenna</t>
  </si>
  <si>
    <t>PTP 820 RFU-S, Single Tx, Split</t>
  </si>
  <si>
    <t>PTP 820G IDU (Double Modem)</t>
  </si>
  <si>
    <t>cnPilot Indoor Access Points</t>
  </si>
  <si>
    <t>cnPilot Outdoor Access Points</t>
  </si>
  <si>
    <t>cnPilot e410</t>
  </si>
  <si>
    <t>cnPilot e425H</t>
  </si>
  <si>
    <t>cnPilot e430H</t>
  </si>
  <si>
    <t>cnPilot e600</t>
  </si>
  <si>
    <t>cnPilot e500</t>
  </si>
  <si>
    <t>cnPilot e501S</t>
  </si>
  <si>
    <t>cnPilot e502S</t>
  </si>
  <si>
    <t>cnPilot e505</t>
  </si>
  <si>
    <t>cnPilot e510</t>
  </si>
  <si>
    <t>cnPilot e700</t>
  </si>
  <si>
    <t>PTP and cnReach</t>
  </si>
  <si>
    <t>60 GHz V1000 Client Node</t>
  </si>
  <si>
    <t>60 GHz V3000 Client Node</t>
  </si>
  <si>
    <t>60 GHz V5000 Distribution Node</t>
  </si>
  <si>
    <t>C000070S001A</t>
  </si>
  <si>
    <t>PTP 700 Extended Warranty, 1 additional year</t>
  </si>
  <si>
    <t>C000070S002A</t>
  </si>
  <si>
    <t>C000070S003A</t>
  </si>
  <si>
    <t>C000070S004A</t>
  </si>
  <si>
    <t>EW-E1PLE5XX-WW</t>
  </si>
  <si>
    <t>EW-E2PLE5XX-WW</t>
  </si>
  <si>
    <t>EW-E1PLE7XX-WW</t>
  </si>
  <si>
    <t>cnPilot e7XX Extended Warranty, 1 Additional Year</t>
  </si>
  <si>
    <t>EW-E2PLE7XX-WW</t>
  </si>
  <si>
    <t>cnPilot e7XX Extended Warranty, 2 Additional Years</t>
  </si>
  <si>
    <t>Upgrade</t>
  </si>
  <si>
    <t>C000070S005A</t>
  </si>
  <si>
    <t>PTP 700 Upgrade to all risks advanced replacement during 1st year warranty</t>
  </si>
  <si>
    <t>C000070S006A</t>
  </si>
  <si>
    <t>C000070S007A</t>
  </si>
  <si>
    <t>C000070S008A</t>
  </si>
  <si>
    <t>C000070S009A</t>
  </si>
  <si>
    <t>PTP 700 Extended Warranty and all risks advanced replacement 1 year</t>
  </si>
  <si>
    <t>PTP 700 Extended Warranty and all risks advanced replacement 2 year</t>
  </si>
  <si>
    <t>PTP 700 Extended Warranty and all risks advanced replacement 3 year</t>
  </si>
  <si>
    <t>PTP 700 Extended Warranty and all risks advanced replacement 4 year</t>
  </si>
  <si>
    <t>Cambium Care Pro</t>
  </si>
  <si>
    <t>FWB</t>
  </si>
  <si>
    <t>Cambium Care Support Selection</t>
  </si>
  <si>
    <t>Hardware Support Selection</t>
  </si>
  <si>
    <t>Cambium Care Prime</t>
  </si>
  <si>
    <t>SC20 Cnt</t>
  </si>
  <si>
    <t>SC10_Cnt</t>
  </si>
  <si>
    <t>SC15_Cnt</t>
  </si>
  <si>
    <t>SC25_Cnt</t>
  </si>
  <si>
    <t>SC30_Cnt</t>
  </si>
  <si>
    <t>SC40_Cnt</t>
  </si>
  <si>
    <t>SC50_Cnt</t>
  </si>
  <si>
    <t>SC60_Cnt</t>
  </si>
  <si>
    <t>Ext Wty</t>
  </si>
  <si>
    <t>ARAR</t>
  </si>
  <si>
    <t>CC Package</t>
  </si>
  <si>
    <t>Sub Type</t>
  </si>
  <si>
    <t>Rate Type</t>
  </si>
  <si>
    <t>Model</t>
  </si>
  <si>
    <t>MSRP</t>
  </si>
  <si>
    <t>Cambium Care Advanced</t>
  </si>
  <si>
    <t>New</t>
  </si>
  <si>
    <t>Yearly</t>
  </si>
  <si>
    <t>e410</t>
  </si>
  <si>
    <t>e425</t>
  </si>
  <si>
    <t>e430</t>
  </si>
  <si>
    <t>e600</t>
  </si>
  <si>
    <t>e500</t>
  </si>
  <si>
    <t>e501</t>
  </si>
  <si>
    <t>e502</t>
  </si>
  <si>
    <t>e505</t>
  </si>
  <si>
    <t>e510</t>
  </si>
  <si>
    <t>e700</t>
  </si>
  <si>
    <t>XV3-8</t>
  </si>
  <si>
    <t>XV2-2</t>
  </si>
  <si>
    <t>CCADV-SUP-EX2016M-P-1</t>
  </si>
  <si>
    <t>Renewal</t>
  </si>
  <si>
    <t>CCADV-RNW-E410-1</t>
  </si>
  <si>
    <t>CCADV-RNW-E410-3</t>
  </si>
  <si>
    <t>CCADV-RNW-E410-5</t>
  </si>
  <si>
    <t>CCADV-RNW-E425-1</t>
  </si>
  <si>
    <t>CCADV-RNW-E425-3</t>
  </si>
  <si>
    <t>CCADV-RNW-E425-5</t>
  </si>
  <si>
    <t>CCADV-RNW-E430-1</t>
  </si>
  <si>
    <t>CCADV-RNW-E430-3</t>
  </si>
  <si>
    <t>CCADV-RNW-E430-5</t>
  </si>
  <si>
    <t>CCADV-RNW-E600-1</t>
  </si>
  <si>
    <t>Cambium Care Advanced, 1-year support renewal for one cnPilot e600. 24x7 TAC support, SW updates, and NBDS advance replacement for HW</t>
  </si>
  <si>
    <t>CCADV-RNW-E600-3</t>
  </si>
  <si>
    <t>CCADV-RNW-E600-5</t>
  </si>
  <si>
    <t>CCADV-RNW-E500-1</t>
  </si>
  <si>
    <t>Cambium Care Advanced, 1-year support renewal for one cnPilot e500. 24x7 TAC support, SW updates, and NBDS advance replacement for HW</t>
  </si>
  <si>
    <t>CCADV-RNW-E500-3</t>
  </si>
  <si>
    <t>CCADV-RNW-E500-5</t>
  </si>
  <si>
    <t>CCADV-RNW-E501-1</t>
  </si>
  <si>
    <t>Cambium Care Advanced, 1-year support renewal for one cnPilot e501S. 24x7 TAC support, SW updates, and NBDS advance replacement for HW</t>
  </si>
  <si>
    <t>CCADV-RNW-E501-3</t>
  </si>
  <si>
    <t>CCADV-RNW-E501-5</t>
  </si>
  <si>
    <t>CCADV-RNW-E502-1</t>
  </si>
  <si>
    <t>Cambium Care Advanced, 1-year support renewal for one cnPilot e502S. 24x7 TAC support, SW updates, and NBDS advance replacement for HW</t>
  </si>
  <si>
    <t>CCADV-RNW-E502-3</t>
  </si>
  <si>
    <t>CCADV-RNW-E502-5</t>
  </si>
  <si>
    <t>CCADV-RNW-E505-1</t>
  </si>
  <si>
    <t>Cambium Care Advanced, 1-year support renewal for one cnPilot e505. 24x7 TAC support, SW updates, and NBDS advance replacement for HW</t>
  </si>
  <si>
    <t>CCADV-RNW-E505-3</t>
  </si>
  <si>
    <t>CCADV-RNW-E505-5</t>
  </si>
  <si>
    <t>CCADV-RNW-E510-1</t>
  </si>
  <si>
    <t>Cambium Care Advanced, 1-year support renewal for one cnPilot e510. 24x7 TAC support, SW updates, and NBDS advance replacement for HW</t>
  </si>
  <si>
    <t>CCADV-RNW-E510-3</t>
  </si>
  <si>
    <t>CCADV-RNW-E510-5</t>
  </si>
  <si>
    <t>CCADV-RNW-E700-1</t>
  </si>
  <si>
    <t>Cambium Care Advanced, 1-year support renewal for one cnPilot e700. 24x7 TAC support, SW updates, and NBDS advance replacement for HW</t>
  </si>
  <si>
    <t>CCADV-RNW-E700-3</t>
  </si>
  <si>
    <t>CCADV-RNW-E700-5</t>
  </si>
  <si>
    <t>CCADV-RNW-XV3-8-1</t>
  </si>
  <si>
    <t>Cambium Care Advanced, 1-year support renewal for one XV3-8. 24x7 TAC support, SW updates, and NBDS advance replacement for HW</t>
  </si>
  <si>
    <t>CCADV-RNW-XV3-8-3</t>
  </si>
  <si>
    <t>CCADV-RNW-XV3-8-5</t>
  </si>
  <si>
    <t>CCADV-RNW-XV2-2-1</t>
  </si>
  <si>
    <t>Cambium Care Advanced, 1-year support renewal for one XV2-2. 24x7 TAC support, SW updates, and NBDS advance replacement for HW</t>
  </si>
  <si>
    <t>CCADV-RNW-XV2-2-3</t>
  </si>
  <si>
    <t>CCADV-RNW-XV2-2-5</t>
  </si>
  <si>
    <t>CCADV-UPG-E410-1</t>
  </si>
  <si>
    <t>CCADV-UPG-E410-3</t>
  </si>
  <si>
    <t>CCADV-UPG-E410-5</t>
  </si>
  <si>
    <t>CCADV-UPG-E425-1</t>
  </si>
  <si>
    <t>CCADV-UPG-E425-3</t>
  </si>
  <si>
    <t>CCADV-UPG-E425-5</t>
  </si>
  <si>
    <t>CCADV-UPG-E430-1</t>
  </si>
  <si>
    <t>CCADV-UPG-E430-3</t>
  </si>
  <si>
    <t>CCADV-UPG-E430-5</t>
  </si>
  <si>
    <t>CCADV-UPG-E600-1</t>
  </si>
  <si>
    <t>CCADV-UPG-E600-3</t>
  </si>
  <si>
    <t>CCADV-UPG-E600-5</t>
  </si>
  <si>
    <t>CCADV-UPG-E500-1</t>
  </si>
  <si>
    <t>CCADV-UPG-E500-3</t>
  </si>
  <si>
    <t>CCADV-UPG-E500-5</t>
  </si>
  <si>
    <t>CCADV-UPG-E501-1</t>
  </si>
  <si>
    <t>CCADV-UPG-E501-3</t>
  </si>
  <si>
    <t>CCADV-UPG-E501-5</t>
  </si>
  <si>
    <t>CCADV-UPG-E502-1</t>
  </si>
  <si>
    <t>CCADV-UPG-E502-3</t>
  </si>
  <si>
    <t>CCADV-UPG-E502-5</t>
  </si>
  <si>
    <t>CCADV-UPG-E505-1</t>
  </si>
  <si>
    <t>CCADV-UPG-E505-3</t>
  </si>
  <si>
    <t>CCADV-UPG-E505-5</t>
  </si>
  <si>
    <t>CCADV-UPG-E510-1</t>
  </si>
  <si>
    <t>CCADV-UPG-E510-3</t>
  </si>
  <si>
    <t>CCADV-UPG-E510-5</t>
  </si>
  <si>
    <t>CCADV-UPG-E700-1</t>
  </si>
  <si>
    <t>CCADV-UPG-E700-3</t>
  </si>
  <si>
    <t>CCADV-UPG-E700-5</t>
  </si>
  <si>
    <t>CCADV-UPG-XV3-8-1</t>
  </si>
  <si>
    <t>CCADV-UPG-XV3-8-3</t>
  </si>
  <si>
    <t>CCADV-UPG-XV3-8-5</t>
  </si>
  <si>
    <t>CCADV-UPG-XV2-2-1</t>
  </si>
  <si>
    <t>CCADV-UPG-XV2-2-3</t>
  </si>
  <si>
    <t>CCADV-UPG-XV2-2-5</t>
  </si>
  <si>
    <t>Cambium Care Pro, 1-year support for one XV3-8.  24x7 TAC support, SW updates</t>
  </si>
  <si>
    <t>Cambium Care Pro, 3-year support for one XV3-8.  24x7 TAC support, SW updates</t>
  </si>
  <si>
    <t>Cambium Care Pro, 5-year support for one XV3-8.  24x7 TAC support, SW updates</t>
  </si>
  <si>
    <t>Cambium Care Pro, 1-year support for one XV2-2.  24x7 TAC support, SW updates</t>
  </si>
  <si>
    <t>Cambium Care Pro, 3-year support for one XV2-2.  24x7 TAC support, SW updates</t>
  </si>
  <si>
    <t>Cambium Care Pro, 5-year support for one XV2-2.  24x7 TAC support, SW updates</t>
  </si>
  <si>
    <t>Cambium Care Pro, 1-year support for one EX2010.  24x7 TAC support, SW updates</t>
  </si>
  <si>
    <t>Cambium Care Pro, 3-year support for one EX2010.  24x7 TAC support, SW updates</t>
  </si>
  <si>
    <t>Cambium Care Pro, 5-year support for one EX2010.  24x7 TAC support, SW updates</t>
  </si>
  <si>
    <t>Cambium Care Pro, 1-year support for one EX2010-P.  24x7 TAC support, SW updates</t>
  </si>
  <si>
    <t>Cambium Care Pro, 3-year support for one EX2010-P.  24x7 TAC support, SW updates</t>
  </si>
  <si>
    <t>Cambium Care Pro, 5-year support for one EX2010-P.  24x7 TAC support, SW updates</t>
  </si>
  <si>
    <t>Cambium Care Pro, 1-year support for one EX2016M-P.  24x7 TAC support, SW updates</t>
  </si>
  <si>
    <t>Cambium Care Pro, 3-year support for one EX2016M-P.  24x7 TAC support, SW updates</t>
  </si>
  <si>
    <t>Cambium Care Pro, 5-year support for one EX2016M-P.  24x7 TAC support, SW updates</t>
  </si>
  <si>
    <t>Cambium Care Pro, 1-year support for one EX1010.  24x7 TAC support, SW updates</t>
  </si>
  <si>
    <t>Cambium Care Pro, 3-year support for one EX1010.  24x7 TAC support, SW updates</t>
  </si>
  <si>
    <t>Cambium Care Pro, 5-year support for one EX1010.  24x7 TAC support, SW updates</t>
  </si>
  <si>
    <t>Cambium Care Pro, 1-year support for one EX1010-P.  24x7 TAC support, SW updates</t>
  </si>
  <si>
    <t>Cambium Care Pro, 3-year support for one EX1010-P.  24x7 TAC support, SW updates</t>
  </si>
  <si>
    <t>Cambium Care Pro, 5-year support for one EX1010-P.  24x7 TAC support, SW updates</t>
  </si>
  <si>
    <t>Cambium Care Pro, 1-year support for one EX1028.  24x7 TAC support, SW updates</t>
  </si>
  <si>
    <t>Cambium Care Pro, 3-year support for one EX1028.  24x7 TAC support, SW updates</t>
  </si>
  <si>
    <t>Cambium Care Pro, 5-year support for one EX1028.  24x7 TAC support, SW updates</t>
  </si>
  <si>
    <t>Cambium Care Pro, 1-year support for one EX1028-P.  24x7 TAC support, SW updates</t>
  </si>
  <si>
    <t>Cambium Care Pro, 3-year support for one EX1028-P.  24x7 TAC support, SW updates</t>
  </si>
  <si>
    <t>Cambium Care Pro, 5-year support for one EX1028-P.  24x7 TAC support, SW updates</t>
  </si>
  <si>
    <t>Cambium Care Pro, 1-year support for one EX2028.  24x7 TAC support, SW updates</t>
  </si>
  <si>
    <t>Cambium Care Pro, 3-year support for one EX2028.  24x7 TAC support, SW updates</t>
  </si>
  <si>
    <t>Cambium Care Pro, 5-year support for one EX2028.  24x7 TAC support, SW updates</t>
  </si>
  <si>
    <t>Cambium Care Pro, 1-year support for one EX2028-P.  24x7 TAC support, SW updates</t>
  </si>
  <si>
    <t>Cambium Care Pro, 3-year support for one EX2028-P.  24x7 TAC support, SW updates</t>
  </si>
  <si>
    <t>Cambium Care Pro, 5-year support for one EX2028-P.  24x7 TAC support, SW updates</t>
  </si>
  <si>
    <t>Cambium Care Pro, 1-year support for one EX2052.  24x7 TAC support, SW updates</t>
  </si>
  <si>
    <t>Cambium Care Pro, 3-year support for one EX2052.  24x7 TAC support, SW updates</t>
  </si>
  <si>
    <t>Cambium Care Pro, 5-year support for one EX2052.  24x7 TAC support, SW updates</t>
  </si>
  <si>
    <t>Cambium Care Pro, 1-year support for one EX2052-P.  24x7 TAC support, SW updates</t>
  </si>
  <si>
    <t>Cambium Care Pro, 3-year support for one EX2052-P.  24x7 TAC support, SW updates</t>
  </si>
  <si>
    <t>Cambium Care Pro, 5-year support for one EX2052-P.  24x7 TAC support, SW updates</t>
  </si>
  <si>
    <t>Cambium Care Pro, 1-year support for one EX2052R-P.  24x7 TAC support, SW updates</t>
  </si>
  <si>
    <t>Cambium Care Pro, 3-year support for one EX2052R-P.  24x7 TAC support, SW updates</t>
  </si>
  <si>
    <t>Cambium Care Pro, 5-year support for one EX2052R-P.  24x7 TAC support, SW updates</t>
  </si>
  <si>
    <t>CCPRO-RNW-E410-1</t>
  </si>
  <si>
    <t>Cambium Care Pro, 1-year support renewal for one cnPilot e410.  24x7 TAC support, SW updates</t>
  </si>
  <si>
    <t>CCPRO-RNW-E410-3</t>
  </si>
  <si>
    <t>Cambium Care Pro, 3-year support renewal for one cnPilot e410.  24x7 TAC support, SW updates</t>
  </si>
  <si>
    <t>CCPRO-RNW-E410-5</t>
  </si>
  <si>
    <t>Cambium Care Pro, 5-year support renewal for one cnPilot e410.  24x7 TAC support, SW updates</t>
  </si>
  <si>
    <t>CCPRO-RNW-E425-1</t>
  </si>
  <si>
    <t>Cambium Care Pro, 1-year support renewal for one cnPilot e425.  24x7 TAC support, SW updates</t>
  </si>
  <si>
    <t>CCPRO-RNW-E425-3</t>
  </si>
  <si>
    <t>Cambium Care Pro, 3-year support renewal for one cnPilot e425.  24x7 TAC support, SW updates</t>
  </si>
  <si>
    <t>CCPRO-RNW-E425-5</t>
  </si>
  <si>
    <t>Cambium Care Pro, 5-year support renewal for one cnPilot e425.  24x7 TAC support, SW updates</t>
  </si>
  <si>
    <t>CCPRO-RNW-E430-1</t>
  </si>
  <si>
    <t>Cambium Care Pro, 1-year support renewal for one cnPilot e430.  24x7 TAC support, SW updates</t>
  </si>
  <si>
    <t>CCPRO-RNW-E430-3</t>
  </si>
  <si>
    <t>Cambium Care Pro, 3-year support renewal for one cnPilot e430.  24x7 TAC support, SW updates</t>
  </si>
  <si>
    <t>CCPRO-RNW-E430-5</t>
  </si>
  <si>
    <t>Cambium Care Pro, 5-year support renewal for one cnPilot e430.  24x7 TAC support, SW updates</t>
  </si>
  <si>
    <t>CCPRO-RNW-E600-1</t>
  </si>
  <si>
    <t>Cambium Care Pro, 1-year support renewal for one cnPilot e600.  24x7 TAC support, SW updates</t>
  </si>
  <si>
    <t>CCPRO-RNW-E600-3</t>
  </si>
  <si>
    <t>Cambium Care Pro, 3-year support renewal for one cnPilot e600.  24x7 TAC support, SW updates</t>
  </si>
  <si>
    <t>CCPRO-RNW-E600-5</t>
  </si>
  <si>
    <t>Cambium Care Pro, 5-year support renewal for one cnPilot e600.  24x7 TAC support, SW updates</t>
  </si>
  <si>
    <t>CCPRO-RNW-E500-1</t>
  </si>
  <si>
    <t>Cambium Care Pro, 1-year support renewal for one cnPilot e500.  24x7 TAC support, SW updates</t>
  </si>
  <si>
    <t>CCPRO-RNW-E500-3</t>
  </si>
  <si>
    <t>Cambium Care Pro, 3-year support renewal for one cnPilot e500.  24x7 TAC support, SW updates</t>
  </si>
  <si>
    <t>CCPRO-RNW-E500-5</t>
  </si>
  <si>
    <t>Cambium Care Pro, 5-year support renewal for one cnPilot e500.  24x7 TAC support, SW updates</t>
  </si>
  <si>
    <t>CCPRO-RNW-E501-1</t>
  </si>
  <si>
    <t>Cambium Care Pro, 1-year support renewal for one cnPilot e501S.  24x7 TAC support, SW updates</t>
  </si>
  <si>
    <t>CCPRO-RNW-E501-3</t>
  </si>
  <si>
    <t>Cambium Care Pro, 3-year support renewal for one cnPilot e501S.  24x7 TAC support, SW updates</t>
  </si>
  <si>
    <t>CCPRO-RNW-E501-5</t>
  </si>
  <si>
    <t>Cambium Care Pro, 5-year support renewal for one cnPilot e501S.  24x7 TAC support, SW updates</t>
  </si>
  <si>
    <t>CCPRO-RNW-E502-1</t>
  </si>
  <si>
    <t>Cambium Care Pro, 1-year support renewal for one cnPilot e502S.  24x7 TAC support, SW updates</t>
  </si>
  <si>
    <t>CCPRO-RNW-E502-3</t>
  </si>
  <si>
    <t>Cambium Care Pro, 3-year support renewal for one cnPilot e502S.  24x7 TAC support, SW updates</t>
  </si>
  <si>
    <t>CCPRO-RNW-E502-5</t>
  </si>
  <si>
    <t>Cambium Care Pro, 5-year support renewal for one cnPilot e502S.  24x7 TAC support, SW updates</t>
  </si>
  <si>
    <t>CCPRO-RNW-E505-1</t>
  </si>
  <si>
    <t>Cambium Care Pro, 1-year support renewal for one cnPilot e505.  24x7 TAC support, SW updates</t>
  </si>
  <si>
    <t>CCPRO-RNW-E505-3</t>
  </si>
  <si>
    <t>Cambium Care Pro, 3-year support renewal for one cnPilot e505.  24x7 TAC support, SW updates</t>
  </si>
  <si>
    <t>CCPRO-RNW-E505-5</t>
  </si>
  <si>
    <t>Cambium Care Pro, 5-year support renewal for one cnPilot e505.  24x7 TAC support, SW updates</t>
  </si>
  <si>
    <t>CCPRO-RNW-E510-1</t>
  </si>
  <si>
    <t>Cambium Care Pro, 1-year support renewal for one cnPilot e510.  24x7 TAC support, SW updates</t>
  </si>
  <si>
    <t>CCPRO-RNW-E510-3</t>
  </si>
  <si>
    <t>Cambium Care Pro, 3-year support renewal for one cnPilot e510.  24x7 TAC support, SW updates</t>
  </si>
  <si>
    <t>CCPRO-RNW-E510-5</t>
  </si>
  <si>
    <t>Cambium Care Pro, 5-year support renewal for one cnPilot e510.  24x7 TAC support, SW updates</t>
  </si>
  <si>
    <t>CCPRO-RNW-E700-1</t>
  </si>
  <si>
    <t>Cambium Care Pro, 1-year support renewal for one cnPilot e700.  24x7 TAC support, SW updates</t>
  </si>
  <si>
    <t>CCPRO-RNW-E700-3</t>
  </si>
  <si>
    <t>Cambium Care Pro, 3-year support renewal for one cnPilot e700.  24x7 TAC support, SW updates</t>
  </si>
  <si>
    <t>CCPRO-RNW-E700-5</t>
  </si>
  <si>
    <t>Cambium Care Pro, 5-year support renewal for one cnPilot e700.  24x7 TAC support, SW updates</t>
  </si>
  <si>
    <t>CCPRO-RNW-XV3-8-1</t>
  </si>
  <si>
    <t>Cambium Care Pro, 1-year support renewal for one XV3-8.  24x7 TAC support, SW updates</t>
  </si>
  <si>
    <t>CCPRO-RNW-XV3-8-3</t>
  </si>
  <si>
    <t>Cambium Care Pro, 3-year support renewal for one XV3-8.  24x7 TAC support, SW updates</t>
  </si>
  <si>
    <t>CCPRO-RNW-XV3-8-5</t>
  </si>
  <si>
    <t>Cambium Care Pro, 5-year support renewal for one XV3-8.  24x7 TAC support, SW updates</t>
  </si>
  <si>
    <t>CCPRO-RNW-XV2-2-1</t>
  </si>
  <si>
    <t>Cambium Care Pro, 1-year support renewal for one XV2-2.  24x7 TAC support, SW updates</t>
  </si>
  <si>
    <t>CCPRO-RNW-XV2-2-3</t>
  </si>
  <si>
    <t>Cambium Care Pro, 3-year support renewal for one XV2-2.  24x7 TAC support, SW updates</t>
  </si>
  <si>
    <t>CCPRO-RNW-XV2-2-5</t>
  </si>
  <si>
    <t>Cambium Care Pro, 5-year support renewal for one XV2-2.  24x7 TAC support, SW updates</t>
  </si>
  <si>
    <t>V5000</t>
  </si>
  <si>
    <t>Cambium Care Advanced, 1-year support for one V5000 Wireless AP.  24x7 TAC support, SW updates, and NBDS advance replacement for HW</t>
  </si>
  <si>
    <t>Cambium Care Advanced, 3-year support for one V5000 Wireless AP.  24x7 TAC support, SW updates, and NBDS advance replacement for HW</t>
  </si>
  <si>
    <t>Cambium Care Advanced, 5-year support for one V5000 Wireless AP.  24x7 TAC support, SW updates, and NBDS advance replacement for HW</t>
  </si>
  <si>
    <t>V3000</t>
  </si>
  <si>
    <t>Cambium Care Advanced, 1-year support for one V3000 Wireless AP.  24x7 TAC support, SW updates, and NBDS advance replacement for HW</t>
  </si>
  <si>
    <t>Cambium Care Advanced, 3-year support for one V3000 Wireless AP.  24x7 TAC support, SW updates, and NBDS advance replacement for HW</t>
  </si>
  <si>
    <t>Cambium Care Advanced, 5-year support for one V3000 Wireless AP.  24x7 TAC support, SW updates, and NBDS advance replacement for HW</t>
  </si>
  <si>
    <t>V1000</t>
  </si>
  <si>
    <t>Cambium Care Advanced, 1-year support for one V1000 Wireless AP.  24x7 TAC support, SW updates, and NBDS advance replacement for HW</t>
  </si>
  <si>
    <t>Cambium Care Advanced, 3-year support for one V1000 Wireless AP.  24x7 TAC support, SW updates, and NBDS advance replacement for HW</t>
  </si>
  <si>
    <t>Cambium Care Advanced, 5-year support for one V1000 Wireless AP.  24x7 TAC support, SW updates, and NBDS advance replacement for HW</t>
  </si>
  <si>
    <t>CCADV-UPG-V5000-1</t>
  </si>
  <si>
    <t>CCADV-UPG-V5000-3</t>
  </si>
  <si>
    <t>CCADV-UPG-V5000-5</t>
  </si>
  <si>
    <t>CCADV-UPG-V3000-1</t>
  </si>
  <si>
    <t>CCADV-UPG-V3000-3</t>
  </si>
  <si>
    <t>CCADV-UPG-V3000-5</t>
  </si>
  <si>
    <t>CCADV-UPG-V1000-1</t>
  </si>
  <si>
    <t>CCADV-UPG-V1000-3</t>
  </si>
  <si>
    <t>CCADV-UPG-V1000-5</t>
  </si>
  <si>
    <t>Cambium Care Pro, 1-year support for one V5000.  24x7 TAC support, SW updates</t>
  </si>
  <si>
    <t>Cambium Care Pro, 3-year support for one V5000.  24x7 TAC support, SW updates</t>
  </si>
  <si>
    <t>Cambium Care Pro, 5-year support for one V5000.  24x7 TAC support, SW updates</t>
  </si>
  <si>
    <t>Cambium Care Pro, 1-year support for one V3000.  24x7 TAC support, SW updates</t>
  </si>
  <si>
    <t>Cambium Care Pro, 3-year support for one V3000.  24x7 TAC support, SW updates</t>
  </si>
  <si>
    <t>Cambium Care Pro, 5-year support for one V3000.  24x7 TAC support, SW updates</t>
  </si>
  <si>
    <t>Cambium Care Pro, 1-year support for one V1000.  24x7 TAC support, SW updates</t>
  </si>
  <si>
    <t>Cambium Care Pro, 3-year support for one V1000.  24x7 TAC support, SW updates</t>
  </si>
  <si>
    <t>Cambium Care Pro, 5-year support for one V1000.  24x7 TAC support, SW updates</t>
  </si>
  <si>
    <t>ePMP and cnVision</t>
  </si>
  <si>
    <t>ePMP MicroPoP</t>
  </si>
  <si>
    <t>ePMP 1000</t>
  </si>
  <si>
    <t>cnVision</t>
  </si>
  <si>
    <t>ePMP MicroPoP/Bridge-in-a-Box</t>
  </si>
  <si>
    <t>ePMP Bridge-in-a-Box</t>
  </si>
  <si>
    <t>ePMP Bridge-in-a-Box UHD</t>
  </si>
  <si>
    <t>ePMP Bridge-in-a-Box UHD PRO</t>
  </si>
  <si>
    <t>ePMP Force 130</t>
  </si>
  <si>
    <t>ePMP Force 180</t>
  </si>
  <si>
    <t>ePMP Force 200</t>
  </si>
  <si>
    <t>ePMP 2000</t>
  </si>
  <si>
    <t>ePMP 3000</t>
  </si>
  <si>
    <t>ePMP Force 400C</t>
  </si>
  <si>
    <t>ePMP Force 425</t>
  </si>
  <si>
    <t>ePMP Force 190</t>
  </si>
  <si>
    <t>ePMP 1000 Connectorized</t>
  </si>
  <si>
    <t>ePMP 1000 Connectorized with Sync</t>
  </si>
  <si>
    <t>Product
Type</t>
  </si>
  <si>
    <t>Standalone Support Options</t>
  </si>
  <si>
    <t>IMPORTANT NOTE FOR XMS CUSTOMERS</t>
  </si>
  <si>
    <t>Device Type</t>
  </si>
  <si>
    <t xml:space="preserve">This configurator is used for networks that use cnMaestro X for network management with bundled Cambium Care Support or for customers who wish to purchase standalone support options such as Cambium Care, Extended Warranty, and/or All Risks Advance Replacement.  Customers who use Xirrus Wi-Fi access points must purchase XMS-Cloud or XMS-Enterprise in conjunction with their hardware.  We offer Enterprise BOM Configurators for XMS-Cloud and XMS-Enterprise. </t>
  </si>
  <si>
    <t>Tier3</t>
  </si>
  <si>
    <t>Tier1</t>
  </si>
  <si>
    <t>Tier2</t>
  </si>
  <si>
    <t>Tier4</t>
  </si>
  <si>
    <t>Tier5</t>
  </si>
  <si>
    <t>SC20</t>
  </si>
  <si>
    <t>SC10</t>
  </si>
  <si>
    <t>SC30</t>
  </si>
  <si>
    <t>SC40</t>
  </si>
  <si>
    <t>SC50</t>
  </si>
  <si>
    <t>SC60</t>
  </si>
  <si>
    <t>SC15</t>
  </si>
  <si>
    <t>SC25</t>
  </si>
  <si>
    <t>Page 1 Total</t>
  </si>
  <si>
    <t>Page 2 Total</t>
  </si>
  <si>
    <t>Page 3 Total</t>
  </si>
  <si>
    <t>Standard
Warranty</t>
  </si>
  <si>
    <t>Standard Warranty</t>
  </si>
  <si>
    <t>Decline Cambium Care</t>
  </si>
  <si>
    <t>CC Type</t>
  </si>
  <si>
    <t>HW Support</t>
  </si>
  <si>
    <t>Decline Hardware Support</t>
  </si>
  <si>
    <t>Scenario</t>
  </si>
  <si>
    <t>Start_Here_Complete</t>
  </si>
  <si>
    <t>AY Default</t>
  </si>
  <si>
    <t>&lt;_Y0 is blank (Cell H14)</t>
  </si>
  <si>
    <t>Cambium Care Term</t>
  </si>
  <si>
    <t>cnMaestro X Tier</t>
  </si>
  <si>
    <t>Declined</t>
  </si>
  <si>
    <t>cnWave*</t>
  </si>
  <si>
    <t>The primary purpose of the this BOM Configurator to construct an accurate Bill of Materials based on the devices, cnMaestro X subscriptions, and Cambium Care and other Support selected.  Refer to the relevant price list for your region to generate partner or end-customer quotes.</t>
  </si>
  <si>
    <t>EW-E1EPF200-WW</t>
  </si>
  <si>
    <t>EW-E2EPF200-WW</t>
  </si>
  <si>
    <t>EW-E1EPF300-WW</t>
  </si>
  <si>
    <t>EW-E2EPF300-WW</t>
  </si>
  <si>
    <t>EW-E1EPF400-WW</t>
  </si>
  <si>
    <t>EW-E2EPF400-WW</t>
  </si>
  <si>
    <t>EW-E1EPF425-WW</t>
  </si>
  <si>
    <t>EW-E2EPF425-WW</t>
  </si>
  <si>
    <t>EW-E1EP20AP-WW</t>
  </si>
  <si>
    <t>EW-E2EP20AP-WW</t>
  </si>
  <si>
    <t>EW-E1EP10SM-WW</t>
  </si>
  <si>
    <t>ePMP 1000 ISM/CSM/Force 180/Force 190 Extended Warranty, 1 Addl Year</t>
  </si>
  <si>
    <t>EW-E2EP10SM-WW</t>
  </si>
  <si>
    <t>ePMP 1000 ISM/CSM/Force 180/Force 190 Extended Warranty, 2 Addl Years</t>
  </si>
  <si>
    <t>EW-E1EP10AP-WW</t>
  </si>
  <si>
    <t>EW-E2EP10AP-WW</t>
  </si>
  <si>
    <t>ePMP 1000 Sync AP Extended Warranty, 2 Additional Years</t>
  </si>
  <si>
    <t>ePMP 1000 Sync AP Extended Warranty, 1 Additional Year</t>
  </si>
  <si>
    <t>EW-E1CNWV1000-WW</t>
  </si>
  <si>
    <t>cnWave V1000 Extended Warranty, 1 Additional Year</t>
  </si>
  <si>
    <t>EW-E2CNWV1000-WW</t>
  </si>
  <si>
    <t>cnWave V1000 Extended Warranty, 2 Additional Years</t>
  </si>
  <si>
    <t>AR-E0CNWV1000-WW</t>
  </si>
  <si>
    <t>AR-E1CNWV1000-WW</t>
  </si>
  <si>
    <t>cnWave V1000 All Risks Advance Replacement, 1 additional year (per END)</t>
  </si>
  <si>
    <t>AR-E2CNWV1000-WW</t>
  </si>
  <si>
    <t>cnWave V1000 All Risks Advance Replacement, 2 additional years (per END)</t>
  </si>
  <si>
    <t>EW-E1CNWV3000-WW</t>
  </si>
  <si>
    <t>cnWave V3000 Extended Warranty, 1 Additional Year</t>
  </si>
  <si>
    <t>EW-E2CNWV3000-WW</t>
  </si>
  <si>
    <t>cnWave V3000 Extended Warranty, 2 Additional Years</t>
  </si>
  <si>
    <t>AR-E0CNWV3000-WW</t>
  </si>
  <si>
    <t>AR-E1CNWV3000-WW</t>
  </si>
  <si>
    <t>cnWave V3000 All Risks Advance Replacement, 1 additional year (per END)</t>
  </si>
  <si>
    <t>AR-E2CNWV3000-WW</t>
  </si>
  <si>
    <t>cnWave V3000 All Risks Advance Replacement, 2 additional years (per END)</t>
  </si>
  <si>
    <t>EW-E1CNWV5000-WW</t>
  </si>
  <si>
    <t>cnWave V5000 Extended Warranty, 1 Additional Year</t>
  </si>
  <si>
    <t>EW-E2CNWV5000-WW</t>
  </si>
  <si>
    <t>cnWave V5000 Extended Warranty, 2 Additional Years</t>
  </si>
  <si>
    <t>AR-E0CNWV5000-WW</t>
  </si>
  <si>
    <t>AR-E1CNWV5000-WW</t>
  </si>
  <si>
    <t>cnWave V5000 All Risks Advance Replacement, 1 additional year (per END)</t>
  </si>
  <si>
    <t>AR-E2CNWV5000-WW</t>
  </si>
  <si>
    <t>cnWave V5000 All Risks Advance Replacement, 2 additional years (per END)</t>
  </si>
  <si>
    <t>Cambium Care Support Term</t>
  </si>
  <si>
    <t>cnMaestro X Subscription Term</t>
  </si>
  <si>
    <t>CC Advanced Upgrade (see note -&gt;)</t>
  </si>
  <si>
    <t>3 years</t>
  </si>
  <si>
    <t>1 year</t>
  </si>
  <si>
    <t>Pro Tier 1</t>
  </si>
  <si>
    <t>Pro Tier 2</t>
  </si>
  <si>
    <t>Pro Tier 3</t>
  </si>
  <si>
    <t>Pro Tier 4</t>
  </si>
  <si>
    <t>Pro Tier 5</t>
  </si>
  <si>
    <t>Pro Price Tiers</t>
  </si>
  <si>
    <t>Prime Price Tiers</t>
  </si>
  <si>
    <t>FWB_CCPro</t>
  </si>
  <si>
    <t>FWB_CCPrime</t>
  </si>
  <si>
    <t>Cambium Care Pro (Fixed Wireless Broadband)</t>
  </si>
  <si>
    <t>Cambium Care Prime (Fixed Wireless Broadband)</t>
  </si>
  <si>
    <t>Cambium Care Advanced (Enterprise and cnWave)</t>
  </si>
  <si>
    <t>cnMX_T1_P1_Total</t>
  </si>
  <si>
    <t>cnMX_T2_P1_Total</t>
  </si>
  <si>
    <t>cnMX_T3_P1_Total</t>
  </si>
  <si>
    <t>cnMX_T4_P1_Total</t>
  </si>
  <si>
    <t>cnMX_T5_P1_Total</t>
  </si>
  <si>
    <t>cnMX_T1_P2_Total</t>
  </si>
  <si>
    <t>cnMX_T2_P2_Total</t>
  </si>
  <si>
    <t>cnMX_T3_P2_Total</t>
  </si>
  <si>
    <t>cnMX_T4_P2_Total</t>
  </si>
  <si>
    <t>cnMX_T5_P2_Total</t>
  </si>
  <si>
    <t>cnMX_T1_P3_Total</t>
  </si>
  <si>
    <t>cnMX_T2_P3_Total</t>
  </si>
  <si>
    <t>cnMX_T3_P3_Total</t>
  </si>
  <si>
    <t>cnMX_T4_P3_Total</t>
  </si>
  <si>
    <t>cnMX_T5_P3_Total</t>
  </si>
  <si>
    <t>cnMX_T1_P4_Total</t>
  </si>
  <si>
    <t>cnMX_T2_P4_Total</t>
  </si>
  <si>
    <t>cnMX_T3_P4_Total</t>
  </si>
  <si>
    <t>cnMX_T4_P4_Total</t>
  </si>
  <si>
    <t>cnMX_T5_P4_Total</t>
  </si>
  <si>
    <t>cnMX P4 Totals</t>
  </si>
  <si>
    <t>cnMX P1 Totals</t>
  </si>
  <si>
    <t>cnMX P2 Totals</t>
  </si>
  <si>
    <t>cnMX P3 Totals</t>
  </si>
  <si>
    <t>cnMX Totals</t>
  </si>
  <si>
    <t>N/R</t>
  </si>
  <si>
    <t>Prime Local</t>
  </si>
  <si>
    <t>To set "Add'l Years" default:  Enter =N6 into cell M6 and copy down with "Data Validation Error Alert" turned off.  Turn back on after completion.</t>
  </si>
  <si>
    <t>FWB Pro Local</t>
  </si>
  <si>
    <t>FWB Pro SC</t>
  </si>
  <si>
    <t>Prime SC</t>
  </si>
  <si>
    <t>FWB Local</t>
  </si>
  <si>
    <t>All Risks Adv. Replacement (AR)</t>
  </si>
  <si>
    <t>Extended Warranty (EW)</t>
  </si>
  <si>
    <t>Decline Hardware Support (NoHW)</t>
  </si>
  <si>
    <t>Ent CC Declined (Ent_NoCC)</t>
  </si>
  <si>
    <t>Ent CC Advanced (Ent_CCAdv)</t>
  </si>
  <si>
    <t>Ent CC Pro (Ent_CCPro)</t>
  </si>
  <si>
    <t>FWB CC Declined (FWB_NoCC)</t>
  </si>
  <si>
    <t>FWB CC Prime (FWB_CCPrime)</t>
  </si>
  <si>
    <t>FWB CC Pro (FWB_CCPro)</t>
  </si>
  <si>
    <t>cnMX, No CCAdv, Decline HW (X-NoHW)</t>
  </si>
  <si>
    <t>cnMX, No CCAdv, Extended Wty (X_EW)</t>
  </si>
  <si>
    <t>Enhanced HW Support Option</t>
  </si>
  <si>
    <t>cnMX, No CCAdv, ARAR (X_AR)</t>
  </si>
  <si>
    <t>_NA</t>
  </si>
  <si>
    <t>_Y0</t>
  </si>
  <si>
    <t>_Y5</t>
  </si>
  <si>
    <t>_Y1</t>
  </si>
  <si>
    <t>Enterprise Wi-Fi and Switching</t>
  </si>
  <si>
    <t>Decline FWB Hardware Support</t>
  </si>
  <si>
    <t>cnMX, No CC Adv (X_AdvNo)</t>
  </si>
  <si>
    <t>cnMX Tier</t>
  </si>
  <si>
    <t>cnM X Tier</t>
  </si>
  <si>
    <t>1 add'l year</t>
  </si>
  <si>
    <t>2 add'l years</t>
  </si>
  <si>
    <t>Upgrd Std Wty</t>
  </si>
  <si>
    <t>3 add'l years</t>
  </si>
  <si>
    <t>4 add'l years</t>
  </si>
  <si>
    <t>To set "Add'l Years" default:  Enter =N6 into cell L6 and copy down with "Data Validation Error Alert" turned off.  Turn back on after completion.</t>
  </si>
  <si>
    <t>cnMaestro X Subscriptions</t>
  </si>
  <si>
    <t>Cambium Care Advanced Upgrade for cnMaestro X (Wi-Fi 6, cnPilot, and 60 GHz cnWave)</t>
  </si>
  <si>
    <t>Cambium Care Pro (Enterprise and 60 GHz cnWave)</t>
  </si>
  <si>
    <t>PMP 450, cnRanger, cnWave</t>
  </si>
  <si>
    <t>Entries zeroed out</t>
  </si>
  <si>
    <t>PTP, cnReach</t>
  </si>
  <si>
    <t>Def Check</t>
  </si>
  <si>
    <t>Default check</t>
  </si>
  <si>
    <t>ePMP, cnVision</t>
  </si>
  <si>
    <t>Enterprise Wi-Fi &amp; Switching</t>
  </si>
  <si>
    <t>Service (D5)</t>
  </si>
  <si>
    <t>CCAdv_Upgrade (D9)</t>
  </si>
  <si>
    <t>X_Hardware_Support (D10)</t>
  </si>
  <si>
    <t>Device_Type (D13)</t>
  </si>
  <si>
    <t>Hardware_Support (D16)</t>
  </si>
  <si>
    <t>CC_Type (D14) (Default)</t>
  </si>
  <si>
    <t>Hide Calculations</t>
  </si>
  <si>
    <t>Support Term Default</t>
  </si>
  <si>
    <t>CC_Term_Default (D15)</t>
  </si>
  <si>
    <t>X_AdvNo</t>
  </si>
  <si>
    <t>cnMaestro X Options</t>
  </si>
  <si>
    <t>CC Term Default</t>
  </si>
  <si>
    <t>Default Check</t>
  </si>
  <si>
    <t>To set "Add'l Years" default:  Enter =N6 into cell M6 and copy down 
with "Data Validation Error Alert" turned off.  Turn back on after.</t>
  </si>
  <si>
    <t>Free Tier *</t>
  </si>
  <si>
    <t>then reset Data Validation Error Alert</t>
  </si>
  <si>
    <t>To reset default, enter "=CC_Term_Default" in cell D15,</t>
  </si>
  <si>
    <t>Cambium Care Advanced, 1-year support for one cnPilot e410. 24x7 TAC support, SW updates, and NBDS advance replacement for HW</t>
  </si>
  <si>
    <t>Cambium Care Advanced, 3-year support for one cnPilot e410. 24x7 TAC support, SW updates, and NBDS advance replacement for HW</t>
  </si>
  <si>
    <t>Cambium Care Advanced, 5-year support for one cnPilot e410. 24x7 TAC support, SW updates, and NBDS advance replacement for HW</t>
  </si>
  <si>
    <t>Cambium Care Advanced, 1-year support for one cnPilot e425. 24x7 TAC support, SW updates, and NBDS advance replacement for HW</t>
  </si>
  <si>
    <t>Cambium Care Advanced, 3-year support for one cnPilot e425. 24x7 TAC support, SW updates, and NBDS advance replacement for HW</t>
  </si>
  <si>
    <t>Cambium Care Advanced, 5-year support for one cnPilot e425. 24x7 TAC support, SW updates, and NBDS advance replacement for HW</t>
  </si>
  <si>
    <t>Cambium Care Advanced, 1-year support for one cnPilot e430. 24x7 TAC support, SW updates, and NBDS advance replacement for HW</t>
  </si>
  <si>
    <t>Cambium Care Advanced, 3-year support for one cnPilot e430. 24x7 TAC support, SW updates, and NBDS advance replacement for HW</t>
  </si>
  <si>
    <t>Cambium Care Advanced, 5-year support for one cnPilot e430. 24x7 TAC support, SW updates, and NBDS advance replacement for HW</t>
  </si>
  <si>
    <t>Cambium Care Advanced, 3-year support for one cnPilot e600. 24x7 TAC support, SW updates, and NBDS advance replacement for HW</t>
  </si>
  <si>
    <t>Cambium Care Advanced, 5-year support for one cnPilot e600. 24x7 TAC support, SW updates, and NBDS advance replacement for HW</t>
  </si>
  <si>
    <t>Cambium Care Advanced, 3-year support for one cnPilot e500. 24x7 TAC support, SW updates, and NBDS advance replacement for HW</t>
  </si>
  <si>
    <t>Cambium Care Advanced, 5-year support for one cnPilot e500. 24x7 TAC support, SW updates, and NBDS advance replacement for HW</t>
  </si>
  <si>
    <t>Cambium Care Advanced, 3-year support for one cnPilot e501S. 24x7 TAC support, SW updates, and NBDS advance replacement for HW</t>
  </si>
  <si>
    <t>Cambium Care Advanced, 5-year support for one cnPilot e501S. 24x7 TAC support, SW updates, and NBDS advance replacement for HW</t>
  </si>
  <si>
    <t>Cambium Care Advanced, 3-year support for one cnPilot e502S. 24x7 TAC support, SW updates, and NBDS advance replacement for HW</t>
  </si>
  <si>
    <t>Cambium Care Advanced, 5-year support for one cnPilot e502S. 24x7 TAC support, SW updates, and NBDS advance replacement for HW</t>
  </si>
  <si>
    <t>Cambium Care Advanced, 3-year support for one cnPilot e505. 24x7 TAC support, SW updates, and NBDS advance replacement for HW</t>
  </si>
  <si>
    <t>Cambium Care Advanced, 5-year support for one cnPilot e505. 24x7 TAC support, SW updates, and NBDS advance replacement for HW</t>
  </si>
  <si>
    <t>Cambium Care Advanced, 3-year support for one cnPilot e510. 24x7 TAC support, SW updates, and NBDS advance replacement for HW</t>
  </si>
  <si>
    <t>Cambium Care Advanced, 5-year support for one cnPilot e510. 24x7 TAC support, SW updates, and NBDS advance replacement for HW</t>
  </si>
  <si>
    <t>Cambium Care Advanced, 3-year support for one cnPilot e700. 24x7 TAC support, SW updates, and NBDS advance replacement for HW</t>
  </si>
  <si>
    <t>Cambium Care Advanced, 5-year support for one cnPilot e700. 24x7 TAC support, SW updates, and NBDS advance replacement for HW</t>
  </si>
  <si>
    <t>Cambium Care Advanced, 1-year support for one XV3-8 Wireless AP. 24x7 TAC support, SW updates, and NBDS advance replacement for HW</t>
  </si>
  <si>
    <t>Cambium Care Advanced, 3-year support for one XV3-8 Wireless AP. 24x7 TAC support, SW updates, and NBDS advance replacement for HW</t>
  </si>
  <si>
    <t>Cambium Care Advanced, 5-year support for one XV3-8 Wireless AP. 24x7 TAC support, SW updates, and NBDS advance replacement for HW</t>
  </si>
  <si>
    <t>Cambium Care Advanced, 1-year support for one XV2-2 Wireless AP. 24x7 TAC support, SW updates, and NBDS advance replacement for HW</t>
  </si>
  <si>
    <t>Cambium Care Advanced, 3-year support for one XV2-2 Wireless AP. 24x7 TAC support, SW updates, and NBDS advance replacement for HW</t>
  </si>
  <si>
    <t>Cambium Care Advanced, 5-year support for one XV2-2 Wireless AP. 24x7 TAC support, SW updates, and NBDS advance replacement for HW</t>
  </si>
  <si>
    <t>XV2-2T</t>
  </si>
  <si>
    <t>CCADV-SUP-XV2-2T-1</t>
  </si>
  <si>
    <t>Cambium Care Advanced, 1-year support for one XV2-2T Wireless AP. 24x7 TAC support, SW updates, and NBDS advance replacement for HW</t>
  </si>
  <si>
    <t>CCADV-SUP-XV2-2T-3</t>
  </si>
  <si>
    <t>Cambium Care Advanced, 3-year support for one XV2-2T Wireless AP. 24x7 TAC support, SW updates, and NBDS advance replacement for HW</t>
  </si>
  <si>
    <t>CCADV-SUP-XV2-2T-5</t>
  </si>
  <si>
    <t>Cambium Care Advanced, 5-year support for one XV2-2T Wireless AP. 24x7 TAC support, SW updates, and NBDS advance replacement for HW</t>
  </si>
  <si>
    <t>Cambium Care Advanced, 1-year support renewal for one cnPilot e410. 24x7 TAC support, SW updates, and NBDS advance replacement for HW</t>
  </si>
  <si>
    <t>Cambium Care Advanced, 3-year support renewal for one cnPilot e410. 24x7 TAC support, SW updates, and NBDS advance replacement for HW</t>
  </si>
  <si>
    <t>Cambium Care Advanced, 5-year support renewal for one cnPilot e410. 24x7 TAC support, SW updates, and NBDS advance replacement for HW</t>
  </si>
  <si>
    <t>Cambium Care Advanced, 1-year support renewal for one cnPilot e425. 24x7 TAC support, SW updates, and NBDS advance replacement for HW</t>
  </si>
  <si>
    <t>Cambium Care Advanced, 3-year support renewal for one cnPilot e425. 24x7 TAC support, SW updates, and NBDS advance replacement for HW</t>
  </si>
  <si>
    <t>Cambium Care Advanced, 5-year support renewal for one cnPilot e425. 24x7 TAC support, SW updates, and NBDS advance replacement for HW</t>
  </si>
  <si>
    <t>Cambium Care Advanced, 1-year support renewal for one cnPilot e430. 24x7 TAC support, SW updates, and NBDS advance replacement for HW</t>
  </si>
  <si>
    <t>Cambium Care Advanced, 3-year support renewal for one cnPilot e430. 24x7 TAC support, SW updates, and NBDS advance replacement for HW</t>
  </si>
  <si>
    <t>Cambium Care Advanced, 5-year support renewal for one cnPilot e430. 24x7 TAC support, SW updates, and NBDS advance replacement for HW</t>
  </si>
  <si>
    <t>Cambium Care Advanced, 3-year support renewal for one cnPilot e600. 24x7 TAC support, SW updates, and NBDS advance replacement for HW</t>
  </si>
  <si>
    <t>Cambium Care Advanced, 5-year support renewal for one cnPilot e600. 24x7 TAC support, SW updates, and NBDS advance replacement for HW</t>
  </si>
  <si>
    <t>Cambium Care Advanced, 3-year support renewal for one cnPilot e500. 24x7 TAC support, SW updates, and NBDS advance replacement for HW</t>
  </si>
  <si>
    <t>Cambium Care Advanced, 5-year support renewal for one cnPilot e500. 24x7 TAC support, SW updates, and NBDS advance replacement for HW</t>
  </si>
  <si>
    <t>Cambium Care Advanced, 3-year support renewal for one cnPilot e501S. 24x7 TAC support, SW updates, and NBDS advance replacement for HW</t>
  </si>
  <si>
    <t>Cambium Care Advanced, 5-year support renewal for one cnPilot e501S. 24x7 TAC support, SW updates, and NBDS advance replacement for HW</t>
  </si>
  <si>
    <t>Cambium Care Advanced, 3-year support renewal for one cnPilot e502S. 24x7 TAC support, SW updates, and NBDS advance replacement for HW</t>
  </si>
  <si>
    <t>Cambium Care Advanced, 5-year support renewal for one cnPilot e502S. 24x7 TAC support, SW updates, and NBDS advance replacement for HW</t>
  </si>
  <si>
    <t>Cambium Care Advanced, 3-year support renewal for one cnPilot e505. 24x7 TAC support, SW updates, and NBDS advance replacement for HW</t>
  </si>
  <si>
    <t>Cambium Care Advanced, 5-year support renewal for one cnPilot e505. 24x7 TAC support, SW updates, and NBDS advance replacement for HW</t>
  </si>
  <si>
    <t>Cambium Care Advanced, 3-year support renewal for one cnPilot e510. 24x7 TAC support, SW updates, and NBDS advance replacement for HW</t>
  </si>
  <si>
    <t>Cambium Care Advanced, 5-year support renewal for one cnPilot e510. 24x7 TAC support, SW updates, and NBDS advance replacement for HW</t>
  </si>
  <si>
    <t>Cambium Care Advanced, 3-year support renewal for one cnPilot e700. 24x7 TAC support, SW updates, and NBDS advance replacement for HW</t>
  </si>
  <si>
    <t>Cambium Care Advanced, 5-year support renewal for one cnPilot e700. 24x7 TAC support, SW updates, and NBDS advance replacement for HW</t>
  </si>
  <si>
    <t>Cambium Care Advanced, 3-year support renewal for one XV3-8. 24x7 TAC support, SW updates, and NBDS advance replacement for HW</t>
  </si>
  <si>
    <t>Cambium Care Advanced, 5-year support renewal for one XV3-8. 24x7 TAC support, SW updates, and NBDS advance replacement for HW</t>
  </si>
  <si>
    <t>Cambium Care Advanced, 3-year support renewal for one XV2-2. 24x7 TAC support, SW updates, and NBDS advance replacement for HW</t>
  </si>
  <si>
    <t>Cambium Care Advanced, 5-year support renewal for one XV2-2. 24x7 TAC support, SW updates, and NBDS advance replacement for HW</t>
  </si>
  <si>
    <t>CCADV-RNW-XV2-2T-1</t>
  </si>
  <si>
    <t>Cambium Care Advanced, 1-year support renewal for one XV2-2T. 24x7 TAC support, SW updates, and NBDS advance replacement for HW</t>
  </si>
  <si>
    <t>CCADV-RNW-XV2-2T-3</t>
  </si>
  <si>
    <t>Cambium Care Advanced, 3-year support renewal for one XV2-2T. 24x7 TAC support, SW updates, and NBDS advance replacement for HW</t>
  </si>
  <si>
    <t>CCADV-RNW-XV2-2T-5</t>
  </si>
  <si>
    <t>Cambium Care Advanced, 5-year support renewal for one XV2-2T. 24x7 TAC support, SW updates, and NBDS advance replacement for HW</t>
  </si>
  <si>
    <t>Cambium Care Advanced Add-on to cnMaestro X, 1-year support for one cnPilot e410. 24x7 TAC support, SW updates, and NBDS advance replacement for HW</t>
  </si>
  <si>
    <t>Cambium Care Advanced Add-on to cnMaestro X, 3-year support for one cnPilot e410. 24x7 TAC support, SW updates, and NBDS advance replacement for HW</t>
  </si>
  <si>
    <t>Cambium Care Advanced Add-on to cnMaestro X, 5-year support for one cnPilot e410. 24x7 TAC support, SW updates, and NBDS advance replacement for HW</t>
  </si>
  <si>
    <t>Cambium Care Advanced  Add-on to cnMaestro X, 1-year support for one cnPilot e425. 24x7 TAC support, SW updates, and NBDS advance replacement for HW</t>
  </si>
  <si>
    <t>Cambium Care Advanced Add-on to cnMaestro X, 3-year support for one cnPilot e425. 24x7 TAC support, SW updates, and NBDS advance replacement for HW</t>
  </si>
  <si>
    <t>Cambium Care Advanced Add-on to cnMaestro X, 5-year support for one cnPilot e425. 24x7 TAC support, SW updates, and NBDS advance replacement for HW</t>
  </si>
  <si>
    <t>Cambium Care Advanced Add-on to cnMaestro X, 1-year support for one cnPilot e430. 24x7 TAC support, SW updates, and NBDS advance replacement for HW</t>
  </si>
  <si>
    <t>Cambium Care Advanced Add-on to cnMaestro X, 3-year support for one cnPilot e430. 24x7 TAC support, SW updates, and NBDS advance replacement for HW</t>
  </si>
  <si>
    <t>Cambium Care Advanced Add-on to cnMaestro X, 5-year support for one cnPilot e430. 24x7 TAC support, SW updates, and NBDS advance replacement for HW</t>
  </si>
  <si>
    <t>Cambium Care Advanced Add-on to cnMaestro X, 1-year support for one cnPilot e600. 24x7 TAC support, SW updates, and NBDS advance replacement for HW</t>
  </si>
  <si>
    <t>Cambium Care Advanced Add-on to cnMaestro X, 3-year support for one cnPilot e600. 24x7 TAC support, SW updates, and NBDS advance replacement for HW</t>
  </si>
  <si>
    <t>Cambium Care Advanced Add-on to cnMaestro X, 5-year support for one cnPilot e600. 24x7 TAC support, SW updates, and NBDS advance replacement for HW</t>
  </si>
  <si>
    <t>Cambium Care Advanced Add-on to cnMaestro X, 1-year support for one cnPilot e500. 24x7 TAC support, SW updates, and NBDS advance replacement for HW</t>
  </si>
  <si>
    <t>Cambium Care Advanced Add-on to cnMaestro X, 3-year support for one cnPilot e500. 24x7 TAC support, SW updates, and NBDS advance replacement for HW</t>
  </si>
  <si>
    <t>Cambium Care Advanced Add-on to cnMaestro X, 5-year support for one cnPilot e500. 24x7 TAC support, SW updates, and NBDS advance replacement for HW</t>
  </si>
  <si>
    <t>Cambium Care Advanced Add-on to cnMaestro X, 1-year support for one cnPilot e501S. 24x7 TAC support, SW updates, and NBDS advance replacement for HW</t>
  </si>
  <si>
    <t>Cambium Care Advanced Add-on to cnMaestro X, 3-year support for one cnPilot e501S. 24x7 TAC support, SW updates, and NBDS advance replacement for HW</t>
  </si>
  <si>
    <t>Cambium Care Advanced Add-on to cnMaestro X, 5-year support for one cnPilot e501S. 24x7 TAC support, SW updates, and NBDS advance replacement for HW</t>
  </si>
  <si>
    <t>Cambium Care Advanced Add-on to cnMaestro X, 1-year support for one cnPilot e502S. 24x7 TAC support, SW updates, and NBDS advance replacement for HW</t>
  </si>
  <si>
    <t>Cambium Care Advanced Add-on to cnMaestro X, 3-year support for one cnPilot e502S. 24x7 TAC support, SW updates, and NBDS advance replacement for HW</t>
  </si>
  <si>
    <t>Cambium Care Advanced Add-on to cnMaestro X, 5-year support for one cnPilot e502S. 24x7 TAC support, SW updates, and NBDS advance replacement for HW</t>
  </si>
  <si>
    <t>Cambium Care Advanced Add-on to cnMaestro X, 1-year support for one cnPilot e505. 24x7 TAC support, SW updates, and NBDS advance replacement for HW</t>
  </si>
  <si>
    <t>Cambium Care Advanced Add-on to cnMaestro X, 3-year support for one cnPilot e505. 24x7 TAC support, SW updates, and NBDS advance replacement for HW</t>
  </si>
  <si>
    <t>Cambium Care Advanced Add-on to cnMaestro X, 5-year support for one cnPilot e505. 24x7 TAC support, SW updates, and NBDS advance replacement for HW</t>
  </si>
  <si>
    <t>Cambium Care Advanced Add-on to cnMaestro X, 1-year support for one cnPilot e510. 24x7 TAC support, SW updates, and NBDS advance replacement for HW</t>
  </si>
  <si>
    <t>Cambium Care Advanced Add-on to cnMaestro X, 3-year support for one cnPilot e510. 24x7 TAC support, SW updates, and NBDS advance replacement for HW</t>
  </si>
  <si>
    <t>Cambium Care Advanced Add-on to cnMaestro X, 5-year support for one cnPilot e510. 24x7 TAC support, SW updates, and NBDS advance replacement for HW</t>
  </si>
  <si>
    <t>Cambium Care Advanced Add-on to cnMaestro X, 1-year support for one cnPilot e700. 24x7 TAC support, SW updates, and NBDS advance replacement for HW</t>
  </si>
  <si>
    <t>Cambium Care Advanced Add-on to cnMaestro X, 3-year support for one cnPilot e700. 24x7 TAC support, SW updates, and NBDS advance replacement for HW</t>
  </si>
  <si>
    <t>Cambium Care Advanced Add-on to cnMaestro X, 5-year support for one cnPilot e700. 24x7 TAC support, SW updates, and NBDS advance replacement for HW</t>
  </si>
  <si>
    <t>Cambium Care Advanced Add-on to cnMaestro X, 1-year support for one XV3-8. 24x7 TAC support, SW updates, and NBDS advance replacement for HW</t>
  </si>
  <si>
    <t>Cambium Care Advanced Add-on to cnMaestro X, 3-year support for one XV3-8. 24x7 TAC support, SW updates, and NBDS advance replacement for HW</t>
  </si>
  <si>
    <t>Cambium Care Advanced Add-on to cnMaestro X, 5-year support for one XV3-8. 24x7 TAC support, SW updates, and NBDS advance replacement for HW</t>
  </si>
  <si>
    <t>Cambium Care Advanced Add-on to cnMaestro X, 1-year support for one XV2-2. 24x7 TAC support, SW updates, and NBDS advance replacement for HW</t>
  </si>
  <si>
    <t>Cambium Care Advanced Add-on to cnMaestro X, 3-year support for one XV2-2. 24x7 TAC support, SW updates, and NBDS advance replacement for HW</t>
  </si>
  <si>
    <t>Cambium Care Advanced Add-on to cnMaestro X, 5-year support for one XV2-2. 24x7 TAC support, SW updates, and NBDS advance replacement for HW</t>
  </si>
  <si>
    <t>CCADV-UPG-XV2-2T-1</t>
  </si>
  <si>
    <t>Cambium Care Advanced Add-on to cnMaestro X, 1-year support for one XV2-2T. 24x7 TAC support, SW updates, and NBDS advance replacement for HW</t>
  </si>
  <si>
    <t>CCADV-UPG-XV2-2T-3</t>
  </si>
  <si>
    <t>Cambium Care Advanced Add-on to cnMaestro X, 3-year support for one XV2-2T. 24x7 TAC support, SW updates, and NBDS advance replacement for HW</t>
  </si>
  <si>
    <t>CCADV-UPG-XV2-2T-5</t>
  </si>
  <si>
    <t>Cambium Care Advanced Add-on to cnMaestro X, 5-year support for one XV2-2T. 24x7 TAC support, SW updates, and NBDS advance replacement for HW</t>
  </si>
  <si>
    <t>CCPRO-SUP-XV2-2T-1</t>
  </si>
  <si>
    <t>Cambium Care Pro, 1-year support for one XV2-2T.  24x7 TAC support, SW updates</t>
  </si>
  <si>
    <t>CCPRO-SUP-XV2-2T-3</t>
  </si>
  <si>
    <t>Cambium Care Pro, 3-year support for one XV2-2T.  24x7 TAC support, SW updates</t>
  </si>
  <si>
    <t>CCPRO-SUP-XV2-2T-5</t>
  </si>
  <si>
    <t>Cambium Care Pro, 5-year support for one XV2-2T.  24x7 TAC support, SW updates</t>
  </si>
  <si>
    <t>CCPRO-RNW-XV2-2T-1</t>
  </si>
  <si>
    <t>Cambium Care Pro, 1-year support renewal for one XV2-2T.  24x7 TAC support, SW updates</t>
  </si>
  <si>
    <t>CCPRO-RNW-XV2-2T-3</t>
  </si>
  <si>
    <t>Cambium Care Pro, 3-year support renewal for one XV2-2T.  24x7 TAC support, SW updates</t>
  </si>
  <si>
    <t>CCPRO-RNW-XV2-2T-5</t>
  </si>
  <si>
    <t>Cambium Care Pro, 5-year support renewal for one XV2-2T.  24x7 TAC support, SW updates</t>
  </si>
  <si>
    <t>Cambium Care Advanced, 1-year support for one EX2010.  24x7 TAC support, SW updates, and NBDS advance replacement for HW</t>
  </si>
  <si>
    <t>Cambium Care Advanced, 3-year support for one EX2010.  24x7 TAC support, SW updates, and NBDS advance replacement for HW</t>
  </si>
  <si>
    <t>Cambium Care Advanced, 5-year support for one EX2010.  24x7 TAC support, SW updates, and NBDS advance replacement for HW</t>
  </si>
  <si>
    <t>Cambium Care Advanced, 1-year support for one EX2010-P.  24x7 TAC support, SW updates, and NBDS advance replacement for HW</t>
  </si>
  <si>
    <t>Cambium Care Advanced, 3-year support for one EX2010-P.  24x7 TAC support, SW updates, and NBDS advance replacement for HW</t>
  </si>
  <si>
    <t>Cambium Care Advanced, 5-year support for one EX2010-P.  24x7 TAC support, SW updates, and NBDS advance replacement for HW</t>
  </si>
  <si>
    <t>Cambium Care Advanced, 1-year support for one EX2016M-P.  24x7 TAC support, SW updates, and NBDS advance replacement for HW</t>
  </si>
  <si>
    <t>Cambium Care Advanced, 3-year support for one EX2016M-P.  24x7 TAC support, SW updates, and NBDS advance replacement for HW</t>
  </si>
  <si>
    <t>Cambium Care Advanced, 5-year support for one EX2016M-P.  24x7 TAC support, SW updates, and NBDS advance replacement for HW</t>
  </si>
  <si>
    <t>Cambium Care Advanced, 1-year support for one EX1010.  24x7 TAC support, SW updates, and NBDS advance replacement for HW</t>
  </si>
  <si>
    <t>Cambium Care Advanced, 3-year support for one EX1010.  24x7 TAC support, SW updates, and NBDS advance replacement for HW</t>
  </si>
  <si>
    <t>Cambium Care Advanced, 5-year support for one EX1010.  24x7 TAC support, SW updates, and NBDS advance replacement for HW</t>
  </si>
  <si>
    <t>Cambium Care Advanced, 1-year support for one EX1010-P.  24x7 TAC support, SW updates, and NBDS advance replacement for HW</t>
  </si>
  <si>
    <t>Cambium Care Advanced, 3-year support for one EX1010-P.  24x7 TAC support, SW updates, and NBDS advance replacement for HW</t>
  </si>
  <si>
    <t>Cambium Care Advanced, 5-year support for one EX1010-P.  24x7 TAC support, SW updates, and NBDS advance replacement for HW</t>
  </si>
  <si>
    <t>Cambium Care Advanced, 1-year support for one EX1028.  24x7 TAC support, SW updates, and NBDS advance replacement for HW</t>
  </si>
  <si>
    <t>Cambium Care Advanced, 3-year support for one EX1028.  24x7 TAC support, SW updates, and NBDS advance replacement for HW</t>
  </si>
  <si>
    <t>Cambium Care Advanced, 5-year support for one EX1028.  24x7 TAC support, SW updates, and NBDS advance replacement for HW</t>
  </si>
  <si>
    <t>Cambium Care Advanced, 1-year support for one EX1028-P.  24x7 TAC support, SW updates, and NBDS advance replacement for HW</t>
  </si>
  <si>
    <t>Cambium Care Advanced, 3-year support for one EX1028-P.  24x7 TAC support, SW updates, and NBDS advance replacement for HW</t>
  </si>
  <si>
    <t>Cambium Care Advanced, 5-year support for one EX1028-P.  24x7 TAC support, SW updates, and NBDS advance replacement for HW</t>
  </si>
  <si>
    <t>Cambium Care Advanced, 1-year support for one EX2028.  24x7 TAC support, SW updates, and NBDS advance replacement for HW</t>
  </si>
  <si>
    <t>Cambium Care Advanced, 3-year support for one EX2028.  24x7 TAC support, SW updates, and NBDS advance replacement for HW</t>
  </si>
  <si>
    <t>Cambium Care Advanced, 5-year support for one EX2028.  24x7 TAC support, SW updates, and NBDS advance replacement for HW</t>
  </si>
  <si>
    <t>Cambium Care Advanced, 1-year support for one EX2028-P.  24x7 TAC support, SW updates, and NBDS advance replacement for HW</t>
  </si>
  <si>
    <t>Cambium Care Advanced, 3-year support for one EX2028-P.  24x7 TAC support, SW updates, and NBDS advance replacement for HW</t>
  </si>
  <si>
    <t>Cambium Care Advanced, 5-year support for one EX2028-P.  24x7 TAC support, SW updates, and NBDS advance replacement for HW</t>
  </si>
  <si>
    <t>Cambium Care Advanced, 1-year support for one EX2052.  24x7 TAC support, SW updates, and NBDS advance replacement for HW</t>
  </si>
  <si>
    <t>Cambium Care Advanced, 3-year support for one EX2052.  24x7 TAC support, SW updates, and NBDS advance replacement for HW</t>
  </si>
  <si>
    <t>Cambium Care Advanced, 5-year support for one EX2052.  24x7 TAC support, SW updates, and NBDS advance replacement for HW</t>
  </si>
  <si>
    <t>Cambium Care Advanced, 1-year support for one EX2052-P.  24x7 TAC support, SW updates, and NBDS advance replacement for HW</t>
  </si>
  <si>
    <t>Cambium Care Advanced, 3-year support for one EX2052-P.  24x7 TAC support, SW updates, and NBDS advance replacement for HW</t>
  </si>
  <si>
    <t>Cambium Care Advanced, 5-year support for one EX2052-P.  24x7 TAC support, SW updates, and NBDS advance replacement for HW</t>
  </si>
  <si>
    <t>Cambium Care Advanced, 1-year support for one EX2052R-P.  24x7 TAC support, SW updates, and NBDS advance replacement for HW</t>
  </si>
  <si>
    <t>Cambium Care Advanced, 3-year support for one EX2052R-P.  24x7 TAC support, SW updates, and NBDS advance replacement for HW</t>
  </si>
  <si>
    <t>Cambium Care Advanced, 5-year support for one EX2052R-P.  24x7 TAC support, SW updates, and NBDS advance replacement for HW</t>
  </si>
  <si>
    <t>TX2012R-P</t>
  </si>
  <si>
    <t>CCADV-SUP-TX2012R-P-1</t>
  </si>
  <si>
    <t>Cambium Care Advanced, 1-year support for one TX2012R-P.  24x7 TAC support, SW updates, and NBDS advance replacement for HW</t>
  </si>
  <si>
    <t>CCADV-SUP-TX2012R-P-3</t>
  </si>
  <si>
    <t>Cambium Care Advanced, 3-year support for one TX2012R-P.  24x7 TAC support, SW updates, and NBDS advance replacement for HW</t>
  </si>
  <si>
    <t>CCADV-SUP-TX2012R-P-5</t>
  </si>
  <si>
    <t>Cambium Care Advanced, 5-year support for one TX2012R-P.  24x7 TAC support, SW updates, and NBDS advance replacement for HW</t>
  </si>
  <si>
    <t>TX2020R-P</t>
  </si>
  <si>
    <t>CCADV-SUP-TX2020R-P-1</t>
  </si>
  <si>
    <t>Cambium Care Advanced, 1-year support for one TX2020R-P.  24x7 TAC support, SW updates, and NBDS advance replacement for HW</t>
  </si>
  <si>
    <t>CCADV-SUP-TX2020R-P-3</t>
  </si>
  <si>
    <t>Cambium Care Advanced, 3-year support for one TX2020R-P.  24x7 TAC support, SW updates, and NBDS advance replacement for HW</t>
  </si>
  <si>
    <t>CCADV-SUP-TX2020R-P-5</t>
  </si>
  <si>
    <t>Cambium Care Advanced, 5-year support for one TX2020R-P.  24x7 TAC support, SW updates, and NBDS advance replacement for HW</t>
  </si>
  <si>
    <t>TX2028RF-P</t>
  </si>
  <si>
    <t>CCADV-SUP-TX2028RF-P-1</t>
  </si>
  <si>
    <t>Cambium Care Advanced, 1-year support for one TX2028RF-P.  24x7 TAC support, SW updates, and NBDS advance replacement for HW</t>
  </si>
  <si>
    <t>CCADV-SUP-TX2028RF-P-3</t>
  </si>
  <si>
    <t>Cambium Care Advanced, 3-year support for one TX2028RF-P.  24x7 TAC support, SW updates, and NBDS advance replacement for HW</t>
  </si>
  <si>
    <t>CCADV-SUP-TX2028RF-P-5</t>
  </si>
  <si>
    <t>Cambium Care Advanced, 5-year support for one TX2028RF-P.  24x7 TAC support, SW updates, and NBDS advance replacement for HW</t>
  </si>
  <si>
    <t>CCPRO-SUP-TX2012R-P-1</t>
  </si>
  <si>
    <t>Cambium Care Pro, 1-year support for one TX2012R-P.  24x7 TAC support, SW updates</t>
  </si>
  <si>
    <t>CCPRO-SUP-TX2012R-P-3</t>
  </si>
  <si>
    <t>Cambium Care Pro, 3-year support for one TX2012R-P.  24x7 TAC support, SW updates</t>
  </si>
  <si>
    <t>CCPRO-SUP-TX2012R-P-5</t>
  </si>
  <si>
    <t>Cambium Care Pro, 5-year support for one TX2012R-P.  24x7 TAC support, SW updates</t>
  </si>
  <si>
    <t>CCPRO-SUP-TX2020R-P-1</t>
  </si>
  <si>
    <t>Cambium Care Pro, 1-year support for one TX2020R-P.  24x7 TAC support, SW updates</t>
  </si>
  <si>
    <t>CCPRO-SUP-TX2020R-P-3</t>
  </si>
  <si>
    <t>Cambium Care Pro, 3-year support for one TX2020R-P.  24x7 TAC support, SW updates</t>
  </si>
  <si>
    <t>CCPRO-SUP-TX2020R-P-5</t>
  </si>
  <si>
    <t>Cambium Care Pro, 5-year support for one TX2020R-P.  24x7 TAC support, SW updates</t>
  </si>
  <si>
    <t>CCPRO-SUP-TX2028RF-P-1</t>
  </si>
  <si>
    <t>Cambium Care Pro, 1-year support for one TX2028RF-P.  24x7 TAC support, SW updates</t>
  </si>
  <si>
    <t>CCPRO-SUP-TX2028RF-P-3</t>
  </si>
  <si>
    <t>Cambium Care Pro, 3-year support for one TX2028RF-P.  24x7 TAC support, SW updates</t>
  </si>
  <si>
    <t>CCPRO-SUP-TX2028RF-P-5</t>
  </si>
  <si>
    <t>Cambium Care Pro, 5-year support for one TX2028RF-P.  24x7 TAC support, SW updates</t>
  </si>
  <si>
    <t>Cambium Care Advanced Add-on to cnMaestro X, 1-year support for one V5000. 24x7 TAC support, SW updates, and NBDS advance replacement for HW</t>
  </si>
  <si>
    <t>Cambium Care Advanced Add-on to cnMaestro X, 3-year support for one V5000.  24x7 TAC support, SW updates, and NBDS advance replacement for HW</t>
  </si>
  <si>
    <t>Cambium Care Advanced Add-on to cnMaestro X, 5-year support for one V5000.  24x7 TAC support, SW updates, and NBDS advance replacement for HW</t>
  </si>
  <si>
    <t>Cambium Care Advanced Add-on to cnMaestro X, 1-year support for one V3000. 24x7 TAC support, SW updates, and NBDS advance replacement for HW</t>
  </si>
  <si>
    <t>Cambium Care Advanced Add-on to cnMaestro X, 3-year support for one V3000.  24x7 TAC support, SW updates, and NBDS advance replacement for HW</t>
  </si>
  <si>
    <t>Cambium Care Advanced Add-on to cnMaestro X, 5-year support for one V3000.  24x7 TAC support, SW updates, and NBDS advance replacement for HW</t>
  </si>
  <si>
    <t>Cambium Care Advanced Add-on to cnMaestro X, 1-year support for one V1000. 24x7 TAC support, SW updates, and NBDS advance replacement for HW</t>
  </si>
  <si>
    <t>Cambium Care Advanced Add-on to cnMaestro X, 3-year support for one V1000.  24x7 TAC support, SW updates, and NBDS advance replacement for HW</t>
  </si>
  <si>
    <t>Cambium Care Advanced Add-on to cnMaestro X, 5-year support for one V1000.  24x7 TAC support, SW updates, and NBDS advance replacement for HW</t>
  </si>
  <si>
    <t>cnMaestro X, Standalone Support, or XMS</t>
  </si>
  <si>
    <t>ePMP Access Points</t>
  </si>
  <si>
    <t>ePMP Force SMs/PTP</t>
  </si>
  <si>
    <t>ePMP 3000L</t>
  </si>
  <si>
    <t>Service Category</t>
  </si>
  <si>
    <t>Price Tier</t>
  </si>
  <si>
    <t>Lower</t>
  </si>
  <si>
    <t>Upper</t>
  </si>
  <si>
    <t>Unit
Price</t>
  </si>
  <si>
    <t>Product Line</t>
  </si>
  <si>
    <t>Category 10</t>
  </si>
  <si>
    <t>Tier 1</t>
  </si>
  <si>
    <t>Tier 2</t>
  </si>
  <si>
    <t>Tier 3</t>
  </si>
  <si>
    <t>CC-PRO10T3-WW</t>
  </si>
  <si>
    <t>Tier 4</t>
  </si>
  <si>
    <t>Tier 5</t>
  </si>
  <si>
    <t>Category 20</t>
  </si>
  <si>
    <t>Category 30</t>
  </si>
  <si>
    <t>ePMP Force 300-XX</t>
  </si>
  <si>
    <t>Category 40</t>
  </si>
  <si>
    <t>ePMP 2000 AP</t>
  </si>
  <si>
    <t>ePMP 3000 AP</t>
  </si>
  <si>
    <t>Category 50</t>
  </si>
  <si>
    <t>Category 60</t>
  </si>
  <si>
    <t>Cambium Care Pro pricing is based on infrastructure device count only</t>
  </si>
  <si>
    <t>CLIENT MICRO</t>
  </si>
  <si>
    <t>CLIENT MINI</t>
  </si>
  <si>
    <t>HUB FLEXr</t>
  </si>
  <si>
    <t>ePMP 3000L AP</t>
  </si>
  <si>
    <t>HUB 360r</t>
  </si>
  <si>
    <t>cnMatrix TX2012R-P</t>
  </si>
  <si>
    <t>cnMatrix TX2020R-P</t>
  </si>
  <si>
    <t>cnMatrix TX2028RF-P</t>
  </si>
  <si>
    <t>Unit  
Price</t>
  </si>
  <si>
    <t>Category 15</t>
  </si>
  <si>
    <t>Category 25</t>
  </si>
  <si>
    <t>Cambium Care Prime pricing is based on infrastructure device count only</t>
  </si>
  <si>
    <t>Cambium Care Pro (FWB) Mapping Tables</t>
  </si>
  <si>
    <t>Cambium Care Prime Mapping Tables</t>
  </si>
  <si>
    <t>CLIENT MAXr</t>
  </si>
  <si>
    <t>Pricing Group</t>
  </si>
  <si>
    <t>CLIENT MAXrp</t>
  </si>
  <si>
    <t>Set default -&gt;</t>
  </si>
  <si>
    <t>All Page Total</t>
  </si>
  <si>
    <t>Model Name
Reference</t>
  </si>
  <si>
    <t>Device Type (FWB, Enterprise &amp; cnWave)</t>
  </si>
  <si>
    <t>cnPilot E5XX Extended Warranty, 1 Additional Year</t>
  </si>
  <si>
    <t>cnPilot E5XX Extended Warranty, 2 Additional Years</t>
  </si>
  <si>
    <t>PMP 450 900 MHz AP</t>
  </si>
  <si>
    <t>PMP 450b Mid-Gain SM</t>
  </si>
  <si>
    <t>450b Retro SM</t>
  </si>
  <si>
    <t>PMP 450b High-Gain SM</t>
  </si>
  <si>
    <t>_Y4EW</t>
  </si>
  <si>
    <t>_Y4AR</t>
  </si>
  <si>
    <t>Not Available</t>
  </si>
  <si>
    <t>_Y2EW</t>
  </si>
  <si>
    <t>_Y2AR</t>
  </si>
  <si>
    <t>XV5-8</t>
  </si>
  <si>
    <t>CCADV-SUP-XV5-8-1</t>
  </si>
  <si>
    <t>Cambium Care Advanced, 1-year support for one XV5-8 Wireless AP. 24x7 TAC support, SW updates, and NBDS advance replacement for HW</t>
  </si>
  <si>
    <t>CCADV-SUP-XV5-8-3</t>
  </si>
  <si>
    <t>Cambium Care Advanced, 3-year support for one XV5-8 Wireless AP. 24x7 TAC support, SW updates, and NBDS advance replacement for HW</t>
  </si>
  <si>
    <t>CCADV-SUP-XV5-8-5</t>
  </si>
  <si>
    <t>Cambium Care Advanced, 5-year support for one XV5-8 Wireless AP. 24x7 TAC support, SW updates, and NBDS advance replacement for HW</t>
  </si>
  <si>
    <t>CCADV-RNW-XV5-8-1</t>
  </si>
  <si>
    <t>Cambium Care Advanced, 1-year support renewal for one XV5-8. 24x7 TAC support, SW updates, and NBDS advance replacement for HW</t>
  </si>
  <si>
    <t>CCADV-RNW-XV5-8-3</t>
  </si>
  <si>
    <t>Cambium Care Advanced, 3-year support renewal for one XV5-8. 24x7 TAC support, SW updates, and NBDS advance replacement for HW</t>
  </si>
  <si>
    <t>CCADV-RNW-XV5-8-5</t>
  </si>
  <si>
    <t>Cambium Care Advanced, 5-year support renewal for one XV5-8. 24x7 TAC support, SW updates, and NBDS advance replacement for HW</t>
  </si>
  <si>
    <t>Cambium Care Advanced Add-on to cnMaestro X, 1-year support for one XV5-8. 24x7 TAC support, SW updates, and NBDS advance replacement for HW</t>
  </si>
  <si>
    <t>Cambium Care Advanced Add-on to cnMaestro X, 3-year support for one XV5-8. 24x7 TAC support, SW updates, and NBDS advance replacement for HW</t>
  </si>
  <si>
    <t>Cambium Care Advanced Add-on to cnMaestro X, 5-year support for one XV5-8. 24x7 TAC support, SW updates, and NBDS advance replacement for HW</t>
  </si>
  <si>
    <t>CCPRO-SUP-XV5-8-1</t>
  </si>
  <si>
    <t>Cambium Care Pro, 1-year support for one XV5-8.  24x7 TAC support, SW updates</t>
  </si>
  <si>
    <t>CCPRO-SUP-XV5-8-3</t>
  </si>
  <si>
    <t>Cambium Care Pro, 3-year support for one XV5-8.  24x7 TAC support, SW updates</t>
  </si>
  <si>
    <t>CCPRO-SUP-XV5-8-5</t>
  </si>
  <si>
    <t>Cambium Care Pro, 5-year support for one XV5-8.  24x7 TAC support, SW updates</t>
  </si>
  <si>
    <t>CCPRO-RNW-XV5-8-1</t>
  </si>
  <si>
    <t>Cambium Care Pro, 1-year support renewal for one XV5-8.  24x7 TAC support, SW updates</t>
  </si>
  <si>
    <t>CCPRO-RNW-XV5-8-3</t>
  </si>
  <si>
    <t>Cambium Care Pro, 3-year support renewal for one XV5-8.  24x7 TAC support, SW updates</t>
  </si>
  <si>
    <t>CCPRO-RNW-XV5-8-5</t>
  </si>
  <si>
    <t>Cambium Care Pro, 5-year support renewal for one XV5-8.  24x7 TAC support, SW updates</t>
  </si>
  <si>
    <t>CCADV-RNW-EX2010-1</t>
  </si>
  <si>
    <t>Cambium Care Advanced, 1-year support renewal for one EX2010. 24x7 TAC support, SW updates, and NBDS advance replacement for HW</t>
  </si>
  <si>
    <t>CCADV-RNW-EX2010-3</t>
  </si>
  <si>
    <t>Cambium Care Advanced, 3-year support renewal for one EX2010.  24x7 TAC support, SW updates, and NBDS advance replacement for HW</t>
  </si>
  <si>
    <t>CCADV-RNW-EX2010-5</t>
  </si>
  <si>
    <t>Cambium Care Advanced, 5-year support renewal for one EX2010.  24x7 TAC support, SW updates, and NBDS advance replacement for HW</t>
  </si>
  <si>
    <t>CCADV-RNW-EX2010-P-1</t>
  </si>
  <si>
    <t>Cambium Care Advanced, 1-year support renewal for one EX2010-P. 24x7 TAC support, SW updates, and NBDS advance replacement for HW</t>
  </si>
  <si>
    <t>CCADV-RNW-EX2010-P-3</t>
  </si>
  <si>
    <t>Cambium Care Advanced, 3-year support renewal for one EX2010-P.  24x7 TAC support, SW updates, and NBDS advance replacement for HW</t>
  </si>
  <si>
    <t>CCADV-RNW-EX2010-P-5</t>
  </si>
  <si>
    <t>Cambium Care Advanced, 5-year support renewal for one EX2010-P.  24x7 TAC support, SW updates, and NBDS advance replacement for HW</t>
  </si>
  <si>
    <t>CCADV-RNW-EX2016M-P-1</t>
  </si>
  <si>
    <t>Cambium Care Advanced, 1-year support renewal for one EX2016M-P. 24x7 TAC support, SW updates, and NBDS advance replacement for HW</t>
  </si>
  <si>
    <t>CCADV-RNW-EX2016M-P-3</t>
  </si>
  <si>
    <t>Cambium Care Advanced, 3-year support renewal for one EX2016M-P.  24x7 TAC support, SW updates, and NBDS advance replacement for HW</t>
  </si>
  <si>
    <t>CCADV-RNW-EX2016M-P-5</t>
  </si>
  <si>
    <t>Cambium Care Advanced, 5-year support renewal for one EX2016M-P.  24x7 TAC support, SW updates, and NBDS advance replacement for HW</t>
  </si>
  <si>
    <t>CCADV-RNW-EX1010-1</t>
  </si>
  <si>
    <t>Cambium Care Advanced, 1-year support renewal for one EX1010. 24x7 TAC support, SW updates, and NBDS advance replacement for HW</t>
  </si>
  <si>
    <t>CCADV-RNW-EX1010-3</t>
  </si>
  <si>
    <t>Cambium Care Advanced, 3-year support renewal for one EX1010.  24x7 TAC support, SW updates, and NBDS advance replacement for HW</t>
  </si>
  <si>
    <t>CCADV-RNW-EX1010-5</t>
  </si>
  <si>
    <t>Cambium Care Advanced, 5-year support renewal for one EX1010.  24x7 TAC support, SW updates, and NBDS advance replacement for HW</t>
  </si>
  <si>
    <t>CCADV-RNW-EX1010-P-1</t>
  </si>
  <si>
    <t>Cambium Care Advanced, 1-year support renewal for one EX1010-P. 24x7 TAC support, SW updates, and NBDS advance replacement for HW</t>
  </si>
  <si>
    <t>CCADV-RNW-EX1010-P-3</t>
  </si>
  <si>
    <t>Cambium Care Advanced, 3-year support renewal for one EX1010-P.  24x7 TAC support, SW updates, and NBDS advance replacement for HW</t>
  </si>
  <si>
    <t>CCADV-RNW-EX1010-P-5</t>
  </si>
  <si>
    <t>Cambium Care Advanced, 5-year support renewal for one EX1010-P.  24x7 TAC support, SW updates, and NBDS advance replacement for HW</t>
  </si>
  <si>
    <t>CCADV-RNW-EX1028-1</t>
  </si>
  <si>
    <t>Cambium Care Advanced, 1-year support renewal for one EX1028. 24x7 TAC support, SW updates, and NBDS advance replacement for HW</t>
  </si>
  <si>
    <t>CCADV-RNW-EX1028-3</t>
  </si>
  <si>
    <t>Cambium Care Advanced, 3-year support renewal for one EX1028.  24x7 TAC support, SW updates, and NBDS advance replacement for HW</t>
  </si>
  <si>
    <t>CCADV-RNW-EX1028-5</t>
  </si>
  <si>
    <t>Cambium Care Advanced, 5-year support renewal for one EX1028.  24x7 TAC support, SW updates, and NBDS advance replacement for HW</t>
  </si>
  <si>
    <t>CCADV-RNW-EX1028-P-1</t>
  </si>
  <si>
    <t>Cambium Care Advanced, 1-year support renewal for one EX1028-P. 24x7 TAC support, SW updates, and NBDS advance replacement for HW</t>
  </si>
  <si>
    <t>CCADV-RNW-EX1028-P-3</t>
  </si>
  <si>
    <t>Cambium Care Advanced, 3-year support renewal for one EX1028-P.  24x7 TAC support, SW updates, and NBDS advance replacement for HW</t>
  </si>
  <si>
    <t>CCADV-RNW-EX1028-P-5</t>
  </si>
  <si>
    <t>Cambium Care Advanced, 5-year support renewal for one EX1028-P.  24x7 TAC support, SW updates, and NBDS advance replacement for HW</t>
  </si>
  <si>
    <t>CCADV-RNW-EX2028-1</t>
  </si>
  <si>
    <t>Cambium Care Advanced, 1-year support renewal for one EX2028. 24x7 TAC support, SW updates, and NBDS advance replacement for HW</t>
  </si>
  <si>
    <t>CCADV-RNW-EX2028-3</t>
  </si>
  <si>
    <t>Cambium Care Advanced, 3-year support renewal for one EX2028.  24x7 TAC support, SW updates, and NBDS advance replacement for HW</t>
  </si>
  <si>
    <t>CCADV-RNW-EX2028-5</t>
  </si>
  <si>
    <t>Cambium Care Advanced, 5-year support renewal for one EX2028.  24x7 TAC support, SW updates, and NBDS advance replacement for HW</t>
  </si>
  <si>
    <t>CCADV-RNW-EX2028-P-1</t>
  </si>
  <si>
    <t>Cambium Care Advanced, 1-year support renewal for one EX2028-P. 24x7 TAC support, SW updates, and NBDS advance replacement for HW</t>
  </si>
  <si>
    <t>CCADV-RNW-EX2028-P-3</t>
  </si>
  <si>
    <t>Cambium Care Advanced, 3-year support renewal for one EX2028-P.  24x7 TAC support, SW updates, and NBDS advance replacement for HW</t>
  </si>
  <si>
    <t>CCADV-RNW-EX2028-P-5</t>
  </si>
  <si>
    <t>Cambium Care Advanced, 5-year support renewal for one EX2028-P.  24x7 TAC support, SW updates, and NBDS advance replacement for HW</t>
  </si>
  <si>
    <t>CCADV-RNW-EX2052-1</t>
  </si>
  <si>
    <t>Cambium Care Advanced, 1-year support renewal for one EX2052. 24x7 TAC support, SW updates, and NBDS advance replacement for HW</t>
  </si>
  <si>
    <t>CCADV-RNW-EX2052-3</t>
  </si>
  <si>
    <t>Cambium Care Advanced, 3-year support renewal for one EX2052.  24x7 TAC support, SW updates, and NBDS advance replacement for HW</t>
  </si>
  <si>
    <t>CCADV-RNW-EX2052-5</t>
  </si>
  <si>
    <t>Cambium Care Advanced, 5-year support renewal for one EX2052.  24x7 TAC support, SW updates, and NBDS advance replacement for HW</t>
  </si>
  <si>
    <t>CCADV-RNW-EX2052-P-1</t>
  </si>
  <si>
    <t>Cambium Care Advanced, 1-year support renewal for one EX2052-P. 24x7 TAC support, SW updates, and NBDS advance replacement for HW</t>
  </si>
  <si>
    <t>CCADV-RNW-EX2052-P-3</t>
  </si>
  <si>
    <t>Cambium Care Advanced, 3-year support renewal for one EX2052-P.  24x7 TAC support, SW updates, and NBDS advance replacement for HW</t>
  </si>
  <si>
    <t>CCADV-RNW-EX2052-P-5</t>
  </si>
  <si>
    <t>Cambium Care Advanced, 5-year support renewal for one EX2052-P.  24x7 TAC support, SW updates, and NBDS advance replacement for HW</t>
  </si>
  <si>
    <t>CCADV-RNW-EX2052R-P-1</t>
  </si>
  <si>
    <t>Cambium Care Advanced, 1-year support renewal for one EX2052R-P. 24x7 TAC support, SW updates, and NBDS advance replacement for HW</t>
  </si>
  <si>
    <t>CCADV-RNW-EX2052R-P-3</t>
  </si>
  <si>
    <t>Cambium Care Advanced, 3-year support renewal for one EX2052R-P.  24x7 TAC support, SW updates, and NBDS advance replacement for HW</t>
  </si>
  <si>
    <t>CCADV-RNW-EX2052R-P-5</t>
  </si>
  <si>
    <t>Cambium Care Advanced, 5-year support renewal for one EX2052R-P.  24x7 TAC support, SW updates, and NBDS advance replacement for HW</t>
  </si>
  <si>
    <t>CCADV-RNW-TX2012R-P-1</t>
  </si>
  <si>
    <t>Cambium Care Advanced, 1-year support renewal for one TX2012R-P. 24x7 TAC support, SW updates, and NBDS advance replacement for HW</t>
  </si>
  <si>
    <t>CCADV-RNW-TX2012R-P-3</t>
  </si>
  <si>
    <t>Cambium Care Advanced, 3-year support renewal for one TX2012R-P.  24x7 TAC support, SW updates, and NBDS advance replacement for HW</t>
  </si>
  <si>
    <t>CCADV-RNW-TX2012R-P-5</t>
  </si>
  <si>
    <t>Cambium Care Advanced, 5-year support renewal for one TX2012R-P.  24x7 TAC support, SW updates, and NBDS advance replacement for HW</t>
  </si>
  <si>
    <t>CCADV-RNW-TX2020R-P-1</t>
  </si>
  <si>
    <t>Cambium Care Advanced, 1-year support renewal for one TX2020R-P. 24x7 TAC support, SW updates, and NBDS advance replacement for HW</t>
  </si>
  <si>
    <t>CCADV-RNW-TX2020R-P-3</t>
  </si>
  <si>
    <t>Cambium Care Advanced, 3-year support renewal for one TX2020R-P.  24x7 TAC support, SW updates, and NBDS advance replacement for HW</t>
  </si>
  <si>
    <t>CCADV-RNW-TX2020R-P-5</t>
  </si>
  <si>
    <t>Cambium Care Advanced, 5-year support renewal for one TX2020R-P.  24x7 TAC support, SW updates, and NBDS advance replacement for HW</t>
  </si>
  <si>
    <t>CCADV-RNW-TX2028RF-P-1</t>
  </si>
  <si>
    <t>Cambium Care Advanced, 1-year support renewal for one TX2028RF-P. 24x7 TAC support, SW updates, and NBDS advance replacement for HW</t>
  </si>
  <si>
    <t>CCADV-RNW-TX2028RF-P-3</t>
  </si>
  <si>
    <t>Cambium Care Advanced, 3-year support renewal for one TX2028RF-P.  24x7 TAC support, SW updates, and NBDS advance replacement for HW</t>
  </si>
  <si>
    <t>CCADV-RNW-TX2028RF-P-5</t>
  </si>
  <si>
    <t>Cambium Care Advanced, 5-year support renewal for one TX2028RF-P.  24x7 TAC support, SW updates, and NBDS advance replacement for HW</t>
  </si>
  <si>
    <t>CCADV-UPG-EX2010-1</t>
  </si>
  <si>
    <t>Cambium Care Advanced Add-on to cnMarestro X, 1-year support for one EX2010. 24x7 TAC support, SW updates, and NBDS advance replacement for HW</t>
  </si>
  <si>
    <t>CCADV-UPG-EX2010-3</t>
  </si>
  <si>
    <t>Cambium Care Advanced Add-on to cnMarestro X, 3-year support for one EX2010.  24x7 TAC support, SW updates, and NBDS advance replacement for HW</t>
  </si>
  <si>
    <t>CCADV-UPG-EX2010-5</t>
  </si>
  <si>
    <t>Cambium Care Advanced Add-on to cnMarestro X, 5-year support for one EX2010.  24x7 TAC support, SW updates, and NBDS advance replacement for HW</t>
  </si>
  <si>
    <t>CCADV-UPG-EX2010-P-1</t>
  </si>
  <si>
    <t>Cambium Care Advanced Add-on to cnMarestro X, 1-year support for one EX2010-P. 24x7 TAC support, SW updates, and NBDS advance replacement for HW</t>
  </si>
  <si>
    <t>CCADV-UPG-EX2010-P-3</t>
  </si>
  <si>
    <t>Cambium Care Advanced Add-on to cnMarestro X, 3-year support for one EX2010-P.  24x7 TAC support, SW updates, and NBDS advance replacement for HW</t>
  </si>
  <si>
    <t>CCADV-UPG-EX2010-P-5</t>
  </si>
  <si>
    <t>Cambium Care Advanced Add-on to cnMarestro X, 5-year support for one EX2010-P.  24x7 TAC support, SW updates, and NBDS advance replacement for HW</t>
  </si>
  <si>
    <t>CCADV-UPG-EX2016M-P-1</t>
  </si>
  <si>
    <t>Cambium Care Advanced Add-on to cnMarestro X, 1-year support for one EX2016M-P. 24x7 TAC support, SW updates, and NBDS advance replacement for HW</t>
  </si>
  <si>
    <t>CCADV-UPG-EX2016M-P-3</t>
  </si>
  <si>
    <t>Cambium Care Advanced Add-on to cnMarestro X, 3-year support for one EX2016M-P.  24x7 TAC support, SW updates, and NBDS advance replacement for HW</t>
  </si>
  <si>
    <t>CCADV-UPG-EX2016M-P-5</t>
  </si>
  <si>
    <t>Cambium Care Advanced Add-on to cnMarestro X, 5-year support for one EX2016M-P.  24x7 TAC support, SW updates, and NBDS advance replacement for HW</t>
  </si>
  <si>
    <t>CCADV-UPG-EX1010-1</t>
  </si>
  <si>
    <t>Cambium Care Advanced Add-on to cnMarestro X, 1-year support for one EX1010. 24x7 TAC support, SW updates, and NBDS advance replacement for HW</t>
  </si>
  <si>
    <t>CCADV-UPG-EX1010-3</t>
  </si>
  <si>
    <t>Cambium Care Advanced Add-on to cnMarestro X, 3-year support for one EX1010.  24x7 TAC support, SW updates, and NBDS advance replacement for HW</t>
  </si>
  <si>
    <t>CCADV-UPG-EX1010-5</t>
  </si>
  <si>
    <t>Cambium Care Advanced Add-on to cnMarestro X, 5-year support for one EX1010.  24x7 TAC support, SW updates, and NBDS advance replacement for HW</t>
  </si>
  <si>
    <t>CCADV-UPG-EX1010-P-1</t>
  </si>
  <si>
    <t>Cambium Care Advanced Add-on to cnMarestro X, 1-year support for one EX1010-P. 24x7 TAC support, SW updates, and NBDS advance replacement for HW</t>
  </si>
  <si>
    <t>CCADV-UPG-EX1010-P-3</t>
  </si>
  <si>
    <t>Cambium Care Advanced Add-on to cnMarestro X, 3-year support for one EX1010-P.  24x7 TAC support, SW updates, and NBDS advance replacement for HW</t>
  </si>
  <si>
    <t>CCADV-UPG-EX1010-P-5</t>
  </si>
  <si>
    <t>Cambium Care Advanced Add-on to cnMarestro X, 5-year support for one EX1010-P.  24x7 TAC support, SW updates, and NBDS advance replacement for HW</t>
  </si>
  <si>
    <t>CCADV-UPG-EX1028-1</t>
  </si>
  <si>
    <t>Cambium Care Advanced Add-on to cnMarestro X, 1-year support for one EX1028. 24x7 TAC support, SW updates, and NBDS advance replacement for HW</t>
  </si>
  <si>
    <t>CCADV-UPG-EX1028-3</t>
  </si>
  <si>
    <t>Cambium Care Advanced Add-on to cnMarestro X, 3-year support for one EX1028.  24x7 TAC support, SW updates, and NBDS advance replacement for HW</t>
  </si>
  <si>
    <t>CCADV-UPG-EX1028-5</t>
  </si>
  <si>
    <t>Cambium Care Advanced Add-on to cnMarestro X, 5-year support for one EX1028.  24x7 TAC support, SW updates, and NBDS advance replacement for HW</t>
  </si>
  <si>
    <t>CCADV-UPG-EX1028-P-1</t>
  </si>
  <si>
    <t>Cambium Care Advanced Add-on to cnMarestro X, 1-year support for one EX1028-P. 24x7 TAC support, SW updates, and NBDS advance replacement for HW</t>
  </si>
  <si>
    <t>CCADV-UPG-EX1028-P-3</t>
  </si>
  <si>
    <t>Cambium Care Advanced Add-on to cnMarestro X, 3-year support for one EX1028-P.  24x7 TAC support, SW updates, and NBDS advance replacement for HW</t>
  </si>
  <si>
    <t>CCADV-UPG-EX1028-P-5</t>
  </si>
  <si>
    <t>Cambium Care Advanced Add-on to cnMarestro X, 5-year support for one EX1028-P.  24x7 TAC support, SW updates, and NBDS advance replacement for HW</t>
  </si>
  <si>
    <t>CCADV-UPG-EX2028-1</t>
  </si>
  <si>
    <t>Cambium Care Advanced Add-on to cnMarestro X, 1-year support for one EX2028. 24x7 TAC support, SW updates, and NBDS advance replacement for HW</t>
  </si>
  <si>
    <t>CCADV-UPG-EX2028-3</t>
  </si>
  <si>
    <t>Cambium Care Advanced Add-on to cnMarestro X, 3-year support for one EX2028.  24x7 TAC support, SW updates, and NBDS advance replacement for HW</t>
  </si>
  <si>
    <t>CCADV-UPG-EX2028-5</t>
  </si>
  <si>
    <t>Cambium Care Advanced Add-on to cnMarestro X, 5-year support for one EX2028.  24x7 TAC support, SW updates, and NBDS advance replacement for HW</t>
  </si>
  <si>
    <t>CCADV-UPG-EX2028-P-1</t>
  </si>
  <si>
    <t>Cambium Care Advanced Add-on to cnMarestro X, 1-year support for one EX2028-P. 24x7 TAC support, SW updates, and NBDS advance replacement for HW</t>
  </si>
  <si>
    <t>CCADV-UPG-EX2028-P-3</t>
  </si>
  <si>
    <t>Cambium Care Advanced Add-on to cnMarestro X, 3-year support for one EX2028-P.  24x7 TAC support, SW updates, and NBDS advance replacement for HW</t>
  </si>
  <si>
    <t>CCADV-UPG-EX2028-P-5</t>
  </si>
  <si>
    <t>Cambium Care Advanced Add-on to cnMarestro X, 5-year support for one EX2028-P.  24x7 TAC support, SW updates, and NBDS advance replacement for HW</t>
  </si>
  <si>
    <t>CCADV-UPG-EX2052-1</t>
  </si>
  <si>
    <t>Cambium Care Advanced Add-on to cnMarestro X, 1-year support for one EX2052. 24x7 TAC support, SW updates, and NBDS advance replacement for HW</t>
  </si>
  <si>
    <t>CCADV-UPG-EX2052-3</t>
  </si>
  <si>
    <t>Cambium Care Advanced Add-on to cnMarestro X, 3-year support for one EX2052.  24x7 TAC support, SW updates, and NBDS advance replacement for HW</t>
  </si>
  <si>
    <t>CCADV-UPG-EX2052-5</t>
  </si>
  <si>
    <t>Cambium Care Advanced Add-on to cnMarestro X, 5-year support for one EX2052.  24x7 TAC support, SW updates, and NBDS advance replacement for HW</t>
  </si>
  <si>
    <t>CCADV-UPG-EX2052-P-1</t>
  </si>
  <si>
    <t>Cambium Care Advanced Add-on to cnMarestro X, 1-year support for one EX2052-P. 24x7 TAC support, SW updates, and NBDS advance replacement for HW</t>
  </si>
  <si>
    <t>CCADV-UPG-EX2052-P-3</t>
  </si>
  <si>
    <t>Cambium Care Advanced Add-on to cnMarestro X, 3-year support for one EX2052-P.  24x7 TAC support, SW updates, and NBDS advance replacement for HW</t>
  </si>
  <si>
    <t>CCADV-UPG-EX2052-P-5</t>
  </si>
  <si>
    <t>Cambium Care Advanced Add-on to cnMarestro X, 5-year support for one EX2052-P.  24x7 TAC support, SW updates, and NBDS advance replacement for HW</t>
  </si>
  <si>
    <t>CCADV-UPG-EX2052R-P-1</t>
  </si>
  <si>
    <t>Cambium Care Advanced Add-on to cnMarestro X, 1-year support for one EX2052R-P. 24x7 TAC support, SW updates, and NBDS advance replacement for HW</t>
  </si>
  <si>
    <t>CCADV-UPG-EX2052R-P-3</t>
  </si>
  <si>
    <t>Cambium Care Advanced Add-on to cnMarestro X, 3-year support for one EX2052R-P.  24x7 TAC support, SW updates, and NBDS advance replacement for HW</t>
  </si>
  <si>
    <t>CCADV-UPG-EX2052R-P-5</t>
  </si>
  <si>
    <t>Cambium Care Advanced Add-on to cnMarestro X, 5-year support for one EX2052R-P.  24x7 TAC support, SW updates, and NBDS advance replacement for HW</t>
  </si>
  <si>
    <t>CCADV-UPG-TX2012R-P-1</t>
  </si>
  <si>
    <t>Cambium Care Advanced Add-on to cnMarestro X, 1-year support for one TX2012R-P. 24x7 TAC support, SW updates, and NBDS advance replacement for HW</t>
  </si>
  <si>
    <t>CCADV-UPG-TX2012R-P-3</t>
  </si>
  <si>
    <t>Cambium Care Advanced Add-on to cnMarestro X, 3-year support for one TX2012R-P.  24x7 TAC support, SW updates, and NBDS advance replacement for HW</t>
  </si>
  <si>
    <t>CCADV-UPG-TX2012R-P-5</t>
  </si>
  <si>
    <t>Cambium Care Advanced Add-on to cnMarestro X, 5-year support for one TX2012R-P.  24x7 TAC support, SW updates, and NBDS advance replacement for HW</t>
  </si>
  <si>
    <t>CCADV-UPG-TX2020R-P-1</t>
  </si>
  <si>
    <t>Cambium Care Advanced Add-on to cnMarestro X, 1-year support for one TX2020R-P. 24x7 TAC support, SW updates, and NBDS advance replacement for HW</t>
  </si>
  <si>
    <t>CCADV-UPG-TX2020R-P-3</t>
  </si>
  <si>
    <t>Cambium Care Advanced Add-on to cnMarestro X, 3-year support for one TX2020R-P.  24x7 TAC support, SW updates, and NBDS advance replacement for HW</t>
  </si>
  <si>
    <t>CCADV-UPG-TX2020R-P-5</t>
  </si>
  <si>
    <t>Cambium Care Advanced Add-on to cnMarestro X, 5-year support for one TX2020R-P.  24x7 TAC support, SW updates, and NBDS advance replacement for HW</t>
  </si>
  <si>
    <t>CCADV-UPG-TX2028RF-P-1</t>
  </si>
  <si>
    <t>Cambium Care Advanced Add-on to cnMarestro X, 1-year support for one TX2028RF-P. 24x7 TAC support, SW updates, and NBDS advance replacement for HW</t>
  </si>
  <si>
    <t>CCADV-UPG-TX2028RF-P-3</t>
  </si>
  <si>
    <t>Cambium Care Advanced Add-on to cnMarestro X, 3-year support for one TX2028RF-P.  24x7 TAC support, SW updates, and NBDS advance replacement for HW</t>
  </si>
  <si>
    <t>CCADV-UPG-TX2028RF-P-5</t>
  </si>
  <si>
    <t>Cambium Care Advanced Add-on to cnMarestro X, 5-year support for one TX2028RF-P.  24x7 TAC support, SW updates, and NBDS advance replacement for HW</t>
  </si>
  <si>
    <t>CCPRO-RNW-EX2010-1</t>
  </si>
  <si>
    <t>Cambium Care Pro, 1-year support renewal for one EX2010.  24x7 TAC support, SW updates</t>
  </si>
  <si>
    <t>CCPRO-RNW-EX2010-3</t>
  </si>
  <si>
    <t>Cambium Care Pro, 3-year support renewal for one EX2010.  24x7 TAC support, SW updates</t>
  </si>
  <si>
    <t>CCPRO-RNW-EX2010-5</t>
  </si>
  <si>
    <t>Cambium Care Pro, 5-year support renewal for one EX2010.  24x7 TAC support, SW updates</t>
  </si>
  <si>
    <t>CCPRO-RNW-EX2010-P-1</t>
  </si>
  <si>
    <t>Cambium Care Pro, 1-year support renewal for one EX2010-P.  24x7 TAC support, SW updates</t>
  </si>
  <si>
    <t>CCPRO-RNW-EX2010-P-3</t>
  </si>
  <si>
    <t>Cambium Care Pro, 3-year support renewal for one EX2010-P.  24x7 TAC support, SW updates</t>
  </si>
  <si>
    <t>CCPRO-RNW-EX2010-P-5</t>
  </si>
  <si>
    <t>Cambium Care Pro, 5-year support renewal for one EX2010-P.  24x7 TAC support, SW updates</t>
  </si>
  <si>
    <t>CCPRO-RNW-EX2016M-P-1</t>
  </si>
  <si>
    <t>Cambium Care Pro, 1-year support renewal for one EX2016M-P.  24x7 TAC support, SW updates</t>
  </si>
  <si>
    <t>CCPRO-RNW-EX2016M-P-3</t>
  </si>
  <si>
    <t>Cambium Care Pro, 3-year support renewal for one EX2016M-P.  24x7 TAC support, SW updates</t>
  </si>
  <si>
    <t>CCPRO-RNW-EX2016M-P-5</t>
  </si>
  <si>
    <t>Cambium Care Pro, 5-year support renewal for one EX2016M-P.  24x7 TAC support, SW updates</t>
  </si>
  <si>
    <t>CCPRO-RNW-EX1010-1</t>
  </si>
  <si>
    <t>Cambium Care Pro, 1-year support renewal for one EX1010.  24x7 TAC support, SW updates</t>
  </si>
  <si>
    <t>CCPRO-RNW-EX1010-3</t>
  </si>
  <si>
    <t>Cambium Care Pro, 3-year support renewal for one EX1010.  24x7 TAC support, SW updates</t>
  </si>
  <si>
    <t>CCPRO-RNW-EX1010-5</t>
  </si>
  <si>
    <t>Cambium Care Pro, 5-year support renewal for one EX1010.  24x7 TAC support, SW updates</t>
  </si>
  <si>
    <t>CCPRO-RNW-EX1010-P-1</t>
  </si>
  <si>
    <t>Cambium Care Pro, 1-year support renewal for one EX1010-P.  24x7 TAC support, SW updates</t>
  </si>
  <si>
    <t>CCPRO-RNW-EX1010-P-3</t>
  </si>
  <si>
    <t>Cambium Care Pro, 3-year support renewal for one EX1010-P.  24x7 TAC support, SW updates</t>
  </si>
  <si>
    <t>CCPRO-RNW-EX1010-P-5</t>
  </si>
  <si>
    <t>Cambium Care Pro, 5-year support renewal for one EX1010-P.  24x7 TAC support, SW updates</t>
  </si>
  <si>
    <t>CCPRO-RNW-EX1028-1</t>
  </si>
  <si>
    <t>Cambium Care Pro, 1-year support renewal for one EX1028.  24x7 TAC support, SW updates</t>
  </si>
  <si>
    <t>CCPRO-RNW-EX1028-3</t>
  </si>
  <si>
    <t>Cambium Care Pro, 3-year support renewal for one EX1028.  24x7 TAC support, SW updates</t>
  </si>
  <si>
    <t>CCPRO-RNW-EX1028-5</t>
  </si>
  <si>
    <t>Cambium Care Pro, 5-year support renewal for one EX1028.  24x7 TAC support, SW updates</t>
  </si>
  <si>
    <t>CCPRO-RNW-EX1028-P-1</t>
  </si>
  <si>
    <t>Cambium Care Pro, 1-year support renewal for one EX1028-P.  24x7 TAC support, SW updates</t>
  </si>
  <si>
    <t>CCPRO-RNW-EX1028-P-3</t>
  </si>
  <si>
    <t>Cambium Care Pro, 3-year support renewal for one EX1028-P.  24x7 TAC support, SW updates</t>
  </si>
  <si>
    <t>CCPRO-RNW-EX1028-P-5</t>
  </si>
  <si>
    <t>Cambium Care Pro, 5-year support renewal for one EX1028-P.  24x7 TAC support, SW updates</t>
  </si>
  <si>
    <t>CCPRO-RNW-EX2028-1</t>
  </si>
  <si>
    <t>Cambium Care Pro, 1-year support renewal for one EX2028.  24x7 TAC support, SW updates</t>
  </si>
  <si>
    <t>CCPRO-RNW-EX2028-3</t>
  </si>
  <si>
    <t>Cambium Care Pro, 3-year support renewal for one EX2028.  24x7 TAC support, SW updates</t>
  </si>
  <si>
    <t>CCPRO-RNW-EX2028-5</t>
  </si>
  <si>
    <t>Cambium Care Pro, 5-year support renewal for one EX2028.  24x7 TAC support, SW updates</t>
  </si>
  <si>
    <t>CCPRO-RNW-EX2028-P-1</t>
  </si>
  <si>
    <t>Cambium Care Pro, 1-year support renewal for one EX2028-P.  24x7 TAC support, SW updates</t>
  </si>
  <si>
    <t>CCPRO-RNW-EX2028-P-3</t>
  </si>
  <si>
    <t>Cambium Care Pro, 3-year support renewal for one EX2028-P.  24x7 TAC support, SW updates</t>
  </si>
  <si>
    <t>CCPRO-RNW-EX2028-P-5</t>
  </si>
  <si>
    <t>Cambium Care Pro, 5-year support renewal for one EX2028-P.  24x7 TAC support, SW updates</t>
  </si>
  <si>
    <t>CCPRO-RNW-EX2052-1</t>
  </si>
  <si>
    <t>Cambium Care Pro, 1-year support renewal for one EX2052.  24x7 TAC support, SW updates</t>
  </si>
  <si>
    <t>CCPRO-RNW-EX2052-3</t>
  </si>
  <si>
    <t>Cambium Care Pro, 3-year support renewal for one EX2052.  24x7 TAC support, SW updates</t>
  </si>
  <si>
    <t>CCPRO-RNW-EX2052-5</t>
  </si>
  <si>
    <t>Cambium Care Pro, 5-year support renewal for one EX2052.  24x7 TAC support, SW updates</t>
  </si>
  <si>
    <t>CCPRO-RNW-EX2052-P-1</t>
  </si>
  <si>
    <t>Cambium Care Pro, 1-year support renewal for one EX2052-P.  24x7 TAC support, SW updates</t>
  </si>
  <si>
    <t>CCPRO-RNW-EX2052-P-3</t>
  </si>
  <si>
    <t>Cambium Care Pro, 3-year support renewal for one EX2052-P.  24x7 TAC support, SW updates</t>
  </si>
  <si>
    <t>CCPRO-RNW-EX2052-P-5</t>
  </si>
  <si>
    <t>Cambium Care Pro, 5-year support renewal for one EX2052-P.  24x7 TAC support, SW updates</t>
  </si>
  <si>
    <t>CCPRO-RNW-EX2052R-P-1</t>
  </si>
  <si>
    <t>Cambium Care Pro, 1-year support renewal for one EX2052R-P.  24x7 TAC support, SW updates</t>
  </si>
  <si>
    <t>CCPRO-RNW-EX2052R-P-3</t>
  </si>
  <si>
    <t>Cambium Care Pro, 3-year support renewal for one EX2052R-P.  24x7 TAC support, SW updates</t>
  </si>
  <si>
    <t>CCPRO-RNW-EX2052R-P-5</t>
  </si>
  <si>
    <t>Cambium Care Pro, 5-year support renewal for one EX2052R-P.  24x7 TAC support, SW updates</t>
  </si>
  <si>
    <t>CCPRO-RNW-TX2012R-P-1</t>
  </si>
  <si>
    <t>Cambium Care Pro, 1-year support renewal for one TX2012R-P.  24x7 TAC support, SW updates</t>
  </si>
  <si>
    <t>CCPRO-RNW-TX2012R-P-3</t>
  </si>
  <si>
    <t>Cambium Care Pro, 3-year support renewal for one TX2012R-P.  24x7 TAC support, SW updates</t>
  </si>
  <si>
    <t>CCPRO-RNW-TX2012R-P-5</t>
  </si>
  <si>
    <t>Cambium Care Pro, 5-year support renewal for one TX2012R-P.  24x7 TAC support, SW updates</t>
  </si>
  <si>
    <t>CCPRO-RNW-TX2020R-P-1</t>
  </si>
  <si>
    <t>Cambium Care Pro, 1-year support renewal for one TX2020R-P.  24x7 TAC support, SW updates</t>
  </si>
  <si>
    <t>CCPRO-RNW-TX2020R-P-3</t>
  </si>
  <si>
    <t>Cambium Care Pro, 3-year support renewal for one TX2020R-P.  24x7 TAC support, SW updates</t>
  </si>
  <si>
    <t>CCPRO-RNW-TX2020R-P-5</t>
  </si>
  <si>
    <t>Cambium Care Pro, 5-year support renewal for one TX2020R-P.  24x7 TAC support, SW updates</t>
  </si>
  <si>
    <t>CCPRO-RNW-TX2028RF-P-1</t>
  </si>
  <si>
    <t>Cambium Care Pro, 1-year support renewal for one TX2028RF-P.  24x7 TAC support, SW updates</t>
  </si>
  <si>
    <t>CCPRO-RNW-TX2028RF-P-3</t>
  </si>
  <si>
    <t>Cambium Care Pro, 3-year support renewal for one TX2028RF-P.  24x7 TAC support, SW updates</t>
  </si>
  <si>
    <t>CCPRO-RNW-TX2028RF-P-5</t>
  </si>
  <si>
    <t>Cambium Care Pro, 5-year support renewal for one TX2028RF-P.  24x7 TAC support, SW updates</t>
  </si>
  <si>
    <t>CCADV-RNW-V5000-1</t>
  </si>
  <si>
    <t>Cambium Care Advanced, 1-year support renewal for one V5000. 24x7 TAC support, SW updates, and NBDS advance replacement for HW</t>
  </si>
  <si>
    <t>CCADV-RNW-V5000-3</t>
  </si>
  <si>
    <t>Cambium Care Advanced, 3-year support renewal for one V5000.  24x7 TAC support, SW updates, and NBDS advance replacement for HW</t>
  </si>
  <si>
    <t>CCADV-RNW-V5000-5</t>
  </si>
  <si>
    <t>Cambium Care Advanced, 5-year support renewal for one V5000.  24x7 TAC support, SW updates, and NBDS advance replacement for HW</t>
  </si>
  <si>
    <t>CCADV-RNW-V3000-1</t>
  </si>
  <si>
    <t>Cambium Care Advanced, 1-year support renewal for one V3000. 24x7 TAC support, SW updates, and NBDS advance replacement for HW</t>
  </si>
  <si>
    <t>CCADV-RNW-V3000-3</t>
  </si>
  <si>
    <t>Cambium Care Advanced, 3-year support renewal for one V3000.  24x7 TAC support, SW updates, and NBDS advance replacement for HW</t>
  </si>
  <si>
    <t>CCADV-RNW-V3000-5</t>
  </si>
  <si>
    <t>Cambium Care Advanced, 5-year support renewal for one V3000.  24x7 TAC support, SW updates, and NBDS advance replacement for HW</t>
  </si>
  <si>
    <t>CCADV-RNW-V1000-1</t>
  </si>
  <si>
    <t>Cambium Care Advanced, 1-year support renewal for one V1000. 24x7 TAC support, SW updates, and NBDS advance replacement for HW</t>
  </si>
  <si>
    <t>CCADV-RNW-V1000-3</t>
  </si>
  <si>
    <t>Cambium Care Advanced, 3-year support renewal for one V1000.  24x7 TAC support, SW updates, and NBDS advance replacement for HW</t>
  </si>
  <si>
    <t>CCADV-RNW-V1000-5</t>
  </si>
  <si>
    <t>Cambium Care Advanced, 5-year support renewal for one V1000.  24x7 TAC support, SW updates, and NBDS advance replacement for HW</t>
  </si>
  <si>
    <t>CCPRO-RNW-V5000-1</t>
  </si>
  <si>
    <t>Cambium Care Pro, 1-year support renewal for one V5000.  24x7 TAC support, SW updates</t>
  </si>
  <si>
    <t>CCPRO-RNW-V5000-3</t>
  </si>
  <si>
    <t>Cambium Care Pro, 3-year support renewal for one V5000.  24x7 TAC support, SW updates</t>
  </si>
  <si>
    <t>CCPRO-RNW-V5000-5</t>
  </si>
  <si>
    <t>Cambium Care Pro, 5-year support renewal for one V5000.  24x7 TAC support, SW updates</t>
  </si>
  <si>
    <t>CCPRO-RNW-V3000-1</t>
  </si>
  <si>
    <t>Cambium Care Pro, 1-year support renewal for one V3000.  24x7 TAC support, SW updates</t>
  </si>
  <si>
    <t>CCPRO-RNW-V3000-3</t>
  </si>
  <si>
    <t>Cambium Care Pro, 3-year support renewal for one V3000.  24x7 TAC support, SW updates</t>
  </si>
  <si>
    <t>CCPRO-RNW-V3000-5</t>
  </si>
  <si>
    <t>Cambium Care Pro, 5-year support renewal for one V3000.  24x7 TAC support, SW updates</t>
  </si>
  <si>
    <t>CCPRO-RNW-V1000-1</t>
  </si>
  <si>
    <t>Cambium Care Pro, 1-year support renewal for one V1000.  24x7 TAC support, SW updates</t>
  </si>
  <si>
    <t>CCPRO-RNW-V1000-3</t>
  </si>
  <si>
    <t>Cambium Care Pro, 3-year support renewal for one V1000.  24x7 TAC support, SW updates</t>
  </si>
  <si>
    <t>CCPRO-RNW-V1000-5</t>
  </si>
  <si>
    <t>Cambium Care Pro, 5-year support renewal for one V1000.  24x7 TAC support, SW updates</t>
  </si>
  <si>
    <t>EW-E1CNM12RT-WW</t>
  </si>
  <si>
    <t>EW-E2CNM12RT-WW</t>
  </si>
  <si>
    <t>cnMatrix TX 2012R-P Extended Warranty, 1 Additional Year</t>
  </si>
  <si>
    <t>cnMatrix TX 2012R-P Extended Warranty, 2 Additional Years</t>
  </si>
  <si>
    <t>AR-E0CNM12RT-WW</t>
  </si>
  <si>
    <t>AR-E1CNM12RT-WW</t>
  </si>
  <si>
    <t>AR-E2CNM12RT-WW</t>
  </si>
  <si>
    <t>cnMatrix TX 2012R-P Upgrade to All Risks Advanced Replacement Program during standard warranty</t>
  </si>
  <si>
    <t>cnMatrix TX 2012R-P All Risks Advance Replacement, 1 additional year</t>
  </si>
  <si>
    <t>cnMatrix TX 2012R-P All Risks Advance Replacement, 2 additional years</t>
  </si>
  <si>
    <t>EW-E1CNM20RT-WW</t>
  </si>
  <si>
    <t>cnMatrix TX 2020R-P Extended Warranty, 1 Additional Year</t>
  </si>
  <si>
    <t>EW-E2CNM20RT-WW</t>
  </si>
  <si>
    <t>cnMatrix TX 2020R-P Extended Warranty, 2 Additional Years</t>
  </si>
  <si>
    <t>AR-E0CNM20RT-WW</t>
  </si>
  <si>
    <t>cnMatrix TX 2020R-P Upgrade to All Risks Advanced Replacement Program during standard warranty</t>
  </si>
  <si>
    <t>AR-E1CNM20RT-WW</t>
  </si>
  <si>
    <t>cnMatrix TX 2020R-P All Risks Advance Replacement, 1 additional year</t>
  </si>
  <si>
    <t>AR-E2CNM20RT-WW</t>
  </si>
  <si>
    <t>cnMatrix TX 2020R-P All Risks Advance Replacement, 2 additional years</t>
  </si>
  <si>
    <t>EW-E1CNM28RFT-WW</t>
  </si>
  <si>
    <t>cnMatrix TX 2028RF-P Extended Warranty, 1 Additional Year</t>
  </si>
  <si>
    <t>EW-E2CNM28RFT-WW</t>
  </si>
  <si>
    <t>cnMatrix TX 2028RF-P Extended Warranty, 2 Additional Years</t>
  </si>
  <si>
    <t>AR-E0CNM28RFT-WW</t>
  </si>
  <si>
    <t>cnMatrix TX 2028RF-P Upgrade to All Risks Advanced Replacement Program during standard warranty</t>
  </si>
  <si>
    <t>AR-E1CNM28RFT-WW</t>
  </si>
  <si>
    <t>cnMatrix TX 2028RF-P All Risks Advance Replacement, 1 additional year</t>
  </si>
  <si>
    <t>AR-E2CNM28RFT-WW</t>
  </si>
  <si>
    <t>cnMatrix TX 2028RF-P All Risks Advance Replacement, 2 additional years</t>
  </si>
  <si>
    <t>cnMX, CC Adv (X_AdvYes)</t>
  </si>
  <si>
    <t>cnMX_Term (D8)</t>
  </si>
  <si>
    <t>Decline Enhanced HW Support</t>
  </si>
  <si>
    <t>Device Type (_Dev)</t>
  </si>
  <si>
    <t>_Dev</t>
  </si>
  <si>
    <t>cnMatrix Tower Switches and CMM5</t>
  </si>
  <si>
    <t>CMM5 Power and Sync Injector</t>
  </si>
  <si>
    <t>CMM5 Power and Sync Controller</t>
  </si>
  <si>
    <t xml:space="preserve">                                                                                   Cambium Services BOM Configurator</t>
  </si>
  <si>
    <t>XV3-8 Wi-Fi 6</t>
  </si>
  <si>
    <t>XV2-2 Wi-Fi 6</t>
  </si>
  <si>
    <t>Wi-Fi 6 Indoor Access Points</t>
  </si>
  <si>
    <t>Wi-Fi 6 Outdoor Access Point</t>
  </si>
  <si>
    <t>MDP (Max Discount Policy)</t>
  </si>
  <si>
    <t>Deal Reg</t>
  </si>
  <si>
    <t>ANT-CB-10MM-02</t>
  </si>
  <si>
    <t>Antenna cable for XH2-120 antennas. Req 2 per antenna.  10ft (3m)</t>
  </si>
  <si>
    <t>Price Group 1</t>
  </si>
  <si>
    <t>WIFI : Enterprise Accessories : Wi-Fi 5 Accessories</t>
  </si>
  <si>
    <t>Network Products</t>
  </si>
  <si>
    <t>ANT-CB-6MF</t>
  </si>
  <si>
    <t>Optional antenna cable extension for XA4-240.  Req 4 per antenna.  Male RP-SMA to female RP-SMA. 2m</t>
  </si>
  <si>
    <t>ANT-D15-2X2-2G</t>
  </si>
  <si>
    <t>2.4GHz, 18dBi, 15 degree, 2x2 panel antenna with N-female for XH2-120. Cables sold separately</t>
  </si>
  <si>
    <t>ANT-D15-2X2-5G</t>
  </si>
  <si>
    <t>5GHz, 18dBi, 15 degree, 2x2 panel antenna with N-female connector for XH2-120. Cables sold separate</t>
  </si>
  <si>
    <t>ANT-D30-2X2-01</t>
  </si>
  <si>
    <t>2.4GHz/5GHz, 14dBi, 35 degree, 2x2 panel antenna with N-female for XH2-120. Cables sold separately</t>
  </si>
  <si>
    <t>ANT-D30-4X4-01</t>
  </si>
  <si>
    <t>2.4GHz/5GHz, 11dBi/13dBi, 30 degree, 4x4 panel antenna with N-female connectors for XH2-240.</t>
  </si>
  <si>
    <t>ANT-D30-4X4-RP</t>
  </si>
  <si>
    <t>30 degree 4x4 antenna for XA4-240.  4 x 90cm leads male RP-SMA.  Articulating mount incl</t>
  </si>
  <si>
    <t>ANT-D60-2X2-01</t>
  </si>
  <si>
    <t>2.4GHz/5GHz, 8dBi 60 deg 2x2 panel antenna with N-female connector for XH2-120 Cables sold separate</t>
  </si>
  <si>
    <t>ANT-D60-4X4-01</t>
  </si>
  <si>
    <t>2.4GHz/5GHz, 7.5dBi, 60 degree, 4x4 panel antenna with N-female connectors for XH2-240.</t>
  </si>
  <si>
    <t>ANT-D60-4X4-RP</t>
  </si>
  <si>
    <t>60 degree 4x4 antenna for XA4-240.  4 x 90cm long leads male RP-SMA.  Articulating mount incl</t>
  </si>
  <si>
    <t>ANT-D90-2X2-01</t>
  </si>
  <si>
    <t>2.4GHz/5GHz, 6/7dBi 90 deg 2x2 panel antenna N-female connector for XH2-120. Cables sold separate</t>
  </si>
  <si>
    <t>ANT-OM-1X1-03</t>
  </si>
  <si>
    <t>2.4GHz/5GHz, 360 degree, 1x1 antenna (N-Type), long profile 7.6"x0.5" for XH2-120/XH2-240</t>
  </si>
  <si>
    <t>ANT-OM-1X1-04</t>
  </si>
  <si>
    <t>2.4GHz/5GHz, 360 degree, 1x1 stubby antenna (N-Type), compact profile 2.5"x1" for XH2-120/XH2-240</t>
  </si>
  <si>
    <t>ANT-OM-2X2-03</t>
  </si>
  <si>
    <t>2.4GHz/5GHz, 4dBi, omni-directional 360 degree, 2x2 antenna for XH2-120</t>
  </si>
  <si>
    <t>ANT-OM-4X4-01</t>
  </si>
  <si>
    <t>2.4GHz/5GHz, 3dBi, omni-directional 360 deg, 4x4 antenna. 4 x integrated antenna leads for XH2-240</t>
  </si>
  <si>
    <t>AOS-LIC-APPCON-2R</t>
  </si>
  <si>
    <t>Application Control license for a 2-radio AP</t>
  </si>
  <si>
    <t>Xirrus SW Perpetual</t>
  </si>
  <si>
    <t>WIFI : Subscription Enterprise : XMS-C</t>
  </si>
  <si>
    <t>- None -</t>
  </si>
  <si>
    <t>AR-E0CNM12PACT-WW</t>
  </si>
  <si>
    <t>cnMatrix TX1012-P-AC Upgrade to All Risks Advanced Replacement Program during 3-year standard warranty</t>
  </si>
  <si>
    <t>Other : Services : Extended Warranty</t>
  </si>
  <si>
    <t>AR-E0CNM12PDCT-WW</t>
  </si>
  <si>
    <t>cnMatrix TX 1012-P-DC Upgrade to All Risks Advanced Replacement Program during 3 year standard warranty</t>
  </si>
  <si>
    <t>AR-E0CNW28BS-WW</t>
  </si>
  <si>
    <t>28 GHz cnWave Base Station Upgrade to All Risks Advance Replacement during Std Warranty</t>
  </si>
  <si>
    <t>AR-E0CNWCPE-WW</t>
  </si>
  <si>
    <t>28 GHz cnWave CPE Upgrade to All Risks Advance Replacement during Std Warranty</t>
  </si>
  <si>
    <t>AR-E0EPF400-WW</t>
  </si>
  <si>
    <t>ePMP Force 400C Upgrade to All Risks Advanced Replacement Program during 3 year standard warranty</t>
  </si>
  <si>
    <t>AR-E0EPF425-WW</t>
  </si>
  <si>
    <t>ePMP Force 425 Upgrade to All Risks Advanced Replacement Program during 3 year standard warranty</t>
  </si>
  <si>
    <t>AR-E1CNM12PACT-WW</t>
  </si>
  <si>
    <t>cnMatrix TX 1012-P-AC All Risks Advance Replacement, 1 additional year</t>
  </si>
  <si>
    <t>AR-E1CNM12PDCT-WW</t>
  </si>
  <si>
    <t>cnMatrix TX 1012-P-DC All Risks Advance Replacement, 1 additional year</t>
  </si>
  <si>
    <t>AR-E1CNW28BS-WW</t>
  </si>
  <si>
    <t>28 GHz cnWave Base Station All Risks Advance Replacement, 1 Additional Year</t>
  </si>
  <si>
    <t>AR-E1CNWCPE-WW</t>
  </si>
  <si>
    <t>28 GHz cnWave CPE All Risks Advance Replacement, 1 Additional Year</t>
  </si>
  <si>
    <t>AR-E1EPF400-WW</t>
  </si>
  <si>
    <t>ePMP Force 400C All Risks Advance Replacement, 1 additional year</t>
  </si>
  <si>
    <t>AR-E1EPF425-WW</t>
  </si>
  <si>
    <t>ePMP Force 425 All Risks Advance Replacement, 1 additional Year</t>
  </si>
  <si>
    <t>AR-E2CNM12PACT-WW</t>
  </si>
  <si>
    <t>cnMatrix TX1012-P-AC All Risks Advance Replacement, 2 additional years</t>
  </si>
  <si>
    <t>AR-E2CNM12PDCT-WW</t>
  </si>
  <si>
    <t>cnMatrix TX 1012-P-DC All Risks Advance Replacement, 2 additional years</t>
  </si>
  <si>
    <t>AR-E2CNW28BS-WW</t>
  </si>
  <si>
    <t>28 GHz cnWave Base Station All Risks Advance Replacement, 2 Additional Years</t>
  </si>
  <si>
    <t>AR-E2CNWCPE-WW</t>
  </si>
  <si>
    <t>28 GHz cnWave CPE All Risks Advance Replacement, 2 Additional Years</t>
  </si>
  <si>
    <t>AR-E2EPF400-WW</t>
  </si>
  <si>
    <t>ePMP Force 400C All Risks Advance Replacement, 2 additional years</t>
  </si>
  <si>
    <t>AR-E2EPF425-WW</t>
  </si>
  <si>
    <t>ePMP Force 425 All Risks Advance Replacement, 2 additional Years</t>
  </si>
  <si>
    <t>AR-E3CNW28BS-WW</t>
  </si>
  <si>
    <t>28 GHz cnWave Base Station All Risks Advance Replacement, 3 Additional Years</t>
  </si>
  <si>
    <t>AR-E3CNWCPE-WW</t>
  </si>
  <si>
    <t>28 GHz cnWave CPE All Risks Advance Replacement, 3 Additional Years</t>
  </si>
  <si>
    <t>AR-E4CNW28BS-WW</t>
  </si>
  <si>
    <t>28 GHz cnWave Base Station All Risks Advance Replacement, 4 Additional Years</t>
  </si>
  <si>
    <t>AR-E4CNWCPE-WW</t>
  </si>
  <si>
    <t>28 GHz cnWave CPE All Risks Advance Replacement, 4 Additional Years</t>
  </si>
  <si>
    <t>AX-12VDCXXA-WW</t>
  </si>
  <si>
    <t>12VDC, 3A Power Supply, 2.1mm x 5.5mm x 11mm CP DC connector, accepts C13 connector</t>
  </si>
  <si>
    <t>AX-48V1ADCA-WW</t>
  </si>
  <si>
    <t>48V 1A DC power adaptor without cord</t>
  </si>
  <si>
    <t>8504401400</t>
  </si>
  <si>
    <t>cnPilot,ePMP EU,ePMP RoW,ePMP US</t>
  </si>
  <si>
    <t>AX-E510RBKT-WW</t>
  </si>
  <si>
    <t>Mounting Bracket for cnPilot e510 and e505, Wi-Fi 6 XV3-8</t>
  </si>
  <si>
    <t>WIFI : Enterprise Accessories : Wi-Fi 5 Outdoor Accessories</t>
  </si>
  <si>
    <t>AX-ETHJMPRA-WW</t>
  </si>
  <si>
    <t>Flat Cat6 Ethernet Cable, 50mm</t>
  </si>
  <si>
    <t>C000000L029A</t>
  </si>
  <si>
    <t>cnPilot R201 EU, 802.11ac dual band Gigabit WLAN Router with ATA</t>
  </si>
  <si>
    <t>WIFI : WIFI Home : R201</t>
  </si>
  <si>
    <t>cnPilot Home</t>
  </si>
  <si>
    <t>8517.62.0020</t>
  </si>
  <si>
    <t>Obsolete</t>
  </si>
  <si>
    <t>PMP : PMP Accessories : PMP 450 Accessories</t>
  </si>
  <si>
    <t>C000000L047A</t>
  </si>
  <si>
    <t>cnPilot R200P ROW (no cord), 802.11n single band 300Mbps WLAN Router with ATA and PoE</t>
  </si>
  <si>
    <t>WIFI : WIFI Home : R200</t>
  </si>
  <si>
    <t>Cable Gland for 6-10mm cable, M25, Qty 10</t>
  </si>
  <si>
    <t>Cable Gland, Long, for 6-10mm cable, M25, Qty 5</t>
  </si>
  <si>
    <t>PMP : PMP Accessories : 60GHz cnWave Accessories</t>
  </si>
  <si>
    <t>PTP : PTP Accessories : PTP Unlicensed Accessories</t>
  </si>
  <si>
    <t>C000000L176A</t>
  </si>
  <si>
    <t>Cable Gland for 6mm cable, M25, Qty 10</t>
  </si>
  <si>
    <t>C600500D003A</t>
  </si>
  <si>
    <t>60GHz cnWave V3000 Client Node Antenna Assembly, 44.5 dBi, 4 Pack</t>
  </si>
  <si>
    <t>SM30</t>
  </si>
  <si>
    <t>PMP : 60GHz cnWave : V3000</t>
  </si>
  <si>
    <t>Other : Services : Cambium Care Prime</t>
  </si>
  <si>
    <t>Other : Services : Cambium Care Pro</t>
  </si>
  <si>
    <t>Cambium Care Pro Service Category 10 Price Tier 3</t>
  </si>
  <si>
    <t>Other : Services : Cambium Care Advanced</t>
  </si>
  <si>
    <t>CCADV-RNW-1-XE-4000-OUT</t>
  </si>
  <si>
    <t>Cambium Care Advanced, 1-year support renewal for XE-4000-OUTDOOR hardware (electronics only). Includes 24x7 TAC support and NBD advance replacement for HW</t>
  </si>
  <si>
    <t>CCADV-RNW-28GBTS-1</t>
  </si>
  <si>
    <t>Cambium Care Advanced, 1-year support renewal for one 28 GHz cnWave Base Station, Single Sector.� 24x7 TAC support, SW updates, and NBDS advance replacement for HW</t>
  </si>
  <si>
    <t>CCADV-RNW-28GBTS-3</t>
  </si>
  <si>
    <t>Cambium Care Advanced, 3-year support renewal for one 28 GHz cnWave Base Station, Single Sector.� 24x7 TAC support, SW updates, and NBDS advance replacement for HW</t>
  </si>
  <si>
    <t>CCADV-RNW-28GBTS-5</t>
  </si>
  <si>
    <t>Cambium Care Advanced, 5-year support renewal for one 28 GHz cnWave Base Station, Single Sector.� 24x7 TAC support, SW updates, and NBDS advance replacement for HW</t>
  </si>
  <si>
    <t>CCADV-RNW-28GCPE-1</t>
  </si>
  <si>
    <t>Cambium Care Advanced, 1-year support renewal for one 28 GHz cnWave CPE.� 24x7 TAC support, SW updates, and NBDS advance replacement for HW</t>
  </si>
  <si>
    <t>CCADV-RNW-28GCPE-3</t>
  </si>
  <si>
    <t>Cambium Care Advanced, 3-year support renewal for one 28 GHz cnWave CPE.� 24x7 TAC support, SW updates, and NBDS advance replacement for HW</t>
  </si>
  <si>
    <t>CCADV-RNW-28GCPE-5</t>
  </si>
  <si>
    <t>Cambium Care Advanced, 5-year support renewal for one 28 GHz cnWave CPE.� 24x7 TAC support, SW updates, and NBDS advance replacement for HW</t>
  </si>
  <si>
    <t>Cambium Care Advanced, 1-year support renewal for one cnPilot e410.� 24x7 TAC support, SW updates, and NBDS advance replacement for HW</t>
  </si>
  <si>
    <t>Cambium Care Advanced, 3-year support renewal for one cnPilot e410.� 24x7 TAC support, SW updates, and NBDS advance replacement for HW</t>
  </si>
  <si>
    <t>Cambium Care Advanced, 5-year support renewal for one cnPilot e410.� 24x7 TAC support, SW updates, and NBDS advance replacement for HW</t>
  </si>
  <si>
    <t>Cambium Care Advanced, 1-year support renewal for one cnPilot e425.� 24x7 TAC support, SW updates, and NBDS advance replacement for HW</t>
  </si>
  <si>
    <t>Cambium Care Advanced, 3-year support renewal for one cnPilot e425.� 24x7 TAC support, SW updates, and NBDS advance replacement for HW</t>
  </si>
  <si>
    <t>Cambium Care Advanced, 5-year support renewal for one cnPilot e425.� 24x7 TAC support, SW updates, and NBDS advance replacement for HW</t>
  </si>
  <si>
    <t>Cambium Care Advanced, 1-year support renewal for one cnPilot e430.� 24x7 TAC support, SW updates, and NBDS advance replacement for HW</t>
  </si>
  <si>
    <t>Cambium Care Advanced, 3-year support renewal for one cnPilot e430.� 24x7 TAC support, SW updates, and NBDS advance replacement for HW</t>
  </si>
  <si>
    <t>Cambium Care Advanced, 5-year support renewal for one cnPilot e430.� 24x7 TAC support, SW updates, and NBDS advance replacement for HW</t>
  </si>
  <si>
    <t>Cambium Care Advanced, 3-year support renewal for one cnPilot e500.� 24x7 TAC support, SW updates, and NBDS advance replacement for HW</t>
  </si>
  <si>
    <t>Cambium Care Advanced, 5-year support renewal for one cnPilot e500.� 24x7 TAC support, SW updates, and NBDS advance replacement for HW</t>
  </si>
  <si>
    <t>Cambium Care Advanced, 3-year support renewal for one cnPilot e501S.� 24x7 TAC support, SW updates, and NBDS advance replacement for HW</t>
  </si>
  <si>
    <t>Cambium Care Advanced, 5-year support renewal for one cnPilot e501S.� 24x7 TAC support, SW updates, and NBDS advance replacement for HW</t>
  </si>
  <si>
    <t>Cambium Care Advanced, 3-year support renewal for one cnPilot e502S.� 24x7 TAC support, SW updates, and NBDS advance replacement for HW</t>
  </si>
  <si>
    <t>Cambium Care Advanced, 5-year support renewal for one cnPilot e502S.� 24x7 TAC support, SW updates, and NBDS advance replacement for HW</t>
  </si>
  <si>
    <t>Cambium Care Advanced, 3-year support renewal for one cnPilot e505.� 24x7 TAC support, SW updates, and NBDS advance replacement for HW</t>
  </si>
  <si>
    <t>Cambium Care Advanced, 5-year support renewal for one cnPilot e505.� 24x7 TAC support, SW updates, and NBDS advance replacement for HW</t>
  </si>
  <si>
    <t>Cambium Care Advanced, 3-year support renewal for one cnPilot e510.� 24x7 TAC support, SW updates, and NBDS advance replacement for HW</t>
  </si>
  <si>
    <t>Cambium Care Advanced, 5-year support renewal for one cnPilot e510.� 24x7 TAC support, SW updates, and NBDS advance replacement for HW</t>
  </si>
  <si>
    <t>Cambium Care Advanced, 3-year support renewal for one cnPilot e600.� 24x7 TAC support, SW updates, and NBDS advance replacement for HW</t>
  </si>
  <si>
    <t>Cambium Care Advanced, 5-year support renewal for one cnPilot e600.� 24x7 TAC support, SW updates, and NBDS advance replacement for HW</t>
  </si>
  <si>
    <t>Cambium Care Advanced, 3-year support renewal for one cnPilot e700.� 24x7 TAC support, SW updates, and NBDS advance replacement for HW</t>
  </si>
  <si>
    <t>Cambium Care Advanced, 5-year support renewal for one cnPilot e700.� 24x7 TAC support, SW updates, and NBDS advance replacement for HW</t>
  </si>
  <si>
    <t>Cambium Care Advanced, 3-year support renewal for one EX1010.� 24x7 TAC support, SW updates, and NBDS advance replacement for HW</t>
  </si>
  <si>
    <t>Cambium Care Advanced, 5-year support renewal for one EX1010.� 24x7 TAC support, SW updates, and NBDS advance replacement for HW</t>
  </si>
  <si>
    <t>Cambium Care Advanced, 3-year support renewal for one EX1010-P.� 24x7 TAC support, SW updates, and NBDS advance replacement for HW</t>
  </si>
  <si>
    <t>Cambium Care Advanced, 5-year support renewal for one EX1010-P.� 24x7 TAC support, SW updates, and NBDS advance replacement for HW</t>
  </si>
  <si>
    <t>Cambium Care Advanced, 3-year support renewal for one EX1028.� 24x7 TAC support, SW updates, and NBDS advance replacement for HW</t>
  </si>
  <si>
    <t>Cambium Care Advanced, 5-year support renewal for one EX1028.� 24x7 TAC support, SW updates, and NBDS advance replacement for HW</t>
  </si>
  <si>
    <t>Cambium Care Advanced, 3-year support renewal for one EX1028-P.� 24x7 TAC support, SW updates, and NBDS advance replacement for HW</t>
  </si>
  <si>
    <t>Cambium Care Advanced, 5-year support renewal for one EX1028-P.� 24x7 TAC support, SW updates, and NBDS advance replacement for HW</t>
  </si>
  <si>
    <t>Cambium Care Advanced, 3-year support renewal for one EX2010.� 24x7 TAC support, SW updates, and NBDS advance replacement for HW</t>
  </si>
  <si>
    <t>Cambium Care Advanced, 5-year support renewal for one EX2010.� 24x7 TAC support, SW updates, and NBDS advance replacement for HW</t>
  </si>
  <si>
    <t>Cambium Care Advanced, 3-year support renewal for one EX2010-P.� 24x7 TAC support, SW updates, and NBDS advance replacement for HW</t>
  </si>
  <si>
    <t>Cambium Care Advanced, 5-year support renewal for one EX2010-P.� 24x7 TAC support, SW updates, and NBDS advance replacement for HW</t>
  </si>
  <si>
    <t>Cambium Care Advanced, 3-year support renewal for one EX2016M-P.� 24x7 TAC support, SW updates, and NBDS advance replacement for HW</t>
  </si>
  <si>
    <t>Cambium Care Advanced, 5-year support renewal for one EX2016M-P.� 24x7 TAC support, SW updates, and NBDS advance replacement for HW</t>
  </si>
  <si>
    <t>Cambium Care Advanced, 3-year support renewal for one EX2028.� 24x7 TAC support, SW updates, and NBDS advance replacement for HW</t>
  </si>
  <si>
    <t>Cambium Care Advanced, 5-year support renewal for one EX2028.� 24x7 TAC support, SW updates, and NBDS advance replacement for HW</t>
  </si>
  <si>
    <t>Cambium Care Advanced, 3-year support renewal for one EX2028-P.� 24x7 TAC support, SW updates, and NBDS advance replacement for HW</t>
  </si>
  <si>
    <t>Cambium Care Advanced, 5-year support renewal for one EX2028-P.� 24x7 TAC support, SW updates, and NBDS advance replacement for HW</t>
  </si>
  <si>
    <t>Cambium Care Advanced, 3-year support renewal for one EX2052.� 24x7 TAC support, SW updates, and NBDS advance replacement for HW</t>
  </si>
  <si>
    <t>Cambium Care Advanced, 5-year support renewal for one EX2052.� 24x7 TAC support, SW updates, and NBDS advance replacement for HW</t>
  </si>
  <si>
    <t>Cambium Care Advanced, 3-year support renewal for one EX2052-P.� 24x7 TAC support, SW updates, and NBDS advance replacement for HW</t>
  </si>
  <si>
    <t>Cambium Care Advanced, 5-year support renewal for one EX2052-P.� 24x7 TAC support, SW updates, and NBDS advance replacement for HW</t>
  </si>
  <si>
    <t>Cambium Care Advanced, 3-year support renewal for one EX2052R-P.� 24x7 TAC support, SW updates, and NBDS advance replacement for HW</t>
  </si>
  <si>
    <t>Cambium Care Advanced, 5-year support renewal for one EX2052R-P.� 24x7 TAC support, SW updates, and NBDS advance replacement for HW</t>
  </si>
  <si>
    <t>Cambium Care Advanced, 3-year support renewal for one TX2012R-P.� 24x7 TAC support, SW updates, and NBDS advance replacement for HW</t>
  </si>
  <si>
    <t>Cambium Care Advanced, 5-year support renewal for one TX2012R-P.� 24x7 TAC support, SW updates, and NBDS advance replacement for HW</t>
  </si>
  <si>
    <t>Cambium Care Advanced, 3-year support renewal for one TX2020R-P.� 24x7 TAC support, SW updates, and NBDS advance replacement for HW</t>
  </si>
  <si>
    <t>Cambium Care Advanced, 5-year support renewal for one TX2020R-P.� 24x7 TAC support, SW updates, and NBDS advance replacement for HW</t>
  </si>
  <si>
    <t>Cambium Care Advanced, 3-year support renewal for one TX2028RF-P.� 24x7 TAC support, SW updates, and NBDS advance replacement for HW</t>
  </si>
  <si>
    <t>Cambium Care Advanced, 5-year support renewal for one TX2028RF-P.� 24x7 TAC support, SW updates, and NBDS advance replacement for HW</t>
  </si>
  <si>
    <t>Cambium Care Advanced, 3-year support renewal for one V1000.� 24x7 TAC support, SW updates, and NBDS advance replacement for HW</t>
  </si>
  <si>
    <t>Cambium Care Advanced, 5-year support renewal for one V1000.� 24x7 TAC support, SW updates, and NBDS advance replacement for HW</t>
  </si>
  <si>
    <t>Cambium Care Advanced, 3-year support renewal for one V3000.� 24x7 TAC support, SW updates, and NBDS advance replacement for HW</t>
  </si>
  <si>
    <t>Cambium Care Advanced, 5-year support renewal for one V3000.� 24x7 TAC support, SW updates, and NBDS advance replacement for HW</t>
  </si>
  <si>
    <t>Cambium Care Advanced, 3-year support renewal for one V5000.� 24x7 TAC support, SW updates, and NBDS advance replacement for HW</t>
  </si>
  <si>
    <t>Cambium Care Advanced, 5-year support renewal for one V5000.� 24x7 TAC support, SW updates, and NBDS advance replacement for HW</t>
  </si>
  <si>
    <t>Cambium Care Advanced, 3-year support renewal for one XV2-2.� 24x7 TAC support, SW updates, and NBDS advance replacement for HW</t>
  </si>
  <si>
    <t>Cambium Care Advanced, 5-year support renewal for one XV2-2.� 24x7 TAC support, SW updates, and NBDS advance replacement for HW</t>
  </si>
  <si>
    <t>Cambium Care Advanced, 3-year support renewal for one XV3-8.� 24x7 TAC support, SW updates, and NBDS advance replacement for HW</t>
  </si>
  <si>
    <t>Cambium Care Advanced, 5-year support renewal for one XV3-8.� 24x7 TAC support, SW updates, and NBDS advance replacement for HW</t>
  </si>
  <si>
    <t>CCADV-SUB-X2-1</t>
  </si>
  <si>
    <t>Cambium Care Advanced Support 1 year subscription: one X2 Wireless AP</t>
  </si>
  <si>
    <t>CCADV-SUB-X2-3</t>
  </si>
  <si>
    <t>Cambium Care Advanced Support 3 year subscription: one X2 Wireless AP</t>
  </si>
  <si>
    <t>CCADV-SUB-X2-5</t>
  </si>
  <si>
    <t>Cambium Care Advanced Support 5 year subscription: one X2 Wireless AP</t>
  </si>
  <si>
    <t>CCADV-SUB-XA4-1</t>
  </si>
  <si>
    <t>Cambium Care Advanced Support 1 year subscription: one XA4 Wireless AP</t>
  </si>
  <si>
    <t>CCADV-SUB-XA4-3</t>
  </si>
  <si>
    <t>Cambium Care Advanced Support 3 year subscription: one XA4 Wireless AP</t>
  </si>
  <si>
    <t>CCADV-SUB-XA4-5</t>
  </si>
  <si>
    <t>Cambium Care Advanced Support 5 year subscription: one XA4 Wireless AP</t>
  </si>
  <si>
    <t>CCADV-SUB-XD2-230-1</t>
  </si>
  <si>
    <t>Cambium Care Advanced Support 1 year subscription: one XD2-230 Wireless AP</t>
  </si>
  <si>
    <t>CCADV-SUB-XD2-230-3</t>
  </si>
  <si>
    <t>Cambium Care Advanced Support 3 year subscription: one XD2-230 Wireless AP</t>
  </si>
  <si>
    <t>CCADV-SUB-XD2-230-5</t>
  </si>
  <si>
    <t>Cambium Care Advanced Support 5 year subscription: one XD2-230 Wireless AP</t>
  </si>
  <si>
    <t>CCADV-SUB-XD2-240-1</t>
  </si>
  <si>
    <t>Cambium Care Advanced Support 1 year subscription: one XD2-240 Wireless AP</t>
  </si>
  <si>
    <t>CCADV-SUB-XD2-240-3</t>
  </si>
  <si>
    <t>Cambium Care Advanced Support 3 year subscription: one XD2-240 Wireless AP</t>
  </si>
  <si>
    <t>CCADV-SUB-XD2-240-5</t>
  </si>
  <si>
    <t>Cambium Care Advanced Support 5 year subscription: one XD2-240 Wireless AP</t>
  </si>
  <si>
    <t>CCADV-SUB-XD4-1</t>
  </si>
  <si>
    <t>Cambium Care Advanced Support 1 year subscription: one XD4 Wireless AP</t>
  </si>
  <si>
    <t>CCADV-SUB-XD4-3</t>
  </si>
  <si>
    <t>Cambium Care Advanced Support 3 year subscription: one XD4 Wireless AP</t>
  </si>
  <si>
    <t>CCADV-SUB-XD4-5</t>
  </si>
  <si>
    <t>Cambium Care Advanced Support 5 year subscription: one XD4 Wireless AP</t>
  </si>
  <si>
    <t>CCADV-SUB-XE-4KOD-1</t>
  </si>
  <si>
    <t>Cambium Care Advanced Support 1 year subscription: XE-4000-OUTDOOR hardware (electronics only)</t>
  </si>
  <si>
    <t>CCADV-SUB-XE-4KOD-3</t>
  </si>
  <si>
    <t>Cambium Care Advanced Support 3 year subscription: XE-4000-OUTDOOR hardware (electronics only)</t>
  </si>
  <si>
    <t>CCADV-SUB-XE-4KOD-5</t>
  </si>
  <si>
    <t>Cambium Care Advanced Support 5 year subscription: XE-4000-OUTDOOR hardware (electronics only)</t>
  </si>
  <si>
    <t>CCADV-SUB-XH2-1</t>
  </si>
  <si>
    <t>Cambium Care Advanced Support 1 year subscription: one XH2 Wireless AP</t>
  </si>
  <si>
    <t>CCADV-SUB-XH2-3</t>
  </si>
  <si>
    <t>Cambium Care Advanced Support 3 year subscription: one XH2 Wireless AP</t>
  </si>
  <si>
    <t>CCADV-SUB-XH2-5</t>
  </si>
  <si>
    <t>Cambium Care Advanced Support 5 year subscription: one XH2 Wireless AP</t>
  </si>
  <si>
    <t>CCADV-SUB-XP8-MSI-1</t>
  </si>
  <si>
    <t>Cambium Care Advanced Support 1 year subscription: XP8-MSI hardware</t>
  </si>
  <si>
    <t>CCADV-SUB-XP8-MSI-3</t>
  </si>
  <si>
    <t>Cambium Care Advanced Support 3 year subscription: XP8-MSI hardware</t>
  </si>
  <si>
    <t>CCADV-SUB-XP8-MSI-5</t>
  </si>
  <si>
    <t>Cambium Care Advanced Support 5 year subscription: XP8-MSI hardware</t>
  </si>
  <si>
    <t>CCADV-SUB-XR-300-1</t>
  </si>
  <si>
    <t>Cambium Care Advanced Support 1 year subscription: one XR-300 Wireless AP</t>
  </si>
  <si>
    <t>CCADV-SUB-XR-300-3</t>
  </si>
  <si>
    <t>Cambium Care Advanced Support 3 year subscription: one XR-300 Wireless AP</t>
  </si>
  <si>
    <t>CCADV-SUB-XR-300-5</t>
  </si>
  <si>
    <t>Cambium Care Advanced Support 5 year subscription: one XR-300 Wireless AP</t>
  </si>
  <si>
    <t>CCADV-SUB-XR-600-1</t>
  </si>
  <si>
    <t>Cambium Care Advanced Support 1 year subscription: one XR-600 Wireless AP</t>
  </si>
  <si>
    <t>CCADV-SUB-XR-600-3</t>
  </si>
  <si>
    <t>Cambium Care Advanced Support 3 year subscription: one XR-600 Wireless AP</t>
  </si>
  <si>
    <t>CCADV-SUB-XR-600-5</t>
  </si>
  <si>
    <t>Cambium Care Advanced Support 5 year subscription: one XR-600 Wireless AP</t>
  </si>
  <si>
    <t>CCADV-SUP-28GBTS-1</t>
  </si>
  <si>
    <t>Cambium Care Advanced, 1-year support for one 28 GHz cnWave Base Station, Single Sector.� 24x7 TAC support, SW updates, and NBDS advance replacement for HW</t>
  </si>
  <si>
    <t>CCADV-SUP-28GBTS-3</t>
  </si>
  <si>
    <t>Cambium Care Advanced, 3-year support for one 28 GHz cnWave Base Station, Single Sector.� 24x7 TAC support, SW updates, and NBDS advance replacement for HW</t>
  </si>
  <si>
    <t>CCADV-SUP-28GBTS-5</t>
  </si>
  <si>
    <t>Cambium Care Advanced, 5-year support for one 28 GHz cnWave Base Station, Single Sector.� 24x7 TAC support, SW updates, and NBDS advance replacement for HW</t>
  </si>
  <si>
    <t>CCADV-SUP-28GCPE-1</t>
  </si>
  <si>
    <t>Cambium Care Advanced, 1-year support for one 28 GHz cnWave CPE.� 24x7 TAC support, SW updates, and NBDS advance replacement for HW</t>
  </si>
  <si>
    <t>CCADV-SUP-28GCPE-3</t>
  </si>
  <si>
    <t>Cambium Care Advanced, 3-year support for one 28 GHz cnWave CPE.� 24x7 TAC support, SW updates, and NBDS advance replacement for HW</t>
  </si>
  <si>
    <t>CCADV-SUP-28GCPE-5</t>
  </si>
  <si>
    <t>Cambium Care Advanced, 5-year support for one 28 GHz cnWave CPE.� 24x7 TAC support, SW updates, and NBDS advance replacement for HW</t>
  </si>
  <si>
    <t>Cambium Care Advanced, 1-year support for one cnPilot e410.� 24x7 TAC support, SW updates, and NBDS advance replacement for HW</t>
  </si>
  <si>
    <t>Network Products,WIFI6,cnMatrix,cnPilot</t>
  </si>
  <si>
    <t>Cambium Care Advanced, 3-year support for one cnPilot e410.� 24x7 TAC support, SW updates, and NBDS advance replacement for HW</t>
  </si>
  <si>
    <t>Cambium Care Advanced, 5-year support for one cnPilot e410.� 24x7 TAC support, SW updates, and NBDS advance replacement for HW</t>
  </si>
  <si>
    <t>Cambium Care Advanced, 1-year support for one cnPilot e425.� 24x7 TAC support, SW updates, and NBDS advance replacement for HW</t>
  </si>
  <si>
    <t>Cambium Care Advanced, 3-year support for one cnPilot e425.� 24x7 TAC support, SW updates, and NBDS advance replacement for HW</t>
  </si>
  <si>
    <t>Cambium Care Advanced, 5-year support for one cnPilot e425.� 24x7 TAC support, SW updates, and NBDS advance replacement for HW</t>
  </si>
  <si>
    <t>Cambium Care Advanced, 1-year support for one cnPilot e430.� 24x7 TAC support, SW updates, and NBDS advance replacement for HW</t>
  </si>
  <si>
    <t>Cambium Care Advanced, 3-year support for one cnPilot e430.� 24x7 TAC support, SW updates, and NBDS advance replacement for HW</t>
  </si>
  <si>
    <t>Cambium Care Advanced, 5-year support for one cnPilot e430.� 24x7 TAC support, SW updates, and NBDS advance replacement for HW</t>
  </si>
  <si>
    <t>Cambium Care Advanced, 3-year support for one cnPilot e500.� 24x7 TAC support, SW updates, and NBDS advance replacement for HW</t>
  </si>
  <si>
    <t>Cambium Care Advanced, 5-year support for one cnPilot e500.� 24x7 TAC support, SW updates, and NBDS advance replacement for HW</t>
  </si>
  <si>
    <t>Cambium Care Advanced, 3-year support for one cnPilot e501S.� 24x7 TAC support, SW updates, and NBDS advance replacement for HW</t>
  </si>
  <si>
    <t>Cambium Care Advanced, 5-year support for one cnPilot e501S.� 24x7 TAC support, SW updates, and NBDS advance replacement for HW</t>
  </si>
  <si>
    <t>Cambium Care Advanced, 3-year support for one cnPilot e502S.� 24x7 TAC support, SW updates, and NBDS advance replacement for HW</t>
  </si>
  <si>
    <t>Cambium Care Advanced, 5-year support for one cnPilot e502S.� 24x7 TAC support, SW updates, and NBDS advance replacement for HW</t>
  </si>
  <si>
    <t>Cambium Care Advanced, 3-year support for one cnPilot e505.� 24x7 TAC support, SW updates, and NBDS advance replacement for HW</t>
  </si>
  <si>
    <t>Cambium Care Advanced, 5-year support for one cnPilot e505.� 24x7 TAC support, SW updates, and NBDS advance replacement for HW</t>
  </si>
  <si>
    <t>Cambium Care Advanced, 3-year support for one cnPilot e510.� 24x7 TAC support, SW updates, and NBDS advance replacement for HW</t>
  </si>
  <si>
    <t>Cambium Care Advanced, 5-year support for one cnPilot e510.� 24x7 TAC support, SW updates, and NBDS advance replacement for HW</t>
  </si>
  <si>
    <t>Cambium Care Advanced, 3-year support for one cnPilot e600.� 24x7 TAC support, SW updates, and NBDS advance replacement for HW</t>
  </si>
  <si>
    <t>Cambium Care Advanced, 5-year support for one cnPilot e600.� 24x7 TAC support, SW updates, and NBDS advance replacement for HW</t>
  </si>
  <si>
    <t>Cambium Care Advanced, 1-year support for one EX1010.� 24x7 TAC support, SW updates, and NBDS advance replacement for HW</t>
  </si>
  <si>
    <t>Cambium Care Advanced, 3-year support for one EX1010.� 24x7 TAC support, SW updates, and NBDS advance replacement for HW</t>
  </si>
  <si>
    <t>Cambium Care Advanced, 5-year support for one EX1010.� 24x7 TAC support, SW updates, and NBDS advance replacement for HW</t>
  </si>
  <si>
    <t>Cambium Care Advanced, 1-year support for one EX1010-P.� 24x7 TAC support, SW updates, and NBDS advance replacement for HW</t>
  </si>
  <si>
    <t>Cambium Care Advanced, 3-year support for one EX1010-P.� 24x7 TAC support, SW updates, and NBDS advance replacement for HW</t>
  </si>
  <si>
    <t>Cambium Care Advanced, 5-year support for one EX1010-P.� 24x7 TAC support, SW updates, and NBDS advance replacement for HW</t>
  </si>
  <si>
    <t>Cambium Care Advanced, 1-year support for one EX1028.� 24x7 TAC support, SW updates, and NBDS advance replacement for HW</t>
  </si>
  <si>
    <t>Cambium Care Advanced, 3-year support for one EX1028.� 24x7 TAC support, SW updates, and NBDS advance replacement for HW</t>
  </si>
  <si>
    <t>Cambium Care Advanced, 5-year support for one EX1028.� 24x7 TAC support, SW updates, and NBDS advance replacement for HW</t>
  </si>
  <si>
    <t>Cambium Care Advanced, 1-year support for one EX1028-P.� 24x7 TAC support, SW updates, and NBDS advance replacement for HW</t>
  </si>
  <si>
    <t>Cambium Care Advanced, 3-year support for one EX1028-P.� 24x7 TAC support, SW updates, and NBDS advance replacement for HW</t>
  </si>
  <si>
    <t>Cambium Care Advanced, 5-year support for one EX1028-P.� 24x7 TAC support, SW updates, and NBDS advance replacement for HW</t>
  </si>
  <si>
    <t>Cambium Care Advanced, 1-year support for one EX2010.� 24x7 TAC support, SW updates, and NBDS advance replacement for HW</t>
  </si>
  <si>
    <t>Cambium Care Advanced, 3-year support for one EX2010.� 24x7 TAC support, SW updates, and NBDS advance replacement for HW</t>
  </si>
  <si>
    <t>Cambium Care Advanced, 5-year support for one EX2010.� 24x7 TAC support, SW updates, and NBDS advance replacement for HW</t>
  </si>
  <si>
    <t>Cambium Care Advanced, 1-year support for one cnMatrix EX2010-P.  24x7 TAC support, SW updates, and NBDS advance replacement for HW</t>
  </si>
  <si>
    <t>Cambium Care Advanced, 3-year support for one cnMatrix EX2010-P.  24x7 TAC support, SW updates, and NBDS advance replacement for HW</t>
  </si>
  <si>
    <t>Cambium Care Advanced, 5-year support for one cnMatrix EX2010-P.  24x7 TAC support, SW updates, and NBDS advance replacement for HW</t>
  </si>
  <si>
    <t>Cambium Care Advanced, 1-year support for one EX2016M-P.� 24x7 TAC support, SW updates, and NBDS advance replacement for HW</t>
  </si>
  <si>
    <t>Cambium Care Advanced, 3-year support for one EX2016M-P.� 24x7 TAC support, SW updates, and NBDS advance replacement for HW</t>
  </si>
  <si>
    <t>Cambium Care Advanced, 5-year support for one EX2016M-P.� 24x7 TAC support, SW updates, and NBDS advance replacement for HW</t>
  </si>
  <si>
    <t>Cambium Care Advanced, 1-year support for one EX2028.� 24x7 TAC support, SW updates, and NBDS advance replacement for HW</t>
  </si>
  <si>
    <t>Cambium Care Advanced, 3-year support for one EX2028.� 24x7 TAC support, SW updates, and NBDS advance replacement for HW</t>
  </si>
  <si>
    <t>Cambium Care Advanced, 5-year support for one EX2028.� 24x7 TAC support, SW updates, and NBDS advance replacement for HW</t>
  </si>
  <si>
    <t>Cambium Care Advanced, 1-year support for one EX2028-P.� 24x7 TAC support, SW updates, and NBDS advance replacement for HW</t>
  </si>
  <si>
    <t>Cambium Care Advanced, 3-year support for one EX2028-P.� 24x7 TAC support, SW updates, and NBDS advance replacement for HW</t>
  </si>
  <si>
    <t>Cambium Care Advanced, 5-year support for one EX2028-P.� 24x7 TAC support, SW updates, and NBDS advance replacement for HW</t>
  </si>
  <si>
    <t>Cambium Care Advanced, 1-year support for one EX2052.� 24x7 TAC support, SW updates, and NBDS advance replacement for HW</t>
  </si>
  <si>
    <t>Cambium Care Advanced, 3-year support for one EX2052.� 24x7 TAC support, SW updates, and NBDS advance replacement for HW</t>
  </si>
  <si>
    <t>Cambium Care Advanced, 5-year support for one EX2052.� 24x7 TAC support, SW updates, and NBDS advance replacement for HW</t>
  </si>
  <si>
    <t>Cambium Care Advanced, 1-year support for one EX2052-P.� 24x7 TAC support, SW updates, and NBDS advance replacement for HW</t>
  </si>
  <si>
    <t>Cambium Care Advanced, 3-year support for one EX2052-P.� 24x7 TAC support, SW updates, and NBDS advance replacement for HW</t>
  </si>
  <si>
    <t>Cambium Care Advanced, 5-year support for one EX2052-P.� 24x7 TAC support, SW updates, and NBDS advance replacement for HW</t>
  </si>
  <si>
    <t>Cambium Care Advanced, 1-year support for one EX2052R-P.� 24x7 TAC support, SW updates, and NBDS advance replacement for HW</t>
  </si>
  <si>
    <t>Cambium Care Advanced, 3-year support for one EX2052R-P.� 24x7 TAC support, SW updates, and NBDS advance replacement for HW</t>
  </si>
  <si>
    <t>Cambium Care Advanced, 5-year support for one EX2052R-P.� 24x7 TAC support, SW updates, and NBDS advance replacement for HW</t>
  </si>
  <si>
    <t>CCADV-SUP-XE3-4-1</t>
  </si>
  <si>
    <t>Cambium Care Advanced, 1-year support for one XE3-4 Wireless AP. 24x7 TAC support, SW updates, and NBDS advance replacement for HW</t>
  </si>
  <si>
    <t>CCADV-SUP-XE3-4-3</t>
  </si>
  <si>
    <t>Cambium Care Advanced, 3-year support for one XE3-4 Wireless AP. 24x7 TAC support, SW updates, and NBDS advance replacement for HW</t>
  </si>
  <si>
    <t>CCADV-SUP-XE3-4-5</t>
  </si>
  <si>
    <t>Cambium Care Advanced, 5-year support for one XE3-4 Wireless AP. 24x7 TAC support, SW updates, and NBDS advance replacement for HW</t>
  </si>
  <si>
    <t>CCADV-UPG-28GBTS-1</t>
  </si>
  <si>
    <t>Cambium Care Advanced Add-on to cnMaestro X, 1-year support for one 28 GHz cnWave Base Station, Single Sector.� 24x7 TAC support, SW updates, and NBDS advance replacement for HW</t>
  </si>
  <si>
    <t>CCADV-UPG-28GBTS-3</t>
  </si>
  <si>
    <t>Cambium Care Advanced Add-on to cnMaestro X, 3-year support for one 28 GHz cnWave Base Station, Single Sector.� 24x7 TAC support, SW updates, and NBDS advance replacement for HW</t>
  </si>
  <si>
    <t>CCADV-UPG-28GBTS-5</t>
  </si>
  <si>
    <t>Cambium Care Advanced Add-on to cnMaestro X, 5-year support for one 28 GHz cnWave Base Station, Single Sector.� 24x7 TAC support, SW updates, and NBDS advance replacement for HW</t>
  </si>
  <si>
    <t>CCADV-UPG-28GCPE-1</t>
  </si>
  <si>
    <t>Cambium Care Advanced Add-on to cnMaestro X, 1-year support for one 28 GHz cnWave CPE.� 24x7 TAC support, SW updates, and NBDS advance replacement for HW</t>
  </si>
  <si>
    <t>CCADV-UPG-28GCPE-3</t>
  </si>
  <si>
    <t>Cambium Care Advanced Add-on to cnMaestro X, 3-year support for one 28 GHz cnWave CPE.� 24x7 TAC support, SW updates, and NBDS advance replacement for HW</t>
  </si>
  <si>
    <t>CCADV-UPG-28GCPE-5</t>
  </si>
  <si>
    <t>Cambium Care Advanced Add-on to cnMaestro X, 5-year support for one 28 GHz cnWave CPE.� 24x7 TAC support, SW updates, and NBDS advance replacement for HW</t>
  </si>
  <si>
    <t>Cambium Care Advanced Add-on to cnMaestro X, 1-year support for one cnPilot e410.� 24x7 TAC support, SW updates, and NBDS advance replacement for HW</t>
  </si>
  <si>
    <t>Cambium Care Advanced Add-on to cnMaestro X, 3-year support for one cnPilot e410.� 24x7 TAC support, SW updates, and NBDS advance replacement for HW</t>
  </si>
  <si>
    <t>Cambium Care Advanced Add-on to cnMaestro X, 5-year support for one cnPilot e410.� 24x7 TAC support, SW updates, and NBDS advance replacement for HW</t>
  </si>
  <si>
    <t>Cambium Care Advanced  Add-on to cnMaestro X, 1-year support for one cnPilot e425.� 24x7 TAC support, SW updates, and NBDS advance replacement for HW</t>
  </si>
  <si>
    <t>Cambium Care Advanced Add-on to cnMaestro X, 3-year support for one cnPilot e425.� 24x7 TAC support, SW updates, and NBDS advance replacement for HW</t>
  </si>
  <si>
    <t>Cambium Care Advanced Add-on to cnMaestro X, 5-year support for one cnPilot e425.� 24x7 TAC support, SW updates, and NBDS advance replacement for HW</t>
  </si>
  <si>
    <t>Cambium Care Advanced Add-on to cnMaestro X, 1-year support for one cnPilot e430.� 24x7 TAC support, SW updates, and NBDS advance replacement for HW</t>
  </si>
  <si>
    <t>Cambium Care Advanced Add-on to cnMaestro X, 3-year support for one cnPilot e430.� 24x7 TAC support, SW updates, and NBDS advance replacement for HW</t>
  </si>
  <si>
    <t>Cambium Care Advanced Add-on to cnMaestro X, 5-year support for one cnPilot e430.� 24x7 TAC support, SW updates, and NBDS advance replacement for HW</t>
  </si>
  <si>
    <t>Cambium Care Advanced Add-on to cnMaestro X, 3-year support for one cnPilot e500.� 24x7 TAC support, SW updates, and NBDS advance replacement for HW</t>
  </si>
  <si>
    <t>Cambium Care Advanced Add-on to cnMaestro X, 5-year support for one cnPilot e500.� 24x7 TAC support, SW updates, and NBDS advance replacement for HW</t>
  </si>
  <si>
    <t>Cambium Care Advanced Add-on to cnMaestro X, 3-year support for one cnPilot e501S.� 24x7 TAC support, SW updates, and NBDS advance replacement for HW</t>
  </si>
  <si>
    <t>Cambium Care Advanced Add-on to cnMaestro X, 5-year support for one cnPilot e501S.� 24x7 TAC support, SW updates, and NBDS advance replacement for HW</t>
  </si>
  <si>
    <t>Cambium Care Advanced Add-on to cnMaestro X, 3-year support for one cnPilot e502S.� 24x7 TAC support, SW updates, and NBDS advance replacement for HW</t>
  </si>
  <si>
    <t>Cambium Care Advanced Add-on to cnMaestro X, 5-year support for one cnPilot e502S.� 24x7 TAC support, SW updates, and NBDS advance replacement for HW</t>
  </si>
  <si>
    <t>Cambium Care Advanced Add-on to cnMaestro X, 3-year support for one cnPilot e505.� 24x7 TAC support, SW updates, and NBDS advance replacement for HW</t>
  </si>
  <si>
    <t>Cambium Care Advanced Add-on to cnMaestro X, 5-year support for one cnPilot e505.� 24x7 TAC support, SW updates, and NBDS advance replacement for HW</t>
  </si>
  <si>
    <t>Cambium Care Advanced Add-on to cnMaestro X, 3-year support for one cnPilot e510.� 24x7 TAC support, SW updates, and NBDS advance replacement for HW</t>
  </si>
  <si>
    <t>Cambium Care Advanced Add-on to cnMaestro X, 5-year support for one cnPilot e510.� 24x7 TAC support, SW updates, and NBDS advance replacement for HW</t>
  </si>
  <si>
    <t>Cambium Care Advanced Add-on to cnMaestro X, 3-year support for one cnPilot e600.� 24x7 TAC support, SW updates, and NBDS advance replacement for HW</t>
  </si>
  <si>
    <t>Cambium Care Advanced Add-on to cnMaestro X, 5-year support for one cnPilot e600.� 24x7 TAC support, SW updates, and NBDS advance replacement for HW</t>
  </si>
  <si>
    <t>Cambium Care Advanced Add-on to cnMaestro X, 3-year support for one cnPilot e700.� 24x7 TAC support, SW updates, and NBDS advance replacement for HW</t>
  </si>
  <si>
    <t>Cambium Care Advanced Add-on to cnMaestro X, 5-year support for one cnPilot e700.� 24x7 TAC support, SW updates, and NBDS advance replacement for HW</t>
  </si>
  <si>
    <t>Cambium Care Advanced Add-on to cnMarestro X, 1-year support for one V1000. 24x7 TAC support, SW updates, and NBDS advance replacement for HW</t>
  </si>
  <si>
    <t>Cambium Care Advanced Add-on to cnMarestro X, 3-year support for one V1000.� 24x7 TAC support, SW updates, and NBDS advance replacement for HW</t>
  </si>
  <si>
    <t>Cambium Care Advanced Add-on to cnMarestro X, 5-year support for one V1000.� 24x7 TAC support, SW updates, and NBDS advance replacement for HW</t>
  </si>
  <si>
    <t>Cambium Care Advanced Add-on to cnMarestro X, 1-year support for one V3000. 24x7 TAC support, SW updates, and NBDS advance replacement for HW</t>
  </si>
  <si>
    <t>Cambium Care Advanced Add-on to cnMarestro X, 3-year support for one V3000.� 24x7 TAC support, SW updates, and NBDS advance replacement for HW</t>
  </si>
  <si>
    <t>Cambium Care Advanced Add-on to cnMarestro X, 5-year support for one V3000.� 24x7 TAC support, SW updates, and NBDS advance replacement for HW</t>
  </si>
  <si>
    <t>Cambium Care Advanced Add-on to cnMarestro X, 1-year support for one V5000. 24x7 TAC support, SW updates, and NBDS advance replacement for HW</t>
  </si>
  <si>
    <t>Cambium Care Advanced Add-on to cnMarestro X, 3-year support for one V5000.� 24x7 TAC support, SW updates, and NBDS advance replacement for HW</t>
  </si>
  <si>
    <t>Cambium Care Advanced Add-on to cnMarestro X, 5-year support for one V5000.� 24x7 TAC support, SW updates, and NBDS advance replacement for HW</t>
  </si>
  <si>
    <t>CCADV-UPG-XE3-4-1</t>
  </si>
  <si>
    <t>Cambium Care Advanced Add-on to cnMaestro X, 3-year support for one XE3-4. 24x7 TAC support, SW updates, and NBDS advance replacement for HW</t>
  </si>
  <si>
    <t>CCADV-UPG-XE3-4-3</t>
  </si>
  <si>
    <t>CCADV-UPG-XE3-4-5</t>
  </si>
  <si>
    <t>Cambium Care Advanced Add-on to cnMaestro X, 5-year support for one XE3-4. 24x7 TAC support, SW updates, and NBDS advance replacement for HW</t>
  </si>
  <si>
    <t>Cambium Care Advanced Add-on to cnMaestro X, 3-year support for one XV2-2.� 24x7 TAC support, SW updates, and NBDS advance replacement for HW</t>
  </si>
  <si>
    <t>Cambium Care Advanced Add-on to cnMaestro X, 5-year support for one XV2-2.� 24x7 TAC support, SW updates, and NBDS advance replacement for HW</t>
  </si>
  <si>
    <t>Cambium Care Advanced Add-on to cnMaestro X, 3-year support for one XV3-8.� 24x7 TAC support, SW updates, and NBDS advance replacement for HW</t>
  </si>
  <si>
    <t>Cambium Care Advanced Add-on to cnMaestro X, 5-year support for one XV3-8.� 24x7 TAC support, SW updates, and NBDS advance replacement for HW</t>
  </si>
  <si>
    <t>CCADV-XI-2PACK-3</t>
  </si>
  <si>
    <t>CCADV-XI-4PACK-3</t>
  </si>
  <si>
    <t>CCADV-XI-XT-5024-3</t>
  </si>
  <si>
    <t>CCADV-XR-1200-1</t>
  </si>
  <si>
    <t>CCADV-XR-1200-3</t>
  </si>
  <si>
    <t>CCADV-XR-1200H-1</t>
  </si>
  <si>
    <t>CCADV-XR-1200H-3</t>
  </si>
  <si>
    <t>CCADV-XR-2200-3</t>
  </si>
  <si>
    <t>CCADV-XR-2400-3</t>
  </si>
  <si>
    <t>CCADV-XR-2400H-3</t>
  </si>
  <si>
    <t>CCADV-XR-4400-3</t>
  </si>
  <si>
    <t>CCADV-XR-4800-3</t>
  </si>
  <si>
    <t>CCADV-XR-500-3</t>
  </si>
  <si>
    <t>CCADV-XR-500H-3</t>
  </si>
  <si>
    <t>CCADV-XR-6800-3</t>
  </si>
  <si>
    <t>CCADV-XR-7200-3</t>
  </si>
  <si>
    <t>CCADV-XR-7600-3</t>
  </si>
  <si>
    <t>CCADV-XT-5028-3</t>
  </si>
  <si>
    <t>CCPRO-RNW-28GBTS-1</t>
  </si>
  <si>
    <t>Cambium Care Pro, 1-year support renewal for one 28 GHz cnWave Base Station, Single Sector.� 24x7 TAC support, SW updates</t>
  </si>
  <si>
    <t>CCPRO-RNW-28GBTS-3</t>
  </si>
  <si>
    <t>Cambium Care Pro, 3-year support renewal for one 28 GHz cnWave Base Station, Single Sector.� 24x7 TAC support, SW updates</t>
  </si>
  <si>
    <t>CCPRO-RNW-28GBTS-5</t>
  </si>
  <si>
    <t>Cambium Care Pro, 5-year support renewal for one 28 GHz cnWave Base Station, Single Sector.� 24x7 TAC support, SW updates</t>
  </si>
  <si>
    <t>CCPRO-RNW-28GCPE-1</t>
  </si>
  <si>
    <t>Cambium Care Pro, 1-year support renewal for one 28 GHz cnWave CPE.� 24x7 TAC support, SW updates</t>
  </si>
  <si>
    <t>CCPRO-RNW-28GCPE-3</t>
  </si>
  <si>
    <t>Cambium Care Pro, 3-year support renewal for one 28 GHz cnWave CPE.� 24x7 TAC support, SW updates</t>
  </si>
  <si>
    <t>CCPRO-RNW-28GCPE-5</t>
  </si>
  <si>
    <t>Cambium Care Pro, 5-year support renewal for one 28 GHz cnWave CPE.� 24x7 TAC support, SW updates</t>
  </si>
  <si>
    <t>CCPRO-RNW-5-XA4</t>
  </si>
  <si>
    <t>CCPRO-RNW-5-XD2-230</t>
  </si>
  <si>
    <t>CCPRO-RNW-5-XD2-240</t>
  </si>
  <si>
    <t>CCPRO-RNW-5-XD4</t>
  </si>
  <si>
    <t>Cambium Care Pro, 1-year support renewal for one cnPilot e410.� 24x7 TAC support, SW updates</t>
  </si>
  <si>
    <t>Cambium Care Pro, 3-year support renewal for one cnPilot e410.� 24x7 TAC support, SW updates</t>
  </si>
  <si>
    <t>Cambium Care Pro, 5-year support renewal for one cnPilot e410.� 24x7 TAC support, SW updates</t>
  </si>
  <si>
    <t>Cambium Care Pro, 1-year support renewal for one cnPilot e425.� 24x7 TAC support, SW updates</t>
  </si>
  <si>
    <t>Cambium Care Pro, 3-year support renewal for one cnPilot e425.� 24x7 TAC support, SW updates</t>
  </si>
  <si>
    <t>Cambium Care Pro, 5-year support renewal for one cnPilot e425.� 24x7 TAC support, SW updates</t>
  </si>
  <si>
    <t>Cambium Care Pro, 1-year support renewal for one cnPilot e430.� 24x7 TAC support, SW updates</t>
  </si>
  <si>
    <t>Cambium Care Pro, 3-year support renewal for one cnPilot e430.� 24x7 TAC support, SW updates</t>
  </si>
  <si>
    <t>Cambium Care Pro, 5-year support renewal for one cnPilot e430.� 24x7 TAC support, SW updates</t>
  </si>
  <si>
    <t>Cambium Care Pro, 1-year support renewal for one cnPilot e500.� 24x7 TAC support, SW updates</t>
  </si>
  <si>
    <t>Cambium Care Pro, 3-year support renewal for one cnPilot e500.� 24x7 TAC support, SW updates</t>
  </si>
  <si>
    <t>Cambium Care Pro, 5-year support renewal for one cnPilot e500.� 24x7 TAC support, SW updates</t>
  </si>
  <si>
    <t>Cambium Care Pro, 1-year support renewal for one cnPilot e501S.� 24x7 TAC support, SW updates</t>
  </si>
  <si>
    <t>Cambium Care Pro, 3-year support renewal for one cnPilot e501S.� 24x7 TAC support, SW updates</t>
  </si>
  <si>
    <t>Cambium Care Pro, 5-year support renewal for one cnPilot e501S.� 24x7 TAC support, SW updates</t>
  </si>
  <si>
    <t>Cambium Care Pro, 1-year support renewal for one cnPilot e502S.� 24x7 TAC support, SW updates</t>
  </si>
  <si>
    <t>Cambium Care Pro, 3-year support renewal for one cnPilot e502S.� 24x7 TAC support, SW updates</t>
  </si>
  <si>
    <t>Cambium Care Pro, 5-year support renewal for one cnPilot e502S.� 24x7 TAC support, SW updates</t>
  </si>
  <si>
    <t>Cambium Care Pro, 1-year support renewal for one cnPilot e505.� 24x7 TAC support, SW updates</t>
  </si>
  <si>
    <t>Cambium Care Pro, 3-year support renewal for one cnPilot e505.� 24x7 TAC support, SW updates</t>
  </si>
  <si>
    <t>Cambium Care Pro, 5-year support renewal for one cnPilot e505.� 24x7 TAC support, SW updates</t>
  </si>
  <si>
    <t>Cambium Care Pro, 1-year support renewal for one cnPilot e510.� 24x7 TAC support, SW updates</t>
  </si>
  <si>
    <t>Cambium Care Pro, 3-year support renewal for one cnPilot e510.� 24x7 TAC support, SW updates</t>
  </si>
  <si>
    <t>Cambium Care Pro, 5-year support renewal for one cnPilot e510.� 24x7 TAC support, SW updates</t>
  </si>
  <si>
    <t>Cambium Care Pro, 1-year support renewal for one cnPilot e600.� 24x7 TAC support, SW updates</t>
  </si>
  <si>
    <t>Cambium Care Pro, 3-year support renewal for one cnPilot e600.� 24x7 TAC support, SW updates</t>
  </si>
  <si>
    <t>Cambium Care Pro, 5-year support renewal for one cnPilot e600.� 24x7 TAC support, SW updates</t>
  </si>
  <si>
    <t>Cambium Care Pro, 1-year support renewal for one cnPilot e700.� 24x7 TAC support, SW updates</t>
  </si>
  <si>
    <t>Cambium Care Pro, 3-year support renewal for one cnPilot e700.� 24x7 TAC support, SW updates</t>
  </si>
  <si>
    <t>Cambium Care Pro, 5-year support renewal for one cnPilot e700.� 24x7 TAC support, SW updates</t>
  </si>
  <si>
    <t>Cambium Care Pro, 1-year support renewal for one EX1010.� 24x7 TAC support, SW updates</t>
  </si>
  <si>
    <t>Cambium Care Pro, 3-year support renewal for one EX1010.� 24x7 TAC support, SW updates</t>
  </si>
  <si>
    <t>Cambium Care Pro, 5-year support renewal for one EX1010.� 24x7 TAC support, SW updates</t>
  </si>
  <si>
    <t>Cambium Care Pro, 1-year support renewal for one EX1010-P.� 24x7 TAC support, SW updates</t>
  </si>
  <si>
    <t>Cambium Care Pro, 3-year support renewal for one EX1010-P.� 24x7 TAC support, SW updates</t>
  </si>
  <si>
    <t>Cambium Care Pro, 5-year support renewal for one EX1010-P.� 24x7 TAC support, SW updates</t>
  </si>
  <si>
    <t>Cambium Care Pro, 1-year support renewal for one EX1028.� 24x7 TAC support, SW updates</t>
  </si>
  <si>
    <t>Cambium Care Pro, 3-year support renewal for one EX1028.� 24x7 TAC support, SW updates</t>
  </si>
  <si>
    <t>Cambium Care Pro, 5-year support renewal for one EX1028.� 24x7 TAC support, SW updates</t>
  </si>
  <si>
    <t>Cambium Care Pro, 1-year support renewal for one EX1028-P.� 24x7 TAC support, SW updates</t>
  </si>
  <si>
    <t>Cambium Care Pro, 3-year support renewal for one EX1028-P.� 24x7 TAC support, SW updates</t>
  </si>
  <si>
    <t>Cambium Care Pro, 5-year support renewal for one EX1028-P.� 24x7 TAC support, SW updates</t>
  </si>
  <si>
    <t>Cambium Care Pro, 1-year support renewal for one EX2010.� 24x7 TAC support, SW updates</t>
  </si>
  <si>
    <t>Cambium Care Pro, 3-year support renewal for one EX2010.� 24x7 TAC support, SW updates</t>
  </si>
  <si>
    <t>Cambium Care Pro, 5-year support renewal for one EX2010.� 24x7 TAC support, SW updates</t>
  </si>
  <si>
    <t>Cambium Care Pro, 1-year support renewal for one EX2010-P.� 24x7 TAC support, SW updates</t>
  </si>
  <si>
    <t>Cambium Care Pro, 3-year support renewal for one EX2010-P.� 24x7 TAC support, SW updates</t>
  </si>
  <si>
    <t>Cambium Care Pro, 5-year support renewal for one EX2010-P.� 24x7 TAC support, SW updates</t>
  </si>
  <si>
    <t>Cambium Care Pro, 1-year support renewal for one EX2016M-P.� 24x7 TAC support, SW updates</t>
  </si>
  <si>
    <t>Cambium Care Pro, 3-year support renewal for one EX2016M-P.� 24x7 TAC support, SW updates</t>
  </si>
  <si>
    <t>Cambium Care Pro, 5-year support renewal for one EX2016M-P.� 24x7 TAC support, SW updates</t>
  </si>
  <si>
    <t>Cambium Care Pro, 1-year support renewal for one EX2028.� 24x7 TAC support, SW updates</t>
  </si>
  <si>
    <t>Cambium Care Pro, 3-year support renewal for one EX2028.� 24x7 TAC support, SW updates</t>
  </si>
  <si>
    <t>Cambium Care Pro, 5-year support renewal for one EX2028.� 24x7 TAC support, SW updates</t>
  </si>
  <si>
    <t>Cambium Care Pro, 1-year support renewal for one EX2028-P.� 24x7 TAC support, SW updates</t>
  </si>
  <si>
    <t>Cambium Care Pro, 3-year support renewal for one EX2028-P.� 24x7 TAC support, SW updates</t>
  </si>
  <si>
    <t>Cambium Care Pro, 5-year support renewal for one EX2028-P.� 24x7 TAC support, SW updates</t>
  </si>
  <si>
    <t>Cambium Care Pro, 1-year support renewal for one EX2052.� 24x7 TAC support, SW updates</t>
  </si>
  <si>
    <t>Cambium Care Pro, 3-year support renewal for one EX2052.� 24x7 TAC support, SW updates</t>
  </si>
  <si>
    <t>Cambium Care Pro, 5-year support renewal for one EX2052.� 24x7 TAC support, SW updates</t>
  </si>
  <si>
    <t>Cambium Care Pro, 1-year support renewal for one EX2052-P.� 24x7 TAC support, SW updates</t>
  </si>
  <si>
    <t>Cambium Care Pro, 3-year support renewal for one EX2052-P.� 24x7 TAC support, SW updates</t>
  </si>
  <si>
    <t>Cambium Care Pro, 5-year support renewal for one EX2052-P.� 24x7 TAC support, SW updates</t>
  </si>
  <si>
    <t>Cambium Care Pro, 1-year support renewal for one EX2052R-P.� 24x7 TAC support, SW updates</t>
  </si>
  <si>
    <t>Cambium Care Pro, 3-year support renewal for one EX2052R-P.� 24x7 TAC support, SW updates</t>
  </si>
  <si>
    <t>Cambium Care Pro, 5-year support renewal for one EX2052R-P.� 24x7 TAC support, SW updates</t>
  </si>
  <si>
    <t>Cambium Care Pro, 1-year support renewal for one TX2012R-P.� 24x7 TAC support, SW updates</t>
  </si>
  <si>
    <t>Cambium Care Pro, 3-year support renewal for one TX2012R-P.� 24x7 TAC support, SW updates</t>
  </si>
  <si>
    <t>Cambium Care Pro, 5-year support renewal for one TX2012R-P.� 24x7 TAC support, SW updates</t>
  </si>
  <si>
    <t>Cambium Care Pro, 1-year support renewal for one TX2020R-P.� 24x7 TAC support, SW updates</t>
  </si>
  <si>
    <t>Cambium Care Pro, 3-year support renewal for one TX2020R-P.� 24x7 TAC support, SW updates</t>
  </si>
  <si>
    <t>Cambium Care Pro, 5-year support renewal for one TX2020R-P.� 24x7 TAC support, SW updates</t>
  </si>
  <si>
    <t>Cambium Care Pro, 1-year support renewal for one TX2028RF-P.� 24x7 TAC support, SW updates</t>
  </si>
  <si>
    <t>Cambium Care Pro, 3-year support renewal for one TX2028RF-P.� 24x7 TAC support, SW updates</t>
  </si>
  <si>
    <t>Cambium Care Pro, 5-year support renewal for one TX2028RF-P.� 24x7 TAC support, SW updates</t>
  </si>
  <si>
    <t>Cambium Care Pro, 1-year support renewal for one V1000.� 24x7 TAC support, SW updates</t>
  </si>
  <si>
    <t>Cambium Care Pro, 3-year support renewal for one V1000.� 24x7 TAC support, SW updates</t>
  </si>
  <si>
    <t>Cambium Care Pro, 5-year support renewal for one V1000.� 24x7 TAC support, SW updates</t>
  </si>
  <si>
    <t>Cambium Care Pro, 1-year support renewal for one V3000.� 24x7 TAC support, SW updates</t>
  </si>
  <si>
    <t>Cambium Care Pro, 3-year support renewal for one V3000.� 24x7 TAC support, SW updates</t>
  </si>
  <si>
    <t>Cambium Care Pro, 5-year support renewal for one V3000.� 24x7 TAC support, SW updates</t>
  </si>
  <si>
    <t>Cambium Care Pro, 1-year support renewal for one V5000.� 24x7 TAC support, SW updates</t>
  </si>
  <si>
    <t>Cambium Care Pro, 3-year support renewal for one V5000.� 24x7 TAC support, SW updates</t>
  </si>
  <si>
    <t>Cambium Care Pro, 5-year support renewal for one V5000.� 24x7 TAC support, SW updates</t>
  </si>
  <si>
    <t>Cambium Care Pro, 1-year support renewal for one XV2-2.� 24x7 TAC support, SW updates</t>
  </si>
  <si>
    <t>Cambium Care Pro, 3-year support renewal for one XV2-2.� 24x7 TAC support, SW updates</t>
  </si>
  <si>
    <t>Cambium Care Pro, 5-year support renewal for one XV2-2.� 24x7 TAC support, SW updates</t>
  </si>
  <si>
    <t>Cambium Care Pro, 1-year support renewal for one XV3-8.� 24x7 TAC support, SW updates</t>
  </si>
  <si>
    <t>Cambium Care Pro, 3-year support renewal for one XV3-8.� 24x7 TAC support, SW updates</t>
  </si>
  <si>
    <t>Cambium Care Pro, 5-year support renewal for one XV3-8.� 24x7 TAC support, SW updates</t>
  </si>
  <si>
    <t>CCPRO-SUB-X2-1</t>
  </si>
  <si>
    <t>Cambium Care Pro Support 1 year subscription: one X2 Wireless AP</t>
  </si>
  <si>
    <t>CCPRO-SUB-X2-3</t>
  </si>
  <si>
    <t>Cambium Care Pro Support 3 year subscription: one X2 Wireless AP</t>
  </si>
  <si>
    <t>CCPRO-SUB-X2-5</t>
  </si>
  <si>
    <t>Cambium Care Pro Support 5 year subscription: one X2 Wireless AP</t>
  </si>
  <si>
    <t>CCPRO-SUB-XA4-1</t>
  </si>
  <si>
    <t>Cambium Care Pro Support 1 year subscription: one XA4 Wireless AP</t>
  </si>
  <si>
    <t>CCPRO-SUB-XA4-3</t>
  </si>
  <si>
    <t>Cambium Care Pro Support 3 year subscription: one XA4 Wireless AP</t>
  </si>
  <si>
    <t>CCPRO-SUB-XA4-5</t>
  </si>
  <si>
    <t>Cambium Care Pro Support 5 year subscription: one XA4 Wireless AP</t>
  </si>
  <si>
    <t>CCPRO-SUB-XD2-230-1</t>
  </si>
  <si>
    <t>Cambium Care Pro Support 1 year subscription: one XD2-230 Wireless AP</t>
  </si>
  <si>
    <t>CCPRO-SUB-XD2-230-3</t>
  </si>
  <si>
    <t>Cambium Care Pro Support 3 year subscription: one XD2-230 Wireless AP</t>
  </si>
  <si>
    <t>CCPRO-SUB-XD2-230-5</t>
  </si>
  <si>
    <t>Cambium Care Pro Support 5 year subscription: one XD2-230 Wireless AP</t>
  </si>
  <si>
    <t>CCPRO-SUB-XD2-240-1</t>
  </si>
  <si>
    <t>Cambium Care Pro Support 1 year subscription: one XD2-240 Wireless AP</t>
  </si>
  <si>
    <t>CCPRO-SUB-XD2-240-3</t>
  </si>
  <si>
    <t>Cambium Care Pro Support 3 year subscription: one XD2-240 Wireless AP</t>
  </si>
  <si>
    <t>CCPRO-SUB-XD2-240-5</t>
  </si>
  <si>
    <t>Cambium Care Pro Support 5 year subscription: one XD2-240 Wireless AP</t>
  </si>
  <si>
    <t>CCPRO-SUB-XD4-1</t>
  </si>
  <si>
    <t>Cambium Care Pro Support 1 year subscription: one XD4 Wireless AP</t>
  </si>
  <si>
    <t>CCPRO-SUB-XD4-3</t>
  </si>
  <si>
    <t>Cambium Care Pro Support 3 year subscription: one XD4 Wireless AP</t>
  </si>
  <si>
    <t>CCPRO-SUB-XD4-5</t>
  </si>
  <si>
    <t>Cambium Care Pro Support 5 year subscription: one XD4 Wireless AP</t>
  </si>
  <si>
    <t>CCPRO-SUB-XH2-1</t>
  </si>
  <si>
    <t>Cambium Care Pro Support 1 year subscription: one XH2 Wireless AP</t>
  </si>
  <si>
    <t>CCPRO-SUB-XH2-3</t>
  </si>
  <si>
    <t>Cambium Care Pro Support 3 year subscription: one XH2 Wireless AP</t>
  </si>
  <si>
    <t>CCPRO-SUB-XH2-5</t>
  </si>
  <si>
    <t>Cambium Care Pro Support 5 year subscription: one XH2 Wireless AP</t>
  </si>
  <si>
    <t>CCPRO-SUB-XMSE-100-1</t>
  </si>
  <si>
    <t>Cambium Care Pro for XMS-Enterprise Server 1 year subscription for 100 radios</t>
  </si>
  <si>
    <t>CCPRO-SUB-XMSE-100-3</t>
  </si>
  <si>
    <t>Cambium Care Pro for XMS-Enterprise Server 3 year subscription for 100 radios</t>
  </si>
  <si>
    <t>CCPRO-SUB-XMSE-100-5</t>
  </si>
  <si>
    <t>Cambium Care Pro for XMS-Enterprise Server 5 year subscription for 100 radios</t>
  </si>
  <si>
    <t>CCPRO-SUB-XMSE-1000-1</t>
  </si>
  <si>
    <t>Cambium Care Pro for XMS-Enterprise Server 1 year subscription for 1000 radios</t>
  </si>
  <si>
    <t>CCPRO-SUB-XMSE-1000-3</t>
  </si>
  <si>
    <t>Cambium Care Pro for XMS-Enterprise Server 3 year subscription for 1000 radios</t>
  </si>
  <si>
    <t>CCPRO-SUB-XMSE-1000-5</t>
  </si>
  <si>
    <t>Cambium Care Pro for XMS-Enterprise Server 5 year subscription for 1000 radios</t>
  </si>
  <si>
    <t>CCPRO-SUB-XMSE-20-1</t>
  </si>
  <si>
    <t>Cambium Care Pro for XMS-Enterprise Server 1 year subscription for 20 radios</t>
  </si>
  <si>
    <t>CCPRO-SUB-XMSE-20-3</t>
  </si>
  <si>
    <t>Cambium Care Pro for XMS-Enterprise Server 3 year subscription for 20 radios</t>
  </si>
  <si>
    <t>CCPRO-SUB-XMSE-20-5</t>
  </si>
  <si>
    <t>Cambium Care Pro for XMS-Enterprise Server 5 year subscription for 20 radios</t>
  </si>
  <si>
    <t>CCPRO-SUB-XMSE-200-1</t>
  </si>
  <si>
    <t>Cambium Care Pro for XMS-Enterprise Server 1 year subscription for 200 radios</t>
  </si>
  <si>
    <t>CCPRO-SUB-XMSE-200-3</t>
  </si>
  <si>
    <t>Cambium Care Pro for XMS-Enterprise Server 3 year subscription for 200 radios</t>
  </si>
  <si>
    <t>CCPRO-SUB-XMSE-200-5</t>
  </si>
  <si>
    <t>Cambium Care Pro for XMS-Enterprise Server 5 year subscription for 200 radios</t>
  </si>
  <si>
    <t>CCPRO-SUB-XMSE-2000-1</t>
  </si>
  <si>
    <t>Cambium Care Pro for XMS-Enterprise Server 1 year subscription for 2000 radios</t>
  </si>
  <si>
    <t>CCPRO-SUB-XMSE-2000-3</t>
  </si>
  <si>
    <t>Cambium Care Pro for XMS-Enterprise Server 3 year subscription for 2000 radios</t>
  </si>
  <si>
    <t>CCPRO-SUB-XMSE-2000-5</t>
  </si>
  <si>
    <t>Cambium Care Pro for XMS-Enterprise Server 5 year subscription for 2000 radios</t>
  </si>
  <si>
    <t>CCPRO-SUB-XMSE-30-1</t>
  </si>
  <si>
    <t>Cambium Care Pro for XMS-Enterprise Server 1 year subscription for 30 radios</t>
  </si>
  <si>
    <t>CCPRO-SUB-XMSE-30-3</t>
  </si>
  <si>
    <t>Cambium Care Pro for XMS-Enterprise Server 3 year subscription for 30 radios</t>
  </si>
  <si>
    <t>CCPRO-SUB-XMSE-30-5</t>
  </si>
  <si>
    <t>Cambium Care Pro for XMS-Enterprise Server 5 year subscription for 30 radios</t>
  </si>
  <si>
    <t>CCPRO-SUB-XMSE-300-1</t>
  </si>
  <si>
    <t>Cambium Care Pro for XMS-Enterprise Server 1 year subscription for 300 radios</t>
  </si>
  <si>
    <t>CCPRO-SUB-XMSE-300-3</t>
  </si>
  <si>
    <t>Cambium Care Pro for XMS-Enterprise Server 3 year subscription for 300 radios</t>
  </si>
  <si>
    <t>CCPRO-SUB-XMSE-300-5</t>
  </si>
  <si>
    <t>Cambium Care Pro for XMS-Enterprise Server 5 year subscription for 300 radios</t>
  </si>
  <si>
    <t>CCPRO-SUB-XMSE-3000-1</t>
  </si>
  <si>
    <t>Cambium Care Pro for XMS-Enterprise Server 1 year subscription for 3000 radios</t>
  </si>
  <si>
    <t>CCPRO-SUB-XMSE-3000-3</t>
  </si>
  <si>
    <t>Cambium Care Pro for XMS-Enterprise Server 3 year subscription for 3000 radios</t>
  </si>
  <si>
    <t>CCPRO-SUB-XMSE-3000-5</t>
  </si>
  <si>
    <t>Cambium Care Pro for XMS-Enterprise Server 5 year subscription for 3000 radios</t>
  </si>
  <si>
    <t>CCPRO-SUB-XMSE-40-1</t>
  </si>
  <si>
    <t>Cambium Care Pro for XMS-Enterprise Server 1 year subscription for 40 radios</t>
  </si>
  <si>
    <t>CCPRO-SUB-XMSE-40-3</t>
  </si>
  <si>
    <t>Cambium Care Pro for XMS-Enterprise Server 3 year subscription for 40 radios</t>
  </si>
  <si>
    <t>CCPRO-SUB-XMSE-40-5</t>
  </si>
  <si>
    <t>Cambium Care Pro for XMS-Enterprise Server 5 year subscription for 40 radios</t>
  </si>
  <si>
    <t>CCPRO-SUB-XMSE-400-1</t>
  </si>
  <si>
    <t>Cambium Care Pro for XMS-Enterprise Server 1 year subscription for 400 radios</t>
  </si>
  <si>
    <t>CCPRO-SUB-XMSE-400-3</t>
  </si>
  <si>
    <t>Cambium Care Pro for XMS-Enterprise Server 3 year subscription for 400 radios</t>
  </si>
  <si>
    <t>CCPRO-SUB-XMSE-400-5</t>
  </si>
  <si>
    <t>Cambium Care Pro for XMS-Enterprise Server 5 year subscription for 400 radios</t>
  </si>
  <si>
    <t>CCPRO-SUB-XMSE-4000-1</t>
  </si>
  <si>
    <t>Cambium Care Pro for XMS-Enterprise Server 1 year subscription for 4000 radios</t>
  </si>
  <si>
    <t>CCPRO-SUB-XMSE-4000-3</t>
  </si>
  <si>
    <t>Cambium Care Pro for XMS-Enterprise Server 3 year subscription for 4000 radios</t>
  </si>
  <si>
    <t>CCPRO-SUB-XMSE-4000-5</t>
  </si>
  <si>
    <t>Cambium Care Pro for XMS-Enterprise Server 5 year subscription for 4000 radios</t>
  </si>
  <si>
    <t>CCPRO-SUB-XMSE-50-1</t>
  </si>
  <si>
    <t>Cambium Care Pro for XMS-Enterprise Server 1 year subscription for 50 radios</t>
  </si>
  <si>
    <t>CCPRO-SUB-XMSE-50-3</t>
  </si>
  <si>
    <t>Cambium Care Pro for XMS-Enterprise Server 3 year subscription for 50 radios</t>
  </si>
  <si>
    <t>CCPRO-SUB-XMSE-50-5</t>
  </si>
  <si>
    <t>Cambium Care Pro for XMS-Enterprise Server 5 year subscription for 50 radios</t>
  </si>
  <si>
    <t>CCPRO-SUB-XMSE-500-1</t>
  </si>
  <si>
    <t>Cambium Care Pro for XMS-Enterprise Server 1 year subscription for 500 radios</t>
  </si>
  <si>
    <t>CCPRO-SUB-XMSE-500-3</t>
  </si>
  <si>
    <t>Cambium Care Pro for XMS-Enterprise Server 3 year subscription for 500 radios</t>
  </si>
  <si>
    <t>CCPRO-SUB-XMSE-500-5</t>
  </si>
  <si>
    <t>Cambium Care Pro for XMS-Enterprise Server 5 year subscription for 500 radios</t>
  </si>
  <si>
    <t>CCPRO-SUB-XMSE-5000-1</t>
  </si>
  <si>
    <t>Cambium Care Pro for XMS-Enterprise Server 1 year subscription for 5000 or greater radios</t>
  </si>
  <si>
    <t>CCPRO-SUB-XMSE-5000-3</t>
  </si>
  <si>
    <t>Cambium Care Pro for XMS-Enterprise Server 3 year subscription for 5000 or greater radios</t>
  </si>
  <si>
    <t>CCPRO-SUB-XMSE-5000-5</t>
  </si>
  <si>
    <t>Cambium Care Pro for XMS-Enterprise Server 5 year subscription for 5000 or greater radios</t>
  </si>
  <si>
    <t>CCPRO-SUB-XMSE-60-1</t>
  </si>
  <si>
    <t>Cambium Care Pro for XMS-Enterprise Server 1 year subscription for 60 radios</t>
  </si>
  <si>
    <t>CCPRO-SUB-XMSE-60-3</t>
  </si>
  <si>
    <t>Cambium Care Pro for XMS-Enterprise Server 3 year subscription for 60 radios</t>
  </si>
  <si>
    <t>CCPRO-SUB-XMSE-60-5</t>
  </si>
  <si>
    <t>Cambium Care Pro for XMS-Enterprise Server 5 year subscription for 60 radios</t>
  </si>
  <si>
    <t>CCPRO-SUB-XMSE-600-1</t>
  </si>
  <si>
    <t>Cambium Care Pro for XMS-Enterprise Server 1 year subscription for 600 radios</t>
  </si>
  <si>
    <t>CCPRO-SUB-XMSE-600-3</t>
  </si>
  <si>
    <t>Cambium Care Pro for XMS-Enterprise Server 3 year subscription for 600 radios</t>
  </si>
  <si>
    <t>CCPRO-SUB-XMSE-600-5</t>
  </si>
  <si>
    <t>Cambium Care Pro for XMS-Enterprise Server 5 year subscription for 600 radios</t>
  </si>
  <si>
    <t>CCPRO-SUB-XMSE-70-1</t>
  </si>
  <si>
    <t>Cambium Care Pro for XMS-Enterprise Server 1 year subscription for 70 radios</t>
  </si>
  <si>
    <t>CCPRO-SUB-XMSE-70-3</t>
  </si>
  <si>
    <t>Cambium Care Pro for XMS-Enterprise Server 3 year subscription for 70 radios</t>
  </si>
  <si>
    <t>CCPRO-SUB-XMSE-70-5</t>
  </si>
  <si>
    <t>Cambium Care Pro for XMS-Enterprise Server 5 year subscription for 70 radios</t>
  </si>
  <si>
    <t>CCPRO-SUB-XMSE-700-1</t>
  </si>
  <si>
    <t>Cambium Care Pro for XMS-Enterprise Server 1 year subscription for 700 radios</t>
  </si>
  <si>
    <t>CCPRO-SUB-XMSE-700-3</t>
  </si>
  <si>
    <t>Cambium Care Pro for XMS-Enterprise Server 3 year subscription for 700 radios</t>
  </si>
  <si>
    <t>CCPRO-SUB-XMSE-700-5</t>
  </si>
  <si>
    <t>Cambium Care Pro for XMS-Enterprise Server 5 year subscription for 700 radios</t>
  </si>
  <si>
    <t>CCPRO-SUB-XMSE-80-1</t>
  </si>
  <si>
    <t>Cambium Care Pro for XMS-Enterprise Server 1 year subscription for 80 radios</t>
  </si>
  <si>
    <t>CCPRO-SUB-XMSE-80-3</t>
  </si>
  <si>
    <t>Cambium Care Pro for XMS-Enterprise Server 3 year subscription for 80 radios</t>
  </si>
  <si>
    <t>CCPRO-SUB-XMSE-80-5</t>
  </si>
  <si>
    <t>Cambium Care Pro for XMS-Enterprise Server 5 year subscription for 80 radios</t>
  </si>
  <si>
    <t>CCPRO-SUB-XMSE-800-1</t>
  </si>
  <si>
    <t>Cambium Care Pro for XMS-Enterprise Server 1 year subscription for 800 radios</t>
  </si>
  <si>
    <t>CCPRO-SUB-XMSE-800-3</t>
  </si>
  <si>
    <t>Cambium Care Pro for XMS-Enterprise Server 3 year subscription for 800 radios</t>
  </si>
  <si>
    <t>CCPRO-SUB-XMSE-800-5</t>
  </si>
  <si>
    <t>Cambium Care Pro for XMS-Enterprise Server 5 year subscription for 800 radios</t>
  </si>
  <si>
    <t>CCPRO-SUB-XMSE-90-1</t>
  </si>
  <si>
    <t>Cambium Care Pro for XMS-Enterprise Server 1 year subscription for 90 radios</t>
  </si>
  <si>
    <t>CCPRO-SUB-XMSE-90-3</t>
  </si>
  <si>
    <t>Cambium Care Pro for XMS-Enterprise Server 3 year subscription for 90 radios</t>
  </si>
  <si>
    <t>CCPRO-SUB-XMSE-90-5</t>
  </si>
  <si>
    <t>Cambium Care Pro for XMS-Enterprise Server 5 year subscription for 90 radios</t>
  </si>
  <si>
    <t>CCPRO-SUB-XMSE-900-1</t>
  </si>
  <si>
    <t>Cambium Care Pro for XMS-Enterprise Server 1 year subscription for 900 radios</t>
  </si>
  <si>
    <t>CCPRO-SUB-XMSE-900-3</t>
  </si>
  <si>
    <t>Cambium Care Pro for XMS-Enterprise Server 3 year subscription for 900 radios</t>
  </si>
  <si>
    <t>CCPRO-SUB-XMSE-900-5</t>
  </si>
  <si>
    <t>Cambium Care Pro for XMS-Enterprise Server 5 year subscription for 900 radios</t>
  </si>
  <si>
    <t>CCPRO-SUB-XR-300-1</t>
  </si>
  <si>
    <t>Cambium Care Pro Support 1 year subscription: one XR-300 Wireless AP</t>
  </si>
  <si>
    <t>CCPRO-SUB-XR-300-3</t>
  </si>
  <si>
    <t>Cambium Care Pro Support 3 year subscription: one XR-300 Wireless AP</t>
  </si>
  <si>
    <t>CCPRO-SUB-XR-300-5</t>
  </si>
  <si>
    <t>Cambium Care Pro Support 5 year subscription: one XR-300 Wireless AP</t>
  </si>
  <si>
    <t>CCPRO-SUB-XR-600-1</t>
  </si>
  <si>
    <t>Cambium Care Pro Support 1 year subscription: one XR-600 Wireless AP</t>
  </si>
  <si>
    <t>CCPRO-SUB-XR-600-3</t>
  </si>
  <si>
    <t>Cambium Care Pro Support 3 year subscription: one XR-600 Wireless AP</t>
  </si>
  <si>
    <t>CCPRO-SUB-XR-600-5</t>
  </si>
  <si>
    <t>Cambium Care Pro Support 5 year subscription: one XR-600 Wireless AP</t>
  </si>
  <si>
    <t>CCPRO-SUP-28GBTS-1</t>
  </si>
  <si>
    <t>Cambium Care Pro, 1-year support for one 28 GHz cnWave Base Station, Single Sector.� 24x7 TAC support, SW updates</t>
  </si>
  <si>
    <t>CCPRO-SUP-28GBTS-3</t>
  </si>
  <si>
    <t>Cambium Care Pro, 3-year support for one 28 GHz cnWave Base Station, Single Sector.� 24x7 TAC support, SW updates</t>
  </si>
  <si>
    <t>CCPRO-SUP-28GBTS-5</t>
  </si>
  <si>
    <t>Cambium Care Pro, 5-year support for one 28 GHz cnWave Base Station, Single Sector.� 24x7 TAC support, SW updates</t>
  </si>
  <si>
    <t>CCPRO-SUP-28GCPE-1</t>
  </si>
  <si>
    <t>Cambium Care Pro, 1-year support for one 28 GHz cnWave CPE.� 24x7 TAC support, SW updates</t>
  </si>
  <si>
    <t>CCPRO-SUP-28GCPE-3</t>
  </si>
  <si>
    <t>Cambium Care Pro, 3-year support for one 28 GHz cnWave CPE.� 24x7 TAC support, SW updates</t>
  </si>
  <si>
    <t>CCPRO-SUP-28GCPE-5</t>
  </si>
  <si>
    <t>Cambium Care Pro, 5-year support for one 28 GHz cnWave CPE.� 24x7 TAC support, SW updates</t>
  </si>
  <si>
    <t>Cambium Care Pro, 1-year support for one cnPilot e410.� 24x7 TAC support, SW updates</t>
  </si>
  <si>
    <t>Cambium Care Pro, 3-year support for one cnPilot e410.� 24x7 TAC support, SW updates</t>
  </si>
  <si>
    <t>Cambium Care Pro, 5-year support for one cnPilot e410.� 24x7 TAC support, SW updates</t>
  </si>
  <si>
    <t>Cambium Care Pro, 1-year support for one cnPilot e425.� 24x7 TAC support, SW updates</t>
  </si>
  <si>
    <t>Cambium Care Pro, 3-year support for one cnPilot e425.� 24x7 TAC support, SW updates</t>
  </si>
  <si>
    <t>Cambium Care Pro, 5-year support for one cnPilot e425.� 24x7 TAC support, SW updates</t>
  </si>
  <si>
    <t>Cambium Care Pro, 1-year support for one cnPilot e430.� 24x7 TAC support, SW updates</t>
  </si>
  <si>
    <t>Cambium Care Pro, 3-year support for one cnPilot e430.� 24x7 TAC support, SW updates</t>
  </si>
  <si>
    <t>Cambium Care Pro, 5-year support for one cnPilot e430.� 24x7 TAC support, SW updates</t>
  </si>
  <si>
    <t>Cambium Care Pro, 1-year support for one cnPilot e500.� 24x7 TAC support, SW updates</t>
  </si>
  <si>
    <t>Cambium Care Pro, 3-year support for one cnPilot e500.� 24x7 TAC support, SW updates</t>
  </si>
  <si>
    <t>Cambium Care Pro, 5-year support for one cnPilot e500.� 24x7 TAC support, SW updates</t>
  </si>
  <si>
    <t>Cambium Care Pro, 1-year support for one cnPilot e501S.� 24x7 TAC support, SW updates</t>
  </si>
  <si>
    <t>Cambium Care Pro, 3-year support for one cnPilot e501S.� 24x7 TAC support, SW updates</t>
  </si>
  <si>
    <t>Cambium Care Pro, 5-year support for one cnPilot e501S.� 24x7 TAC support, SW updates</t>
  </si>
  <si>
    <t>Cambium Care Pro, 1-year support for one cnPilot e502S.� 24x7 TAC support, SW updates</t>
  </si>
  <si>
    <t>Cambium Care Pro, 3-year support for one cnPilot e502S.� 24x7 TAC support, SW updates</t>
  </si>
  <si>
    <t>Cambium Care Pro, 5-year support for one cnPilot e502S.� 24x7 TAC support, SW updates</t>
  </si>
  <si>
    <t>Cambium Care Pro, 1-year support for one cnPilot e505.� 24x7 TAC support, SW updates</t>
  </si>
  <si>
    <t>Cambium Care Pro, 3-year support for one cnPilot e505.� 24x7 TAC support, SW updates</t>
  </si>
  <si>
    <t>Cambium Care Pro, 5-year support for one cnPilot e505.� 24x7 TAC support, SW updates</t>
  </si>
  <si>
    <t>Cambium Care Pro, 1-year support for one cnPilot e510.� 24x7 TAC support, SW updates</t>
  </si>
  <si>
    <t>Cambium Care Pro, 3-year support for one cnPilot e510.� 24x7 TAC support, SW updates</t>
  </si>
  <si>
    <t>Cambium Care Pro, 5-year support for one cnPilot e510.� 24x7 TAC support, SW updates</t>
  </si>
  <si>
    <t>Cambium Care Pro, 1-year support for one cnPilot e600.� 24x7 TAC support, SW updates</t>
  </si>
  <si>
    <t>Cambium Care Pro, 3-year support for one cnPilot e600.� 24x7 TAC support, SW updates</t>
  </si>
  <si>
    <t>Cambium Care Pro, 5-year support for one cnPilot e600.� 24x7 TAC support, SW updates</t>
  </si>
  <si>
    <t>Cambium Care Pro, 1-year support for one EX1010.� 24x7 TAC support, SW updates</t>
  </si>
  <si>
    <t>Cambium Care Pro, 3-year support for one EX1010.� 24x7 TAC support, SW updates</t>
  </si>
  <si>
    <t>Cambium Care Pro, 5-year support for one EX1010.� 24x7 TAC support, SW updates</t>
  </si>
  <si>
    <t>Cambium Care Pro, 1-year support for one EX1010-P.� 24x7 TAC support, SW updates</t>
  </si>
  <si>
    <t>Cambium Care Pro, 3-year support for one EX1010-P.� 24x7 TAC support, SW updates</t>
  </si>
  <si>
    <t>Cambium Care Pro, 5-year support for one EX1010-P.� 24x7 TAC support, SW updates</t>
  </si>
  <si>
    <t>Cambium Care Pro, 1-year support for one EX1028.� 24x7 TAC support, SW updates</t>
  </si>
  <si>
    <t>Cambium Care Pro, 3-year support for one EX1028.� 24x7 TAC support, SW updates</t>
  </si>
  <si>
    <t>Cambium Care Pro, 5-year support for one EX1028.� 24x7 TAC support, SW updates</t>
  </si>
  <si>
    <t>Cambium Care Pro, 1-year support for one EX1028-P.� 24x7 TAC support, SW updates</t>
  </si>
  <si>
    <t>Cambium Care Pro, 3-year support for one EX1028-P.� 24x7 TAC support, SW updates</t>
  </si>
  <si>
    <t>Cambium Care Pro, 5-year support for one EX1028-P.� 24x7 TAC support, SW updates</t>
  </si>
  <si>
    <t>Cambium Care Pro, 1-year support for one EX2010.� 24x7 TAC support, SW updates</t>
  </si>
  <si>
    <t>Cambium Care Pro, 3-year support for one EX2010.� 24x7 TAC support, SW updates</t>
  </si>
  <si>
    <t>Cambium Care Pro, 5-year support for one EX2010.� 24x7 TAC support, SW updates</t>
  </si>
  <si>
    <t>Cambium Care Pro, 1-year support for one cnMatrix EX2010-P.  24x7 TAC support and SW updates</t>
  </si>
  <si>
    <t>Cambium Care Pro, 3-year support for one EX2010-P.� 24x7 TAC support, SW updates</t>
  </si>
  <si>
    <t>Cambium Care Pro, 5-year support for one EX2010-P.� 24x7 TAC support, SW updates</t>
  </si>
  <si>
    <t>Cambium Care Pro, 1-year support for one EX2016M-P.� 24x7 TAC support, SW updates</t>
  </si>
  <si>
    <t>Cambium Care Pro, 3-year support for one EX2016M-P.� 24x7 TAC support, SW updates</t>
  </si>
  <si>
    <t>Cambium Care Pro, 5-year support for one EX2016M-P.� 24x7 TAC support, SW updates</t>
  </si>
  <si>
    <t>Cambium Care Pro, 1-year support for one EX2028.� 24x7 TAC support, SW updates</t>
  </si>
  <si>
    <t>Cambium Care Pro, 3-year support for one EX2028.� 24x7 TAC support, SW updates</t>
  </si>
  <si>
    <t>Cambium Care Pro, 5-year support for one EX2028.� 24x7 TAC support, SW updates</t>
  </si>
  <si>
    <t>Cambium Care Pro, 1-year support for one EX2028-P.� 24x7 TAC support, SW updates</t>
  </si>
  <si>
    <t>Cambium Care Pro, 3-year support for one EX2028-P.� 24x7 TAC support, SW updates</t>
  </si>
  <si>
    <t>Cambium Care Pro, 5-year support for one EX2028-P.� 24x7 TAC support, SW updates</t>
  </si>
  <si>
    <t>Cambium Care Pro, 1-year support for one EX2052.� 24x7 TAC support, SW updates</t>
  </si>
  <si>
    <t>Cambium Care Pro, 3-year support for one EX2052.� 24x7 TAC support, SW updates</t>
  </si>
  <si>
    <t>Cambium Care Pro, 5-year support for one EX2052.� 24x7 TAC support, SW updates</t>
  </si>
  <si>
    <t>Cambium Care Pro, 1-year support for one EX2052-P.� 24x7 TAC support, SW updates</t>
  </si>
  <si>
    <t>Cambium Care Pro, 3-year support for one EX2052-P.� 24x7 TAC support, SW updates</t>
  </si>
  <si>
    <t>Cambium Care Pro, 5-year support for one EX2052-P.� 24x7 TAC support, SW updates</t>
  </si>
  <si>
    <t>Cambium Care Pro, 1-year support for one EX2052R-P.� 24x7 TAC support, SW updates</t>
  </si>
  <si>
    <t>Cambium Care Pro, 3-year support for one EX2052R-P.� 24x7 TAC support, SW updates</t>
  </si>
  <si>
    <t>Cambium Care Pro, 5-year support for one EX2052R-P.� 24x7 TAC support, SW updates</t>
  </si>
  <si>
    <t>CCPRO-SUP-XE3-4-1</t>
  </si>
  <si>
    <t>Cambium Care Pro, 1-year support for one XE3-4.  24x7 TAC support, SW updates</t>
  </si>
  <si>
    <t>CCPRO-SUP-XE3-4-3</t>
  </si>
  <si>
    <t>Cambium Care Pro, 3-year support for one XE3-4.  24x7 TAC support, SW updates</t>
  </si>
  <si>
    <t>CCPRO-SUP-XE3-4-5</t>
  </si>
  <si>
    <t>Cambium Care Pro, 5-year support for one XE3-4.  24x7 TAC support, SW updates</t>
  </si>
  <si>
    <t>Cambium Care Pro, 1-year support for one XV2-2T.  24x7 TAC support, SW updates</t>
  </si>
  <si>
    <t>Cambium Care Pro, 3-year support for one XV2-2T.  24x7 TAC support, SW updates</t>
  </si>
  <si>
    <t>Cambium Care Pro, 5-year support for one XV2-2T.  24x7 TAC support, SW updates</t>
  </si>
  <si>
    <t>Cambium Care Pro, 1-year support for one XV3-8 Wireless AP.  24x7 TAC support and SW updates</t>
  </si>
  <si>
    <t>Cambium Care Pro, 3-year support for one XV3-8 Wireless AP.  24x7 TAC support and SW updates</t>
  </si>
  <si>
    <t>Cambium Care Pro, 5-year support for one XV3-8 Wireless AP.  24x7 TAC support and SW updates</t>
  </si>
  <si>
    <t>CCPRO-XI-2PACK-3</t>
  </si>
  <si>
    <t>Cambium Care Pro, 3-year support renewal for one XI-2PACK modular radio kit.  24x7 TAC support, SW updates</t>
  </si>
  <si>
    <t>CCPRO-XI-4PACK-3</t>
  </si>
  <si>
    <t>Cambium Care Pro, 3-year support renewal for one XI-4PACK modular radio kit.  24x7 TAC support, SW updates</t>
  </si>
  <si>
    <t>CCPRO-XI-XT-5024-3</t>
  </si>
  <si>
    <t>Cambium Care Pro, 3-year support renewal for one XT-5024 access switch.  24x7 TAC support, SW updates</t>
  </si>
  <si>
    <t>CCPRO-XR-1200-1</t>
  </si>
  <si>
    <t>Cambium Care Pro, 1-year support renewal for one XR-1200 Wireless AP.  24x7 TAC support, SW updates</t>
  </si>
  <si>
    <t>CCPRO-XR-1200-3</t>
  </si>
  <si>
    <t>Cambium Care Pro, 3-year support renewal for one XR-1200 Wireless AP.  24x7 TAC support, SW updates</t>
  </si>
  <si>
    <t>CCPRO-XR-1200H-1</t>
  </si>
  <si>
    <t>Cambium Care Pro, 1-year support renewal for one XR-1200H Wireless AP.  24x7 TAC support, SW updates</t>
  </si>
  <si>
    <t>CCPRO-XR-1200H-3</t>
  </si>
  <si>
    <t>Cambium Care Pro, 3-year support renewal for one XR-1200H Wireless AP.  24x7 TAC support, SW updates</t>
  </si>
  <si>
    <t>CCPRO-XR-2200-3</t>
  </si>
  <si>
    <t>Cambium Care Pro, 3-year support renewal for one XR-2200 Wireless AP.  24x7 TAC support, SW updates</t>
  </si>
  <si>
    <t>CCPRO-XR-2400-3</t>
  </si>
  <si>
    <t>Cambium Care Pro, 3-year support renewal for one XR-2400 Wireless AP.  24x7 TAC support, SW updates</t>
  </si>
  <si>
    <t>CCPRO-XR-2400H-3</t>
  </si>
  <si>
    <t>Cambium Care Pro, 3-year support renewal for one XR-2400H Wireless AP.  24x7 TAC support, SW updates</t>
  </si>
  <si>
    <t>CCPRO-XR-4400-3</t>
  </si>
  <si>
    <t>Cambium Care Pro, 3-year support renewal for one XR-4400 Wireless AP.  24x7 TAC support, SW updates</t>
  </si>
  <si>
    <t>CCPRO-XR-4800-3</t>
  </si>
  <si>
    <t>Cambium Care Pro, 3-year support renewal for one XR-4800 Wireless AP.  24x7 TAC support, SW updates</t>
  </si>
  <si>
    <t>CCPRO-XR-500-3</t>
  </si>
  <si>
    <t>Cambium Care Pro, 3-year support renewal for one XR-500 Wireless AP.  24x7 TAC support, SW updates</t>
  </si>
  <si>
    <t>CCPRO-XR-500H-3</t>
  </si>
  <si>
    <t>Cambium Care Pro, 3-year support renewal for one XR-500H Wireless AP.  24x7 TAC support, SW updates</t>
  </si>
  <si>
    <t>CCPRO-XR-6800-3</t>
  </si>
  <si>
    <t>Cambium Care Pro, 3-year support renewal for one XR-6800 Wireless AP.  24x7 TAC support, SW updates</t>
  </si>
  <si>
    <t>CCPRO-XR-7200-3</t>
  </si>
  <si>
    <t>Cambium Care Pro, 3-year support renewal for one XR-7200 ccess point</t>
  </si>
  <si>
    <t>CCPRO-XR-7600-3</t>
  </si>
  <si>
    <t>Cambium Care Pro, 3-year support renewal for one XR-7600 Wireless AP.  24x7 TAC support, SW updates</t>
  </si>
  <si>
    <t>CCPRO-XT-5028-3</t>
  </si>
  <si>
    <t>Cambium Care Pro, 3-year support renewal for one XT-5048 access switch.  24x7 TAC support, SW updates</t>
  </si>
  <si>
    <t>EASY-RNW-1-12R</t>
  </si>
  <si>
    <t>EasyPass 1-year subscription renewal: for a 12-radio AP operating with XMS-Cloud or XMS-Enterprise</t>
  </si>
  <si>
    <t>WIFI : Subscription Enterprise : EasyPass</t>
  </si>
  <si>
    <t>EASY-RNW-1-16R</t>
  </si>
  <si>
    <t>EasyPass 1-year subscription renewal: for a 16-radio AP operating with XMS-Cloud or XMS-Enterprise</t>
  </si>
  <si>
    <t>EASY-RNW-1-2R</t>
  </si>
  <si>
    <t>EasyPass 1-year subscription renewal: for a 2 and 3-radio AP operating with XMS-Cloud or XMS-Enterprise</t>
  </si>
  <si>
    <t>EASY-RNW-1-4R</t>
  </si>
  <si>
    <t>EasyPass 1-year subscription renewal: for a 4-radio AP operating with XMS-Cloud or XMS-Enterprise</t>
  </si>
  <si>
    <t>EASY-RNW-1-8R</t>
  </si>
  <si>
    <t>EasyPass 1-year subscription renewal: for a 8-radio AP operating with XMS-Cloud or XMS-Enterprise</t>
  </si>
  <si>
    <t>EASY-RNW-3-12R</t>
  </si>
  <si>
    <t>EasyPass 3-year subscription renewal: for a 12-radio AP operating with XMS-Cloud or XMS-Enterprise</t>
  </si>
  <si>
    <t>EASY-RNW-3-12R-MON</t>
  </si>
  <si>
    <t>EasyPass 1-month subscription renewal for a 12-radio AP operating with XMS-Cloud or XMS-Enterprise, 3-year rate</t>
  </si>
  <si>
    <t>EASY-RNW-3-16R</t>
  </si>
  <si>
    <t>EasyPass 3-year subscription renewal: for a 16-radio AP operating with XMS-Cloud or XMS-Enterprise</t>
  </si>
  <si>
    <t>EASY-RNW-3-16R-MON</t>
  </si>
  <si>
    <t>EasyPass 1-month subscription renewal for a 16-radio AP operating with XMS-Cloud or XMS-Enterprise, 3-year rate</t>
  </si>
  <si>
    <t>EASY-RNW-3-2R</t>
  </si>
  <si>
    <t>EasyPass 3-year subscription renewal: for a 2 and 3-radio AP operating with XMS-Cloud or XMS-Enterprise</t>
  </si>
  <si>
    <t>EASY-RNW-3-4R</t>
  </si>
  <si>
    <t>EasyPass 3-year subscription renewal: for a 4-radio AP operating with XMS-Cloud or XMS-Enterprise</t>
  </si>
  <si>
    <t>EASY-RNW-3-8R</t>
  </si>
  <si>
    <t>EasyPass 3-year subscription renewal: for a 8-radio AP operating with XMS-Cloud or XMS-Enterprise</t>
  </si>
  <si>
    <t>EASY-RNW-3-8R-MON</t>
  </si>
  <si>
    <t>EasyPass 1-month subscription renewal for a 8-radio AP operating with XMS-Cloud or XMS-Enterprise, 3-year rate</t>
  </si>
  <si>
    <t>EASY-RNW-5-2R</t>
  </si>
  <si>
    <t>'EasyPass 5-year subscription renewal: for a 2 and 3-radio AP operating with XMS-Cloud or XMS-Enterprise</t>
  </si>
  <si>
    <t>EASY-RNW-5-4R</t>
  </si>
  <si>
    <t>EasyPass 5-year subscription renewal: for a 4-radio AP operating with XMS-Cloud or XMS-Enterprise</t>
  </si>
  <si>
    <t>EASY-SUB-12R-1</t>
  </si>
  <si>
    <t>EasyPass, all modules, 1-year subscription for a 12-radio AP operating with XMS-Cloud or XMS-Enterprise</t>
  </si>
  <si>
    <t>Xirrus SW Subscription</t>
  </si>
  <si>
    <t>Network Products,WIFI6</t>
  </si>
  <si>
    <t>EASY-SUB-12R-3</t>
  </si>
  <si>
    <t>EasyPass 3-year subscription for a 12-radio AP operating with XMS-Cloud or XMS-Enterprise</t>
  </si>
  <si>
    <t>EASY-SUB-16R-1</t>
  </si>
  <si>
    <t>EasyPass, all modules, 1-year subscription for a 16-radio AP operating with XMS-Cloud or XMS-Enterprise</t>
  </si>
  <si>
    <t>EASY-SUB-16R-3</t>
  </si>
  <si>
    <t>EasyPass 3-year subscription for a 16-radio AP operating with XMS-Cloud or XMS-Enterprise</t>
  </si>
  <si>
    <t>EASY-SUB-2R-1</t>
  </si>
  <si>
    <t>EasyPass, all modules, 1-year subscription for a 2-radio AP operating with XMS-Cloud or XMS-Enterprise</t>
  </si>
  <si>
    <t>EASY-SUB-2R-3</t>
  </si>
  <si>
    <t>EasyPass, all modules, 3-year subscription for a 2-radio AP operating with XMS-Cloud or XMS-Enterprise</t>
  </si>
  <si>
    <t>EASY-SUB-2R-5</t>
  </si>
  <si>
    <t>EasyPass, all modules, 5-year subscription for a 2-radio AP operating with XMS-Cloud or XMS-Enterprise</t>
  </si>
  <si>
    <t>EASY-SUB-4R-1</t>
  </si>
  <si>
    <t>EasyPass, all modules, 1-year subscription for a 4-radio AP operating with XMS-Cloud or XMS-Enterprise</t>
  </si>
  <si>
    <t>EASY-SUB-4R-3</t>
  </si>
  <si>
    <t>EasyPass, all modules, 3-year subscription for a 4-radio AP operating with XMS-Cloud or XMS-Enterprise</t>
  </si>
  <si>
    <t>EASY-SUB-4R-5</t>
  </si>
  <si>
    <t>EasyPass, all modules, 5-year subscription for a 4-radio AP operating with XMS-Cloud or XMS-Enterprise</t>
  </si>
  <si>
    <t>EASY-SUB-8R-1</t>
  </si>
  <si>
    <t>EasyPass, all modules, 1-year subscription for a 8-radio AP operating with XMS-Cloud or XMS-Enterprise</t>
  </si>
  <si>
    <t>EASY-SUB-8R-3</t>
  </si>
  <si>
    <t>EasyPass 3-year subscription for a 8-radio AP operating with XMS-Cloud or XMS-Enterprise</t>
  </si>
  <si>
    <t>EW-E1CNM12PACT-WW</t>
  </si>
  <si>
    <t>cnMatrix TX1012-P-AC Extended Warranty, 1 Additional Year</t>
  </si>
  <si>
    <t>EW-E1CNM12PDCT-WW</t>
  </si>
  <si>
    <t>cnMatrix TX 1012-P-DC Extended Warranty, 1 Additional Year</t>
  </si>
  <si>
    <t>EW-E1CNM20-WW</t>
  </si>
  <si>
    <t xml:space="preserve">cnMatrix EX2010 Extended Warranty, 1 Additional Year </t>
  </si>
  <si>
    <t>EW-E1CNM20P-WW</t>
  </si>
  <si>
    <t xml:space="preserve">cnMatrix EX2010-P Extended Warranty, 1 Additional Year </t>
  </si>
  <si>
    <t>EW-E1CNM28-WW</t>
  </si>
  <si>
    <t>cnMatrix EX2028 Extended Warranty, 1 Additional Year</t>
  </si>
  <si>
    <t>EW-E1CNM28P-WW</t>
  </si>
  <si>
    <t>cnMatrix EX2028-P Extended Warranty, 1 Additional Year</t>
  </si>
  <si>
    <t>EW-E1CNM52-WW</t>
  </si>
  <si>
    <t>cnMatrix EX2052 Extended Warranty, 1 Additional Year</t>
  </si>
  <si>
    <t>EW-E1CNM52P-WW</t>
  </si>
  <si>
    <t>cnMatrix EX2052-P Extended Warranty, 1 Additional Year</t>
  </si>
  <si>
    <t>EW-E1CNM52RP-WW</t>
  </si>
  <si>
    <t>cnMatrix EX2052R-P Extended Warranty, 1 Additional Year</t>
  </si>
  <si>
    <t>EW-E1CNW28BS-WW</t>
  </si>
  <si>
    <t>28 GHz cnWave Base Station Extended Warranty, 1 Additional Year</t>
  </si>
  <si>
    <t>EW-E1CNWCPE-WW</t>
  </si>
  <si>
    <t>28 GHz cnWave CPE Extended Warranty, 1 Additional Year</t>
  </si>
  <si>
    <t>ePMP Force 425 Extended Warranty, 1 Additional Year</t>
  </si>
  <si>
    <t>Network Products,ePMP EU,ePMP RoW,ePMP US</t>
  </si>
  <si>
    <t>EW-E1XV22TX-WW</t>
  </si>
  <si>
    <t>XV2-2TX Extended Warranty, 1 Additional Year</t>
  </si>
  <si>
    <t>EW-E2CNM12PACT-WW</t>
  </si>
  <si>
    <t>cnMatrix TX1012-P-AC Extended Warranty, 2 Additional Years</t>
  </si>
  <si>
    <t>EW-E2CNM12PDCT-WW</t>
  </si>
  <si>
    <t>cnMatrix TX 1012-P-DC Extended Warranty, 2 Additional Years</t>
  </si>
  <si>
    <t>EW-E2CNM20-WW</t>
  </si>
  <si>
    <t xml:space="preserve">cnMatrix EX2010 Extended Warranty, 2 Additional Years </t>
  </si>
  <si>
    <t>EW-E2CNM20P-WW</t>
  </si>
  <si>
    <t xml:space="preserve">cnMatrix EX2010-P Extended Warranty, 2 Additional Years </t>
  </si>
  <si>
    <t>EW-E2CNM28-WW</t>
  </si>
  <si>
    <t>cnMatrix EX2028 Extended Warranty, 2 Additional Years</t>
  </si>
  <si>
    <t>EW-E2CNM28P-WW</t>
  </si>
  <si>
    <t>cnMatrix EX2028-P Extended Warranty, 2 Additional Years</t>
  </si>
  <si>
    <t>EW-E2CNM52-WW</t>
  </si>
  <si>
    <t>cnMatrix EX2052 Extended Warranty, 2 Additional Years</t>
  </si>
  <si>
    <t>EW-E2CNM52P-WW</t>
  </si>
  <si>
    <t>cnMatrix EX2052-P Extended Warranty, 2 Additional Years</t>
  </si>
  <si>
    <t>EW-E2CNM52RP-WW</t>
  </si>
  <si>
    <t>cnMatrix EX2052R-P Extended Warranty, 2 Additional Years</t>
  </si>
  <si>
    <t>EW-E2CNW28BS-WW</t>
  </si>
  <si>
    <t>28 GHz cnWave Base Station Extended Warranty, 2 Additional Years</t>
  </si>
  <si>
    <t>EW-E2CNWCPE-WW</t>
  </si>
  <si>
    <t>28 GHz cnWave CPE Extended Warranty, 2 Additional Years</t>
  </si>
  <si>
    <t>ePMP Force 425 Extended Warranty, 2 Additional Years</t>
  </si>
  <si>
    <t>EW-E2PLE5XC-WW</t>
  </si>
  <si>
    <t>cnPilot E5Xc Extended Warranty, 2 Additional Years</t>
  </si>
  <si>
    <t>EW-E2XV22TX-WW</t>
  </si>
  <si>
    <t>XV2-2TX Extended Warranty, 2 Additional Years</t>
  </si>
  <si>
    <t>EW-E3CNW28BS-WW</t>
  </si>
  <si>
    <t>28 GHz cnWave Base Station Extended Warranty, 3 Additional Years</t>
  </si>
  <si>
    <t>EW-E3CNWCPE-WW</t>
  </si>
  <si>
    <t>28 GHz cnWave CPE Extended Warranty, 3 Additional Years</t>
  </si>
  <si>
    <t>EW-E4CNW28BS-WW</t>
  </si>
  <si>
    <t>28 GHz cnWave Base Station Extended Warranty, 4 Additional Years</t>
  </si>
  <si>
    <t>EW-E4CNWCPE-WW</t>
  </si>
  <si>
    <t>28 GHz cnWave CPE Extended Warranty, 4 Additional Years</t>
  </si>
  <si>
    <t>Other : Ecosystem : Benu</t>
  </si>
  <si>
    <t>GW-710-1555-5-WW</t>
  </si>
  <si>
    <t>Content Filtering 1K CAD, 5 yr</t>
  </si>
  <si>
    <t>GW-710-1556-5-WW</t>
  </si>
  <si>
    <t>Malware/Phishing Protection 1K CAD, 5yr</t>
  </si>
  <si>
    <t>MSX-RNW-T1-1</t>
  </si>
  <si>
    <t>cnMaestro X for FWB: Advanced management and includes CC Pro for Tier1; 1-year subscription renewal / Tier1 device; Tier1 device include FWB SM</t>
  </si>
  <si>
    <t>WIFI : Subscription Enterprise : Enterprise cnMaestro X</t>
  </si>
  <si>
    <t>MSX-RNW-T1-3</t>
  </si>
  <si>
    <t>cnMaestro X for FWB: Advanced management and includes CC Pro for Tier1; 3-year subscription renewal / Tier1 device; Tier1 device include FWB SM</t>
  </si>
  <si>
    <t>MSX-RNW-T1-5</t>
  </si>
  <si>
    <t>cnMaestro X for FWB: Advanced management and includes CC Pro for Tier1; 5-year subscription renewal / Tier1 device; Tier1 device include FWB SM</t>
  </si>
  <si>
    <t>MSX-RNW-T2-1</t>
  </si>
  <si>
    <t>cnMaestro X for FWB: Advanced management and includes CC Pro for Tier2; 1-year subscription renewal / Tier1 device; Tier1 device include FWB AP</t>
  </si>
  <si>
    <t>MSX-RNW-T2-3</t>
  </si>
  <si>
    <t>cnMaestro X for FWB: Advanced management and includes CC Pro for Tier2; 3-year subscription renewal / Tier1 device; Tier1 device include FWB AP</t>
  </si>
  <si>
    <t>MSX-RNW-T2-5</t>
  </si>
  <si>
    <t>cnMaestro X for FWB: Advanced management and includes CC Pro for Tier2; 5-year subscription renewal / Tier1 device; Tier1 device include FWB AP</t>
  </si>
  <si>
    <t>MSX-RNW-T3-1</t>
  </si>
  <si>
    <t>cnMaestro X for FWB: Advanced management and includes CC Pro for Tier3; 1-year subscription renewal / Tier1 device; Tier1 device includes Enterprise Wi-Fi APs</t>
  </si>
  <si>
    <t>MSX-RNW-T3-3</t>
  </si>
  <si>
    <t>cnMaestro X for FWB: Advanced management and includes CC Pro for Tier3; 3-year subscription renewal / Tier1 device; Tier1 device includes Enterprise Wi-Fi APs</t>
  </si>
  <si>
    <t>MSX-RNW-T3-5</t>
  </si>
  <si>
    <t>Maestro X for FWB: Advanced management and includes CC Pro for Tier3; 5-year subscription renewal / Tier1 device; Tier1 device includes Enterprise Wi-Fi APs</t>
  </si>
  <si>
    <t xml:space="preserve">cnMaestro X for FWB: Includes SMs  _x000D_
Advanced management and includes CC Pro for Tier1;  _x000D_
1-year subscription / Tier1 device; Tier1 device include FWB SM_x000D_
</t>
  </si>
  <si>
    <t>WIFI : Subscription FWBB : FWBB cnMaestro X</t>
  </si>
  <si>
    <t xml:space="preserve">cnMaestro X for FWB: Includes SMs_x000D_
Advanced management and includes CC Pro for Tier1;  _x000D_
3-year subscription / Tier1 device; Tier1 device include FWB SM_x000D_
</t>
  </si>
  <si>
    <t xml:space="preserve">cnMaestro X for FWB: Includes SMs  _x000D_
Advanced management and includes CC Pro for Tier1;  _x000D_
5-year subscription / Tier1 device; Tier1 device include FWB SM_x000D_
</t>
  </si>
  <si>
    <t xml:space="preserve">cnMaestro X for FWB: Includes FWB AP, PTP and IIOT  _x000D_
cnMaestro X for FWB: Advanced management and includes CC Pro for Tier2; 1-year subscription / Tier2 device; Tier2 devices include FWB AP, PTP and IIoT _x000D_
</t>
  </si>
  <si>
    <t xml:space="preserve">cnMaestro X for FWB: Includes FWB AP, PTP and IIOT  _x000D_
cnMaestro X for FWB: Advanced management and includes CC Pro for Tier2; 3-year subscription / Tier2 device; Tier2 devices include FWB AP, PTP and IIoT _x000D_
</t>
  </si>
  <si>
    <t xml:space="preserve">cnMaestro X for FWB: Includes FWB AP, PTP and IIOT  _x000D_
cnMaestro X for FWB: Advanced management and includes CC Pro for Tier2; 5-year subscription / Tier2 device; Tier2 devices include FWB AP, PTP and IIoT _x000D_
</t>
  </si>
  <si>
    <t xml:space="preserve">cnMaestro X for Enterprise: Includes Enterprise APs _x000D_
cnMaestro X for Enterprise: Advanced management and includes CC Pro for Tier3; 1-year subscription / Tier3 device; Tier3 device includes Enterprise AP_x000D_
</t>
  </si>
  <si>
    <t>MSX-SUB-T3-10</t>
  </si>
  <si>
    <t>cnMaestro X for Enterprise: Includes Enterprise APs _x000D_
cnMaestro X for Enterprise: Advanced management and includes CC Pro for Tier3; 10-year subscription / Tier3 device; Tier3 device includes Enterprise AP</t>
  </si>
  <si>
    <t xml:space="preserve">cnMaestro X for Enterprise: Includes Enterprise APs _x000D_
cnMaestro X for Enterprise: Advanced management and includes CC Pro for Tier3; 3-year subscription / Tier3 device; Tier3 device include Enterprise AP_x000D_
</t>
  </si>
  <si>
    <t xml:space="preserve">cnMaestro X for Enterprise: Includes Enterprise APs _x000D_
cnMaestro X for Enterprise: Advanced management and includes CC Pro for Tier3; 5-year subscription / Tier3 device; Tier3 device includes Enterprise AP  _x000D_
</t>
  </si>
  <si>
    <t xml:space="preserve">cnMaestro X for cnWave: Advanced management and includes CC Pro for Tier4; 1-year subscription / Tier4 device; Tier4 device include Client Node_x000D_
</t>
  </si>
  <si>
    <t>MSX-SUB-T4-10</t>
  </si>
  <si>
    <t>cnMaestro X for cnWave: Advanced management and includes CC Pro for Tier4; 10-year subscription / Tier4 device; Tier4 device include Client Node</t>
  </si>
  <si>
    <t xml:space="preserve">cnMaestro X for cnWave: Advanced management and includes CC Pro for Tier4; 3-year subscription / Tier4 device; Tier4 device include Client Node_x000D_
</t>
  </si>
  <si>
    <t xml:space="preserve">cnMaestro X for cnWave: Advanced management and includes CC Pro for Tier4; 5-year subscription / Tier4 device; Tier4 device include Client Node_x000D_
</t>
  </si>
  <si>
    <t xml:space="preserve">cnMaestro X for cnWave: Advanced management and includes CC Pro for Tier5; 1-year subscription / Tier5 device; Tier5 device include Distribution Node_x000D_
</t>
  </si>
  <si>
    <t>MSX-SUB-T5-10</t>
  </si>
  <si>
    <t>cnMaestro X for cnWave: Advanced management and includes CC Pro for Tier5; 10-year subscription / Tier5 device; Tier5 device include Distribution Node</t>
  </si>
  <si>
    <t xml:space="preserve">cnMaestro X for cnWave: Advanced management and includes CC Pro for Tier5; 3-year subscription / Tier5 device; Tier5 device include Distribution Node_x000D_
</t>
  </si>
  <si>
    <t xml:space="preserve">cnMaestro X for cnWave: Advanced management and includes CC Pro for Tier5; 5-year subscription / Tier5 device; Tier5 device include Distribution Node_x000D_
</t>
  </si>
  <si>
    <t>MSX-SUB-T6-1</t>
  </si>
  <si>
    <t xml:space="preserve">cnMaestro X for cnWave 28GHz: Advanced management and includes CC Pro for Tier6; 1-year subscription / Tier6 device; Tier6 device includes CPE </t>
  </si>
  <si>
    <t>MSX-SUB-T6-10</t>
  </si>
  <si>
    <t>cnMaestro X for cnWave 28GHz: Advanced management and includes CC Pro for Tier6; 10-year subscription / Tier6 device; Tier6 device includes CPE</t>
  </si>
  <si>
    <t>MSX-SUB-T6-5</t>
  </si>
  <si>
    <t>cnMaestro X for cnWave 28GHz: Advanced management and includes CC Pro for Tier6; 5-year subscription / Tier6 device; Tier6 device includes CPE</t>
  </si>
  <si>
    <t>MSX-SUB-T7-1</t>
  </si>
  <si>
    <t>cnMaestro X for cnWave 28GHz: Advanced management and includes CC Pro for Tier7; 1-year subscription / Tier7 device; Tier7 device includes BTS</t>
  </si>
  <si>
    <t>MSX-SUB-T7-10</t>
  </si>
  <si>
    <t>cnMaestro X for cnWave 28GHz: Advanced management and includes CC Pro for Tier7; 10-year subscription / Tier7 device; Tier7 device includes BTS</t>
  </si>
  <si>
    <t>MSX-SUB-T7-3</t>
  </si>
  <si>
    <t>cnMaestro X for cnWave 28GHz: Advanced management and includes CC Pro for Tier7; 3-year subscription / Tier7 device; Tier7 device includes BTS</t>
  </si>
  <si>
    <t>MSX-SUB-T7-5</t>
  </si>
  <si>
    <t>cnMaestro X for cnWave 28GHz: Advanced management and includes CC Pro for Tier7; 5-year subscription / Tier7 device; Tier7 device includes BTS</t>
  </si>
  <si>
    <t>MX-DIN-TX1K-0</t>
  </si>
  <si>
    <t>cnMatrix DIN Rail mount kit: TX1012-P-AC / TX1012-P-DC</t>
  </si>
  <si>
    <t>WIFI : Enterprise Accessories : Switching Accessories</t>
  </si>
  <si>
    <t>APAC Standard,CALA Standard,EMEA Standard,NA Standard,cnMatrix</t>
  </si>
  <si>
    <t>MX-EX1010PxA-0</t>
  </si>
  <si>
    <t>cnMatrix EX1010-P, Intelligent Ethernet PoE+ Switch, 8 1Gbps and 2 1Gbps SFP fiber ports - no pwr cord</t>
  </si>
  <si>
    <t>WIFI : Switching : EX1010-P</t>
  </si>
  <si>
    <t>Switch</t>
  </si>
  <si>
    <t>MX-EX1010PxA-1</t>
  </si>
  <si>
    <t>cnMatrix EX1010-P, Intelligent Ethernet PoE+ Switch, 8 1-Gbps and 2 1-Gbps SFP fiber ports - no pwr cord, USA Only</t>
  </si>
  <si>
    <t>MX-EX1010PxA-E</t>
  </si>
  <si>
    <t>cnMatrix EX1010-P, Intelligent Ethernet PoE+ Switch, 8 1Gbps and 2 1Gbps SFP fiber ports - no pwr cord - EMEA Only</t>
  </si>
  <si>
    <t>cnMatrixEMEA</t>
  </si>
  <si>
    <t>MX-EX1010xxA-0</t>
  </si>
  <si>
    <t xml:space="preserve">cnMatrix EX1010, Intelligent Ethernet Switch, 8 1Gbps and 2 1 Gbps SFP fiber ports - no pwr cord_x000D_
</t>
  </si>
  <si>
    <t>WIFI : Switching : EX1010</t>
  </si>
  <si>
    <t>MX-EX1010xxA-1</t>
  </si>
  <si>
    <t>cnMatrix EX1010, Intelligent Ethernet Switch, 8 1-Gbps and 2 1-Gbps SFP fiber ports - no pwr cord, USA Only</t>
  </si>
  <si>
    <t>MX-EX1010xxA-E</t>
  </si>
  <si>
    <t>cnMatrix EX1010, Intelligent Ethernet Switch, 8 1Gbps and 2 1 Gbps SFP fiber ports - no pwr cord - EMEA Only</t>
  </si>
  <si>
    <t>8517.62.0000</t>
  </si>
  <si>
    <t>MX-EX1028PxA-0</t>
  </si>
  <si>
    <t>cnMatrix EX1028-P, Intelligent Ethernet PoE Switch, 24 1G and 4 1Gbps SFP fiber ports - no pwr cord</t>
  </si>
  <si>
    <t>WIFI : Switching : EX1028-P</t>
  </si>
  <si>
    <t>MX-EX1028PxA-1</t>
  </si>
  <si>
    <t>cnMatrix EX1028-P, Intelligent Ethernet PoE+ Switch, 24 1-Gbps and 4 1-Gbps SFP fiber ports - no pwr cord, USA Only</t>
  </si>
  <si>
    <t>MX-EX1028PxA-E</t>
  </si>
  <si>
    <t>cnMatrix EX1028-P, Intelligent Ethernet PoE+ Switch, 24 1G and 4 1Gbps SFP fiber ports - no pwr cord - EMEA Only</t>
  </si>
  <si>
    <t>MX-EX1028xxA-0</t>
  </si>
  <si>
    <t>cnMatrix EX1028, Intelligent Ethernet Switch, 24 1G and 4 1 Gbps SFP fiber ports - no pwr cord</t>
  </si>
  <si>
    <t>WIFI : Switching : EX1028</t>
  </si>
  <si>
    <t>MX-EX1028xxA-1</t>
  </si>
  <si>
    <t>cnMatrix EX1028, Intelligent Ethernet Switch, 24 1-Gbps and 4 1-Gbps SFP fiber ports - no pwr cord, USA Only</t>
  </si>
  <si>
    <t>MX-EX1028xxA-E</t>
  </si>
  <si>
    <t>cnMatrix EX1028, Intelligent Ethernet Switch, 24 1G and 4 1 Gbps SFP fiber ports - no pwr cord - EMEA Only</t>
  </si>
  <si>
    <t>MX-EX2010PxA-0</t>
  </si>
  <si>
    <t>cnMatrix EX2010-P, Intelligent Ethernet PoE Switch, 8 1G and 2 SFP fiber ports - no pwr cord</t>
  </si>
  <si>
    <t>WIFI : Switching : EX2010-P</t>
  </si>
  <si>
    <t>8517620020</t>
  </si>
  <si>
    <t>MX-EX2010PxA-A</t>
  </si>
  <si>
    <t>cnMatrix EX2010-P, Intelligent Ethernet PoE Switch, 8 1G and 2 SFP fiber ports - Argentina pwr cord</t>
  </si>
  <si>
    <t>MX-EX2010PxA-B</t>
  </si>
  <si>
    <t>cnMatrix EX2010-P, Intelligent Ethernet PoE Switch, 8 1G and 2 SFP fiber ports - Brazil pwr cord</t>
  </si>
  <si>
    <t>MX-EX2010PxA-C</t>
  </si>
  <si>
    <t>cnMatrix EX2010-P, Intelligent Ethernet PoE Switch, 8 1G and 2 SFP fiber ports - China pwr cord</t>
  </si>
  <si>
    <t>MX-EX2010PxA-E</t>
  </si>
  <si>
    <t>cnMatrix EX2010-P, Intelligent Ethernet PoE Switch, 8 1G and 2 SFP fiber ports - EU pwr cord</t>
  </si>
  <si>
    <t>MX-EX2010PxA-I</t>
  </si>
  <si>
    <t>cnMatrix EX2010-P, Intelligent Ethernet PoE Switch, 8 1G and 2 SFP fiber ports - India pwr cord</t>
  </si>
  <si>
    <t>MX-EX2010PxA-K</t>
  </si>
  <si>
    <t>cnMatrix EX2010-P, Intelligent Ethernet PoE Switch, 8 1G and 2 SFP fiber ports - UK pwr cord</t>
  </si>
  <si>
    <t>MX-EX2010PxA-N</t>
  </si>
  <si>
    <t>cnMatrix EX2010-P, Intelligent Ethernet PoE Switch, 8 1G and 2 SFP fiber ports - AUS/NZ pwr cord</t>
  </si>
  <si>
    <t>MX-EX2010PxA-U</t>
  </si>
  <si>
    <t>cnMatrix EX2010-P, Intelligent Ethernet PoE Switch, 8 1G and 2 SFP fiber ports - USA pwr cord</t>
  </si>
  <si>
    <t>MX-EX2010xxA-0</t>
  </si>
  <si>
    <t>cnMatrix EX2010, Intelligent Ethernet Switch, 8 1G and 2 SFP fiber ports - no pwr cord</t>
  </si>
  <si>
    <t>WIFI : Switching : EX2010</t>
  </si>
  <si>
    <t>MX-EX2010xxA-A</t>
  </si>
  <si>
    <t>cnMatrix EX2010, Intelligent Ethernet Switch, 8 1G and 2 SFP fiber ports - Argentina pwr cord</t>
  </si>
  <si>
    <t>MX-EX2010xxA-B</t>
  </si>
  <si>
    <t>cnMatrix EX2010, Intelligent Ethernet Switch, 8 1G and 2 SFP fiber ports - Brazil pwr cord</t>
  </si>
  <si>
    <t>MX-EX2010xxA-C</t>
  </si>
  <si>
    <t>cnMatrix EX2010, Intelligent Ethernet Switch, 8 1G and 2 SFP fiber ports - China pwr cord</t>
  </si>
  <si>
    <t>MX-EX2010xxA-E</t>
  </si>
  <si>
    <t>cnMatrix EX2010, Intelligent Ethernet Switch, 8 1G and 2 SFP fiber ports - EU pwr cord</t>
  </si>
  <si>
    <t>MX-EX2010xxA-I</t>
  </si>
  <si>
    <t>cnMatrix EX2010, Intelligent Ethernet Switch, 8 1G and 2 SFP fiber ports - India pwr cord</t>
  </si>
  <si>
    <t>MX-EX2010xxA-K</t>
  </si>
  <si>
    <t>cnMatrix EX2010, Intelligent Ethernet Switch, 8 1G and 2 SFP fiber ports - UK pwr cord</t>
  </si>
  <si>
    <t>MX-EX2010xxA-N</t>
  </si>
  <si>
    <t>cnMatrix EX2010, Intelligent Ethernet Switch, 8 1G and 2 SFP fiber ports - AUS/NZ pwr cord</t>
  </si>
  <si>
    <t>MX-EX2010xxA-U</t>
  </si>
  <si>
    <t>cnMatrix EX2010, Intelligent Ethernet Switch, 8 1G and 2 SFP fiber ports - USA pwr cord</t>
  </si>
  <si>
    <t>MX-EX2028PxA-0</t>
  </si>
  <si>
    <t>cnMatrix EX2028-P, Intelligent Ethernet PoE Switch, 24 1G and 4 SFP+ fiber ports - no pwr cord</t>
  </si>
  <si>
    <t>WIFI : Switching : EX2028-P</t>
  </si>
  <si>
    <t>MX-EX2028PxA-A</t>
  </si>
  <si>
    <t>cnMatrix EX2028-P, Intelligent Ethernet PoE Switch, 24 1G and 4 SFP+ fbr ports - Argentina pwr cord</t>
  </si>
  <si>
    <t>MX-EX2028PxA-B</t>
  </si>
  <si>
    <t>cnMatrix EX2028-P, Intelligent Ethernet PoE Switch, 24 1G and 4 SFP+ fiber ports - Brazil pwr cord</t>
  </si>
  <si>
    <t>MX-EX2028PxA-C</t>
  </si>
  <si>
    <t>cnMatrix EX2028-P, Intelligent Ethernet PoE Switch, 24 1G and 4 SFP+ fiber ports - China pwr cord</t>
  </si>
  <si>
    <t>MX-EX2028PxA-E</t>
  </si>
  <si>
    <t>cnMatrix EX2028-P, Intelligent Ethernet PoE Switch, 24 1G and 4 SFP+ fiber ports - EU pwr cord</t>
  </si>
  <si>
    <t>MX-EX2028PxA-I</t>
  </si>
  <si>
    <t>cnMatrix EX2028-P, Intelligent Ethernet PoE Switch, 24 1G and 4 SFP+ fiber ports - India pwr cord</t>
  </si>
  <si>
    <t>MX-EX2028PxA-K</t>
  </si>
  <si>
    <t>cnMatrix EX2028-P, Intelligent Ethernet PoE Switch, 24 1G and 4 SFP+ fiber ports - UK pwr cord</t>
  </si>
  <si>
    <t>MX-EX2028PxA-N</t>
  </si>
  <si>
    <t>cnMatrix EX2028-P, Intelligent Ethernet PoE Switch, 24 1G and 4 SFP+ fiber ports - AUS/NZ pwr cord</t>
  </si>
  <si>
    <t>MX-EX2028PxA-U</t>
  </si>
  <si>
    <t>cnMatrix EX2028-P, Intelligent Ethernet PoE Switch, 24 1G and 4 SFP+ fiber ports - USA pwr cord</t>
  </si>
  <si>
    <t>MX-EX2028xxA-0</t>
  </si>
  <si>
    <t>cnMatrix EX2028, Intelligent Ethernet Switch, 24 1G and 4 SFP+ fiber ports - no pwr cord</t>
  </si>
  <si>
    <t>WIFI : Switching : EX2028</t>
  </si>
  <si>
    <t>MX-EX2028xxA-A</t>
  </si>
  <si>
    <t>cnMatrix EX2028, Intelligent Ethernet Switch, 24 1G and 4 SFP+ fiber ports - Argentina pwr cord</t>
  </si>
  <si>
    <t>MX-EX2028xxA-B</t>
  </si>
  <si>
    <t>cnMatrix EX2028, Intelligent Ethernet Switch, 24 1G and 4 SFP+ fiber ports - Brazil pwr cord</t>
  </si>
  <si>
    <t>MX-EX2028xxA-C</t>
  </si>
  <si>
    <t>cnMatrix EX2028, Intelligent Ethernet Switch, 24 1G and 4 SFP+ fiber ports - China pwr cord</t>
  </si>
  <si>
    <t>MX-EX2028xxA-E</t>
  </si>
  <si>
    <t>cnMatrix EX2028, Intelligent Ethernet Switch, 24 1G and 4 SFP+ fiber ports - EU pwr cord</t>
  </si>
  <si>
    <t>MX-EX2028xxA-I</t>
  </si>
  <si>
    <t>cnMatrix EX2028, Intelligent Ethernet Switch, 24 1G and 4 SFP+ fiber ports - India pwr cord</t>
  </si>
  <si>
    <t>MX-EX2028xxA-K</t>
  </si>
  <si>
    <t>cnMatrix EX2028, Intelligent Ethernet Switch, 24 1G and 4 SFP+ fiber ports - UK pwr cord</t>
  </si>
  <si>
    <t>MX-EX2028xxA-N</t>
  </si>
  <si>
    <t>cnMatrix EX2028, Intelligent Ethernet Switch, 24 1G and 4 SFP+ fiber ports - AUS/NZ pwr cord</t>
  </si>
  <si>
    <t>MX-EX2028xxA-U</t>
  </si>
  <si>
    <t>cnMatrix EX2028, Intelligent Ethernet Switch, 24 1G and 4 SFP+ fiber ports - USA pwr cord</t>
  </si>
  <si>
    <t>MX-EXTXFULLA-1</t>
  </si>
  <si>
    <t>cnMatrix 19" Rack mount kit: Full-width switch and wall mount kit</t>
  </si>
  <si>
    <t>MX-EXTXHALFA-0</t>
  </si>
  <si>
    <t>cnMatrix 19" Rack mount kit: Half-width switch; EX2010/EX2010-P/EX1010/EX1010-P</t>
  </si>
  <si>
    <t>MX-Rack-TX1K-0</t>
  </si>
  <si>
    <t xml:space="preserve">cnMatrix 19" Rack mount kit: TX1012-P-AC / TX1012-P-DC _x000D_
</t>
  </si>
  <si>
    <t>MX-Rack-TX2K-0</t>
  </si>
  <si>
    <t xml:space="preserve">cnMatrix 19" Rack mount kit: TX2012R-P _x000D_
</t>
  </si>
  <si>
    <t>MXCRPSAC1200A0</t>
  </si>
  <si>
    <t>CRPS - AC - 1200W total Power, no power cord</t>
  </si>
  <si>
    <t>MXCRPSAC600A0</t>
  </si>
  <si>
    <t>CRPS - AC - 600W total Power,  no power cord</t>
  </si>
  <si>
    <t>MXCRPSAC930A0</t>
  </si>
  <si>
    <t>CRPS - AC - 930W total Power, no power cord</t>
  </si>
  <si>
    <t>MXCRPSDC1200A0</t>
  </si>
  <si>
    <t>CRPS - DC -  1200W total Power, 36v-72v, includes 3m cable connector</t>
  </si>
  <si>
    <t>MXCRPSDC600A0</t>
  </si>
  <si>
    <t>CRPS - DC -  600W total Power, 36v-72v, includes 3m cable connector</t>
  </si>
  <si>
    <t>MXCRPSDC930A0</t>
  </si>
  <si>
    <t xml:space="preserve">CRPS - DC -  930W total Power, 36v-72v, includes 3m cable connector_x000D_
</t>
  </si>
  <si>
    <t>MXEX2016MxPA00</t>
  </si>
  <si>
    <t>cnMatrix EX2016M-P, Intelligent Ethernet PoE Switch, 8x1G+6x2.5G+2xSFP+, no pwr cord</t>
  </si>
  <si>
    <t>WIFI : Switching : EX2016M-P</t>
  </si>
  <si>
    <t>MXEX2016MxPA01</t>
  </si>
  <si>
    <t>cnMatrix EX2016M-P, Intelligent Ethernet PoE Switch, 8x1G+6x2.5G+2xSFP+, no pwr cord, USA Only</t>
  </si>
  <si>
    <t>MXEX2052GxPA00</t>
  </si>
  <si>
    <t>cnMatrix EX2052-P, Intelligent Ethernet PoE Switch, 48 1G and 4 SFP+ Fixed 540 - no pwr cord</t>
  </si>
  <si>
    <t>WIFI : Switching : EX2052-P</t>
  </si>
  <si>
    <t>MXEX2052GxPA01</t>
  </si>
  <si>
    <t>cnMatrix EX2052-P, Intelligent Ethernet PoE Switch, 48 1G and 4 SFP+ Fixed 540 - no pwr cord, USA Only</t>
  </si>
  <si>
    <t>MXEX2052GxPA10</t>
  </si>
  <si>
    <t>cnMatrix EX2052R-P, Intelligent Ethernet PoE Switch, 48 1G and 4 SFP+, No CRPS - no pwr cord</t>
  </si>
  <si>
    <t>WIFI : Switching : EX2052R-P</t>
  </si>
  <si>
    <t>MXEX2052GxPA11</t>
  </si>
  <si>
    <t>cnMatrix EX2052R-P, Intelligent Ethernet PoE Switch, 48 1G and 4 SFP+, Removeable Power Supply  (not included)  - no pwr cord, USA Only</t>
  </si>
  <si>
    <t>MXEX2052GxxA00</t>
  </si>
  <si>
    <t>cnMatrix EX2052, Intelligent Ethernet Switch, 48 1G and 4 SFP+ - no pwr cord</t>
  </si>
  <si>
    <t>WIFI : Switching : EX2052</t>
  </si>
  <si>
    <t>MXEX2052GxxA01</t>
  </si>
  <si>
    <t>cnMatrix EX2052, Intelligent Ethernet Switch, 48 1G and 4 SFP+ - no pwr cord, USA Only</t>
  </si>
  <si>
    <t>MXTX1012GxPA00</t>
  </si>
  <si>
    <t>cnMatrix TX1012-P-AC, AC Powered Intelligent Ethernet PoE Switch,  8 x 1Gbps, and 4 SFP+, no pwr cord</t>
  </si>
  <si>
    <t>WIFI : Switching : TX1012-P-AC</t>
  </si>
  <si>
    <t>MXTX1012GxPA01</t>
  </si>
  <si>
    <t>cnMatrix TX1012-P-AC, AC Powered Intelligent Ethernet PoE Switch,  8 x 1Gbps, and 4 SFP+, no pwr cord, USA Only</t>
  </si>
  <si>
    <t>MXTX1012GxPA20</t>
  </si>
  <si>
    <t>cnMatrix TX1012-P-DC, DC Powered Intelligent Ethernet PoE Switch,  8 x 1Gbps, and 4 SFP+, no pwr cord</t>
  </si>
  <si>
    <t>WIFI : Switching : TX1012-P-DC</t>
  </si>
  <si>
    <t>MXTX1012GxPA21</t>
  </si>
  <si>
    <t>cnMatrix TX1012-P-DC, DC Powered Intelligent Ethernet PoE Switch,  8 x 1Gbps, and 4 SFP+, no pwr cord, USA Only</t>
  </si>
  <si>
    <t>MXTX2012GxPA10</t>
  </si>
  <si>
    <t>cnMatrix TX 2012R-P, Intelligent Ethernet PoE Switch, Cambium Sync,  8 x 1gbps, and 4 SFP+, Removeable Power Supply  (not included) - no pwr cord</t>
  </si>
  <si>
    <t>WIFI : Switching : TX2012R-P</t>
  </si>
  <si>
    <t>MXTX2012GxPA11</t>
  </si>
  <si>
    <t>cnMatrix TX 2012R-P, Intelligent Ethernet PoE Switch, Cambium Sync,  8 x 1gbps, and 4 SFP+, Removeable Power Supply  (not included) - no pwr cord, USA Only</t>
  </si>
  <si>
    <t>MXTX2020GxPA10</t>
  </si>
  <si>
    <t>cnMatrix TX 2020R-P, Intelligent Ethernet PoE Switch, Cambium Sync, 16 x 1gbps and 4 SFP+, Removeable &amp; Redundant Power Supplies (not included) - no pwr cord</t>
  </si>
  <si>
    <t>WIFI : Switching : TX2020R-P</t>
  </si>
  <si>
    <t>MXTX2020GxPA11</t>
  </si>
  <si>
    <t>cnMatrix TX 2020R-P, Intelligent Ethernet PoE Switch, Cambium Sync, 16 x 1gbps and 4 SFP+, Removeable &amp; Redundant Power Supplies  (not included) - no pwr cord, USA Only</t>
  </si>
  <si>
    <t>MXTX2028GFPA10</t>
  </si>
  <si>
    <t>cnMatrix TX 2028RF-P, Intelligent Ethernet PoE Switch, Cambium Sync,  16 x 1gbps, 8 x SFP, and 4 SFP+, Removeable Power Supply  (not included) - no pwr cord</t>
  </si>
  <si>
    <t>WIFI : Switching : TX2028RF-P</t>
  </si>
  <si>
    <t>MXTX2028GFPA11</t>
  </si>
  <si>
    <t>cnMatrix TX 2028RF-P, Intelligent Ethernet PoE Switch, Cambium Sync,  16 x 1gbps, 8 x SFP, and 4 SFP+, Removeable Power Supply  (not included) - no pwr cord, USA Only</t>
  </si>
  <si>
    <t>N000000L034B</t>
  </si>
  <si>
    <t>PoE, 30.5W, 56V, GbE DC Injector, Indoor, Energy Level 6 Supply, accepts C5 connector</t>
  </si>
  <si>
    <t xml:space="preserve">PoE, 60W, 56V, 5GbE DC Injector, Indoor, Energy Level 6 Supply, accepts C5 connector_x000D_
</t>
  </si>
  <si>
    <t>PTP : PTP Accessories : Licensed Microwave Accessories</t>
  </si>
  <si>
    <t>N000000L179B</t>
  </si>
  <si>
    <t>N000900L011A</t>
  </si>
  <si>
    <t>AC line cord, AU Type I, 720mm, C5 connector</t>
  </si>
  <si>
    <t>PMP : PMP Accessories : ePMP Accessories</t>
  </si>
  <si>
    <t>PoE, 15.4W, 56V, GbE DC Injector, Indoor, Energy Level 6 Supply, accepts C5 connector</t>
  </si>
  <si>
    <t>N000900L017B</t>
  </si>
  <si>
    <t>PoE Gigabit DC Injector, 15W Output at 56V, Energy Level 6, 0C to 40C, accepts C5 connector</t>
  </si>
  <si>
    <t>N000900L022A</t>
  </si>
  <si>
    <t>Adjustable Pole Bracket</t>
  </si>
  <si>
    <t>N000900L028A</t>
  </si>
  <si>
    <t>CABLE, 900mm length, UL POWER SUPPLY CORD SET, EU</t>
  </si>
  <si>
    <t>N000900L040A</t>
  </si>
  <si>
    <t>AC line cord, US Type B, 1.2m  C13 connector</t>
  </si>
  <si>
    <t>N000900L041A</t>
  </si>
  <si>
    <t xml:space="preserve">AC line cord, EU Type F angled, 1.2m C13 connector _x000D_
</t>
  </si>
  <si>
    <t>N000900L042A</t>
  </si>
  <si>
    <t>AC line cord, AU Type I, 1.2m C13 connector</t>
  </si>
  <si>
    <t>N000900L043A</t>
  </si>
  <si>
    <t>AC line cord, IN Type D angled, 1.2m C13 connector</t>
  </si>
  <si>
    <t>WIFI : Enterprise Accessories : Wi-Fi 6 Home Accessories</t>
  </si>
  <si>
    <t>Network Products,cnPilot,ePMP EU,ePMP RoW,ePMP US</t>
  </si>
  <si>
    <t>N000900L043B</t>
  </si>
  <si>
    <t>AC line cord, IN BIS Type D angled, 1.9m C13 connector</t>
  </si>
  <si>
    <t>8544499000</t>
  </si>
  <si>
    <t>N000900L044A</t>
  </si>
  <si>
    <t>AC line cord, BR Type N, 1.2m C13 connector</t>
  </si>
  <si>
    <t>N000900L045A</t>
  </si>
  <si>
    <t>AC line cord, UK Type G angled, 1.2m C13 connector</t>
  </si>
  <si>
    <t>N000900L046A</t>
  </si>
  <si>
    <t>AC line cord, CN Type I angled, 1.2m C13 connector</t>
  </si>
  <si>
    <t>N000900L047A</t>
  </si>
  <si>
    <t>AC line cord, AR Type I, 1.2m C13 connector</t>
  </si>
  <si>
    <t>N000900L048A</t>
  </si>
  <si>
    <t>AC line cord, ZA Type M angled, 720mm, C5 connector</t>
  </si>
  <si>
    <t>N000900L050A</t>
  </si>
  <si>
    <t>AC line cord, US Type A, 670mm C7 connector</t>
  </si>
  <si>
    <t>N000900L055A</t>
  </si>
  <si>
    <t>AC line cord, AR Type I angled, 670mm C7 connector</t>
  </si>
  <si>
    <t>N000900L092A</t>
  </si>
  <si>
    <t>AC line cord, US Type B, 15A, 1.2m C13 connector</t>
  </si>
  <si>
    <t>PL-501S000A-EU</t>
  </si>
  <si>
    <t>E501S (EU) Outdoor 2x2 Integrated Gigabit 11ac access point</t>
  </si>
  <si>
    <t>WIFI : WIFI 5 Outdoor : E501</t>
  </si>
  <si>
    <t>PL-501S000A-RW</t>
  </si>
  <si>
    <t>E501S (ROW) Outdoor 2x2 Integrated 11ac Access Point</t>
  </si>
  <si>
    <t>PL-501S000A-US</t>
  </si>
  <si>
    <t>E501S (FCC) Outdoor 2x2 Integrated Gigabit 11ac access point</t>
  </si>
  <si>
    <t>PL-502S000A-EU</t>
  </si>
  <si>
    <t>E502S (EU) Outdoor 30 Deg sector 802.11ac 2x2 WLAN AP with Tilt bracket</t>
  </si>
  <si>
    <t>WIFI : WIFI 5 Outdoor : E502</t>
  </si>
  <si>
    <t>PL-502S000A-RW</t>
  </si>
  <si>
    <t>E502S (ROW) Outdoor 30 Deg sector 802.11ac 2x2 WLAN AP with Tilt bracket</t>
  </si>
  <si>
    <t>PL-502S000A-US</t>
  </si>
  <si>
    <t>E502S (FCC) Outdoor 30 Deg sector 802.11ac 2x2 WLAN AP with Tilt bracket</t>
  </si>
  <si>
    <t>PL-DTSTANDB-WW</t>
  </si>
  <si>
    <t>e430H Desktop stand</t>
  </si>
  <si>
    <t>PL-DUWLGNGA-WW</t>
  </si>
  <si>
    <t>e430W Wall bracket for dual gang junction box</t>
  </si>
  <si>
    <t>PL-DUWLGNGB-WW</t>
  </si>
  <si>
    <t>e430H Wall bracket dual gang junction box</t>
  </si>
  <si>
    <t>PL-E410X00A-RW</t>
  </si>
  <si>
    <t>cnPilot E410 Indoor (ROW) 802.11ac wave 2, 2x2, AP</t>
  </si>
  <si>
    <t>WIFI : WIFI 5 Indoor : E410</t>
  </si>
  <si>
    <t>PL-E410X00B-CA</t>
  </si>
  <si>
    <t>E410 Indoor Wi-Fi (IC) 802.11ac wave 2, 2x2, AP</t>
  </si>
  <si>
    <t>PL-E410X00B-EU</t>
  </si>
  <si>
    <t>E410 Indoor Wi-Fi (EU) 802.11ac wave 2, 2x2, AP</t>
  </si>
  <si>
    <t>PL-E410X00B-RW</t>
  </si>
  <si>
    <t>E410 Indoor Wi-Fi (ROW) 802.11ac wave 2, 2x2, AP</t>
  </si>
  <si>
    <t>PL-E410X00B-US</t>
  </si>
  <si>
    <t>E410 Indoor Wi-Fi (FCC) 802.11ac wave 2, 2x2, AP</t>
  </si>
  <si>
    <t>PL-E425H00A-CA</t>
  </si>
  <si>
    <t>cnPilot e425H Indoor (Canada) 802.11ac wave 2, 2x2, Wall plate AP with single-gang wall bracket</t>
  </si>
  <si>
    <t>WIFI : WIFI 5 Indoor : e425h</t>
  </si>
  <si>
    <t>PL-E425H00A-EU</t>
  </si>
  <si>
    <t>cnPilot e425H Indoor (EU) 802.11ac wave 2, Wall plate WLAN AP w/ single-gang wall bracket</t>
  </si>
  <si>
    <t>PL-E425H00A-IL</t>
  </si>
  <si>
    <t>cnPilot e425H Indoor (Israel) 802.11ac wave 2, Wall plate WLAN AP w/ single-gang wall bracket</t>
  </si>
  <si>
    <t>PL-E425H00A-RW</t>
  </si>
  <si>
    <t>cnPilot e425H Indoor (ROW) 802.11ac wave 2, Wall plate WLAN AP w/ single-gang wall bracket</t>
  </si>
  <si>
    <t>PL-E425H00A-US</t>
  </si>
  <si>
    <t>cnPilot e425H Indoor (FCC) 802.11ac wave 2, Wall plate WLAN AP w/ single-gang wall bracket</t>
  </si>
  <si>
    <t>PL-E430H00A-EG</t>
  </si>
  <si>
    <t>cnPilot e430H Indoor (Egypt) 802.11ac wave 2, Wall plate WLAN AP w/ single-gang wall bracket</t>
  </si>
  <si>
    <t>WIFI : WIFI 5 Indoor : e430w/h</t>
  </si>
  <si>
    <t>PL-E430H00A-EU</t>
  </si>
  <si>
    <t>cnPilot e430H Indoor (EU) 802.11ac wave 2, Wall plate WLAN AP w/ single-gang wall bracket</t>
  </si>
  <si>
    <t>PL-E430H00A-IL</t>
  </si>
  <si>
    <t>cnPilot e430H Indoor (Israel) 802.11ac wave 2, Wall plate WLAN AP w/ single-gang wall bracket</t>
  </si>
  <si>
    <t>PL-E430H00A-RW</t>
  </si>
  <si>
    <t>cnPilot e430H Indoor (ROW) 802.11ac wave 2, Wall plate WLAN AP w/ single-gang wall bracket</t>
  </si>
  <si>
    <t>PL-E430H00A-US</t>
  </si>
  <si>
    <t>cnPilot e430H Indoor (FCC) 802.11ac wave 2, Wall plate WLAN AP w/ single-gang wall bracket</t>
  </si>
  <si>
    <t>PL-E500NPSA-EU</t>
  </si>
  <si>
    <t>cnPilot e500 Outdoor (EU) 802.11ac 2SS int antenna AP</t>
  </si>
  <si>
    <t>WIFI : WIFI 5 Outdoor : E500</t>
  </si>
  <si>
    <t>PL-E500NPSA-RW</t>
  </si>
  <si>
    <t>E500 (ROW with No PoE injector) Outdoor 2x2 Integrated Gigabit 11ac access point</t>
  </si>
  <si>
    <t>PL-E500NPSA-US</t>
  </si>
  <si>
    <t>cnPilot e500 Outdoor (US) 802.11ac 2SS int antenna AP</t>
  </si>
  <si>
    <t>PL-E505X00A-EU</t>
  </si>
  <si>
    <t>cnPilot e505 Outdoor (EU) 802.11ac wave 2, 2x2, 5dBi Omni AP, IP67</t>
  </si>
  <si>
    <t>WIFI : WIFI 5 Outdoor : E505</t>
  </si>
  <si>
    <t>PL-E505X00A-US</t>
  </si>
  <si>
    <t>cnPilot e505 Outdoor (FCC) 802.11ac wave 2, 2x2, 5dBi Omni AP, IP67</t>
  </si>
  <si>
    <t>PL-E510B00A-RW</t>
  </si>
  <si>
    <t>cnPilot e510 Outdoor (ROW) 802.11ac wave 2, 2x2, 8 dBi, WLAN AP. 10 Unit Bulk Pack</t>
  </si>
  <si>
    <t>WIFI : WIFI 5 Outdoor : E510B</t>
  </si>
  <si>
    <t>BTO Bulk Packs</t>
  </si>
  <si>
    <t>PL-E510X00A-CA</t>
  </si>
  <si>
    <t>cnPilot e510 Outdoor (IC) 802.11ac wave 2, 2x2, 8 dBi, WLAN AP</t>
  </si>
  <si>
    <t>WIFI : WIFI 5 Outdoor : E510</t>
  </si>
  <si>
    <t>PL-E510X00A-EU</t>
  </si>
  <si>
    <t>cnPilot e510 Outdoor (EU) 802.11ac wave 2, 2x2, 8 dBi, WLAN AP</t>
  </si>
  <si>
    <t>PL-E510X00A-RW</t>
  </si>
  <si>
    <t>cnPilot e510 Outdoor (ROW) 802.11ac wave 2, 2x2, 8 dBi, WLAN AP</t>
  </si>
  <si>
    <t>PL-E510X00A-US</t>
  </si>
  <si>
    <t>cnPilot e510 Outdoor (FCC) 802.11ac wave 2, 2x2, 8 dBi, WLAN AP</t>
  </si>
  <si>
    <t>PL-E600X00A-CA</t>
  </si>
  <si>
    <t>cnPilot e600 Indoor (Canada) 802.11ac wave 2, 4x4, AP</t>
  </si>
  <si>
    <t>WIFI : WIFI 5 Indoor : E600</t>
  </si>
  <si>
    <t>PL-E600X00A-EU</t>
  </si>
  <si>
    <t>cnPilot E600 Indoor (EU) 802.11ac wave 2, 4x4, AP</t>
  </si>
  <si>
    <t>PL-E600X00A-RW</t>
  </si>
  <si>
    <t>cnPilot E600 Indoor (ROW, No PSU) 802.11ac wave 2, 4x4, AP</t>
  </si>
  <si>
    <t>PL-E600X00A-US</t>
  </si>
  <si>
    <t>cnPilot E600 Indoor (FCC) 802.11ac wave 2, 4x4, AP</t>
  </si>
  <si>
    <t>PL-E700X00A-CA</t>
  </si>
  <si>
    <t>cnPilot e700 Outdoor (Canada) 802.11ac Wave 2, 2x2/4x4, AP</t>
  </si>
  <si>
    <t>WIFI : WIFI 5 Outdoor : E700</t>
  </si>
  <si>
    <t>PL-E700X00A-EU</t>
  </si>
  <si>
    <t>cnPilot e700 Outdoor (EU) 802.11ac wave 2, 2x2/4x4, AP</t>
  </si>
  <si>
    <t>PL-E700X00A-RW</t>
  </si>
  <si>
    <t>cnPilot e700 Outdoor (ROW) 802.11ac wave 2, 2x2/4x4, AP</t>
  </si>
  <si>
    <t>PL-E700X00A-US</t>
  </si>
  <si>
    <t>cnPilot e700 Outdoor (FCC) 802.11ac wave 2, 2x2/4x4, AP</t>
  </si>
  <si>
    <t>PL-E70XMNTA-WW</t>
  </si>
  <si>
    <t>cnPilot e700 tilt Mounting bracket</t>
  </si>
  <si>
    <t>PL-R190VEUA-WW</t>
  </si>
  <si>
    <t>R190V EU Cord, 802.11n 2.4 GHZ WLAN router with built-in ATA</t>
  </si>
  <si>
    <t>WIFI : WIFI Home : R190</t>
  </si>
  <si>
    <t>PL-R190VINA-WW</t>
  </si>
  <si>
    <t>R190V India Cord, 802.11n WLAN router with built-in ATA</t>
  </si>
  <si>
    <t>PL-R190VNTA-WW</t>
  </si>
  <si>
    <t>R190V (N Type: Brazil) 802.11n 2.4 GHZ WLAN router with built-in ATA</t>
  </si>
  <si>
    <t>PL-R190VUKA-WW</t>
  </si>
  <si>
    <t>R190V UK Cord, 802.11n 2.4 GHZ WLAN router with built-in ATA</t>
  </si>
  <si>
    <t>PL-R190VUSA-WW</t>
  </si>
  <si>
    <t>R190V US Cord, 802.11n 2.4 GHZ WLAN router with built-in ATA</t>
  </si>
  <si>
    <t>PL-R190WANA-WW</t>
  </si>
  <si>
    <t>R190W AUS/NZ cord, 802.11n 2.4 GHz WLAN router</t>
  </si>
  <si>
    <t>PL-R190WEUA-WW</t>
  </si>
  <si>
    <t>R190W EU Cord, 802.11n 2.4 GHz WLAN router</t>
  </si>
  <si>
    <t>PL-R190WINA-WW</t>
  </si>
  <si>
    <t>R190W India Cord, 802.11n 2.4 GHz WLAN router</t>
  </si>
  <si>
    <t>PL-R190WNPA-WW</t>
  </si>
  <si>
    <t>R190W No Power supply, 802.11n 2.4 GHz WLAN router</t>
  </si>
  <si>
    <t>PL-R190WNTA-WW</t>
  </si>
  <si>
    <t>R190W (N Type: Brazil) 802.11n 2.4 GHZ WLAN router</t>
  </si>
  <si>
    <t>PL-R190WUKA-WW</t>
  </si>
  <si>
    <t>R190W UK Cord, 802.11n 2.4 GHz WLAN router</t>
  </si>
  <si>
    <t>PL-R190WUSA-WW</t>
  </si>
  <si>
    <t>R190W US Cord, 802.11n 2.4 GHz WLAN router</t>
  </si>
  <si>
    <t>PL-R190WZAA-WW</t>
  </si>
  <si>
    <t>R190W (South Africa) 802.11n 2.4 GHZ WLAN router</t>
  </si>
  <si>
    <t>PL-R195PANA-RW</t>
  </si>
  <si>
    <t>r195P AUS/NZ type I P/S, 802.11n/AC Dual Band 2x2 WLAN AP, ATA, Cambium power</t>
  </si>
  <si>
    <t>WIFI : WIFI Home : R195P</t>
  </si>
  <si>
    <t>PL-R195PARA-RW</t>
  </si>
  <si>
    <t>r195P Argentina type I P/S 802.11n/AC Dual Band 2x2 WLAN AP, ATA, Cambium power</t>
  </si>
  <si>
    <t>PL-R195PEUA-EU</t>
  </si>
  <si>
    <t>r195P EU type C P/S, 802.11n/AC Dual Band 2x2 WLAN AP, ATA, Cambium power</t>
  </si>
  <si>
    <t>PL-R195PINA-RW</t>
  </si>
  <si>
    <t>r195P India type D P/S, 802.11n/AC Dual Band 2x2 WLAN AP, ATA, Cambium power</t>
  </si>
  <si>
    <t>PL-R195PNPA-RW</t>
  </si>
  <si>
    <t>r195P No line cord, 802.11n/AC Dual Band 2x2 WLAN AP, ATA, Cambium power</t>
  </si>
  <si>
    <t>PL-R195PNTA-RW</t>
  </si>
  <si>
    <t>r195P Brazil type N P/S, 802.11n/AC Dual Band 2x2 WLAN AP, ATA, Cambium power</t>
  </si>
  <si>
    <t>PL-R195PUKA-EU</t>
  </si>
  <si>
    <t>r195P UK type G P/S, 802.11n/AC Dual Band 2x2 WLAN AP, ATA, Cambium power</t>
  </si>
  <si>
    <t>PL-R195PUSA-CA</t>
  </si>
  <si>
    <t>r195P US type A P/S, 802.11n/AC Dual Band 2x2 WLAN AP, ATA, Cambium power, Canada</t>
  </si>
  <si>
    <t>PL-R195PUSA-RW</t>
  </si>
  <si>
    <t>r195P US type A P/S, 802.11n/AC Dual Band 2x2 WLAN AP, ATA, Cambium power, ROW</t>
  </si>
  <si>
    <t>PL-R195PUSA-US</t>
  </si>
  <si>
    <t>r195P US type A P/S, 802.11n/AC Dual Band 2x2 WLAN AP, ATA, Cambium power</t>
  </si>
  <si>
    <t>PL-R195WANA-RW</t>
  </si>
  <si>
    <t>r195W AUS/NZ cord, 802.11n/AC Dual Band 2x2 WLAN router</t>
  </si>
  <si>
    <t>WIFI : WIFI Home : R195W</t>
  </si>
  <si>
    <t>PL-R195WARA-RW</t>
  </si>
  <si>
    <t>r195W (I Type: Argentina) 802.11n/AC Dual Band 2x2 WLAN router</t>
  </si>
  <si>
    <t>PL-R195WEUA-EU</t>
  </si>
  <si>
    <t>r195W EU cord, 802.11n/AC Dual Band 2x2 WLAN router</t>
  </si>
  <si>
    <t>PL-R195WEUA-RW</t>
  </si>
  <si>
    <t>r195W EU type C P/S, 802.11n/AC Dual Band 2x2 WLAN access point</t>
  </si>
  <si>
    <t>PL-R195WINA-RW</t>
  </si>
  <si>
    <t>r195W India cord, 802.11n/AC Dual Band 2x2 WLAN router</t>
  </si>
  <si>
    <t>PL-R195WNPA-RW</t>
  </si>
  <si>
    <t>r195W No line cord, 802.11n/AC Dual Band 2x2 WLAN access point</t>
  </si>
  <si>
    <t>PL-R195WNTA-RW</t>
  </si>
  <si>
    <t>r195W (N Type: Brazil 802.11n/AC Dual Band 2x2 WLAN router</t>
  </si>
  <si>
    <t>PL-R195WUKA-EU</t>
  </si>
  <si>
    <t>r195W UK cord, 802.11n/AC Dual Band 2x2 WLAN router</t>
  </si>
  <si>
    <t>PL-R195WUSA-CA</t>
  </si>
  <si>
    <t>r195W US type A P/S, 802.11n/AC Dual Band 2x2 WLAN access point, Canada</t>
  </si>
  <si>
    <t>PL-R195WUSA-US</t>
  </si>
  <si>
    <t>r195W US cord, 802.11n/AC Dual Band 2x2 WLAN router</t>
  </si>
  <si>
    <t>PL-R200PUKA-WW</t>
  </si>
  <si>
    <t>cnPilot R200P (UK cord) 802.11n single band WLAN Router with ATA and PoE</t>
  </si>
  <si>
    <t>PL-R200XUKA-WW</t>
  </si>
  <si>
    <t>cnPilot R200 (UK cord) 802.11n single band WLAN Router with ATA</t>
  </si>
  <si>
    <t>PL-R201PUKA-WW</t>
  </si>
  <si>
    <t>cnPilot R201P (UK cord) 802.11ac Dual band WLAN Router with ATA and PoE</t>
  </si>
  <si>
    <t>PL-SNWLGNGA-WW</t>
  </si>
  <si>
    <t>e430W Wall bracket for single gang junction box</t>
  </si>
  <si>
    <t>PL-SNWLGNGB-WW</t>
  </si>
  <si>
    <t>e430H Wall bracket single gang junction box</t>
  </si>
  <si>
    <t>PL-WALLMNTA-WW</t>
  </si>
  <si>
    <t>e430W Wall bracket for generic wall mounting of AP</t>
  </si>
  <si>
    <t>PL-WALLMNTB-WW</t>
  </si>
  <si>
    <t>Mounting Adapter for e430H or e425 H.  Use to mount the AP to a flush surface.</t>
  </si>
  <si>
    <t>PS-FATACCTST-WW</t>
  </si>
  <si>
    <t>Factory Acceptance Test</t>
  </si>
  <si>
    <t>Other : Services : Professional Services</t>
  </si>
  <si>
    <t>PS-XIR1DAY-US</t>
  </si>
  <si>
    <t>Cambium Care Xirrus services 1 day Travel and expenses</t>
  </si>
  <si>
    <t>PS-XIR1DRMT-WW</t>
  </si>
  <si>
    <t xml:space="preserve">Xirrus Professional Services (Remote) � 1 day </t>
  </si>
  <si>
    <t>X2-120</t>
  </si>
  <si>
    <t xml:space="preserve">Xirrus Indoor 2x2 AP. Dual radio 11ac/11n (5GHz/2.4GHz). Internal antennas. Requires XMS management_x000D_
</t>
  </si>
  <si>
    <t>Xirrus HW</t>
  </si>
  <si>
    <t>WIFI : WIFI 5 Indoor : X2-120</t>
  </si>
  <si>
    <t>X2-120-CA</t>
  </si>
  <si>
    <t>Xirrus Indoor 2x2 AP. Dual radio 11ac/11n (5GHz/2.4GHz). Internal antennas. Requires XMS, CA</t>
  </si>
  <si>
    <t>X2-120-EU</t>
  </si>
  <si>
    <t>Xirrus Indoor 2x2 AP. Dual radio 11ac/11n (5GHz/2.4GHz). Internal antennas. Requires XMS, EU</t>
  </si>
  <si>
    <t>X2-120-US</t>
  </si>
  <si>
    <t>Xirrus Indoor 2x2 AP. Dual radio 11ac/11n (5GHz/2.4GHz). Internal antennas. Requires XMS, US</t>
  </si>
  <si>
    <t>XA-PS12V1XA-AN</t>
  </si>
  <si>
    <t>12VDC 1A PS wall plug with Australia/New Zealand type I</t>
  </si>
  <si>
    <t>cnPilot,ePMP RoW</t>
  </si>
  <si>
    <t>XA-PS12V1XA-AR</t>
  </si>
  <si>
    <t>12VDC 1A PS with Argentina type I plug</t>
  </si>
  <si>
    <t>cnPilot,ePMP EU</t>
  </si>
  <si>
    <t>XA-PS12V1XA-BR</t>
  </si>
  <si>
    <t>BR: 12V 1A PS wall plug with Brazil cord</t>
  </si>
  <si>
    <t>XA-PS12V1XA-EU</t>
  </si>
  <si>
    <t>12VDC 1A PS wall plug with EU type C</t>
  </si>
  <si>
    <t>XA-PS12V1XA-IN</t>
  </si>
  <si>
    <t>12VDC 1A PS wall plug with India type D</t>
  </si>
  <si>
    <t>XA-PS12V1XA-NT</t>
  </si>
  <si>
    <t>12VDC 1A PS with Brazil type N plug</t>
  </si>
  <si>
    <t>XA-PS12V1XA-UK</t>
  </si>
  <si>
    <t>12VDC 1A PS wall plug with UK type G</t>
  </si>
  <si>
    <t>XA-PS12V1XA-US</t>
  </si>
  <si>
    <t>12VDC 1A PS wall plug with US type A</t>
  </si>
  <si>
    <t>cnPilot,ePMP US</t>
  </si>
  <si>
    <t>XA-PS3ADTA-WW</t>
  </si>
  <si>
    <t>R20X 12V 3A Desktop Adaptor, Country cord not included</t>
  </si>
  <si>
    <t>XA-PS5V1XXA-BR</t>
  </si>
  <si>
    <t>BR: 5V 1A PS  wall plug with Brazil cord</t>
  </si>
  <si>
    <t>XA-PS5V1XXA-EU</t>
  </si>
  <si>
    <t>EU: 5V 1A PS  wall plug with EU cord</t>
  </si>
  <si>
    <t>XA-PS5V1XXA-IN</t>
  </si>
  <si>
    <t>IN: 5V 1A PS  wall plug with India cord</t>
  </si>
  <si>
    <t>XA-PS5V1XXA-UK</t>
  </si>
  <si>
    <t>UK: 5V 1A PS  wall plug with UK cord</t>
  </si>
  <si>
    <t>XA-PS5V1XXA-US</t>
  </si>
  <si>
    <t>US: 5V 1A PS  wall plug with US cord</t>
  </si>
  <si>
    <t>XA4-240</t>
  </si>
  <si>
    <t xml:space="preserve">Xirrus High Density Indoor 4x4 AP. One 11ac Wave 2 SDR, three 5GHz. RP-SMA external antennas_x000D_
</t>
  </si>
  <si>
    <t>WIFI : WIFI 5 Indoor : XA4-240</t>
  </si>
  <si>
    <t>XA4-240-CA</t>
  </si>
  <si>
    <t>Xirrus High Density Indoor 4x4 AP. One 11ac Wave 2 SDR, three 5GHz. RP-SMA external antennas, CA</t>
  </si>
  <si>
    <t>XA4-240-EU</t>
  </si>
  <si>
    <t>Xirrus High Density Indoor 4x4 AP. One 11ac Wave 2 SDR, three 5GHz. RP-SMA external antennas, EU</t>
  </si>
  <si>
    <t>XA4-240-US</t>
  </si>
  <si>
    <t>Xirrus High Density Indoor 4x4 AP. One 11ac Wave 2 SDR, three 5GHz. RP-SMA external antennas, US</t>
  </si>
  <si>
    <t>XD2-230</t>
  </si>
  <si>
    <t xml:space="preserve">Xirrus Indoor 3x3 AP. 11ac Wave 2 5GHz + one SDR (2.4/5GHz). Internal antennas_x000D_
</t>
  </si>
  <si>
    <t>WIFI : WIFI 5 Indoor : XD2-230</t>
  </si>
  <si>
    <t>XD2-230-CA</t>
  </si>
  <si>
    <t>Xirrus Indoor 3x3 AP. 11ac Wave 2 5GHz + one SDR (2.4/5GHz). Internal antennas, CA</t>
  </si>
  <si>
    <t>XD2-230-EU</t>
  </si>
  <si>
    <t>Xirrus Indoor 3x3 AP. 11ac Wave 2 5GHz + one SDR (2.4/5GHz). Internal antennas, EU</t>
  </si>
  <si>
    <t>XD2-230-US</t>
  </si>
  <si>
    <t>Xirrus Indoor 3x3 AP. 11ac Wave 2 5GHz + one SDR (2.4/5GHz). Internal antennas, US</t>
  </si>
  <si>
    <t>XD2-240</t>
  </si>
  <si>
    <t xml:space="preserve">Xirrus Indoor 4x4 AP. Dual 11ac Wave 2 SDR radios (2.4/5GHz). Internal antennas_x000D_
</t>
  </si>
  <si>
    <t>WIFI : WIFI 5 Indoor : XD2-240</t>
  </si>
  <si>
    <t>XD2-240-CA</t>
  </si>
  <si>
    <t>Xirrus Indoor 4x4 AP. Dual 11ac Wave 2 SDR radios (2.4/5GHz). Internal antennas, CA</t>
  </si>
  <si>
    <t>XD2-240-EU</t>
  </si>
  <si>
    <t>Xirrus Indoor 4x4 AP. Dual 11ac Wave 2 SDR radios (2.4/5GHz). Internal antennas, EU</t>
  </si>
  <si>
    <t>XD2-240-US</t>
  </si>
  <si>
    <t>Xirrus Indoor 4x4 AP. Dual 11ac Wave 2 SDR radios (2.4/5GHz). Internal antennas, US</t>
  </si>
  <si>
    <t>XD4-130</t>
  </si>
  <si>
    <t xml:space="preserve">Xirrus High Density Indoor 3x3 AP. Quad 11ac SDR radios (2.4/5GHz). Internal antennas_x000D_
</t>
  </si>
  <si>
    <t>WIFI : WIFI 5 Indoor : XD4-130</t>
  </si>
  <si>
    <t>XD4-130-CA</t>
  </si>
  <si>
    <t>Xirrus High Density Indoor 3x3 AP. Quad 11ac SDR radios (2.4/5GHz). Internal antennas, CA</t>
  </si>
  <si>
    <t>XD4-130-EU</t>
  </si>
  <si>
    <t>Xirrus High Density Indoor 3x3 AP. Quad 11ac SDR radios (2.4/5GHz). Internal antennas, EU</t>
  </si>
  <si>
    <t>XD4-130-US</t>
  </si>
  <si>
    <t>Xirrus High Density Indoor 3x3 AP. Quad 11ac SDR radios (2.4/5GHz). Internal antennas, US</t>
  </si>
  <si>
    <t>XD4-240</t>
  </si>
  <si>
    <t xml:space="preserve">Xirrus High Density Indoor 4x4 AP. Quad 11ac Wave 2 SDR radios (2.4/5GHz). Internal antennas_x000D_
</t>
  </si>
  <si>
    <t>WIFI : WIFI 5 Indoor : XD4-240</t>
  </si>
  <si>
    <t>XD4-240-CA</t>
  </si>
  <si>
    <t>Xirrus High Density Indoor 4x4 AP. Quad 11ac Wave 2 SDR radios (2.4/5GHz). Internal antennas, CA</t>
  </si>
  <si>
    <t>XD4-240-EU</t>
  </si>
  <si>
    <t>Xirrus High Density Indoor 4x4 AP. Quad 11ac Wave 2 SDR radios (2.4/5GHz). Internal antennas, EU</t>
  </si>
  <si>
    <t>XD4-240-US</t>
  </si>
  <si>
    <t>Xirrus High Density Indoor 4x4 AP. Quad 11ac Wave 2 SDR radios (2.4/5GHz). Internal antennas, US</t>
  </si>
  <si>
    <t>XE-4010-WL</t>
  </si>
  <si>
    <t>Wall Mounting Bracket for XR-4000, XR-2000, XR-1000 and all XD AP models</t>
  </si>
  <si>
    <t>XE-500-MOUNT</t>
  </si>
  <si>
    <t>Universal Mounting Bracket and 15/16" TbarX bracket for XR-500 and 600 APs</t>
  </si>
  <si>
    <t>XE-500-WL</t>
  </si>
  <si>
    <t>Wall Mounting Kit for XR-500 or XR-600 series APs. 90 degree mounting bracket</t>
  </si>
  <si>
    <t>XE-TB-KIT-01</t>
  </si>
  <si>
    <t>Accessory kit to mount XR and XD APs models to Slotted suspension grid</t>
  </si>
  <si>
    <t>XE-THIN-KIT-01</t>
  </si>
  <si>
    <t>Accessory kit to mount XR and XD APs models to 9/16" T-Bar suspension with recessed ceiling tile</t>
  </si>
  <si>
    <t>XE3-4X00A00-CA</t>
  </si>
  <si>
    <t>XE3-4 Indoor Tri-band WiFi 6e AP with SDR 4x4. 2.5GbE. CA</t>
  </si>
  <si>
    <t>WIFI6</t>
  </si>
  <si>
    <t>WIFI : WIFI 6 Indoor : XE3-4</t>
  </si>
  <si>
    <t>XE3-4X00A00-EU</t>
  </si>
  <si>
    <t>XE3-4 Indoor Tri-band WiFi 6e AP with SDR 4x4. 2.5GbE. EU</t>
  </si>
  <si>
    <t>XE3-4X00A00-RW</t>
  </si>
  <si>
    <t>XE3-4 Indoor Tri-band WiFi 6e AP with SDR 4x4. 2.5GbE. 6GHz radio disabled. ROW</t>
  </si>
  <si>
    <t>XE3-4X00A00-US</t>
  </si>
  <si>
    <t>XE3-4 Indoor Tri-band WiFi 6e AP with SDR 4x4. 2.5GbE. US</t>
  </si>
  <si>
    <t>XE5-8X00A00-CA</t>
  </si>
  <si>
    <t>XE5-8 Indoor Tri-band WiFi 6e AP with multi-radio SDR 8x8. 5GbE. CA</t>
  </si>
  <si>
    <t>WIFI : WIFI 6 Indoor : XE5-8</t>
  </si>
  <si>
    <t>XE5-8X00A00-EU</t>
  </si>
  <si>
    <t>XE5-8 Indoor Tri-band WiFi 6e AP with multi-radio SDR 8x8. 5GbE. EU</t>
  </si>
  <si>
    <t>XE5-8X00A00-RW</t>
  </si>
  <si>
    <t>XE5-8 Indoor Tri-band WiFi 6e AP with multi-radio SDR 8x8. 5GbE. ROW</t>
  </si>
  <si>
    <t>XE5-8X00A00-US</t>
  </si>
  <si>
    <t>XE5-8 Indoor Tri-band WiFi 6e AP with multi-radio SDR 8x8. 5GbE. US</t>
  </si>
  <si>
    <t>XH2-120</t>
  </si>
  <si>
    <t xml:space="preserve">Xirrus Outdoor 2x2 11ac dual band AP. IP67. External N-type antenna connectors_x000D_
</t>
  </si>
  <si>
    <t>WIFI : WIFI 5 Outdoor : XH2-120</t>
  </si>
  <si>
    <t>XH2-120-CA</t>
  </si>
  <si>
    <t>Xirrus Outdoor 2x2 11ac dual band AP. IP67. External N-type antenna connectors, CA</t>
  </si>
  <si>
    <t>XH2-120-EU</t>
  </si>
  <si>
    <t>Xirrus Outdoor 2x2 11ac dual band AP. IP67. External N-type antenna connectors, EU</t>
  </si>
  <si>
    <t>XH2-120-US</t>
  </si>
  <si>
    <t>Xirrus Outdoor 2x2 11ac dual band AP. IP67. External N-type antenna connectors, US</t>
  </si>
  <si>
    <t>XH2-240</t>
  </si>
  <si>
    <t xml:space="preserve">Xirrus Outdoor 4x4 AP. Dual 11ac Wave 2 SDR radios (5GHz/2.4GHz). External antennas_x000D_
</t>
  </si>
  <si>
    <t>WIFI : WIFI 5 Outdoor : XH2-240</t>
  </si>
  <si>
    <t>XH2-240-CA</t>
  </si>
  <si>
    <t>Xirrus Outdoor 4x4 AP. Dual 11ac Wave 2 SDR radios (5GHz/2.4GHz). External antennas, CA</t>
  </si>
  <si>
    <t>XH2-240-EU</t>
  </si>
  <si>
    <t>Xirrus Outdoor 4x4 AP. Dual 11ac Wave 2 SDR radios (5GHz/2.4GHz). External antennas, EU</t>
  </si>
  <si>
    <t>XH2-240-US</t>
  </si>
  <si>
    <t>Xirrus Outdoor 4x4 AP. Dual 11ac Wave 2 SDR radios (5GHz/2.4GHz). External antennas, US</t>
  </si>
  <si>
    <t>XMS-CC-LIC-300</t>
  </si>
  <si>
    <t>XMS-Cloud Command Center management license for 300 tenants</t>
  </si>
  <si>
    <t>XMSC-CC-LIC-300</t>
  </si>
  <si>
    <t xml:space="preserve">XMS-Cloud CommandCenter management license for 300 tenants_x000D_
</t>
  </si>
  <si>
    <t>XMSC-EDU-RNW-1-12R</t>
  </si>
  <si>
    <t>XMS-Cloud 1-year subscription renewal: for Education: 12-radio AP with all EasyPass modules and Cambium Care Advanced Support</t>
  </si>
  <si>
    <t>XMSC-EDU-RNW-1-16R</t>
  </si>
  <si>
    <t>XMS-Cloud 1-year subscription renewal: for Education: 16-radio AP with all EasyPass modules and Cambium Care Advanced Support</t>
  </si>
  <si>
    <t>XMSC-EDU-RNW-1-2R</t>
  </si>
  <si>
    <t>XMS-Cloud 1-year subscription renewal: for Education: 2 and 3-radio AP with all EasyPass modules and Cambium Care Advanced Support</t>
  </si>
  <si>
    <t>XMSC-EDU-RNW-1-4R</t>
  </si>
  <si>
    <t>XMS-Cloud 1-year subscription renewal: for Education: 4-radio AP with all EasyPass modules and Cambium Care Advanced Support</t>
  </si>
  <si>
    <t>XMSC-EDU-RNW-1-8R</t>
  </si>
  <si>
    <t>XMS-Cloud 1-year subscription renewal: for Education: 8-radio AP with all EasyPass modules and Cambium Care Advanced Support</t>
  </si>
  <si>
    <t>XMSC-EDU-RNW-12R-1</t>
  </si>
  <si>
    <t>XMS-Cloud 1 year subscription renewal for Education: 12-radio AP with all EasyPass modules and Cambium Care Advanced Support</t>
  </si>
  <si>
    <t>XMSC-EDU-RNW-12R-3</t>
  </si>
  <si>
    <t>XMS-Cloud 3 year subscription renewal for Education: 12-radio AP with all EasyPass modules and Cambium Care Advanced Support</t>
  </si>
  <si>
    <t>XMSC-EDU-RNW-12R-5</t>
  </si>
  <si>
    <t>XMS-Cloud 5 year subscription renewal for Education: 12-radio AP with all EasyPass modules and Cambium Care Advanced Support</t>
  </si>
  <si>
    <t>XMSC-EDU-RNW-16R-1</t>
  </si>
  <si>
    <t>XMS-Cloud 1 year subscription renewal for Education: 16-radio AP with all EasyPass modules and Cambium Care Advanced Support</t>
  </si>
  <si>
    <t>XMSC-EDU-RNW-16R-3</t>
  </si>
  <si>
    <t>XMS-Cloud 3 year subscription renewal for Education: 16-radio AP with all EasyPass modules and Cambium Care Advanced Support</t>
  </si>
  <si>
    <t>XMSC-EDU-RNW-16R-5</t>
  </si>
  <si>
    <t>XMS-Cloud 5 year subscription renewal for Education: 16-radio AP with all EasyPass modules and Cambium Care Advanced Support</t>
  </si>
  <si>
    <t>XMSC-EDU-RNW-2R-1</t>
  </si>
  <si>
    <t>XMS-Cloud 1 year subscription renewal for Education: 2-radio AP with all EasyPass modules and Cambium Care Advanced Support</t>
  </si>
  <si>
    <t>XMSC-EDU-RNW-2R-3</t>
  </si>
  <si>
    <t>XMS-Cloud 3 year subscription renewal for Education: 2-radio AP with all EasyPass modules and Cambium Care Advanced Support</t>
  </si>
  <si>
    <t>XMSC-EDU-RNW-2R-5</t>
  </si>
  <si>
    <t>XMS-Cloud 5 year subscription renewal for Education: 2-radio AP with all EasyPass modules and Cambium Care Advanced Support</t>
  </si>
  <si>
    <t>XMSC-EDU-RNW-3-12R</t>
  </si>
  <si>
    <t>XMS-Cloud 3-year subscription renewal: for Education: 12-radio AP with all EasyPass modules and Cambium Care Advanced Support</t>
  </si>
  <si>
    <t>XMSC-EDU-RNW-3-12R-MON</t>
  </si>
  <si>
    <t>XMS-Cloud 1-month subscription renewal for Education at the 3-year rate: 12-radio AP with all EasyPass modules and Cambium Care Advanced Support</t>
  </si>
  <si>
    <t>XMSC-EDU-RNW-3-16R</t>
  </si>
  <si>
    <t>XMS-Cloud 3-year subscription renewal: for Education: 16-radio AP with all EasyPass modules and Cambium Care Advanced Support</t>
  </si>
  <si>
    <t>XMSC-EDU-RNW-3-16R-MON</t>
  </si>
  <si>
    <t>XMS-Cloud 1-month subscription renewal for Education at the 3-year rate: 16-radio AP with all EasyPass modules and Cambium Care Advanced Support</t>
  </si>
  <si>
    <t>XMSC-EDU-RNW-3-2R</t>
  </si>
  <si>
    <t>XMS-Cloud 3-year subscription renewal: for Education: 2 and 3-radio AP with all EasyPass modules and Cambium Care Advanced Support</t>
  </si>
  <si>
    <t>XMSC-EDU-RNW-3-4R</t>
  </si>
  <si>
    <t>XMS-Cloud 3-year subscription renewal: for Education: 4-radio AP with all EasyPass modules and Cambium Care Advanced Support</t>
  </si>
  <si>
    <t>XMSC-EDU-RNW-3-8R</t>
  </si>
  <si>
    <t>XMS-Cloud 3-year subscription renewal: for Education: 8-radio AP with all EasyPass modules and Cambium Care Advanced Support</t>
  </si>
  <si>
    <t>XMSC-EDU-RNW-3-8R-MON</t>
  </si>
  <si>
    <t>XMS-Cloud 1-month subscription renewal for Education at the 3-year rate: 8-radio AP with all EasyPass modules and Cambium Care Advanced Support</t>
  </si>
  <si>
    <t>XMSC-EDU-RNW-4R-1</t>
  </si>
  <si>
    <t>XMS-Cloud 1 year subscription renewal for Education: 4-radio AP with all EasyPass modules and Cambium Care Advanced Support</t>
  </si>
  <si>
    <t>XMSC-EDU-RNW-4R-3</t>
  </si>
  <si>
    <t>XMS-Cloud 3 year subscription renewal for Education: 4-radio AP with all EasyPass modules and Cambium Care Advanced Support</t>
  </si>
  <si>
    <t>XMSC-EDU-RNW-4R-5</t>
  </si>
  <si>
    <t>XMS-Cloud 5 year subscription renewal for Education: 4-radio AP with all EasyPass modules and Cambium Care Advanced Support</t>
  </si>
  <si>
    <t>XMSC-EDU-RNW-5-2R</t>
  </si>
  <si>
    <t>XMS-Cloud 5-year subscription renewal: for Education: 2 and 3-radio AP with all EasyPass modules and Cambium Care Advanced Support</t>
  </si>
  <si>
    <t>XMSC-EDU-RNW-5-4R</t>
  </si>
  <si>
    <t>XMS-Cloud 5-year subscription renewal: for Education: 4-radio AP with all EasyPass modules and Cambium Care Advanced Support</t>
  </si>
  <si>
    <t>XMSC-EDU-RNW-8R-1</t>
  </si>
  <si>
    <t>XMS-Cloud 1 year subscription renewal for Education: 8-radio AP with all EasyPass modules and Cambium Care Advanced Support</t>
  </si>
  <si>
    <t>XMSC-EDU-RNW-8R-3</t>
  </si>
  <si>
    <t>XMS-Cloud 3 year subscription renewal for Education: 8-radio AP with all EasyPass modules and Cambium Care Advanced Support</t>
  </si>
  <si>
    <t>XMSC-EDU-RNW-8R-5</t>
  </si>
  <si>
    <t>XMS-Cloud 5 year subscription renewal for Education: 8-radio AP with all EasyPass modules and Cambium Care Advanced Support</t>
  </si>
  <si>
    <t>XMSC-EDU-SUB-12R-1</t>
  </si>
  <si>
    <t>XMS-Cloud 1-year subscription for Education: 12-radio AP with all EasyPass modules and Cambium Care Advanced Support</t>
  </si>
  <si>
    <t>XMSC-EDU-SUB-12R-3</t>
  </si>
  <si>
    <t>XMS-Cloud 3-year subscription for Education: 12-radio AP with all EasyPass modules and Cambium Care Advanced Support</t>
  </si>
  <si>
    <t>XMSC-EDU-SUB-16R-1</t>
  </si>
  <si>
    <t>XMS-Cloud 1-year subscription for Education: 16-radio AP with all EasyPass modules and Cambium Care Advanced Support</t>
  </si>
  <si>
    <t>XMSC-EDU-SUB-16R-3</t>
  </si>
  <si>
    <t>XMS-Cloud 3-year subscription for Education: 16-radio AP with all EasyPass modules and Cambium Care Advanced Support</t>
  </si>
  <si>
    <t>XMSC-EDU-SUB-2R-1</t>
  </si>
  <si>
    <t>XMS-Cloud 1-year subscription for Education: 2 and 3-radio AP with all EasyPass modules and Cambium Care Advanced Support</t>
  </si>
  <si>
    <t>XMSC-EDU-SUB-2R-3</t>
  </si>
  <si>
    <t>XMS-Cloud 3-year subscription for Education: 2 and 3-radio AP with all EasyPass modules and Cambium Care Advanced Support</t>
  </si>
  <si>
    <t>XMSC-EDU-SUB-2R-5</t>
  </si>
  <si>
    <t>XMS-Cloud 5-year subscription for Education: 2 and 3-radio AP with all EasyPass modules and Cambium Care Advanced Support</t>
  </si>
  <si>
    <t>XMSC-EDU-SUB-2R-6</t>
  </si>
  <si>
    <t>XMS-Cloud 6-year subscription for Education: 2 and 3-radio AP with all EasyPass modules and Cambium Care Advanced Support</t>
  </si>
  <si>
    <t>XMSC-EDU-SUB-4R-1</t>
  </si>
  <si>
    <t>XMS-Cloud 1 year subscription for Education: 4-radio AP with all EasyPass modules and Cambium Care Advanced Support</t>
  </si>
  <si>
    <t>XMSC-EDU-SUB-4R-3</t>
  </si>
  <si>
    <t>XMS-Cloud 3 year subscription for Education: 4-radio AP with all EasyPass modules and Cambium Care Advanced Support</t>
  </si>
  <si>
    <t>XMSC-EDU-SUB-4R-5</t>
  </si>
  <si>
    <t>XMS-Cloud 5 year subscription for Education: 4-radio AP with all EasyPass modules and Cambium Care Advanced Support</t>
  </si>
  <si>
    <t>XMSC-EDU-SUB-8R-1</t>
  </si>
  <si>
    <t>XMS-Cloud 1-year subscription for Education: 8-radio AP with all EasyPass modules and Cambium Care Advanced Support</t>
  </si>
  <si>
    <t>XMSC-EDU-SUB-8R-3</t>
  </si>
  <si>
    <t>XMS-Cloud 3-year subscription for Education: 8-radio AP with all EasyPass modules and Cambium Care Advanced Support</t>
  </si>
  <si>
    <t>XMSC-MSP-RNW-1-12R</t>
  </si>
  <si>
    <t>XMS-Cloud 1-year subscription renewal: for MSP: 12-radio AP with all EasyPass modules and Cambium Care Advanced Support</t>
  </si>
  <si>
    <t>XMSC-MSP-RNW-1-16R</t>
  </si>
  <si>
    <t>XMS-Cloud 1-year subscription renewal: for MSP: 16-radio AP with all EasyPass modules and Cambium Care Advanced Support</t>
  </si>
  <si>
    <t>XMSC-MSP-RNW-1-2R</t>
  </si>
  <si>
    <t>XMS-Cloud 1-year subscription renewal: for MSP: 2 and 3-radio AP with all EasyPass modules and Cambium Care Advanced Support</t>
  </si>
  <si>
    <t>XMSC-MSP-RNW-1-4R</t>
  </si>
  <si>
    <t>XMS-Cloud 1-year subscription renewal: for MSP: 4-radio AP with all EasyPass modules and Cambium Care Advanced Support</t>
  </si>
  <si>
    <t>XMSC-MSP-RNW-1-8R</t>
  </si>
  <si>
    <t>XMS-Cloud 1-year subscription renewal: for MSP: 8-radio AP with all EasyPass modules and Cambium Care Advanced Support</t>
  </si>
  <si>
    <t>XMSC-MSP-RNW-12R-1</t>
  </si>
  <si>
    <t>XMS-Cloud 1 year subscription renewal for MSP: 12-radio AP with all EasyPass modules and Cambium Care Advanced Support</t>
  </si>
  <si>
    <t>XMSC-MSP-RNW-12R-3</t>
  </si>
  <si>
    <t>XMS-Cloud 3 year subscription renewal for MSP: 12-radio AP with all EasyPass modules and Cambium Care Advanced Support</t>
  </si>
  <si>
    <t>XMSC-MSP-RNW-12R-5</t>
  </si>
  <si>
    <t>XMS-Cloud 5 year subscription renewal for MSP: 12-radio AP with all EasyPass modules and Cambium Care Advanced Support</t>
  </si>
  <si>
    <t>XMSC-MSP-RNW-16R-1</t>
  </si>
  <si>
    <t>XMS-Cloud 1 year subscription renewal for MSP: 16-radio AP with all EasyPass modules and Cambium Care Advanced Support</t>
  </si>
  <si>
    <t>XMSC-MSP-RNW-16R-3</t>
  </si>
  <si>
    <t>XMS-Cloud 3 year subscription renewal for MSP: 16-radio AP with all EasyPass modules and Cambium Care Advanced Support</t>
  </si>
  <si>
    <t>XMSC-MSP-RNW-16R-5</t>
  </si>
  <si>
    <t>XMS-Cloud 5 year subscription renewal for MSP: 16-radio AP with all EasyPass modules and Cambium Care Advanced Support</t>
  </si>
  <si>
    <t>XMSC-MSP-RNW-2R-1</t>
  </si>
  <si>
    <t>XMS-Cloud 1 year subscription renewal for MSP: 2-radio AP with all EasyPass modules and Cambium Care Advanced Support</t>
  </si>
  <si>
    <t>XMSC-MSP-RNW-2R-3</t>
  </si>
  <si>
    <t>XMS-Cloud 3 year subscription renewal for MSP: 2-radio AP with all EasyPass modules and Cambium Care Advanced Support</t>
  </si>
  <si>
    <t>XMSC-MSP-RNW-2R-5</t>
  </si>
  <si>
    <t>XMS-Cloud 5 year subscription renewal for MSP: 2-radio AP with all EasyPass modules and Cambium Care Advanced Support</t>
  </si>
  <si>
    <t>XMSC-MSP-RNW-3-12R</t>
  </si>
  <si>
    <t>XMS-Cloud 3-year subscription renewal: for MSP: 12-radio AP with all EasyPass modules and Cambium Care Advanced Support</t>
  </si>
  <si>
    <t>XMSC-MSP-RNW-3-12R-MON</t>
  </si>
  <si>
    <t>XMS-Cloud 1-month subscription renewal for MSP at the 3-year rate: 12-radio AP with all EasyPass modules and Cambium Care Advanced Support</t>
  </si>
  <si>
    <t>XMSC-MSP-RNW-3-16R</t>
  </si>
  <si>
    <t>XMS-Cloud 3-year subscription renewal: for MSP: 16-radio AP with all EasyPass modules and Cambium Care Advanced Support</t>
  </si>
  <si>
    <t>XMSC-MSP-RNW-3-16R-MON</t>
  </si>
  <si>
    <t>XMS-Cloud 1-month subscription renewal for MSP at the 3-year rate: 16-radio AP with all EasyPass modules and Cambium Care Advanced Support</t>
  </si>
  <si>
    <t>XMSC-MSP-RNW-3-2R</t>
  </si>
  <si>
    <t>XMS-Cloud 3-year subscription renewal: for MSP: 2 and 3-radio AP with all EasyPass modules and Cambium Care Advanced Support</t>
  </si>
  <si>
    <t>XMSC-MSP-RNW-3-4R</t>
  </si>
  <si>
    <t>XMS-Cloud 3-year subscription renewal: for MSP: 4-radio AP with all EasyPass modules and Cambium Care Advanced Support</t>
  </si>
  <si>
    <t>XMSC-MSP-RNW-3-8R</t>
  </si>
  <si>
    <t>XMS-Cloud 3-year subscription renewal: for MSP: 8-radio AP with all EasyPass modules and Cambium Care Advanced Support</t>
  </si>
  <si>
    <t>XMSC-MSP-RNW-3-8R-MON</t>
  </si>
  <si>
    <t>XMS-Cloud 1-month subscription renewal for MSP at the 3-year rate: 8-radio AP with all EasyPass modules and Cambium Care Advanced Support</t>
  </si>
  <si>
    <t>XMSC-MSP-RNW-4R-1</t>
  </si>
  <si>
    <t>XMS-Cloud 1 year subscription renewal for MSP: 4-radio AP with all EasyPass modules and Cambium Care Advanced Support</t>
  </si>
  <si>
    <t>XMSC-MSP-RNW-4R-3</t>
  </si>
  <si>
    <t>XMS-Cloud 3 year subscription renewal for MSP: 4-radio AP with all EasyPass modules and Cambium Care Advanced Support</t>
  </si>
  <si>
    <t>XMSC-MSP-RNW-4R-5</t>
  </si>
  <si>
    <t>XMS-Cloud 5 year subscription renewal for MSP: 4-radio AP with all EasyPass modules and Cambium Care Advanced Support</t>
  </si>
  <si>
    <t>XMSC-MSP-RNW-5-2R</t>
  </si>
  <si>
    <t>XMS-Cloud 5-year subscription renewal: for MSP: 2 and 3-radio AP with all EasyPass modules and Cambium Care Advanced Support</t>
  </si>
  <si>
    <t>XMSC-MSP-RNW-5-4R</t>
  </si>
  <si>
    <t>XMS-Cloud 5-year subscription renewal: for MSP: 4-radio AP with all EasyPass modules and Cambium Care Advanced Support</t>
  </si>
  <si>
    <t>XMSC-MSP-RNW-8R-1</t>
  </si>
  <si>
    <t>XMS-Cloud 1 year subscription renewal for MSP: 8-radio AP with all EasyPass modules and Cambium Care Advanced Support</t>
  </si>
  <si>
    <t>XMSC-MSP-RNW-8R-3</t>
  </si>
  <si>
    <t>XMS-Cloud 3 year subscription renewal for MSP: 8-radio AP with all EasyPass modules and Cambium Care Advanced Support</t>
  </si>
  <si>
    <t>XMSC-MSP-RNW-8R-5</t>
  </si>
  <si>
    <t>XMS-Cloud 5 year subscription renewal for MSP: 8-radio AP with all EasyPass modules and Cambium Care Advanced Support</t>
  </si>
  <si>
    <t>XMSC-MSP-SUB-2R-1</t>
  </si>
  <si>
    <t>XMS-Cloud 1-year subscription for MSP: 2 and 3-radio AP with all EasyPass modules and Cambium Care Advanced Support</t>
  </si>
  <si>
    <t>XMSC-MSP-SUB-2R-3</t>
  </si>
  <si>
    <t>XMS-Cloud 3-year subscription for MSP: 2 and 3-radio AP with all EasyPass modules and Cambium Care Advanced Support</t>
  </si>
  <si>
    <t>XMSC-MSP-SUB-2R-5</t>
  </si>
  <si>
    <t>XMS-Cloud 5-year subscription for MSP: 2 and 3-radio AP with all EasyPass modules and Cambium Care Advanced Support</t>
  </si>
  <si>
    <t>XMSC-MSP-SUB-4R-1</t>
  </si>
  <si>
    <t>XMS-Cloud 1 year subscription for MSP: 4-radio AP with all EasyPass modules and Cambium Care Advanced Support</t>
  </si>
  <si>
    <t>XMSC-MSP-SUB-4R-3</t>
  </si>
  <si>
    <t>XMS-Cloud 3 year subscription for MSP: 4-radio AP with all EasyPass modules and Cambium Care Advanced Support</t>
  </si>
  <si>
    <t>XMSC-MSP-SUB-4R-5</t>
  </si>
  <si>
    <t>XMS-Cloud 5 year subscription for MSP: 4-radio AP with all EasyPass modules and Cambium Care Advanced Support</t>
  </si>
  <si>
    <t>XMSC-RNW-1-12R</t>
  </si>
  <si>
    <t>XMS-Cloud 1 year subscription renewal: 12-radio AP including Cambium Care Advanced Support</t>
  </si>
  <si>
    <t>XMSC-RNW-1-16R</t>
  </si>
  <si>
    <t>XMS-Cloud 1 year subscription renewal: 16-radio AP including Cambium Care Advanced Support</t>
  </si>
  <si>
    <t>XMSC-RNW-1-2R</t>
  </si>
  <si>
    <t>XMS-Cloud 1-year subscription renewal: 2 and 3-radio AP, including Cambium Care Advanced Support</t>
  </si>
  <si>
    <t>XMSC-RNW-1-4R</t>
  </si>
  <si>
    <t>XMS-Cloud 1 year subscription renewal: 4-radio AP including Cambium Care Advanced Support</t>
  </si>
  <si>
    <t>XMSC-RNW-1-8R</t>
  </si>
  <si>
    <t>XMS-Cloud 1 year subscription renewal: 8-radio AP including Cambium Care Advanced Support</t>
  </si>
  <si>
    <t>XMSC-RNW-10P-1</t>
  </si>
  <si>
    <t>XMS-Cloud 1-year subscription renewal for 10 port cnMatrix switch including Policy-Based Automation and Cambium Care Advanced Support</t>
  </si>
  <si>
    <t>XMSC-RNW-10P-3</t>
  </si>
  <si>
    <t>XMS-Cloud 3-year subscription renewal for 10 port cnMatrix switch including Policy-Based Automation and Cambium Care Advanced Support</t>
  </si>
  <si>
    <t>XMSC-RNW-10P-5</t>
  </si>
  <si>
    <t>XMS-Cloud 5-year subscription renewal for 10 port cnMatrix switch including Policy-Based Automation and Cambium Care Advanced Support</t>
  </si>
  <si>
    <t>XMSC-RNW-12R-1</t>
  </si>
  <si>
    <t>XMS-Cloud 1 year subscription renewal: 12-radio AP with EasyPass Guest Self-Registration and Guest Ambassador modules and Cambium Care Advanced Support</t>
  </si>
  <si>
    <t>XMSC-RNW-12R-3</t>
  </si>
  <si>
    <t>XMS-Cloud 3 year subscription renewal: 12-radio AP with EasyPass Guest Self-Registration and Guest Ambassador modules and Cambium Care Advanced Support</t>
  </si>
  <si>
    <t>XMSC-RNW-12R-5</t>
  </si>
  <si>
    <t>XMS-Cloud 5 year subscription renewal: 12-radio AP with EasyPass Guest Self-Registration and Guest Ambassador modules and Cambium Care Advanced Support</t>
  </si>
  <si>
    <t>XMSC-RNW-16P-1</t>
  </si>
  <si>
    <t>XMS-Cloud 1-year subscription renewal for 16 port cnMatrix multi-GigE switch including Policy-Based Automation and Cambium Care Advanced Support</t>
  </si>
  <si>
    <t>XMSC-RNW-16P-3</t>
  </si>
  <si>
    <t>XMS-Cloud 3-year subscription renewal for 16 port cnMatrix multi-GigE switch including Policy-Based Automation and Cambium Care Advanced Support</t>
  </si>
  <si>
    <t>XMSC-RNW-16P-5</t>
  </si>
  <si>
    <t>XMS-Cloud 5-year subscription renewal for 16 port cnMatrix multi-GigE switch including Policy-Based Automation and Cambium Care Advanced Support</t>
  </si>
  <si>
    <t>XMSC-RNW-16R-1</t>
  </si>
  <si>
    <t>XMS-Cloud 1 year subscription renewal: 16-radio AP with EasyPass Guest Self-Registration and Guest Ambassador modules and Cambium Care Advanced Support</t>
  </si>
  <si>
    <t>XMSC-RNW-16R-3</t>
  </si>
  <si>
    <t>XMS-Cloud 3 year subscription renewal: 16-radio AP with EasyPass Guest Self-Registration and Guest Ambassador modules and Cambium Care Advanced Support</t>
  </si>
  <si>
    <t>XMSC-RNW-16R-5</t>
  </si>
  <si>
    <t>XMS-Cloud 5 year subscription renewal: 16-radio AP with EasyPass Guest Self-Registration and Guest Ambassador modules and Cambium Care Advanced Support</t>
  </si>
  <si>
    <t>XMSC-RNW-28P-1</t>
  </si>
  <si>
    <t>XMS-Cloud 1-year subscription renewal for 28 port cnMatrix switch including Policy-Based Automation and Cambium Care Advanced Support</t>
  </si>
  <si>
    <t>XMSC-RNW-28P-3</t>
  </si>
  <si>
    <t>: XMS-Cloud 3-year subscription renewal for 28 port cnMatrix switch including Policy-Based Automation and Cambium Care Advanced Support</t>
  </si>
  <si>
    <t>XMSC-RNW-28P-5</t>
  </si>
  <si>
    <t>XMS-Cloud 5-year subscription renewal for 28 port cnMatrix switch including Policy-Based Automation and Cambium Care Advanced Support</t>
  </si>
  <si>
    <t>XMSC-RNW-2R-1</t>
  </si>
  <si>
    <t>XMS-Cloud 1 year subscription renewal: 2-radio AP with EasyPass Guest Self-Registration and Guest Ambassador modules and Cambium Care Advanced Support</t>
  </si>
  <si>
    <t>XMSC-RNW-2R-3</t>
  </si>
  <si>
    <t>XMS-Cloud 3 year subscription renewal: 2-radio AP with EasyPass Guest Self-Registration and Guest Ambassador modules and Cambium Care Advanced Support</t>
  </si>
  <si>
    <t>XMSC-RNW-2R-5</t>
  </si>
  <si>
    <t>XMS-Cloud 5 year subscription renewal: 2-radio AP with EasyPass Guest Self-Registration and Guest Ambassador modules and Cambium Care Advanced Support</t>
  </si>
  <si>
    <t>XMSC-RNW-3-12R</t>
  </si>
  <si>
    <t>XMS-Cloud 3 year subscription renewal: 12-radio AP including Cambium Care Advanced Support</t>
  </si>
  <si>
    <t>XMSC-RNW-3-12R-MON</t>
  </si>
  <si>
    <t>XMS-Cloud 1-month subscription renewal at the 3-year rate: 12-radio AP with EasyPass Guest Self-Registration and Guest Ambassador modules and Cambium Care Advanced Support</t>
  </si>
  <si>
    <t>XMSC-RNW-3-16R</t>
  </si>
  <si>
    <t>XMS-Cloud 3 year subscription renewal: 16-radio AP including Cambium Care Advanced Support</t>
  </si>
  <si>
    <t>XMSC-RNW-3-16R-MON</t>
  </si>
  <si>
    <t>XMS-Cloud 1-month subscription renewal at the 3-year rate: 16-radio AP with EasyPass Guest Self-Registration and Guest Ambassador modules and Cambium Care Advanced Support</t>
  </si>
  <si>
    <t>XMSC-RNW-3-2R</t>
  </si>
  <si>
    <t>XMS-Cloud 3-year subscription renewal: 2 and 3-radio AP, including Cambium Care Advanced Support</t>
  </si>
  <si>
    <t>XMSC-RNW-3-4R</t>
  </si>
  <si>
    <t>XMS-Cloud 3 year subscription renewal: 4-radio AP including Cambium Care Advanced Support</t>
  </si>
  <si>
    <t>XMSC-RNW-3-8R</t>
  </si>
  <si>
    <t>XMS-Cloud 3 year subscription renewal: 8-radio AP including Cambium Care Advanced Support</t>
  </si>
  <si>
    <t>XMSC-RNW-3-8R-MON</t>
  </si>
  <si>
    <t>XMS-Cloud 1-month subscription renewal at the 3-year rate: 8-radio AP with EasyPass Guest Self-Registration and Guest Ambassador modules and Cambium Care Advanced Support</t>
  </si>
  <si>
    <t>XMSC-RNW-4R-1</t>
  </si>
  <si>
    <t>XMS-Cloud 1 year subscription renewal: 4-radio AP with EasyPass Guest Self-Registration and Guest Ambassador modules and Cambium Care Advanced Support</t>
  </si>
  <si>
    <t>XMSC-RNW-4R-3</t>
  </si>
  <si>
    <t>XMS-Cloud 3 year subscription renewal: 4-radio AP with EasyPass Guest Self-Registration and Guest Ambassador modules and Cambium Care Advanced Support</t>
  </si>
  <si>
    <t>XMSC-RNW-4R-5</t>
  </si>
  <si>
    <t>XMS-Cloud 5 year subscription renewal: 4-radio AP with EasyPass Guest Self-Registration and Guest Ambassador modules and Cambium Care Advanced Support</t>
  </si>
  <si>
    <t>XMSC-RNW-5-2R</t>
  </si>
  <si>
    <t>XMS-Cloud 5-year subscription renewal: 2 and 3-radio AP, including Cambium Care Advanced Support</t>
  </si>
  <si>
    <t>XMSC-RNW-5-4R</t>
  </si>
  <si>
    <t>XMS-Cloud 5 year subscription renewal: 4-radio AP including Cambium Care Advanced Support</t>
  </si>
  <si>
    <t>XMSC-RNW-52P-1</t>
  </si>
  <si>
    <t>XMS-Cloud 1-year subscription renewal for 52 port cnMatrix switch including Policy-Based Automation and Cambium Care Advanced Support</t>
  </si>
  <si>
    <t>XMSC-RNW-52P-3</t>
  </si>
  <si>
    <t>XMS-Cloud 3-year subscription renewal for 52 port cnMatrix switch including Policy-Based Automation and Cambium Care Advanced Support</t>
  </si>
  <si>
    <t>XMSC-RNW-52P-5</t>
  </si>
  <si>
    <t>XMS-Cloud 5-year subscription renewal for 52 port cnMatrix switch including Policy-Based Automation and Cambium Care Advanced Support</t>
  </si>
  <si>
    <t>XMSC-RNW-8R-1</t>
  </si>
  <si>
    <t>XMS-Cloud 1 year subscription renewal: 8-radio AP with EasyPass Guest Self-Registration and Guest Ambassador modules and Cambium Care Advanced Support</t>
  </si>
  <si>
    <t>XMSC-RNW-8R-3</t>
  </si>
  <si>
    <t>XMS-Cloud 3 year subscription renewal: 8-radio AP with EasyPass Guest Self-Registration and Guest Ambassador modules and Cambium Care Advanced Support</t>
  </si>
  <si>
    <t>XMSC-RNW-8R-5</t>
  </si>
  <si>
    <t>XMS-Cloud 5 year subscription renewal: 8-radio AP with EasyPass Guest Self-Registration and Guest Ambassador modules and Cambium Care Advanced Support</t>
  </si>
  <si>
    <t>XMSC-SUB-10P-1</t>
  </si>
  <si>
    <t>XMS-Cloud 1-year subscription for 10 port cnMatrix switches including Policy-Based Automation and Cambium Care Advanced Support</t>
  </si>
  <si>
    <t>XMSC-SUB-10P-3</t>
  </si>
  <si>
    <t>XMS-Cloud 3-year subscription for 10 port cnMatrix switches including Policy-Based Automation and Cambium Care Advanced Support</t>
  </si>
  <si>
    <t>XMSC-SUB-10P-5</t>
  </si>
  <si>
    <t>XMS-Cloud 5-year subscription for 10 port cnMatrix switches including Policy-Based Automation and Cambium Care Advanced Support</t>
  </si>
  <si>
    <t>XMSC-SUB-12P-1</t>
  </si>
  <si>
    <t>XMS-Cloud 1-year subscription: 12 port cnMatrix TX-series switch including Policy-Based Automation and Cambium Care Advanced Support</t>
  </si>
  <si>
    <t>XMSC-SUB-12P-3</t>
  </si>
  <si>
    <t>XMS-Cloud 3-year subscription: 12 port cnMatrix TX-series switch including Policy-Based Automation and Cambium Care Advanced Support</t>
  </si>
  <si>
    <t>XMSC-SUB-12P-5</t>
  </si>
  <si>
    <t>XMS-Cloud 5-year subscription: 12 port cnMatrix TX-series switch including Policy-Based Automation and Cambium Care Advanced Support</t>
  </si>
  <si>
    <t>XMSC-SUB-12R-1</t>
  </si>
  <si>
    <t>XMS-Cloud 1-year subscription: 12-radio AP with 2 EasyPass modules: Guest Self-Registration and Guest Ambassador, and Cambium Care Advanced Support</t>
  </si>
  <si>
    <t>XMSC-SUB-12R-3</t>
  </si>
  <si>
    <t>XMS-Cloud 5 year subscription: 12-radio AP including Cambium Care Advanced Support</t>
  </si>
  <si>
    <t>XMSC-SUB-16P-1</t>
  </si>
  <si>
    <t>XMS-Cloud 1-year subscription: 16 port cnMatrix multi-GigE switch including Policy-Based Automation and Cambium Care Advanced Support</t>
  </si>
  <si>
    <t>XMSC-SUB-16P-3</t>
  </si>
  <si>
    <t xml:space="preserve">XMS-Cloud 3-year subscription: 16 port cnMatrix multi-GigE switch including Policy-Based Automation and Cambium Care Advanced </t>
  </si>
  <si>
    <t>XMSC-SUB-16P-5</t>
  </si>
  <si>
    <t>XMS-Cloud 5-year subscription: 16 port cnMatrix multi-GigE switch including Policy-Based Automation and Cambium Care Advanced Support</t>
  </si>
  <si>
    <t>XMSC-SUB-16R-1</t>
  </si>
  <si>
    <t>XMS-Cloud 1-year subscription: 16-radio AP with 2 EasyPass modules: Guest Self-Registration and Guest Ambassador, and Cambium Care Advanced Support</t>
  </si>
  <si>
    <t>XMSC-SUB-16R-3</t>
  </si>
  <si>
    <t>XMS-Cloud 5 year subscription: 16-radio AP including Cambium Care Advanced Support</t>
  </si>
  <si>
    <t>XMSC-SUB-20P-1</t>
  </si>
  <si>
    <t>XMS-Cloud 1-year subscription: 20 port cnMatrix TX-series switch including Policy-Based Automation and Cambium Care Advanced Support</t>
  </si>
  <si>
    <t>XMSC-SUB-20P-3</t>
  </si>
  <si>
    <t>XMS-Cloud 3-year subscription: 20 port cnMatrix TX-series switch including Policy-Based Automation and Cambium Care Advanced Support</t>
  </si>
  <si>
    <t>XMSC-SUB-20P-5</t>
  </si>
  <si>
    <t>XMS-Cloud 5-year subscription: 20 port cnMatrix TX-series switch including Policy-Based Automation and Cambium Care Advanced Support</t>
  </si>
  <si>
    <t>XMSC-SUB-28P-1</t>
  </si>
  <si>
    <t>XMS-Cloud 1-year subscription: 28 port cnMatrix switch including Policy-Based Automation and Cambium Care Advanced Support</t>
  </si>
  <si>
    <t>XMSC-SUB-28P-3</t>
  </si>
  <si>
    <t>XMS-Cloud 3-year subscription: 28 port cnMatrix switch including Policy-Based Automation and Cambium Care Advanced Support</t>
  </si>
  <si>
    <t>XMSC-SUB-28P-5</t>
  </si>
  <si>
    <t>XMS-Cloud 5-year subscription: 28 port cnMatrix switch including Policy-Based Automation and Cambium Care Advanced Support</t>
  </si>
  <si>
    <t>XMSC-SUB-2R-1</t>
  </si>
  <si>
    <t>XMS-Cloud 1-year subscription: 2-radio AP with 2 EasyPass modules: Guest Self-Registration and Guest Ambassador, and Cambium Care Advanced Support</t>
  </si>
  <si>
    <t>XMSC-SUB-2R-3</t>
  </si>
  <si>
    <t>XMS-Cloud 3-year subscription: 2-radio AP with 2 EasyPass modules: Guest Self-Registration and Guest Ambassador, and Cambium Care Advanced Support</t>
  </si>
  <si>
    <t>XMSC-SUB-2R-5</t>
  </si>
  <si>
    <t>XMS-Cloud 5-year subscription: 2-radio AP with 2 EasyPass modules: Guest Self-Registration and Guest Ambassador, and Cambium Care Advanced Support</t>
  </si>
  <si>
    <t>XMSC-SUB-4R-1</t>
  </si>
  <si>
    <t>XMS-Cloud 1-year subscription: 4-radio AP with 2 EasyPass modules: Guest Self-Registration and Guest Ambassador,  and Cambium Care Advanced Support</t>
  </si>
  <si>
    <t>XMSC-SUB-4R-3</t>
  </si>
  <si>
    <t>XMS-Cloud 3-year subscription: 4-radio AP with 2 EasyPass modules: Guest Self-Registration and Guest Ambassador, and Cambium Care Advanced Support</t>
  </si>
  <si>
    <t>XMSC-SUB-4R-5</t>
  </si>
  <si>
    <t>XMS-Cloud 5-year subscription: 4-radio AP with 2 EasyPass modules: Guest Self-Registration and Guest Ambassador, and Cambium Care Advanced Support</t>
  </si>
  <si>
    <t>XMSC-SUB-52P-1</t>
  </si>
  <si>
    <t>XMS-Cloud 1-year subscription: 52 port cnMatrix switch including Policy-Based Automation and Cambium Care Advanced Support</t>
  </si>
  <si>
    <t>XMSC-SUB-52P-3</t>
  </si>
  <si>
    <t>XMS-Cloud 3-year subscription: 52 port cnMatrix switch including Policy-Based Automation and Cambium Care Advanced Support</t>
  </si>
  <si>
    <t>XMSC-SUB-52P-5</t>
  </si>
  <si>
    <t>XMS-Cloud 5-year subscription: 52 port cnMatrix switch including Policy-Based Automation and Cambium Care Advanced Support</t>
  </si>
  <si>
    <t>XMSC-SUB-8R-1</t>
  </si>
  <si>
    <t>XMS-Cloud 1-year subscription: 8-radio AP with 2 EasyPass modules: Guest Self-Registration and Guest Ambassador, and Cambium Care Advanced Support</t>
  </si>
  <si>
    <t>XMSC-SUB-8R-3</t>
  </si>
  <si>
    <t>XMS-Cloud 3 year subscription: 8-radio AP including Cambium Care Advanced Support</t>
  </si>
  <si>
    <t>XMSE-LIC-100</t>
  </si>
  <si>
    <t>XMS-Enterprise Managed Radio License for 100 radios. Must be ordered with XMS-9000-VM or XMS-9000-HV for new installations.</t>
  </si>
  <si>
    <t>XMSE-LIC-1000</t>
  </si>
  <si>
    <t>XMS-Enterprise Managed Radio License for 1000 radios. Must be ordered with XMS-9000-VM or XMS-9000-HV for new installations.</t>
  </si>
  <si>
    <t>WIFI : WIFI 5 Indoor : Wi-Fi 5 Indoor Software</t>
  </si>
  <si>
    <t>XMSE-LIC-20</t>
  </si>
  <si>
    <t>XMS-Enterprise Managed Radio License for 20 radios. Must be ordered with XMS-9000-VM or XMS-9000-HV for new installations.</t>
  </si>
  <si>
    <t>XMSE-LIC-200</t>
  </si>
  <si>
    <t>XMS-Enterprise Managed Radio License for 200 radios. Must be ordered with XMS-9000-VM or XMS-9000-HV for new installations.</t>
  </si>
  <si>
    <t>XMSE-LIC-2000</t>
  </si>
  <si>
    <t>XMS-Enterprise Managed Radio License for 2000 radios. Must be ordered with XMS-9000-VM or XMS-9000-HV for new installations.</t>
  </si>
  <si>
    <t>XMSE-LIC-30</t>
  </si>
  <si>
    <t>XMS-Enterprise Managed Radio License for 30 radios. Must be ordered with XMS-9000-VM or XMS-9000-HV for new installations.</t>
  </si>
  <si>
    <t>XMSE-LIC-300</t>
  </si>
  <si>
    <t>XMS-Enterprise Managed Radio License for 300 radios. Must be ordered with XMS-9000-VM or XMS-9000-HV for new installations.</t>
  </si>
  <si>
    <t>XMSE-LIC-3000</t>
  </si>
  <si>
    <t>XMS-Enterprise Managed Radio License for 3000 radios. Must be ordered with XMS-9000-VM or XMS-9000-HV for new installations.</t>
  </si>
  <si>
    <t>XMSE-LIC-40</t>
  </si>
  <si>
    <t>XMS-Enterprise Managed Radio License for 40 radios. Must be ordered with XMS-9000-VM or XMS-9000-HV for new installations.</t>
  </si>
  <si>
    <t>XMSE-LIC-400</t>
  </si>
  <si>
    <t>XMS-Enterprise Managed Radio License for 400 radios. Must be ordered with XMS-9000-VM or XMS-9000-HV for new installations.</t>
  </si>
  <si>
    <t>XMSE-LIC-4000</t>
  </si>
  <si>
    <t>XMS-Enterprise Managed Radio License for 4000 radios. Must be ordered with XMS-9000-VM or XMS-9000-HV for new installations.</t>
  </si>
  <si>
    <t>XMSE-LIC-50</t>
  </si>
  <si>
    <t>XMS-Enterprise Managed Radio License for 50 radios. Must be ordered with XMS-9000-VM or XMS-9000-HV for new installations.</t>
  </si>
  <si>
    <t>XMSE-LIC-500</t>
  </si>
  <si>
    <t>XMS-Enterprise Managed Radio License for 500 radios. Must be ordered with XMS-9000-VM or XMS-9000-HV for new installations.</t>
  </si>
  <si>
    <t>XMSE-LIC-5000</t>
  </si>
  <si>
    <t>XMS-Enterprise Managed Radio License for 5000 or greater radios. Must be ordered with XMS-9000-VM or XMS-9000-HV for new installations.</t>
  </si>
  <si>
    <t>XMSE-LIC-60</t>
  </si>
  <si>
    <t>XMS-Enterprise Managed Radio License for 60 radios. Must be ordered with XMS-9000-VM or XMS-9000-HV for new installations.</t>
  </si>
  <si>
    <t>XMSE-LIC-600</t>
  </si>
  <si>
    <t>XMS-Enterprise Managed Radio License for 600 radios. Must be ordered with XMS-9000-VM or XMS-9000-HV for new installations.</t>
  </si>
  <si>
    <t>XMSE-LIC-70</t>
  </si>
  <si>
    <t>XMS-Enterprise Managed Radio License for 70 radios. Must be ordered with XMS-9000-VM or XMS-9000-HV for new installations.</t>
  </si>
  <si>
    <t>XMSE-LIC-700</t>
  </si>
  <si>
    <t>XMS-Enterprise Managed Radio License for 700 radios. Must be ordered with XMS-9000-VM or XMS-9000-HV for new installations.</t>
  </si>
  <si>
    <t>XMSE-LIC-80</t>
  </si>
  <si>
    <t>XMS-Enterprise Managed Radio License for 80 radios. Must be ordered with XMS-9000-VM or XMS-9000-HV for new installations.</t>
  </si>
  <si>
    <t>XMSE-LIC-800</t>
  </si>
  <si>
    <t>XMS-Enterprise Managed Radio License for 800 radios. Must be ordered with XMS-9000-VM or XMS-9000-HV for new installations.</t>
  </si>
  <si>
    <t>XMSE-LIC-90</t>
  </si>
  <si>
    <t>XMS-Enterprise Managed Radio License for 90 radios. Must be ordered with XMS-9000-VM or XMS-9000-HV for new installations.</t>
  </si>
  <si>
    <t>XMSE-LIC-900</t>
  </si>
  <si>
    <t>XMS-Enterprise Managed Radio License for 900 radios. Must be ordered with XMS-9000-VM or XMS-9000-HV for new installations.</t>
  </si>
  <si>
    <t>XMSE-LIC-HV</t>
  </si>
  <si>
    <t>XMS-Enterprise Base Server VM for HyperV.  Requires XMSE-XXX Managed Radio licenses.  Applies to new purchase, not upgrade</t>
  </si>
  <si>
    <t>XMSE-LIC-VM</t>
  </si>
  <si>
    <t>XMS-Enterprise Base Server VM for VMWare.  Requires XMSE-XXX Managed Radio licenses.  Applies to new purchase, not upgrade</t>
  </si>
  <si>
    <t>XP1-MSI-30</t>
  </si>
  <si>
    <t>1 Port 30W PoE+ Injector. Refer to Accessory Guide for compatibility.</t>
  </si>
  <si>
    <t>Network Products,WIFI6,cnPilot</t>
  </si>
  <si>
    <t>XP1-MSI-75</t>
  </si>
  <si>
    <t>1 Port 75W PoE injector.  Requires country specific XS-PWR-XX cord</t>
  </si>
  <si>
    <t>XP8-MSI-70M</t>
  </si>
  <si>
    <t>8 Port PoE Injector, 70W/port.  SNMP, Web.</t>
  </si>
  <si>
    <t>XR-320</t>
  </si>
  <si>
    <t xml:space="preserve">Xirrus Indoor 2x2 Wall Plate AP. Dual radio 11ac/11n (5GHz/2.4GHz). Requires XMS management_x000D_
</t>
  </si>
  <si>
    <t>WIFI : WIFI 5 Indoor : XR-320</t>
  </si>
  <si>
    <t>XR-320-CA</t>
  </si>
  <si>
    <t>Xirrus Indoor 2x2 Wall Plate AP. Dual radio 11ac/11n (5GHz/2.4GHz). Requires XMS, CA</t>
  </si>
  <si>
    <t>XR-320-EU</t>
  </si>
  <si>
    <t>Xirrus Indoor 2x2 Wall Plate AP. Dual radio 11ac/11n (5GHz/2.4GHz). Requires XMS, EU</t>
  </si>
  <si>
    <t>XR-320-US</t>
  </si>
  <si>
    <t>Xirrus Indoor 2x2 Wall Plate AP. Dual radio 11ac/11n (5GHz/2.4GHz). Requires XMS, US</t>
  </si>
  <si>
    <t>XV2-2T0XA00-CA</t>
  </si>
  <si>
    <t>Outdoor Dual radio WiFi 6 AP Omni 2x2, 2.5GbE, 30V/48V out, BLE. CA</t>
  </si>
  <si>
    <t>WIFI : WIFI 6 Outdoor : XV2-2T0</t>
  </si>
  <si>
    <t>XV2-2T0XA00-EU</t>
  </si>
  <si>
    <t>Outdoor Dual radio WiFi 6 AP Omni 2x2, 2.5GbE, 30V/48V out, BLE. EU</t>
  </si>
  <si>
    <t>XV2-2T0XA00-RW</t>
  </si>
  <si>
    <t>Outdoor Dual radio WiFi 6 AP Omni 2x2, 2.5GbE, 30V/48V out, BLE. RW</t>
  </si>
  <si>
    <t>XV2-2T0XA00-US</t>
  </si>
  <si>
    <t>Outdoor Dual radio WiFi 6 AP Omni 2x2, 2.5GbE, 30V/48V out, BLE. US</t>
  </si>
  <si>
    <t>XV2-2X00A00-CA</t>
  </si>
  <si>
    <t>Indoor Dual Radio Wi-Fi 6 2x2 WLAN AP, 2.5GBE, CA</t>
  </si>
  <si>
    <t>WIFI : WIFI 6 Indoor : XV2-2</t>
  </si>
  <si>
    <t>XV2-2X00A00-EU</t>
  </si>
  <si>
    <t>Indoor Dual Radio Wi-Fi 6 2x2 WLAN AP, 2.5GBE, EU</t>
  </si>
  <si>
    <t>XV2-2X00A00-RW</t>
  </si>
  <si>
    <t>Indoor Dual Radio Wi-Fi 6 2x2 WLAN AP, 2.5GBE, RW</t>
  </si>
  <si>
    <t>XV2-2X00A00-US</t>
  </si>
  <si>
    <t>Indoor Dual Radio Wi-Fi 6 2x2 WLAN AP, 2.5GBE, US</t>
  </si>
  <si>
    <t>XV3-8X00A00-CA</t>
  </si>
  <si>
    <t>Indoor Tri-radio WiFi 6 AP with SDR 8x8. 5GbE. CA</t>
  </si>
  <si>
    <t>WIFI : WIFI 6 Indoor : XV3-8</t>
  </si>
  <si>
    <t>XV3-8X00A00-EU</t>
  </si>
  <si>
    <t>Indoor Tri-radio WiFi 6 AP with SDR 8x8. 5GbE. EU</t>
  </si>
  <si>
    <t>XV3-8X00A00-RW</t>
  </si>
  <si>
    <t>Indoor Tri-radio WiFi 6 AP with SDR 8x8. 5GbE. RW</t>
  </si>
  <si>
    <t>XV3-8X00A00-US</t>
  </si>
  <si>
    <t>Indoor Tri-radio WiFi 6 AP with SDR 8x8. 5GbE. US</t>
  </si>
  <si>
    <t>XE3-4 Wi-Fi 6/6E</t>
  </si>
  <si>
    <t>XE5-8 Wi-Fi 6/6E</t>
  </si>
  <si>
    <t>CCADV-SUP-XE5-8-1</t>
  </si>
  <si>
    <t>Cambium Care Advanced, 1-year support for one XE5-8 Wireless AP. 24x7 TAC support, SW updates, and NBDS advance replacement for HW</t>
  </si>
  <si>
    <t>CCADV-SUP-XE5-8-3</t>
  </si>
  <si>
    <t>Cambium Care Advanced, 3-year support for one XE5-8 Wireless AP. 24x7 TAC support, SW updates, and NBDS advance replacement for HW</t>
  </si>
  <si>
    <t>CCADV-SUP-XE5-8-5</t>
  </si>
  <si>
    <t>Cambium Care Advanced, 5-year support for one XE5-8 Wireless AP. 24x7 TAC support, SW updates, and NBDS advance replacement for HW</t>
  </si>
  <si>
    <t>CCADV-UPG-XE5-8-1</t>
  </si>
  <si>
    <t>Cambium Care Advanced Add-on to cnMaestro X, 1-year support for one XE5-8. 24x7 TAC support, SW updates, and NBDS advance replacement for HW</t>
  </si>
  <si>
    <t>CCADV-UPG-XE5-8-3</t>
  </si>
  <si>
    <t>Cambium Care Advanced Add-on to cnMaestro X, 3-year support for one XE5-8. 24x7 TAC support, SW updates, and NBDS advance replacement for HW</t>
  </si>
  <si>
    <t>CCADV-UPG-XE5-8-5</t>
  </si>
  <si>
    <t>Cambium Care Advanced Add-on to cnMaestro X, 5-year support for one XE5-8. 24x7 TAC support, SW updates, and NBDS advance replacement for HW</t>
  </si>
  <si>
    <t>Cambium Care Advanced Add-on to cnMaestro X, 1-year support for one XE3-4. 24x7 TAC support, SW updates, and NBDS advance replacement for HW</t>
  </si>
  <si>
    <t>CCPRO-SUP-XE5-8-1</t>
  </si>
  <si>
    <t>Cambium Care Pro, 1-year support for one XE5-8.  24x7 TAC support, SW updates</t>
  </si>
  <si>
    <t>CCPRO-SUP-XE5-8-3</t>
  </si>
  <si>
    <t>Cambium Care Pro, 3-year support for one XE5-8.  24x7 TAC support, SW updates</t>
  </si>
  <si>
    <t>CCPRO-SUP-XE5-8-5</t>
  </si>
  <si>
    <t>Cambium Care Pro, 5-year support for one XE5-8.  24x7 TAC support, SW updates</t>
  </si>
  <si>
    <t>Cambium Care Pro, 1-year support for one XE3-4.  24x7 TAC support, SW updates</t>
  </si>
  <si>
    <t>Cambium Care Pro, 3-year support for one XE3-4.  24x7 TAC support, SW updates</t>
  </si>
  <si>
    <t>Cambium Care Pro, 5-year support for one XE3-4.  24x7 TAC support, SW updates</t>
  </si>
  <si>
    <t>Update March 8, 2022</t>
  </si>
  <si>
    <t>Distributor Purchase in Multiples Of</t>
  </si>
  <si>
    <t>PMP : PMP Accessories : cnRanger Accessories</t>
  </si>
  <si>
    <t>PMP : cnRanger : 2 GHz RRH</t>
  </si>
  <si>
    <t>PMP : cnRanger : 2 GHz SM</t>
  </si>
  <si>
    <t>2 GHz cnRanger 101 SM, CAT4, 14 dBi (US PSU and AC Line Cord)</t>
  </si>
  <si>
    <t>2LTE-SM-201</t>
  </si>
  <si>
    <t>2 GHz cnRanger 201 SM, CAT6, 17 dBi (PSU Only)</t>
  </si>
  <si>
    <t>2LTE-SM-201-EU</t>
  </si>
  <si>
    <t>2 GHz cnRanger 201 SM, CAT6, 17 dBi (EU PSU and AC Line Cord)</t>
  </si>
  <si>
    <t>2LTE-SM-201-UK</t>
  </si>
  <si>
    <t>2 GHz cnRanger 201 SM, CAT6, 17 dBi (UK PSU and AC Line Cord)</t>
  </si>
  <si>
    <t>2LTE-SM-201-US</t>
  </si>
  <si>
    <t>2 GHz cnRanger 201 SM, CAT6, 17 dBi (US PSU and AC Line Cord)</t>
  </si>
  <si>
    <t>50 Ohm Braided Coaxial Cable - 500 meter</t>
  </si>
  <si>
    <t>3LTE-ANT-90</t>
  </si>
  <si>
    <t>3Ghz cnRanger Sector Antenna - 90/120 degree, 17 dBi</t>
  </si>
  <si>
    <t>3.0GHz</t>
  </si>
  <si>
    <t>3LTE-RRH-210</t>
  </si>
  <si>
    <t>3 GHz cnRanger 210 RRH, 2x2, 1W per port</t>
  </si>
  <si>
    <t>PMP : cnRanger : 3 GHz RRH</t>
  </si>
  <si>
    <t>PMP : cnRanger : 3 GHz SM</t>
  </si>
  <si>
    <t>58009279003</t>
  </si>
  <si>
    <t>Flexible Twist,WR90,CPR90G,35.0 inch,CPR90G,8.2 - 12.4 GHz,VSWR 1.10</t>
  </si>
  <si>
    <t>AR-E0CNC4CP-WW</t>
  </si>
  <si>
    <t>C4000 Upgrade to All Risks Advanced Replacement Program during 1st Year warranty</t>
  </si>
  <si>
    <t>cnWave V1000 Upgrade to All Risks Advanced Replacement Program during standard warranty</t>
  </si>
  <si>
    <t>cnWave V3000 Upgrade to All Risks Advanced Replacement Program during standard warranty</t>
  </si>
  <si>
    <t>cnWave V5000 Upgrade to All Risks Advanced Replacement Program during standard warranty</t>
  </si>
  <si>
    <t>PTP 670 Upgrade to All Risks Advanced Replacement during Standard Warranty (per END)</t>
  </si>
  <si>
    <t>AR-E0PT850C-WW</t>
  </si>
  <si>
    <t>PTP850C Upgrade to All Risks Advance Replacement during Standard Warranty</t>
  </si>
  <si>
    <t>AR-E0PT850S-WW</t>
  </si>
  <si>
    <t>PTP850S Upgrade to All Risks Advance Replacement during Standard Warranty</t>
  </si>
  <si>
    <t>AR-E1CNC4CP-WW</t>
  </si>
  <si>
    <t>C4000 All Risks Advance Replacement, 1 additional year (per END)</t>
  </si>
  <si>
    <t>PTP 670 All Risks Advance Replacement, 1 additional year (per END)</t>
  </si>
  <si>
    <t>AR-E1PT850C-WW</t>
  </si>
  <si>
    <t>PTP850C All Risks Advance Replacement, 1 Additional Year</t>
  </si>
  <si>
    <t>AR-E1PT850S-WW</t>
  </si>
  <si>
    <t>PTP850S All Risks Advance Replacement, 1 Additional Year</t>
  </si>
  <si>
    <t>AR-E2CNC4CP-WW</t>
  </si>
  <si>
    <t>C4000 All Risks Advance Replacement, 2 additional year (per END)</t>
  </si>
  <si>
    <t>PTP 670 All Risks Advance Replacement, 2 additional years (per END)</t>
  </si>
  <si>
    <t>AR-E2PT850C-WW</t>
  </si>
  <si>
    <t>PTP850C All Risks Advance Replacement, 2 Additional Years</t>
  </si>
  <si>
    <t>AR-E2PT850S-WW</t>
  </si>
  <si>
    <t>PTP850S All Risks Advance Replacement, 2 Additional Years</t>
  </si>
  <si>
    <t>AR-E3CNC4CP-WW</t>
  </si>
  <si>
    <t>C4000 All Risks Advance Replacement, 3 additional year (per END)</t>
  </si>
  <si>
    <t>PTP 670 All Risks Advance Replacement, 3 additional years (per END)</t>
  </si>
  <si>
    <t>AR-E3PT850C-WW</t>
  </si>
  <si>
    <t>PTP850C All Risks Advance Replacement, 3 Additional Years</t>
  </si>
  <si>
    <t>AR-E3PT850S-WW</t>
  </si>
  <si>
    <t>PTP850S All Risks Advance Replacement, 3 Additional Years</t>
  </si>
  <si>
    <t>AR-E4CNC4CP-WW</t>
  </si>
  <si>
    <t>C4000 All Risks Advance Replacement, 4 additional year (per END)</t>
  </si>
  <si>
    <t>PTP 670 All Risks Advance Replacement, 4 additional years (per END)</t>
  </si>
  <si>
    <t>AR-E4PT850C-WW</t>
  </si>
  <si>
    <t>PTP850C All Risks Advance Replacement, 4 Additional Years</t>
  </si>
  <si>
    <t>AR-E4PT850S-WW</t>
  </si>
  <si>
    <t>PTP850S All Risks Advance Replacement, 4 Additional Years</t>
  </si>
  <si>
    <t>PTP : Unlicensed : PTP 670</t>
  </si>
  <si>
    <t>PTP : PTP Other : Positioners</t>
  </si>
  <si>
    <t>C000000H006A</t>
  </si>
  <si>
    <t>Intelligent Positioner for Maritime Broadband</t>
  </si>
  <si>
    <t>PMP : PMP 450 : PMP 450 Software</t>
  </si>
  <si>
    <t>C000000L141A</t>
  </si>
  <si>
    <t>PoE, 60W, 56V, 10GbE DC Injector, Indoor, Energy Level 6 Supply</t>
  </si>
  <si>
    <t>C000000L143A</t>
  </si>
  <si>
    <t>cnPulse Sync Generator with CambiumSYNC –GLONASS disabled</t>
  </si>
  <si>
    <t>8526.91.0040</t>
  </si>
  <si>
    <t>C000000L190A</t>
  </si>
  <si>
    <t>Alignment Tube</t>
  </si>
  <si>
    <t>C000045K002A</t>
  </si>
  <si>
    <t>PMP 450 4 TO 10 MBPS UPGRADE KEY</t>
  </si>
  <si>
    <t>C000045K003A</t>
  </si>
  <si>
    <t>PMP 450 4 TO 20 MBPS UPGRADE KEY</t>
  </si>
  <si>
    <t>C000045K004A</t>
  </si>
  <si>
    <t>PMP 450 4 TO Uncapped UPGRADE KEY</t>
  </si>
  <si>
    <t>C000045K005A</t>
  </si>
  <si>
    <t>PMP 450 10 TO 20 MBPS UPGRADE KEY</t>
  </si>
  <si>
    <t>C000045K006A</t>
  </si>
  <si>
    <t>PMP 450 10 TO Uncapped MBPS UPGRADE KEY</t>
  </si>
  <si>
    <t>C000045K007A</t>
  </si>
  <si>
    <t>PMP 450 20 TO Uncapped MBPS UPGRADE KEY</t>
  </si>
  <si>
    <t>C000045K012A</t>
  </si>
  <si>
    <t>Enable Nomadic Mode for PMP 450 sector</t>
  </si>
  <si>
    <t>5 GHz 450m AP Mounting Bracket Kit</t>
  </si>
  <si>
    <t>PTP : Unlicensed : PTP Unlicensed Software</t>
  </si>
  <si>
    <t>C000065L002D</t>
  </si>
  <si>
    <t>PTP : Licensed Microwave : Licensed Microwave Software</t>
  </si>
  <si>
    <t>C000082K177A</t>
  </si>
  <si>
    <t>PTP 820/850 MW Act.Key - Capacity 1G with ACM Enabled, Per Tx Chan</t>
  </si>
  <si>
    <t>C000082K178A</t>
  </si>
  <si>
    <t>PTP 820/850 MW Act.Key - Capacity 2.5G with ACM Enabled, Per Tx Chan</t>
  </si>
  <si>
    <t>PTP : Licensed Microwave : PTP 820</t>
  </si>
  <si>
    <t>C000085K001A</t>
  </si>
  <si>
    <t xml:space="preserve">PTP 850C Act.Key - L1 Aggregation, Per Primary END </t>
  </si>
  <si>
    <t>PMP : PMP 450i : PMP 450i 900 MHz AP</t>
  </si>
  <si>
    <t>PMP : PMP 450 : PMP 450</t>
  </si>
  <si>
    <t>PMP : PMP 450i : PMP 450i 3 GHz AP</t>
  </si>
  <si>
    <t>PMP : PMP 450m : PMP 450m 3 GHz</t>
  </si>
  <si>
    <t>PTP : Unlicensed : PTP 450i</t>
  </si>
  <si>
    <t>PMP : PMP 450b : PMP 450b 3 GHz High Gain</t>
  </si>
  <si>
    <t>PMP : PMP 450i : PMP 450i 3 GHz SM</t>
  </si>
  <si>
    <t>C050000D004B</t>
  </si>
  <si>
    <t>PMP : PMP 450i : PMP 450i 5 GHz AP</t>
  </si>
  <si>
    <t>PMP : PMP 450m : PMP 450m 5 GHz</t>
  </si>
  <si>
    <t>PMP : PMP 450b : 450MicroPoP Access Point</t>
  </si>
  <si>
    <t>450MicroPoP</t>
  </si>
  <si>
    <t>C050045A211A</t>
  </si>
  <si>
    <t>5 GHz 450 MicroPoP Connectorized - ROW</t>
  </si>
  <si>
    <t>C050045A212A</t>
  </si>
  <si>
    <t>5 GHz 450 MicroPoP Connectorized – FCC</t>
  </si>
  <si>
    <t>C050045A213A</t>
  </si>
  <si>
    <t>5 GHz 450 MicroPoP Connectorized - ISED</t>
  </si>
  <si>
    <t>C050045A214A</t>
  </si>
  <si>
    <t xml:space="preserve">5 GHz 450 MicroPoP Connectorized – EU_x000D_
</t>
  </si>
  <si>
    <t>C050045A215A</t>
  </si>
  <si>
    <t xml:space="preserve">5 GHz 450 MicroPoP Connectorized – No Encryption_x000D_
</t>
  </si>
  <si>
    <t>C050045B002A</t>
  </si>
  <si>
    <t>PMP : PMP 450b : PMP 450b 5 GHz High Gain</t>
  </si>
  <si>
    <t>PMP : PMP 450b : PMP 450b 5 GHz Mid-Gain</t>
  </si>
  <si>
    <t>C050045B041A</t>
  </si>
  <si>
    <t>5 GHz 450b - Connectorized – ROW</t>
  </si>
  <si>
    <t>PMP : PMP 450b : PMP 450b 5 GHz Connectorized</t>
  </si>
  <si>
    <t>C050045B042A</t>
  </si>
  <si>
    <t>5 GHz 450b - Connectorized – FCC</t>
  </si>
  <si>
    <t>C050045B043A</t>
  </si>
  <si>
    <t>5 GHz 450b - Connectorized – ISED</t>
  </si>
  <si>
    <t>C050045B044A</t>
  </si>
  <si>
    <t>5 GHz 450b - Connectorized – EU</t>
  </si>
  <si>
    <t>C050045B045A</t>
  </si>
  <si>
    <t>5 GHz 450b - Connectorized – No Encryption</t>
  </si>
  <si>
    <t xml:space="preserve">5 GHz 450b Retro - ROW_x000D_
</t>
  </si>
  <si>
    <t>PMP : PMP 450b : PMP 450b 5 GHz Retro</t>
  </si>
  <si>
    <t xml:space="preserve">5 GHz 450b Retro – FCC_x000D_
</t>
  </si>
  <si>
    <t xml:space="preserve">5 GHz 450b Retro - ISED_x000D_
</t>
  </si>
  <si>
    <t xml:space="preserve">5 GHz 450b Retro – No Encryption_x000D_
</t>
  </si>
  <si>
    <t>PMP : PMP 450i : PMP 450i 5 GHz SM</t>
  </si>
  <si>
    <t>C050045C0INV</t>
  </si>
  <si>
    <t>5 GHz PMP 450i Integrated High Gain Antenna-SP Test</t>
  </si>
  <si>
    <t>C050067H002C</t>
  </si>
  <si>
    <t>C050067H004C</t>
  </si>
  <si>
    <t>C050067H008C</t>
  </si>
  <si>
    <t>C050067H010C</t>
  </si>
  <si>
    <t>C050067H014C</t>
  </si>
  <si>
    <t>C050067H016C</t>
  </si>
  <si>
    <t>C050067H020C</t>
  </si>
  <si>
    <t>C050067H022C</t>
  </si>
  <si>
    <t>C050067H026A</t>
  </si>
  <si>
    <t>C050067H026C</t>
  </si>
  <si>
    <t>C050067H028C</t>
  </si>
  <si>
    <t>C050067H030C</t>
  </si>
  <si>
    <t>C050067H031A</t>
  </si>
  <si>
    <t>C050067H032C</t>
  </si>
  <si>
    <t>C058900C072A</t>
  </si>
  <si>
    <t>ePMP 1000: 5 GHz Force 180 Integrated Radio (FCC) (US cord)</t>
  </si>
  <si>
    <t>PMP : ePMP : ePMP Force 180</t>
  </si>
  <si>
    <t>C060085B001A</t>
  </si>
  <si>
    <t xml:space="preserve">PTP 850C, Basic Radio, 6 GHz </t>
  </si>
  <si>
    <t>PTP : Licensed Microwave : PTP 850</t>
  </si>
  <si>
    <t>C070082B043A</t>
  </si>
  <si>
    <t>PTP 820S Radio 7GHz,TR245A,Ch5W8,Hi,7783.5-7898.5MHz</t>
  </si>
  <si>
    <t>C070082B044A</t>
  </si>
  <si>
    <t>PTP 820S Radio 7GHz,TR245A,Ch5W8,Lo,7538.5-7653.5MHz</t>
  </si>
  <si>
    <t>C070082B1004A</t>
  </si>
  <si>
    <t>C080082R178A</t>
  </si>
  <si>
    <t>PTP 820 RFU-C,8GHz,TR375A,Ch1W4,Lo,7761-7873 MHz</t>
  </si>
  <si>
    <t>8.0GHz</t>
  </si>
  <si>
    <t>C080082R179A</t>
  </si>
  <si>
    <t>PTP 820 RFU-C,8GHz,TR375A,Ch1W4,Hi,8136-8248 MHz</t>
  </si>
  <si>
    <t>C080082R180A</t>
  </si>
  <si>
    <t>PTP 820 RFU-C,8GHz,TR375A,Ch5W8,Lo,7873-7985 MHz</t>
  </si>
  <si>
    <t>C080082R181A</t>
  </si>
  <si>
    <t>PTP 820 RFU-C,8GHz,TR375A,Ch5W8,Hi,8248-8360 MHz</t>
  </si>
  <si>
    <t>C080082R182A</t>
  </si>
  <si>
    <t>PTP 820 RFU-C,8GHz,TR375A,Ch9W12,Lo,7985-8097 MHz</t>
  </si>
  <si>
    <t>C080082R183A</t>
  </si>
  <si>
    <t>PTP 820 RFU-C,8GHz,TR375A,Ch9W12,Hi,8360-8472 MHz</t>
  </si>
  <si>
    <t>C110082B047A</t>
  </si>
  <si>
    <t>PTP 820C Radio 11WGHz,TR500,Ch3W8,Hi,11265-11525MHz,ESX</t>
  </si>
  <si>
    <t>C110082B048A</t>
  </si>
  <si>
    <t>PTP 820C Radio 11WGHz,TR500,Ch3W8,Lo,10775-11035MHz,ESX</t>
  </si>
  <si>
    <t>C110082L007A</t>
  </si>
  <si>
    <t>PTP 820C Radio 11GHz,TR500,Ch4W9,Hi,11305-11585MHz, ESS</t>
  </si>
  <si>
    <t>C110082L008A</t>
  </si>
  <si>
    <t>PTP 820C Radio 11GHz,TR500,Ch4W9,Lo,10815-11095MHz, ESS</t>
  </si>
  <si>
    <t>C110082L019A</t>
  </si>
  <si>
    <t>PTP 820C Radio 11WGHz,TR500,Ch3W8,Hi,11265-11525MHz, ESS</t>
  </si>
  <si>
    <t>C110082L020A</t>
  </si>
  <si>
    <t>PTP 820C Radio 11WGHz,TR500,Ch3W8,Lo,10775-11035MHz, ESS</t>
  </si>
  <si>
    <t>C180082L001A</t>
  </si>
  <si>
    <t>PTP 820C Radio 18GHz,TR1560,ChAll,Hi,19259-19710MHz, ESS</t>
  </si>
  <si>
    <t>18GHz</t>
  </si>
  <si>
    <t>C180082L002A</t>
  </si>
  <si>
    <t>PTP 820C Radio 18GHz,TR1560,ChAll,Lo,17699-18150MHz, ESS</t>
  </si>
  <si>
    <t>C180085B013A</t>
  </si>
  <si>
    <t xml:space="preserve">PTP 850C Radio 18WGHz,TR1560,ChAll,Hi,19259-19710MHz </t>
  </si>
  <si>
    <t>C180085B014A</t>
  </si>
  <si>
    <t xml:space="preserve">PTP 850C Radio 18WGHz,TR1560,ChAll,Lo,17699-18150MHz </t>
  </si>
  <si>
    <t>C180085B015A</t>
  </si>
  <si>
    <t>PTP 850C Radio 18WGHz,TR1010,ChHigh,Hi,19160-19700MHz</t>
  </si>
  <si>
    <t>C180085B016A</t>
  </si>
  <si>
    <t>PTP 850C Radio 18WGHz,TR1010,ChHigh,Lo,18126-18690MHz</t>
  </si>
  <si>
    <t>C180085B017A</t>
  </si>
  <si>
    <t>PTP 850C Radio 18WGHz,TR1010,ChLow,Hi,18710-19220MHz</t>
  </si>
  <si>
    <t>C180085B018A</t>
  </si>
  <si>
    <t>PTP 850C Radio 18WGHz,TR1010,ChLow,Lo,17700-18200MHz</t>
  </si>
  <si>
    <t>C230082B072A</t>
  </si>
  <si>
    <t>PTP 820C Radio 23GHz,TR1008,ChAll,Hi,23001-23600MHz, ESS</t>
  </si>
  <si>
    <t>C230082B073A</t>
  </si>
  <si>
    <t>PTP 820C Radio 23GHz,TR1008,ChAll,Lo,22000-22600MHz, ESS</t>
  </si>
  <si>
    <t>C230085B001A</t>
  </si>
  <si>
    <t xml:space="preserve">PTP 850C Radio 23GHz,TR1200/1232,ChHigh,Hi,23000-23601MHz </t>
  </si>
  <si>
    <t>C230085B002A</t>
  </si>
  <si>
    <t xml:space="preserve">PTP 850C Radio 23GHz,TR1200/1232,ChHigh,Lo,21780-22400MHz </t>
  </si>
  <si>
    <t>C230085B003A</t>
  </si>
  <si>
    <t>PTP 850C Radio 23GHz,TR1200/1232,ChLow,Hi,22400-23020MHz</t>
  </si>
  <si>
    <t>C230085B004A</t>
  </si>
  <si>
    <t xml:space="preserve">PTP 850C Radio 23GHz,TR1200/1232,ChLow,Lo,21200-21800MHz </t>
  </si>
  <si>
    <t>C230085B005A</t>
  </si>
  <si>
    <t xml:space="preserve">PTP 850C Radio 23GHz,TR1008,ChAll,Hi,23001-23600MHz </t>
  </si>
  <si>
    <t>C230085B006A</t>
  </si>
  <si>
    <t xml:space="preserve">PTP 850C Radio 23GHz,TR1008,ChAll,Lo,22000-22600MHz </t>
  </si>
  <si>
    <t>C280500A101A</t>
  </si>
  <si>
    <t>28 GHz cnWave B1000 Base Station, Single Sector, All Features Enabled</t>
  </si>
  <si>
    <t>PMP : 28GHz cnWave : B1000</t>
  </si>
  <si>
    <t>28GHz</t>
  </si>
  <si>
    <t>28GHz cnWave</t>
  </si>
  <si>
    <t>C280500C001A</t>
  </si>
  <si>
    <t>28 GHz cnWave C100 CPE – Radio</t>
  </si>
  <si>
    <t>PMP : 28GHz cnWave : C100</t>
  </si>
  <si>
    <t>C280500D001A</t>
  </si>
  <si>
    <t>28 GHz cnWave CPE Antenna Assembly</t>
  </si>
  <si>
    <t>PMP : PMP Accessories : 28GHz cnWave Accessories</t>
  </si>
  <si>
    <t>C280500K001A</t>
  </si>
  <si>
    <t>cnWave 28GHz License - 10GE port</t>
  </si>
  <si>
    <t>PMP : 28GHz cnWave : 28GHz cnWave Software</t>
  </si>
  <si>
    <t>C280500K002A</t>
  </si>
  <si>
    <t>28 GHz cnWave License - UpLink MU-MIMO, per BTS</t>
  </si>
  <si>
    <t>C280500K003A</t>
  </si>
  <si>
    <t>28 GHz cnWave License - Downlink MU-MIMO Upgrade up to 8x8</t>
  </si>
  <si>
    <t>C280500K004A</t>
  </si>
  <si>
    <t>28 GHz cnWave License - Support 100/112 MHz channel</t>
  </si>
  <si>
    <t>C280500K006A</t>
  </si>
  <si>
    <t>28 GHz cnWave License - 50 CPE Attach</t>
  </si>
  <si>
    <t>C280500K007A</t>
  </si>
  <si>
    <t>28 GHz cnWave License - 100 CPE Attach (Must have 50 CPE license)</t>
  </si>
  <si>
    <t>C280500K008A</t>
  </si>
  <si>
    <t>28 GHz cnWave License - 240 CPE Attach (Must have 100 CPE license)</t>
  </si>
  <si>
    <t>C280500K009A</t>
  </si>
  <si>
    <t>28 GHz cnWave License - 256-bit AES Encryption</t>
  </si>
  <si>
    <t>C280500K010A</t>
  </si>
  <si>
    <t>28 GHz cnWave License – QoS Enabled</t>
  </si>
  <si>
    <t>C280500K013A</t>
  </si>
  <si>
    <t>28 GHz cnWave License - RADIUS AAA</t>
  </si>
  <si>
    <t>C280500K014A</t>
  </si>
  <si>
    <t>28 GHz cnWave License – SIM Card support</t>
  </si>
  <si>
    <t>C280500K015A</t>
  </si>
  <si>
    <t>28 GHz cnWave License – Carrier Aggregation</t>
  </si>
  <si>
    <t>C280500K100A</t>
  </si>
  <si>
    <t xml:space="preserve"> 28 GHz cnWave License – All Licensed features</t>
  </si>
  <si>
    <t>PTP 820E/850E MMW Act.Key - Capacity 1G with ACM Enabled, Per Tx Chan</t>
  </si>
  <si>
    <t>PTP 820E/850E MMW Act.Key - Capacity 2.5G with ACM Enabled, Per Tx Chan</t>
  </si>
  <si>
    <t>C800082K007A</t>
  </si>
  <si>
    <t>PTP 850E Act.Key - Adaptive Bandwidth, Per Tx Chan</t>
  </si>
  <si>
    <t>C800085K004A</t>
  </si>
  <si>
    <t>PTP 850 Act.Key – Enabled IEEE-1588 Transparent Clock, Per Tx Chan</t>
  </si>
  <si>
    <t>CK-CA04002B-WW</t>
  </si>
  <si>
    <t>PTP 700 Tactical Drop Cable 38999 to M RJF pigtails 2.5ft – 3X Ethernet</t>
  </si>
  <si>
    <t>PTP : Defense : Connectivity Kit</t>
  </si>
  <si>
    <t>CTAA065L002D</t>
  </si>
  <si>
    <t>PTP700 AC/DC POE injector, TAA compliant</t>
  </si>
  <si>
    <t>PTP : PTP Accessories : Defense Accessories</t>
  </si>
  <si>
    <t>EW-E1CNC4CP-WW</t>
  </si>
  <si>
    <t>C4000 Extended Warranty, 1 Additional Year</t>
  </si>
  <si>
    <t>ePMP Force 400 Extended Warranty, 1 Additional Year</t>
  </si>
  <si>
    <t>PTP 670 Extended Warranty, 1 additional year (per END)</t>
  </si>
  <si>
    <t>EW-E1PT850C-WW</t>
  </si>
  <si>
    <t>PTP850C Extended Warranty, 1 Additional Year</t>
  </si>
  <si>
    <t>EW-E1PT850S-WW</t>
  </si>
  <si>
    <t>PTP850S Extended Warranty, 1 Additional Year</t>
  </si>
  <si>
    <t>EW-E2CNC4CP-WW</t>
  </si>
  <si>
    <t>C4000 Extended Warranty, 2 Additional Years</t>
  </si>
  <si>
    <t>ePMP Force 400 Extended Warranty, 2 Additional Years</t>
  </si>
  <si>
    <t>PTP 670 Extended Warranty, 2 additional years (per END)</t>
  </si>
  <si>
    <t>EW-E2PT850C-WW</t>
  </si>
  <si>
    <t>PTP850C Extended Warranty, 2 Additional Years</t>
  </si>
  <si>
    <t>EW-E2PT850S-WW</t>
  </si>
  <si>
    <t>PTP850S Extended Warranty, 2 Additional Years</t>
  </si>
  <si>
    <t>EW-E3CNC4CP-WW</t>
  </si>
  <si>
    <t>C4000 Extended Warranty, 3 Additional Years</t>
  </si>
  <si>
    <t>PTP 670 Extended Warranty, 3 additional years (per END)</t>
  </si>
  <si>
    <t>EW-E3PT850C-WW</t>
  </si>
  <si>
    <t>PTP850C Extended Warranty, 3 Additional Years</t>
  </si>
  <si>
    <t>EW-E3PT850S-WW</t>
  </si>
  <si>
    <t>PTP850S Extended Warranty, 3 Additional Years</t>
  </si>
  <si>
    <t>EW-E4CNC4CP-WW</t>
  </si>
  <si>
    <t>C4000 Extended Warranty, 4 Additional Years</t>
  </si>
  <si>
    <t>PTP 670 Extended Warranty, 4 additional years (per END)</t>
  </si>
  <si>
    <t>EW-E4PT850C-WW</t>
  </si>
  <si>
    <t>PTP850C Extended Warranty, 4 Additional Years</t>
  </si>
  <si>
    <t>EW-E4PT850S-WW</t>
  </si>
  <si>
    <t>PTP850S Extended Warranty, 4 Additional Years</t>
  </si>
  <si>
    <t>EW-GHUINTPOS1-WW</t>
  </si>
  <si>
    <t>GPS Heading Unit (GHU) for Intelligent Positioner for Nomadic Wireless Fiber Extended Warranty, 1 Additional Year</t>
  </si>
  <si>
    <t>EW-GHUINTPOS2-WW</t>
  </si>
  <si>
    <t>GPS Heading Unit (GHU) for Intelligent Positioner for Nomadic Wireless Fiber Extended Warranty, 2 Additional Years</t>
  </si>
  <si>
    <t>EW-GHUINTPOS3-WW</t>
  </si>
  <si>
    <t>GPS Heading Unit (GHU) for Intelligent Positioner for Nomadic Wireless Fiber Extended Warranty, 3 Additional Years</t>
  </si>
  <si>
    <t>EW-GHUINTPOS4-WW</t>
  </si>
  <si>
    <t>GPS Heading Unit (GHU) for Intelligent Positioner for Nomadic Wireless Fiber Extended Warranty, 4 Additional Years</t>
  </si>
  <si>
    <t>EW-INTPOSNM1-WW</t>
  </si>
  <si>
    <t>Intelligent Positioner for Nomadic Wireless Fiber Extended Warranty, 1 Additional Year</t>
  </si>
  <si>
    <t>EW-INTPOSNM2-WW</t>
  </si>
  <si>
    <t>Intelligent Positioner for Nomadic Wireless Fiber Extended Warranty, 2 Additional Years</t>
  </si>
  <si>
    <t>EW-INTPOSNM3-WW</t>
  </si>
  <si>
    <t>Intelligent Positioner for Nomadic Wireless Fiber Extended Warranty, 3 Additional Years</t>
  </si>
  <si>
    <t>EW-INTPOSNM4-WW</t>
  </si>
  <si>
    <t>Intelligent Positioner for Nomadic Wireless Fiber Extended Warranty, 4 Additional Years</t>
  </si>
  <si>
    <t>EW-INTPOSNMB1-WW</t>
  </si>
  <si>
    <t>Intelligent Positioner for Nomadic Wireless Broadband Extended Warranty, 1 Additional Year.</t>
  </si>
  <si>
    <t>GW-610-0002-WW</t>
  </si>
  <si>
    <t>GW: Cambium Gateway Care* (Quoted per BOM)</t>
  </si>
  <si>
    <t>KS-D401KLOS-RW</t>
  </si>
  <si>
    <t>Kloudspot Analytics for Cambium access points. Up to 922 devices. Gateway included</t>
  </si>
  <si>
    <t>WIFI : Subscription Enterprise : Other</t>
  </si>
  <si>
    <t>PMP : cnRanger : BBU</t>
  </si>
  <si>
    <t>cnMaestro Essentials for 3rd party end points:_x000D_
Includes cnMaestro Essentials for managing 3rd party end points; 1-year subscription /T100 device; Tier100 device include 3rd party end points. _x000D_
3rd party end points supported:_x000D_
Machfu</t>
  </si>
  <si>
    <t>cnMaestro Essentials for 3rd party end points:_x000D_
Includes cnMaestro Essentials for managing 3rd party end points; 3-year subscription /T100 device; Tier100 device include 3rd party end points. _x000D_
3rd party end points supported:_x000D_
Machfu</t>
  </si>
  <si>
    <t>cnMaestro Essentials for 3rd party end points:_x000D_
Includes cnMaestro Essentials for managing 3rd party end points; 5-year subscription /T100 device; Tier100 device include 3rd party end points. _x000D_
3rd party end points supported:_x000D_
Machfu</t>
  </si>
  <si>
    <t>cnMaestro X for FWB: Advanced management and includes CC Pro for Tier2; 1-year subscription renewal / Tier1 device; Tier1 device include FWB SM</t>
  </si>
  <si>
    <t>cnMaestro X for FWB: Advanced management and includes CC Pro for Tier2; 3-year subscription renewal / Tier1 device; Tier1 device include FWB SM</t>
  </si>
  <si>
    <t>cnMaestro X for FWB: Advanced management and includes CC Pro for Tier2; 5-year subscription renewal / Tier1 device; Tier1 device include FWB SM</t>
  </si>
  <si>
    <t>cnMaestro X for FWB: Advanced management and includes CC Pro for Tier3; 1-year subscription renewal / Tier1 device; Tier1 device include FWB SM</t>
  </si>
  <si>
    <t>cnMaestro X for FWB: Advanced management and includes CC Pro for Tier3; 3-year subscription renewal / Tier1 device; Tier1 device include FWB SM</t>
  </si>
  <si>
    <t>Maestro X for FWB: Advanced management and includes CC Pro for Tier3; 5-year subscription renewal / Tier1 device; Tier1 device include FWB SM</t>
  </si>
  <si>
    <t>MSX-SUB-T1-10</t>
  </si>
  <si>
    <t>cnMaestro X for FWB: Includes SMs  _x000D_
Advanced management and includes CC Pro for Tier1; 10-year subscription / Tier1 device; Tier1 device include FWB SM</t>
  </si>
  <si>
    <t>MSX-SUB-T1-M</t>
  </si>
  <si>
    <t>Monthly subscription for cnMaestro X and Cambium Care Pro for existing Tier1 devices</t>
  </si>
  <si>
    <t>MSX-SUB-T2-10</t>
  </si>
  <si>
    <t xml:space="preserve">cnMaestro X for FWB: Includes FWB AP, PTP and IIOT  _x000D_
cnMaestro X for FWB: Advanced management and includes CC Pro for Tier2; 10-year subscription / Tier2 device; Tier2 devices include FWB AP, PTP and IIoT _x000D_
</t>
  </si>
  <si>
    <t>MSX-SUB-TRIAL-3M</t>
  </si>
  <si>
    <t>Three month cnMaestro X trial sku</t>
  </si>
  <si>
    <t xml:space="preserve">cnMatrix 19" Rack mount kit: TX2012R-P_x000D_
</t>
  </si>
  <si>
    <t>5.8GHz</t>
  </si>
  <si>
    <t>cnRanger RRH Mounting Kit</t>
  </si>
  <si>
    <t>N000000L151A</t>
  </si>
  <si>
    <t>XGPON ONU SFP, Class B+</t>
  </si>
  <si>
    <t>N000000L158A</t>
  </si>
  <si>
    <t>GPS Heading Unit (GHU) adapter bracket Maritime Positioner</t>
  </si>
  <si>
    <t>N000000L159A</t>
  </si>
  <si>
    <t>28 GHz cnWave CPE Precision Bracket Kit</t>
  </si>
  <si>
    <t>N000000L161A</t>
  </si>
  <si>
    <t>Maritime Mast Adapter Assembly, 2.0 Inch Outside Diameter</t>
  </si>
  <si>
    <t>N000000L190A</t>
  </si>
  <si>
    <t>POSITIONING UNIT CONTROL CABLE, MARINE PU-25, 3', RoHS &amp; REACH COMPLIANT</t>
  </si>
  <si>
    <t>N000000L191A</t>
  </si>
  <si>
    <t>JACKETED 50-OHM 1/2" FOAM CABLE 75 m</t>
  </si>
  <si>
    <t>N000000L192A</t>
  </si>
  <si>
    <t>JACKETED 50-OHM 1/2" FOAM CABLE 500 m</t>
  </si>
  <si>
    <t>N000000L193A</t>
  </si>
  <si>
    <t>N STRAIGHT MALE CONNECTOR</t>
  </si>
  <si>
    <t>N000000L194A</t>
  </si>
  <si>
    <t>2-HOLE GROUNDING KIT</t>
  </si>
  <si>
    <t>N000000L195A</t>
  </si>
  <si>
    <t>SUPPORT/HOISTING GRIP KIT</t>
  </si>
  <si>
    <t>N000070L010A</t>
  </si>
  <si>
    <t>Black RJ-45 Gland Spare - PG16 size - pack of 10</t>
  </si>
  <si>
    <t>LDF4-50A Low Density foam Coaxial Cable, per foot</t>
  </si>
  <si>
    <t>PTP 820/850 Act.Key - 10GE port</t>
  </si>
  <si>
    <t>N000082L031A</t>
  </si>
  <si>
    <t>PTP 820 Act.Key - Agg-Lvl-2-CET-Node mode</t>
  </si>
  <si>
    <t>N000082L040A</t>
  </si>
  <si>
    <t>PTP 820 Act.Key - Eth. OAM - PM</t>
  </si>
  <si>
    <t>N000082L044A</t>
  </si>
  <si>
    <t>PTP 820 Act.Key - H-QoS</t>
  </si>
  <si>
    <t>N000082L045A</t>
  </si>
  <si>
    <t>PTP 820/850 Act.Key - IEEE-1588 BC</t>
  </si>
  <si>
    <t>N000082L051A</t>
  </si>
  <si>
    <t>PTP 820/850 Act.Key - Secure Management</t>
  </si>
  <si>
    <t>N000082L054A</t>
  </si>
  <si>
    <t>PTP 820 Act.Key - Upg Agg-Lvl-1/Lvl-2 Node</t>
  </si>
  <si>
    <t>N000082L149A</t>
  </si>
  <si>
    <t>Term Load 11 GHz</t>
  </si>
  <si>
    <t xml:space="preserve">PTP 820 Multi-band Antenna, Circular Trans 17.7 - 19.7GHz_x000D_
</t>
  </si>
  <si>
    <t xml:space="preserve">PTP 820 Multi-band Antenna, Circular Trans 21.2 - 23.6GHz_x000D_
</t>
  </si>
  <si>
    <t xml:space="preserve">PTP 820 Multi-band Antenna, RECT TRANS 17.7-19.7GHz._x000D_
</t>
  </si>
  <si>
    <t xml:space="preserve">PTP 820 Multi-band Antenna, RECT TRANS 21.2-23.6GHz._x000D_
</t>
  </si>
  <si>
    <t>N000082L229A</t>
  </si>
  <si>
    <t xml:space="preserve">PTP 820 RFU-A Branching Dwr 2+0 DRW-A6H-160A-1N3-7N9 </t>
  </si>
  <si>
    <t>N000082L230A</t>
  </si>
  <si>
    <t xml:space="preserve">PTP 820 RFU-A Branching Dwr 2+0 DRW-A6H-160A-4N6-10N12 </t>
  </si>
  <si>
    <t>N000082L231A</t>
  </si>
  <si>
    <t>PTP820 RFU-A Branching Dwr 2+0 DRW-A6L-252A-5N/A6H-160A-7N9</t>
  </si>
  <si>
    <t>N000082L232A</t>
  </si>
  <si>
    <t>PTP820 RFU-A Branching Dwr 2+0 DRW-A6L-252A-6N/A6H-170A-1N3</t>
  </si>
  <si>
    <t>N000082L233A</t>
  </si>
  <si>
    <t>PTP820 RFU-A Branching Dwr 2+0 DRW-A6L-252A-5N7N</t>
  </si>
  <si>
    <t>N000082L234A</t>
  </si>
  <si>
    <t>PTP820 RFU-A Branching Dwr 2+0 DRW-A6L-252A-5N/A6H-160A-13N15</t>
  </si>
  <si>
    <t>N000082L235A</t>
  </si>
  <si>
    <t>RFU-A Branching Dwr 2+0 DRW-A11-490B-2N6N</t>
  </si>
  <si>
    <t>N000082L238A</t>
  </si>
  <si>
    <t>PTP820 RFU-A Branching Drawer 2+0, Fc=5974.85/6226.89 - 6535/6875MHz, A6L-252A-2N_A6H-340D-4N 29.65/30MHz</t>
  </si>
  <si>
    <t>8517.70.7900</t>
  </si>
  <si>
    <t>N000082L239A</t>
  </si>
  <si>
    <t>PTP820 RFU-A Branching Drawer 2+0, Fc=6034.15/6286.19 - 6123.10/6375.14MHz, A6L-252A-4N7N</t>
  </si>
  <si>
    <t>N000085L001A</t>
  </si>
  <si>
    <t>PTP 850 M28 Glands extender</t>
  </si>
  <si>
    <t>N000900L001D</t>
  </si>
  <si>
    <t xml:space="preserve">AC line cord, EU Type F angled, 1.2m C13 connector_x000D_
</t>
  </si>
  <si>
    <t>N060080L013A</t>
  </si>
  <si>
    <t>SHPX3 - 3' ANT, 6W GHz with Radome, Dual Pol, CPR137G</t>
  </si>
  <si>
    <t>8517.70.7100</t>
  </si>
  <si>
    <t>N060080L016A</t>
  </si>
  <si>
    <t>Fixed-tuned PDR70 connector for EWP63</t>
  </si>
  <si>
    <t>N060080L017A</t>
  </si>
  <si>
    <t>Fixed-tuned PDR70 connector for EWP52</t>
  </si>
  <si>
    <t>N060082L281A</t>
  </si>
  <si>
    <t>PTP 820C-HP/RFU-D-HP, Diplexer,U6 GHz, TR 150A, CH2W4, Hi,7050-7125MHz</t>
  </si>
  <si>
    <t>N060082L282A</t>
  </si>
  <si>
    <t>PTP 820C-HP/RFU-D-HP, Diplexer,U6 GHz, TR 150A, CH2W4, Lo,6900-6975MHz</t>
  </si>
  <si>
    <t>N060085L001A</t>
  </si>
  <si>
    <t>PTP 850C Diplexer,L6 GHz, TR 252A, CH1W4, Hi,6179.415-6304.015MHz</t>
  </si>
  <si>
    <t>N060085L002A</t>
  </si>
  <si>
    <t>PTP 850C Diplexer,L6 GHz, TR 252A, CH1W4, Lo,5927.375-6051.975MHz</t>
  </si>
  <si>
    <t>N060085L003A</t>
  </si>
  <si>
    <t>PTP 850C Diplexer,L6 GHz, TR 252A, CH3W6, Hi,6238.715-6363.315MHz</t>
  </si>
  <si>
    <t>N060085L004A</t>
  </si>
  <si>
    <t>PTP 850C Diplexer,L6 GHz, TR 252A, CH3W6, Lo,5986.675-6111.275MHz</t>
  </si>
  <si>
    <t>N060085L005A</t>
  </si>
  <si>
    <t>PTP 850C Diplexer,L6 GHz, TR 252A, CH5W8, Hi,6298.015-6422.615MHz</t>
  </si>
  <si>
    <t>N060085L006A</t>
  </si>
  <si>
    <t>PTP 850C Diplexer,L6 GHz, TR 252A, CH5W8, Lo,6045.975-6170.575MHz</t>
  </si>
  <si>
    <t>N060085L007A</t>
  </si>
  <si>
    <t>PTP 850C Diplexer,U6 GHz, TR160A,Ch1W6,Hi,6707.5-6772.5MHz</t>
  </si>
  <si>
    <t>N060085L008A</t>
  </si>
  <si>
    <t>PTP 850C Diplexer,U6 GHz, TR160A,Ch1W6,Lo,6537.5-6612.5MHz</t>
  </si>
  <si>
    <t>N060085L009A</t>
  </si>
  <si>
    <t>PTP 850C Diplexer,U6 GHz,TR160A,Ch7W12,Hi,6767.5-6832.5MHz</t>
  </si>
  <si>
    <t>N060085L010A</t>
  </si>
  <si>
    <t>PTP 850C Diplexer,U6 GHz,TR160A,Ch7W12,Lo,6607.5-6672.5MHz</t>
  </si>
  <si>
    <t>N060085L011A</t>
  </si>
  <si>
    <t>PTP 850C Diplexer,U6 GHz,TR160A,Ch13W16,Hi,6827.5-6872.5MHz</t>
  </si>
  <si>
    <t>N060085L012A</t>
  </si>
  <si>
    <t>PTP 850C Diplexer,U6 GHz,TR160A,Ch13W16,Lo,6667.5-6712.5MHz</t>
  </si>
  <si>
    <t>N060085L013A</t>
  </si>
  <si>
    <t>PTP 850C Diplexer,U6 GHz, TR 340A, CH1W4, Hi,6781-6939MHz</t>
  </si>
  <si>
    <t>N060085L014A</t>
  </si>
  <si>
    <t>PTP 850C Diplexer,U6 GHz, TR 340A, CH1W4, Lo,6441-6599MHz</t>
  </si>
  <si>
    <t>N060085L015A</t>
  </si>
  <si>
    <t>PTP 850C Diplexer,U6 GHz, TR 340A, CH5W8, Hi,6941-7099MHz</t>
  </si>
  <si>
    <t>N060085L016A</t>
  </si>
  <si>
    <t>PTP 850C Diplexer,U6 GHz, TR 340A, CH5W8, Lo,6601-6759MHz</t>
  </si>
  <si>
    <t>N110082D095A</t>
  </si>
  <si>
    <t>PTP 820 2' ANT,SP,10_11GHz,RFU-C TYPE&amp;UBR100 - Radiowave</t>
  </si>
  <si>
    <t>N110082D097A</t>
  </si>
  <si>
    <t>PTP 820 3' ANT,SP,10_11GHz,RFU-C TYPE&amp;UBR100 - Radiowave</t>
  </si>
  <si>
    <t>N110082D099A</t>
  </si>
  <si>
    <t>PTP 820 4' ANT,SP,10_11GHz,RFU-C TYPE&amp;UBR100 - Radiowave</t>
  </si>
  <si>
    <t>N110082H124A</t>
  </si>
  <si>
    <t>PTP820 Bench Test Setup Kit without flange adaptor - 11 GHz</t>
  </si>
  <si>
    <t>N180082H061A</t>
  </si>
  <si>
    <t>PTP820 Bench Test Setup Kit - 18 &amp; 23 GHz</t>
  </si>
  <si>
    <t>N260082L033A</t>
  </si>
  <si>
    <t>PTP 820 RFU-C SPLITTER KIT 26GHz (UBR220)</t>
  </si>
  <si>
    <t>N280082L043A</t>
  </si>
  <si>
    <t>PTP 820 RFU-C SPLITTER KIT 28GHz (UBR320)</t>
  </si>
  <si>
    <t>N320082L019A</t>
  </si>
  <si>
    <t>PTP 820C DUAL COUPLER KIT 32GHz</t>
  </si>
  <si>
    <t>N320082L020A</t>
  </si>
  <si>
    <t>PTP 820C DUAL SPLITTER KIT 32GHz (UBR320)</t>
  </si>
  <si>
    <t>N320082L021A</t>
  </si>
  <si>
    <t>PTP 820C OMT KIT 32GHz</t>
  </si>
  <si>
    <t>N320082L022A</t>
  </si>
  <si>
    <t>PTP 820C SPLITTER KIT 32GHz</t>
  </si>
  <si>
    <t>N320082L026A</t>
  </si>
  <si>
    <t>PTP 820 RFU-C SPLITTER KIT 32GHz (UBR320)</t>
  </si>
  <si>
    <t>N320082L029A</t>
  </si>
  <si>
    <t>PTP 820 RFU-C 32GHz OMT Interface-Radiowave</t>
  </si>
  <si>
    <t>PTP 820/850 SFP+, 1310nm,SM, 10Gbit, Industrial Grade</t>
  </si>
  <si>
    <t>PTP 820 RFU-E 80GHz OMT Interface adaptor - CNT</t>
  </si>
  <si>
    <t>PMP : PMP Accessories : cnReach Accessories</t>
  </si>
  <si>
    <t>PMP : cnReach : N500 700 MHz</t>
  </si>
  <si>
    <t>PMP : cnReach : N500 900 MHz</t>
  </si>
  <si>
    <t>NB-N550001A-US</t>
  </si>
  <si>
    <t>N550 IO Expander</t>
  </si>
  <si>
    <t>NB-N550082A-US</t>
  </si>
  <si>
    <t xml:space="preserve">N550 Terminal Server Two Serial Port </t>
  </si>
  <si>
    <t>NB-N550210B-US</t>
  </si>
  <si>
    <t xml:space="preserve">N550 220 MHz Single </t>
  </si>
  <si>
    <t>PMP : cnReach : N500 220 MHz</t>
  </si>
  <si>
    <t>NB-N550211B-US</t>
  </si>
  <si>
    <t>N550 220 MHz Single with IO</t>
  </si>
  <si>
    <t>NB-N550221B-US</t>
  </si>
  <si>
    <t>N550 220 MHz Dual with IO</t>
  </si>
  <si>
    <t>NB-N550410A-US</t>
  </si>
  <si>
    <t xml:space="preserve">N550 450 MHz Single </t>
  </si>
  <si>
    <t>PMP : cnReach : N500 450 MHz</t>
  </si>
  <si>
    <t>NB-N550411A-US</t>
  </si>
  <si>
    <t xml:space="preserve">N550 450 MHz Single with IO </t>
  </si>
  <si>
    <t>NB-N550420A-US</t>
  </si>
  <si>
    <t>N550 450 MHz Dual</t>
  </si>
  <si>
    <t>NB-N550421A-US</t>
  </si>
  <si>
    <t>N550 450 MHz Dual with IO</t>
  </si>
  <si>
    <t>NB-N550430A-EU</t>
  </si>
  <si>
    <t>N550 450 MHz Single - ETSI RED</t>
  </si>
  <si>
    <t>NB-N550431A-EU</t>
  </si>
  <si>
    <t>N550 450 MHz Single with IO - ETSI RED</t>
  </si>
  <si>
    <t>NB-N550440A-EU</t>
  </si>
  <si>
    <t>N550 450 MHz Dual - ETSI RED</t>
  </si>
  <si>
    <t>NB-N550441A-EU</t>
  </si>
  <si>
    <t xml:space="preserve">N550 450 MHz Dual with IO - ETSI RED </t>
  </si>
  <si>
    <t>NB-N550710A-US</t>
  </si>
  <si>
    <t>N550 700 MHz Single</t>
  </si>
  <si>
    <t>NB-N550711A-US</t>
  </si>
  <si>
    <t>N550 700 MHz Single with IO</t>
  </si>
  <si>
    <t>NB-N550720A-US</t>
  </si>
  <si>
    <t>N550 700 MHz Dual</t>
  </si>
  <si>
    <t>NB-N550721A-US</t>
  </si>
  <si>
    <t>N550 700 MHz Dual with IO</t>
  </si>
  <si>
    <t>NB-N550910B-US</t>
  </si>
  <si>
    <t>N550 900 MHz Single</t>
  </si>
  <si>
    <t>NB-N550911B-US</t>
  </si>
  <si>
    <t>N550 900 MHz Single with IO</t>
  </si>
  <si>
    <t>NB-N550920B-US</t>
  </si>
  <si>
    <t>N550 900 MHz Dual</t>
  </si>
  <si>
    <t>NB-N550921B-US</t>
  </si>
  <si>
    <t>N550 900 MHz Dual with IO</t>
  </si>
  <si>
    <t>NB-N550930B-US</t>
  </si>
  <si>
    <t>N550 900 MHz Board Radio ISM Only</t>
  </si>
  <si>
    <t>NB-N550940B-US</t>
  </si>
  <si>
    <t xml:space="preserve">N550 900 MHz 1SER/1ETH ISM Only </t>
  </si>
  <si>
    <t>NB-N551410A-US</t>
  </si>
  <si>
    <t xml:space="preserve">N550 1.4 GHz Single </t>
  </si>
  <si>
    <t>PMP : cnReach : N500 1.4 GHz</t>
  </si>
  <si>
    <t>NB-N551411A-US</t>
  </si>
  <si>
    <t xml:space="preserve">N550 1.4 GHz Single with IO </t>
  </si>
  <si>
    <t>NB-N551420A-US</t>
  </si>
  <si>
    <t xml:space="preserve">N550 1.4 GHz Dual </t>
  </si>
  <si>
    <t>NB-N551421A-US</t>
  </si>
  <si>
    <t xml:space="preserve">N550 1.4 GHz Dual with IO </t>
  </si>
  <si>
    <t xml:space="preserve">100 Additional Building Locations (Latitude / Longitude) for a Site_x000D_
</t>
  </si>
  <si>
    <t>WIFI : Subscription FWBB : cnHeat</t>
  </si>
  <si>
    <t xml:space="preserve">Up to 300 Building Locations (Latitude / Longitude) for a Site_x000D_
</t>
  </si>
  <si>
    <t>PS-CADSP-US</t>
  </si>
  <si>
    <t>100 CASS Addresses, Provided to Service Provider</t>
  </si>
  <si>
    <t xml:space="preserve">Obtain DSM and DTM from LiDAR to support cnWave planning_x000D_
</t>
  </si>
  <si>
    <t>PS-MP1Y60-RW</t>
  </si>
  <si>
    <t>HiRes RF Coverage Map for 60 GHz, One Year Paid Up Front</t>
  </si>
  <si>
    <t>PS-MP3M1Y60-RW</t>
  </si>
  <si>
    <t>HiRes RF Coverage Map for 60 GHz, One Year Paid Every 3 Months</t>
  </si>
  <si>
    <t>PS-MP3M3Y60-RW</t>
  </si>
  <si>
    <t>HiRes RF Coverage Map for 60 GHz, Three Years Paid Every 3 Months</t>
  </si>
  <si>
    <t>PS-MP3Y60-RW</t>
  </si>
  <si>
    <t>HiRes RF Coverage Map for 60 GHz, Three Years Paid Up Front</t>
  </si>
  <si>
    <t>PS-MPRUN60-RW</t>
  </si>
  <si>
    <t>HiRes RF Coverage Map for 60 GHz, Run All Sites</t>
  </si>
  <si>
    <t>HiRes RF Coverage Map, Three Months</t>
  </si>
  <si>
    <t>Other : Services : Training</t>
  </si>
  <si>
    <t>QE-APL01-1</t>
  </si>
  <si>
    <t>QoE Subscription 1 Gbps 1 year Up-Front payment</t>
  </si>
  <si>
    <t>WIFI : Subscription FWBB : QoE</t>
  </si>
  <si>
    <t>QE-APL01-1Q</t>
  </si>
  <si>
    <t>QoE Subscription 1 Gbps 1 year Quarterly payments</t>
  </si>
  <si>
    <t>QE-APL01-3</t>
  </si>
  <si>
    <t>QoE Subscription 1 Gbps 3 years Up-Front payment</t>
  </si>
  <si>
    <t>QE-APL01-3Q</t>
  </si>
  <si>
    <t>QoE Subscription 1 Gbps 3 years Quarterly payments</t>
  </si>
  <si>
    <t>QE-APL01-5</t>
  </si>
  <si>
    <t>QoE Subscription 1 Gbps 5 year Up-Front payment</t>
  </si>
  <si>
    <t>QE-APL01-5Q</t>
  </si>
  <si>
    <t>QoE Subscription 5 Gbps 1 year Up-Front payment</t>
  </si>
  <si>
    <t>QE-APL05-1</t>
  </si>
  <si>
    <t>QE-APL05-1Q</t>
  </si>
  <si>
    <t>QoE Subscription 5 Gbps 1 year Quarterly payments</t>
  </si>
  <si>
    <t>QE-APL05-3</t>
  </si>
  <si>
    <t>QoE Subscription 5 Gbps 3 years Quarterly payments</t>
  </si>
  <si>
    <t>QE-APL05-3Q</t>
  </si>
  <si>
    <t>QE-APL05-5</t>
  </si>
  <si>
    <t>QoE Subscription 5 Gbps 5 year Up-Front payment</t>
  </si>
  <si>
    <t>QE-APL05-5Q</t>
  </si>
  <si>
    <t>QoE Subscription 5 Gbps 5 year Quarterly payments</t>
  </si>
  <si>
    <t>QE-APL10-1</t>
  </si>
  <si>
    <t>QoE Subscription 10 Gbps 1 year Up-Front payment</t>
  </si>
  <si>
    <t>QE-APL10-1Q</t>
  </si>
  <si>
    <t>QoE Subscription 10 Gbps 1 year Quarterly payments</t>
  </si>
  <si>
    <t>QE-APL10-3</t>
  </si>
  <si>
    <t>QoE Subscription 10 Gbps 3 years Up-Front payment</t>
  </si>
  <si>
    <t>QE-APL10-3Q</t>
  </si>
  <si>
    <t>QoE Subscription 10 Gbps 3 years Quarterly payments</t>
  </si>
  <si>
    <t>QE-APL10-5</t>
  </si>
  <si>
    <t>QoE Subscription 10 Gbps 5 year Up-Front payment</t>
  </si>
  <si>
    <t>QE-APL10-5Q</t>
  </si>
  <si>
    <t>QoE Subscription 10 Gbps 5 year Quarterly payments</t>
  </si>
  <si>
    <t>QE-APL20-1</t>
  </si>
  <si>
    <t>QoE Subscription 20 Gbps 1 year Up-Front payment</t>
  </si>
  <si>
    <t>QE-APL20-1Q</t>
  </si>
  <si>
    <t>QoE Subscription 20 Gbps 1 year Quarterly payments</t>
  </si>
  <si>
    <t>QE-APL20-3</t>
  </si>
  <si>
    <t>QoE Subscription 20 Gbps 3 years Up-Front payment</t>
  </si>
  <si>
    <t>QE-APL20-3Q</t>
  </si>
  <si>
    <t>QoE Subscription 20 Gbps 3 years Quarterly payments</t>
  </si>
  <si>
    <t>QE-APL20-5</t>
  </si>
  <si>
    <t>QoE Subscription 20 Gbps 5 year Up-Front payment</t>
  </si>
  <si>
    <t>QE-APL20-5Q</t>
  </si>
  <si>
    <t>QoE Subscription 20 Gbps 5 year Quarterly payments</t>
  </si>
  <si>
    <t>SMSW20100-FAA</t>
  </si>
  <si>
    <t>ADVANTAGE SM SOFTWARE UPGRADE - FIXED LICENSE</t>
  </si>
  <si>
    <t>WB2402A</t>
  </si>
  <si>
    <t>PTP 300/500/600 Series AES Licence Key 128bit - End only</t>
  </si>
  <si>
    <t>WB2405B</t>
  </si>
  <si>
    <t>PTP 54/58 600 Series Lite to Full Upgrade Key - End only (5 GHz only)</t>
  </si>
  <si>
    <t>WB2477</t>
  </si>
  <si>
    <t>PTP 400/500/600 Antenna Conversion</t>
  </si>
  <si>
    <t>WB2511A</t>
  </si>
  <si>
    <t>PTP 300/500/600 Series AES Licence Key 256bit - Link</t>
  </si>
  <si>
    <t>WB2519A</t>
  </si>
  <si>
    <t>PTP 300/500/600 Series AES Licence Key 128bit - Link</t>
  </si>
  <si>
    <t>WB2607A</t>
  </si>
  <si>
    <t>PTP 300/500/600 Series AES Licence Key 256bit - End only</t>
  </si>
  <si>
    <t>WB2786</t>
  </si>
  <si>
    <t>PTP 25/59/54OOBM/58OOBM 600 Software Key 5 --&gt; 10 MHz Link</t>
  </si>
  <si>
    <t>WB2787</t>
  </si>
  <si>
    <t>PTP 25/59/54OOBM/58OOBM 600 Software Key 5 --&gt; 15 MHz Link</t>
  </si>
  <si>
    <t>WB2789</t>
  </si>
  <si>
    <t>PTP 25/59/54OOBM/58OOBM 600 Software Key X --&gt; 30 MHz Link</t>
  </si>
  <si>
    <t>WB2790</t>
  </si>
  <si>
    <t>PTP 25/59/54OOBM/58OOBM 600 Software Key 5 --&gt; 10 MHz End only</t>
  </si>
  <si>
    <t>WB2793</t>
  </si>
  <si>
    <t>PTP 25/59/54OOBM/58OOBM 600 Software Key X --&gt; 30 MHz End only</t>
  </si>
  <si>
    <t>WB3127</t>
  </si>
  <si>
    <t>PTP 300/500 Series 52 Mbps to 105 Mbps Upgrade Key - Link</t>
  </si>
  <si>
    <t>WB3128</t>
  </si>
  <si>
    <t>PTP 300/500 Series 52 Mbps to 105 Mbps Upgrade Key - End only</t>
  </si>
  <si>
    <t>WB3262</t>
  </si>
  <si>
    <t>PTP 49600 Software Key 5 --&gt; 10 MHz Link</t>
  </si>
  <si>
    <t>WB3263</t>
  </si>
  <si>
    <t>PTP 49600 Software Key X --&gt; 20 MHz Link</t>
  </si>
  <si>
    <t>WB3267</t>
  </si>
  <si>
    <t>PTP 49600 Software Key 5 --&gt; 10 MHz End only</t>
  </si>
  <si>
    <t>WB3268</t>
  </si>
  <si>
    <t>PTP 49600 Software Key X --&gt; 20 MHz End only</t>
  </si>
  <si>
    <t>WB3544</t>
  </si>
  <si>
    <t>PTP800/PTP810 Modem Capacity CAP - 200 Mbps (per Unit)</t>
  </si>
  <si>
    <t>PTP : Licensed Microwave : PTP 800</t>
  </si>
  <si>
    <t>WB3546</t>
  </si>
  <si>
    <t>PTP800/PTP810 Modem Capacity CAP - 400 Mbps (per Unit)</t>
  </si>
  <si>
    <t>WB3551</t>
  </si>
  <si>
    <t>PTP800/PTP810 Modem Capacity CAP upgrade from 100 -&gt; 150 Mbps key (per Unit)</t>
  </si>
  <si>
    <t>WB3552</t>
  </si>
  <si>
    <t>PTP800/PTP810 Modem Capacity CAP upgrade from 150 -&gt; 200 Mbps key (per Unit)</t>
  </si>
  <si>
    <t>WB3584</t>
  </si>
  <si>
    <t>PTP 300/500 Series 25 Mbps to 52 Mbps Upgrade Key - Link</t>
  </si>
  <si>
    <t>WB3880</t>
  </si>
  <si>
    <t>PTP 300/500 Series 25 Mbps to 52 Mbps Upgrade Key - End only</t>
  </si>
  <si>
    <t>WB3881</t>
  </si>
  <si>
    <t>PTP 300/500 Series 25 Mbps to 105 Mbps Upgrade Key - End only</t>
  </si>
  <si>
    <t>DIRECT DISTRIBUTOR MDP PRICING MODEL - USA Tariffed</t>
  </si>
  <si>
    <t>Master Distributor</t>
  </si>
  <si>
    <t>VAR</t>
  </si>
  <si>
    <t>End User/Open Reseller</t>
  </si>
  <si>
    <t>Sales Model #</t>
  </si>
  <si>
    <t>Category</t>
  </si>
  <si>
    <t>Region</t>
  </si>
  <si>
    <t>Discount Category</t>
  </si>
  <si>
    <t>MSRP  ($USD)</t>
  </si>
  <si>
    <t>MSRP with Tariff ($USD)</t>
  </si>
  <si>
    <t>Changed from previous price list</t>
  </si>
  <si>
    <t>Master Distributor Discount</t>
  </si>
  <si>
    <t>Master Distributor Buy 
Price (USD)</t>
  </si>
  <si>
    <t>VAR MDP Discount</t>
  </si>
  <si>
    <t>MDP to VAR (USD)</t>
  </si>
  <si>
    <t xml:space="preserve">End User Discount MDP </t>
  </si>
  <si>
    <t>MDP to End User (USD)</t>
  </si>
  <si>
    <t>Order Multiple</t>
  </si>
  <si>
    <t>Absolute MOQ</t>
  </si>
  <si>
    <t>Line Item MOQ for Full Discount / no fee</t>
  </si>
  <si>
    <t>C050900D025A</t>
  </si>
  <si>
    <t> ePMP Dual Horn MU-MIMO Antenna, 5 GHz, 60 degree</t>
  </si>
  <si>
    <t>All</t>
  </si>
  <si>
    <t xml:space="preserve"> </t>
  </si>
  <si>
    <t>C050910A001A</t>
  </si>
  <si>
    <t>ePMP 3000 5 GHz Access Point Radio (ROW) (no cord)</t>
  </si>
  <si>
    <t>Radio</t>
  </si>
  <si>
    <t>APAC, CALA, MEA, non EU member states</t>
  </si>
  <si>
    <t>AP45</t>
  </si>
  <si>
    <t>C050910A101A</t>
  </si>
  <si>
    <t>ePMP 3000 5 GHz Access Point Radio (ROW) (US cord)</t>
  </si>
  <si>
    <t>C050910A104A</t>
  </si>
  <si>
    <t>ePMP 3000 5 GHz Access Point Radio (IC) (Canada/US cord)</t>
  </si>
  <si>
    <t>NA</t>
  </si>
  <si>
    <t>C050910A201A</t>
  </si>
  <si>
    <t>ePMP 3000 5 GHz Access Point Radio (ROW) (EU cord)</t>
  </si>
  <si>
    <t>C050910A203A</t>
  </si>
  <si>
    <t>ePMP 3000 5 GHz Access Point Radio (EU) (EU cord)</t>
  </si>
  <si>
    <t>EMEA Member States</t>
  </si>
  <si>
    <t>C050910A301A</t>
  </si>
  <si>
    <t>ePMP 3000 5 GHz Access Point Radio (ROW) (UK cord)</t>
  </si>
  <si>
    <t>C050910A303A</t>
  </si>
  <si>
    <t>ePMP 3000 5 GHz Access Point Radio (EU) (UK cord)</t>
  </si>
  <si>
    <t>C050910A401A</t>
  </si>
  <si>
    <t>ePMP 3000 5 GHz Access Point Radio (ROW) (India cord)</t>
  </si>
  <si>
    <t>C050910A402A</t>
  </si>
  <si>
    <t>ePMP 3000 5 GHz Access Point Radio (India) (India Cord)</t>
  </si>
  <si>
    <t>C050910A501A</t>
  </si>
  <si>
    <t>ePMP 3000 5 GHz Access Point Radio (ROW) (China cord)</t>
  </si>
  <si>
    <t>C050910A601A</t>
  </si>
  <si>
    <t>ePMP 3000 5 GHz Access Point Radio (ROW) (Brazil cord)</t>
  </si>
  <si>
    <t>CALA</t>
  </si>
  <si>
    <t>C050910A701A</t>
  </si>
  <si>
    <t>ePMP 3000 5 GHz Access Point Radio (ROW) (Argentina cord)</t>
  </si>
  <si>
    <t>C050910A801A</t>
  </si>
  <si>
    <t>ePMP 3000 5 GHz Access Point Radio (ROW) (ANZ cord)</t>
  </si>
  <si>
    <t>APAC</t>
  </si>
  <si>
    <t>C050910A901A</t>
  </si>
  <si>
    <t>ePMP 3000 5 GHz Access Point Radio (ROW) (South Africa cord)</t>
  </si>
  <si>
    <t>C050910AZ01A</t>
  </si>
  <si>
    <t>ePMP 3000 5 GHz Access Point Radio (ROW) (No PSU)</t>
  </si>
  <si>
    <t>C050910D301A</t>
  </si>
  <si>
    <t>ePMP 4x4 MU-MIMO Sector Antenna (for ePMP3000AP)</t>
  </si>
  <si>
    <t>C058910A102A</t>
  </si>
  <si>
    <t>ePMP 3000 5 GHz Access Point Radio (FCC) (US cord)</t>
  </si>
  <si>
    <t>C050910A021A</t>
  </si>
  <si>
    <t>ePMP 3000L 5 GHz Access Point Radio (ROW) (no cord)</t>
  </si>
  <si>
    <t>C050910A121A</t>
  </si>
  <si>
    <t>ePMP 3000L 5 GHz Access Point Radio (ROW) (US cord)</t>
  </si>
  <si>
    <t>C050910A124A</t>
  </si>
  <si>
    <t>ePMP 3000L 5 GHz Access Point Radio (IC) (Canada/US cord)</t>
  </si>
  <si>
    <t>C050910A221A</t>
  </si>
  <si>
    <t>ePMP 3000L 5 GHz Access Point Radio (ROW) (EU cord)</t>
  </si>
  <si>
    <t>C050910A223A</t>
  </si>
  <si>
    <t>ePMP 3000L 5 GHz Access Point Radio (EU) (EU cord)</t>
  </si>
  <si>
    <t>EU member states</t>
  </si>
  <si>
    <t>C050910A321A</t>
  </si>
  <si>
    <t>ePMP 3000L 5 GHz Access Point Radio (ROW) (UK cord)</t>
  </si>
  <si>
    <t>C050910A323A</t>
  </si>
  <si>
    <t>ePMP 3000L 5 GHz Access Point Radio (EU) (UK cord)</t>
  </si>
  <si>
    <t>C050910A421A</t>
  </si>
  <si>
    <t>ePMP 3000L 5 GHz Access Point Radio (ROW) (India cord)</t>
  </si>
  <si>
    <t>C050910A422A</t>
  </si>
  <si>
    <t>ePMP 3000L 5 GHz Access Point Radio (India) (India Cord)</t>
  </si>
  <si>
    <t>C050910A521A</t>
  </si>
  <si>
    <t>ePMP 3000L 5 GHz Access Point Radio (ROW) (China cord)</t>
  </si>
  <si>
    <t>C050910A621A</t>
  </si>
  <si>
    <t>ePMP 3000L 5 GHz Access Point Radio (ROW) (Brazil cord)</t>
  </si>
  <si>
    <t>C050910A721A</t>
  </si>
  <si>
    <t>ePMP 3000L 5 GHz Access Point Radio (ROW) (Argentina cord)</t>
  </si>
  <si>
    <t>C050910A821A</t>
  </si>
  <si>
    <t>ePMP 3000L 5 GHz Access Point Radio (ROW) (ANZ cord)</t>
  </si>
  <si>
    <t>C050910A921A</t>
  </si>
  <si>
    <t>ePMP 3000L 5 GHz Access Point Radio (ROW) (South Africa cord)</t>
  </si>
  <si>
    <t>C050910AZ21A</t>
  </si>
  <si>
    <t>ePMP 3000L 5 GHz Access Point Radio (ROW) (No PSU)</t>
  </si>
  <si>
    <t>C058910A122A</t>
  </si>
  <si>
    <t>ePMP 3000L 5 GHz Access Point Radio (FCC) (US cord)</t>
  </si>
  <si>
    <t>C050910A031A</t>
  </si>
  <si>
    <t>ePMP 5 GHz MP 3000 MicroPOP Radio (ROW) (no cord)</t>
  </si>
  <si>
    <t>Radio+Ant</t>
  </si>
  <si>
    <t>ePMP MicroPOP</t>
  </si>
  <si>
    <t>C050910A131A</t>
  </si>
  <si>
    <t>ePMP 5 GHz MP 3000 MicroPOP Radio (ROW) (US cord)</t>
  </si>
  <si>
    <t>C050910A231A</t>
  </si>
  <si>
    <t>ePMP 5 GHz MP 3000 MicroPOP Radio (ROW) (EU cord)</t>
  </si>
  <si>
    <t>C050910A233A</t>
  </si>
  <si>
    <t>ePMP 5 GHz MP 3000 MicroPOP Radio (EU) (EU cord)</t>
  </si>
  <si>
    <t>C050910A331A</t>
  </si>
  <si>
    <t>ePMP 5 GHz MP 3000 MicroPOP Radio (ROW) (UK cord)</t>
  </si>
  <si>
    <t>C050910A333A</t>
  </si>
  <si>
    <t>ePMP 5 GHz MP 3000 MicroPOP Radio (EU) (UK cord)</t>
  </si>
  <si>
    <t>C050910A431A</t>
  </si>
  <si>
    <t>ePMP 5 GHz MP 3000 MicroPOP Radio (ROW) (India cord)</t>
  </si>
  <si>
    <t>C050910A432A</t>
  </si>
  <si>
    <t>ePMP 5 GHz MP 3000 MicroPOP Radio (India) (India Cord)</t>
  </si>
  <si>
    <t>C050910A531A</t>
  </si>
  <si>
    <t>ePMP 5 GHz MP 3000 MicroPOP Radio (ROW) (China cord)</t>
  </si>
  <si>
    <t>C050910A631A</t>
  </si>
  <si>
    <t>ePMP 5 GHz MP 3000 MicroPOP Radio (ROW) (Brazil cord)</t>
  </si>
  <si>
    <t>C050910A731A</t>
  </si>
  <si>
    <t>ePMP 5 GHz MP 3000 MicroPOP Radio (ROW) (Argentina cord)</t>
  </si>
  <si>
    <t>C050910A831A</t>
  </si>
  <si>
    <t>ePMP 5 GHz MP 3000 MicroPOP Radio (ROW) (ANZ cord)</t>
  </si>
  <si>
    <t>C050910A931A</t>
  </si>
  <si>
    <t>ePMP 5 GHz MP 3000 MicroPOP Radio (ROW) (South Africa cord)</t>
  </si>
  <si>
    <t>C050910AZ31A</t>
  </si>
  <si>
    <t>ePMP 5 GHz MP 3000 MicroPOP Radio (ROW) (No PSU)</t>
  </si>
  <si>
    <t>C058910A132A</t>
  </si>
  <si>
    <t>ePMP 5 GHz MP 3000 MicroPOP Radio (FCC) (US cord)</t>
  </si>
  <si>
    <t>C058910A134A</t>
  </si>
  <si>
    <t>ePMP 5 GHz MP 3000 MicroPOP Radio (IC) (Canada/US cord)</t>
  </si>
  <si>
    <t>C050900A031A</t>
  </si>
  <si>
    <t>ePMP 2000: 5 GHz AP with Intelligent Filtering and Sync (ROW) (no cord)</t>
  </si>
  <si>
    <t>C050900A033A</t>
  </si>
  <si>
    <t>ePMP 2000: 5 GHz AP with Intelligent Filtering and Sync (EU)</t>
  </si>
  <si>
    <t>C050900A131A</t>
  </si>
  <si>
    <t>ePMP 2000: 5 GHz AP with Intelligent Filtering and Sync (ROW) (US cord)</t>
  </si>
  <si>
    <t>C050900A132A</t>
  </si>
  <si>
    <t>ePMP 2000: 5 GHz AP with Intelligent Filtering and Sync (IC)</t>
  </si>
  <si>
    <t>C050900A231A</t>
  </si>
  <si>
    <t>ePMP 2000: 5 GHz AP with Intelligent Filtering and Sync (ROW) (EU cord)</t>
  </si>
  <si>
    <t>C050900A331A</t>
  </si>
  <si>
    <t>ePMP 2000: 5 GHz AP with Intelligent Filtering and Sync (ROW) (UK cord)</t>
  </si>
  <si>
    <t>C050900A333A</t>
  </si>
  <si>
    <t>ePMP 2000: 5 GHz AP with Intelligent Filtering and Sync (EU) (UK cord)</t>
  </si>
  <si>
    <t>C050900A431A</t>
  </si>
  <si>
    <t>ePMP 2000: 5 GHz AP with Intelligent Filtering and Sync (ROW) (India cord)</t>
  </si>
  <si>
    <t>C050900A432A</t>
  </si>
  <si>
    <t>ePMP 2000: 5 GHz AP with Intelligent Filtering and Sync (India) (India cord)</t>
  </si>
  <si>
    <t>C050900A531A</t>
  </si>
  <si>
    <t>ePMP 2000: 5 GHz AP with Intelligent Filtering and Sync (ROW) (China cord)</t>
  </si>
  <si>
    <t>C050900A631A</t>
  </si>
  <si>
    <t>ePMP 2000: 5 GHz AP with Intelligent Filtering and Sync (ROW) (Brazil cord)</t>
  </si>
  <si>
    <t>C050900A731A</t>
  </si>
  <si>
    <t>ePMP 2000: 5 GHz AP with Intelligent Filtering and Sync (ROW) (Argentina cord)</t>
  </si>
  <si>
    <t>C050900A831A</t>
  </si>
  <si>
    <t>ePMP 2000: 5 GHz AP with Intelligent Filtering and Sync (ROW) (ANZ cord)</t>
  </si>
  <si>
    <t>C050900L031A</t>
  </si>
  <si>
    <t>ePMP 2000: 5 GHz AP Lite with Intelligent Filtering and Sync (ROW) (no cord)</t>
  </si>
  <si>
    <t>APLITE</t>
  </si>
  <si>
    <t>C050900L033A</t>
  </si>
  <si>
    <t>ePMP 2000: 5 GHz AP Lite with Intelligent Filtering and Sync (EU)</t>
  </si>
  <si>
    <t>C050900L131A</t>
  </si>
  <si>
    <t>ePMP 2000: 5 GHz AP Lite with Intelligent Filtering and Sync (ROW) (US cord)</t>
  </si>
  <si>
    <t>C050900L132A</t>
  </si>
  <si>
    <t>ePMP 2000: 5 GHz AP Lite with Intelligent Filtering and Sync (IC)</t>
  </si>
  <si>
    <t>C050900L231A</t>
  </si>
  <si>
    <t>ePMP 2000: 5 GHz AP Lite with Intelligent Filtering and Sync (ROW) (EU cord)</t>
  </si>
  <si>
    <t>C050900L331A</t>
  </si>
  <si>
    <t>ePMP 2000: 5 GHz AP Lite with Intelligent Filtering and Sync (ROW) (UK cord)</t>
  </si>
  <si>
    <t>C050900L333A</t>
  </si>
  <si>
    <t>ePMP 2000: 5 GHz AP Lite with Intelligent Filtering and Sync (EU) (UK cord)</t>
  </si>
  <si>
    <t>C050900L431A</t>
  </si>
  <si>
    <t>ePMP 2000: 5 GHz AP Lite with Intelligent Filtering and Sync (ROW) (India cord)</t>
  </si>
  <si>
    <t>C050900L432A</t>
  </si>
  <si>
    <t>ePMP 2000: 5 GHz AP Lite with Intelligent Filtering and Sync (India) (India cord)</t>
  </si>
  <si>
    <t>C050900L531A</t>
  </si>
  <si>
    <t>ePMP 2000: 5 GHz AP Lite with Intelligent Filtering and Sync (ROW) (China cord)</t>
  </si>
  <si>
    <t>C050900L631A</t>
  </si>
  <si>
    <t>ePMP 2000: 5 GHz AP Lite with Intelligent Filtering and Sync (ROW) (Brazil cord)</t>
  </si>
  <si>
    <t>C050900L731A</t>
  </si>
  <si>
    <t>ePMP 2000: 5 GHz AP Lite with Intelligent Filtering and Sync (ROW)(Argentina cord)</t>
  </si>
  <si>
    <t>C050900L831A</t>
  </si>
  <si>
    <t>ePMP 2000: 5 GHz AP Lite with Intelligent Filtering and Sync (ROW) (ANZ cord)</t>
  </si>
  <si>
    <t>C050900S2KLA</t>
  </si>
  <si>
    <t>ePMP2000 AP Lite License Key - Upgrade Lite (10 SM) to Full (120 SM)</t>
  </si>
  <si>
    <t>License Key</t>
  </si>
  <si>
    <t>KEY</t>
  </si>
  <si>
    <t>C058900A132A</t>
  </si>
  <si>
    <t>ePMP 2000: 5 GHz AP with Intelligent Filtering and Sync (FCC)</t>
  </si>
  <si>
    <t>C058900L132A</t>
  </si>
  <si>
    <t>ePMP 2000: 5 GHz AP Lite with Intelligent Filtering and Sync (FCC)</t>
  </si>
  <si>
    <t>C024900A011A</t>
  </si>
  <si>
    <t>ePMP 1000: 2.4 GHz Connectorized Radio with Sync (US cord)</t>
  </si>
  <si>
    <t>C024900A014A</t>
  </si>
  <si>
    <t>ePMP 1000: 2.4 GHz Connectorized Radio with Sync (Israel Cord)</t>
  </si>
  <si>
    <t>C024900A021A</t>
  </si>
  <si>
    <t>ePMP 1000: 2.4 GHz Connectorized Radio (US cord)</t>
  </si>
  <si>
    <t>C024900A024A</t>
  </si>
  <si>
    <t>ePMP 1000: 2.4 GHz Connectorized Radio (Israel Cord)</t>
  </si>
  <si>
    <t>C024900A211A</t>
  </si>
  <si>
    <t>ePMP 1000: 2.4 GHz Connectorized Radio with Sync (EU Cord)</t>
  </si>
  <si>
    <t>C024900A221A</t>
  </si>
  <si>
    <t>ePMP 1000: 2.4 GHz Connectorized Radio (EU Cord)</t>
  </si>
  <si>
    <t>C024900A711A</t>
  </si>
  <si>
    <t>ePMP 1000: 2.4 GHz Connectorized Radio with Sync (Argentina cord)</t>
  </si>
  <si>
    <t>C024900A721A</t>
  </si>
  <si>
    <t>ePMP 1000: 2.4 GHz Connectorized Radio (Argentina cord)</t>
  </si>
  <si>
    <t>C024900C031A</t>
  </si>
  <si>
    <t>ePMP 1000: 2.4 GHz Integrated Radio (US cord)</t>
  </si>
  <si>
    <t>C024900C034A</t>
  </si>
  <si>
    <t>ePMP 1000: 2.4 GHz Integrated Radio (Israel cord)</t>
  </si>
  <si>
    <t>C024900C231A</t>
  </si>
  <si>
    <t>ePMP 1000: 2.4 GHz Integrated Radio (EU Cord)</t>
  </si>
  <si>
    <t>C024900C731A</t>
  </si>
  <si>
    <t>ePMP 1000: 2.4 GHz Integrated Radio (Argentina cord)</t>
  </si>
  <si>
    <t>C050900S200A</t>
  </si>
  <si>
    <t>GPS Sync AP License Key - Upgrade Lite (10 SM) to Full (120 SM)</t>
  </si>
  <si>
    <t>C060900A211A</t>
  </si>
  <si>
    <t>ePMP 1000: 6.4 GHz Connectorized Radio with Sync (ROW) (with EU power cord)</t>
  </si>
  <si>
    <t>C050940F001A</t>
  </si>
  <si>
    <t xml:space="preserve">ePMP 5 GHz Force 425 Spare Radio Only (ROW) </t>
  </si>
  <si>
    <t>Force 425</t>
  </si>
  <si>
    <t>C050940F203A</t>
  </si>
  <si>
    <t>ePMP 5 GHz Force 425 Spare Radio Only (EU)</t>
  </si>
  <si>
    <t>C050940F402A</t>
  </si>
  <si>
    <t>ePMP 5 GHz Force 425 Spare Radio Only (India)</t>
  </si>
  <si>
    <t>C050940M001A</t>
  </si>
  <si>
    <t xml:space="preserve">ePMP 5 GHz Force 425 SM 2-pack packaging priced per radio (ROW) (no cord) </t>
  </si>
  <si>
    <t>C050940M100A</t>
  </si>
  <si>
    <t>ePMP 5 GHz Force 425 Spare Dish 2-Pack Packaging priced per dish</t>
  </si>
  <si>
    <t>C050940M101A</t>
  </si>
  <si>
    <t>ePMP 5 GHz Force 425 SM 2-pack packaging priced per radio (ROW) (US cord)</t>
  </si>
  <si>
    <t>C050940M201A</t>
  </si>
  <si>
    <t>ePMP 5 GHz Force 425 SM 2-pack packaging priced per radio (ROW) (EU cord)</t>
  </si>
  <si>
    <t>C050940M203A</t>
  </si>
  <si>
    <t>ePMP 5 GHz Force 425 SM 2-pack packaging priced per radio (EU) (EU cord)</t>
  </si>
  <si>
    <t>C050940M301A</t>
  </si>
  <si>
    <t>ePMP 5 GHz Force 425 SM 2-pack packaging priced per radio (ROW) (UK cord)</t>
  </si>
  <si>
    <t>C050940M303A</t>
  </si>
  <si>
    <t>ePMP 5 GHz Force 425 SM 2-pack packaging priced per radio (EU) (UK cord)</t>
  </si>
  <si>
    <t>C050940M401A</t>
  </si>
  <si>
    <t>ePMP 5 GHz Force 425 SM 2-pack packaging priced per radio (ROW) (India cord)</t>
  </si>
  <si>
    <t>C050940M402A</t>
  </si>
  <si>
    <t>ePMP 5 GHz Force 425 SM 2-pack packaging priced per radio (India) (India Cord)</t>
  </si>
  <si>
    <t>C050940M501A</t>
  </si>
  <si>
    <t>ePMP 5 GHz Force 425 SM 2-pack packaging priced per radio (ROW) (China cord)</t>
  </si>
  <si>
    <t>C050940M601A</t>
  </si>
  <si>
    <t>ePMP 5 GHz Force 425 SM 2-pack packaging priced per radio (ROW) (Brazil cord)</t>
  </si>
  <si>
    <t>C050940M701A</t>
  </si>
  <si>
    <t>ePMP 5 GHz Force 425 SM 2-pack packaging priced per radio (ROW) (Argentina cord)</t>
  </si>
  <si>
    <t>C050940M801A</t>
  </si>
  <si>
    <t>ePMP 5 GHz Force 425 SM 2-pack packaging priced per radio (ROW) (ANZ cord)</t>
  </si>
  <si>
    <t>C050940M901A</t>
  </si>
  <si>
    <t>ePMP 5 GHz Force 425 SM 2-pack packaging priced per radio (ROW) (South Africa cord)</t>
  </si>
  <si>
    <t>C050940MZ01A</t>
  </si>
  <si>
    <t>ePMP 5 GHz Force 425 SM 2-pack packaging priced per radio (ROW) (No PSU)</t>
  </si>
  <si>
    <t>C058940F102A</t>
  </si>
  <si>
    <t>ePMP 5 GHz Force 425 Spare Radio Only (FCC)</t>
  </si>
  <si>
    <t>C058940F104A</t>
  </si>
  <si>
    <t>ePMP 5 GHz Force 425 Spare Radio Only (IC)</t>
  </si>
  <si>
    <t>C058940M102A</t>
  </si>
  <si>
    <t>ePMP 5 GHz Force 425 SM 2-pack packaging priced per radio (FCC) (US Cord)</t>
  </si>
  <si>
    <t>C058940M104A</t>
  </si>
  <si>
    <t>ePMP 5 GHz Force 425 SM 2-pack packaging priced per radio (IC) (Canada/US cord)</t>
  </si>
  <si>
    <t>N000900L062A</t>
  </si>
  <si>
    <t>ePMP Force 425 Range Extender 4-Pack Packaging priced per extender</t>
  </si>
  <si>
    <t>C050940C021A</t>
  </si>
  <si>
    <t xml:space="preserve">ePMP 5 GHz Force 400C SM Radio (ROW) (no cord) </t>
  </si>
  <si>
    <t>Force 400</t>
  </si>
  <si>
    <t>C050940C121A</t>
  </si>
  <si>
    <t>ePMP 5 GHz Force 400C (ROW) (US cord)</t>
  </si>
  <si>
    <t>C050940C221A</t>
  </si>
  <si>
    <t>ePMP 5 GHz Force 400C (ROW) (EU cord)</t>
  </si>
  <si>
    <t>C050940C223A</t>
  </si>
  <si>
    <t>ePMP 5 GHz Force 400C (EU) (EU cord)</t>
  </si>
  <si>
    <t>C050940C321A</t>
  </si>
  <si>
    <t>ePMP 5 GHz Force 400C (ROW) (UK cord)</t>
  </si>
  <si>
    <t>C050940C323A</t>
  </si>
  <si>
    <t>ePMP 5 GHz Force 400C (EU) (UK cord)</t>
  </si>
  <si>
    <t>C050940C421A</t>
  </si>
  <si>
    <t>ePMP 5 GHz Force 400C (ROW) (India cord)</t>
  </si>
  <si>
    <t>C050940C422A</t>
  </si>
  <si>
    <t>ePMP 5 GHz Force 400C (India) (India Cord)</t>
  </si>
  <si>
    <t>C050940C521A</t>
  </si>
  <si>
    <t>ePMP 5 GHz Force 400C (ROW) (China cord)</t>
  </si>
  <si>
    <t>C050940C621A</t>
  </si>
  <si>
    <t>ePMP 5 GHz Force 400C (ROW) (Brazil cord)</t>
  </si>
  <si>
    <t>C050940C721A</t>
  </si>
  <si>
    <t>ePMP 5 GHz Force 400C (ROW) (Argentina cord)</t>
  </si>
  <si>
    <t>C050940C821A</t>
  </si>
  <si>
    <t>ePMP 5 GHz Force 400C (ROW) (ANZ cord)</t>
  </si>
  <si>
    <t>C050940C921A</t>
  </si>
  <si>
    <t>ePMP 5 GHz Force 400C (ROW) (South Africa cord)</t>
  </si>
  <si>
    <t>C050940CZ21A</t>
  </si>
  <si>
    <t>ePMP 5 GHz Force 400C (ROW) (No PSU)</t>
  </si>
  <si>
    <t>C058940C122A</t>
  </si>
  <si>
    <t>ePMP 5 GHz Force 400C (FCC) (US Cord)</t>
  </si>
  <si>
    <t>C058940C124A</t>
  </si>
  <si>
    <t>ePMP 5 GHz Force 400C (IC) (Canada/US cord)</t>
  </si>
  <si>
    <t>N000900L061A</t>
  </si>
  <si>
    <t>ePMP Force 400 Series Spares Kit</t>
  </si>
  <si>
    <t>C050910C001A</t>
  </si>
  <si>
    <t>ePMP 5 GHz Force 300-25 High Gain Radio (ROW) (no cord)</t>
  </si>
  <si>
    <t>Force 300-25</t>
  </si>
  <si>
    <t>C050910C101A</t>
  </si>
  <si>
    <t>ePMP 5 GHz Force 300-25 High Gain Radio (ROW) (US cord)</t>
  </si>
  <si>
    <t>C050910C104A</t>
  </si>
  <si>
    <t>ePMP 5 GHz Force 300-25 High Gain Radio (IC) (Canada/US cord)</t>
  </si>
  <si>
    <t>C050910C201A</t>
  </si>
  <si>
    <t>ePMP 5 GHz Force 300-25 High Gain Radio (ROW) (EU cord)</t>
  </si>
  <si>
    <t>C050910C203A</t>
  </si>
  <si>
    <t>ePMP 5 GHz Force 300-25 High Gain Radio (EU) (EU cord)</t>
  </si>
  <si>
    <t>C050910C301A</t>
  </si>
  <si>
    <t>ePMP 5 GHz Force 300-25 High Gain Radio (ROW) (UK cord)</t>
  </si>
  <si>
    <t>C050910C303A</t>
  </si>
  <si>
    <t>ePMP 5 GHz Force 300-25 High Gain Radio (EU) (UK cord)</t>
  </si>
  <si>
    <t>C050910C401A</t>
  </si>
  <si>
    <t>ePMP 5 GHz Force 300-25 High Gain Radio (ROW) (India cord)</t>
  </si>
  <si>
    <t>C050910C501A</t>
  </si>
  <si>
    <t>ePMP 5 GHz Force 300-25 High Gain Radio (ROW) (China cord)</t>
  </si>
  <si>
    <t>C050910C601A</t>
  </si>
  <si>
    <t>ePMP 5 GHz Force 300-25 High Gain Radio (ROW) (Brazil cord)</t>
  </si>
  <si>
    <t>C050910C701A</t>
  </si>
  <si>
    <t>ePMP 5 GHz Force 300-25 High Gain Radio (ROW) (Argentina cord)</t>
  </si>
  <si>
    <t>C050910C801A</t>
  </si>
  <si>
    <t>ePMP 5 GHz Force 300-25 High Gain Radio (ROW) (ANZ cord)</t>
  </si>
  <si>
    <t>C050910C901A</t>
  </si>
  <si>
    <t>ePMP 5 GHz Force 300-25 High Gain Radio (ROW) (South Africa cord)</t>
  </si>
  <si>
    <t>C050910CZ01A</t>
  </si>
  <si>
    <t>ePMP 5 GHz Force 300-25 High Gain Radio (ROW) (No PSU)</t>
  </si>
  <si>
    <t>C050910M001A</t>
  </si>
  <si>
    <t>ePMP 5 GHz Force 300-25 High Gain Radio 4-Pack packaging, priced per radio (ROW) (no cord)</t>
  </si>
  <si>
    <t>C050910M101A</t>
  </si>
  <si>
    <t>ePMP 5 GHz Force 300-25 High Gain Radio 4-Pack packaging, priced per radio (ROW) (US cord)</t>
  </si>
  <si>
    <t>C050910M104A</t>
  </si>
  <si>
    <t>ePMP 5 GHz Force 300-25 High Gain Radio 4-Pack packaging, priced per radio (IC) (Canada/US cord)</t>
  </si>
  <si>
    <t>C050910M201A</t>
  </si>
  <si>
    <t>ePMP 5 GHz Force 300-25 High Gain Radio 4-Pack packaging, priced per radio (ROW) (EU cord)</t>
  </si>
  <si>
    <t>C050910M203A</t>
  </si>
  <si>
    <t>ePMP 5 GHz Force 300-25 High Gain Radio 4-Pack packaging, priced per radio (EU) (EU cord)</t>
  </si>
  <si>
    <t>C050910M301A</t>
  </si>
  <si>
    <t>ePMP 5 GHz Force 300-25 High Gain Radio 4-Pack packaging, priced per radio (ROW) (UK cord)</t>
  </si>
  <si>
    <t>C050910M303A</t>
  </si>
  <si>
    <t>ePMP 5 GHz Force 300-25 High Gain Radio 4-Pack packaging, priced per radio (EU) (UK cord)</t>
  </si>
  <si>
    <t>C050910M401A</t>
  </si>
  <si>
    <t>ePMP 5 GHz Force 300-25 High Gain Radio 4-Pack packaging, priced per radio (ROW) (India cord)</t>
  </si>
  <si>
    <t>C050910M501A</t>
  </si>
  <si>
    <t>ePMP 5 GHz Force 300-25 High Gain Radio 4-Pack packaging, priced per radio (ROW) (China cord)</t>
  </si>
  <si>
    <t>C050910M601A</t>
  </si>
  <si>
    <t>ePMP 5 GHz Force 300-25 High Gain Radio 4-Pack packaging, priced per radio (ROW) (Brazil cord)</t>
  </si>
  <si>
    <t>C050910M701A</t>
  </si>
  <si>
    <t>ePMP 5 GHz Force 300-25 High Gain Radio 4-Pack packaging, priced per radio (ROW) (Argentina cord)</t>
  </si>
  <si>
    <t>C050910M801A</t>
  </si>
  <si>
    <t>ePMP 5 GHz Force 300-25 High Gain Radio 4-Pack packaging, priced per radio (ROW) (ANZ cord)</t>
  </si>
  <si>
    <t>C050910M901A</t>
  </si>
  <si>
    <t>ePMP 5 GHz Force 300-25 High Gain Radio 4-Pack packaging, priced per radio (ROW) (South Africa cord)</t>
  </si>
  <si>
    <t>C050910MZ01A</t>
  </si>
  <si>
    <t>ePMP 5 GHz Force 300-25 High Gain Radio 4-Pack packaging, priced per radio (ROW) (No PSU)</t>
  </si>
  <si>
    <t>C058910C102A</t>
  </si>
  <si>
    <t>ePMP 5 GHz Force 300-25 High Gain Radio (FCC) (US cord)</t>
  </si>
  <si>
    <t>C058910M102A</t>
  </si>
  <si>
    <t>ePMP 5 GHz Force 300-25 High Gain Radio 4-Pack packaging, priced per radio (FCC) (US cord)</t>
  </si>
  <si>
    <t>C050910M071A</t>
  </si>
  <si>
    <t>ePMP 5 GHz Force 300-25L SM Bulk Packaging (ROW) (no cord)</t>
  </si>
  <si>
    <t>Force 300-25L</t>
  </si>
  <si>
    <t>C050910M171A</t>
  </si>
  <si>
    <t>ePMP 5 GHz Force 300-25L SM Bulk Packaging (ROW) (US cord)</t>
  </si>
  <si>
    <t>C050910M271A</t>
  </si>
  <si>
    <t>ePMP 5 GHz Force 300-25L SM Bulk Packaging (ROW) (EU cord)</t>
  </si>
  <si>
    <t>C050910M273A</t>
  </si>
  <si>
    <t>ePMP 5 GHz Force 300-25L SM Bulk Packaging (EU) (EU cord)</t>
  </si>
  <si>
    <t>C050910M274A</t>
  </si>
  <si>
    <t>ePMP 5 GHz Force 300-25L SM Bulk Packaging (Indonesia) (EU cord)</t>
  </si>
  <si>
    <t>C050910M371A</t>
  </si>
  <si>
    <t>ePMP 5 GHz Force 300-25L SM Bulk Packaging (ROW) (UK cord)</t>
  </si>
  <si>
    <t>C050910M373A</t>
  </si>
  <si>
    <t>ePMP 5 GHz Force 300-25L SM Bulk Packaging (EU) (UK cord)</t>
  </si>
  <si>
    <t>C050910M471A</t>
  </si>
  <si>
    <t>ePMP 5 GHz Force 300-25L SM Bulk Packaging (ROW) (India cord)</t>
  </si>
  <si>
    <t>C050910M472A</t>
  </si>
  <si>
    <t>ePMP 5 GHz Force 300-25L SM Bulk Packaging (India) (India Cord)</t>
  </si>
  <si>
    <t>C050910M571A</t>
  </si>
  <si>
    <t>ePMP 5 GHz Force 300-25L SM Bulk Packaging (ROW) (China cord)</t>
  </si>
  <si>
    <t>C050910M671A</t>
  </si>
  <si>
    <t>ePMP 5 GHz Force 300-25L SM Bulk Packaging (ROW) (Brazil cord)</t>
  </si>
  <si>
    <t>C050910M771A</t>
  </si>
  <si>
    <t>ePMP 5 GHz Force 300-25L SM Bulk Packaging (ROW) (Argentina cord)</t>
  </si>
  <si>
    <t>C050910M871A</t>
  </si>
  <si>
    <t>ePMP 5 GHz Force 300-25L SM Bulk Packaging (ROW) (ANZ cord)</t>
  </si>
  <si>
    <t>C050910M971A</t>
  </si>
  <si>
    <t>ePMP 5 GHz Force 300-25L SM Bulk Packaging (ROW) (South Africa cord)</t>
  </si>
  <si>
    <t>C050910MZ71A</t>
  </si>
  <si>
    <t>ePMP 5 GHz Force 300-25L SM Bulk Packaging (ROW) (No PSU)</t>
  </si>
  <si>
    <t>C050900C901A</t>
  </si>
  <si>
    <t>ePMP 5GHz Force 300-19R SM (IC) (Canada/US cord)</t>
  </si>
  <si>
    <t>Force 300-19R</t>
  </si>
  <si>
    <t>C050900C902A</t>
  </si>
  <si>
    <t>ePMP 5GHz Force 300-19R SM (EU) (EU cord)</t>
  </si>
  <si>
    <t>C050900C903A</t>
  </si>
  <si>
    <t>ePMP 5GHz Force 300-19R SM (EU) (UK cord)</t>
  </si>
  <si>
    <t>C050900C904A</t>
  </si>
  <si>
    <t>ePMP 5GHz Force 300-19R SM (ROW) (no cord)</t>
  </si>
  <si>
    <t>C050900C905A</t>
  </si>
  <si>
    <t>ePMP 5GHz Force 300-19R SM (ROW) (US cord)</t>
  </si>
  <si>
    <t>C050900C906A</t>
  </si>
  <si>
    <t>ePMP 5GHz Force 300-19R SM (ROW) (EU cord)</t>
  </si>
  <si>
    <t>C050900C907A</t>
  </si>
  <si>
    <t>ePMP 5GHz Force 300-19R SM (ROW) (UK cord)</t>
  </si>
  <si>
    <t>C050900C908A</t>
  </si>
  <si>
    <t>ePMP 5GHz Force 300-19R SM (ROW) (India cord)</t>
  </si>
  <si>
    <t>C050900C909A</t>
  </si>
  <si>
    <t>ePMP 5GHz Force 300-19R SM (India) (India cord)</t>
  </si>
  <si>
    <t>C050900C910A</t>
  </si>
  <si>
    <t>ePMP 5GHz Force 300-19R SM (ROW) (China cord)</t>
  </si>
  <si>
    <t>C050900C911A</t>
  </si>
  <si>
    <t>ePMP 5GHz Force 300-19R SM (ROW) (Brazil cord)</t>
  </si>
  <si>
    <t>C050900C912A</t>
  </si>
  <si>
    <t>ePMP 5GHz Force 300-19R SM (ROW) (Argentina cord)</t>
  </si>
  <si>
    <t>C050900C913A</t>
  </si>
  <si>
    <t>ePMP 5GHz Force 300-19R SM (ROW) (ANZ cord)</t>
  </si>
  <si>
    <t>C050900C914A</t>
  </si>
  <si>
    <t>ePMP 5GHz Force 300-19R SM (ROW) (South Africa cord)</t>
  </si>
  <si>
    <t>C050900C915A</t>
  </si>
  <si>
    <t>ePMP 5GHz Force 300-19R SM (ROW) (No PSU)</t>
  </si>
  <si>
    <t>C058900C901A</t>
  </si>
  <si>
    <t>ePMP 5GHz Force 300-19R SM (FCC) (US cord)</t>
  </si>
  <si>
    <t>C050900C801A</t>
  </si>
  <si>
    <t>ePMP 5GHz Force 300-19 SM (IC) (Canada/US cord)</t>
  </si>
  <si>
    <t>Force 300-19</t>
  </si>
  <si>
    <t>C050900C802A</t>
  </si>
  <si>
    <t>ePMP 5GHz Force 300-19 SM (EU) (EU cord)</t>
  </si>
  <si>
    <t>C050900C803A</t>
  </si>
  <si>
    <t>ePMP 5GHz Force 300-19 SM (EU) (UK cord)</t>
  </si>
  <si>
    <t>C050900C804A</t>
  </si>
  <si>
    <t>ePMP 5GHz Force 300-19 SM (ROW) (no cord)</t>
  </si>
  <si>
    <t>C050900C805A</t>
  </si>
  <si>
    <t>ePMP 5GHz Force 300-19 SM (ROW) (US cord)</t>
  </si>
  <si>
    <t>C050900C806A</t>
  </si>
  <si>
    <t>ePMP 5GHz Force 300-19 SM (ROW) (EU cord)</t>
  </si>
  <si>
    <t>C050900C807A</t>
  </si>
  <si>
    <t>ePMP 5GHz Force 300-19 SM (ROW) (UK cord)</t>
  </si>
  <si>
    <t>C050900C808A</t>
  </si>
  <si>
    <t>ePMP 5GHz Force 300-19 SM (ROW) (India cord)</t>
  </si>
  <si>
    <t>C050900C809A</t>
  </si>
  <si>
    <t>ePMP 5GHz Force 300-19 SM (India) (India cord)</t>
  </si>
  <si>
    <t>C050900C810A</t>
  </si>
  <si>
    <t>ePMP 5GHz Force 300-19 SM (ROW) (China cord)</t>
  </si>
  <si>
    <t>C050900C811A</t>
  </si>
  <si>
    <t>ePMP 5GHz Force 300-19 SM (ROW) (Brazil cord)</t>
  </si>
  <si>
    <t>C050900C812A</t>
  </si>
  <si>
    <t>ePMP 5GHz Force 300-19 SM (ROW) (Argentina cord)</t>
  </si>
  <si>
    <t>C050900C813A</t>
  </si>
  <si>
    <t>ePMP 5GHz Force 300-19 SM (ROW) (ANZ cord)</t>
  </si>
  <si>
    <t>C050900C814A</t>
  </si>
  <si>
    <t>ePMP 5GHz Force 300-19 SM (ROW) (South Africa cord)</t>
  </si>
  <si>
    <t>C050900C815A</t>
  </si>
  <si>
    <t>ePMP 5GHz Force 300-19 SM (ROW) (No PSU)</t>
  </si>
  <si>
    <t>C058900C801A</t>
  </si>
  <si>
    <t>ePMP 5GHz Force 300-19 SM (FCC) (US cord)</t>
  </si>
  <si>
    <t>C050910C011A</t>
  </si>
  <si>
    <t>ePMP 5 GHz Force 300-16 Radio (ROW) (no cord)</t>
  </si>
  <si>
    <t>Force 300-16</t>
  </si>
  <si>
    <t>C050910C111A</t>
  </si>
  <si>
    <t>ePMP 5 GHz Force 300-16 Radio (ROW) (US cord)</t>
  </si>
  <si>
    <t>C050910C114A</t>
  </si>
  <si>
    <t>ePMP 5 GHz Force 300-16 Radio (IC) (Canada/US cord)</t>
  </si>
  <si>
    <t>C050910C211A</t>
  </si>
  <si>
    <t>ePMP 5 GHz Force 300-16 Radio (ROW) (EU cord)</t>
  </si>
  <si>
    <t>C050910C213A</t>
  </si>
  <si>
    <t>ePMP 5 GHz Force 300-16 Radio (EU) (EU cord)</t>
  </si>
  <si>
    <t>C050910C311A</t>
  </si>
  <si>
    <t>ePMP 5 GHz Force 300-16 Radio (ROW) (UK cord)</t>
  </si>
  <si>
    <t>C050910C313A</t>
  </si>
  <si>
    <t>ePMP 5 GHz Force 300-16 Radio (EU) (UK cord)</t>
  </si>
  <si>
    <t>C050910C411A</t>
  </si>
  <si>
    <t>ePMP 5 GHz Force 300-16 Radio (ROW) (India cord)</t>
  </si>
  <si>
    <t>C050910C412A</t>
  </si>
  <si>
    <t>ePMP 5 GHz Force 300-16 Radio (India) (India cord)</t>
  </si>
  <si>
    <t>C050910C511A</t>
  </si>
  <si>
    <t>ePMP 5 GHz Force 300-16 Radio (ROW) (China cord)</t>
  </si>
  <si>
    <t>C050910C611A</t>
  </si>
  <si>
    <t>ePMP 5 GHz Force 300-16 Radio (ROW) (Brazil cord)</t>
  </si>
  <si>
    <t>C050910C711A</t>
  </si>
  <si>
    <t>ePMP 5 GHz Force 300-16 Radio (ROW) (Argentina cord)</t>
  </si>
  <si>
    <t>C050910C811A</t>
  </si>
  <si>
    <t>ePMP 5 GHz Force 300-16 Radio (ROW) (ANZ cord)</t>
  </si>
  <si>
    <t>C050910C911A</t>
  </si>
  <si>
    <t>ePMP 5 GHz Force 300-16 Radio (ROW) (South Africa cord)</t>
  </si>
  <si>
    <t>C050910CZ11A</t>
  </si>
  <si>
    <t>ePMP 5 GHz Force 300-16 Radio (ROW) (No PSU)</t>
  </si>
  <si>
    <t>C058910C112A</t>
  </si>
  <si>
    <t>ePMP 5 GHz Force 300-16 Radio (FCC) (US cord)</t>
  </si>
  <si>
    <t>C050900C701A</t>
  </si>
  <si>
    <t>ePMP 5GHz Force 300-13 SM (IC) (Canada/US cord)</t>
  </si>
  <si>
    <t>Force 300-13</t>
  </si>
  <si>
    <t>C050900C702A</t>
  </si>
  <si>
    <t>ePMP 5GHz Force 300-13 SM (EU) (EU cord)</t>
  </si>
  <si>
    <t>C050900C703A</t>
  </si>
  <si>
    <t>ePMP 5GHz Force 300-13 SM (EU) (UK cord)</t>
  </si>
  <si>
    <t>C050900C704A</t>
  </si>
  <si>
    <t>ePMP 5GHz Force 300-13 SM (ROW) (no cord)</t>
  </si>
  <si>
    <t>C050900C705A</t>
  </si>
  <si>
    <t>ePMP 5GHz Force 300-13 SM (ROW) (US cord)</t>
  </si>
  <si>
    <t>C050900C706A</t>
  </si>
  <si>
    <t>ePMP 5GHz Force 300-13 SM (ROW) (EU cord)</t>
  </si>
  <si>
    <t>C050900C707A</t>
  </si>
  <si>
    <t>ePMP 5GHz Force 300-13 SM (ROW) (UK cord)</t>
  </si>
  <si>
    <t>C050900C708A</t>
  </si>
  <si>
    <t>ePMP 5GHz Force 300-13 SM (ROW) (India cord)</t>
  </si>
  <si>
    <t>C050900C709A</t>
  </si>
  <si>
    <t>ePMP 5GHz Force 300-13 SM (India) (India cord)</t>
  </si>
  <si>
    <t>C050900C710A</t>
  </si>
  <si>
    <t>ePMP 5GHz Force 300-13 SM (ROW) (China cord)</t>
  </si>
  <si>
    <t>C050900C711A</t>
  </si>
  <si>
    <t>ePMP 5GHz Force 300-13 SM (ROW) (Brazil cord)</t>
  </si>
  <si>
    <t>C050900C712A</t>
  </si>
  <si>
    <t>ePMP 5GHz Force 300-13 SM (ROW) (Argentina cord)</t>
  </si>
  <si>
    <t>C050900C713A</t>
  </si>
  <si>
    <t>ePMP 5GHz Force 300-13 SM (ROW) (ANZ cord)</t>
  </si>
  <si>
    <t>C050900C714A</t>
  </si>
  <si>
    <t>ePMP 5GHz Force 300-13 SM (ROW) (South Africa cord)</t>
  </si>
  <si>
    <t>C050900C715A</t>
  </si>
  <si>
    <t>ePMP 5GHz Force 300-13 SM (ROW) (No PSU)</t>
  </si>
  <si>
    <t>C058900C701A</t>
  </si>
  <si>
    <t>ePMP 5GHz Force 300-13 SM (FCC) (US cord)</t>
  </si>
  <si>
    <t>C050910C031A</t>
  </si>
  <si>
    <t>ePMP 5 GHz Force 300-13L SM (ROW) (no cord)</t>
  </si>
  <si>
    <t>Force 300-13L</t>
  </si>
  <si>
    <t>C050910C131A</t>
  </si>
  <si>
    <t>ePMP 5 GHz Force 300-13L SM (ROW) (US cord)</t>
  </si>
  <si>
    <t>C050910C231A</t>
  </si>
  <si>
    <t>ePMP 5 GHz Force 300-13L SM (ROW) (EU cord)</t>
  </si>
  <si>
    <t>C050910C233A</t>
  </si>
  <si>
    <t>ePMP 5 GHz Force 300-13L SM (EU) (EU cord)</t>
  </si>
  <si>
    <t>C050910C331A</t>
  </si>
  <si>
    <t>ePMP 5 GHz Force 300-13L SM (ROW) (UK cord)</t>
  </si>
  <si>
    <t>C050910C333A</t>
  </si>
  <si>
    <t>ePMP 5 GHz Force 300-13L SM (EU) (UK cord)</t>
  </si>
  <si>
    <t>C050910C431A</t>
  </si>
  <si>
    <t>ePMP 5 GHz Force 300-13L SM (ROW) (India cord)</t>
  </si>
  <si>
    <t>C050910C432A</t>
  </si>
  <si>
    <t>ePMP 5 GHz Force 300-13L SM (India) (India Cord)</t>
  </si>
  <si>
    <t>C050910C531A</t>
  </si>
  <si>
    <t>ePMP 5 GHz Force 300-13L SM (ROW) (China cord)</t>
  </si>
  <si>
    <t>C050910C631A</t>
  </si>
  <si>
    <t>ePMP 5 GHz Force 300-13L SM (ROW) (Brazil cord)</t>
  </si>
  <si>
    <t>C050910C731A</t>
  </si>
  <si>
    <t>ePMP 5 GHz Force 300-13L SM (ROW) (Argentina cord)</t>
  </si>
  <si>
    <t>C050910C831A</t>
  </si>
  <si>
    <t>ePMP 5 GHz Force 300-13L SM (ROW) (ANZ cord)</t>
  </si>
  <si>
    <t>C050910C931A</t>
  </si>
  <si>
    <t>ePMP 5 GHz Force 300-13L SM (ROW) (South Africa cord)</t>
  </si>
  <si>
    <t>C050910CZ31A</t>
  </si>
  <si>
    <t>ePMP 5 GHz Force 300-13L SM (ROW) (No PSU)</t>
  </si>
  <si>
    <t>C050910C021A</t>
  </si>
  <si>
    <t>ePMP 5 GHz Force 300 CSM Radio (ROW) (no cord)</t>
  </si>
  <si>
    <t>Force 300 CSM</t>
  </si>
  <si>
    <t>C050910C121A</t>
  </si>
  <si>
    <t>ePMP 5 GHz Force 300 CSM Radio (ROW) (US cord)</t>
  </si>
  <si>
    <t>C050910C124A</t>
  </si>
  <si>
    <t>ePMP 5 GHz Force 300 CSM Radio (IC) (Canada/US cord)</t>
  </si>
  <si>
    <t>C050910C221A</t>
  </si>
  <si>
    <t>ePMP 5 GHz Force 300 CSM Radio (ROW) (EU cord)</t>
  </si>
  <si>
    <t>C050910C223A</t>
  </si>
  <si>
    <t>ePMP 5 GHz Force 300 CSM Radio (EU) (EU cord)</t>
  </si>
  <si>
    <t>C050910C321A</t>
  </si>
  <si>
    <t>ePMP 5 GHz Force 300 CSM Radio (ROW) (UK cord)</t>
  </si>
  <si>
    <t>C050910C323A</t>
  </si>
  <si>
    <t>ePMP 5 GHz Force 300 CSM Radio (EU) (UK cord)</t>
  </si>
  <si>
    <t>C050910C421A</t>
  </si>
  <si>
    <t>ePMP 5 GHz Force 300 CSM Radio (ROW) (India cord)</t>
  </si>
  <si>
    <t>C050910C422A</t>
  </si>
  <si>
    <t>ePMP 5 GHz Force 300 CSM Radio (India) (India Cord)</t>
  </si>
  <si>
    <t>C050910C521A</t>
  </si>
  <si>
    <t>ePMP 5 GHz Force 300 CSM Radio (ROW) (China cord)</t>
  </si>
  <si>
    <t>C050910C621A</t>
  </si>
  <si>
    <t>ePMP 5 GHz Force 300 CSM Radio (ROW) (Brazil cord)</t>
  </si>
  <si>
    <t>C050910C721A</t>
  </si>
  <si>
    <t>ePMP 5 GHz Force 300 CSM Radio (ROW) (Argentina cord)</t>
  </si>
  <si>
    <t>C050910C821A</t>
  </si>
  <si>
    <t>ePMP 5 GHz Force 300 CSM Radio (ROW) (ANZ cord)</t>
  </si>
  <si>
    <t>C050910C921A</t>
  </si>
  <si>
    <t>ePMP 5 GHz Force 300 CSM Radio (ROW) (South Africa cord)</t>
  </si>
  <si>
    <t>C050910CZ21A</t>
  </si>
  <si>
    <t>ePMP 5 GHz Force 300 CSM Radio (ROW) (No PSU)</t>
  </si>
  <si>
    <t>C058910C122A</t>
  </si>
  <si>
    <t>ePMP 5 GHz Force 300 CSM Radio (FCC) (US cord)</t>
  </si>
  <si>
    <t>C024900C064A</t>
  </si>
  <si>
    <t>ePMP 2.4 GHz Force 200AR2-25 High Gain Radio (Israel cord)</t>
  </si>
  <si>
    <t>Force 200</t>
  </si>
  <si>
    <t>C024900C161A</t>
  </si>
  <si>
    <t>ePMP 2.4 GHz Force 200AR2-25 High Gain Radio (US cord)</t>
  </si>
  <si>
    <t>C024900C261A</t>
  </si>
  <si>
    <t>ePMP 2.4 GHz Force 200AR2-25 High Gain Radio (EU cord)</t>
  </si>
  <si>
    <t>C024900C761A</t>
  </si>
  <si>
    <t>ePMP 2.4 GHz Force 200AR2-25 High Gain Radio (Argentina cord)</t>
  </si>
  <si>
    <t>C024900C961A</t>
  </si>
  <si>
    <t>ePMP 2.4 GHz Force 200AR2-25 High Gain Radio (No PSU)</t>
  </si>
  <si>
    <t>C050900C061A</t>
  </si>
  <si>
    <t>ePMP 5 GHz Force 200AR5-25 High Gain Radio (ROW) (no cord)</t>
  </si>
  <si>
    <t>C050900C063A</t>
  </si>
  <si>
    <t>ePMP 5 GHz Force 200AR5-25 High Gain Radio (EU) (EU cord)</t>
  </si>
  <si>
    <t>C050900C161A</t>
  </si>
  <si>
    <t>ePMP 5 GHz Force 200AR5-25 High Gain Radio (ROW) (US cord)</t>
  </si>
  <si>
    <t>C050900C162A</t>
  </si>
  <si>
    <t>ePMP 5 GHz Force 200AR5-25 High Gain Radio (IC) (US cord)</t>
  </si>
  <si>
    <t>C050900C261A</t>
  </si>
  <si>
    <t>ePMP 5 GHz Force 200AR5-25 High Gain Radio (ROW) (EU cord)</t>
  </si>
  <si>
    <t>C050900C361A</t>
  </si>
  <si>
    <t>ePMP 1000: 5 GHz Force 200AR5-25 High Gain Radio (ROW) (UK cord)</t>
  </si>
  <si>
    <t>C050900C363A</t>
  </si>
  <si>
    <t>ePMP 5 GHz Force 200AR5-25 High Gain Radio (EU) (UK cord)</t>
  </si>
  <si>
    <t>C050900C461A</t>
  </si>
  <si>
    <t>ePMP 1000: 5 GHz Force 200AR5-25 High Gain Radio (ROW) (India cord)</t>
  </si>
  <si>
    <t>C050900C661A</t>
  </si>
  <si>
    <t>ePMP 1000: 5 GHz Force 200AR5-25 High Gain Radio (ROW) (Brazil cord)</t>
  </si>
  <si>
    <t>C050900C761A</t>
  </si>
  <si>
    <t>ePMP 5 GHz Force 200AR5-25 High Gain Radio (ROW) (Argentina cord)</t>
  </si>
  <si>
    <t>C050900C861A</t>
  </si>
  <si>
    <t>ePMP 5 GHz Force 200AR5-25 High Gain Radio (ROW) (ANZ cord)</t>
  </si>
  <si>
    <t>C058900C062A</t>
  </si>
  <si>
    <t>ePMP 5 GHz Force 200AR5-25 High Gain Radio (FCC) (US cord)</t>
  </si>
  <si>
    <t>C050900M091A</t>
  </si>
  <si>
    <t>ePMP 5 GHz Force 200L SM Bulk Packaging (ROW) (no cord)</t>
  </si>
  <si>
    <t>Force 200L</t>
  </si>
  <si>
    <t>C050900M191A</t>
  </si>
  <si>
    <t>ePMP 5 GHz Force 200L SM Bulk Packaging (ROW) (US cord)</t>
  </si>
  <si>
    <t>C050900M291A</t>
  </si>
  <si>
    <t>ePMP 5 GHz Force 200L SM Bulk Packaging (ROW) (EU cord)</t>
  </si>
  <si>
    <t>C050900M293A</t>
  </si>
  <si>
    <t>ePMP 5 GHz Force 200L SM Bulk Packaging (EU) (EU cord)</t>
  </si>
  <si>
    <t>C050900M296A</t>
  </si>
  <si>
    <t>ePMP 5 GHz Force 200L SM Bulk Packaging (Indonesia) (EU cord)</t>
  </si>
  <si>
    <t>C050900M391A</t>
  </si>
  <si>
    <t>ePMP 5 GHz Force 200L SM Bulk Packaging (ROW) (UK cord)</t>
  </si>
  <si>
    <t>C050900M393A</t>
  </si>
  <si>
    <t>ePMP 5 GHz Force 200L SM Bulk Packaging (EU) (UK cord)</t>
  </si>
  <si>
    <t>C050900M491A</t>
  </si>
  <si>
    <t>ePMP 5 GHz Force 200L SM Bulk Packaging (ROW) (India cord)</t>
  </si>
  <si>
    <t>C050900M495A</t>
  </si>
  <si>
    <t>ePMP 5 GHz Force 200L SM Bulk Packaging (India) (India Cord)</t>
  </si>
  <si>
    <t>C050900M591A</t>
  </si>
  <si>
    <t>ePMP 5 GHz Force 200L SM Bulk Packaging (ROW) (China cord)</t>
  </si>
  <si>
    <t>C050900M691A</t>
  </si>
  <si>
    <t>ePMP 5 GHz Force 200L SM Bulk Packaging (ROW) (Brazil cord)</t>
  </si>
  <si>
    <t>C050900M791A</t>
  </si>
  <si>
    <t>ePMP 5 GHz Force 200L SM Bulk Packaging (ROW) (Argentina cord)</t>
  </si>
  <si>
    <t>C050900M891A</t>
  </si>
  <si>
    <t>ePMP 5 GHz Force 200L SM Bulk Packaging (ROW) (ANZ cord)</t>
  </si>
  <si>
    <t>C050900M991A</t>
  </si>
  <si>
    <t>ePMP 5 GHz Force 200L SM Bulk Packaging (ROW) (South Africa cord)</t>
  </si>
  <si>
    <t>C050900MZ91A</t>
  </si>
  <si>
    <t>ePMP 5 GHz Force 200L SM Bulk Packaging (ROW) (No PSU)</t>
  </si>
  <si>
    <t>C050900M091B</t>
  </si>
  <si>
    <t>C050900M191B</t>
  </si>
  <si>
    <t>C050900M291B</t>
  </si>
  <si>
    <t>C050900M293B</t>
  </si>
  <si>
    <t>C050900M296B</t>
  </si>
  <si>
    <t>C050900M391B</t>
  </si>
  <si>
    <t>C050900M393B</t>
  </si>
  <si>
    <t>C050900M491B</t>
  </si>
  <si>
    <t>C050900M495B</t>
  </si>
  <si>
    <t>C050900M591B</t>
  </si>
  <si>
    <t>C050900M691B</t>
  </si>
  <si>
    <t>C050900M791B</t>
  </si>
  <si>
    <t>C050900M891B</t>
  </si>
  <si>
    <t>C050900M991B</t>
  </si>
  <si>
    <t>C050900MZ91B</t>
  </si>
  <si>
    <t>C050900C081A</t>
  </si>
  <si>
    <t>ePMP Force 190 5 GHz Subscriber Module (RoW) (No Cord)</t>
  </si>
  <si>
    <t>Force 190</t>
  </si>
  <si>
    <t>C050900C083A</t>
  </si>
  <si>
    <t>ePMP Force 190 5 GHz Subscriber Module (EU) (EU Cord)</t>
  </si>
  <si>
    <t>C050900C181A</t>
  </si>
  <si>
    <t>ePMP Force 190 5 GHz Subscriber Module (RoW) (US Cord)</t>
  </si>
  <si>
    <t>C050900C281A</t>
  </si>
  <si>
    <t>ePMP Force 190 5 GHz Subscriber Module (RoW) (EU Cord)</t>
  </si>
  <si>
    <t>C050900C481A</t>
  </si>
  <si>
    <t>ePMP Force 190 5 GHz Subscriber Module (RoW) (India Cord)</t>
  </si>
  <si>
    <t>C050900C581A</t>
  </si>
  <si>
    <t>ePMP Force 190 5 GHz Subscriber Module (RoW) (China Cord)</t>
  </si>
  <si>
    <t>C050900C681A</t>
  </si>
  <si>
    <t>ePMP Force 190 5 GHz Subscriber Module (RoW) (Brazil Cord)</t>
  </si>
  <si>
    <t>C050900C781A</t>
  </si>
  <si>
    <t>ePMP Force 190 5 GHz Subscriber Module (RoW) (Argentina Cord)</t>
  </si>
  <si>
    <t>C050900C873A</t>
  </si>
  <si>
    <t>ePMP Force 190 5 GHz Subscriber Module (EU) (UK Cord)</t>
  </si>
  <si>
    <t>C050900C881A</t>
  </si>
  <si>
    <t>ePMP Force 190 5 GHz Subscriber Module (RoW) (ANZ Cord)</t>
  </si>
  <si>
    <t>C050900C981A</t>
  </si>
  <si>
    <t>ePMP Force 190 5 GHz Subscriber Module (RoW) (No PSU)</t>
  </si>
  <si>
    <t>C050900C071A</t>
  </si>
  <si>
    <t>ePMP 5 GHz Force 180 Integrated Radio (ROW) (no cord)</t>
  </si>
  <si>
    <t>Force 180</t>
  </si>
  <si>
    <t>C050900C073A</t>
  </si>
  <si>
    <t>ePMP 5 GHz Force 180 Integrated Radio (EU) (EU cord)</t>
  </si>
  <si>
    <t>C050900C171A</t>
  </si>
  <si>
    <t>ePMP 5 GHz Force 180 Integrated Radio (ROW) (US cord)</t>
  </si>
  <si>
    <t>C050900C172A</t>
  </si>
  <si>
    <t>ePMP 5 GHz Force 180 Integrated Radio (IC) (US cord)</t>
  </si>
  <si>
    <t>C050900C271A</t>
  </si>
  <si>
    <t>ePMP 5 GHz Force 180 Integrated Radio (ROW) (EU cord)</t>
  </si>
  <si>
    <t>C050900C371A</t>
  </si>
  <si>
    <t>ePMP 1000: 5 GHz Force 180 Integrated Radio (ROW) (UK cord)</t>
  </si>
  <si>
    <t>C050900C373A</t>
  </si>
  <si>
    <t>ePMP 5 GHz Force 180 Integrated Radio (EU) (UK cord)</t>
  </si>
  <si>
    <t>C050900C471A</t>
  </si>
  <si>
    <t>ePMP 1000: 5 GHz Force 180 Integrated Radio (ROW) (India cord)</t>
  </si>
  <si>
    <t>C050900C571A</t>
  </si>
  <si>
    <t>ePMP 1000: 5 GHz Force 180 Integrated Radio (ROW) (China cord)</t>
  </si>
  <si>
    <t>C050900C671A</t>
  </si>
  <si>
    <t>ePMP 1000: 5 GHz Force 180 Integrated Radio (ROW) (Brazil cord)</t>
  </si>
  <si>
    <t>C050900C771A</t>
  </si>
  <si>
    <t>ePMP 5 GHz Force 180 Integrated Radio (ROW) (Argentina cord)</t>
  </si>
  <si>
    <t>C050900C871A</t>
  </si>
  <si>
    <t xml:space="preserve">ePMP 5 GHz Force 180 Integrated Radio (ROW) ANZ cord) </t>
  </si>
  <si>
    <t>ePMP 5 GHz Force 180 Integrated Radio (FCC) (US cord)</t>
  </si>
  <si>
    <t>C060900C271A</t>
  </si>
  <si>
    <t>ePMP Force180: 6.4 GHz Integrated Radio (ROW) (with EU power cord)</t>
  </si>
  <si>
    <t>C024900C603A</t>
  </si>
  <si>
    <t>ePMP 2.4 GHz Force 130 SM (ROW) (no cord)</t>
  </si>
  <si>
    <t>Force 130</t>
  </si>
  <si>
    <t>C024900C604A</t>
  </si>
  <si>
    <t>ePMP 2.4 GHz Force 130 SM (ROW) (US cord)</t>
  </si>
  <si>
    <t>C024900C605A</t>
  </si>
  <si>
    <t>ePMP 2.4 GHz Force 130 SM (ROW) (EU cord)</t>
  </si>
  <si>
    <t>C024900C606A</t>
  </si>
  <si>
    <t>ePMP 2.4 GHz Force 130 SM (ROW) (UK cord)</t>
  </si>
  <si>
    <t>C024900C607A</t>
  </si>
  <si>
    <t>ePMP 2.4 GHz Force 130 SM (ROW) (India cord)</t>
  </si>
  <si>
    <t>C024900C608A</t>
  </si>
  <si>
    <t>ePMP 2.4 GHz Force 130 SM (India) (India cord)</t>
  </si>
  <si>
    <t>C024900C609A</t>
  </si>
  <si>
    <t>ePMP 2.4 GHz Force 130 SM (ROW) (China cord)</t>
  </si>
  <si>
    <t>C024900C610A</t>
  </si>
  <si>
    <t>ePMP 2.4 GHz Force 130 SM (ROW) (Brazil cord)</t>
  </si>
  <si>
    <t>C024900C611A</t>
  </si>
  <si>
    <t>ePMP 2.4 GHz Force 130 SM (ROW) (Argentina cord)</t>
  </si>
  <si>
    <t>C024900C612A</t>
  </si>
  <si>
    <t>ePMP 2.4 GHz Force 130 SM (ROW) (ANZ cord)</t>
  </si>
  <si>
    <t>C024900C613A</t>
  </si>
  <si>
    <t>ePMP 2.4 GHz Force 130 SM (ROW) (South Africa cord)</t>
  </si>
  <si>
    <t>C024900C614A</t>
  </si>
  <si>
    <t>ePMP 2.4 GHz Force 130 SM (ROW) (No PSU)</t>
  </si>
  <si>
    <t>C050900C502A</t>
  </si>
  <si>
    <t>ePMP 5 GHz Force 130 SM (EU) (EU cord)</t>
  </si>
  <si>
    <t>C050900C503A</t>
  </si>
  <si>
    <t>ePMP 5 GHz Force 130 SM (EU) (UK cord)</t>
  </si>
  <si>
    <t>C050900C504A</t>
  </si>
  <si>
    <t>ePMP 5 GHz Force 130 SM (ROW) (no cord)</t>
  </si>
  <si>
    <t>C050900C505A</t>
  </si>
  <si>
    <t>ePMP 5 GHz Force 130 SM (ROW) (US cord)</t>
  </si>
  <si>
    <t>C050900C506A</t>
  </si>
  <si>
    <t>ePMP 5 GHz Force 130 SM (ROW) (EU cord)</t>
  </si>
  <si>
    <t>C050900C507A</t>
  </si>
  <si>
    <t>ePMP 5 GHz Force 130 SM (ROW) (UK cord)</t>
  </si>
  <si>
    <t>C050900C508A</t>
  </si>
  <si>
    <t>ePMP 5 GHz Force 130 SM (ROW) (India cord)</t>
  </si>
  <si>
    <t>C050900C509A</t>
  </si>
  <si>
    <t>ePMP 5 GHz Force 130 SM (India) (India cord)</t>
  </si>
  <si>
    <t>C050900C510A</t>
  </si>
  <si>
    <t>ePMP 5 GHz Force 130 SM (ROW) (China cord)</t>
  </si>
  <si>
    <t>C050900C511A</t>
  </si>
  <si>
    <t>ePMP 5 GHz Force 130 SM (ROW) (Brazil cord)</t>
  </si>
  <si>
    <t>C050900C512A</t>
  </si>
  <si>
    <t>ePMP 5 GHz Force 130 SM (ROW) (Argentina cord)</t>
  </si>
  <si>
    <t>C050900C513A</t>
  </si>
  <si>
    <t>ePMP 5 GHz Force 130 SM (ROW) (ANZ cord)</t>
  </si>
  <si>
    <t>C050900C514A</t>
  </si>
  <si>
    <t>ePMP 5 GHz Force 130 SM (ROW) (South Africa cord)</t>
  </si>
  <si>
    <t>C050900C515A</t>
  </si>
  <si>
    <t>ePMP 5 GHz Force 130 SM (ROW) (No PSU)</t>
  </si>
  <si>
    <t>C050900B071A</t>
  </si>
  <si>
    <t>ePMP Bridge in a Box – 5 GHz (RoW) (No Cord)</t>
  </si>
  <si>
    <t>BiB</t>
  </si>
  <si>
    <t>C050900B073A</t>
  </si>
  <si>
    <t>ePMP Bridge in a Box – 5 GHz (EU)</t>
  </si>
  <si>
    <t>C050900B171A</t>
  </si>
  <si>
    <t>ePMP Bridge in a Box – 5 GHz (RoW) (US Cord)</t>
  </si>
  <si>
    <t>C050900B172A</t>
  </si>
  <si>
    <t>ePMP Bridge in a Box - 5 GHz (IC)</t>
  </si>
  <si>
    <t>C050900B271A</t>
  </si>
  <si>
    <t>ePMP Bridge in a Box – 5 GHz (RoW) (EU Cord)</t>
  </si>
  <si>
    <t>C050900B701A</t>
  </si>
  <si>
    <t>ePMP Bridge in a Box UHD 5 GHz (IC) (Canada/US cord)</t>
  </si>
  <si>
    <t>C050900B702A</t>
  </si>
  <si>
    <t>ePMP Bridge in a Box UHD 5 GHz (EU) (EU cord)</t>
  </si>
  <si>
    <t>C050900B703A</t>
  </si>
  <si>
    <t>ePMP Bridge in a Box UHD 5 GHz (EU) (UK cord)</t>
  </si>
  <si>
    <t>C050900B704A</t>
  </si>
  <si>
    <t>ePMP Bridge in a Box UHD 5 GHz (ROW) (no cord)</t>
  </si>
  <si>
    <t>C050900B705A</t>
  </si>
  <si>
    <t>ePMP Bridge in a Box UHD 5 GHz (ROW) (US cord)</t>
  </si>
  <si>
    <t>C050900B706A</t>
  </si>
  <si>
    <t>ePMP Bridge in a Box UHD 5 GHz (ROW) (EU cord)</t>
  </si>
  <si>
    <t>C050900B707A</t>
  </si>
  <si>
    <t>ePMP Bridge in a Box UHD 5 GHz (ROW) (UK cord)</t>
  </si>
  <si>
    <t>C050900B708A</t>
  </si>
  <si>
    <t>ePMP Bridge in a Box UHD 5 GHz (ROW) (India cord)</t>
  </si>
  <si>
    <t>C050900B709A</t>
  </si>
  <si>
    <t>ePMP Bridge in a Box UHD 5 GHz (India) (India cord)</t>
  </si>
  <si>
    <t>C050900B710A</t>
  </si>
  <si>
    <t>ePMP Bridge in a Box UHD 5 GHz (ROW) (China cord)</t>
  </si>
  <si>
    <t>C050900B711A</t>
  </si>
  <si>
    <t>ePMP Bridge in a Box UHD 5 GHz (ROW) (Brazil cord)</t>
  </si>
  <si>
    <t>C050900B712A</t>
  </si>
  <si>
    <t>ePMP Bridge in a Box UHD 5 GHz (ROW) (Argentina cord)</t>
  </si>
  <si>
    <t>C050900B713A</t>
  </si>
  <si>
    <t>ePMP Bridge in a Box UHD 5 GHz (ROW) (ANZ cord)</t>
  </si>
  <si>
    <t>C050900B714A</t>
  </si>
  <si>
    <t>ePMP Bridge in a Box UHD 5 GHz (ROW) (South Africa cord)</t>
  </si>
  <si>
    <t>C050900B901A</t>
  </si>
  <si>
    <t>ePMP Bridge in a Box UHD PRO 5 GHz (IC) (Canada/US cord)</t>
  </si>
  <si>
    <t>C050900B902A</t>
  </si>
  <si>
    <t>ePMP Bridge in a Box UHD PRO 5 GHz (EU) (EU cord)</t>
  </si>
  <si>
    <t>C050900B903A</t>
  </si>
  <si>
    <t>ePMP Bridge in a Box UHD PRO 5 GHz (EU) (UK cord)</t>
  </si>
  <si>
    <t>C050900B904A</t>
  </si>
  <si>
    <t>ePMP Bridge in a Box UHD PRO 5 GHz (ROW) (no cord)</t>
  </si>
  <si>
    <t>$</t>
  </si>
  <si>
    <t>C050900B905A</t>
  </si>
  <si>
    <t>ePMP Bridge in a Box UHD PRO 5 GHz (ROW) (US cord)</t>
  </si>
  <si>
    <t>C050900B906A</t>
  </si>
  <si>
    <t>ePMP Bridge in a Box UHD PRO 5 GHz (ROW) (EU cord)</t>
  </si>
  <si>
    <t>C050900B907A</t>
  </si>
  <si>
    <t>ePMP Bridge in a Box UHD PRO 5 GHz (ROW) (UK cord)</t>
  </si>
  <si>
    <t>C050900B908A</t>
  </si>
  <si>
    <t>ePMP Bridge in a Box UHD PRO 5 GHz (ROW) (India cord)</t>
  </si>
  <si>
    <t>C050900B909A</t>
  </si>
  <si>
    <t>ePMP Bridge in a Box UHD PRO 5 GHz (India) (India cord)</t>
  </si>
  <si>
    <t>C050900B910A</t>
  </si>
  <si>
    <t>ePMP Bridge in a Box UHD PRO 5 GHz (ROW) (China cord)</t>
  </si>
  <si>
    <t>C050900B911A</t>
  </si>
  <si>
    <t>ePMP Bridge in a Box UHD PRO 5 GHz (ROW) (Brazil cord)</t>
  </si>
  <si>
    <t>C050900B912A</t>
  </si>
  <si>
    <t>ePMP Bridge in a Box UHD PRO 5 GHz (ROW) (Argentina cord)</t>
  </si>
  <si>
    <t>C050900B913A</t>
  </si>
  <si>
    <t>ePMP Bridge in a Box UHD PRO 5 GHz (ROW) (ANZ cord)</t>
  </si>
  <si>
    <t>C050900B914A</t>
  </si>
  <si>
    <t>ePMP Bridge in a Box UHD PRO 5 GHz (ROW) (South Africa cord)</t>
  </si>
  <si>
    <t>C058900B072A</t>
  </si>
  <si>
    <t>ePMP Bridge in a Box – 5 GHz (FCC)</t>
  </si>
  <si>
    <t>C058900B701A</t>
  </si>
  <si>
    <t>ePMP Bridge in a Box UHD 5 GHz (FCC) (US cord)</t>
  </si>
  <si>
    <t>C058900B901A</t>
  </si>
  <si>
    <t>ePMP Bridge in a Box UHD PRO 5 GHz (FCC) (US cord)</t>
  </si>
  <si>
    <t>C000900D022A</t>
  </si>
  <si>
    <t>Sector Antenna, Spare Mounting Kit</t>
  </si>
  <si>
    <t>C024900D004A</t>
  </si>
  <si>
    <t>ePMP 1000: 2.4 GHz Sector 90/120 Antenna</t>
  </si>
  <si>
    <t>ePMP 2000: 5 GHz Beam Forming Antenna</t>
  </si>
  <si>
    <t>C050900D021B</t>
  </si>
  <si>
    <t>ePMP Sector Antenna, 5 GHz, 90/120 with Mounting Kit</t>
  </si>
  <si>
    <t>Power Supply</t>
  </si>
  <si>
    <t>N000900L021A</t>
  </si>
  <si>
    <t>ePMP Force 200 Radome</t>
  </si>
  <si>
    <t>ePMP Force 180 Adjustable Pole Bracket (spare for bracket included with radio)</t>
  </si>
  <si>
    <t>N000900L030A</t>
  </si>
  <si>
    <t>ePMP External GPS Antenna</t>
  </si>
  <si>
    <t>Warranty</t>
  </si>
  <si>
    <t>ePMP 3000 / 2000 AP Extended Warranty, 1 Additional Year</t>
  </si>
  <si>
    <t>ePMP Force 200 Extended Warranty, 1 Addl Year</t>
  </si>
  <si>
    <t>ePMP Force 300 Extended Warranty, 1 Additional Year</t>
  </si>
  <si>
    <t>ePMP 3000 / 2000 AP Extended Warranty, 2 Additional Years</t>
  </si>
  <si>
    <t>ePMP Force 200 Extended Warranty, 2 Addl Years</t>
  </si>
  <si>
    <t>ePMP Force 300 Extended Warranty, 2 Additional Years</t>
  </si>
  <si>
    <t>EW-E2EPF400-WW  </t>
  </si>
  <si>
    <t>ePMP Force 400 Extended Warranty, 2 Additional Years  </t>
  </si>
  <si>
    <t>C050055H001A</t>
  </si>
  <si>
    <t>PTP 550 Connectorized 5 GHz (FCC) with US Line Cord</t>
  </si>
  <si>
    <t>C050055H002A</t>
  </si>
  <si>
    <t>PTP 550 Connectorized 5 GHz (IC) with US Line Cord</t>
  </si>
  <si>
    <t>C050055H003A</t>
  </si>
  <si>
    <t>PTP 550 Connectorized 5 GHz (EU) with EU Line Cord</t>
  </si>
  <si>
    <t>C050055H004A</t>
  </si>
  <si>
    <t>PTP 550 Connectorized 5 GHz (ROW) with US Line Cord</t>
  </si>
  <si>
    <t>C050055H005A</t>
  </si>
  <si>
    <t>PTP 550 Connectorized 5 GHz (ROW) with EU Line Cord</t>
  </si>
  <si>
    <t>C050055H006A</t>
  </si>
  <si>
    <t>PTP 550 Connectorized 5 GHz (ROW) with No Line Cord</t>
  </si>
  <si>
    <t>C050055H007A</t>
  </si>
  <si>
    <t>PTP 550 Integrated 5 GHz (FCC) with US Line Cord</t>
  </si>
  <si>
    <t>C050055H008A</t>
  </si>
  <si>
    <t>PTP 550 Integrated 5 GHz (IC) with US Line Cord</t>
  </si>
  <si>
    <t>C050055H009A</t>
  </si>
  <si>
    <t>PTP 550 Integrated 5 GHz (EU) with EU Line Cord</t>
  </si>
  <si>
    <t>C050055H010A</t>
  </si>
  <si>
    <t>PTP 550 Integrated 5 GHz (ROW) with US Line Cord</t>
  </si>
  <si>
    <t>C050055H011A</t>
  </si>
  <si>
    <t>PTP 550 Integrated 5 GHz (ROW) with EU Line Cord</t>
  </si>
  <si>
    <t>C050055H012A</t>
  </si>
  <si>
    <t>PTP 550 Integrated 5 GHz (ROW) with No Line Cord</t>
  </si>
  <si>
    <t>C050055H013A</t>
  </si>
  <si>
    <t>PTP 550E Connectorized including 4.9 GHz (EU) with EU Line Cord</t>
  </si>
  <si>
    <t>PTP 550E</t>
  </si>
  <si>
    <t>C050055H014A</t>
  </si>
  <si>
    <t>PTP 550E Connectorized including 4.9 GHz (ROW) with no Line Cord</t>
  </si>
  <si>
    <t>C050055H015A</t>
  </si>
  <si>
    <t>PTP 550E Integrated including 4.9 GHz (EU) with EU Line Cord</t>
  </si>
  <si>
    <t>C050055H016A</t>
  </si>
  <si>
    <t>PTP 550E Integrated including 4.9 GHz (ROW) with no Line Cord</t>
  </si>
  <si>
    <t>C050055H017A</t>
  </si>
  <si>
    <t>PTP 550E Connectorized including 4.9 GHz (ROW) with US Line Cord</t>
  </si>
  <si>
    <t>C050055H018A</t>
  </si>
  <si>
    <t>PTP 550E Connectorized including 4.9 GHz (ROW) with EU Line Cord</t>
  </si>
  <si>
    <t>C050055H019A</t>
  </si>
  <si>
    <t>PTP 550E Integrated including 4.9 GHz (ROW) with US Line Cord</t>
  </si>
  <si>
    <t>C050055H020A</t>
  </si>
  <si>
    <t>PTP 550E Integrated including 4.9 GHz (ROW) with EU Line Cord</t>
  </si>
  <si>
    <t>C050910C061A</t>
  </si>
  <si>
    <t>ePMP 5 GHz Force 300 CSML SM Bulk Packaging, priced per radio Bulk Packaging, priced per radio (ROW) (no cord)</t>
  </si>
  <si>
    <t>Force 300 CSML</t>
  </si>
  <si>
    <t>x</t>
  </si>
  <si>
    <t>C050910C161A</t>
  </si>
  <si>
    <t>ePMP 5 GHz Force 300 CSML SM Bulk Packaging, priced per radio (ROW) (US cord)</t>
  </si>
  <si>
    <t>C050910C261A</t>
  </si>
  <si>
    <t>ePMP 5 GHz Force 300 CSML SM Bulk Packaging, priced per radio (ROW) (EU cord)</t>
  </si>
  <si>
    <t>C050910C263A</t>
  </si>
  <si>
    <t>ePMP 5 GHz Force 300 CSML SM Bulk Packaging, priced per radio (EU) (EU cord)</t>
  </si>
  <si>
    <t>C050910C361A</t>
  </si>
  <si>
    <t>ePMP 5 GHz Force 300 CSML SM Bulk Packaging, priced per radio (ROW) (UK cord)</t>
  </si>
  <si>
    <t>C050910C363A</t>
  </si>
  <si>
    <t>ePMP 5 GHz Force 300 CSML SM Bulk Packaging, priced per radio (EU) (UK cord)</t>
  </si>
  <si>
    <t>C050910C461A</t>
  </si>
  <si>
    <t>ePMP 5 GHz Force 300 CSML SM Bulk Packaging, priced per radio (ROW) (India cord)</t>
  </si>
  <si>
    <t>C050910C462A</t>
  </si>
  <si>
    <t>ePMP 5 GHz Force 300 CSML SM Bulk Packaging, priced per radio (India) (India Cord)</t>
  </si>
  <si>
    <t>C050910C561A</t>
  </si>
  <si>
    <t>ePMP 5 GHz Force 300 CSML SM Bulk Packaging, priced per radio (ROW) (China cord)</t>
  </si>
  <si>
    <t>C050910S161A</t>
  </si>
  <si>
    <t>ePMP 5 GHz Force 300 CSML SM Bulk Packaging, priced per radio (ROW) (US cord) – Mexico</t>
  </si>
  <si>
    <t>C050910C661A</t>
  </si>
  <si>
    <t>ePMP 5 GHz Force 300 CSML SM Bulk Packaging, priced per radio (ROW) (Brazil cord)</t>
  </si>
  <si>
    <t>C050910C761A</t>
  </si>
  <si>
    <t>ePMP 5 GHz Force 300 CSML SM Bulk Packaging, priced per radio (ROW) (Argentina cord)</t>
  </si>
  <si>
    <t>C050910C861A</t>
  </si>
  <si>
    <t>ePMP 5 GHz Force 300 CSML SM Bulk Packaging, priced per radio Bulk Packaging (ROW) (ANZ cord)</t>
  </si>
  <si>
    <t>C050910C961A</t>
  </si>
  <si>
    <t>ePMP 5 GHz Force 300 CSML SM Bulk Packaging, priced per radio (ROW) (South Africa cord)</t>
  </si>
  <si>
    <t>C050910CZ61A</t>
  </si>
  <si>
    <t>ePMP 5 GHz Force 300 CSML SM Bulk Packaging, priced per radio (ROW) (No PSU)</t>
  </si>
  <si>
    <t>PTP 700 Extended Warranty, 2 additional years</t>
  </si>
  <si>
    <t>PTP 700 Extended Warranty, 3 additional years</t>
  </si>
  <si>
    <t>PTP 700 Extended Warranty, 4 additional years</t>
  </si>
  <si>
    <t>|</t>
  </si>
  <si>
    <t xml:space="preserve"> &lt;–––+</t>
  </si>
  <si>
    <t>April 2022 v1.4</t>
  </si>
  <si>
    <t>XV2-2T Wi-Fi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</si>
</sst>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164" formatCode="_-&quot;$&quot;* #,##0.00_-;\-&quot;$&quot;* #,##0.00_-;_-&quot;$&quot;* &quot;-&quot;??_-;_-@_-"/>
    <numFmt numFmtId="165" formatCode="&quot;$&quot;#,##0.00"/>
    <numFmt numFmtId="166" formatCode="#,##0.00\ [$€];[Red]\-#,##0.00\ [$€]"/>
    <numFmt numFmtId="167" formatCode="0.0%"/>
    <numFmt numFmtId="168" formatCode="#,##0;[Red]#,##0"/>
  </numFmts>
  <fonts count="63"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font>
    <font>
      <sz val="11"/>
      <color theme="1"/>
      <name val="Calibri"/>
      <family val="2"/>
    </font>
    <font>
      <sz val="11"/>
      <color theme="1"/>
      <name val="Calibri"/>
      <family val="2"/>
      <scheme val="minor"/>
    </font>
    <font>
      <sz val="10"/>
      <name val="Arial"/>
      <family val="2"/>
    </font>
    <font>
      <sz val="9"/>
      <name val="Arial"/>
      <family val="2"/>
    </font>
    <font>
      <b/>
      <sz val="9"/>
      <color indexed="9"/>
      <name val="Arial"/>
      <family val="2"/>
    </font>
    <font>
      <b/>
      <sz val="11"/>
      <color theme="1"/>
      <name val="Calibri"/>
      <family val="2"/>
      <scheme val="minor"/>
    </font>
    <font>
      <b/>
      <sz val="11"/>
      <color theme="1" tint="0.34998626667073579"/>
      <name val="Calibri"/>
      <family val="2"/>
      <scheme val="minor"/>
    </font>
    <font>
      <b/>
      <sz val="11"/>
      <color indexed="9"/>
      <name val="Calibri"/>
      <family val="2"/>
      <scheme val="minor"/>
    </font>
    <font>
      <sz val="10"/>
      <color theme="1"/>
      <name val="Arial"/>
      <family val="2"/>
    </font>
    <font>
      <b/>
      <sz val="10"/>
      <name val="Arial"/>
      <family val="2"/>
    </font>
    <font>
      <u/>
      <sz val="11"/>
      <color theme="10"/>
      <name val="Calibri"/>
      <family val="2"/>
      <scheme val="minor"/>
    </font>
    <font>
      <sz val="12"/>
      <color theme="1"/>
      <name val="Calibri"/>
      <family val="2"/>
      <scheme val="minor"/>
    </font>
    <font>
      <sz val="16"/>
      <name val="Arial"/>
      <family val="2"/>
    </font>
    <font>
      <sz val="11"/>
      <color rgb="FFFF0000"/>
      <name val="Calibri"/>
      <family val="2"/>
      <scheme val="minor"/>
    </font>
    <font>
      <b/>
      <sz val="11"/>
      <name val="Arial"/>
      <family val="2"/>
    </font>
    <font>
      <sz val="9"/>
      <color theme="0" tint="-0.249977111117893"/>
      <name val="Arial"/>
      <family val="2"/>
    </font>
    <font>
      <b/>
      <sz val="11"/>
      <color indexed="9"/>
      <name val="Arial"/>
      <family val="2"/>
    </font>
    <font>
      <sz val="8"/>
      <name val="Calibri"/>
      <family val="2"/>
      <scheme val="minor"/>
    </font>
    <font>
      <b/>
      <sz val="11"/>
      <color theme="1"/>
      <name val="Arial"/>
      <family val="2"/>
    </font>
    <font>
      <b/>
      <sz val="18"/>
      <color theme="1"/>
      <name val="Calibri"/>
      <family val="2"/>
      <scheme val="minor"/>
    </font>
    <font>
      <b/>
      <sz val="11"/>
      <color rgb="FFCC3300"/>
      <name val="Arial"/>
      <family val="2"/>
    </font>
    <font>
      <sz val="11"/>
      <name val="Calibri"/>
      <family val="2"/>
      <scheme val="minor"/>
    </font>
    <font>
      <sz val="11"/>
      <color theme="0"/>
      <name val="Arial"/>
      <family val="2"/>
    </font>
    <font>
      <sz val="11"/>
      <color theme="4" tint="-0.249977111117893"/>
      <name val="Arial"/>
      <family val="2"/>
    </font>
    <font>
      <sz val="10"/>
      <color theme="0"/>
      <name val="Calibri"/>
      <family val="2"/>
      <scheme val="minor"/>
    </font>
    <font>
      <b/>
      <sz val="10"/>
      <color theme="0"/>
      <name val="Calibri"/>
      <family val="2"/>
    </font>
    <font>
      <sz val="11"/>
      <color theme="0"/>
      <name val="Calibri"/>
      <family val="2"/>
      <scheme val="minor"/>
    </font>
    <font>
      <sz val="12"/>
      <name val="Arial"/>
      <family val="2"/>
    </font>
    <font>
      <b/>
      <sz val="10"/>
      <color indexed="9"/>
      <name val="Arial"/>
      <family val="2"/>
    </font>
    <font>
      <sz val="8"/>
      <name val="Arial"/>
      <family val="2"/>
    </font>
    <font>
      <sz val="8"/>
      <name val="Arial"/>
      <family val="2"/>
    </font>
    <font>
      <b/>
      <sz val="7"/>
      <name val="Arial"/>
      <family val="2"/>
    </font>
    <font>
      <b/>
      <sz val="11"/>
      <color rgb="FFC00000"/>
      <name val="Calibri"/>
      <family val="2"/>
      <scheme val="minor"/>
    </font>
    <font>
      <i/>
      <sz val="11"/>
      <color theme="1"/>
      <name val="Calibri"/>
      <family val="2"/>
      <scheme val="minor"/>
    </font>
    <font>
      <sz val="9"/>
      <color theme="1"/>
      <name val="Arial"/>
      <family val="2"/>
    </font>
    <font>
      <b/>
      <sz val="10"/>
      <color theme="1"/>
      <name val="Arial"/>
      <family val="2"/>
    </font>
    <font>
      <b/>
      <sz val="9"/>
      <color theme="1"/>
      <name val="Arial"/>
      <family val="2"/>
    </font>
    <font>
      <b/>
      <sz val="12"/>
      <color theme="1"/>
      <name val="Calibri"/>
      <family val="2"/>
      <scheme val="minor"/>
    </font>
    <font>
      <b/>
      <sz val="11"/>
      <color theme="0"/>
      <name val="Calibri"/>
      <family val="2"/>
      <scheme val="minor"/>
    </font>
    <font>
      <b/>
      <sz val="16"/>
      <color theme="1"/>
      <name val="Calibri"/>
      <family val="2"/>
      <scheme val="minor"/>
    </font>
    <font>
      <b/>
      <sz val="11"/>
      <color theme="1"/>
      <name val="Calibri"/>
      <family val="2"/>
    </font>
    <font>
      <b/>
      <sz val="11"/>
      <color rgb="FF000000"/>
      <name val="Calibri"/>
      <family val="2"/>
    </font>
    <font>
      <sz val="11"/>
      <color rgb="FF000000"/>
      <name val="Calibri"/>
      <family val="2"/>
    </font>
    <font>
      <b/>
      <sz val="8"/>
      <color rgb="FFFF0000"/>
      <name val="Arial"/>
      <family val="2"/>
    </font>
    <font>
      <b/>
      <sz val="16"/>
      <color theme="0"/>
      <name val="Calibri"/>
      <family val="2"/>
      <scheme val="minor"/>
    </font>
    <font>
      <sz val="16"/>
      <color theme="0"/>
      <name val="Calibri"/>
      <family val="2"/>
      <scheme val="minor"/>
    </font>
    <font>
      <b/>
      <sz val="10"/>
      <color theme="1"/>
      <name val="Calibri"/>
      <family val="2"/>
      <scheme val="minor"/>
    </font>
    <font>
      <sz val="10"/>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sz val="9"/>
      <color rgb="FF000000"/>
      <name val="Calibri"/>
      <family val="2"/>
      <scheme val="minor"/>
    </font>
    <font>
      <sz val="10"/>
      <color theme="1" tint="0.34998626667073579"/>
      <name val="Calibri"/>
      <family val="2"/>
      <scheme val="minor"/>
    </font>
    <font>
      <b/>
      <sz val="11"/>
      <color rgb="FFFF0000"/>
      <name val="Calibri"/>
      <family val="2"/>
      <scheme val="minor"/>
    </font>
    <font>
      <b/>
      <sz val="11"/>
      <name val="Calibri"/>
      <family val="2"/>
      <scheme val="minor"/>
    </font>
    <font>
      <strike/>
      <sz val="10"/>
      <name val="Calibri"/>
      <family val="2"/>
      <scheme val="minor"/>
    </font>
    <font>
      <strike/>
      <sz val="10"/>
      <color theme="1"/>
      <name val="Calibri"/>
      <family val="2"/>
      <scheme val="minor"/>
    </font>
    <font>
      <strike/>
      <sz val="11"/>
      <color theme="1"/>
      <name val="Calibri"/>
      <family val="2"/>
      <scheme val="minor"/>
    </font>
    <font>
      <sz val="11"/>
      <color rgb="FF00000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4" tint="0.39997558519241921"/>
        <bgColor indexed="65"/>
      </patternFill>
    </fill>
    <fill>
      <patternFill patternType="solid">
        <fgColor rgb="FF0070C0"/>
        <bgColor indexed="64"/>
      </patternFill>
    </fill>
    <fill>
      <patternFill patternType="solid">
        <fgColor theme="5"/>
        <bgColor indexed="64"/>
      </patternFill>
    </fill>
    <fill>
      <patternFill patternType="solid">
        <fgColor rgb="FFD0D0D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AED39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5B9BD5"/>
        <bgColor indexed="64"/>
      </patternFill>
    </fill>
    <fill>
      <patternFill patternType="solid">
        <fgColor rgb="FFD9D9D9"/>
        <bgColor indexed="64"/>
      </patternFill>
    </fill>
    <fill>
      <patternFill patternType="solid">
        <fgColor rgb="FF003D79"/>
        <bgColor indexed="64"/>
      </patternFill>
    </fill>
    <fill>
      <patternFill patternType="solid">
        <fgColor theme="0" tint="-0.14999847407452621"/>
        <bgColor indexed="64"/>
      </patternFill>
    </fill>
    <fill>
      <patternFill patternType="solid">
        <fgColor rgb="FFFFFF99"/>
        <bgColor indexed="64"/>
      </patternFill>
    </fill>
    <fill>
      <patternFill patternType="solid">
        <fgColor theme="8" tint="0.59999389629810485"/>
        <bgColor indexed="64"/>
      </patternFill>
    </fill>
    <fill>
      <patternFill patternType="solid">
        <fgColor theme="3"/>
        <bgColor indexed="64"/>
      </patternFill>
    </fill>
    <fill>
      <patternFill patternType="solid">
        <fgColor rgb="FFFFFFFF"/>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auto="1"/>
      </left>
      <right style="medium">
        <color auto="1"/>
      </right>
      <top style="thin">
        <color auto="1"/>
      </top>
      <bottom style="medium">
        <color indexed="64"/>
      </bottom>
      <diagonal/>
    </border>
    <border>
      <left style="medium">
        <color indexed="64"/>
      </left>
      <right style="dashed">
        <color indexed="64"/>
      </right>
      <top style="medium">
        <color indexed="64"/>
      </top>
      <bottom style="medium">
        <color indexed="64"/>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indexed="64"/>
      </left>
      <right style="thin">
        <color indexed="64"/>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auto="1"/>
      </left>
      <right/>
      <top/>
      <bottom style="thin">
        <color auto="1"/>
      </bottom>
      <diagonal/>
    </border>
    <border>
      <left/>
      <right style="thin">
        <color auto="1"/>
      </right>
      <top/>
      <bottom style="thin">
        <color auto="1"/>
      </bottom>
      <diagonal/>
    </border>
    <border>
      <left/>
      <right/>
      <top/>
      <bottom style="thin">
        <color indexed="64"/>
      </bottom>
      <diagonal/>
    </border>
    <border>
      <left/>
      <right style="medium">
        <color indexed="64"/>
      </right>
      <top/>
      <bottom style="thin">
        <color auto="1"/>
      </bottom>
      <diagonal/>
    </border>
    <border>
      <left style="thin">
        <color indexed="64"/>
      </left>
      <right style="medium">
        <color indexed="64"/>
      </right>
      <top/>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medium">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3">
    <xf numFmtId="0" fontId="0" fillId="0" borderId="0"/>
    <xf numFmtId="0" fontId="6" fillId="0" borderId="0"/>
    <xf numFmtId="44" fontId="6" fillId="0" borderId="0" applyFont="0" applyFill="0" applyBorder="0" applyAlignment="0" applyProtection="0"/>
    <xf numFmtId="0" fontId="5"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0" borderId="0" applyNumberForma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4" fontId="6" fillId="0" borderId="0" applyFont="0" applyFill="0" applyBorder="0" applyAlignment="0" applyProtection="0"/>
    <xf numFmtId="0" fontId="5" fillId="0" borderId="0"/>
    <xf numFmtId="44" fontId="15" fillId="0" borderId="0" applyFont="0" applyFill="0" applyBorder="0" applyAlignment="0" applyProtection="0"/>
    <xf numFmtId="0" fontId="28" fillId="7" borderId="3">
      <alignment horizontal="left" vertical="center"/>
    </xf>
    <xf numFmtId="0" fontId="29" fillId="8" borderId="3">
      <alignment horizontal="left" vertical="center"/>
    </xf>
    <xf numFmtId="0" fontId="5" fillId="0" borderId="0"/>
    <xf numFmtId="44" fontId="5" fillId="0" borderId="0" applyFont="0" applyFill="0" applyBorder="0" applyAlignment="0" applyProtection="0"/>
    <xf numFmtId="0" fontId="5" fillId="0" borderId="0"/>
    <xf numFmtId="0" fontId="14" fillId="0" borderId="0" applyNumberFormat="0" applyFill="0" applyBorder="0" applyAlignment="0" applyProtection="0"/>
    <xf numFmtId="0" fontId="33" fillId="0" borderId="0"/>
    <xf numFmtId="0" fontId="34" fillId="0" borderId="0"/>
    <xf numFmtId="0" fontId="4" fillId="6" borderId="0" applyNumberFormat="0" applyBorder="0" applyAlignment="0" applyProtection="0"/>
    <xf numFmtId="0" fontId="33" fillId="0" borderId="0"/>
    <xf numFmtId="0" fontId="3" fillId="6" borderId="0" applyNumberFormat="0" applyBorder="0" applyAlignment="0" applyProtection="0"/>
    <xf numFmtId="166" fontId="5" fillId="0" borderId="0"/>
    <xf numFmtId="9" fontId="5" fillId="0" borderId="0" applyFont="0" applyFill="0" applyBorder="0" applyAlignment="0" applyProtection="0"/>
    <xf numFmtId="0" fontId="3" fillId="0" borderId="0"/>
    <xf numFmtId="166" fontId="5" fillId="0" borderId="0"/>
  </cellStyleXfs>
  <cellXfs count="553">
    <xf numFmtId="0" fontId="0" fillId="0" borderId="0" xfId="0"/>
    <xf numFmtId="0" fontId="7" fillId="0" borderId="0" xfId="1" applyFont="1" applyAlignment="1">
      <alignment vertical="top"/>
    </xf>
    <xf numFmtId="0" fontId="12" fillId="0" borderId="5" xfId="1" applyFont="1" applyFill="1" applyBorder="1" applyAlignment="1">
      <alignment vertical="top" wrapText="1"/>
    </xf>
    <xf numFmtId="0" fontId="12" fillId="0" borderId="5" xfId="6" applyNumberFormat="1" applyFont="1" applyFill="1" applyBorder="1" applyAlignment="1">
      <alignment horizontal="center" vertical="top"/>
    </xf>
    <xf numFmtId="165" fontId="12" fillId="0" borderId="5" xfId="5" applyNumberFormat="1" applyFont="1" applyFill="1" applyBorder="1" applyAlignment="1">
      <alignment horizontal="center" vertical="top"/>
    </xf>
    <xf numFmtId="0" fontId="12" fillId="0" borderId="5" xfId="1" applyFont="1" applyBorder="1" applyAlignment="1">
      <alignment vertical="top" wrapText="1"/>
    </xf>
    <xf numFmtId="0" fontId="0" fillId="3" borderId="6" xfId="0" applyFill="1" applyBorder="1" applyAlignment="1" applyProtection="1">
      <alignment horizontal="center"/>
      <protection locked="0"/>
    </xf>
    <xf numFmtId="0" fontId="0" fillId="0" borderId="0" xfId="0" applyAlignment="1">
      <alignment horizontal="center"/>
    </xf>
    <xf numFmtId="0" fontId="7" fillId="0" borderId="0" xfId="1" applyFont="1" applyAlignment="1">
      <alignment vertical="top"/>
    </xf>
    <xf numFmtId="0" fontId="8" fillId="5" borderId="10" xfId="1" quotePrefix="1" applyFont="1" applyFill="1" applyBorder="1" applyAlignment="1">
      <alignment horizontal="center" vertical="center"/>
    </xf>
    <xf numFmtId="0" fontId="19" fillId="5" borderId="10" xfId="2" applyNumberFormat="1" applyFont="1" applyFill="1" applyBorder="1" applyAlignment="1">
      <alignment horizontal="center" vertical="center" wrapText="1"/>
    </xf>
    <xf numFmtId="0" fontId="7" fillId="2" borderId="0" xfId="1" applyFont="1" applyFill="1" applyAlignment="1">
      <alignment vertical="top"/>
    </xf>
    <xf numFmtId="0" fontId="16" fillId="2" borderId="0" xfId="1" applyFont="1" applyFill="1" applyAlignment="1">
      <alignment horizontal="center" vertical="top"/>
    </xf>
    <xf numFmtId="0" fontId="16" fillId="2" borderId="0" xfId="1" applyFont="1" applyFill="1" applyAlignment="1">
      <alignment horizontal="centerContinuous" vertical="top"/>
    </xf>
    <xf numFmtId="0" fontId="6" fillId="0" borderId="16" xfId="1" applyFont="1" applyFill="1" applyBorder="1" applyAlignment="1">
      <alignment vertical="top"/>
    </xf>
    <xf numFmtId="0" fontId="12" fillId="0" borderId="16" xfId="1" applyFont="1" applyFill="1" applyBorder="1" applyAlignment="1">
      <alignment vertical="top"/>
    </xf>
    <xf numFmtId="0" fontId="0" fillId="2" borderId="0" xfId="0" applyFill="1"/>
    <xf numFmtId="0" fontId="0" fillId="2" borderId="0" xfId="0" applyFill="1" applyBorder="1"/>
    <xf numFmtId="0" fontId="10" fillId="2" borderId="8" xfId="0" applyFont="1" applyFill="1" applyBorder="1"/>
    <xf numFmtId="0" fontId="9" fillId="2" borderId="0" xfId="0" applyFont="1" applyFill="1"/>
    <xf numFmtId="0" fontId="17" fillId="2" borderId="0" xfId="0" applyFont="1" applyFill="1"/>
    <xf numFmtId="0" fontId="14" fillId="2" borderId="14" xfId="7" applyFill="1" applyBorder="1"/>
    <xf numFmtId="0" fontId="10" fillId="2" borderId="12" xfId="0" applyFont="1" applyFill="1" applyBorder="1"/>
    <xf numFmtId="0" fontId="0" fillId="2" borderId="0" xfId="0" applyFill="1" applyAlignment="1">
      <alignment horizontal="centerContinuous"/>
    </xf>
    <xf numFmtId="165" fontId="7" fillId="2" borderId="0" xfId="1" applyNumberFormat="1" applyFont="1" applyFill="1" applyAlignment="1">
      <alignment vertical="top"/>
    </xf>
    <xf numFmtId="165" fontId="16" fillId="2" borderId="0" xfId="1" applyNumberFormat="1" applyFont="1" applyFill="1" applyAlignment="1">
      <alignment horizontal="center" vertical="top"/>
    </xf>
    <xf numFmtId="165" fontId="16" fillId="2" borderId="0" xfId="1" applyNumberFormat="1" applyFont="1" applyFill="1" applyAlignment="1">
      <alignment horizontal="centerContinuous" vertical="top"/>
    </xf>
    <xf numFmtId="165" fontId="8" fillId="5" borderId="10" xfId="2" quotePrefix="1" applyNumberFormat="1" applyFont="1" applyFill="1" applyBorder="1" applyAlignment="1">
      <alignment horizontal="center" vertical="center" wrapText="1"/>
    </xf>
    <xf numFmtId="165" fontId="6" fillId="0" borderId="5" xfId="5" applyNumberFormat="1" applyFont="1" applyFill="1" applyBorder="1" applyAlignment="1">
      <alignment horizontal="center" vertical="top"/>
    </xf>
    <xf numFmtId="165" fontId="7" fillId="0" borderId="0" xfId="1" applyNumberFormat="1" applyFont="1" applyAlignment="1">
      <alignment vertical="top"/>
    </xf>
    <xf numFmtId="0" fontId="22" fillId="5" borderId="15" xfId="1" quotePrefix="1" applyFont="1" applyFill="1" applyBorder="1" applyAlignment="1">
      <alignment horizontal="left" vertical="center"/>
    </xf>
    <xf numFmtId="0" fontId="7" fillId="4" borderId="1" xfId="1" applyFont="1" applyFill="1" applyBorder="1" applyAlignment="1">
      <alignment vertical="top"/>
    </xf>
    <xf numFmtId="0" fontId="23" fillId="2" borderId="0" xfId="0" applyFont="1" applyFill="1" applyAlignment="1">
      <alignment horizontal="centerContinuous"/>
    </xf>
    <xf numFmtId="0" fontId="0" fillId="4" borderId="1" xfId="0" applyFill="1" applyBorder="1"/>
    <xf numFmtId="0" fontId="11" fillId="4" borderId="3" xfId="1" quotePrefix="1" applyFont="1" applyFill="1" applyBorder="1" applyAlignment="1">
      <alignment horizontal="left" vertical="top"/>
    </xf>
    <xf numFmtId="0" fontId="11" fillId="4" borderId="4" xfId="1" quotePrefix="1" applyFont="1" applyFill="1" applyBorder="1" applyAlignment="1">
      <alignment horizontal="left" vertical="top"/>
    </xf>
    <xf numFmtId="0" fontId="0" fillId="4" borderId="8" xfId="0" applyFill="1" applyBorder="1"/>
    <xf numFmtId="0" fontId="0" fillId="4" borderId="12" xfId="0" applyFill="1" applyBorder="1"/>
    <xf numFmtId="0" fontId="0" fillId="4" borderId="17" xfId="0" applyFill="1" applyBorder="1" applyAlignment="1">
      <alignment horizontal="center"/>
    </xf>
    <xf numFmtId="0" fontId="0" fillId="4" borderId="7" xfId="0" applyFill="1" applyBorder="1" applyAlignment="1">
      <alignment horizontal="center"/>
    </xf>
    <xf numFmtId="0" fontId="0" fillId="4" borderId="17" xfId="0" applyFill="1" applyBorder="1"/>
    <xf numFmtId="0" fontId="7" fillId="4" borderId="8" xfId="1" applyFont="1" applyFill="1" applyBorder="1" applyAlignment="1">
      <alignment vertical="top"/>
    </xf>
    <xf numFmtId="0" fontId="22" fillId="5" borderId="18" xfId="1" quotePrefix="1" applyFont="1" applyFill="1" applyBorder="1" applyAlignment="1">
      <alignment horizontal="left" vertical="center"/>
    </xf>
    <xf numFmtId="0" fontId="8" fillId="5" borderId="19" xfId="1" quotePrefix="1" applyFont="1" applyFill="1" applyBorder="1" applyAlignment="1">
      <alignment horizontal="center" vertical="center"/>
    </xf>
    <xf numFmtId="165" fontId="8" fillId="5" borderId="19" xfId="2" quotePrefix="1" applyNumberFormat="1" applyFont="1" applyFill="1" applyBorder="1" applyAlignment="1">
      <alignment horizontal="center" vertical="center" wrapText="1"/>
    </xf>
    <xf numFmtId="0" fontId="19" fillId="5" borderId="19" xfId="2" applyNumberFormat="1" applyFont="1" applyFill="1" applyBorder="1" applyAlignment="1">
      <alignment horizontal="center" vertical="center" wrapText="1"/>
    </xf>
    <xf numFmtId="0" fontId="7" fillId="0" borderId="0" xfId="1" applyFont="1" applyAlignment="1">
      <alignment horizontal="centerContinuous" vertical="top"/>
    </xf>
    <xf numFmtId="0" fontId="23" fillId="2" borderId="0" xfId="0" applyFont="1" applyFill="1" applyAlignment="1">
      <alignment horizontal="left"/>
    </xf>
    <xf numFmtId="0" fontId="7" fillId="2" borderId="0" xfId="1" applyFont="1" applyFill="1" applyAlignment="1"/>
    <xf numFmtId="0" fontId="18" fillId="2" borderId="0" xfId="1" applyFont="1" applyFill="1" applyAlignment="1"/>
    <xf numFmtId="165" fontId="7" fillId="2" borderId="0" xfId="1" applyNumberFormat="1" applyFont="1" applyFill="1" applyAlignment="1"/>
    <xf numFmtId="0" fontId="7" fillId="0" borderId="0" xfId="1" applyFont="1" applyAlignment="1"/>
    <xf numFmtId="0" fontId="20" fillId="4" borderId="2" xfId="1" quotePrefix="1" applyFont="1" applyFill="1" applyBorder="1" applyAlignment="1">
      <alignment horizontal="left" vertical="center"/>
    </xf>
    <xf numFmtId="0" fontId="27" fillId="4" borderId="2" xfId="1" quotePrefix="1" applyFont="1" applyFill="1" applyBorder="1" applyAlignment="1">
      <alignment horizontal="center" vertical="center"/>
    </xf>
    <xf numFmtId="0" fontId="6" fillId="0" borderId="5" xfId="5" applyNumberFormat="1" applyFont="1" applyFill="1" applyBorder="1" applyAlignment="1">
      <alignment horizontal="center" vertical="top"/>
    </xf>
    <xf numFmtId="0" fontId="14" fillId="0" borderId="13" xfId="7" applyFill="1" applyBorder="1"/>
    <xf numFmtId="0" fontId="5" fillId="3" borderId="6" xfId="1" quotePrefix="1" applyFont="1" applyFill="1" applyBorder="1" applyAlignment="1">
      <alignment horizontal="center" vertical="top"/>
    </xf>
    <xf numFmtId="0" fontId="7" fillId="2" borderId="0" xfId="1" applyFont="1" applyFill="1" applyAlignment="1">
      <alignment horizontal="center" vertical="top"/>
    </xf>
    <xf numFmtId="0" fontId="7" fillId="2" borderId="2" xfId="1" applyFont="1" applyFill="1" applyBorder="1" applyAlignment="1">
      <alignment vertical="top"/>
    </xf>
    <xf numFmtId="0" fontId="6" fillId="2" borderId="2" xfId="1" applyFont="1" applyFill="1" applyBorder="1" applyAlignment="1">
      <alignment vertical="top"/>
    </xf>
    <xf numFmtId="0" fontId="6" fillId="2" borderId="2" xfId="1" applyFont="1" applyFill="1" applyBorder="1" applyAlignment="1">
      <alignment vertical="top" wrapText="1"/>
    </xf>
    <xf numFmtId="165" fontId="6" fillId="2" borderId="2" xfId="5" applyNumberFormat="1" applyFont="1" applyFill="1" applyBorder="1" applyAlignment="1">
      <alignment horizontal="center" vertical="top"/>
    </xf>
    <xf numFmtId="0" fontId="6" fillId="2" borderId="2" xfId="6" applyNumberFormat="1" applyFont="1" applyFill="1" applyBorder="1" applyAlignment="1">
      <alignment horizontal="center" vertical="top"/>
    </xf>
    <xf numFmtId="165" fontId="12" fillId="2" borderId="2" xfId="5" applyNumberFormat="1" applyFont="1" applyFill="1" applyBorder="1" applyAlignment="1">
      <alignment horizontal="center" vertical="top"/>
    </xf>
    <xf numFmtId="0" fontId="12" fillId="0" borderId="16" xfId="1" quotePrefix="1" applyFont="1" applyFill="1" applyBorder="1" applyAlignment="1">
      <alignment horizontal="left" vertical="top"/>
    </xf>
    <xf numFmtId="0" fontId="23" fillId="2" borderId="0" xfId="0" applyFont="1" applyFill="1" applyAlignment="1">
      <alignment horizontal="center"/>
    </xf>
    <xf numFmtId="0" fontId="30" fillId="2" borderId="0" xfId="0" applyFont="1" applyFill="1"/>
    <xf numFmtId="0" fontId="7" fillId="2" borderId="0" xfId="1" applyFont="1" applyFill="1" applyAlignment="1">
      <alignment vertical="center"/>
    </xf>
    <xf numFmtId="0" fontId="6" fillId="2" borderId="0" xfId="1" applyFont="1" applyFill="1" applyAlignment="1">
      <alignment vertical="center"/>
    </xf>
    <xf numFmtId="165" fontId="6" fillId="2" borderId="0" xfId="1" applyNumberFormat="1" applyFont="1" applyFill="1" applyAlignment="1">
      <alignment vertical="center"/>
    </xf>
    <xf numFmtId="0" fontId="13" fillId="2" borderId="0" xfId="1" applyFont="1" applyFill="1" applyAlignment="1">
      <alignment horizontal="right" vertical="center"/>
    </xf>
    <xf numFmtId="165" fontId="13" fillId="2" borderId="22" xfId="1" applyNumberFormat="1" applyFont="1" applyFill="1" applyBorder="1" applyAlignment="1">
      <alignment horizontal="center" vertical="center"/>
    </xf>
    <xf numFmtId="0" fontId="7" fillId="0" borderId="0" xfId="1" applyFont="1" applyAlignment="1">
      <alignment vertical="center"/>
    </xf>
    <xf numFmtId="0" fontId="30" fillId="0" borderId="0" xfId="0" applyFont="1"/>
    <xf numFmtId="0" fontId="14" fillId="2" borderId="14" xfId="7" quotePrefix="1" applyFill="1" applyBorder="1" applyAlignment="1">
      <alignment horizontal="left" vertical="top"/>
    </xf>
    <xf numFmtId="165" fontId="12" fillId="2" borderId="5" xfId="2" quotePrefix="1" applyNumberFormat="1" applyFont="1" applyFill="1" applyBorder="1" applyAlignment="1">
      <alignment horizontal="center" vertical="top" wrapText="1"/>
    </xf>
    <xf numFmtId="0" fontId="12" fillId="2" borderId="5" xfId="2" applyNumberFormat="1" applyFont="1" applyFill="1" applyBorder="1" applyAlignment="1">
      <alignment horizontal="center" vertical="top" wrapText="1"/>
    </xf>
    <xf numFmtId="0" fontId="24" fillId="4" borderId="14" xfId="1" quotePrefix="1" applyFont="1" applyFill="1" applyBorder="1" applyAlignment="1">
      <alignment horizontal="center" vertical="center" wrapText="1"/>
    </xf>
    <xf numFmtId="42" fontId="8" fillId="5" borderId="23" xfId="2" applyNumberFormat="1" applyFont="1" applyFill="1" applyBorder="1" applyAlignment="1">
      <alignment horizontal="center" vertical="center" wrapText="1"/>
    </xf>
    <xf numFmtId="165" fontId="12" fillId="0" borderId="24" xfId="5" applyNumberFormat="1" applyFont="1" applyFill="1" applyBorder="1" applyAlignment="1">
      <alignment horizontal="center" vertical="top"/>
    </xf>
    <xf numFmtId="165" fontId="6" fillId="0" borderId="24" xfId="5" applyNumberFormat="1" applyFont="1" applyFill="1" applyBorder="1" applyAlignment="1">
      <alignment horizontal="center" vertical="top"/>
    </xf>
    <xf numFmtId="42" fontId="8" fillId="5" borderId="25" xfId="2" applyNumberFormat="1" applyFont="1" applyFill="1" applyBorder="1" applyAlignment="1">
      <alignment horizontal="center" vertical="center" wrapText="1"/>
    </xf>
    <xf numFmtId="0" fontId="32" fillId="4" borderId="2" xfId="1" quotePrefix="1" applyFont="1" applyFill="1" applyBorder="1" applyAlignment="1">
      <alignment horizontal="left" vertical="center"/>
    </xf>
    <xf numFmtId="0" fontId="32" fillId="4" borderId="2" xfId="1" quotePrefix="1" applyFont="1" applyFill="1" applyBorder="1" applyAlignment="1">
      <alignment horizontal="center" vertical="center"/>
    </xf>
    <xf numFmtId="165" fontId="32" fillId="4" borderId="2" xfId="2" quotePrefix="1" applyNumberFormat="1" applyFont="1" applyFill="1" applyBorder="1" applyAlignment="1">
      <alignment horizontal="center" vertical="center" wrapText="1"/>
    </xf>
    <xf numFmtId="42" fontId="32" fillId="4" borderId="2" xfId="2" applyNumberFormat="1" applyFont="1" applyFill="1" applyBorder="1" applyAlignment="1">
      <alignment horizontal="center" vertical="center" wrapText="1"/>
    </xf>
    <xf numFmtId="42" fontId="32" fillId="4" borderId="11" xfId="2" applyNumberFormat="1" applyFont="1" applyFill="1" applyBorder="1" applyAlignment="1">
      <alignment horizontal="center" vertical="center" wrapText="1"/>
    </xf>
    <xf numFmtId="0" fontId="9" fillId="0" borderId="0" xfId="0" applyFont="1"/>
    <xf numFmtId="0" fontId="0" fillId="2" borderId="8"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2" xfId="0" applyFill="1" applyBorder="1"/>
    <xf numFmtId="0" fontId="9" fillId="5" borderId="20" xfId="1" quotePrefix="1" applyFont="1" applyFill="1" applyBorder="1" applyAlignment="1">
      <alignment horizontal="left" vertical="top"/>
    </xf>
    <xf numFmtId="0" fontId="11" fillId="5" borderId="3" xfId="1" quotePrefix="1" applyFont="1" applyFill="1" applyBorder="1" applyAlignment="1">
      <alignment horizontal="center" vertical="top"/>
    </xf>
    <xf numFmtId="0" fontId="33" fillId="0" borderId="0" xfId="24"/>
    <xf numFmtId="22" fontId="33" fillId="0" borderId="0" xfId="24" applyNumberFormat="1"/>
    <xf numFmtId="0" fontId="26" fillId="4" borderId="0" xfId="1" quotePrefix="1" applyFont="1" applyFill="1" applyBorder="1" applyAlignment="1">
      <alignment horizontal="left" vertical="center"/>
    </xf>
    <xf numFmtId="0" fontId="20" fillId="4" borderId="0" xfId="1" quotePrefix="1" applyFont="1" applyFill="1" applyBorder="1" applyAlignment="1">
      <alignment horizontal="left" vertical="center"/>
    </xf>
    <xf numFmtId="0" fontId="27" fillId="4" borderId="0" xfId="1" quotePrefix="1" applyFont="1" applyFill="1" applyBorder="1" applyAlignment="1">
      <alignment horizontal="center" vertical="center"/>
    </xf>
    <xf numFmtId="0" fontId="10" fillId="2" borderId="8" xfId="0" quotePrefix="1" applyFont="1" applyFill="1" applyBorder="1"/>
    <xf numFmtId="0" fontId="25" fillId="2" borderId="14" xfId="7" applyFont="1" applyFill="1" applyBorder="1"/>
    <xf numFmtId="0" fontId="25" fillId="2" borderId="13" xfId="7" quotePrefix="1" applyFont="1" applyFill="1" applyBorder="1"/>
    <xf numFmtId="0" fontId="12" fillId="2" borderId="16" xfId="1" quotePrefix="1" applyFont="1" applyFill="1" applyBorder="1" applyAlignment="1">
      <alignment horizontal="left" vertical="top"/>
    </xf>
    <xf numFmtId="0" fontId="0" fillId="0" borderId="0" xfId="0" applyFont="1"/>
    <xf numFmtId="0" fontId="12" fillId="0" borderId="15" xfId="1" applyFont="1" applyFill="1" applyBorder="1" applyAlignment="1">
      <alignment vertical="top"/>
    </xf>
    <xf numFmtId="0" fontId="11" fillId="5" borderId="9" xfId="1" quotePrefix="1" applyFont="1" applyFill="1" applyBorder="1" applyAlignment="1">
      <alignment horizontal="center" vertical="top"/>
    </xf>
    <xf numFmtId="0" fontId="0" fillId="2" borderId="21" xfId="0" applyFill="1" applyBorder="1"/>
    <xf numFmtId="0" fontId="11" fillId="5" borderId="4" xfId="1" quotePrefix="1" applyFont="1" applyFill="1" applyBorder="1" applyAlignment="1">
      <alignment horizontal="center" vertical="top"/>
    </xf>
    <xf numFmtId="0" fontId="12" fillId="0" borderId="5" xfId="1" applyFont="1" applyFill="1" applyBorder="1" applyAlignment="1">
      <alignment vertical="top"/>
    </xf>
    <xf numFmtId="165" fontId="6" fillId="0" borderId="28" xfId="5" applyNumberFormat="1" applyFont="1" applyFill="1" applyBorder="1" applyAlignment="1">
      <alignment horizontal="center" vertical="top"/>
    </xf>
    <xf numFmtId="0" fontId="0" fillId="2" borderId="0" xfId="0" applyFill="1" applyAlignment="1">
      <alignment horizontal="center"/>
    </xf>
    <xf numFmtId="0" fontId="0" fillId="2" borderId="0" xfId="0" applyFill="1" applyAlignment="1">
      <alignment horizontal="left"/>
    </xf>
    <xf numFmtId="0" fontId="11" fillId="4" borderId="3" xfId="1" quotePrefix="1" applyFont="1" applyFill="1" applyBorder="1" applyAlignment="1">
      <alignment horizontal="left"/>
    </xf>
    <xf numFmtId="0" fontId="11" fillId="4" borderId="3" xfId="1" quotePrefix="1" applyFont="1" applyFill="1" applyBorder="1" applyAlignment="1">
      <alignment horizontal="center"/>
    </xf>
    <xf numFmtId="0" fontId="11" fillId="4" borderId="3" xfId="1" quotePrefix="1" applyFont="1" applyFill="1" applyBorder="1" applyAlignment="1">
      <alignment horizontal="center" wrapText="1"/>
    </xf>
    <xf numFmtId="0" fontId="5" fillId="2" borderId="29" xfId="1" quotePrefix="1" applyFont="1" applyFill="1" applyBorder="1" applyAlignment="1">
      <alignment horizontal="center" vertical="top"/>
    </xf>
    <xf numFmtId="0" fontId="0" fillId="2" borderId="29" xfId="0" applyFill="1" applyBorder="1" applyAlignment="1" applyProtection="1">
      <alignment horizontal="center"/>
      <protection locked="0"/>
    </xf>
    <xf numFmtId="0" fontId="11" fillId="4" borderId="4" xfId="1" quotePrefix="1" applyFont="1" applyFill="1" applyBorder="1" applyAlignment="1">
      <alignment horizontal="center" wrapText="1"/>
    </xf>
    <xf numFmtId="0" fontId="0" fillId="2" borderId="29" xfId="0" quotePrefix="1" applyFont="1" applyFill="1" applyBorder="1" applyAlignment="1">
      <alignment horizontal="center"/>
    </xf>
    <xf numFmtId="0" fontId="30" fillId="2" borderId="0" xfId="0" applyFont="1" applyFill="1" applyAlignment="1">
      <alignment horizontal="left"/>
    </xf>
    <xf numFmtId="0" fontId="30" fillId="2" borderId="0" xfId="0" applyFont="1" applyFill="1" applyAlignment="1">
      <alignment horizontal="right"/>
    </xf>
    <xf numFmtId="0" fontId="6" fillId="0" borderId="26" xfId="1" applyFont="1" applyFill="1" applyBorder="1" applyAlignment="1">
      <alignment vertical="top"/>
    </xf>
    <xf numFmtId="165" fontId="6" fillId="0" borderId="27" xfId="5" applyNumberFormat="1" applyFont="1" applyFill="1" applyBorder="1" applyAlignment="1">
      <alignment horizontal="center" vertical="top"/>
    </xf>
    <xf numFmtId="0" fontId="6" fillId="0" borderId="27" xfId="5" applyNumberFormat="1" applyFont="1" applyFill="1" applyBorder="1" applyAlignment="1">
      <alignment horizontal="center" vertical="top"/>
    </xf>
    <xf numFmtId="0" fontId="0" fillId="3" borderId="21"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10" fillId="2" borderId="2" xfId="0" applyFont="1" applyFill="1" applyBorder="1"/>
    <xf numFmtId="0" fontId="0" fillId="2" borderId="2" xfId="0" applyFill="1" applyBorder="1" applyAlignment="1" applyProtection="1">
      <alignment horizontal="center"/>
      <protection locked="0"/>
    </xf>
    <xf numFmtId="0" fontId="14" fillId="2" borderId="2" xfId="7" quotePrefix="1" applyFill="1" applyBorder="1" applyAlignment="1">
      <alignment horizontal="left" vertical="top"/>
    </xf>
    <xf numFmtId="0" fontId="0" fillId="2" borderId="0" xfId="0" applyFont="1" applyFill="1" applyAlignment="1">
      <alignment horizontal="center"/>
    </xf>
    <xf numFmtId="0" fontId="9" fillId="2" borderId="0" xfId="1" quotePrefix="1" applyFont="1" applyFill="1" applyBorder="1" applyAlignment="1">
      <alignment horizontal="center" vertical="top"/>
    </xf>
    <xf numFmtId="0" fontId="0" fillId="0" borderId="0" xfId="0" applyFont="1" applyAlignment="1">
      <alignment horizontal="center"/>
    </xf>
    <xf numFmtId="0" fontId="5" fillId="2" borderId="0" xfId="1" quotePrefix="1" applyFont="1" applyFill="1" applyBorder="1" applyAlignment="1">
      <alignment horizontal="center" vertical="top"/>
    </xf>
    <xf numFmtId="0" fontId="0" fillId="2" borderId="0" xfId="0" applyFont="1" applyFill="1" applyAlignment="1">
      <alignment horizontal="centerContinuous"/>
    </xf>
    <xf numFmtId="0" fontId="36" fillId="5" borderId="3" xfId="1" quotePrefix="1" applyFont="1" applyFill="1" applyBorder="1" applyAlignment="1">
      <alignment horizontal="right" vertical="top"/>
    </xf>
    <xf numFmtId="0" fontId="15" fillId="0" borderId="0" xfId="12"/>
    <xf numFmtId="0" fontId="5" fillId="2" borderId="3" xfId="1" quotePrefix="1" applyFont="1" applyFill="1" applyBorder="1" applyAlignment="1">
      <alignment horizontal="center" vertical="top"/>
    </xf>
    <xf numFmtId="0" fontId="37" fillId="2" borderId="0" xfId="0" applyFont="1" applyFill="1"/>
    <xf numFmtId="0" fontId="37" fillId="4" borderId="17" xfId="0" applyFont="1" applyFill="1" applyBorder="1"/>
    <xf numFmtId="0" fontId="37" fillId="0" borderId="0" xfId="0" applyFont="1"/>
    <xf numFmtId="0" fontId="11" fillId="2" borderId="0" xfId="1" quotePrefix="1" applyFont="1" applyFill="1" applyBorder="1" applyAlignment="1">
      <alignment horizontal="left" vertical="top"/>
    </xf>
    <xf numFmtId="0" fontId="11" fillId="2" borderId="14" xfId="1" quotePrefix="1" applyFont="1" applyFill="1" applyBorder="1" applyAlignment="1">
      <alignment horizontal="left" vertical="top"/>
    </xf>
    <xf numFmtId="0" fontId="0" fillId="2" borderId="29" xfId="0" applyFill="1" applyBorder="1" applyAlignment="1" applyProtection="1">
      <alignment horizontal="center"/>
    </xf>
    <xf numFmtId="0" fontId="36" fillId="5" borderId="3" xfId="1" quotePrefix="1" applyFont="1" applyFill="1" applyBorder="1" applyAlignment="1">
      <alignment horizontal="center" vertical="top"/>
    </xf>
    <xf numFmtId="0" fontId="38" fillId="2" borderId="0" xfId="1" applyFont="1" applyFill="1" applyAlignment="1">
      <alignment horizontal="left" vertical="top"/>
    </xf>
    <xf numFmtId="0" fontId="38" fillId="2" borderId="0" xfId="1" applyFont="1" applyFill="1" applyBorder="1" applyAlignment="1">
      <alignment horizontal="left" vertical="center"/>
    </xf>
    <xf numFmtId="0" fontId="38" fillId="2" borderId="0" xfId="1" applyFont="1" applyFill="1" applyAlignment="1">
      <alignment horizontal="left" vertical="center"/>
    </xf>
    <xf numFmtId="0" fontId="38" fillId="0" borderId="0" xfId="1" applyFont="1" applyAlignment="1">
      <alignment horizontal="left" vertical="top"/>
    </xf>
    <xf numFmtId="0" fontId="38" fillId="2" borderId="8" xfId="1" applyFont="1" applyFill="1" applyBorder="1" applyAlignment="1">
      <alignment horizontal="left" vertical="center"/>
    </xf>
    <xf numFmtId="0" fontId="7" fillId="2" borderId="0" xfId="1" applyFont="1" applyFill="1" applyAlignment="1">
      <alignment horizontal="left" vertical="top"/>
    </xf>
    <xf numFmtId="165" fontId="12" fillId="2" borderId="0" xfId="5" applyNumberFormat="1" applyFont="1" applyFill="1" applyBorder="1" applyAlignment="1">
      <alignment horizontal="left" vertical="top"/>
    </xf>
    <xf numFmtId="0" fontId="7" fillId="0" borderId="0" xfId="1" applyFont="1" applyAlignment="1">
      <alignment horizontal="left" vertical="top"/>
    </xf>
    <xf numFmtId="0" fontId="5" fillId="2" borderId="31" xfId="1" quotePrefix="1" applyFont="1" applyFill="1" applyBorder="1" applyAlignment="1">
      <alignment horizontal="center" vertical="top"/>
    </xf>
    <xf numFmtId="0" fontId="9" fillId="2" borderId="0" xfId="0" applyFont="1" applyFill="1" applyAlignment="1">
      <alignment horizontal="center"/>
    </xf>
    <xf numFmtId="0" fontId="0" fillId="2" borderId="0" xfId="0" applyFill="1" applyBorder="1" applyAlignment="1">
      <alignment vertical="top" wrapText="1"/>
    </xf>
    <xf numFmtId="0" fontId="5" fillId="2" borderId="0" xfId="1" quotePrefix="1" applyFont="1" applyFill="1" applyBorder="1" applyAlignment="1">
      <alignment horizontal="left" vertical="top"/>
    </xf>
    <xf numFmtId="0" fontId="0" fillId="2" borderId="0" xfId="0" applyNumberFormat="1" applyFont="1" applyFill="1" applyAlignment="1">
      <alignment horizontal="center"/>
    </xf>
    <xf numFmtId="0" fontId="0" fillId="0" borderId="0" xfId="0" applyNumberFormat="1" applyFont="1" applyAlignment="1">
      <alignment horizontal="center"/>
    </xf>
    <xf numFmtId="0" fontId="10" fillId="2" borderId="0" xfId="0" applyFont="1" applyFill="1" applyBorder="1"/>
    <xf numFmtId="0" fontId="0" fillId="2" borderId="0" xfId="0" applyFill="1" applyBorder="1" applyAlignment="1" applyProtection="1">
      <alignment horizontal="center"/>
      <protection locked="0"/>
    </xf>
    <xf numFmtId="0" fontId="14" fillId="2" borderId="13" xfId="7" quotePrefix="1" applyFill="1" applyBorder="1" applyAlignment="1">
      <alignment horizontal="left" vertical="top"/>
    </xf>
    <xf numFmtId="0" fontId="10" fillId="2" borderId="7" xfId="0" applyFont="1" applyFill="1" applyBorder="1"/>
    <xf numFmtId="0" fontId="10" fillId="2" borderId="17" xfId="1" quotePrefix="1" applyFont="1" applyFill="1" applyBorder="1" applyAlignment="1">
      <alignment horizontal="left" vertical="top"/>
    </xf>
    <xf numFmtId="0" fontId="11" fillId="4" borderId="1" xfId="1" quotePrefix="1" applyFont="1" applyFill="1" applyBorder="1" applyAlignment="1">
      <alignment horizontal="left" vertical="top"/>
    </xf>
    <xf numFmtId="0" fontId="11" fillId="4" borderId="2" xfId="1" quotePrefix="1" applyFont="1" applyFill="1" applyBorder="1" applyAlignment="1">
      <alignment horizontal="left" vertical="top"/>
    </xf>
    <xf numFmtId="0" fontId="0" fillId="2" borderId="3" xfId="0" applyFill="1" applyBorder="1"/>
    <xf numFmtId="0" fontId="0" fillId="2" borderId="9" xfId="0" applyFill="1" applyBorder="1"/>
    <xf numFmtId="0" fontId="14" fillId="2" borderId="13" xfId="7" applyFill="1" applyBorder="1"/>
    <xf numFmtId="0" fontId="14" fillId="2" borderId="3" xfId="7" applyFill="1" applyBorder="1"/>
    <xf numFmtId="0" fontId="0" fillId="2" borderId="3" xfId="0" applyFill="1" applyBorder="1" applyAlignment="1" applyProtection="1">
      <alignment horizontal="center"/>
      <protection locked="0"/>
    </xf>
    <xf numFmtId="0" fontId="0" fillId="2" borderId="0" xfId="0" quotePrefix="1" applyFill="1"/>
    <xf numFmtId="165" fontId="6" fillId="0" borderId="33" xfId="5" applyNumberFormat="1" applyFont="1" applyFill="1" applyBorder="1" applyAlignment="1">
      <alignment horizontal="center" vertical="top"/>
    </xf>
    <xf numFmtId="0" fontId="0" fillId="2" borderId="0" xfId="0" applyFont="1" applyFill="1"/>
    <xf numFmtId="0" fontId="5" fillId="2" borderId="0" xfId="0" applyFont="1" applyFill="1" applyAlignment="1">
      <alignment horizontal="center"/>
    </xf>
    <xf numFmtId="0" fontId="5" fillId="2" borderId="0" xfId="0" applyFont="1" applyFill="1"/>
    <xf numFmtId="0" fontId="38" fillId="2" borderId="0" xfId="1" applyFont="1" applyFill="1" applyAlignment="1">
      <alignment vertical="top"/>
    </xf>
    <xf numFmtId="165" fontId="39" fillId="2" borderId="0" xfId="1" applyNumberFormat="1" applyFont="1" applyFill="1" applyBorder="1" applyAlignment="1">
      <alignment horizontal="left" vertical="center"/>
    </xf>
    <xf numFmtId="0" fontId="38" fillId="2" borderId="0" xfId="1" applyFont="1" applyFill="1" applyAlignment="1">
      <alignment vertical="center"/>
    </xf>
    <xf numFmtId="0" fontId="30" fillId="2" borderId="9" xfId="0" applyFont="1" applyFill="1" applyBorder="1"/>
    <xf numFmtId="0" fontId="0" fillId="0" borderId="0" xfId="0" applyBorder="1"/>
    <xf numFmtId="0" fontId="6" fillId="0" borderId="16" xfId="1" quotePrefix="1" applyFont="1" applyFill="1" applyBorder="1" applyAlignment="1">
      <alignment horizontal="left" vertical="top"/>
    </xf>
    <xf numFmtId="0" fontId="6" fillId="0" borderId="5" xfId="1" applyFont="1" applyFill="1" applyBorder="1" applyAlignment="1">
      <alignment vertical="top" wrapText="1"/>
    </xf>
    <xf numFmtId="0" fontId="6" fillId="0" borderId="27" xfId="1" applyFont="1" applyFill="1" applyBorder="1" applyAlignment="1">
      <alignment vertical="top" wrapText="1"/>
    </xf>
    <xf numFmtId="0" fontId="5" fillId="2" borderId="14" xfId="7" quotePrefix="1" applyFont="1" applyFill="1" applyBorder="1" applyAlignment="1">
      <alignment horizontal="left" vertical="top"/>
    </xf>
    <xf numFmtId="0" fontId="0" fillId="2" borderId="9" xfId="0" applyFont="1" applyFill="1" applyBorder="1"/>
    <xf numFmtId="0" fontId="9" fillId="2" borderId="0" xfId="0" applyFont="1" applyFill="1" applyBorder="1" applyAlignment="1">
      <alignment horizontal="center" vertical="top" wrapText="1"/>
    </xf>
    <xf numFmtId="0" fontId="0" fillId="2" borderId="0" xfId="0" applyFont="1" applyFill="1" applyAlignment="1">
      <alignment horizontal="left"/>
    </xf>
    <xf numFmtId="0" fontId="9" fillId="2" borderId="0" xfId="1" quotePrefix="1" applyFont="1" applyFill="1" applyBorder="1" applyAlignment="1">
      <alignment horizontal="center" wrapText="1"/>
    </xf>
    <xf numFmtId="0" fontId="9" fillId="2" borderId="0" xfId="1" quotePrefix="1" applyNumberFormat="1" applyFont="1" applyFill="1" applyBorder="1" applyAlignment="1">
      <alignment horizontal="center" wrapText="1"/>
    </xf>
    <xf numFmtId="0" fontId="0" fillId="2" borderId="0" xfId="1" quotePrefix="1" applyFont="1" applyFill="1" applyBorder="1" applyAlignment="1">
      <alignment horizontal="center" vertical="top"/>
    </xf>
    <xf numFmtId="0" fontId="0" fillId="2" borderId="0" xfId="1" quotePrefix="1" applyNumberFormat="1" applyFont="1" applyFill="1" applyBorder="1" applyAlignment="1">
      <alignment horizontal="center" vertical="top"/>
    </xf>
    <xf numFmtId="16" fontId="0" fillId="2" borderId="0" xfId="7" quotePrefix="1" applyNumberFormat="1" applyFont="1" applyFill="1" applyBorder="1" applyAlignment="1">
      <alignment horizontal="center" vertical="top"/>
    </xf>
    <xf numFmtId="0" fontId="0" fillId="2" borderId="0" xfId="7" quotePrefix="1" applyNumberFormat="1" applyFont="1" applyFill="1" applyBorder="1" applyAlignment="1">
      <alignment horizontal="center" vertical="top"/>
    </xf>
    <xf numFmtId="0" fontId="0" fillId="2" borderId="0" xfId="7" quotePrefix="1" applyFont="1" applyFill="1" applyBorder="1" applyAlignment="1">
      <alignment horizontal="center" vertical="top"/>
    </xf>
    <xf numFmtId="0" fontId="9" fillId="2" borderId="0" xfId="1" quotePrefix="1" applyNumberFormat="1" applyFont="1" applyFill="1" applyBorder="1" applyAlignment="1">
      <alignment horizontal="center" vertical="top"/>
    </xf>
    <xf numFmtId="0" fontId="0" fillId="2" borderId="0" xfId="7" applyFont="1" applyFill="1" applyBorder="1" applyAlignment="1">
      <alignment horizontal="center"/>
    </xf>
    <xf numFmtId="0" fontId="0" fillId="2" borderId="0" xfId="7" applyNumberFormat="1" applyFont="1" applyFill="1" applyBorder="1" applyAlignment="1">
      <alignment horizontal="center"/>
    </xf>
    <xf numFmtId="0" fontId="0" fillId="2" borderId="0" xfId="7" quotePrefix="1" applyFont="1" applyFill="1" applyBorder="1" applyAlignment="1">
      <alignment horizontal="center"/>
    </xf>
    <xf numFmtId="0" fontId="38" fillId="2" borderId="0" xfId="1" applyFont="1" applyFill="1" applyAlignment="1">
      <alignment horizontal="center" vertical="top"/>
    </xf>
    <xf numFmtId="0" fontId="38" fillId="2" borderId="0" xfId="1" applyFont="1" applyFill="1" applyAlignment="1">
      <alignment horizontal="left"/>
    </xf>
    <xf numFmtId="0" fontId="38" fillId="2" borderId="0" xfId="1" applyFont="1" applyFill="1" applyAlignment="1"/>
    <xf numFmtId="0" fontId="22" fillId="2" borderId="0" xfId="1" quotePrefix="1" applyFont="1" applyFill="1" applyBorder="1" applyAlignment="1">
      <alignment horizontal="left" vertical="center" wrapText="1"/>
    </xf>
    <xf numFmtId="42" fontId="40" fillId="2" borderId="0" xfId="2" applyNumberFormat="1" applyFont="1" applyFill="1" applyBorder="1" applyAlignment="1">
      <alignment horizontal="left" vertical="center" wrapText="1"/>
    </xf>
    <xf numFmtId="165" fontId="38" fillId="2" borderId="0" xfId="1" applyNumberFormat="1" applyFont="1" applyFill="1" applyAlignment="1">
      <alignment vertical="top"/>
    </xf>
    <xf numFmtId="0" fontId="25" fillId="2" borderId="0" xfId="0" applyFont="1" applyFill="1"/>
    <xf numFmtId="0" fontId="25" fillId="2" borderId="0" xfId="0" applyFont="1" applyFill="1" applyAlignment="1">
      <alignment horizontal="center"/>
    </xf>
    <xf numFmtId="0" fontId="25" fillId="2" borderId="0" xfId="0" applyFont="1" applyFill="1" applyAlignment="1">
      <alignment horizontal="left"/>
    </xf>
    <xf numFmtId="0" fontId="0" fillId="2" borderId="0" xfId="0" applyFont="1" applyFill="1" applyAlignment="1">
      <alignment horizontal="right"/>
    </xf>
    <xf numFmtId="16" fontId="0" fillId="2" borderId="0" xfId="0" applyNumberFormat="1" applyFont="1" applyFill="1" applyAlignment="1">
      <alignment horizontal="center"/>
    </xf>
    <xf numFmtId="42" fontId="38" fillId="2" borderId="0" xfId="2" applyNumberFormat="1" applyFont="1" applyFill="1" applyBorder="1" applyAlignment="1">
      <alignment horizontal="left" vertical="center" wrapText="1"/>
    </xf>
    <xf numFmtId="0" fontId="5" fillId="2" borderId="0" xfId="1" quotePrefix="1" applyFont="1" applyFill="1" applyBorder="1" applyAlignment="1">
      <alignment horizontal="left" vertical="center"/>
    </xf>
    <xf numFmtId="0" fontId="0" fillId="2" borderId="0" xfId="0" applyFill="1" applyAlignment="1">
      <alignment horizontal="right"/>
    </xf>
    <xf numFmtId="0" fontId="9" fillId="2" borderId="0" xfId="0" applyNumberFormat="1" applyFont="1" applyFill="1" applyAlignment="1">
      <alignment horizontal="center"/>
    </xf>
    <xf numFmtId="0" fontId="5" fillId="2" borderId="4" xfId="1" quotePrefix="1" applyFont="1" applyFill="1" applyBorder="1" applyAlignment="1">
      <alignment horizontal="center" vertical="top"/>
    </xf>
    <xf numFmtId="0" fontId="25" fillId="2" borderId="29" xfId="7" quotePrefix="1" applyFont="1" applyFill="1" applyBorder="1" applyAlignment="1">
      <alignment horizontal="center" vertical="top"/>
    </xf>
    <xf numFmtId="0" fontId="5" fillId="2" borderId="30" xfId="1" quotePrefix="1" applyFont="1" applyFill="1" applyBorder="1" applyAlignment="1">
      <alignment horizontal="center" vertical="top"/>
    </xf>
    <xf numFmtId="0" fontId="0" fillId="2" borderId="4" xfId="0" quotePrefix="1" applyFont="1" applyFill="1" applyBorder="1" applyAlignment="1">
      <alignment horizontal="center"/>
    </xf>
    <xf numFmtId="0" fontId="9" fillId="0" borderId="0" xfId="0" applyFont="1" applyAlignment="1">
      <alignment horizontal="center"/>
    </xf>
    <xf numFmtId="165" fontId="12" fillId="2" borderId="0" xfId="5" applyNumberFormat="1" applyFont="1" applyFill="1" applyBorder="1" applyAlignment="1">
      <alignment horizontal="left" vertical="top" wrapText="1"/>
    </xf>
    <xf numFmtId="0" fontId="6" fillId="0" borderId="6" xfId="5" applyNumberFormat="1" applyFont="1" applyFill="1" applyBorder="1" applyAlignment="1">
      <alignment horizontal="center" vertical="top"/>
    </xf>
    <xf numFmtId="0" fontId="0" fillId="3" borderId="7" xfId="0" applyFont="1" applyFill="1" applyBorder="1" applyAlignment="1" applyProtection="1">
      <alignment horizontal="center"/>
      <protection locked="0"/>
    </xf>
    <xf numFmtId="0" fontId="9" fillId="2" borderId="0" xfId="0" applyFont="1" applyFill="1" applyAlignment="1">
      <alignment horizontal="left" vertical="center"/>
    </xf>
    <xf numFmtId="0" fontId="0" fillId="2" borderId="0" xfId="0" applyFill="1" applyAlignment="1">
      <alignment horizontal="center" vertical="center"/>
    </xf>
    <xf numFmtId="0" fontId="41" fillId="10" borderId="0" xfId="12" applyFont="1" applyFill="1"/>
    <xf numFmtId="165" fontId="15" fillId="0" borderId="0" xfId="12" applyNumberFormat="1"/>
    <xf numFmtId="0" fontId="5" fillId="2" borderId="34" xfId="1" quotePrefix="1" applyFont="1" applyFill="1" applyBorder="1" applyAlignment="1">
      <alignment horizontal="center" vertical="top"/>
    </xf>
    <xf numFmtId="0" fontId="25" fillId="2" borderId="31" xfId="1" quotePrefix="1" applyFont="1" applyFill="1" applyBorder="1" applyAlignment="1">
      <alignment horizontal="center" vertical="top"/>
    </xf>
    <xf numFmtId="0" fontId="0" fillId="2" borderId="34" xfId="0" applyFill="1" applyBorder="1" applyAlignment="1" applyProtection="1">
      <alignment horizontal="center"/>
    </xf>
    <xf numFmtId="0" fontId="0" fillId="2" borderId="31" xfId="0" quotePrefix="1" applyFont="1" applyFill="1" applyBorder="1" applyAlignment="1">
      <alignment horizontal="center"/>
    </xf>
    <xf numFmtId="0" fontId="0" fillId="2" borderId="30" xfId="0" quotePrefix="1" applyFont="1" applyFill="1" applyBorder="1" applyAlignment="1">
      <alignment horizontal="center"/>
    </xf>
    <xf numFmtId="0" fontId="25" fillId="2" borderId="34" xfId="1" quotePrefix="1" applyFont="1" applyFill="1" applyBorder="1" applyAlignment="1">
      <alignment horizontal="center" vertical="top"/>
    </xf>
    <xf numFmtId="0" fontId="42" fillId="2" borderId="0" xfId="0" applyFont="1" applyFill="1" applyAlignment="1">
      <alignment horizontal="left"/>
    </xf>
    <xf numFmtId="0" fontId="9" fillId="2" borderId="0" xfId="0" applyFont="1" applyFill="1" applyAlignment="1">
      <alignment horizontal="left"/>
    </xf>
    <xf numFmtId="0" fontId="0" fillId="2" borderId="3" xfId="1" quotePrefix="1" applyFont="1" applyFill="1" applyBorder="1" applyAlignment="1">
      <alignment horizontal="center" vertical="top"/>
    </xf>
    <xf numFmtId="0" fontId="43" fillId="2" borderId="0" xfId="0" applyFont="1" applyFill="1" applyAlignment="1">
      <alignment horizontal="centerContinuous"/>
    </xf>
    <xf numFmtId="0" fontId="9" fillId="11" borderId="18" xfId="0" applyFont="1" applyFill="1" applyBorder="1" applyAlignment="1">
      <alignment wrapText="1"/>
    </xf>
    <xf numFmtId="0" fontId="9" fillId="11" borderId="35" xfId="0" applyFont="1" applyFill="1" applyBorder="1" applyAlignment="1">
      <alignment wrapText="1"/>
    </xf>
    <xf numFmtId="0" fontId="9" fillId="11" borderId="35" xfId="0" applyFont="1" applyFill="1" applyBorder="1"/>
    <xf numFmtId="0" fontId="9" fillId="11" borderId="36" xfId="0" applyFont="1" applyFill="1" applyBorder="1" applyAlignment="1">
      <alignment horizontal="right"/>
    </xf>
    <xf numFmtId="3" fontId="9" fillId="11" borderId="19" xfId="0" applyNumberFormat="1" applyFont="1" applyFill="1" applyBorder="1" applyAlignment="1">
      <alignment horizontal="right"/>
    </xf>
    <xf numFmtId="165" fontId="9" fillId="11" borderId="25" xfId="0" applyNumberFormat="1" applyFont="1" applyFill="1" applyBorder="1" applyAlignment="1">
      <alignment horizontal="right" wrapText="1"/>
    </xf>
    <xf numFmtId="0" fontId="9" fillId="11" borderId="38" xfId="0" applyFont="1" applyFill="1" applyBorder="1" applyAlignment="1">
      <alignment horizontal="center" wrapText="1"/>
    </xf>
    <xf numFmtId="0" fontId="0" fillId="10" borderId="39" xfId="0" applyFill="1" applyBorder="1"/>
    <xf numFmtId="0" fontId="0" fillId="10" borderId="40" xfId="0" applyFill="1" applyBorder="1"/>
    <xf numFmtId="0" fontId="0" fillId="10" borderId="27" xfId="0" applyFill="1" applyBorder="1"/>
    <xf numFmtId="0" fontId="0" fillId="10" borderId="41" xfId="0" applyFill="1" applyBorder="1" applyAlignment="1" applyProtection="1">
      <alignment horizontal="right"/>
      <protection hidden="1"/>
    </xf>
    <xf numFmtId="3" fontId="0" fillId="10" borderId="41" xfId="0" applyNumberFormat="1" applyFill="1" applyBorder="1" applyAlignment="1" applyProtection="1">
      <alignment horizontal="right"/>
      <protection hidden="1"/>
    </xf>
    <xf numFmtId="165" fontId="0" fillId="10" borderId="42" xfId="0" applyNumberFormat="1" applyFill="1" applyBorder="1" applyProtection="1">
      <protection hidden="1"/>
    </xf>
    <xf numFmtId="0" fontId="0" fillId="10" borderId="26" xfId="0" applyFill="1" applyBorder="1"/>
    <xf numFmtId="0" fontId="0" fillId="10" borderId="8" xfId="0" applyFill="1" applyBorder="1"/>
    <xf numFmtId="0" fontId="0" fillId="10" borderId="43" xfId="0" applyFill="1" applyBorder="1"/>
    <xf numFmtId="0" fontId="0" fillId="10" borderId="44" xfId="0" applyFill="1" applyBorder="1"/>
    <xf numFmtId="0" fontId="0" fillId="10" borderId="0" xfId="0" applyFill="1" applyAlignment="1" applyProtection="1">
      <alignment horizontal="right"/>
      <protection hidden="1"/>
    </xf>
    <xf numFmtId="3" fontId="0" fillId="10" borderId="0" xfId="0" applyNumberFormat="1" applyFill="1" applyAlignment="1" applyProtection="1">
      <alignment horizontal="right"/>
      <protection hidden="1"/>
    </xf>
    <xf numFmtId="165" fontId="0" fillId="10" borderId="14" xfId="0" applyNumberFormat="1" applyFill="1" applyBorder="1" applyProtection="1">
      <protection hidden="1"/>
    </xf>
    <xf numFmtId="0" fontId="0" fillId="10" borderId="45" xfId="0" applyFill="1" applyBorder="1"/>
    <xf numFmtId="0" fontId="0" fillId="10" borderId="46" xfId="0" applyFill="1" applyBorder="1"/>
    <xf numFmtId="0" fontId="0" fillId="10" borderId="47" xfId="0" applyFill="1" applyBorder="1"/>
    <xf numFmtId="0" fontId="0" fillId="10" borderId="48" xfId="0" applyFill="1" applyBorder="1" applyAlignment="1" applyProtection="1">
      <alignment horizontal="right"/>
      <protection hidden="1"/>
    </xf>
    <xf numFmtId="3" fontId="0" fillId="10" borderId="48" xfId="0" applyNumberFormat="1" applyFill="1" applyBorder="1" applyAlignment="1" applyProtection="1">
      <alignment horizontal="right"/>
      <protection hidden="1"/>
    </xf>
    <xf numFmtId="165" fontId="0" fillId="10" borderId="49" xfId="0" applyNumberFormat="1" applyFill="1" applyBorder="1" applyProtection="1">
      <protection hidden="1"/>
    </xf>
    <xf numFmtId="0" fontId="0" fillId="12" borderId="8" xfId="0" applyFill="1" applyBorder="1"/>
    <xf numFmtId="0" fontId="0" fillId="12" borderId="40" xfId="0" applyFill="1" applyBorder="1"/>
    <xf numFmtId="0" fontId="0" fillId="12" borderId="41" xfId="0" applyFill="1" applyBorder="1" applyAlignment="1" applyProtection="1">
      <alignment horizontal="right"/>
      <protection hidden="1"/>
    </xf>
    <xf numFmtId="3" fontId="0" fillId="12" borderId="41" xfId="0" applyNumberFormat="1" applyFill="1" applyBorder="1" applyAlignment="1" applyProtection="1">
      <alignment horizontal="right"/>
      <protection hidden="1"/>
    </xf>
    <xf numFmtId="165" fontId="0" fillId="12" borderId="14" xfId="0" applyNumberFormat="1" applyFill="1" applyBorder="1" applyProtection="1">
      <protection hidden="1"/>
    </xf>
    <xf numFmtId="0" fontId="0" fillId="12" borderId="43" xfId="0" applyFill="1" applyBorder="1"/>
    <xf numFmtId="0" fontId="0" fillId="12" borderId="44" xfId="0" applyFill="1" applyBorder="1"/>
    <xf numFmtId="0" fontId="0" fillId="12" borderId="0" xfId="0" applyFill="1" applyAlignment="1" applyProtection="1">
      <alignment horizontal="right"/>
      <protection hidden="1"/>
    </xf>
    <xf numFmtId="3" fontId="0" fillId="12" borderId="0" xfId="0" applyNumberFormat="1" applyFill="1" applyAlignment="1" applyProtection="1">
      <alignment horizontal="right"/>
      <protection hidden="1"/>
    </xf>
    <xf numFmtId="0" fontId="0" fillId="12" borderId="47" xfId="0" applyFill="1" applyBorder="1"/>
    <xf numFmtId="0" fontId="0" fillId="12" borderId="48" xfId="0" applyFill="1" applyBorder="1" applyAlignment="1" applyProtection="1">
      <alignment horizontal="right"/>
      <protection hidden="1"/>
    </xf>
    <xf numFmtId="3" fontId="0" fillId="12" borderId="48" xfId="0" applyNumberFormat="1" applyFill="1" applyBorder="1" applyAlignment="1" applyProtection="1">
      <alignment horizontal="right"/>
      <protection hidden="1"/>
    </xf>
    <xf numFmtId="0" fontId="0" fillId="12" borderId="39" xfId="0" applyFill="1" applyBorder="1"/>
    <xf numFmtId="165" fontId="0" fillId="12" borderId="42" xfId="0" applyNumberFormat="1" applyFill="1" applyBorder="1" applyProtection="1">
      <protection hidden="1"/>
    </xf>
    <xf numFmtId="0" fontId="0" fillId="13" borderId="26" xfId="0" applyFill="1" applyBorder="1"/>
    <xf numFmtId="0" fontId="0" fillId="13" borderId="45" xfId="0" applyFill="1" applyBorder="1"/>
    <xf numFmtId="0" fontId="0" fillId="12" borderId="46" xfId="0" applyFill="1" applyBorder="1"/>
    <xf numFmtId="0" fontId="0" fillId="12" borderId="32" xfId="0" applyFill="1" applyBorder="1"/>
    <xf numFmtId="165" fontId="0" fillId="12" borderId="49" xfId="0" applyNumberFormat="1" applyFill="1" applyBorder="1" applyProtection="1">
      <protection hidden="1"/>
    </xf>
    <xf numFmtId="0" fontId="0" fillId="12" borderId="12" xfId="0" applyFill="1" applyBorder="1"/>
    <xf numFmtId="0" fontId="0" fillId="12" borderId="51" xfId="0" applyFill="1" applyBorder="1"/>
    <xf numFmtId="0" fontId="0" fillId="12" borderId="52" xfId="0" applyFill="1" applyBorder="1"/>
    <xf numFmtId="0" fontId="0" fillId="12" borderId="9" xfId="0" applyFill="1" applyBorder="1" applyAlignment="1" applyProtection="1">
      <alignment horizontal="right"/>
      <protection hidden="1"/>
    </xf>
    <xf numFmtId="3" fontId="0" fillId="12" borderId="9" xfId="0" applyNumberFormat="1" applyFill="1" applyBorder="1" applyAlignment="1" applyProtection="1">
      <alignment horizontal="right"/>
      <protection hidden="1"/>
    </xf>
    <xf numFmtId="165" fontId="0" fillId="12" borderId="13" xfId="0" applyNumberFormat="1" applyFill="1" applyBorder="1" applyProtection="1">
      <protection hidden="1"/>
    </xf>
    <xf numFmtId="0" fontId="0" fillId="10" borderId="53" xfId="0" applyFill="1" applyBorder="1"/>
    <xf numFmtId="0" fontId="0" fillId="13" borderId="55" xfId="0" applyFill="1" applyBorder="1"/>
    <xf numFmtId="0" fontId="9" fillId="11" borderId="37" xfId="0" applyFont="1" applyFill="1" applyBorder="1"/>
    <xf numFmtId="0" fontId="17" fillId="2" borderId="0" xfId="0" applyFont="1" applyFill="1" applyAlignment="1">
      <alignment horizontal="center"/>
    </xf>
    <xf numFmtId="16" fontId="17" fillId="2" borderId="0" xfId="7" quotePrefix="1" applyNumberFormat="1" applyFont="1" applyFill="1" applyBorder="1" applyAlignment="1">
      <alignment horizontal="center" vertical="top"/>
    </xf>
    <xf numFmtId="0" fontId="17" fillId="2" borderId="0" xfId="7" applyFont="1" applyFill="1" applyBorder="1" applyAlignment="1">
      <alignment horizontal="center"/>
    </xf>
    <xf numFmtId="0" fontId="43" fillId="2" borderId="0" xfId="0" applyFont="1" applyFill="1" applyAlignment="1" applyProtection="1">
      <alignment horizontal="centerContinuous"/>
      <protection hidden="1"/>
    </xf>
    <xf numFmtId="0" fontId="0" fillId="2" borderId="0" xfId="0" applyFill="1" applyProtection="1">
      <protection hidden="1"/>
    </xf>
    <xf numFmtId="0" fontId="9" fillId="14" borderId="18" xfId="0" applyFont="1" applyFill="1" applyBorder="1" applyAlignment="1" applyProtection="1">
      <alignment wrapText="1"/>
      <protection hidden="1"/>
    </xf>
    <xf numFmtId="0" fontId="9" fillId="14" borderId="35" xfId="0" applyFont="1" applyFill="1" applyBorder="1" applyAlignment="1" applyProtection="1">
      <alignment wrapText="1"/>
      <protection hidden="1"/>
    </xf>
    <xf numFmtId="0" fontId="9" fillId="14" borderId="35" xfId="0" applyFont="1" applyFill="1" applyBorder="1" applyProtection="1">
      <protection hidden="1"/>
    </xf>
    <xf numFmtId="0" fontId="9" fillId="14" borderId="36" xfId="0" applyFont="1" applyFill="1" applyBorder="1" applyAlignment="1" applyProtection="1">
      <alignment horizontal="right"/>
      <protection hidden="1"/>
    </xf>
    <xf numFmtId="3" fontId="9" fillId="14" borderId="19" xfId="0" applyNumberFormat="1" applyFont="1" applyFill="1" applyBorder="1" applyAlignment="1" applyProtection="1">
      <alignment horizontal="right"/>
      <protection hidden="1"/>
    </xf>
    <xf numFmtId="165" fontId="9" fillId="14" borderId="25" xfId="0" applyNumberFormat="1" applyFont="1" applyFill="1" applyBorder="1" applyAlignment="1" applyProtection="1">
      <alignment horizontal="right" wrapText="1"/>
      <protection hidden="1"/>
    </xf>
    <xf numFmtId="0" fontId="0" fillId="15" borderId="39" xfId="0" applyFill="1" applyBorder="1" applyProtection="1">
      <protection hidden="1"/>
    </xf>
    <xf numFmtId="0" fontId="0" fillId="15" borderId="40" xfId="0" applyFill="1" applyBorder="1" applyProtection="1">
      <protection hidden="1"/>
    </xf>
    <xf numFmtId="0" fontId="0" fillId="15" borderId="40" xfId="0" applyFill="1" applyBorder="1" applyAlignment="1" applyProtection="1">
      <alignment horizontal="left"/>
      <protection hidden="1"/>
    </xf>
    <xf numFmtId="0" fontId="0" fillId="15" borderId="41" xfId="0" applyFill="1" applyBorder="1" applyAlignment="1" applyProtection="1">
      <alignment horizontal="right"/>
      <protection hidden="1"/>
    </xf>
    <xf numFmtId="3" fontId="0" fillId="15" borderId="41" xfId="0" applyNumberFormat="1" applyFill="1" applyBorder="1" applyAlignment="1" applyProtection="1">
      <alignment horizontal="right"/>
      <protection hidden="1"/>
    </xf>
    <xf numFmtId="165" fontId="0" fillId="15" borderId="42" xfId="0" applyNumberFormat="1" applyFill="1" applyBorder="1" applyAlignment="1" applyProtection="1">
      <alignment horizontal="right"/>
      <protection hidden="1"/>
    </xf>
    <xf numFmtId="0" fontId="0" fillId="15" borderId="8" xfId="0" applyFill="1" applyBorder="1" applyProtection="1">
      <protection hidden="1"/>
    </xf>
    <xf numFmtId="0" fontId="0" fillId="15" borderId="43" xfId="0" applyFill="1" applyBorder="1" applyProtection="1">
      <protection hidden="1"/>
    </xf>
    <xf numFmtId="0" fontId="0" fillId="15" borderId="43" xfId="0" applyFill="1" applyBorder="1" applyAlignment="1" applyProtection="1">
      <alignment horizontal="left"/>
      <protection hidden="1"/>
    </xf>
    <xf numFmtId="0" fontId="0" fillId="15" borderId="0" xfId="0" applyFill="1" applyAlignment="1" applyProtection="1">
      <alignment horizontal="right"/>
      <protection hidden="1"/>
    </xf>
    <xf numFmtId="3" fontId="0" fillId="15" borderId="0" xfId="0" applyNumberFormat="1" applyFill="1" applyAlignment="1" applyProtection="1">
      <alignment horizontal="right"/>
      <protection hidden="1"/>
    </xf>
    <xf numFmtId="165" fontId="0" fillId="15" borderId="14" xfId="0" applyNumberFormat="1" applyFill="1" applyBorder="1" applyAlignment="1" applyProtection="1">
      <alignment horizontal="right"/>
      <protection hidden="1"/>
    </xf>
    <xf numFmtId="0" fontId="0" fillId="15" borderId="46" xfId="0" applyFill="1" applyBorder="1" applyProtection="1">
      <protection hidden="1"/>
    </xf>
    <xf numFmtId="0" fontId="0" fillId="15" borderId="47" xfId="0" applyFill="1" applyBorder="1" applyProtection="1">
      <protection hidden="1"/>
    </xf>
    <xf numFmtId="0" fontId="0" fillId="15" borderId="47" xfId="0" applyFill="1" applyBorder="1" applyAlignment="1" applyProtection="1">
      <alignment horizontal="left"/>
      <protection hidden="1"/>
    </xf>
    <xf numFmtId="0" fontId="0" fillId="15" borderId="48" xfId="0" applyFill="1" applyBorder="1" applyAlignment="1" applyProtection="1">
      <alignment horizontal="right"/>
      <protection hidden="1"/>
    </xf>
    <xf numFmtId="3" fontId="0" fillId="15" borderId="48" xfId="0" applyNumberFormat="1" applyFill="1" applyBorder="1" applyAlignment="1" applyProtection="1">
      <alignment horizontal="right"/>
      <protection hidden="1"/>
    </xf>
    <xf numFmtId="165" fontId="0" fillId="15" borderId="49" xfId="0" applyNumberFormat="1" applyFill="1" applyBorder="1" applyAlignment="1" applyProtection="1">
      <alignment horizontal="right"/>
      <protection hidden="1"/>
    </xf>
    <xf numFmtId="0" fontId="0" fillId="16" borderId="8" xfId="0" applyFill="1" applyBorder="1" applyProtection="1">
      <protection hidden="1"/>
    </xf>
    <xf numFmtId="0" fontId="0" fillId="16" borderId="43" xfId="0" applyFill="1" applyBorder="1" applyProtection="1">
      <protection hidden="1"/>
    </xf>
    <xf numFmtId="0" fontId="0" fillId="16" borderId="43" xfId="0" applyFill="1" applyBorder="1" applyAlignment="1" applyProtection="1">
      <alignment horizontal="left"/>
      <protection hidden="1"/>
    </xf>
    <xf numFmtId="0" fontId="0" fillId="16" borderId="0" xfId="0" applyFill="1" applyAlignment="1" applyProtection="1">
      <alignment horizontal="right"/>
      <protection hidden="1"/>
    </xf>
    <xf numFmtId="3" fontId="0" fillId="16" borderId="0" xfId="0" applyNumberFormat="1" applyFill="1" applyAlignment="1" applyProtection="1">
      <alignment horizontal="right"/>
      <protection hidden="1"/>
    </xf>
    <xf numFmtId="165" fontId="0" fillId="16" borderId="14" xfId="0" applyNumberFormat="1" applyFill="1" applyBorder="1" applyAlignment="1" applyProtection="1">
      <alignment horizontal="right"/>
      <protection hidden="1"/>
    </xf>
    <xf numFmtId="0" fontId="0" fillId="16" borderId="39" xfId="0" applyFill="1" applyBorder="1" applyProtection="1">
      <protection hidden="1"/>
    </xf>
    <xf numFmtId="165" fontId="0" fillId="16" borderId="42" xfId="0" applyNumberFormat="1" applyFill="1" applyBorder="1" applyAlignment="1" applyProtection="1">
      <alignment horizontal="right"/>
      <protection hidden="1"/>
    </xf>
    <xf numFmtId="165" fontId="0" fillId="15" borderId="42" xfId="0" applyNumberFormat="1" applyFill="1" applyBorder="1" applyProtection="1">
      <protection hidden="1"/>
    </xf>
    <xf numFmtId="165" fontId="0" fillId="15" borderId="14" xfId="0" applyNumberFormat="1" applyFill="1" applyBorder="1" applyProtection="1">
      <protection hidden="1"/>
    </xf>
    <xf numFmtId="165" fontId="0" fillId="15" borderId="49" xfId="0" applyNumberFormat="1" applyFill="1" applyBorder="1" applyProtection="1">
      <protection hidden="1"/>
    </xf>
    <xf numFmtId="0" fontId="0" fillId="16" borderId="40" xfId="0" applyFill="1" applyBorder="1" applyProtection="1">
      <protection hidden="1"/>
    </xf>
    <xf numFmtId="0" fontId="0" fillId="16" borderId="41" xfId="0" applyFill="1" applyBorder="1" applyAlignment="1" applyProtection="1">
      <alignment horizontal="right"/>
      <protection hidden="1"/>
    </xf>
    <xf numFmtId="3" fontId="0" fillId="16" borderId="41" xfId="0" applyNumberFormat="1" applyFill="1" applyBorder="1" applyAlignment="1" applyProtection="1">
      <alignment horizontal="right"/>
      <protection hidden="1"/>
    </xf>
    <xf numFmtId="165" fontId="0" fillId="16" borderId="42" xfId="0" applyNumberFormat="1" applyFill="1" applyBorder="1" applyProtection="1">
      <protection hidden="1"/>
    </xf>
    <xf numFmtId="165" fontId="0" fillId="16" borderId="14" xfId="0" applyNumberFormat="1" applyFill="1" applyBorder="1" applyProtection="1">
      <protection hidden="1"/>
    </xf>
    <xf numFmtId="0" fontId="0" fillId="16" borderId="46" xfId="0" applyFill="1" applyBorder="1" applyProtection="1">
      <protection hidden="1"/>
    </xf>
    <xf numFmtId="0" fontId="0" fillId="16" borderId="47" xfId="0" applyFill="1" applyBorder="1" applyProtection="1">
      <protection hidden="1"/>
    </xf>
    <xf numFmtId="0" fontId="0" fillId="16" borderId="48" xfId="0" applyFill="1" applyBorder="1" applyAlignment="1" applyProtection="1">
      <alignment horizontal="right"/>
      <protection hidden="1"/>
    </xf>
    <xf numFmtId="3" fontId="0" fillId="16" borderId="48" xfId="0" applyNumberFormat="1" applyFill="1" applyBorder="1" applyAlignment="1" applyProtection="1">
      <alignment horizontal="right"/>
      <protection hidden="1"/>
    </xf>
    <xf numFmtId="165" fontId="0" fillId="16" borderId="49" xfId="0" applyNumberFormat="1" applyFill="1" applyBorder="1" applyProtection="1">
      <protection hidden="1"/>
    </xf>
    <xf numFmtId="0" fontId="0" fillId="16" borderId="12" xfId="0" applyFill="1" applyBorder="1" applyProtection="1">
      <protection hidden="1"/>
    </xf>
    <xf numFmtId="0" fontId="0" fillId="16" borderId="51" xfId="0" applyFill="1" applyBorder="1" applyProtection="1">
      <protection hidden="1"/>
    </xf>
    <xf numFmtId="0" fontId="0" fillId="16" borderId="9" xfId="0" applyFill="1" applyBorder="1" applyAlignment="1" applyProtection="1">
      <alignment horizontal="right"/>
      <protection hidden="1"/>
    </xf>
    <xf numFmtId="3" fontId="0" fillId="16" borderId="9" xfId="0" applyNumberFormat="1" applyFill="1" applyBorder="1" applyAlignment="1" applyProtection="1">
      <alignment horizontal="right"/>
      <protection hidden="1"/>
    </xf>
    <xf numFmtId="165" fontId="0" fillId="16" borderId="13" xfId="0" applyNumberFormat="1" applyFill="1" applyBorder="1" applyProtection="1">
      <protection hidden="1"/>
    </xf>
    <xf numFmtId="0" fontId="9" fillId="2" borderId="0" xfId="0" applyFont="1" applyFill="1" applyAlignment="1">
      <alignment horizontal="centerContinuous"/>
    </xf>
    <xf numFmtId="0" fontId="9" fillId="17" borderId="57" xfId="0" applyFont="1" applyFill="1" applyBorder="1" applyAlignment="1">
      <alignment wrapText="1"/>
    </xf>
    <xf numFmtId="0" fontId="0" fillId="15" borderId="26" xfId="0" applyFill="1" applyBorder="1"/>
    <xf numFmtId="0" fontId="0" fillId="15" borderId="45" xfId="0" applyFill="1" applyBorder="1"/>
    <xf numFmtId="0" fontId="0" fillId="16" borderId="26" xfId="0" applyFill="1" applyBorder="1"/>
    <xf numFmtId="0" fontId="0" fillId="15" borderId="53" xfId="0" applyFill="1" applyBorder="1"/>
    <xf numFmtId="0" fontId="0" fillId="16" borderId="45" xfId="0" applyFill="1" applyBorder="1"/>
    <xf numFmtId="0" fontId="0" fillId="16" borderId="53" xfId="0" applyFill="1" applyBorder="1"/>
    <xf numFmtId="0" fontId="0" fillId="16" borderId="55" xfId="0" applyFill="1" applyBorder="1"/>
    <xf numFmtId="0" fontId="0" fillId="10" borderId="14" xfId="0" applyFill="1" applyBorder="1" applyAlignment="1">
      <alignment horizontal="center" wrapText="1"/>
    </xf>
    <xf numFmtId="0" fontId="0" fillId="10" borderId="50" xfId="0" applyFill="1" applyBorder="1" applyAlignment="1">
      <alignment horizontal="center"/>
    </xf>
    <xf numFmtId="0" fontId="0" fillId="10" borderId="14" xfId="0" applyFill="1" applyBorder="1" applyAlignment="1">
      <alignment horizontal="center"/>
    </xf>
    <xf numFmtId="0" fontId="0" fillId="10" borderId="49" xfId="0" applyFill="1" applyBorder="1" applyAlignment="1">
      <alignment horizontal="center" wrapText="1"/>
    </xf>
    <xf numFmtId="0" fontId="0" fillId="13" borderId="50" xfId="0" applyFill="1" applyBorder="1" applyAlignment="1">
      <alignment horizontal="center"/>
    </xf>
    <xf numFmtId="0" fontId="0" fillId="10" borderId="42" xfId="0" applyFill="1" applyBorder="1" applyAlignment="1">
      <alignment horizontal="center" wrapText="1"/>
    </xf>
    <xf numFmtId="0" fontId="0" fillId="13" borderId="28" xfId="0" applyFill="1" applyBorder="1" applyAlignment="1">
      <alignment horizontal="center"/>
    </xf>
    <xf numFmtId="0" fontId="0" fillId="13" borderId="56" xfId="0" applyFill="1" applyBorder="1" applyAlignment="1">
      <alignment horizontal="center"/>
    </xf>
    <xf numFmtId="0" fontId="9" fillId="17" borderId="58" xfId="0" applyFont="1" applyFill="1" applyBorder="1" applyAlignment="1">
      <alignment horizontal="center" wrapText="1"/>
    </xf>
    <xf numFmtId="0" fontId="0" fillId="15" borderId="11" xfId="0" applyFill="1" applyBorder="1" applyAlignment="1">
      <alignment horizontal="center"/>
    </xf>
    <xf numFmtId="0" fontId="0" fillId="15" borderId="50" xfId="0" applyFill="1" applyBorder="1" applyAlignment="1">
      <alignment horizontal="center"/>
    </xf>
    <xf numFmtId="0" fontId="0" fillId="15" borderId="49" xfId="0" applyFill="1" applyBorder="1" applyAlignment="1">
      <alignment horizontal="center"/>
    </xf>
    <xf numFmtId="0" fontId="0" fillId="15" borderId="54" xfId="0" applyFill="1" applyBorder="1" applyAlignment="1">
      <alignment horizontal="center"/>
    </xf>
    <xf numFmtId="0" fontId="0" fillId="16" borderId="50" xfId="0" applyFill="1" applyBorder="1" applyAlignment="1">
      <alignment horizontal="center"/>
    </xf>
    <xf numFmtId="0" fontId="0" fillId="16" borderId="54" xfId="0" applyFill="1" applyBorder="1" applyAlignment="1">
      <alignment horizontal="center"/>
    </xf>
    <xf numFmtId="0" fontId="0" fillId="15" borderId="28" xfId="0" applyFill="1" applyBorder="1" applyAlignment="1">
      <alignment horizontal="center"/>
    </xf>
    <xf numFmtId="0" fontId="0" fillId="16" borderId="56" xfId="0" applyFill="1" applyBorder="1" applyAlignment="1">
      <alignment horizontal="center"/>
    </xf>
    <xf numFmtId="0" fontId="0" fillId="16" borderId="16" xfId="0" applyFill="1" applyBorder="1"/>
    <xf numFmtId="0" fontId="0" fillId="16" borderId="24" xfId="0" applyFill="1" applyBorder="1" applyAlignment="1">
      <alignment horizontal="center"/>
    </xf>
    <xf numFmtId="0" fontId="12" fillId="2" borderId="0" xfId="1" applyFont="1" applyFill="1" applyAlignment="1">
      <alignment horizontal="left"/>
    </xf>
    <xf numFmtId="42" fontId="32" fillId="4" borderId="21" xfId="2" applyNumberFormat="1" applyFont="1" applyFill="1" applyBorder="1" applyAlignment="1">
      <alignment horizontal="center" vertical="center" wrapText="1"/>
    </xf>
    <xf numFmtId="0" fontId="22" fillId="2" borderId="17" xfId="1" quotePrefix="1" applyFont="1" applyFill="1" applyBorder="1" applyAlignment="1">
      <alignment horizontal="left" vertical="center" wrapText="1"/>
    </xf>
    <xf numFmtId="42" fontId="40" fillId="2" borderId="17" xfId="2" applyNumberFormat="1" applyFont="1" applyFill="1" applyBorder="1" applyAlignment="1">
      <alignment horizontal="left" vertical="center" wrapText="1"/>
    </xf>
    <xf numFmtId="165" fontId="12" fillId="2" borderId="17" xfId="5" applyNumberFormat="1" applyFont="1" applyFill="1" applyBorder="1" applyAlignment="1">
      <alignment horizontal="left" vertical="top"/>
    </xf>
    <xf numFmtId="42" fontId="38" fillId="2" borderId="17" xfId="2" applyNumberFormat="1" applyFont="1" applyFill="1" applyBorder="1" applyAlignment="1">
      <alignment horizontal="left" vertical="center" wrapText="1"/>
    </xf>
    <xf numFmtId="165" fontId="12" fillId="2" borderId="7" xfId="5" applyNumberFormat="1" applyFont="1" applyFill="1" applyBorder="1" applyAlignment="1">
      <alignment horizontal="left" vertical="top"/>
    </xf>
    <xf numFmtId="0" fontId="0" fillId="2" borderId="17" xfId="0" applyFill="1" applyBorder="1" applyAlignment="1">
      <alignment horizontal="left" vertical="top"/>
    </xf>
    <xf numFmtId="0" fontId="12" fillId="2" borderId="17" xfId="0" applyFont="1" applyFill="1" applyBorder="1" applyAlignment="1">
      <alignment horizontal="left" vertical="top"/>
    </xf>
    <xf numFmtId="0" fontId="25" fillId="2" borderId="2" xfId="7" quotePrefix="1" applyFont="1" applyFill="1" applyBorder="1" applyAlignment="1">
      <alignment horizontal="center" vertical="top"/>
    </xf>
    <xf numFmtId="165" fontId="41" fillId="10" borderId="0" xfId="12" applyNumberFormat="1" applyFont="1" applyFill="1"/>
    <xf numFmtId="0" fontId="12" fillId="2" borderId="0" xfId="1" applyFont="1" applyFill="1" applyAlignment="1">
      <alignment horizontal="right"/>
    </xf>
    <xf numFmtId="0" fontId="38" fillId="2" borderId="0" xfId="1" applyFont="1" applyFill="1" applyAlignment="1">
      <alignment horizontal="right"/>
    </xf>
    <xf numFmtId="42" fontId="12" fillId="2" borderId="0" xfId="2" applyNumberFormat="1" applyFont="1" applyFill="1" applyBorder="1" applyAlignment="1">
      <alignment horizontal="right" vertical="top" wrapText="1"/>
    </xf>
    <xf numFmtId="0" fontId="12" fillId="2" borderId="0" xfId="1" applyFont="1" applyFill="1" applyAlignment="1">
      <alignment horizontal="center"/>
    </xf>
    <xf numFmtId="0" fontId="12" fillId="2" borderId="0" xfId="1" applyFont="1" applyFill="1" applyAlignment="1">
      <alignment horizontal="center" vertical="top"/>
    </xf>
    <xf numFmtId="0" fontId="0" fillId="2" borderId="0" xfId="0" applyFill="1" applyBorder="1" applyAlignment="1">
      <alignment vertical="top" wrapText="1"/>
    </xf>
    <xf numFmtId="0" fontId="0" fillId="13" borderId="14" xfId="0" applyFill="1" applyBorder="1" applyAlignment="1">
      <alignment horizontal="center" wrapText="1"/>
    </xf>
    <xf numFmtId="0" fontId="0" fillId="10" borderId="42" xfId="0" applyFill="1" applyBorder="1" applyAlignment="1">
      <alignment horizontal="center"/>
    </xf>
    <xf numFmtId="0" fontId="0" fillId="16" borderId="28" xfId="0" applyFill="1" applyBorder="1" applyAlignment="1">
      <alignment horizontal="center"/>
    </xf>
    <xf numFmtId="0" fontId="0" fillId="2" borderId="0" xfId="0" applyFill="1" applyBorder="1" applyAlignment="1">
      <alignment horizontal="right" vertical="center"/>
    </xf>
    <xf numFmtId="0" fontId="23" fillId="2" borderId="0" xfId="0" applyFont="1" applyFill="1" applyAlignment="1">
      <alignment horizontal="left" vertical="center"/>
    </xf>
    <xf numFmtId="0" fontId="0" fillId="2" borderId="21" xfId="0" quotePrefix="1" applyFill="1" applyBorder="1"/>
    <xf numFmtId="0" fontId="0" fillId="2" borderId="8" xfId="0" quotePrefix="1" applyFill="1" applyBorder="1"/>
    <xf numFmtId="0" fontId="35" fillId="9" borderId="0" xfId="24" applyFont="1" applyFill="1" applyAlignment="1">
      <alignment horizontal="center"/>
    </xf>
    <xf numFmtId="0" fontId="25" fillId="2" borderId="34" xfId="7" quotePrefix="1" applyFont="1" applyFill="1" applyBorder="1" applyAlignment="1">
      <alignment horizontal="center" vertical="top"/>
    </xf>
    <xf numFmtId="0" fontId="44" fillId="19" borderId="59" xfId="31" applyFont="1" applyFill="1" applyBorder="1" applyAlignment="1">
      <alignment vertical="center"/>
    </xf>
    <xf numFmtId="0" fontId="45" fillId="19" borderId="59" xfId="31" applyFont="1" applyFill="1" applyBorder="1" applyAlignment="1">
      <alignment vertical="center"/>
    </xf>
    <xf numFmtId="165" fontId="45" fillId="19" borderId="60" xfId="31" applyNumberFormat="1" applyFont="1" applyFill="1" applyBorder="1" applyAlignment="1">
      <alignment horizontal="right" vertical="center"/>
    </xf>
    <xf numFmtId="0" fontId="3" fillId="0" borderId="0" xfId="31"/>
    <xf numFmtId="0" fontId="46" fillId="20" borderId="0" xfId="31" applyFont="1" applyFill="1" applyAlignment="1">
      <alignment vertical="center"/>
    </xf>
    <xf numFmtId="165" fontId="46" fillId="20" borderId="61" xfId="31" applyNumberFormat="1" applyFont="1" applyFill="1" applyBorder="1" applyAlignment="1">
      <alignment vertical="center"/>
    </xf>
    <xf numFmtId="0" fontId="46" fillId="0" borderId="0" xfId="31" applyFont="1" applyAlignment="1">
      <alignment vertical="center"/>
    </xf>
    <xf numFmtId="165" fontId="46" fillId="0" borderId="61" xfId="31" applyNumberFormat="1" applyFont="1" applyBorder="1" applyAlignment="1">
      <alignment vertical="center"/>
    </xf>
    <xf numFmtId="0" fontId="46" fillId="0" borderId="62" xfId="31" applyFont="1" applyBorder="1" applyAlignment="1">
      <alignment vertical="center"/>
    </xf>
    <xf numFmtId="165" fontId="46" fillId="0" borderId="63" xfId="31" applyNumberFormat="1" applyFont="1" applyBorder="1" applyAlignment="1">
      <alignment vertical="center"/>
    </xf>
    <xf numFmtId="165" fontId="3" fillId="0" borderId="0" xfId="31" applyNumberFormat="1"/>
    <xf numFmtId="0" fontId="2" fillId="0" borderId="0" xfId="12" applyFont="1"/>
    <xf numFmtId="0" fontId="47" fillId="0" borderId="0" xfId="24" applyFont="1"/>
    <xf numFmtId="165" fontId="33" fillId="0" borderId="0" xfId="24" applyNumberFormat="1"/>
    <xf numFmtId="0" fontId="35" fillId="9" borderId="0" xfId="24" applyFont="1" applyFill="1" applyAlignment="1">
      <alignment horizontal="center" vertical="center" wrapText="1"/>
    </xf>
    <xf numFmtId="165" fontId="35" fillId="9" borderId="0" xfId="24" applyNumberFormat="1" applyFont="1" applyFill="1" applyAlignment="1">
      <alignment horizontal="center" vertical="center" wrapText="1"/>
    </xf>
    <xf numFmtId="0" fontId="33" fillId="0" borderId="0" xfId="24" applyAlignment="1">
      <alignment vertical="center" wrapText="1"/>
    </xf>
    <xf numFmtId="14" fontId="5" fillId="0" borderId="0" xfId="32" applyNumberFormat="1" applyAlignment="1">
      <alignment vertical="center"/>
    </xf>
    <xf numFmtId="166" fontId="5" fillId="0" borderId="0" xfId="32" applyAlignment="1">
      <alignment vertical="center"/>
    </xf>
    <xf numFmtId="166" fontId="5" fillId="0" borderId="0" xfId="32" applyAlignment="1">
      <alignment horizontal="center" vertical="center"/>
    </xf>
    <xf numFmtId="166" fontId="5" fillId="0" borderId="0" xfId="32" applyAlignment="1">
      <alignment horizontal="left" vertical="center"/>
    </xf>
    <xf numFmtId="165" fontId="5" fillId="0" borderId="0" xfId="32" applyNumberFormat="1" applyAlignment="1">
      <alignment horizontal="center" vertical="center"/>
    </xf>
    <xf numFmtId="166" fontId="5" fillId="2" borderId="0" xfId="32" applyFill="1" applyAlignment="1">
      <alignment horizontal="center" vertical="center"/>
    </xf>
    <xf numFmtId="166" fontId="30" fillId="21" borderId="5" xfId="32" applyFont="1" applyFill="1" applyBorder="1" applyAlignment="1">
      <alignment horizontal="center" vertical="center"/>
    </xf>
    <xf numFmtId="166" fontId="48" fillId="21" borderId="5" xfId="32" applyFont="1" applyFill="1" applyBorder="1" applyAlignment="1">
      <alignment horizontal="center" vertical="center"/>
    </xf>
    <xf numFmtId="166" fontId="49" fillId="21" borderId="5" xfId="32" applyFont="1" applyFill="1" applyBorder="1" applyAlignment="1">
      <alignment horizontal="left" vertical="center"/>
    </xf>
    <xf numFmtId="166" fontId="49" fillId="21" borderId="32" xfId="32" applyFont="1" applyFill="1" applyBorder="1" applyAlignment="1">
      <alignment horizontal="left" vertical="center"/>
    </xf>
    <xf numFmtId="165" fontId="49" fillId="21" borderId="32" xfId="32" applyNumberFormat="1" applyFont="1" applyFill="1" applyBorder="1" applyAlignment="1">
      <alignment horizontal="center" vertical="center"/>
    </xf>
    <xf numFmtId="166" fontId="49" fillId="21" borderId="32" xfId="32" applyFont="1" applyFill="1" applyBorder="1" applyAlignment="1">
      <alignment horizontal="center" vertical="center"/>
    </xf>
    <xf numFmtId="166" fontId="30" fillId="21" borderId="32" xfId="32" applyFont="1" applyFill="1" applyBorder="1" applyAlignment="1">
      <alignment horizontal="center" vertical="center"/>
    </xf>
    <xf numFmtId="167" fontId="30" fillId="21" borderId="32" xfId="30" applyNumberFormat="1" applyFont="1" applyFill="1" applyBorder="1" applyAlignment="1">
      <alignment horizontal="center" vertical="center"/>
    </xf>
    <xf numFmtId="166" fontId="30" fillId="21" borderId="0" xfId="32" applyFont="1" applyFill="1" applyAlignment="1">
      <alignment horizontal="center" vertical="center"/>
    </xf>
    <xf numFmtId="166" fontId="30" fillId="0" borderId="0" xfId="32" applyFont="1" applyAlignment="1">
      <alignment vertical="center"/>
    </xf>
    <xf numFmtId="166" fontId="5" fillId="22" borderId="10" xfId="32" applyFill="1" applyBorder="1" applyAlignment="1">
      <alignment vertical="center"/>
    </xf>
    <xf numFmtId="166" fontId="5" fillId="22" borderId="10" xfId="32" applyFill="1" applyBorder="1" applyAlignment="1">
      <alignment horizontal="center" vertical="center"/>
    </xf>
    <xf numFmtId="166" fontId="5" fillId="22" borderId="10" xfId="32" applyFill="1" applyBorder="1" applyAlignment="1">
      <alignment horizontal="left" vertical="center"/>
    </xf>
    <xf numFmtId="166" fontId="50" fillId="22" borderId="10" xfId="32" applyFont="1" applyFill="1" applyBorder="1" applyAlignment="1">
      <alignment horizontal="left" vertical="center" wrapText="1"/>
    </xf>
    <xf numFmtId="165" fontId="50" fillId="22" borderId="10" xfId="32" applyNumberFormat="1" applyFont="1" applyFill="1" applyBorder="1" applyAlignment="1">
      <alignment horizontal="center" vertical="center" wrapText="1"/>
    </xf>
    <xf numFmtId="166" fontId="50" fillId="21" borderId="40" xfId="32" applyFont="1" applyFill="1" applyBorder="1" applyAlignment="1">
      <alignment horizontal="center" vertical="center"/>
    </xf>
    <xf numFmtId="166" fontId="50" fillId="22" borderId="64" xfId="32" applyFont="1" applyFill="1" applyBorder="1" applyAlignment="1">
      <alignment horizontal="center" vertical="center" wrapText="1"/>
    </xf>
    <xf numFmtId="166" fontId="50" fillId="22" borderId="10" xfId="32" applyFont="1" applyFill="1" applyBorder="1" applyAlignment="1">
      <alignment horizontal="center" vertical="center" wrapText="1"/>
    </xf>
    <xf numFmtId="166" fontId="50" fillId="22" borderId="65" xfId="32" applyFont="1" applyFill="1" applyBorder="1" applyAlignment="1">
      <alignment horizontal="center" vertical="center" wrapText="1"/>
    </xf>
    <xf numFmtId="166" fontId="50" fillId="25" borderId="0" xfId="32" applyFont="1" applyFill="1" applyAlignment="1">
      <alignment horizontal="center" vertical="center" wrapText="1"/>
    </xf>
    <xf numFmtId="166" fontId="50" fillId="22" borderId="32" xfId="32" applyFont="1" applyFill="1" applyBorder="1" applyAlignment="1">
      <alignment horizontal="left" vertical="center" wrapText="1"/>
    </xf>
    <xf numFmtId="166" fontId="50" fillId="22" borderId="32" xfId="32" applyFont="1" applyFill="1" applyBorder="1" applyAlignment="1">
      <alignment horizontal="left" vertical="center"/>
    </xf>
    <xf numFmtId="166" fontId="50" fillId="22" borderId="32" xfId="32" applyFont="1" applyFill="1" applyBorder="1" applyAlignment="1">
      <alignment horizontal="center" vertical="center" wrapText="1"/>
    </xf>
    <xf numFmtId="165" fontId="50" fillId="22" borderId="32" xfId="32" applyNumberFormat="1" applyFont="1" applyFill="1" applyBorder="1" applyAlignment="1">
      <alignment horizontal="center" vertical="center" wrapText="1"/>
    </xf>
    <xf numFmtId="166" fontId="50" fillId="23" borderId="32" xfId="32" applyFont="1" applyFill="1" applyBorder="1" applyAlignment="1">
      <alignment horizontal="center" vertical="center" wrapText="1"/>
    </xf>
    <xf numFmtId="166" fontId="50" fillId="16" borderId="32" xfId="32" applyFont="1" applyFill="1" applyBorder="1" applyAlignment="1">
      <alignment horizontal="center" vertical="center" wrapText="1"/>
    </xf>
    <xf numFmtId="166" fontId="50" fillId="24" borderId="32" xfId="32" applyFont="1" applyFill="1" applyBorder="1" applyAlignment="1">
      <alignment horizontal="center" vertical="center" wrapText="1"/>
    </xf>
    <xf numFmtId="166" fontId="50" fillId="21" borderId="32" xfId="32" applyFont="1" applyFill="1" applyBorder="1" applyAlignment="1">
      <alignment horizontal="center" vertical="center" wrapText="1"/>
    </xf>
    <xf numFmtId="166" fontId="50" fillId="22" borderId="27" xfId="32" applyFont="1" applyFill="1" applyBorder="1" applyAlignment="1">
      <alignment horizontal="center" vertical="center" wrapText="1"/>
    </xf>
    <xf numFmtId="166" fontId="50" fillId="22" borderId="5" xfId="32" applyFont="1" applyFill="1" applyBorder="1" applyAlignment="1">
      <alignment horizontal="center" vertical="center" wrapText="1"/>
    </xf>
    <xf numFmtId="166" fontId="50" fillId="25" borderId="32" xfId="32" applyFont="1" applyFill="1" applyBorder="1" applyAlignment="1">
      <alignment horizontal="center" vertical="center" wrapText="1"/>
    </xf>
    <xf numFmtId="166" fontId="5" fillId="0" borderId="0" xfId="32" applyAlignment="1">
      <alignment vertical="center" wrapText="1"/>
    </xf>
    <xf numFmtId="166" fontId="51" fillId="2" borderId="5" xfId="32" applyFont="1" applyFill="1" applyBorder="1" applyAlignment="1">
      <alignment vertical="center"/>
    </xf>
    <xf numFmtId="166" fontId="51" fillId="0" borderId="5" xfId="32" applyFont="1" applyBorder="1" applyAlignment="1">
      <alignment vertical="center"/>
    </xf>
    <xf numFmtId="166" fontId="52" fillId="0" borderId="5" xfId="32" applyFont="1" applyBorder="1" applyAlignment="1">
      <alignment vertical="center"/>
    </xf>
    <xf numFmtId="166" fontId="51" fillId="0" borderId="5" xfId="32" quotePrefix="1" applyFont="1" applyBorder="1" applyAlignment="1">
      <alignment horizontal="center" vertical="center"/>
    </xf>
    <xf numFmtId="166" fontId="51" fillId="0" borderId="5" xfId="32" applyFont="1" applyBorder="1" applyAlignment="1">
      <alignment horizontal="left" vertical="center"/>
    </xf>
    <xf numFmtId="165" fontId="51" fillId="0" borderId="5" xfId="32" quotePrefix="1" applyNumberFormat="1" applyFont="1" applyBorder="1" applyAlignment="1">
      <alignment horizontal="center" vertical="center"/>
    </xf>
    <xf numFmtId="9" fontId="51" fillId="23" borderId="5" xfId="30" quotePrefix="1" applyFont="1" applyFill="1" applyBorder="1" applyAlignment="1">
      <alignment horizontal="center" vertical="center"/>
    </xf>
    <xf numFmtId="165" fontId="51" fillId="23" borderId="5" xfId="32" quotePrefix="1" applyNumberFormat="1" applyFont="1" applyFill="1" applyBorder="1" applyAlignment="1">
      <alignment horizontal="center" vertical="center"/>
    </xf>
    <xf numFmtId="9" fontId="51" fillId="16" borderId="5" xfId="30" quotePrefix="1" applyFont="1" applyFill="1" applyBorder="1" applyAlignment="1">
      <alignment horizontal="center" vertical="center"/>
    </xf>
    <xf numFmtId="165" fontId="51" fillId="16" borderId="5" xfId="32" quotePrefix="1" applyNumberFormat="1" applyFont="1" applyFill="1" applyBorder="1" applyAlignment="1">
      <alignment horizontal="center" vertical="center"/>
    </xf>
    <xf numFmtId="9" fontId="51" fillId="24" borderId="5" xfId="30" quotePrefix="1" applyFont="1" applyFill="1" applyBorder="1" applyAlignment="1">
      <alignment horizontal="center" vertical="center"/>
    </xf>
    <xf numFmtId="165" fontId="51" fillId="24" borderId="5" xfId="32" quotePrefix="1" applyNumberFormat="1" applyFont="1" applyFill="1" applyBorder="1" applyAlignment="1">
      <alignment horizontal="center" vertical="center"/>
    </xf>
    <xf numFmtId="167" fontId="51" fillId="21" borderId="0" xfId="30" quotePrefix="1" applyNumberFormat="1" applyFont="1" applyFill="1" applyBorder="1" applyAlignment="1">
      <alignment horizontal="center" vertical="center"/>
    </xf>
    <xf numFmtId="168" fontId="5" fillId="0" borderId="5" xfId="32" applyNumberFormat="1" applyBorder="1" applyAlignment="1">
      <alignment horizontal="center" vertical="center"/>
    </xf>
    <xf numFmtId="168" fontId="5" fillId="25" borderId="5" xfId="32" applyNumberFormat="1" applyFill="1" applyBorder="1" applyAlignment="1">
      <alignment horizontal="center" vertical="center"/>
    </xf>
    <xf numFmtId="166" fontId="25" fillId="0" borderId="0" xfId="32" applyFont="1" applyAlignment="1">
      <alignment vertical="center"/>
    </xf>
    <xf numFmtId="166" fontId="52" fillId="0" borderId="5" xfId="32" applyFont="1" applyBorder="1" applyAlignment="1">
      <alignment vertical="center" wrapText="1"/>
    </xf>
    <xf numFmtId="166" fontId="52" fillId="2" borderId="5" xfId="32" applyFont="1" applyFill="1" applyBorder="1" applyAlignment="1">
      <alignment vertical="center"/>
    </xf>
    <xf numFmtId="166" fontId="5" fillId="2" borderId="0" xfId="32" applyFill="1" applyAlignment="1">
      <alignment vertical="center"/>
    </xf>
    <xf numFmtId="166" fontId="5" fillId="0" borderId="5" xfId="32" applyBorder="1"/>
    <xf numFmtId="166" fontId="52" fillId="0" borderId="5" xfId="32" applyFont="1" applyBorder="1"/>
    <xf numFmtId="166" fontId="52" fillId="0" borderId="65" xfId="32" applyFont="1" applyBorder="1" applyAlignment="1">
      <alignment vertical="center"/>
    </xf>
    <xf numFmtId="166" fontId="51" fillId="0" borderId="27" xfId="32" applyFont="1" applyBorder="1" applyAlignment="1">
      <alignment vertical="center"/>
    </xf>
    <xf numFmtId="166" fontId="53" fillId="0" borderId="5" xfId="32" applyFont="1" applyBorder="1" applyAlignment="1">
      <alignment vertical="center" wrapText="1"/>
    </xf>
    <xf numFmtId="168" fontId="25" fillId="0" borderId="5" xfId="32" applyNumberFormat="1" applyFont="1" applyBorder="1" applyAlignment="1">
      <alignment horizontal="center" vertical="center"/>
    </xf>
    <xf numFmtId="168" fontId="25" fillId="25" borderId="5" xfId="32" applyNumberFormat="1" applyFont="1" applyFill="1" applyBorder="1" applyAlignment="1">
      <alignment horizontal="center" vertical="center"/>
    </xf>
    <xf numFmtId="166" fontId="54" fillId="0" borderId="5" xfId="32" applyFont="1" applyBorder="1" applyAlignment="1">
      <alignment horizontal="left" vertical="center"/>
    </xf>
    <xf numFmtId="9" fontId="54" fillId="16" borderId="5" xfId="30" quotePrefix="1" applyFont="1" applyFill="1" applyBorder="1" applyAlignment="1">
      <alignment horizontal="center" vertical="center"/>
    </xf>
    <xf numFmtId="9" fontId="54" fillId="24" borderId="5" xfId="30" quotePrefix="1" applyFont="1" applyFill="1" applyBorder="1" applyAlignment="1">
      <alignment horizontal="center" vertical="center"/>
    </xf>
    <xf numFmtId="166" fontId="55" fillId="26" borderId="5" xfId="32" applyFont="1" applyFill="1" applyBorder="1" applyAlignment="1">
      <alignment vertical="center"/>
    </xf>
    <xf numFmtId="166" fontId="51" fillId="0" borderId="32" xfId="32" applyFont="1" applyBorder="1" applyAlignment="1">
      <alignment horizontal="left" vertical="center"/>
    </xf>
    <xf numFmtId="165" fontId="51" fillId="0" borderId="32" xfId="32" quotePrefix="1" applyNumberFormat="1" applyFont="1" applyBorder="1" applyAlignment="1">
      <alignment horizontal="center" vertical="center"/>
    </xf>
    <xf numFmtId="167" fontId="51" fillId="21" borderId="5" xfId="30" quotePrefix="1" applyNumberFormat="1" applyFont="1" applyFill="1" applyBorder="1" applyAlignment="1">
      <alignment horizontal="center" vertical="center"/>
    </xf>
    <xf numFmtId="166" fontId="56" fillId="2" borderId="0" xfId="32" applyFont="1" applyFill="1" applyAlignment="1">
      <alignment vertical="center"/>
    </xf>
    <xf numFmtId="166" fontId="56" fillId="22" borderId="5" xfId="32" applyFont="1" applyFill="1" applyBorder="1" applyAlignment="1">
      <alignment vertical="center"/>
    </xf>
    <xf numFmtId="166" fontId="56" fillId="22" borderId="0" xfId="32" applyFont="1" applyFill="1" applyAlignment="1">
      <alignment vertical="center"/>
    </xf>
    <xf numFmtId="166" fontId="56" fillId="22" borderId="47" xfId="32" applyFont="1" applyFill="1" applyBorder="1" applyAlignment="1">
      <alignment vertical="center"/>
    </xf>
    <xf numFmtId="166" fontId="56" fillId="22" borderId="32" xfId="32" applyFont="1" applyFill="1" applyBorder="1" applyAlignment="1">
      <alignment vertical="center"/>
    </xf>
    <xf numFmtId="166" fontId="56" fillId="22" borderId="65" xfId="32" applyFont="1" applyFill="1" applyBorder="1" applyAlignment="1">
      <alignment vertical="center"/>
    </xf>
    <xf numFmtId="166" fontId="53" fillId="2" borderId="5" xfId="32" applyFont="1" applyFill="1" applyBorder="1" applyAlignment="1">
      <alignment vertical="center"/>
    </xf>
    <xf numFmtId="166" fontId="51" fillId="0" borderId="32" xfId="32" applyFont="1" applyBorder="1" applyAlignment="1">
      <alignment vertical="center"/>
    </xf>
    <xf numFmtId="166" fontId="57" fillId="0" borderId="0" xfId="32" applyFont="1" applyAlignment="1">
      <alignment vertical="center"/>
    </xf>
    <xf numFmtId="166" fontId="58" fillId="0" borderId="0" xfId="32" applyFont="1" applyAlignment="1">
      <alignment vertical="center"/>
    </xf>
    <xf numFmtId="166" fontId="53" fillId="0" borderId="5" xfId="32" applyFont="1" applyBorder="1" applyAlignment="1">
      <alignment vertical="center"/>
    </xf>
    <xf numFmtId="166" fontId="59" fillId="0" borderId="5" xfId="32" applyFont="1" applyBorder="1" applyAlignment="1">
      <alignment vertical="center"/>
    </xf>
    <xf numFmtId="166" fontId="60" fillId="0" borderId="5" xfId="32" applyFont="1" applyBorder="1" applyAlignment="1">
      <alignment vertical="center"/>
    </xf>
    <xf numFmtId="166" fontId="59" fillId="0" borderId="5" xfId="32" quotePrefix="1" applyFont="1" applyBorder="1" applyAlignment="1">
      <alignment horizontal="center" vertical="center"/>
    </xf>
    <xf numFmtId="166" fontId="59" fillId="0" borderId="5" xfId="32" applyFont="1" applyBorder="1" applyAlignment="1">
      <alignment horizontal="left" vertical="center"/>
    </xf>
    <xf numFmtId="165" fontId="59" fillId="0" borderId="5" xfId="32" quotePrefix="1" applyNumberFormat="1" applyFont="1" applyBorder="1" applyAlignment="1">
      <alignment horizontal="center" vertical="center"/>
    </xf>
    <xf numFmtId="9" fontId="59" fillId="0" borderId="5" xfId="30" quotePrefix="1" applyFont="1" applyFill="1" applyBorder="1" applyAlignment="1">
      <alignment horizontal="center" vertical="center"/>
    </xf>
    <xf numFmtId="168" fontId="61" fillId="0" borderId="5" xfId="32" applyNumberFormat="1" applyFont="1" applyBorder="1" applyAlignment="1">
      <alignment horizontal="center" vertical="center"/>
    </xf>
    <xf numFmtId="166" fontId="61" fillId="0" borderId="0" xfId="32" applyFont="1" applyAlignment="1">
      <alignment vertical="center"/>
    </xf>
    <xf numFmtId="165" fontId="54" fillId="0" borderId="5" xfId="32" quotePrefix="1" applyNumberFormat="1" applyFont="1" applyBorder="1" applyAlignment="1">
      <alignment horizontal="center" vertical="center"/>
    </xf>
    <xf numFmtId="166" fontId="5" fillId="0" borderId="5" xfId="32" applyBorder="1" applyAlignment="1">
      <alignment vertical="center"/>
    </xf>
    <xf numFmtId="166" fontId="5" fillId="0" borderId="5" xfId="32" applyBorder="1" applyAlignment="1">
      <alignment horizontal="center" vertical="center"/>
    </xf>
    <xf numFmtId="166" fontId="5" fillId="0" borderId="5" xfId="32" applyBorder="1" applyAlignment="1">
      <alignment horizontal="left" vertical="center"/>
    </xf>
    <xf numFmtId="165" fontId="5" fillId="0" borderId="5" xfId="32" applyNumberFormat="1" applyBorder="1" applyAlignment="1">
      <alignment horizontal="center" vertical="center"/>
    </xf>
    <xf numFmtId="166" fontId="62" fillId="2" borderId="5" xfId="32" applyFont="1" applyFill="1" applyBorder="1" applyAlignment="1">
      <alignment vertical="center" wrapText="1"/>
    </xf>
    <xf numFmtId="166" fontId="62" fillId="0" borderId="5" xfId="32" applyFont="1" applyBorder="1" applyAlignment="1">
      <alignment vertical="center" wrapText="1"/>
    </xf>
    <xf numFmtId="166" fontId="5" fillId="2" borderId="5" xfId="32" applyFill="1" applyBorder="1" applyAlignment="1">
      <alignment vertical="center"/>
    </xf>
    <xf numFmtId="166" fontId="17" fillId="2" borderId="5" xfId="32" applyFont="1" applyFill="1" applyBorder="1" applyAlignment="1">
      <alignment vertical="center"/>
    </xf>
    <xf numFmtId="166" fontId="17" fillId="0" borderId="5" xfId="32" applyFont="1" applyBorder="1" applyAlignment="1">
      <alignment vertical="center"/>
    </xf>
    <xf numFmtId="166" fontId="54" fillId="0" borderId="65" xfId="32" applyFont="1" applyBorder="1" applyAlignment="1">
      <alignment vertical="center"/>
    </xf>
    <xf numFmtId="166" fontId="17" fillId="0" borderId="5" xfId="32" applyFont="1" applyBorder="1" applyAlignment="1">
      <alignment horizontal="center" vertical="center"/>
    </xf>
    <xf numFmtId="166" fontId="17" fillId="0" borderId="5" xfId="32" applyFont="1" applyBorder="1" applyAlignment="1">
      <alignment horizontal="left"/>
    </xf>
    <xf numFmtId="165" fontId="17" fillId="0" borderId="5" xfId="32" applyNumberFormat="1" applyFont="1" applyBorder="1" applyAlignment="1">
      <alignment horizontal="center" vertical="center"/>
    </xf>
    <xf numFmtId="9" fontId="54" fillId="23" borderId="5" xfId="30" quotePrefix="1" applyFont="1" applyFill="1" applyBorder="1" applyAlignment="1">
      <alignment horizontal="center" vertical="center"/>
    </xf>
    <xf numFmtId="165" fontId="54" fillId="23" borderId="5" xfId="32" quotePrefix="1" applyNumberFormat="1" applyFont="1" applyFill="1" applyBorder="1" applyAlignment="1">
      <alignment horizontal="center" vertical="center"/>
    </xf>
    <xf numFmtId="165" fontId="54" fillId="16" borderId="5" xfId="32" quotePrefix="1" applyNumberFormat="1" applyFont="1" applyFill="1" applyBorder="1" applyAlignment="1">
      <alignment horizontal="center" vertical="center"/>
    </xf>
    <xf numFmtId="165" fontId="54" fillId="24" borderId="5" xfId="32" quotePrefix="1" applyNumberFormat="1" applyFont="1" applyFill="1" applyBorder="1" applyAlignment="1">
      <alignment horizontal="center" vertical="center"/>
    </xf>
    <xf numFmtId="167" fontId="54" fillId="21" borderId="0" xfId="30" quotePrefix="1" applyNumberFormat="1" applyFont="1" applyFill="1" applyBorder="1" applyAlignment="1">
      <alignment horizontal="center" vertical="center"/>
    </xf>
    <xf numFmtId="168" fontId="17" fillId="0" borderId="5" xfId="32" applyNumberFormat="1" applyFont="1" applyBorder="1" applyAlignment="1">
      <alignment horizontal="center" vertical="center"/>
    </xf>
    <xf numFmtId="168" fontId="17" fillId="25" borderId="5" xfId="32" applyNumberFormat="1" applyFont="1" applyFill="1" applyBorder="1" applyAlignment="1">
      <alignment horizontal="center" vertical="center"/>
    </xf>
    <xf numFmtId="166" fontId="17" fillId="0" borderId="0" xfId="32" applyFont="1" applyAlignment="1">
      <alignment vertical="center"/>
    </xf>
    <xf numFmtId="166" fontId="17" fillId="0" borderId="0" xfId="32" applyFont="1" applyAlignment="1">
      <alignment horizontal="center" vertical="center"/>
    </xf>
    <xf numFmtId="166" fontId="17" fillId="2" borderId="0" xfId="32" applyFont="1" applyFill="1" applyAlignment="1">
      <alignment horizontal="center" vertical="center"/>
    </xf>
    <xf numFmtId="0" fontId="1" fillId="0" borderId="0" xfId="12" applyFont="1"/>
    <xf numFmtId="0" fontId="0" fillId="2" borderId="1" xfId="0" applyFill="1" applyBorder="1" applyAlignment="1">
      <alignment vertical="top" wrapText="1"/>
    </xf>
    <xf numFmtId="0" fontId="0" fillId="2" borderId="2" xfId="0" applyFill="1" applyBorder="1" applyAlignment="1">
      <alignment vertical="top" wrapText="1"/>
    </xf>
    <xf numFmtId="0" fontId="0" fillId="2" borderId="11" xfId="0" applyFill="1" applyBorder="1" applyAlignment="1">
      <alignment vertical="top" wrapText="1"/>
    </xf>
    <xf numFmtId="0" fontId="0" fillId="2" borderId="8" xfId="0" applyFill="1" applyBorder="1" applyAlignment="1">
      <alignment vertical="top" wrapText="1"/>
    </xf>
    <xf numFmtId="0" fontId="0" fillId="2" borderId="0" xfId="0" applyFill="1" applyBorder="1" applyAlignment="1">
      <alignment vertical="top" wrapText="1"/>
    </xf>
    <xf numFmtId="0" fontId="0" fillId="2" borderId="14" xfId="0" applyFill="1" applyBorder="1" applyAlignment="1">
      <alignment vertical="top" wrapText="1"/>
    </xf>
    <xf numFmtId="0" fontId="0" fillId="2" borderId="12" xfId="0" applyFill="1" applyBorder="1" applyAlignment="1">
      <alignment vertical="top" wrapText="1"/>
    </xf>
    <xf numFmtId="0" fontId="0" fillId="2" borderId="9" xfId="0" applyFill="1" applyBorder="1" applyAlignment="1">
      <alignment vertical="top" wrapText="1"/>
    </xf>
    <xf numFmtId="0" fontId="0" fillId="2" borderId="13" xfId="0" applyFill="1" applyBorder="1" applyAlignment="1">
      <alignment vertical="top" wrapText="1"/>
    </xf>
    <xf numFmtId="0" fontId="5" fillId="2" borderId="8" xfId="1" quotePrefix="1" applyFont="1" applyFill="1" applyBorder="1" applyAlignment="1">
      <alignment horizontal="left" vertical="center" wrapText="1"/>
    </xf>
    <xf numFmtId="0" fontId="5" fillId="2" borderId="0" xfId="1" quotePrefix="1" applyFont="1" applyFill="1" applyBorder="1" applyAlignment="1">
      <alignment horizontal="left" vertical="center" wrapText="1"/>
    </xf>
    <xf numFmtId="0" fontId="31" fillId="18" borderId="1" xfId="1" applyFont="1" applyFill="1" applyBorder="1" applyAlignment="1">
      <alignment horizontal="left" vertical="center" wrapText="1"/>
    </xf>
    <xf numFmtId="0" fontId="31" fillId="18" borderId="2" xfId="1" applyFont="1" applyFill="1" applyBorder="1" applyAlignment="1">
      <alignment horizontal="left" vertical="center" wrapText="1"/>
    </xf>
    <xf numFmtId="0" fontId="31" fillId="18" borderId="11" xfId="1" applyFont="1" applyFill="1" applyBorder="1" applyAlignment="1">
      <alignment horizontal="left" vertical="center" wrapText="1"/>
    </xf>
    <xf numFmtId="0" fontId="31" fillId="18" borderId="12" xfId="1" applyFont="1" applyFill="1" applyBorder="1" applyAlignment="1">
      <alignment horizontal="left" vertical="center" wrapText="1"/>
    </xf>
    <xf numFmtId="0" fontId="31" fillId="18" borderId="9" xfId="1" applyFont="1" applyFill="1" applyBorder="1" applyAlignment="1">
      <alignment horizontal="left" vertical="center" wrapText="1"/>
    </xf>
    <xf numFmtId="0" fontId="31" fillId="18" borderId="13" xfId="1" applyFont="1" applyFill="1" applyBorder="1" applyAlignment="1">
      <alignment horizontal="left" vertical="center" wrapText="1"/>
    </xf>
    <xf numFmtId="0" fontId="7" fillId="2" borderId="0" xfId="1" applyFont="1" applyFill="1" applyAlignment="1">
      <alignment horizontal="left" vertical="center" wrapText="1"/>
    </xf>
    <xf numFmtId="0" fontId="7" fillId="2" borderId="0" xfId="1" applyFont="1" applyFill="1" applyAlignment="1">
      <alignment horizontal="left" vertical="center"/>
    </xf>
    <xf numFmtId="166" fontId="9" fillId="23" borderId="3" xfId="32" applyFont="1" applyFill="1" applyBorder="1" applyAlignment="1">
      <alignment horizontal="center" vertical="center" wrapText="1"/>
    </xf>
    <xf numFmtId="166" fontId="9" fillId="16" borderId="20" xfId="32" applyFont="1" applyFill="1" applyBorder="1" applyAlignment="1">
      <alignment horizontal="center" vertical="center"/>
    </xf>
    <xf numFmtId="166" fontId="5" fillId="0" borderId="4" xfId="32" applyBorder="1" applyAlignment="1">
      <alignment horizontal="center" vertical="center"/>
    </xf>
    <xf numFmtId="166" fontId="9" fillId="24" borderId="20" xfId="32" applyFont="1" applyFill="1" applyBorder="1" applyAlignment="1">
      <alignment horizontal="center" vertical="center"/>
    </xf>
    <xf numFmtId="166" fontId="5" fillId="0" borderId="3" xfId="32" applyBorder="1" applyAlignment="1">
      <alignment horizontal="center" vertical="center"/>
    </xf>
  </cellXfs>
  <cellStyles count="33">
    <cellStyle name="60% - Accent1 2" xfId="26" xr:uid="{2AC6E9E1-BD83-4624-A201-6939735BB41C}"/>
    <cellStyle name="60% - Accent1 2 2" xfId="28" xr:uid="{1BD47532-25BB-4486-8949-D027E7C5E9BB}"/>
    <cellStyle name="Category Header" xfId="18" xr:uid="{68445C9E-D854-487D-9B38-D481F1260270}"/>
    <cellStyle name="Currency 13" xfId="21" xr:uid="{5899CE91-53F4-485C-BB30-578A2312A717}"/>
    <cellStyle name="Currency 2" xfId="2" xr:uid="{00000000-0005-0000-0000-000000000000}"/>
    <cellStyle name="Currency 2 2" xfId="8" xr:uid="{00000000-0005-0000-0000-000000000000}"/>
    <cellStyle name="Currency 2 2 2" xfId="17" xr:uid="{9F157297-FE83-41CD-B909-B34FF1661186}"/>
    <cellStyle name="Currency 2 2 2 2 2" xfId="6" xr:uid="{00000000-0005-0000-0000-000001000000}"/>
    <cellStyle name="Currency 2 2 2 2 2 2" xfId="11" xr:uid="{00000000-0005-0000-0000-000001000000}"/>
    <cellStyle name="Currency 3" xfId="13" xr:uid="{B6DE0BC7-AF6B-4EC7-B277-2D5422DB364C}"/>
    <cellStyle name="Currency 3 2 2" xfId="5" xr:uid="{00000000-0005-0000-0000-000002000000}"/>
    <cellStyle name="Currency 3 2 2 2" xfId="10" xr:uid="{00000000-0005-0000-0000-000002000000}"/>
    <cellStyle name="Currency 4 2 2 2" xfId="4" xr:uid="{00000000-0005-0000-0000-000003000000}"/>
    <cellStyle name="Currency 4 2 2 2 2" xfId="9" xr:uid="{00000000-0005-0000-0000-000003000000}"/>
    <cellStyle name="Currency 4 3" xfId="15" xr:uid="{D485B9AD-5F02-4F3D-8FD5-191CE79E42F4}"/>
    <cellStyle name="Hyperlink" xfId="7" builtinId="8"/>
    <cellStyle name="Hyperlink 2" xfId="23" xr:uid="{3F20D623-FC37-4A9E-8D85-EA822A5ADA51}"/>
    <cellStyle name="Normal" xfId="0" builtinId="0"/>
    <cellStyle name="Normal - Style1 2" xfId="20" xr:uid="{FAA249DA-A550-454B-A939-8A367018177A}"/>
    <cellStyle name="Normal 15 2" xfId="3" xr:uid="{00000000-0005-0000-0000-000005000000}"/>
    <cellStyle name="Normal 2" xfId="12" xr:uid="{0388D1C6-83F2-45C7-B662-4212B6FE1315}"/>
    <cellStyle name="Normal 2 2 2 2" xfId="1" xr:uid="{00000000-0005-0000-0000-000006000000}"/>
    <cellStyle name="Normal 3" xfId="16" xr:uid="{E8099F72-434B-4F4A-AF36-B77FCEDABB06}"/>
    <cellStyle name="Normal 3 2" xfId="22" xr:uid="{23FCF0DF-28CB-4F33-8365-2A555D1F557B}"/>
    <cellStyle name="Normal 4" xfId="24" xr:uid="{A89080DE-E170-48F8-B7ED-FA1C2331CB01}"/>
    <cellStyle name="Normal 5" xfId="25" xr:uid="{A4C48D3D-4C78-4765-9C86-54D897F0D4D1}"/>
    <cellStyle name="Normal 5 2" xfId="27" xr:uid="{C6A65E79-9B15-4332-8E7F-39C3901BE6A2}"/>
    <cellStyle name="Normal 6" xfId="29" xr:uid="{289152C1-49E6-4B31-90F5-C03ACA03E70C}"/>
    <cellStyle name="Normal 7" xfId="32" xr:uid="{B756CB52-0C89-C34A-8A14-1C6D47350FCA}"/>
    <cellStyle name="Normal 8 2" xfId="31" xr:uid="{B2D9DBCC-2F33-314B-B9BF-3AAA3A1BF076}"/>
    <cellStyle name="Percent" xfId="30" builtinId="5"/>
    <cellStyle name="Percent 2" xfId="14" xr:uid="{A3E0B8DC-D565-423C-A738-E544D365DF53}"/>
    <cellStyle name="Sub-Header" xfId="19" xr:uid="{46A18180-0D3E-4207-B184-EFFF09F88AD3}"/>
  </cellStyles>
  <dxfs count="227">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C00000"/>
      </font>
      <fill>
        <patternFill>
          <bgColor rgb="FFFFCCCC"/>
        </patternFill>
      </fill>
    </dxf>
    <dxf>
      <font>
        <color theme="0"/>
      </font>
    </dxf>
    <dxf>
      <font>
        <color rgb="FFC00000"/>
      </font>
      <fill>
        <patternFill>
          <bgColor rgb="FFFFCCCC"/>
        </patternFill>
      </fill>
    </dxf>
    <dxf>
      <font>
        <color theme="0"/>
      </font>
    </dxf>
    <dxf>
      <font>
        <color rgb="FFC00000"/>
      </font>
      <fill>
        <patternFill>
          <bgColor rgb="FFFFCCCC"/>
        </patternFill>
      </fill>
    </dxf>
    <dxf>
      <fill>
        <patternFill>
          <bgColor theme="5" tint="0.79998168889431442"/>
        </patternFill>
      </fill>
    </dxf>
    <dxf>
      <font>
        <color theme="0"/>
      </font>
      <fill>
        <patternFill>
          <bgColor theme="0"/>
        </patternFill>
      </fill>
    </dxf>
    <dxf>
      <font>
        <color rgb="FFC00000"/>
      </font>
      <fill>
        <patternFill>
          <bgColor rgb="FFFFCCCC"/>
        </patternFill>
      </fill>
    </dxf>
    <dxf>
      <font>
        <color theme="5" tint="0.79998168889431442"/>
      </font>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theme="5" tint="0.79998168889431442"/>
      </font>
    </dxf>
    <dxf>
      <font>
        <color rgb="FFC00000"/>
      </font>
      <fill>
        <patternFill>
          <bgColor rgb="FFFFCCCC"/>
        </patternFill>
      </fill>
    </dxf>
    <dxf>
      <font>
        <color rgb="FFC00000"/>
      </font>
      <fill>
        <patternFill>
          <bgColor rgb="FFFFCCCC"/>
        </patternFill>
      </fill>
    </dxf>
    <dxf>
      <fill>
        <patternFill>
          <bgColor theme="5" tint="0.79998168889431442"/>
        </patternFill>
      </fill>
    </dxf>
    <dxf>
      <font>
        <color theme="0"/>
      </font>
      <fill>
        <patternFill>
          <bgColor theme="0"/>
        </patternFill>
      </fill>
    </dxf>
    <dxf>
      <font>
        <color rgb="FFC00000"/>
      </font>
      <fill>
        <patternFill>
          <bgColor rgb="FFFFCCCC"/>
        </patternFill>
      </fill>
    </dxf>
    <dxf>
      <font>
        <color theme="5" tint="0.79998168889431442"/>
      </font>
    </dxf>
    <dxf>
      <font>
        <color rgb="FFC00000"/>
      </font>
      <fill>
        <patternFill>
          <bgColor rgb="FFFFCCCC"/>
        </patternFill>
      </fill>
    </dxf>
    <dxf>
      <font>
        <color rgb="FFC00000"/>
      </font>
      <fill>
        <patternFill>
          <bgColor rgb="FFFFCCCC"/>
        </patternFill>
      </fill>
    </dxf>
    <dxf>
      <fill>
        <patternFill>
          <bgColor theme="5" tint="0.79998168889431442"/>
        </patternFill>
      </fill>
    </dxf>
    <dxf>
      <font>
        <color rgb="FFC00000"/>
      </font>
      <fill>
        <patternFill>
          <bgColor rgb="FFFFCCCC"/>
        </patternFill>
      </fill>
    </dxf>
    <dxf>
      <font>
        <color theme="5" tint="0.79998168889431442"/>
      </font>
    </dxf>
    <dxf>
      <font>
        <color rgb="FFC00000"/>
      </font>
      <fill>
        <patternFill>
          <bgColor rgb="FFFFCCCC"/>
        </patternFill>
      </fill>
    </dxf>
    <dxf>
      <font>
        <color rgb="FFC00000"/>
      </font>
      <fill>
        <patternFill>
          <bgColor rgb="FFFFCCCC"/>
        </patternFill>
      </fill>
    </dxf>
    <dxf>
      <fill>
        <patternFill>
          <bgColor theme="5" tint="0.79998168889431442"/>
        </patternFill>
      </fill>
    </dxf>
    <dxf>
      <font>
        <color theme="0"/>
      </font>
      <fill>
        <patternFill>
          <bgColor theme="0"/>
        </patternFill>
      </fill>
    </dxf>
    <dxf>
      <font>
        <color theme="0"/>
      </font>
      <fill>
        <patternFill>
          <bgColor theme="0"/>
        </patternFill>
      </fill>
    </dxf>
    <dxf>
      <font>
        <color rgb="FFC00000"/>
      </font>
      <fill>
        <patternFill>
          <bgColor rgb="FFFFCCCC"/>
        </patternFill>
      </fill>
    </dxf>
    <dxf>
      <font>
        <color theme="5" tint="0.79998168889431442"/>
      </font>
    </dxf>
    <dxf>
      <font>
        <color rgb="FFC00000"/>
      </font>
      <fill>
        <patternFill>
          <bgColor rgb="FFFFCCCC"/>
        </patternFill>
      </fill>
    </dxf>
    <dxf>
      <font>
        <color rgb="FFC00000"/>
      </font>
      <fill>
        <patternFill>
          <bgColor rgb="FFFFCCCC"/>
        </patternFill>
      </fill>
    </dxf>
    <dxf>
      <fill>
        <patternFill>
          <bgColor theme="5" tint="0.79998168889431442"/>
        </patternFill>
      </fill>
    </dxf>
    <dxf>
      <font>
        <color theme="0"/>
      </font>
      <fill>
        <patternFill>
          <bgColor theme="0"/>
        </patternFill>
      </fill>
    </dxf>
    <dxf>
      <font>
        <color theme="0"/>
      </font>
      <fill>
        <patternFill>
          <bgColor theme="0"/>
        </patternFill>
      </fill>
    </dxf>
    <dxf>
      <font>
        <color rgb="FFC00000"/>
      </font>
      <fill>
        <patternFill>
          <bgColor rgb="FFFFCCCC"/>
        </patternFill>
      </fill>
    </dxf>
    <dxf>
      <font>
        <color theme="5" tint="0.79998168889431442"/>
      </font>
    </dxf>
    <dxf>
      <font>
        <color rgb="FFC00000"/>
      </font>
      <fill>
        <patternFill>
          <bgColor rgb="FFFFCCCC"/>
        </patternFill>
      </fill>
    </dxf>
    <dxf>
      <font>
        <color rgb="FFC00000"/>
      </font>
      <fill>
        <patternFill>
          <bgColor rgb="FFFFCCCC"/>
        </patternFill>
      </fill>
    </dxf>
    <dxf>
      <fill>
        <patternFill>
          <bgColor theme="5" tint="0.79998168889431442"/>
        </patternFill>
      </fill>
    </dxf>
    <dxf>
      <font>
        <color rgb="FF9C0006"/>
      </font>
      <fill>
        <patternFill>
          <bgColor rgb="FFFFC7CE"/>
        </patternFill>
      </fill>
    </dxf>
    <dxf>
      <font>
        <color rgb="FFC00000"/>
      </font>
      <fill>
        <patternFill>
          <bgColor rgb="FFFFCCCC"/>
        </patternFill>
      </fill>
    </dxf>
    <dxf>
      <font>
        <color rgb="FFC00000"/>
      </font>
      <fill>
        <patternFill>
          <bgColor rgb="FFFFCCCC"/>
        </patternFill>
      </fill>
    </dxf>
    <dxf>
      <font>
        <color theme="0"/>
      </font>
    </dxf>
    <dxf>
      <font>
        <color rgb="FFC00000"/>
      </font>
      <fill>
        <patternFill>
          <bgColor rgb="FFFFCCCC"/>
        </patternFill>
      </fill>
    </dxf>
    <dxf>
      <font>
        <color rgb="FFC00000"/>
      </font>
    </dxf>
    <dxf>
      <font>
        <color rgb="FFC00000"/>
      </font>
      <fill>
        <patternFill>
          <bgColor rgb="FFFFCCCC"/>
        </patternFill>
      </fill>
    </dxf>
    <dxf>
      <font>
        <color theme="5" tint="0.79998168889431442"/>
      </font>
    </dxf>
    <dxf>
      <font>
        <color theme="0"/>
      </font>
    </dxf>
    <dxf>
      <font>
        <b val="0"/>
        <i val="0"/>
        <color rgb="FFC00000"/>
      </font>
      <fill>
        <patternFill>
          <bgColor rgb="FFFFCCCC"/>
        </patternFill>
      </fill>
    </dxf>
    <dxf>
      <font>
        <color rgb="FFC00000"/>
      </font>
      <fill>
        <patternFill>
          <bgColor rgb="FFFFCCCC"/>
        </patternFill>
      </fill>
    </dxf>
    <dxf>
      <font>
        <color rgb="FFC00000"/>
      </font>
    </dxf>
    <dxf>
      <font>
        <color rgb="FFC00000"/>
      </font>
      <fill>
        <patternFill>
          <bgColor rgb="FFFFCCCC"/>
        </patternFill>
      </fill>
    </dxf>
    <dxf>
      <font>
        <color rgb="FFC00000"/>
      </font>
      <fill>
        <patternFill>
          <bgColor rgb="FFFFCCCC"/>
        </patternFill>
      </fill>
    </dxf>
    <dxf>
      <font>
        <color theme="0"/>
      </font>
    </dxf>
    <dxf>
      <font>
        <color theme="5" tint="0.79998168889431442"/>
      </font>
    </dxf>
    <dxf>
      <font>
        <color rgb="FFC00000"/>
      </font>
      <fill>
        <patternFill>
          <bgColor rgb="FFFFCCCC"/>
        </patternFill>
      </fill>
    </dxf>
    <dxf>
      <font>
        <color theme="0"/>
      </font>
    </dxf>
    <dxf>
      <font>
        <color rgb="FFC00000"/>
      </font>
      <fill>
        <patternFill>
          <bgColor rgb="FFFFCCCC"/>
        </patternFill>
      </fill>
    </dxf>
    <dxf>
      <font>
        <color rgb="FF9C0006"/>
      </font>
      <fill>
        <patternFill>
          <bgColor rgb="FFFFC7CE"/>
        </patternFill>
      </fill>
    </dxf>
    <dxf>
      <fill>
        <patternFill>
          <bgColor theme="5" tint="0.79998168889431442"/>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color theme="0"/>
      </font>
      <fill>
        <patternFill>
          <bgColor theme="0"/>
        </patternFill>
      </fill>
    </dxf>
    <dxf>
      <font>
        <color rgb="FFC00000"/>
      </font>
      <fill>
        <patternFill>
          <bgColor theme="0"/>
        </patternFill>
      </fill>
    </dxf>
    <dxf>
      <font>
        <color rgb="FFC00000"/>
      </font>
      <fill>
        <patternFill>
          <bgColor theme="0"/>
        </patternFill>
      </fill>
    </dxf>
    <dxf>
      <font>
        <color rgb="FFC00000"/>
      </font>
      <fill>
        <patternFill>
          <bgColor theme="0"/>
        </patternFill>
      </fill>
    </dxf>
    <dxf>
      <font>
        <color rgb="FFC00000"/>
      </font>
    </dxf>
    <dxf>
      <fill>
        <patternFill>
          <bgColor rgb="FFFFCCCC"/>
        </patternFill>
      </fill>
    </dxf>
    <dxf>
      <font>
        <color rgb="FFC00000"/>
      </font>
      <fill>
        <patternFill>
          <bgColor rgb="FFFFCCCC"/>
        </patternFill>
      </fill>
    </dxf>
    <dxf>
      <font>
        <color theme="0"/>
      </font>
      <fill>
        <patternFill>
          <bgColor theme="0"/>
        </patternFill>
      </fill>
    </dxf>
    <dxf>
      <font>
        <color theme="0"/>
      </font>
      <fill>
        <patternFill>
          <bgColor theme="0"/>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color theme="0"/>
      </font>
      <fill>
        <patternFill>
          <bgColor theme="0"/>
        </patternFill>
      </fill>
    </dxf>
    <dxf>
      <fill>
        <patternFill>
          <bgColor rgb="FFFFCCCC"/>
        </patternFill>
      </fill>
    </dxf>
    <dxf>
      <font>
        <color rgb="FFC00000"/>
      </font>
      <fill>
        <patternFill>
          <bgColor rgb="FFFFCCCC"/>
        </patternFill>
      </fill>
    </dxf>
    <dxf>
      <font>
        <color theme="0"/>
      </font>
      <fill>
        <patternFill>
          <bgColor theme="0"/>
        </patternFill>
      </fill>
    </dxf>
    <dxf>
      <font>
        <color theme="0"/>
      </font>
      <fill>
        <patternFill>
          <bgColor theme="0"/>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rgb="FFC00000"/>
      </font>
      <fill>
        <patternFill>
          <bgColor rgb="FFFFCCCC"/>
        </patternFill>
      </fill>
    </dxf>
    <dxf>
      <font>
        <color theme="1" tint="0.34998626667073579"/>
      </font>
      <fill>
        <patternFill>
          <bgColor theme="1" tint="0.34998626667073579"/>
        </patternFill>
      </fill>
    </dxf>
    <dxf>
      <font>
        <color rgb="FFC00000"/>
      </font>
      <fill>
        <patternFill>
          <bgColor rgb="FFFFCCCC"/>
        </patternFill>
      </fill>
    </dxf>
    <dxf>
      <font>
        <color theme="1" tint="0.34998626667073579"/>
      </font>
      <fill>
        <patternFill>
          <bgColor theme="1" tint="0.34998626667073579"/>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0"/>
      </font>
    </dxf>
    <dxf>
      <font>
        <color theme="0"/>
      </font>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color theme="0"/>
      </font>
      <fill>
        <patternFill>
          <bgColor theme="0"/>
        </patternFill>
      </fill>
    </dxf>
    <dxf>
      <fill>
        <patternFill>
          <bgColor rgb="FFFFCCCC"/>
        </patternFill>
      </fill>
    </dxf>
    <dxf>
      <font>
        <color rgb="FFC00000"/>
      </font>
      <fill>
        <patternFill>
          <bgColor rgb="FFFFCCCC"/>
        </patternFill>
      </fill>
    </dxf>
    <dxf>
      <font>
        <color theme="0"/>
      </font>
      <fill>
        <patternFill>
          <bgColor theme="0"/>
        </patternFill>
      </fill>
    </dxf>
    <dxf>
      <font>
        <color theme="0"/>
      </font>
      <fill>
        <patternFill>
          <bgColor theme="0"/>
        </patternFill>
      </fill>
    </dxf>
    <dxf>
      <font>
        <color theme="1" tint="0.34998626667073579"/>
      </font>
      <fill>
        <patternFill>
          <bgColor theme="1" tint="0.34998626667073579"/>
        </patternFill>
      </fill>
    </dxf>
    <dxf>
      <font>
        <color theme="1" tint="0.34998626667073579"/>
      </font>
      <fill>
        <patternFill>
          <bgColor theme="1" tint="0.34998626667073579"/>
        </patternFill>
      </fill>
    </dxf>
    <dxf>
      <fill>
        <patternFill>
          <bgColor theme="5" tint="0.79998168889431442"/>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0"/>
      </font>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0"/>
      </font>
    </dxf>
    <dxf>
      <font>
        <color theme="0"/>
      </font>
      <fill>
        <patternFill>
          <bgColor theme="0"/>
        </patternFill>
      </fill>
    </dxf>
    <dxf>
      <font>
        <color rgb="FFC00000"/>
      </font>
      <fill>
        <patternFill>
          <bgColor rgb="FFFFCCCC"/>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color theme="0"/>
      </font>
      <fill>
        <patternFill>
          <bgColor theme="0"/>
        </patternFill>
      </fill>
    </dxf>
    <dxf>
      <fill>
        <patternFill>
          <bgColor rgb="FFFFCCCC"/>
        </patternFill>
      </fill>
    </dxf>
    <dxf>
      <font>
        <color theme="0"/>
      </font>
      <fill>
        <patternFill>
          <bgColor theme="0"/>
        </patternFill>
      </fill>
    </dxf>
    <dxf>
      <font>
        <color theme="0"/>
      </font>
      <fill>
        <patternFill>
          <bgColor theme="0"/>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rgb="FFC00000"/>
      </font>
      <fill>
        <patternFill>
          <bgColor rgb="FFFFCCCC"/>
        </patternFill>
      </fill>
    </dxf>
    <dxf>
      <font>
        <color theme="1" tint="0.34998626667073579"/>
      </font>
      <fill>
        <patternFill>
          <bgColor theme="1" tint="0.34998626667073579"/>
        </patternFill>
      </fill>
    </dxf>
    <dxf>
      <font>
        <color rgb="FFC00000"/>
      </font>
      <fill>
        <patternFill>
          <bgColor rgb="FFFFCCCC"/>
        </patternFill>
      </fill>
    </dxf>
    <dxf>
      <font>
        <color theme="1" tint="0.34998626667073579"/>
      </font>
      <fill>
        <patternFill>
          <bgColor theme="1" tint="0.34998626667073579"/>
        </patternFill>
      </fill>
    </dxf>
    <dxf>
      <font>
        <color rgb="FFC00000"/>
      </font>
      <fill>
        <patternFill>
          <bgColor rgb="FFFFCCCC"/>
        </patternFill>
      </fill>
    </dxf>
    <dxf>
      <font>
        <color rgb="FFC00000"/>
      </font>
      <fill>
        <patternFill>
          <bgColor rgb="FFFFCCCC"/>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0"/>
      </font>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rgb="FF006100"/>
      </font>
      <fill>
        <patternFill>
          <bgColor rgb="FFC6EFCE"/>
        </patternFill>
      </fill>
    </dxf>
    <dxf>
      <font>
        <color rgb="FF006100"/>
      </font>
      <fill>
        <patternFill>
          <bgColor rgb="FFC6EFCE"/>
        </patternFill>
      </fill>
    </dxf>
    <dxf>
      <fill>
        <patternFill>
          <bgColor rgb="FFFFCCCC"/>
        </patternFill>
      </fill>
    </dxf>
    <dxf>
      <font>
        <color rgb="FFC00000"/>
      </font>
      <fill>
        <patternFill>
          <bgColor rgb="FFFFCCCC"/>
        </patternFill>
      </fill>
    </dxf>
    <dxf>
      <font>
        <color theme="0"/>
      </font>
      <fill>
        <patternFill>
          <bgColor theme="0"/>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val="0"/>
        <i val="0"/>
        <color theme="1" tint="0.34998626667073579"/>
      </font>
      <fill>
        <patternFill>
          <bgColor theme="1" tint="0.34998626667073579"/>
        </patternFill>
      </fill>
    </dxf>
    <dxf>
      <font>
        <color theme="0"/>
      </font>
      <fill>
        <patternFill>
          <bgColor theme="0"/>
        </patternFill>
      </fill>
      <border>
        <left/>
        <right/>
        <top/>
        <bottom/>
        <vertical/>
        <horizontal/>
      </border>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rgb="FFC00000"/>
      </font>
      <fill>
        <patternFill>
          <bgColor rgb="FFFFCCCC"/>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1" tint="0.34998626667073579"/>
      </font>
      <fill>
        <patternFill>
          <bgColor theme="1" tint="0.34998626667073579"/>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s>
  <tableStyles count="0" defaultTableStyle="TableStyleMedium2" defaultPivotStyle="PivotStyleLight16"/>
  <colors>
    <mruColors>
      <color rgb="FFFFCCCC"/>
      <color rgb="FFFF99CC"/>
      <color rgb="FF969696"/>
      <color rgb="FFCC9900"/>
      <color rgb="FFFFCC00"/>
      <color rgb="FF595959"/>
      <color rgb="FF00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17780</xdr:colOff>
      <xdr:row>0</xdr:row>
      <xdr:rowOff>11430</xdr:rowOff>
    </xdr:from>
    <xdr:to>
      <xdr:col>2</xdr:col>
      <xdr:colOff>1620519</xdr:colOff>
      <xdr:row>2</xdr:row>
      <xdr:rowOff>20060</xdr:rowOff>
    </xdr:to>
    <xdr:pic>
      <xdr:nvPicPr>
        <xdr:cNvPr id="4" name="Picture 3">
          <a:extLst>
            <a:ext uri="{FF2B5EF4-FFF2-40B4-BE49-F238E27FC236}">
              <a16:creationId xmlns:a16="http://schemas.microsoft.com/office/drawing/2014/main" id="{B6445582-73C1-47B6-81BB-CD7B83560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780" y="11430"/>
          <a:ext cx="1858009" cy="502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6350</xdr:rowOff>
    </xdr:from>
    <xdr:to>
      <xdr:col>2</xdr:col>
      <xdr:colOff>1611629</xdr:colOff>
      <xdr:row>2</xdr:row>
      <xdr:rowOff>11170</xdr:rowOff>
    </xdr:to>
    <xdr:pic>
      <xdr:nvPicPr>
        <xdr:cNvPr id="2" name="Picture 1">
          <a:extLst>
            <a:ext uri="{FF2B5EF4-FFF2-40B4-BE49-F238E27FC236}">
              <a16:creationId xmlns:a16="http://schemas.microsoft.com/office/drawing/2014/main" id="{2AF39299-BFBE-4B23-9134-F8948E6DE6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6350"/>
          <a:ext cx="1869439" cy="49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6350</xdr:rowOff>
    </xdr:from>
    <xdr:to>
      <xdr:col>2</xdr:col>
      <xdr:colOff>1611629</xdr:colOff>
      <xdr:row>2</xdr:row>
      <xdr:rowOff>11170</xdr:rowOff>
    </xdr:to>
    <xdr:pic>
      <xdr:nvPicPr>
        <xdr:cNvPr id="2" name="Picture 1">
          <a:extLst>
            <a:ext uri="{FF2B5EF4-FFF2-40B4-BE49-F238E27FC236}">
              <a16:creationId xmlns:a16="http://schemas.microsoft.com/office/drawing/2014/main" id="{1DA49EB9-6FAF-44E0-9868-60050CCB5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6350"/>
          <a:ext cx="1865629" cy="493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6350</xdr:rowOff>
    </xdr:from>
    <xdr:to>
      <xdr:col>2</xdr:col>
      <xdr:colOff>1611629</xdr:colOff>
      <xdr:row>2</xdr:row>
      <xdr:rowOff>11170</xdr:rowOff>
    </xdr:to>
    <xdr:pic>
      <xdr:nvPicPr>
        <xdr:cNvPr id="2" name="Picture 1">
          <a:extLst>
            <a:ext uri="{FF2B5EF4-FFF2-40B4-BE49-F238E27FC236}">
              <a16:creationId xmlns:a16="http://schemas.microsoft.com/office/drawing/2014/main" id="{2181A91A-AE1A-42B6-9F09-922DBC5E4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6350"/>
          <a:ext cx="1865629" cy="4937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6350</xdr:rowOff>
    </xdr:from>
    <xdr:to>
      <xdr:col>2</xdr:col>
      <xdr:colOff>1611629</xdr:colOff>
      <xdr:row>2</xdr:row>
      <xdr:rowOff>11170</xdr:rowOff>
    </xdr:to>
    <xdr:pic>
      <xdr:nvPicPr>
        <xdr:cNvPr id="2" name="Picture 1">
          <a:extLst>
            <a:ext uri="{FF2B5EF4-FFF2-40B4-BE49-F238E27FC236}">
              <a16:creationId xmlns:a16="http://schemas.microsoft.com/office/drawing/2014/main" id="{FFEB0549-36A0-4622-82D0-36AAD80A97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6350"/>
          <a:ext cx="1865629" cy="4937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4</xdr:row>
      <xdr:rowOff>38100</xdr:rowOff>
    </xdr:from>
    <xdr:to>
      <xdr:col>7</xdr:col>
      <xdr:colOff>0</xdr:colOff>
      <xdr:row>5</xdr:row>
      <xdr:rowOff>471170</xdr:rowOff>
    </xdr:to>
    <xdr:sp macro="" textlink="">
      <xdr:nvSpPr>
        <xdr:cNvPr id="2" name="TextBox 1">
          <a:extLst>
            <a:ext uri="{FF2B5EF4-FFF2-40B4-BE49-F238E27FC236}">
              <a16:creationId xmlns:a16="http://schemas.microsoft.com/office/drawing/2014/main" id="{33D2DFEA-8D2F-4BBF-B8C0-7B8E7E789E01}"/>
            </a:ext>
          </a:extLst>
        </xdr:cNvPr>
        <xdr:cNvSpPr txBox="1"/>
      </xdr:nvSpPr>
      <xdr:spPr>
        <a:xfrm>
          <a:off x="6167967" y="853017"/>
          <a:ext cx="2415116" cy="729403"/>
        </a:xfrm>
        <a:prstGeom prst="rect">
          <a:avLst/>
        </a:prstGeom>
        <a:solidFill>
          <a:schemeClr val="accent4">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To refresh the BOM after making changes to a SELECTIONS worksheet: click the filter button, check the "Select All" box, then uncheck "0".  On Windows, click "OK". </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131677</xdr:colOff>
      <xdr:row>0</xdr:row>
      <xdr:rowOff>0</xdr:rowOff>
    </xdr:from>
    <xdr:ext cx="8153706" cy="563231"/>
    <xdr:sp macro="" textlink="">
      <xdr:nvSpPr>
        <xdr:cNvPr id="2" name="Rectangle 1">
          <a:extLst>
            <a:ext uri="{FF2B5EF4-FFF2-40B4-BE49-F238E27FC236}">
              <a16:creationId xmlns:a16="http://schemas.microsoft.com/office/drawing/2014/main" id="{FB06017C-86FB-224A-8141-105191D64F5C}"/>
            </a:ext>
          </a:extLst>
        </xdr:cNvPr>
        <xdr:cNvSpPr/>
      </xdr:nvSpPr>
      <xdr:spPr>
        <a:xfrm>
          <a:off x="1287377" y="0"/>
          <a:ext cx="8153706" cy="563231"/>
        </a:xfrm>
        <a:prstGeom prst="rect">
          <a:avLst/>
        </a:prstGeom>
        <a:noFill/>
      </xdr:spPr>
      <xdr:txBody>
        <a:bodyPr wrap="none" lIns="91440" tIns="45720" rIns="91440" bIns="45720">
          <a:spAutoFit/>
        </a:bodyPr>
        <a:lstStyle/>
        <a:p>
          <a:pPr algn="ctr"/>
          <a:r>
            <a:rPr lang="en-US" sz="3200" b="0" cap="none" spc="0">
              <a:ln w="18415" cmpd="sng">
                <a:solidFill>
                  <a:schemeClr val="bg1">
                    <a:lumMod val="65000"/>
                  </a:schemeClr>
                </a:solidFill>
                <a:prstDash val="solid"/>
              </a:ln>
              <a:solidFill>
                <a:srgbClr val="FFFFFF"/>
              </a:solidFill>
              <a:effectLst>
                <a:outerShdw blurRad="63500" dir="3600000" algn="tl" rotWithShape="0">
                  <a:srgbClr val="000000">
                    <a:alpha val="70000"/>
                  </a:srgbClr>
                </a:outerShdw>
              </a:effectLst>
              <a:latin typeface="Arial Narrow" pitchFamily="34" charset="0"/>
            </a:rPr>
            <a:t>Confidential</a:t>
          </a:r>
          <a:r>
            <a:rPr lang="en-US" sz="3200" b="0" cap="none" spc="0" baseline="0">
              <a:ln w="18415" cmpd="sng">
                <a:solidFill>
                  <a:schemeClr val="bg1">
                    <a:lumMod val="65000"/>
                  </a:schemeClr>
                </a:solidFill>
                <a:prstDash val="solid"/>
              </a:ln>
              <a:solidFill>
                <a:srgbClr val="FFFFFF"/>
              </a:solidFill>
              <a:effectLst>
                <a:outerShdw blurRad="63500" dir="3600000" algn="tl" rotWithShape="0">
                  <a:srgbClr val="000000">
                    <a:alpha val="70000"/>
                  </a:srgbClr>
                </a:outerShdw>
              </a:effectLst>
              <a:latin typeface="Arial Narrow" pitchFamily="34" charset="0"/>
            </a:rPr>
            <a:t> proprietary information. Do not distribute.</a:t>
          </a:r>
          <a:endParaRPr lang="en-US" sz="3200" b="0" cap="none" spc="0">
            <a:ln w="18415" cmpd="sng">
              <a:solidFill>
                <a:schemeClr val="bg1">
                  <a:lumMod val="65000"/>
                </a:schemeClr>
              </a:solidFill>
              <a:prstDash val="solid"/>
            </a:ln>
            <a:solidFill>
              <a:srgbClr val="FFFFFF"/>
            </a:solidFill>
            <a:effectLst>
              <a:outerShdw blurRad="63500" dir="3600000" algn="tl" rotWithShape="0">
                <a:srgbClr val="000000">
                  <a:alpha val="70000"/>
                </a:srgbClr>
              </a:outerShdw>
            </a:effectLst>
            <a:latin typeface="Arial Narrow"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st.uic.asso.fr/d_stats/online/synth2000.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ambiumnetworks.sharepoint.com/Users/mgl010/Documents/-%20Docs/Services/%20Services%20P&amp;L/%20-%202017%20Planning/I:/&#20491;&#21029;&#12499;&#12523;&#35413;&#20385;/&#26087;&#35413;&#20385;&#65404;&#65405;&#65411;&#65425;/0911&#25913;&#33391;&#26087;12&#24180;&#35413;&#20385;&#12471;&#12473;&#12486;&#12512;/H14&#24180;&#24230;/&#35336;&#31639;/user2/&#26087;&#35413;&#20385;&#65404;&#65405;&#65411;&#65425;/0911&#25913;&#33391;&#26087;12&#24180;&#35413;&#20385;&#12471;&#12473;&#12486;&#12512;/My%20Documents/12&#24180;&#25913;&#33391;&#20491;&#21029;&#35413;&#20385;&#12471;&#12473;&#12486;&#12512;/'0422/&#32207;&#21512;&#65288;&#22235;&#26376;&#21313;&#20108;&#26085;&#65289;.xls?274218D3" TargetMode="External"/><Relationship Id="rId1" Type="http://schemas.openxmlformats.org/officeDocument/2006/relationships/externalLinkPath" Target="file:///274218D3/&#32207;&#21512;&#65288;&#22235;&#26376;&#21313;&#20108;&#26085;&#65289;.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cambiumnetworks-my.sharepoint.com/Users/mgl010/Documents/-%20Docs/Services/%20Services%20P&amp;L/%20-%202017%20Planning/I:/&#20491;&#21029;&#12499;&#12523;&#35413;&#20385;/&#26087;&#35413;&#20385;&#65404;&#65405;&#65411;&#65425;/0911&#25913;&#33391;&#26087;12&#24180;&#35413;&#20385;&#12471;&#12473;&#12486;&#12512;/H14&#24180;&#24230;/&#35336;&#31639;/user2/&#26087;&#35413;&#20385;&#65404;&#65405;&#65411;&#65425;/0911&#25913;&#33391;&#26087;12&#24180;&#35413;&#20385;&#12471;&#12473;&#12486;&#12512;/My%20Documents/12&#24180;&#25913;&#33391;&#20491;&#21029;&#35413;&#20385;&#12471;&#12473;&#12486;&#12512;/'0422/&#32207;&#21512;&#65288;&#22235;&#26376;&#21313;&#20108;&#26085;&#65289;.xls?3BD83B83" TargetMode="External"/><Relationship Id="rId1" Type="http://schemas.openxmlformats.org/officeDocument/2006/relationships/externalLinkPath" Target="file:///3BD83B83/&#32207;&#21512;&#65288;&#22235;&#26376;&#21313;&#20108;&#26085;&#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ma0531f13/SYS1/Documents%20and%20Settings/bjagoe/My%20Documents/Data/First%20Reserve/Tri%20Tool/Tri%20Tool%20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ORPPLAN/1999/99PLAN/JAN7SUM.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Jptyofsr50/KPMG/FAS/Users/TS/Non_Management/tshima/43%20Milky%20way/????/grumpus/grumpus_1/Grampus%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Kpmg_server/c%20drive/aroyc/korea/templates-excel/jinroindustri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ays"/>
      <sheetName val="Data_CF"/>
      <sheetName val="Pub"/>
      <sheetName val="rapport annuel"/>
      <sheetName val="miles conversions"/>
      <sheetName val="DataGraph"/>
      <sheetName val="Graph vertical"/>
      <sheetName val="Graph  Edition  Sti"/>
      <sheetName val="添付用"/>
      <sheetName val="添付用_所有"/>
      <sheetName val="synth2000"/>
      <sheetName val="List"/>
    </sheetNames>
    <sheetDataSet>
      <sheetData sheetId="0" refreshError="1"/>
      <sheetData sheetId="1" refreshError="1"/>
      <sheetData sheetId="2" refreshError="1">
        <row r="13">
          <cell r="H13" t="str">
            <v>AAE</v>
          </cell>
          <cell r="I13" t="str">
            <v xml:space="preserve">            "   </v>
          </cell>
          <cell r="J13" t="str">
            <v xml:space="preserve">        "   </v>
          </cell>
          <cell r="K13" t="str">
            <v xml:space="preserve">            "   </v>
          </cell>
          <cell r="L13">
            <v>10</v>
          </cell>
        </row>
        <row r="14">
          <cell r="H14" t="str">
            <v>GVG</v>
          </cell>
          <cell r="I14" t="str">
            <v xml:space="preserve">            "   </v>
          </cell>
          <cell r="J14" t="str">
            <v xml:space="preserve">        "   </v>
          </cell>
          <cell r="K14" t="str">
            <v xml:space="preserve">            "   </v>
          </cell>
          <cell r="L14">
            <v>0</v>
          </cell>
        </row>
        <row r="15">
          <cell r="H15" t="str">
            <v>KEG</v>
          </cell>
          <cell r="I15" t="str">
            <v xml:space="preserve">            "   </v>
          </cell>
          <cell r="J15" t="str">
            <v xml:space="preserve">        "   </v>
          </cell>
          <cell r="K15" t="str">
            <v xml:space="preserve">            "   </v>
          </cell>
          <cell r="L15">
            <v>54</v>
          </cell>
        </row>
        <row r="16">
          <cell r="H16" t="str">
            <v>ÖBB</v>
          </cell>
          <cell r="I16">
            <v>83.858999999999995</v>
          </cell>
          <cell r="J16">
            <v>8.2110000000000003</v>
          </cell>
          <cell r="K16">
            <v>97.914356240832831</v>
          </cell>
          <cell r="L16">
            <v>5683</v>
          </cell>
        </row>
        <row r="17">
          <cell r="H17" t="str">
            <v>GKE</v>
          </cell>
          <cell r="I17" t="str">
            <v xml:space="preserve">            "   </v>
          </cell>
          <cell r="J17" t="str">
            <v xml:space="preserve">        "   </v>
          </cell>
          <cell r="K17" t="str">
            <v xml:space="preserve">            "   </v>
          </cell>
          <cell r="L17">
            <v>97.486999999999995</v>
          </cell>
        </row>
        <row r="18">
          <cell r="H18" t="str">
            <v>SNCB/NMBS</v>
          </cell>
          <cell r="I18">
            <v>30.513999999999999</v>
          </cell>
          <cell r="J18">
            <v>10.161</v>
          </cell>
          <cell r="K18">
            <v>332.99469096152586</v>
          </cell>
          <cell r="L18">
            <v>3471</v>
          </cell>
        </row>
        <row r="19">
          <cell r="H19" t="str">
            <v>DSB</v>
          </cell>
          <cell r="I19">
            <v>43.093000000000004</v>
          </cell>
          <cell r="J19">
            <v>5.2930000000000001</v>
          </cell>
          <cell r="K19">
            <v>122.82737335530132</v>
          </cell>
          <cell r="L19">
            <v>0</v>
          </cell>
        </row>
        <row r="20">
          <cell r="H20" t="str">
            <v>BS</v>
          </cell>
          <cell r="I20" t="str">
            <v xml:space="preserve">            "   </v>
          </cell>
          <cell r="J20" t="str">
            <v xml:space="preserve">        "   </v>
          </cell>
          <cell r="K20" t="str">
            <v xml:space="preserve">            "   </v>
          </cell>
          <cell r="L20">
            <v>2047</v>
          </cell>
        </row>
        <row r="21">
          <cell r="H21" t="str">
            <v>RENFE</v>
          </cell>
          <cell r="I21">
            <v>504.78199999999998</v>
          </cell>
          <cell r="J21">
            <v>39.630000000000003</v>
          </cell>
          <cell r="K21">
            <v>78.50913859844448</v>
          </cell>
          <cell r="L21">
            <v>12310</v>
          </cell>
        </row>
        <row r="22">
          <cell r="H22" t="str">
            <v>Euskotren</v>
          </cell>
          <cell r="I22" t="str">
            <v xml:space="preserve">            "   </v>
          </cell>
          <cell r="J22" t="str">
            <v xml:space="preserve">        "   </v>
          </cell>
          <cell r="K22" t="str">
            <v xml:space="preserve">            "   </v>
          </cell>
          <cell r="L22">
            <v>178</v>
          </cell>
        </row>
        <row r="23">
          <cell r="H23" t="str">
            <v>FEVE</v>
          </cell>
          <cell r="I23" t="str">
            <v xml:space="preserve">            "   </v>
          </cell>
          <cell r="J23" t="str">
            <v xml:space="preserve">        "   </v>
          </cell>
          <cell r="K23" t="str">
            <v xml:space="preserve">            "   </v>
          </cell>
          <cell r="L23">
            <v>1194.0999999999999</v>
          </cell>
        </row>
        <row r="24">
          <cell r="H24" t="str">
            <v>FGC</v>
          </cell>
          <cell r="I24" t="str">
            <v xml:space="preserve">            "   </v>
          </cell>
          <cell r="J24" t="str">
            <v xml:space="preserve">        "   </v>
          </cell>
          <cell r="K24" t="str">
            <v xml:space="preserve">            "   </v>
          </cell>
          <cell r="L24">
            <v>184</v>
          </cell>
        </row>
        <row r="25">
          <cell r="H25" t="str">
            <v>VR</v>
          </cell>
          <cell r="I25">
            <v>338.14499999999998</v>
          </cell>
          <cell r="J25">
            <v>5.1760000000000002</v>
          </cell>
          <cell r="K25">
            <v>15.307042836652917</v>
          </cell>
          <cell r="L25">
            <v>0</v>
          </cell>
        </row>
        <row r="26">
          <cell r="H26" t="str">
            <v>RHK</v>
          </cell>
          <cell r="I26" t="str">
            <v xml:space="preserve">            "   </v>
          </cell>
          <cell r="J26" t="str">
            <v xml:space="preserve">        "   </v>
          </cell>
          <cell r="K26" t="str">
            <v xml:space="preserve">            "   </v>
          </cell>
          <cell r="L26">
            <v>5854</v>
          </cell>
        </row>
        <row r="27">
          <cell r="H27" t="str">
            <v>SNCF</v>
          </cell>
          <cell r="I27">
            <v>547.02599999999995</v>
          </cell>
          <cell r="J27">
            <v>59.08</v>
          </cell>
          <cell r="K27">
            <v>108.00217905547451</v>
          </cell>
          <cell r="L27">
            <v>0</v>
          </cell>
        </row>
        <row r="28">
          <cell r="H28" t="str">
            <v>RFF</v>
          </cell>
          <cell r="I28" t="str">
            <v xml:space="preserve">            "   </v>
          </cell>
          <cell r="J28" t="str">
            <v xml:space="preserve">        "   </v>
          </cell>
          <cell r="K28" t="str">
            <v xml:space="preserve">            "   </v>
          </cell>
          <cell r="L28">
            <v>32515</v>
          </cell>
        </row>
        <row r="29">
          <cell r="H29" t="str">
            <v>CH</v>
          </cell>
          <cell r="I29">
            <v>131.95699999999999</v>
          </cell>
          <cell r="J29">
            <v>10.645</v>
          </cell>
          <cell r="K29">
            <v>80.670218328697985</v>
          </cell>
          <cell r="L29">
            <v>2299</v>
          </cell>
        </row>
        <row r="30">
          <cell r="H30" t="str">
            <v>CIE</v>
          </cell>
          <cell r="I30">
            <v>70.283000000000001</v>
          </cell>
          <cell r="J30">
            <v>3.73</v>
          </cell>
          <cell r="K30">
            <v>53.071155186887296</v>
          </cell>
          <cell r="L30">
            <v>1915</v>
          </cell>
        </row>
        <row r="31">
          <cell r="H31" t="str">
            <v>FNME</v>
          </cell>
          <cell r="I31">
            <v>301.22500000000002</v>
          </cell>
          <cell r="J31">
            <v>57.298000000000002</v>
          </cell>
          <cell r="K31">
            <v>190.21661548676238</v>
          </cell>
          <cell r="L31">
            <v>321</v>
          </cell>
        </row>
        <row r="32">
          <cell r="H32" t="str">
            <v>FS SpA</v>
          </cell>
          <cell r="I32" t="str">
            <v xml:space="preserve">            "   </v>
          </cell>
          <cell r="J32" t="str">
            <v xml:space="preserve">        "   </v>
          </cell>
          <cell r="K32" t="str">
            <v xml:space="preserve">            "   </v>
          </cell>
          <cell r="L32">
            <v>16178</v>
          </cell>
        </row>
        <row r="33">
          <cell r="H33" t="str">
            <v>CFL</v>
          </cell>
          <cell r="I33">
            <v>2.5859999999999999</v>
          </cell>
          <cell r="J33">
            <v>0.43099999999999999</v>
          </cell>
          <cell r="K33">
            <v>166.66666666666669</v>
          </cell>
          <cell r="L33">
            <v>274</v>
          </cell>
        </row>
        <row r="34">
          <cell r="H34" t="str">
            <v>NS N.V.</v>
          </cell>
          <cell r="I34">
            <v>41.527999999999999</v>
          </cell>
          <cell r="J34">
            <v>15.786</v>
          </cell>
          <cell r="K34">
            <v>380.12906954344055</v>
          </cell>
          <cell r="L34">
            <v>0</v>
          </cell>
        </row>
        <row r="35">
          <cell r="H35" t="str">
            <v>Railion</v>
          </cell>
          <cell r="I35" t="str">
            <v xml:space="preserve">            "   </v>
          </cell>
          <cell r="J35" t="str">
            <v xml:space="preserve">        "   </v>
          </cell>
          <cell r="K35" t="str">
            <v xml:space="preserve">            "   </v>
          </cell>
          <cell r="L35">
            <v>0</v>
          </cell>
        </row>
        <row r="36">
          <cell r="H36" t="str">
            <v>RIM</v>
          </cell>
          <cell r="I36" t="str">
            <v xml:space="preserve">            "   </v>
          </cell>
          <cell r="J36" t="str">
            <v xml:space="preserve">        "   </v>
          </cell>
          <cell r="K36" t="str">
            <v xml:space="preserve">            "   </v>
          </cell>
          <cell r="L36">
            <v>2802</v>
          </cell>
        </row>
        <row r="37">
          <cell r="H37" t="str">
            <v>CP</v>
          </cell>
          <cell r="I37">
            <v>92.081999999999994</v>
          </cell>
          <cell r="J37">
            <v>9.875</v>
          </cell>
          <cell r="K37">
            <v>107.24137182076845</v>
          </cell>
          <cell r="L37">
            <v>0</v>
          </cell>
        </row>
        <row r="38">
          <cell r="H38" t="str">
            <v>REFER</v>
          </cell>
          <cell r="I38" t="str">
            <v xml:space="preserve">            "   </v>
          </cell>
          <cell r="J38" t="str">
            <v xml:space="preserve">        "   </v>
          </cell>
          <cell r="K38" t="str">
            <v xml:space="preserve">            "   </v>
          </cell>
          <cell r="L38">
            <v>2814</v>
          </cell>
        </row>
        <row r="39">
          <cell r="H39" t="str">
            <v>ATOC</v>
          </cell>
          <cell r="I39">
            <v>244.04599999999999</v>
          </cell>
          <cell r="J39">
            <v>58.83</v>
          </cell>
          <cell r="K39">
            <v>241.0611114298124</v>
          </cell>
          <cell r="L39">
            <v>0</v>
          </cell>
        </row>
        <row r="40">
          <cell r="H40" t="str">
            <v>Total freight operators</v>
          </cell>
          <cell r="I40" t="str">
            <v xml:space="preserve">            "   </v>
          </cell>
          <cell r="J40" t="str">
            <v xml:space="preserve">        "   </v>
          </cell>
          <cell r="K40" t="str">
            <v xml:space="preserve">            "   </v>
          </cell>
          <cell r="L40">
            <v>0</v>
          </cell>
        </row>
        <row r="41">
          <cell r="H41" t="str">
            <v>Eurotunnel</v>
          </cell>
          <cell r="I41" t="str">
            <v xml:space="preserve">            "   </v>
          </cell>
          <cell r="J41" t="str">
            <v xml:space="preserve">        "   </v>
          </cell>
          <cell r="K41" t="str">
            <v xml:space="preserve">            "   </v>
          </cell>
          <cell r="L41">
            <v>58</v>
          </cell>
        </row>
        <row r="42">
          <cell r="H42" t="str">
            <v>NIR</v>
          </cell>
          <cell r="I42" t="str">
            <v xml:space="preserve">            "   </v>
          </cell>
          <cell r="J42" t="str">
            <v xml:space="preserve">        "   </v>
          </cell>
          <cell r="K42" t="str">
            <v xml:space="preserve">            "   </v>
          </cell>
          <cell r="L42">
            <v>357</v>
          </cell>
        </row>
        <row r="43">
          <cell r="H43" t="str">
            <v>Railtrack</v>
          </cell>
          <cell r="I43" t="str">
            <v xml:space="preserve">            "   </v>
          </cell>
          <cell r="J43" t="str">
            <v xml:space="preserve">        "   </v>
          </cell>
          <cell r="K43" t="str">
            <v xml:space="preserve">            "   </v>
          </cell>
          <cell r="L43">
            <v>16652</v>
          </cell>
        </row>
        <row r="44">
          <cell r="G44" t="str">
            <v>2)</v>
          </cell>
          <cell r="H44" t="str">
            <v>SJ</v>
          </cell>
          <cell r="I44">
            <v>449.964</v>
          </cell>
          <cell r="J44">
            <v>8.91</v>
          </cell>
          <cell r="K44">
            <v>19.801584126730138</v>
          </cell>
          <cell r="L44">
            <v>0</v>
          </cell>
        </row>
        <row r="45">
          <cell r="H45" t="str">
            <v>MTAB</v>
          </cell>
          <cell r="I45" t="str">
            <v xml:space="preserve">            "   </v>
          </cell>
          <cell r="J45" t="str">
            <v xml:space="preserve">        "   </v>
          </cell>
          <cell r="K45" t="str">
            <v xml:space="preserve">            "   </v>
          </cell>
          <cell r="L45">
            <v>0</v>
          </cell>
        </row>
        <row r="46">
          <cell r="H46" t="str">
            <v>BV</v>
          </cell>
          <cell r="I46" t="str">
            <v xml:space="preserve">            "   </v>
          </cell>
          <cell r="J46" t="str">
            <v xml:space="preserve">        "   </v>
          </cell>
          <cell r="K46" t="str">
            <v xml:space="preserve">            "   </v>
          </cell>
          <cell r="L46">
            <v>9946</v>
          </cell>
        </row>
        <row r="47">
          <cell r="H47" t="str">
            <v>BK</v>
          </cell>
          <cell r="I47" t="str">
            <v xml:space="preserve">            "   </v>
          </cell>
          <cell r="J47" t="str">
            <v xml:space="preserve">        "   </v>
          </cell>
          <cell r="K47" t="str">
            <v xml:space="preserve">            "   </v>
          </cell>
          <cell r="L47">
            <v>0</v>
          </cell>
        </row>
        <row r="48">
          <cell r="I48">
            <v>3238.0489999999986</v>
          </cell>
          <cell r="J48">
            <v>375.27600000000001</v>
          </cell>
          <cell r="K48">
            <v>115.89571374614781</v>
          </cell>
          <cell r="L48">
            <v>153801.587</v>
          </cell>
        </row>
        <row r="49">
          <cell r="H49" t="str">
            <v>NSB BA</v>
          </cell>
          <cell r="I49">
            <v>386.95800000000003</v>
          </cell>
          <cell r="J49">
            <v>4.4649999999999999</v>
          </cell>
          <cell r="K49">
            <v>11.538719964440585</v>
          </cell>
          <cell r="L49">
            <v>0</v>
          </cell>
        </row>
        <row r="50">
          <cell r="H50" t="str">
            <v>MTAS</v>
          </cell>
          <cell r="I50" t="str">
            <v xml:space="preserve">            "   </v>
          </cell>
          <cell r="J50" t="str">
            <v xml:space="preserve">        "   </v>
          </cell>
          <cell r="K50" t="str">
            <v xml:space="preserve">            "   </v>
          </cell>
          <cell r="L50">
            <v>0</v>
          </cell>
        </row>
        <row r="51">
          <cell r="H51" t="str">
            <v>JBV</v>
          </cell>
          <cell r="I51" t="str">
            <v xml:space="preserve">            "   </v>
          </cell>
          <cell r="J51" t="str">
            <v xml:space="preserve">        "   </v>
          </cell>
          <cell r="K51" t="str">
            <v xml:space="preserve">            "   </v>
          </cell>
          <cell r="L51">
            <v>4179</v>
          </cell>
        </row>
        <row r="52">
          <cell r="H52" t="str">
            <v>BLS</v>
          </cell>
          <cell r="I52">
            <v>41.283999999999999</v>
          </cell>
          <cell r="J52">
            <v>7.3860000000000001</v>
          </cell>
          <cell r="K52">
            <v>178.90708264703034</v>
          </cell>
          <cell r="L52">
            <v>241</v>
          </cell>
        </row>
        <row r="53">
          <cell r="H53" t="str">
            <v>CFF/SBB/FFS</v>
          </cell>
          <cell r="I53" t="str">
            <v xml:space="preserve">            "   </v>
          </cell>
          <cell r="J53" t="str">
            <v xml:space="preserve">        "   </v>
          </cell>
          <cell r="K53" t="str">
            <v xml:space="preserve">            "   </v>
          </cell>
          <cell r="L53">
            <v>2902</v>
          </cell>
        </row>
        <row r="54">
          <cell r="I54">
            <v>3666.2909999999988</v>
          </cell>
          <cell r="J54">
            <v>387.12700000000001</v>
          </cell>
          <cell r="K54">
            <v>105.59090917769488</v>
          </cell>
          <cell r="L54">
            <v>161123.587</v>
          </cell>
        </row>
        <row r="55">
          <cell r="H55" t="str">
            <v>HSh</v>
          </cell>
          <cell r="I55">
            <v>28.748000000000001</v>
          </cell>
          <cell r="J55">
            <v>3.113</v>
          </cell>
          <cell r="K55">
            <v>108.28579379435091</v>
          </cell>
          <cell r="L55">
            <v>440</v>
          </cell>
        </row>
        <row r="56">
          <cell r="H56" t="str">
            <v>ZBH</v>
          </cell>
          <cell r="I56">
            <v>51.128999999999998</v>
          </cell>
          <cell r="J56">
            <v>3.972</v>
          </cell>
          <cell r="K56">
            <v>77.685853429560524</v>
          </cell>
          <cell r="L56">
            <v>608.495</v>
          </cell>
        </row>
        <row r="57">
          <cell r="H57" t="str">
            <v>ZRS</v>
          </cell>
          <cell r="I57" t="str">
            <v xml:space="preserve">            "   </v>
          </cell>
          <cell r="J57" t="str">
            <v xml:space="preserve">        "   </v>
          </cell>
          <cell r="K57" t="str">
            <v xml:space="preserve">            "   </v>
          </cell>
          <cell r="L57">
            <v>424</v>
          </cell>
        </row>
        <row r="58">
          <cell r="H58" t="str">
            <v>BDZ</v>
          </cell>
          <cell r="I58">
            <v>110.91200000000001</v>
          </cell>
          <cell r="J58">
            <v>8.2249999999999996</v>
          </cell>
          <cell r="K58">
            <v>74.157890940565494</v>
          </cell>
          <cell r="L58">
            <v>4320</v>
          </cell>
        </row>
        <row r="59">
          <cell r="H59" t="str">
            <v>HZ</v>
          </cell>
          <cell r="I59">
            <v>56.537999999999997</v>
          </cell>
          <cell r="J59">
            <v>4.4729999999999999</v>
          </cell>
          <cell r="K59">
            <v>79.114931550461634</v>
          </cell>
          <cell r="L59">
            <v>2726.8</v>
          </cell>
        </row>
        <row r="60">
          <cell r="H60" t="str">
            <v>GYSEV/RÖEE</v>
          </cell>
          <cell r="I60">
            <v>93.03</v>
          </cell>
          <cell r="J60">
            <v>10.036</v>
          </cell>
          <cell r="K60">
            <v>107.87917875953993</v>
          </cell>
          <cell r="L60">
            <v>220</v>
          </cell>
        </row>
        <row r="61">
          <cell r="H61" t="str">
            <v>MÁV Rt.</v>
          </cell>
          <cell r="I61" t="str">
            <v xml:space="preserve">            "   </v>
          </cell>
          <cell r="J61" t="str">
            <v xml:space="preserve">        "   </v>
          </cell>
          <cell r="K61" t="str">
            <v xml:space="preserve">            "   </v>
          </cell>
          <cell r="L61">
            <v>7784</v>
          </cell>
        </row>
        <row r="62">
          <cell r="H62" t="str">
            <v>CFARYM</v>
          </cell>
          <cell r="I62">
            <v>25.713000000000001</v>
          </cell>
          <cell r="J62">
            <v>2.024</v>
          </cell>
          <cell r="K62">
            <v>78.715046863454276</v>
          </cell>
          <cell r="L62">
            <v>699</v>
          </cell>
        </row>
        <row r="63">
          <cell r="H63" t="str">
            <v>PKP</v>
          </cell>
          <cell r="I63">
            <v>312.685</v>
          </cell>
          <cell r="J63">
            <v>38.765000000000001</v>
          </cell>
          <cell r="K63">
            <v>123.97460703263668</v>
          </cell>
          <cell r="L63">
            <v>22560</v>
          </cell>
        </row>
        <row r="64">
          <cell r="H64" t="str">
            <v>CFR</v>
          </cell>
          <cell r="I64">
            <v>238.39099999999999</v>
          </cell>
          <cell r="J64">
            <v>22.327000000000002</v>
          </cell>
          <cell r="K64">
            <v>93.657059201060449</v>
          </cell>
          <cell r="L64">
            <v>11364</v>
          </cell>
        </row>
        <row r="65">
          <cell r="H65" t="str">
            <v>ZSR</v>
          </cell>
          <cell r="I65">
            <v>49</v>
          </cell>
          <cell r="J65">
            <v>5.3869999999999996</v>
          </cell>
          <cell r="K65">
            <v>109.93877551020408</v>
          </cell>
          <cell r="L65">
            <v>3662</v>
          </cell>
        </row>
        <row r="66">
          <cell r="H66" t="str">
            <v>SZ</v>
          </cell>
          <cell r="I66">
            <v>20.256</v>
          </cell>
          <cell r="J66">
            <v>1.986</v>
          </cell>
          <cell r="K66">
            <v>98.045023696682463</v>
          </cell>
          <cell r="L66">
            <v>1201.5</v>
          </cell>
        </row>
        <row r="67">
          <cell r="H67" t="str">
            <v>CD</v>
          </cell>
          <cell r="I67">
            <v>78.864000000000004</v>
          </cell>
          <cell r="J67">
            <v>10.244</v>
          </cell>
          <cell r="K67">
            <v>129.89450192736862</v>
          </cell>
          <cell r="L67">
            <v>9365</v>
          </cell>
        </row>
        <row r="68">
          <cell r="H68" t="str">
            <v>JZ</v>
          </cell>
          <cell r="I68">
            <v>102.173</v>
          </cell>
          <cell r="J68">
            <v>10.64</v>
          </cell>
          <cell r="K68">
            <v>104.13710079962416</v>
          </cell>
          <cell r="L68">
            <v>4057.7</v>
          </cell>
        </row>
        <row r="69">
          <cell r="I69">
            <v>1167.4389999999999</v>
          </cell>
          <cell r="J69">
            <v>121.19200000000001</v>
          </cell>
          <cell r="K69">
            <v>103.81013483359732</v>
          </cell>
          <cell r="L69">
            <v>69432.494999999995</v>
          </cell>
        </row>
        <row r="71">
          <cell r="H71" t="str">
            <v>BC</v>
          </cell>
          <cell r="I71">
            <v>207.6</v>
          </cell>
          <cell r="J71">
            <v>10.236000000000001</v>
          </cell>
          <cell r="K71">
            <v>49.306358381502896</v>
          </cell>
          <cell r="L71">
            <v>5512</v>
          </cell>
        </row>
        <row r="72">
          <cell r="H72" t="str">
            <v>EVR</v>
          </cell>
          <cell r="I72">
            <v>45.225999999999999</v>
          </cell>
          <cell r="J72">
            <v>1.3959999999999999</v>
          </cell>
          <cell r="K72">
            <v>30.867200283023038</v>
          </cell>
          <cell r="L72">
            <v>968</v>
          </cell>
        </row>
        <row r="73">
          <cell r="H73" t="str">
            <v>LDZ</v>
          </cell>
          <cell r="I73">
            <v>64.616</v>
          </cell>
          <cell r="J73">
            <v>2.3570000000000002</v>
          </cell>
          <cell r="K73">
            <v>36.477033552061407</v>
          </cell>
          <cell r="L73">
            <v>2331</v>
          </cell>
        </row>
        <row r="74">
          <cell r="H74" t="str">
            <v>LG</v>
          </cell>
          <cell r="I74">
            <v>65.3</v>
          </cell>
          <cell r="J74">
            <v>3.67</v>
          </cell>
          <cell r="K74">
            <v>56.202143950995413</v>
          </cell>
          <cell r="L74">
            <v>1905</v>
          </cell>
        </row>
        <row r="75">
          <cell r="H75" t="str">
            <v>CFM (E)</v>
          </cell>
          <cell r="I75">
            <v>33.76</v>
          </cell>
          <cell r="J75">
            <v>4.38</v>
          </cell>
          <cell r="K75">
            <v>129.739336492891</v>
          </cell>
          <cell r="L75">
            <v>1139</v>
          </cell>
        </row>
        <row r="76">
          <cell r="H76" t="str">
            <v>RZD</v>
          </cell>
          <cell r="I76">
            <v>17075.400000000001</v>
          </cell>
          <cell r="J76">
            <v>146.934</v>
          </cell>
          <cell r="K76">
            <v>8.6050107171720711</v>
          </cell>
          <cell r="L76">
            <v>86075</v>
          </cell>
        </row>
        <row r="77">
          <cell r="H77" t="str">
            <v>UZ</v>
          </cell>
          <cell r="I77">
            <v>603.70000000000005</v>
          </cell>
          <cell r="J77">
            <v>50.456000000000003</v>
          </cell>
          <cell r="K77">
            <v>83.577936060957427</v>
          </cell>
          <cell r="L77">
            <v>22302</v>
          </cell>
        </row>
        <row r="78">
          <cell r="I78">
            <v>18095.602000000003</v>
          </cell>
          <cell r="J78">
            <v>219.42899999999997</v>
          </cell>
          <cell r="K78">
            <v>12.126095611519304</v>
          </cell>
          <cell r="L78">
            <v>120232</v>
          </cell>
        </row>
        <row r="79">
          <cell r="H79" t="str">
            <v>TCDD</v>
          </cell>
          <cell r="I79">
            <v>779.452</v>
          </cell>
          <cell r="J79">
            <v>66.590999999999994</v>
          </cell>
          <cell r="K79">
            <v>85.433099151711716</v>
          </cell>
          <cell r="L79">
            <v>8671</v>
          </cell>
        </row>
        <row r="80">
          <cell r="I80">
            <v>23708.784000000003</v>
          </cell>
          <cell r="J80">
            <v>794.33900000000006</v>
          </cell>
          <cell r="K80">
            <v>33.503995818596181</v>
          </cell>
          <cell r="L80">
            <v>359459.08199999999</v>
          </cell>
        </row>
        <row r="81">
          <cell r="I81" t="str">
            <v>Tausend</v>
          </cell>
          <cell r="J81" t="str">
            <v>Millionen</v>
          </cell>
          <cell r="K81" t="str">
            <v>Einwohner</v>
          </cell>
          <cell r="L81" t="str">
            <v>in Kilometer</v>
          </cell>
        </row>
        <row r="82">
          <cell r="I82" t="str">
            <v>km²</v>
          </cell>
          <cell r="K82" t="str">
            <v>/km²</v>
          </cell>
          <cell r="L82" t="str">
            <v>Gesamt-</v>
          </cell>
        </row>
        <row r="83">
          <cell r="I83" t="str">
            <v>Fläche des</v>
          </cell>
          <cell r="J83" t="str">
            <v>Bevölke-</v>
          </cell>
          <cell r="K83" t="str">
            <v>Bevölke-</v>
          </cell>
          <cell r="L83" t="str">
            <v>summe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過程シート"/>
      <sheetName val="メイン"/>
      <sheetName val="BS"/>
      <sheetName val="土地賃貸借契約の概要"/>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過程シート"/>
      <sheetName val="メイン"/>
      <sheetName val="BS"/>
      <sheetName val="土地賃貸借契約の概要"/>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s"/>
      <sheetName val="To do"/>
      <sheetName val="Issues"/>
      <sheetName val="Requests"/>
      <sheetName val="Questions2"/>
      <sheetName val="Questions1"/>
      <sheetName val="Non op ex"/>
      <sheetName val="Summary IS"/>
      <sheetName val="A"/>
      <sheetName val="Historical IS"/>
      <sheetName val="Hist sales GM"/>
      <sheetName val="EBITDA"/>
      <sheetName val="R&amp;D Rpt"/>
      <sheetName val="R&amp;D"/>
      <sheetName val="Selling Rpt"/>
      <sheetName val="Selling"/>
      <sheetName val="G&amp;A rpt"/>
      <sheetName val="G&amp;A"/>
      <sheetName val="Hdct"/>
      <sheetName val="Other op ex"/>
      <sheetName val="Notes"/>
      <sheetName val="Sheet1"/>
      <sheetName val="DSO"/>
      <sheetName val="NWC graph"/>
      <sheetName val="Income Statement"/>
      <sheetName val="Controls"/>
      <sheetName val="D&amp;A"/>
      <sheetName val="graphs"/>
      <sheetName val="PIA Identifiers"/>
      <sheetName val="Fund Managers"/>
      <sheetName val="Long-Term Care Comps"/>
      <sheetName val="Football"/>
      <sheetName val="LBO Valuation Analysis"/>
      <sheetName val="Sheet1 (2)"/>
      <sheetName val="Sheet3"/>
      <sheetName val="Buy"/>
      <sheetName val="Summary"/>
      <sheetName val="Spin 1"/>
      <sheetName val="Sec Equity"/>
      <sheetName val="GRAPH &amp; SOURCE DATA"/>
      <sheetName val="Projections"/>
      <sheetName val="LBO Assumptions"/>
      <sheetName val="Sale"/>
      <sheetName val="Split"/>
      <sheetName val="TargetDCF"/>
      <sheetName val="Contents"/>
      <sheetName val="model"/>
      <sheetName val="Over"/>
      <sheetName val="P&amp;L"/>
      <sheetName val="Shipping"/>
      <sheetName val="NWCG"/>
      <sheetName val="Valuation Characteristics"/>
      <sheetName val="2010 Liquidity"/>
      <sheetName val="Sheet2"/>
      <sheetName val="Tri Tool Template"/>
      <sheetName val="Input"/>
      <sheetName val="Herramientas para análisis-VBA"/>
      <sheetName val="Valuation Comments"/>
      <sheetName val="Exemption Codes"/>
      <sheetName val="Income Codes"/>
      <sheetName val="Recipient and WHA Status Codes"/>
      <sheetName val="Other drop down options"/>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lookups"/>
      <sheetName val="Ranpak"/>
      <sheetName val="To_do"/>
      <sheetName val="Non_op_ex"/>
      <sheetName val="Summary_IS"/>
      <sheetName val="Historical_IS"/>
      <sheetName val="Hist_sales_GM"/>
      <sheetName val="R&amp;D_Rpt"/>
      <sheetName val="Selling_Rpt"/>
      <sheetName val="G&amp;A_rpt"/>
      <sheetName val="Other_op_ex"/>
      <sheetName val="NWC_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dec3 sum"/>
      <sheetName val="asp"/>
      <sheetName val="sap"/>
      <sheetName val="assumptions"/>
      <sheetName val="F"/>
      <sheetName val="cost bonus"/>
      <sheetName val="cost bonus2"/>
      <sheetName val="bod opex"/>
      <sheetName val="chrono"/>
      <sheetName val="revenue"/>
      <sheetName val="units"/>
      <sheetName val="highlights"/>
      <sheetName val="engineering"/>
      <sheetName val="cost file"/>
      <sheetName val="sga"/>
      <sheetName val="sga2"/>
      <sheetName val="Historical IS"/>
      <sheetName val="添付用"/>
      <sheetName val="添付用_所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P10">
            <v>91.7</v>
          </cell>
          <cell r="Q10">
            <v>109.1</v>
          </cell>
          <cell r="R10">
            <v>120.8</v>
          </cell>
        </row>
        <row r="45">
          <cell r="P45">
            <v>148.1</v>
          </cell>
          <cell r="Q45">
            <v>177</v>
          </cell>
          <cell r="R45">
            <v>217.70000000000002</v>
          </cell>
        </row>
        <row r="46">
          <cell r="P46">
            <v>152.30000000000001</v>
          </cell>
          <cell r="Q46">
            <v>188.4</v>
          </cell>
          <cell r="R46">
            <v>213.9</v>
          </cell>
        </row>
        <row r="77">
          <cell r="P77">
            <v>371.2</v>
          </cell>
          <cell r="Q77">
            <v>432</v>
          </cell>
          <cell r="R77">
            <v>468.30000000000007</v>
          </cell>
        </row>
        <row r="78">
          <cell r="P78">
            <v>0</v>
          </cell>
          <cell r="Q78">
            <v>0</v>
          </cell>
          <cell r="R78">
            <v>97.9</v>
          </cell>
        </row>
        <row r="81">
          <cell r="P81" t="str">
            <v xml:space="preserve">1996 </v>
          </cell>
          <cell r="Q81" t="str">
            <v xml:space="preserve">1997 </v>
          </cell>
          <cell r="R81" t="str">
            <v xml:space="preserve">1998 </v>
          </cell>
        </row>
        <row r="82">
          <cell r="P82">
            <v>267.2</v>
          </cell>
          <cell r="Q82">
            <v>326</v>
          </cell>
          <cell r="R82">
            <v>368.1</v>
          </cell>
        </row>
      </sheetData>
      <sheetData sheetId="11" refreshError="1"/>
      <sheetData sheetId="12" refreshError="1"/>
      <sheetData sheetId="13" refreshError="1">
        <row r="7">
          <cell r="P7">
            <v>14.247999999999999</v>
          </cell>
          <cell r="Q7">
            <v>15.250999999999999</v>
          </cell>
          <cell r="R7">
            <v>15.183999999999999</v>
          </cell>
          <cell r="S7">
            <v>14.958</v>
          </cell>
          <cell r="T7">
            <v>26.911000000000001</v>
          </cell>
        </row>
        <row r="16">
          <cell r="P16">
            <v>4.2850000000000001</v>
          </cell>
          <cell r="Q16">
            <v>5.1609999999999996</v>
          </cell>
          <cell r="R16">
            <v>3.298</v>
          </cell>
          <cell r="S16">
            <v>1.7840000000000007</v>
          </cell>
          <cell r="T16">
            <v>10.664000000000001</v>
          </cell>
        </row>
        <row r="42">
          <cell r="Q42">
            <v>14.349999999999998</v>
          </cell>
          <cell r="R42">
            <v>16.510999999999999</v>
          </cell>
          <cell r="S42">
            <v>21.537000000000003</v>
          </cell>
          <cell r="U42">
            <v>17.942999999999998</v>
          </cell>
          <cell r="V42">
            <v>20.970999999999997</v>
          </cell>
          <cell r="W42">
            <v>26.556000000000004</v>
          </cell>
        </row>
        <row r="46">
          <cell r="Q46">
            <v>4.51</v>
          </cell>
          <cell r="R46">
            <v>10.840999999999999</v>
          </cell>
          <cell r="S46">
            <v>14.196999999999999</v>
          </cell>
          <cell r="U46">
            <v>2.0550000000000002</v>
          </cell>
          <cell r="V46">
            <v>2.6640000000000001</v>
          </cell>
          <cell r="W46">
            <v>1.796</v>
          </cell>
        </row>
        <row r="48">
          <cell r="Q48" t="str">
            <v xml:space="preserve">1996 </v>
          </cell>
          <cell r="R48" t="str">
            <v xml:space="preserve">1997 </v>
          </cell>
          <cell r="S48" t="str">
            <v xml:space="preserve">1998 </v>
          </cell>
        </row>
        <row r="49">
          <cell r="Q49">
            <v>2.2290000000000001</v>
          </cell>
          <cell r="R49">
            <v>1</v>
          </cell>
          <cell r="S49">
            <v>1.8</v>
          </cell>
        </row>
        <row r="50">
          <cell r="Q50">
            <v>0</v>
          </cell>
          <cell r="R50">
            <v>0</v>
          </cell>
          <cell r="S50">
            <v>0</v>
          </cell>
        </row>
      </sheetData>
      <sheetData sheetId="14" refreshError="1"/>
      <sheetData sheetId="15" refreshError="1">
        <row r="7">
          <cell r="P7">
            <v>149.6</v>
          </cell>
          <cell r="Q7">
            <v>165.2</v>
          </cell>
          <cell r="R7">
            <v>192</v>
          </cell>
        </row>
        <row r="9">
          <cell r="P9" t="str">
            <v xml:space="preserve">1996 </v>
          </cell>
          <cell r="Q9" t="str">
            <v xml:space="preserve">1997 </v>
          </cell>
          <cell r="R9" t="str">
            <v xml:space="preserve">1998 </v>
          </cell>
        </row>
        <row r="10">
          <cell r="P10">
            <v>22.780569514237854</v>
          </cell>
          <cell r="Q10">
            <v>21.338155515370701</v>
          </cell>
          <cell r="R10">
            <v>20.210695447398745</v>
          </cell>
        </row>
        <row r="11">
          <cell r="P11">
            <v>22.780569514237854</v>
          </cell>
          <cell r="Q11">
            <v>21.338155515370701</v>
          </cell>
          <cell r="R11">
            <v>19.7207855179179</v>
          </cell>
        </row>
        <row r="12">
          <cell r="P12">
            <v>22.780569514237854</v>
          </cell>
          <cell r="Q12">
            <v>21.338155515370701</v>
          </cell>
          <cell r="R12">
            <v>21.925515939079265</v>
          </cell>
        </row>
      </sheetData>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総括"/>
      <sheetName val="重要総括事項"/>
      <sheetName val="実態分析"/>
      <sheetName val="関係会社投融資評価"/>
      <sheetName val="BS・PL・CF"/>
      <sheetName val="10年"/>
      <sheetName val="デュポン"/>
      <sheetName val="部門別"/>
      <sheetName val="円"/>
      <sheetName val="棒"/>
      <sheetName val="バブル"/>
      <sheetName val="損益"/>
      <sheetName val="人員推移"/>
      <sheetName val="運転資金"/>
      <sheetName val="余剰資産"/>
      <sheetName val="売上債権"/>
      <sheetName val="売上債権 (2)"/>
      <sheetName val="売上債権 (3)"/>
      <sheetName val="貸倒実績"/>
      <sheetName val="棚卸資産"/>
      <sheetName val="棚卸資産 (2)"/>
      <sheetName val="その他流動資産"/>
      <sheetName val="有形・無形固定資産"/>
      <sheetName val="有形・無形固定資産 (減価償却費)"/>
      <sheetName val="有形・無形固定資産 (償却率)"/>
      <sheetName val="有形・無形固定資産 (設備投資)"/>
      <sheetName val="リース債務"/>
      <sheetName val="投資有価証券・貸付金"/>
      <sheetName val="その他投資等"/>
      <sheetName val="仕入債務"/>
      <sheetName val="仕入債務 (2)"/>
      <sheetName val="社債・借入金・現金預金"/>
      <sheetName val="借入金返済スケジュール"/>
      <sheetName val="その他負債"/>
      <sheetName val="退職給付引当金"/>
      <sheetName val="退職給付引当金 (3)"/>
      <sheetName val="資本の部"/>
      <sheetName val="売上高(得意先別）"/>
      <sheetName val="売上高(部門別)"/>
      <sheetName val="売上原価"/>
      <sheetName val="販管費 (本社その他)"/>
      <sheetName val="販管費"/>
      <sheetName val="物流費"/>
      <sheetName val="販売費"/>
      <sheetName val="人件費"/>
      <sheetName val="管理費"/>
      <sheetName val="営業外損益"/>
      <sheetName val="特別損益"/>
      <sheetName val="税金関係"/>
      <sheetName val="税効果"/>
      <sheetName val="不使用（担保提供資産）"/>
      <sheetName val="税金関係 (2)"/>
      <sheetName val="保証債務 "/>
      <sheetName val="関係会社取引"/>
      <sheetName val="03bs"/>
      <sheetName val="02bs"/>
      <sheetName val="01bs"/>
      <sheetName val="03pl"/>
      <sheetName val="02pl"/>
      <sheetName val="01pl"/>
      <sheetName val="Compdata"/>
      <sheetName val="Billto"/>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orrower&amp;Loan Basics"/>
      <sheetName val="Credit Review&amp;Bus Desc"/>
      <sheetName val="Repayment Terms"/>
      <sheetName val="BS &amp; Cap"/>
      <sheetName val="Financials"/>
      <sheetName val="JIN Fin"/>
      <sheetName val="bus-valuation"/>
      <sheetName val="JIN B-S &amp; Cap"/>
      <sheetName val="JIN- Valuation"/>
      <sheetName val="Valuation"/>
      <sheetName val="JIN- PX"/>
      <sheetName val="Comps"/>
      <sheetName val="JIN Sales"/>
      <sheetName val="DEBTS"/>
      <sheetName val="Assets"/>
      <sheetName val="JIN Affilates"/>
      <sheetName val="#REF"/>
      <sheetName val="jinroindustries"/>
      <sheetName val="Keibai"/>
      <sheetName val="計算過程シート"/>
      <sheetName val="部門別(売上-EBIT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mbiumnetworks.com/products/software/cnmaestro-management/" TargetMode="External"/><Relationship Id="rId2" Type="http://schemas.openxmlformats.org/officeDocument/2006/relationships/hyperlink" Target="https://www.cambiumnetworks.com/support/cambium-care/" TargetMode="External"/><Relationship Id="rId1" Type="http://schemas.openxmlformats.org/officeDocument/2006/relationships/hyperlink" Target="https://www.cambiumnetworks.com/products/software/cnmaestro-managemen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E1D4C-9955-44F9-BB74-3C87089BA7BB}">
  <sheetPr>
    <tabColor theme="5" tint="0.79998168889431442"/>
  </sheetPr>
  <dimension ref="A1:AQ74"/>
  <sheetViews>
    <sheetView tabSelected="1" zoomScaleNormal="100" workbookViewId="0">
      <selection activeCell="D5" sqref="D5"/>
    </sheetView>
  </sheetViews>
  <sheetFormatPr baseColWidth="10" defaultColWidth="8.83203125" defaultRowHeight="15" x14ac:dyDescent="0.2"/>
  <cols>
    <col min="1" max="2" width="1.83203125" customWidth="1"/>
    <col min="3" max="3" width="41.1640625" customWidth="1"/>
    <col min="4" max="4" width="27.6640625" customWidth="1"/>
    <col min="5" max="5" width="2.33203125" customWidth="1"/>
    <col min="6" max="6" width="62.6640625" customWidth="1"/>
    <col min="7" max="7" width="32.6640625" customWidth="1"/>
    <col min="8" max="8" width="2.6640625" style="73" customWidth="1"/>
    <col min="9" max="9" width="8.83203125" style="73" customWidth="1"/>
  </cols>
  <sheetData>
    <row r="1" spans="1:43" x14ac:dyDescent="0.2">
      <c r="A1" s="16"/>
      <c r="B1" s="16"/>
      <c r="C1" s="16"/>
      <c r="D1" s="16"/>
      <c r="E1" s="16"/>
      <c r="F1" s="16"/>
      <c r="G1" s="16"/>
      <c r="H1" s="66"/>
      <c r="I1" s="6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row>
    <row r="2" spans="1:43" ht="24" customHeight="1" x14ac:dyDescent="0.2">
      <c r="A2" s="16"/>
      <c r="B2" s="392" t="s">
        <v>7061</v>
      </c>
      <c r="C2" s="7"/>
      <c r="D2" s="109"/>
      <c r="E2" s="109"/>
      <c r="F2" s="7"/>
      <c r="G2" s="391" t="s">
        <v>10631</v>
      </c>
      <c r="H2" s="66"/>
      <c r="I2" s="66"/>
      <c r="J2" s="20"/>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3" spans="1:43" ht="18" customHeight="1" thickBot="1" x14ac:dyDescent="0.25">
      <c r="A3" s="16"/>
      <c r="B3" s="19"/>
      <c r="C3" s="17"/>
      <c r="D3" s="16"/>
      <c r="E3" s="16"/>
      <c r="F3" s="17"/>
      <c r="G3" s="16"/>
      <c r="H3" s="66"/>
      <c r="I3" s="6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row>
    <row r="4" spans="1:43" ht="16" customHeight="1" thickBot="1" x14ac:dyDescent="0.25">
      <c r="A4" s="16"/>
      <c r="B4" s="33"/>
      <c r="C4" s="34" t="s">
        <v>1135</v>
      </c>
      <c r="D4" s="34"/>
      <c r="E4" s="34"/>
      <c r="F4" s="34"/>
      <c r="G4" s="35"/>
      <c r="H4" s="66"/>
      <c r="I4" s="6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row>
    <row r="5" spans="1:43" ht="16" customHeight="1" thickBot="1" x14ac:dyDescent="0.25">
      <c r="A5" s="16"/>
      <c r="B5" s="37"/>
      <c r="C5" s="22" t="s">
        <v>6631</v>
      </c>
      <c r="D5" s="6" t="s">
        <v>5904</v>
      </c>
      <c r="E5" s="89"/>
      <c r="F5" s="164"/>
      <c r="G5" s="166" t="str">
        <f>IF(OR(Service="Choose",Service="cnMaestro X"),"cnMaestro Product Page","")</f>
        <v>cnMaestro Product Page</v>
      </c>
      <c r="H5" s="66" t="b">
        <f>D5="Choose"</f>
        <v>1</v>
      </c>
      <c r="I5" s="6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row>
    <row r="6" spans="1:43" ht="16" customHeight="1" thickBot="1" x14ac:dyDescent="0.25">
      <c r="A6" s="16"/>
      <c r="B6" s="165"/>
      <c r="C6" s="157"/>
      <c r="D6" s="168"/>
      <c r="E6" s="158"/>
      <c r="F6" s="17"/>
      <c r="G6" s="167"/>
      <c r="H6" s="66"/>
      <c r="I6" s="6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row>
    <row r="7" spans="1:43" ht="16" customHeight="1" thickBot="1" x14ac:dyDescent="0.25">
      <c r="A7" s="16"/>
      <c r="B7" s="162"/>
      <c r="C7" s="163" t="s">
        <v>6417</v>
      </c>
      <c r="D7" s="34"/>
      <c r="E7" s="34"/>
      <c r="F7" s="34"/>
      <c r="G7" s="35"/>
      <c r="H7" s="66"/>
      <c r="I7" s="6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row>
    <row r="8" spans="1:43" ht="16" customHeight="1" thickBot="1" x14ac:dyDescent="0.25">
      <c r="A8" s="16"/>
      <c r="B8" s="36"/>
      <c r="C8" s="18" t="s">
        <v>6321</v>
      </c>
      <c r="D8" s="6" t="s">
        <v>5910</v>
      </c>
      <c r="E8" s="88"/>
      <c r="F8" s="17" t="str">
        <f>IF(Service="Choose"," ",
IF(Service="cnMaestro X","cnMaestro X is available in 1-, 3-, and 5-year terms"," "))</f>
        <v xml:space="preserve"> </v>
      </c>
      <c r="G8" s="21"/>
      <c r="H8" s="66"/>
      <c r="I8" s="6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row>
    <row r="9" spans="1:43" ht="16" customHeight="1" thickBot="1" x14ac:dyDescent="0.25">
      <c r="A9" s="16"/>
      <c r="B9" s="36"/>
      <c r="C9" s="18" t="s">
        <v>6322</v>
      </c>
      <c r="D9" s="123" t="s">
        <v>5904</v>
      </c>
      <c r="E9" s="88"/>
      <c r="F9" s="17" t="str">
        <f>IF(AND(Service="cnMaestro X",$D$9&lt;&gt;"Decline CC Advanced"),"Available for Wi-Fi access points and cnWave products only"," ")</f>
        <v xml:space="preserve"> </v>
      </c>
      <c r="G9" s="74" t="str">
        <f>IF(AND(Service="cnMaestro X",$D$9&lt;&gt;"Decline"),"Cambium Care Product Page","")</f>
        <v/>
      </c>
      <c r="H9" s="66"/>
      <c r="I9" s="6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row>
    <row r="10" spans="1:43" ht="16" customHeight="1" thickBot="1" x14ac:dyDescent="0.25">
      <c r="A10" s="16"/>
      <c r="B10" s="37"/>
      <c r="C10" s="160" t="str">
        <f>IF(CCAdv_Upgrade="Yes","Fixed Wireless Broadband HW Support Options",
IF(CCAdv_Upgrade="Decline CC Advanced","Enhanced Hardware Support Options",
" "))</f>
        <v xml:space="preserve"> </v>
      </c>
      <c r="D10" s="6" t="s">
        <v>5904</v>
      </c>
      <c r="E10" s="158"/>
      <c r="F10" s="165" t="str">
        <f>IF(AND(Service="cnMaestro X",CCAdv_Upgrade="Decline CC Advanced",X_Hardware_Support="Choose"),"Extended Warranty and All Risks Advance Replacement",
IF(AND(Service="cnMaestro X",CCAdv_Upgrade="Decline CC Advanced",X_Hardware_Support="Extended Warranty"),"Available for FWB products and outdoor Wi-Fi APs only",
IF(AND(Service="cnMaestro X",CCAdv_Upgrade="Decline CC Advanced",X_Hardware_Support="All Risks Advance Replacement"),"Available for FWB products only"," ")))</f>
        <v xml:space="preserve"> </v>
      </c>
      <c r="G10" s="159"/>
      <c r="H10" s="66"/>
      <c r="I10" s="6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row>
    <row r="11" spans="1:43" ht="16" customHeight="1" thickBot="1" x14ac:dyDescent="0.25">
      <c r="A11" s="16"/>
      <c r="B11" s="90"/>
      <c r="C11" s="125"/>
      <c r="D11" s="126"/>
      <c r="E11" s="126"/>
      <c r="F11" s="102"/>
      <c r="G11" s="127"/>
      <c r="H11" s="66"/>
      <c r="I11" s="6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row>
    <row r="12" spans="1:43" ht="16" customHeight="1" thickBot="1" x14ac:dyDescent="0.25">
      <c r="A12" s="16"/>
      <c r="B12" s="162"/>
      <c r="C12" s="163" t="s">
        <v>6240</v>
      </c>
      <c r="D12" s="34"/>
      <c r="E12" s="34"/>
      <c r="F12" s="35" t="s">
        <v>0</v>
      </c>
      <c r="G12" s="35" t="s">
        <v>1</v>
      </c>
      <c r="H12" s="66"/>
      <c r="I12" s="6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row>
    <row r="13" spans="1:43" ht="16" customHeight="1" thickBot="1" x14ac:dyDescent="0.25">
      <c r="A13" s="16"/>
      <c r="B13" s="36"/>
      <c r="C13" s="161" t="s">
        <v>6677</v>
      </c>
      <c r="D13" s="56" t="s">
        <v>5904</v>
      </c>
      <c r="E13" s="139"/>
      <c r="F13" s="154" t="str">
        <f>IF(AND(Device_Type="Enterprise",CC_Type="Cambium Care Prime"),"CC Prime is not available for Enterprise products.  Select again.",
IF(AND(Device_Type="Fixed Wireless Broadband",CC_Type="Cambium Care Advanced"),"CC Advanced is not available for FWB products.  Select again.",
" "))</f>
        <v xml:space="preserve"> </v>
      </c>
      <c r="G13" s="140"/>
      <c r="H13" s="6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row>
    <row r="14" spans="1:43" ht="16" thickBot="1" x14ac:dyDescent="0.25">
      <c r="A14" s="16"/>
      <c r="B14" s="36"/>
      <c r="C14" s="98" t="s">
        <v>5961</v>
      </c>
      <c r="D14" s="124" t="s">
        <v>5904</v>
      </c>
      <c r="E14" s="88"/>
      <c r="F14" s="17"/>
      <c r="G14" s="74" t="str">
        <f>IF(AND(Device_Type="Choose",CC_Type="Choose"),"",
IF(AND(Service="Standalone Support",CC_Type&lt;&gt;"Decline Cambium Care"),"Cambium Care Product Page",""))</f>
        <v/>
      </c>
      <c r="H14" s="66" t="b">
        <f>D16="Choose"</f>
        <v>1</v>
      </c>
      <c r="I14" s="171"/>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row>
    <row r="15" spans="1:43" ht="16" thickBot="1" x14ac:dyDescent="0.25">
      <c r="A15" s="16"/>
      <c r="B15" s="36"/>
      <c r="C15" s="98" t="s">
        <v>6320</v>
      </c>
      <c r="D15" s="219" t="str">
        <f>CC_Term_Default</f>
        <v xml:space="preserve"> </v>
      </c>
      <c r="E15" s="88"/>
      <c r="F15" s="178" t="str">
        <f>IF(OR(CC_Type="Choose",CC_Type="Decline Cambium Care")," ",
IF(FWB_CCPro,"CC Pro for Fixed Wireless Broadband is available for 1-year term only",
IF(FWB_CCPrime,"CC Prime for Fixed Wireless Broadband is available for 1-year term only",
IF(Ent_CCPro,"CC Pro for Enterprise &amp; Switching is available for 1, 3, or 5 year term",
IF(Ent_CCAdv,"CC Advanced for Enterprise &amp; Switching is available for 1, 3, or 5 year term",
"Error")))))</f>
        <v xml:space="preserve"> </v>
      </c>
      <c r="G15" s="182"/>
      <c r="H15" s="66"/>
      <c r="I15" s="128"/>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row>
    <row r="16" spans="1:43" ht="16" thickBot="1" x14ac:dyDescent="0.25">
      <c r="A16" s="16"/>
      <c r="B16" s="37"/>
      <c r="C16" s="22" t="s">
        <v>5962</v>
      </c>
      <c r="D16" s="6" t="s">
        <v>5904</v>
      </c>
      <c r="E16" s="89"/>
      <c r="F16" s="183"/>
      <c r="G16" s="55"/>
      <c r="H16" s="66"/>
      <c r="I16" s="66"/>
      <c r="J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row>
    <row r="17" spans="1:42" ht="16" thickBot="1" x14ac:dyDescent="0.25">
      <c r="A17" s="16"/>
      <c r="B17" s="16"/>
      <c r="C17" s="16"/>
      <c r="D17" s="109"/>
      <c r="E17" s="119" t="s">
        <v>5905</v>
      </c>
      <c r="F17" s="177" t="str">
        <f>IF(AND(Service="cnMaestro X",CCAdv_Upgrade="Choose"),"Cambium Care Advanced is for Enterprise products;"," ")</f>
        <v xml:space="preserve"> </v>
      </c>
      <c r="G17" s="16"/>
      <c r="H17" s="66"/>
      <c r="I17" s="6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row>
    <row r="18" spans="1:42" ht="16" thickBot="1" x14ac:dyDescent="0.25">
      <c r="A18" s="16"/>
      <c r="B18" s="33"/>
      <c r="C18" s="34" t="s">
        <v>6241</v>
      </c>
      <c r="D18" s="34"/>
      <c r="E18" s="34"/>
      <c r="F18" s="34"/>
      <c r="G18" s="35"/>
      <c r="H18" s="66"/>
      <c r="I18" s="6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row>
    <row r="19" spans="1:42" x14ac:dyDescent="0.2">
      <c r="A19" s="16"/>
      <c r="B19" s="36"/>
      <c r="C19" s="529" t="s">
        <v>6243</v>
      </c>
      <c r="D19" s="530"/>
      <c r="E19" s="530"/>
      <c r="F19" s="530"/>
      <c r="G19" s="531"/>
      <c r="H19" s="66"/>
      <c r="I19" s="6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row>
    <row r="20" spans="1:42" x14ac:dyDescent="0.2">
      <c r="A20" s="16"/>
      <c r="B20" s="36"/>
      <c r="C20" s="532"/>
      <c r="D20" s="533"/>
      <c r="E20" s="533"/>
      <c r="F20" s="533"/>
      <c r="G20" s="534"/>
      <c r="H20" s="66"/>
      <c r="I20" s="6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row>
    <row r="21" spans="1:42" ht="16" thickBot="1" x14ac:dyDescent="0.25">
      <c r="A21" s="16"/>
      <c r="B21" s="37"/>
      <c r="C21" s="535"/>
      <c r="D21" s="536"/>
      <c r="E21" s="536"/>
      <c r="F21" s="536"/>
      <c r="G21" s="537"/>
      <c r="H21" s="66"/>
      <c r="I21" s="6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row>
    <row r="22" spans="1:42" x14ac:dyDescent="0.2">
      <c r="A22" s="16"/>
      <c r="B22" s="17"/>
      <c r="C22" s="387"/>
      <c r="D22" s="387"/>
      <c r="E22" s="387"/>
      <c r="F22" s="387"/>
      <c r="G22" s="387"/>
      <c r="H22" s="66"/>
      <c r="I22" s="6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row>
    <row r="23" spans="1:42" x14ac:dyDescent="0.2">
      <c r="A23" s="16"/>
      <c r="B23" s="17"/>
      <c r="C23" s="387"/>
      <c r="D23" s="387"/>
      <c r="E23" s="387"/>
      <c r="F23" s="387"/>
      <c r="G23" s="387"/>
      <c r="H23" s="66"/>
      <c r="I23" s="6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row>
    <row r="24" spans="1:42" x14ac:dyDescent="0.2">
      <c r="A24" s="16"/>
      <c r="B24" s="16"/>
      <c r="C24" s="153"/>
      <c r="D24" s="153"/>
      <c r="E24" s="16"/>
      <c r="F24" s="16"/>
      <c r="G24" s="16"/>
      <c r="H24" s="66"/>
      <c r="I24" s="6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row>
    <row r="25" spans="1:42" ht="16" x14ac:dyDescent="0.2">
      <c r="A25" s="16"/>
      <c r="B25" s="16"/>
      <c r="C25" s="184" t="s">
        <v>6267</v>
      </c>
      <c r="D25" s="152" t="s">
        <v>6377</v>
      </c>
      <c r="E25" s="16"/>
      <c r="F25" s="216" t="s">
        <v>6418</v>
      </c>
      <c r="G25" s="16"/>
      <c r="H25" s="66"/>
      <c r="I25" s="6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row>
    <row r="26" spans="1:42" x14ac:dyDescent="0.2">
      <c r="A26" s="16"/>
      <c r="B26" s="16"/>
      <c r="C26" s="128" t="b">
        <f>IF(Scenario="Selections are incomplete",FALSE,TRUE)</f>
        <v>0</v>
      </c>
      <c r="D26" s="109" t="b">
        <f>IF(AND(Service="Standalone Support",Device_Type="Fixed Wireless Broadband",CC_Type="Cambium Care Pro"),TRUE,FALSE)</f>
        <v>0</v>
      </c>
      <c r="E26" s="16"/>
      <c r="F26" s="128" t="str">
        <f>IF(AND(Service&lt;&gt;"Choose",Device_Type="Enterprise &amp; cnWave"),"Choose",
IF(AND(Service&lt;&gt;"Choose",Device_Type="Fixed Wireless Broadband"),"1 year"," "))</f>
        <v xml:space="preserve"> </v>
      </c>
      <c r="G26" s="16"/>
      <c r="H26" s="66"/>
      <c r="I26" s="6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row>
    <row r="27" spans="1:42" x14ac:dyDescent="0.2">
      <c r="A27" s="16"/>
      <c r="B27" s="16"/>
      <c r="C27" s="171"/>
      <c r="D27" s="109"/>
      <c r="E27" s="16"/>
      <c r="F27" s="16"/>
      <c r="G27" s="16"/>
      <c r="H27" s="66"/>
      <c r="I27" s="6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row>
    <row r="28" spans="1:42" ht="16" x14ac:dyDescent="0.2">
      <c r="A28" s="16"/>
      <c r="B28" s="16"/>
      <c r="C28" s="184" t="s">
        <v>6266</v>
      </c>
      <c r="D28" s="152" t="s">
        <v>6376</v>
      </c>
      <c r="E28" s="16"/>
      <c r="F28" s="152" t="s">
        <v>6419</v>
      </c>
      <c r="G28" s="16"/>
      <c r="H28" s="66"/>
      <c r="I28" s="6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row>
    <row r="29" spans="1:42" x14ac:dyDescent="0.2">
      <c r="A29" s="16"/>
      <c r="B29" s="16"/>
      <c r="C29" s="128" t="str">
        <f>IF(AND(Service="cnMaestro X",CCAdv_Upgrade="Yes",X_Hardware_Support="Extended Warranty"),"X-AdvYes-EW",
IF(AND(Service="cnMaestro X",CCAdv_Upgrade="Yes",X_Hardware_Support="All Risks Advance Replacement"),"X-AdvYes-AR",
IF(AND(Service="cnMaestro X",CCAdv_Upgrade="Yes",X_Hardware_Support="Decline FWB Hardware Support"),"X-AdvYes-NoHW",
IF(AND(Service="cnMaestro X",CCAdv_Upgrade="Decline CC Advanced",X_Hardware_Support="Extended Warranty"),"X-AdvNo-EW",
IF(AND(Service="cnMaestro X",CCAdv_Upgrade="Decline CC Advanced",X_Hardware_Support="All Risks Advance Replacement"),"X-AdvNo-AR",
IF(AND(Service="cnMaestro X",CCAdv_Upgrade="Decline CC Advanced",X_Hardware_Support="Decline Enhanced HW Support"),"X-AdvNo-NoHW",
IF(AND(Service="Standalone Support",Device_Type="Fixed Wireless Broadband",CC_Type="Cambium Care Pro",Hardware_Support="Extended Warranty"),"FWB-CCPro-EW",
IF(AND(Service="Standalone Support",Device_Type="Fixed Wireless Broadband",CC_Type="Cambium Care Pro",Hardware_Support="All Risks Adv. Replacement"),"FWB-CCPro-AR",
IF(AND(Service="Standalone Support",Device_Type="Fixed Wireless Broadband",CC_Type="Cambium Care Pro",Hardware_Support="Decline Hardware Support"),"FWB-CCPro-NoHW",
IF(AND(Service="Standalone Support",Device_Type="Fixed Wireless Broadband",CC_Type="Cambium Care Prime"),"FWB-CCPrime",
IF(AND(Service="Standalone Support",Device_Type="Fixed Wireless Broadband",CC_Type="Decline Cambium Care",Hardware_Support="Extended Warranty"),"FWB-NoCC-EW",
IF(AND(Service="Standalone Support",Device_Type="Fixed Wireless Broadband",CC_Type="Decline Cambium Care",Hardware_Support="All Risks Adv. Replacement"),"FWB-NoCC-AR",
IF(AND(Service="Standalone Support",Device_Type="Fixed Wireless Broadband",CC_Type="Decline Cambium Care",Hardware_Support="Decline Hardware Support"),"FWB-NoCC-NoHW",
IF(AND(Service="Standalone Support",Device_Type="Enterprise &amp; cnWave",CC_Type="Cambium Care Pro",CC_Term&lt;&gt;"Choose",Hardware_Support="Extended Warranty"),"Ent-CCPro-EW",
IF(AND(Service="Standalone Support",Device_Type="Enterprise &amp; cnWave",CC_Type="Cambium Care Pro",CC_Term&lt;&gt;"Choose",Hardware_Support="All Risks Adv. Replacement"),"Ent-CCPro-AR",
IF(AND(Service="Standalone Support",Device_Type="Enterprise &amp; cnWave",CC_Type="Cambium Care Pro",CC_Term&lt;&gt;"Choose",Hardware_Support="Decline Hardware Support"),"Ent-CCPro-NoHW",
IF(AND(Service="Standalone Support",Device_Type="Enterprise &amp; cnWave",CC_Type="Cambium Care Advanced",CC_Term&lt;&gt;"Choose"),"Ent-CCAdv",
IF(AND(Service="Standalone Support",Device_Type="Enterprise &amp; cnWave",CC_Type="Decline Cambium Care",Hardware_Support="Extended Warranty"),"Ent-NoCC-EW",
IF(AND(Service="Standalone Support",Device_Type="Enterprise &amp; cnWave",CC_Type="Decline Cambium Care",Hardware_Support="All Risks Adv. Replacement"),"Ent-NoCC-AR",
IF(AND(Service="Standalone Support",Device_Type="Enterprise &amp; cnWave",CC_Type="Decline Cambium Care",Hardware_Support="Decline Hardware Support"),"Ent-NoCC-NoHW",
"Selections are incomplete"))))))))))))))))))))</f>
        <v>Selections are incomplete</v>
      </c>
      <c r="D29" s="109" t="b">
        <f>IF(AND(Service="Standalone Support",Device_Type="Fixed Wireless Broadband",CC_Type="Cambium Care Prime"),TRUE,FALSE)</f>
        <v>0</v>
      </c>
      <c r="E29" s="16"/>
      <c r="F29" s="128">
        <f>IF(AND(D5="Choose",I15=" "),0,1)</f>
        <v>1</v>
      </c>
      <c r="G29" s="16"/>
      <c r="H29" s="66"/>
      <c r="I29" s="6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0" spans="1:42" x14ac:dyDescent="0.2">
      <c r="A30" s="16"/>
      <c r="B30" s="16"/>
      <c r="C30" s="128"/>
      <c r="D30" s="109"/>
      <c r="E30" s="16"/>
      <c r="F30" s="16"/>
      <c r="G30" s="16"/>
      <c r="H30" s="66"/>
      <c r="I30" s="6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row>
    <row r="31" spans="1:42" x14ac:dyDescent="0.2">
      <c r="A31" s="16"/>
      <c r="B31" s="16"/>
      <c r="C31" s="152" t="s">
        <v>400</v>
      </c>
      <c r="D31" s="152" t="s">
        <v>6375</v>
      </c>
      <c r="E31" s="16"/>
      <c r="F31" s="128" t="s">
        <v>6423</v>
      </c>
      <c r="G31" s="16"/>
      <c r="H31" s="66"/>
      <c r="I31" s="6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row>
    <row r="32" spans="1:42" x14ac:dyDescent="0.2">
      <c r="A32" s="16"/>
      <c r="B32" s="16"/>
      <c r="C32" s="128" t="str">
        <f>IF(_Service="cnMaestro X Cloud","cnMaestro X",
IF(_Service="cnMaestro X On-Premises","cnMaestro X",
IF(_Service="Standalone Support","Standalone Support",
IF(_Service="XMS","XMS",
"Choose"))))</f>
        <v>Choose</v>
      </c>
      <c r="D32" s="109" t="b">
        <f>IF(AND(Service="Standalone Support",Device_Type="Fixed Wireless Broadband",CC_Type="Decline Cambium Care"),TRUE,FALSE)</f>
        <v>0</v>
      </c>
      <c r="E32" s="16"/>
      <c r="F32" s="109" t="s">
        <v>6422</v>
      </c>
      <c r="G32" s="16"/>
      <c r="H32" s="66"/>
      <c r="I32" s="6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row>
    <row r="33" spans="1:42" x14ac:dyDescent="0.2">
      <c r="A33" s="16"/>
      <c r="B33" s="16"/>
      <c r="C33" s="171"/>
      <c r="D33" s="109"/>
      <c r="E33" s="16"/>
      <c r="F33" s="109" t="b">
        <f>ISNUMBER(SEARCH(CC_Term,"Default"))</f>
        <v>0</v>
      </c>
      <c r="G33" s="16"/>
      <c r="H33" s="66"/>
      <c r="I33" s="6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row>
    <row r="34" spans="1:42" x14ac:dyDescent="0.2">
      <c r="A34" s="16"/>
      <c r="B34" s="16"/>
      <c r="C34" s="152" t="s">
        <v>7056</v>
      </c>
      <c r="D34" s="152" t="s">
        <v>6374</v>
      </c>
      <c r="E34" s="16"/>
      <c r="F34" s="16"/>
      <c r="G34" s="16"/>
      <c r="H34" s="66"/>
      <c r="I34" s="6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row>
    <row r="35" spans="1:42" x14ac:dyDescent="0.2">
      <c r="A35" s="16"/>
      <c r="B35" s="16"/>
      <c r="C35" s="128" t="str">
        <f>IF(Service="cnMaestro X","cnMX",
IF(AND(Service="Standalone Support",Device_Type="Enterprise &amp; cnWave"),"Ent",
IF(AND(Service="Standalone Support",Device_Type="Fixed Wireless Broadband"),"FWB",
"Bottom")))</f>
        <v>Bottom</v>
      </c>
      <c r="D35" s="109" t="b">
        <f>IF(AND(Service="Standalone Support",Device_Type="Enterprise &amp; cnWave",CC_Type="Cambium Care Pro"),TRUE,FALSE)</f>
        <v>0</v>
      </c>
      <c r="E35" s="16"/>
      <c r="F35" s="16"/>
      <c r="G35" s="16"/>
      <c r="H35" s="66"/>
      <c r="I35" s="6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row>
    <row r="36" spans="1:42" x14ac:dyDescent="0.2">
      <c r="A36" s="16"/>
      <c r="B36" s="16"/>
      <c r="C36" s="128"/>
      <c r="D36" s="109"/>
      <c r="E36" s="16"/>
      <c r="F36" s="16"/>
      <c r="G36" s="16"/>
      <c r="H36" s="66"/>
      <c r="I36" s="6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row>
    <row r="37" spans="1:42" x14ac:dyDescent="0.2">
      <c r="A37" s="16"/>
      <c r="B37" s="16"/>
      <c r="C37" s="152" t="s">
        <v>6370</v>
      </c>
      <c r="D37" s="152" t="s">
        <v>6373</v>
      </c>
      <c r="E37" s="16"/>
      <c r="F37" s="16"/>
      <c r="G37" s="16"/>
      <c r="H37" s="66"/>
      <c r="I37" s="6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row>
    <row r="38" spans="1:42" x14ac:dyDescent="0.2">
      <c r="A38" s="16"/>
      <c r="B38" s="16"/>
      <c r="C38" s="171" t="b">
        <f>IF(RIGHT(Scenario,2)="EW",TRUE,FALSE)</f>
        <v>0</v>
      </c>
      <c r="D38" s="16" t="b">
        <f>IF(AND(Service="Standalone Support",Device_Type="Enterprise &amp; cnWave",CC_Type="Cambium Care Advanced"),TRUE,FALSE)</f>
        <v>0</v>
      </c>
      <c r="E38" s="16"/>
      <c r="F38" s="16"/>
      <c r="G38" s="16"/>
      <c r="H38" s="66"/>
      <c r="I38" s="6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row>
    <row r="39" spans="1:42" x14ac:dyDescent="0.2">
      <c r="A39" s="16"/>
      <c r="B39" s="16"/>
      <c r="C39" s="171"/>
      <c r="D39" s="16"/>
      <c r="E39" s="16"/>
      <c r="F39" s="16"/>
      <c r="G39" s="16"/>
      <c r="H39" s="66"/>
      <c r="I39" s="6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row>
    <row r="40" spans="1:42" x14ac:dyDescent="0.2">
      <c r="A40" s="16"/>
      <c r="B40" s="16"/>
      <c r="C40" s="152" t="s">
        <v>6369</v>
      </c>
      <c r="D40" s="152" t="s">
        <v>6372</v>
      </c>
      <c r="E40" s="16"/>
      <c r="F40" s="16"/>
      <c r="G40" s="16"/>
      <c r="H40" s="66"/>
      <c r="I40" s="6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row>
    <row r="41" spans="1:42" x14ac:dyDescent="0.2">
      <c r="A41" s="16"/>
      <c r="B41" s="16"/>
      <c r="C41" s="171" t="b">
        <f>IF(RIGHT(Scenario,2)="AR",TRUE,FALSE)</f>
        <v>0</v>
      </c>
      <c r="D41" s="109" t="b">
        <f>IF(AND(Service="Standalone Support",Device_Type="Enterprise &amp; cnWave",CC_Type="Decline Cambium Care"),TRUE,FALSE)</f>
        <v>0</v>
      </c>
      <c r="E41" s="16"/>
      <c r="F41" s="16"/>
      <c r="G41" s="16"/>
      <c r="H41" s="66"/>
      <c r="I41" s="6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row>
    <row r="42" spans="1:42" x14ac:dyDescent="0.2">
      <c r="A42" s="16"/>
      <c r="B42" s="16"/>
      <c r="C42" s="16"/>
      <c r="D42" s="16"/>
      <c r="E42" s="16"/>
      <c r="F42" s="16"/>
      <c r="G42" s="16"/>
      <c r="H42" s="66"/>
      <c r="I42" s="6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row>
    <row r="43" spans="1:42" x14ac:dyDescent="0.2">
      <c r="A43" s="16"/>
      <c r="B43" s="16"/>
      <c r="C43" s="152" t="s">
        <v>6371</v>
      </c>
      <c r="D43" s="152" t="s">
        <v>7053</v>
      </c>
      <c r="E43" s="16"/>
      <c r="F43" s="16"/>
      <c r="G43" s="16"/>
      <c r="H43" s="66"/>
      <c r="I43" s="6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row>
    <row r="44" spans="1:42" x14ac:dyDescent="0.2">
      <c r="A44" s="16"/>
      <c r="B44" s="16"/>
      <c r="C44" s="16" t="b">
        <f>IF(RIGHT(Scenario,4)="NoHW",TRUE,FALSE)</f>
        <v>0</v>
      </c>
      <c r="D44" s="16" t="b">
        <f>IF(AND(Service="cnMaestro X",CCAdv_Upgrade="Yes"),TRUE,FALSE)</f>
        <v>0</v>
      </c>
      <c r="E44" s="16"/>
      <c r="F44" s="16"/>
      <c r="G44" s="16"/>
      <c r="H44" s="66"/>
      <c r="I44" s="6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row>
    <row r="45" spans="1:42" x14ac:dyDescent="0.2">
      <c r="A45" s="16"/>
      <c r="B45" s="16"/>
      <c r="C45" s="16"/>
      <c r="D45" s="16"/>
      <c r="E45" s="16"/>
      <c r="F45" s="16"/>
      <c r="G45" s="16"/>
      <c r="H45" s="66"/>
      <c r="I45" s="6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row>
    <row r="46" spans="1:42" x14ac:dyDescent="0.2">
      <c r="A46" s="16"/>
      <c r="B46" s="16"/>
      <c r="C46" s="152"/>
      <c r="D46" s="152" t="s">
        <v>6388</v>
      </c>
      <c r="E46" s="16"/>
      <c r="F46" s="16"/>
      <c r="G46" s="16"/>
      <c r="H46" s="66"/>
      <c r="I46" s="6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row>
    <row r="47" spans="1:42" x14ac:dyDescent="0.2">
      <c r="A47" s="16"/>
      <c r="B47" s="16"/>
      <c r="C47" s="109"/>
      <c r="D47" s="128" t="b">
        <f>IF(AND(Service="cnMaestro X",CCAdv_Upgrade="Decline CC Advanced"),TRUE,FALSE)</f>
        <v>0</v>
      </c>
      <c r="E47" s="16"/>
      <c r="F47" s="16"/>
      <c r="G47" s="16"/>
      <c r="H47" s="66"/>
      <c r="I47" s="6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row>
    <row r="48" spans="1:42" x14ac:dyDescent="0.2">
      <c r="A48" s="16"/>
      <c r="B48" s="16"/>
      <c r="C48" s="109"/>
      <c r="D48" s="16"/>
      <c r="E48" s="16"/>
      <c r="F48" s="16"/>
      <c r="G48" s="16"/>
      <c r="H48" s="66"/>
      <c r="I48" s="6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row>
    <row r="49" spans="1:42" x14ac:dyDescent="0.2">
      <c r="A49" s="16"/>
      <c r="B49" s="16"/>
      <c r="C49" s="152"/>
      <c r="D49" s="152" t="s">
        <v>6379</v>
      </c>
      <c r="E49" s="16"/>
      <c r="F49" s="16"/>
      <c r="G49" s="16"/>
      <c r="H49" s="66"/>
      <c r="I49" s="6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row>
    <row r="50" spans="1:42" x14ac:dyDescent="0.2">
      <c r="A50" s="16"/>
      <c r="B50" s="16"/>
      <c r="C50" s="109"/>
      <c r="D50" s="16" t="b">
        <f>IF(AND(Service="cnMaestro X",CCAdv_Upgrade="Decline CC Advanced",EW),TRUE,FALSE)</f>
        <v>0</v>
      </c>
      <c r="E50" s="16"/>
      <c r="F50" s="16"/>
      <c r="G50" s="16"/>
      <c r="H50" s="66"/>
      <c r="I50" s="6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row>
    <row r="51" spans="1:42" x14ac:dyDescent="0.2">
      <c r="A51" s="16"/>
      <c r="B51" s="16"/>
      <c r="C51" s="109"/>
      <c r="D51" s="16"/>
      <c r="E51" s="16"/>
      <c r="F51" s="16"/>
      <c r="G51" s="16"/>
      <c r="H51" s="66"/>
      <c r="I51" s="6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row>
    <row r="52" spans="1:42" x14ac:dyDescent="0.2">
      <c r="A52" s="16"/>
      <c r="B52" s="16"/>
      <c r="C52" s="109"/>
      <c r="D52" s="19" t="s">
        <v>6381</v>
      </c>
      <c r="E52" s="16"/>
      <c r="F52" s="16"/>
      <c r="G52" s="16"/>
      <c r="H52" s="66"/>
      <c r="I52" s="6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row>
    <row r="53" spans="1:42" x14ac:dyDescent="0.2">
      <c r="A53" s="16"/>
      <c r="B53" s="16"/>
      <c r="C53" s="109"/>
      <c r="D53" s="16" t="b">
        <f>IF(AND(Service="cnMaestro X",CCAdv_Upgrade="Decline CC Advanced",AR),TRUE,FALSE)</f>
        <v>0</v>
      </c>
      <c r="E53" s="16"/>
      <c r="F53" s="16"/>
      <c r="G53" s="16"/>
      <c r="H53" s="66"/>
      <c r="I53" s="6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row>
    <row r="54" spans="1:42" x14ac:dyDescent="0.2">
      <c r="A54" s="16"/>
      <c r="B54" s="16"/>
      <c r="C54" s="16"/>
      <c r="D54" s="16"/>
      <c r="E54" s="16"/>
      <c r="F54" s="16"/>
      <c r="G54" s="16"/>
      <c r="H54" s="66"/>
      <c r="I54" s="6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row>
    <row r="55" spans="1:42" x14ac:dyDescent="0.2">
      <c r="A55" s="16"/>
      <c r="B55" s="16"/>
      <c r="C55" s="16"/>
      <c r="D55" s="152" t="s">
        <v>6378</v>
      </c>
      <c r="E55" s="16"/>
      <c r="F55" s="16"/>
      <c r="G55" s="16"/>
      <c r="H55" s="66"/>
      <c r="I55" s="6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row>
    <row r="56" spans="1:42" x14ac:dyDescent="0.2">
      <c r="A56" s="16"/>
      <c r="B56" s="16"/>
      <c r="C56" s="16"/>
      <c r="D56" s="16" t="b">
        <f>IF(AND(Service="cnMaestro X",CCAdv_Upgrade="Decline CC Advanced",NoHW),TRUE,FALSE)</f>
        <v>0</v>
      </c>
      <c r="E56" s="16"/>
      <c r="F56" s="16"/>
      <c r="G56" s="16"/>
      <c r="H56" s="66"/>
      <c r="I56" s="6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row>
    <row r="57" spans="1:42" x14ac:dyDescent="0.2">
      <c r="A57" s="16"/>
      <c r="B57" s="16"/>
      <c r="C57" s="16"/>
      <c r="D57" s="16"/>
      <c r="E57" s="16"/>
      <c r="F57" s="16"/>
      <c r="G57" s="16"/>
      <c r="H57" s="66"/>
      <c r="I57" s="6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row>
    <row r="58" spans="1:42" x14ac:dyDescent="0.2">
      <c r="A58" s="16"/>
      <c r="B58" s="16"/>
      <c r="C58" s="16"/>
      <c r="D58" s="16"/>
      <c r="E58" s="16"/>
      <c r="F58" s="16"/>
      <c r="G58" s="16"/>
      <c r="H58" s="66"/>
      <c r="I58" s="6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row>
    <row r="59" spans="1:42" x14ac:dyDescent="0.2">
      <c r="A59" s="16"/>
      <c r="B59" s="16"/>
      <c r="C59" s="16"/>
      <c r="D59" s="16"/>
      <c r="E59" s="16"/>
      <c r="F59" s="16"/>
      <c r="G59" s="16"/>
      <c r="H59" s="66"/>
      <c r="I59" s="6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row>
    <row r="60" spans="1:42" x14ac:dyDescent="0.2">
      <c r="A60" s="16"/>
      <c r="B60" s="16"/>
      <c r="C60" s="16"/>
      <c r="D60" s="16"/>
      <c r="E60" s="16"/>
      <c r="F60" s="16"/>
      <c r="G60" s="16"/>
      <c r="H60" s="66"/>
      <c r="I60" s="6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row>
    <row r="61" spans="1:42" x14ac:dyDescent="0.2">
      <c r="A61" s="16"/>
      <c r="B61" s="16"/>
      <c r="C61" s="16"/>
      <c r="D61" s="16"/>
      <c r="E61" s="16"/>
      <c r="F61" s="16"/>
      <c r="G61" s="16"/>
      <c r="H61" s="66"/>
      <c r="I61" s="6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row>
    <row r="62" spans="1:42" x14ac:dyDescent="0.2">
      <c r="A62" s="16"/>
      <c r="B62" s="16"/>
      <c r="C62" s="16"/>
      <c r="D62" s="16"/>
      <c r="E62" s="16"/>
      <c r="F62" s="16"/>
      <c r="G62" s="16"/>
      <c r="H62" s="66"/>
      <c r="I62" s="6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row>
    <row r="63" spans="1:42" x14ac:dyDescent="0.2">
      <c r="A63" s="16"/>
      <c r="B63" s="16"/>
      <c r="C63" s="16"/>
      <c r="D63" s="16"/>
      <c r="E63" s="16"/>
      <c r="F63" s="16"/>
      <c r="G63" s="16"/>
      <c r="H63" s="66"/>
      <c r="I63" s="6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row>
    <row r="64" spans="1:42" x14ac:dyDescent="0.2">
      <c r="A64" s="16"/>
      <c r="B64" s="16"/>
      <c r="C64" s="16"/>
      <c r="D64" s="16"/>
      <c r="E64" s="16"/>
      <c r="F64" s="16"/>
      <c r="G64" s="16"/>
      <c r="H64" s="66"/>
      <c r="I64" s="6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row>
    <row r="65" spans="1:42" x14ac:dyDescent="0.2">
      <c r="A65" s="16"/>
      <c r="B65" s="16"/>
      <c r="C65" s="16"/>
      <c r="D65" s="16"/>
      <c r="E65" s="16"/>
      <c r="F65" s="16"/>
      <c r="G65" s="16"/>
      <c r="H65" s="66"/>
      <c r="I65" s="6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row>
    <row r="66" spans="1:42" x14ac:dyDescent="0.2">
      <c r="A66" s="16"/>
      <c r="B66" s="16"/>
      <c r="C66" s="16"/>
      <c r="D66" s="16"/>
      <c r="E66" s="16"/>
      <c r="F66" s="16"/>
      <c r="G66" s="16"/>
      <c r="H66" s="66"/>
      <c r="I66" s="6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row>
    <row r="67" spans="1:42" x14ac:dyDescent="0.2">
      <c r="A67" s="16"/>
      <c r="B67" s="16"/>
      <c r="C67" s="16"/>
      <c r="D67" s="16"/>
      <c r="E67" s="16"/>
      <c r="F67" s="16"/>
      <c r="G67" s="16"/>
      <c r="H67" s="66"/>
      <c r="I67" s="66"/>
    </row>
    <row r="68" spans="1:42" x14ac:dyDescent="0.2">
      <c r="B68" s="16"/>
      <c r="C68" s="16"/>
      <c r="D68" s="16"/>
      <c r="E68" s="16"/>
      <c r="F68" s="16"/>
      <c r="G68" s="16"/>
    </row>
    <row r="69" spans="1:42" x14ac:dyDescent="0.2">
      <c r="B69" s="16"/>
      <c r="C69" s="16"/>
      <c r="E69" s="16"/>
      <c r="F69" s="16"/>
      <c r="G69" s="16"/>
    </row>
    <row r="70" spans="1:42" x14ac:dyDescent="0.2">
      <c r="C70" s="16"/>
    </row>
    <row r="71" spans="1:42" x14ac:dyDescent="0.2">
      <c r="C71" s="16"/>
    </row>
    <row r="72" spans="1:42" x14ac:dyDescent="0.2">
      <c r="C72" s="16"/>
    </row>
    <row r="73" spans="1:42" x14ac:dyDescent="0.2">
      <c r="C73" s="16"/>
    </row>
    <row r="74" spans="1:42" x14ac:dyDescent="0.2">
      <c r="C74" s="16"/>
    </row>
  </sheetData>
  <sheetProtection algorithmName="SHA-512" hashValue="bS5Ty7TuXpVP/8O6O+EmrfTSewB6wXycEqrs8TndpG2eMyeghaxT/ueJ1RXmmSbcttddMxOjFOYGkzck95BJ8A==" saltValue="GMfSbADYr5izibwpk3aYrw==" spinCount="100000" sheet="1" objects="1" scenarios="1"/>
  <protectedRanges>
    <protectedRange sqref="G5:G16" name="Start Here Web Links"/>
    <protectedRange sqref="D5:D16" name="Start Here Selections"/>
  </protectedRanges>
  <mergeCells count="1">
    <mergeCell ref="C19:G21"/>
  </mergeCells>
  <phoneticPr fontId="21" type="noConversion"/>
  <conditionalFormatting sqref="D9:D10">
    <cfRule type="cellIs" dxfId="226" priority="46" operator="equal">
      <formula>"Choose"</formula>
    </cfRule>
  </conditionalFormatting>
  <conditionalFormatting sqref="D13">
    <cfRule type="cellIs" dxfId="225" priority="34" operator="equal">
      <formula>"Choose"</formula>
    </cfRule>
  </conditionalFormatting>
  <conditionalFormatting sqref="D14:D15">
    <cfRule type="cellIs" dxfId="224" priority="33" operator="equal">
      <formula>"Choose"</formula>
    </cfRule>
  </conditionalFormatting>
  <conditionalFormatting sqref="D16">
    <cfRule type="cellIs" dxfId="223" priority="38" operator="equal">
      <formula>"Choose"</formula>
    </cfRule>
  </conditionalFormatting>
  <conditionalFormatting sqref="F13">
    <cfRule type="containsText" dxfId="222" priority="27" operator="containsText" text="Select again">
      <formula>NOT(ISERROR(SEARCH("Select again",F13)))</formula>
    </cfRule>
  </conditionalFormatting>
  <conditionalFormatting sqref="E13">
    <cfRule type="expression" dxfId="221" priority="26">
      <formula>$F$13&lt;&gt;" "</formula>
    </cfRule>
  </conditionalFormatting>
  <conditionalFormatting sqref="C10:D10">
    <cfRule type="expression" dxfId="220" priority="21">
      <formula>CCAdv_Upgrade="Choose"</formula>
    </cfRule>
  </conditionalFormatting>
  <conditionalFormatting sqref="B18:G21">
    <cfRule type="expression" dxfId="219" priority="20">
      <formula>Service&lt;&gt;"XMS"</formula>
    </cfRule>
  </conditionalFormatting>
  <conditionalFormatting sqref="B7:G10">
    <cfRule type="expression" dxfId="218" priority="18">
      <formula>OR(Service="Choose",AND(Service&lt;&gt;"Choose",Service&lt;&gt;"cnMaestro X"))</formula>
    </cfRule>
  </conditionalFormatting>
  <conditionalFormatting sqref="D5">
    <cfRule type="cellIs" dxfId="217" priority="16" operator="equal">
      <formula>"Choose"</formula>
    </cfRule>
  </conditionalFormatting>
  <conditionalFormatting sqref="C14:D16">
    <cfRule type="expression" dxfId="216" priority="13">
      <formula>AND(Service="Standalone Support",Device_Type="Choose")</formula>
    </cfRule>
  </conditionalFormatting>
  <conditionalFormatting sqref="C16:D16">
    <cfRule type="expression" dxfId="215" priority="8">
      <formula>AND(Service="Standalone Support",Device_Type="Enterprise &amp; cnWave",CC_Type="Cambium Care Advanced")</formula>
    </cfRule>
    <cfRule type="expression" dxfId="214" priority="9">
      <formula>AND(Service="Standalone Support",Device_Type="Enterprise &amp; cnWave",OR(CC_Type="Cambium Care Pro",CC_Type="Cambium Care Advanced"),CC_Term="Choose")</formula>
    </cfRule>
    <cfRule type="expression" dxfId="213" priority="10">
      <formula>AND(Service="Standalone Support",Device_Type="Fixed Wireless Broadband",CC_Type="Cambium Care Prime")</formula>
    </cfRule>
  </conditionalFormatting>
  <conditionalFormatting sqref="B12:G16">
    <cfRule type="expression" dxfId="212" priority="3">
      <formula>Service&lt;&gt;"Standalone Support"</formula>
    </cfRule>
  </conditionalFormatting>
  <conditionalFormatting sqref="C15:D16">
    <cfRule type="expression" dxfId="211" priority="5">
      <formula>AND(Service="Standalone Support",Device_Type="Fixed Wireless Broadband",CC_Type="Choose")</formula>
    </cfRule>
    <cfRule type="expression" dxfId="210" priority="7">
      <formula>AND(Service="Standalone Support",Device_Type="Enterprise &amp; cnWave",CC_Type="Choose")</formula>
    </cfRule>
  </conditionalFormatting>
  <conditionalFormatting sqref="C15:D15">
    <cfRule type="expression" dxfId="209" priority="6">
      <formula>AND(Service="Standalone Support",OR(Device_Type="Fixed Wireless Broadband",Device_Type="Enterprise &amp; cnWave"),CC_Type="Decline Cambium Care")</formula>
    </cfRule>
  </conditionalFormatting>
  <conditionalFormatting sqref="F25:F56 I12:K16 C25:D29 D30:D56 C30:C59">
    <cfRule type="expression" dxfId="208" priority="2">
      <formula>Hide_Calc="Yes"</formula>
    </cfRule>
  </conditionalFormatting>
  <dataValidations count="9">
    <dataValidation type="list" allowBlank="1" showErrorMessage="1" sqref="D5" xr:uid="{7AE723F9-BD6C-4AB1-9AD7-C278521D4808}">
      <formula1>"Choose,cnMaestro X Cloud,cnMaestro X On-Premises,Standalone Support,XMS"</formula1>
    </dataValidation>
    <dataValidation type="list" allowBlank="1" showErrorMessage="1" promptTitle="Include EasyPass" sqref="D16" xr:uid="{AADCC7E0-9610-4A92-8088-AD51EBB9DC67}">
      <formula1>"Choose,Extended Warranty,All Risks Adv. Replacement,Decline Hardware Support"</formula1>
    </dataValidation>
    <dataValidation allowBlank="1" showErrorMessage="1" sqref="E14:E15 D11 E5:E6 E8:E11 D6" xr:uid="{A2E6E3A3-6CC5-4603-929C-D101E2E39B72}"/>
    <dataValidation allowBlank="1" showErrorMessage="1" promptTitle="Length of Cloud Subscription" sqref="E16" xr:uid="{9BB958BE-1EA8-4F21-AA64-07E757949068}"/>
    <dataValidation allowBlank="1" showErrorMessage="1" promptTitle="Include EasyPass" sqref="E16" xr:uid="{9ED08975-E7D6-4D43-8838-B8EC05C90A3B}"/>
    <dataValidation type="list" allowBlank="1" showErrorMessage="1" sqref="D9" xr:uid="{E85C217C-C975-48E3-9D7B-D6F374D3659F}">
      <formula1>"Choose,Yes,Decline CC Advanced"</formula1>
    </dataValidation>
    <dataValidation type="list" allowBlank="1" showErrorMessage="1" sqref="D8" xr:uid="{DC6C5730-921A-488E-B9E8-C206CC7E3960}">
      <formula1>"1 year,3 years,5 years"</formula1>
    </dataValidation>
    <dataValidation type="list" allowBlank="1" showInputMessage="1" showErrorMessage="1" sqref="D13" xr:uid="{BE90410C-21C0-4887-A65B-F1849E74C7BA}">
      <formula1>"Choose,Fixed Wireless Broadband,Enterprise &amp; cnWave"</formula1>
    </dataValidation>
    <dataValidation type="list" allowBlank="1" sqref="D15" xr:uid="{74FF9A9D-32E0-435D-97BA-08EBB9938388}">
      <formula1>IF(Device_Type="Enterprise &amp; cnWave",_Y5,IF(Device_Type="Fixed Wireless Broadband",_Y1,"N/A"))</formula1>
    </dataValidation>
  </dataValidations>
  <hyperlinks>
    <hyperlink ref="G14" r:id="rId1" display="Cambium Care Product Page" xr:uid="{5886E9E4-73A7-4BFA-A457-024F7CBA2379}"/>
    <hyperlink ref="G9" r:id="rId2" display="Cambium Care Product Page" xr:uid="{E9D5B072-79F8-41D0-96FD-4F73B527D90C}"/>
    <hyperlink ref="G5" r:id="rId3" display="cnMaestro Product Page" xr:uid="{2C80C4BB-9862-4CAF-AE80-BD3FAEA6C4AF}"/>
  </hyperlinks>
  <pageMargins left="0.7" right="0.7" top="0.75" bottom="0.75" header="0.3" footer="0.3"/>
  <pageSetup paperSize="9" orientation="portrait" horizontalDpi="90" verticalDpi="90" r:id="rId4"/>
  <ignoredErrors>
    <ignoredError sqref="D15" unlockedFormula="1"/>
  </ignoredErrors>
  <drawing r:id="rId5"/>
  <extLst>
    <ext xmlns:x14="http://schemas.microsoft.com/office/spreadsheetml/2009/9/main" uri="{CCE6A557-97BC-4b89-ADB6-D9C93CAAB3DF}">
      <x14:dataValidations xmlns:xm="http://schemas.microsoft.com/office/excel/2006/main" count="3">
        <x14:dataValidation type="list" allowBlank="1" showErrorMessage="1" xr:uid="{2E5E8CD3-7B96-4F00-AEEE-CB154C40787E}">
          <x14:formula1>
            <xm:f>IF(CCAdv_Upgrade="Yes",'Default Check'!$E$30:$E$33,'Default Check'!$G$30:$G$33)</xm:f>
          </x14:formula1>
          <xm:sqref>D10</xm:sqref>
        </x14:dataValidation>
        <x14:dataValidation type="list" allowBlank="1" showErrorMessage="1" promptTitle="Length of Cloud Subscription" xr:uid="{5782C8D3-9D76-46AF-942C-EF1A65C1B3FF}">
          <x14:formula1>
            <xm:f>IF(Device_Type="Fixed Wirelesss Broadband",'Default Check'!$E$12:$E$15,'Default Check'!$G$12:$G$14)</xm:f>
          </x14:formula1>
          <xm:sqref>D16</xm:sqref>
        </x14:dataValidation>
        <x14:dataValidation type="list" allowBlank="1" showErrorMessage="1" xr:uid="{4F0A9984-C4B5-4E87-9044-92B7458BBC84}">
          <x14:formula1>
            <xm:f>IF(Device_Type="Fixed Wireless Broadband",'Default Check'!$E$7:$E$10,'Default Check'!$G$7:$G$10)</xm:f>
          </x14:formula1>
          <xm:sqref>D14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BDEFC-657A-5F48-BA43-F55B9462227B}">
  <sheetPr>
    <tabColor theme="9" tint="0.79998168889431442"/>
  </sheetPr>
  <dimension ref="A1:W1618"/>
  <sheetViews>
    <sheetView zoomScale="110" zoomScaleNormal="110" workbookViewId="0">
      <pane ySplit="1" topLeftCell="A384" activePane="bottomLeft" state="frozen"/>
      <selection pane="bottomLeft" activeCell="A411" sqref="A411"/>
    </sheetView>
  </sheetViews>
  <sheetFormatPr baseColWidth="10" defaultRowHeight="11" x14ac:dyDescent="0.15"/>
  <cols>
    <col min="1" max="1" width="18.1640625" style="93" customWidth="1"/>
    <col min="2" max="2" width="136.5" style="93" bestFit="1" customWidth="1"/>
    <col min="3" max="3" width="7.33203125" style="93" bestFit="1" customWidth="1"/>
    <col min="4" max="10" width="10.83203125" style="93"/>
    <col min="11" max="12" width="7.33203125" style="93" bestFit="1" customWidth="1"/>
    <col min="13" max="13" width="10.83203125" style="93"/>
    <col min="14" max="16" width="7.33203125" style="93" bestFit="1" customWidth="1"/>
    <col min="17" max="20" width="10.83203125" style="93"/>
    <col min="21" max="21" width="8.1640625" style="93" bestFit="1" customWidth="1"/>
    <col min="22" max="16384" width="10.83203125" style="93"/>
  </cols>
  <sheetData>
    <row r="1" spans="1:23" x14ac:dyDescent="0.15">
      <c r="A1" s="395" t="s">
        <v>8</v>
      </c>
      <c r="B1" s="395" t="s">
        <v>5</v>
      </c>
      <c r="C1" s="395" t="s">
        <v>93</v>
      </c>
      <c r="D1" s="395" t="s">
        <v>7066</v>
      </c>
      <c r="E1" s="395" t="s">
        <v>7067</v>
      </c>
      <c r="F1" s="395" t="s">
        <v>94</v>
      </c>
      <c r="G1" s="395" t="s">
        <v>69</v>
      </c>
      <c r="H1" s="395" t="s">
        <v>95</v>
      </c>
      <c r="I1" s="395" t="s">
        <v>96</v>
      </c>
      <c r="J1" s="395" t="s">
        <v>97</v>
      </c>
      <c r="K1" s="395" t="s">
        <v>98</v>
      </c>
      <c r="L1" s="395" t="s">
        <v>99</v>
      </c>
      <c r="M1" s="395" t="s">
        <v>100</v>
      </c>
      <c r="N1" s="395" t="s">
        <v>101</v>
      </c>
      <c r="O1" s="395" t="s">
        <v>102</v>
      </c>
      <c r="P1" s="395" t="s">
        <v>103</v>
      </c>
      <c r="Q1" s="395" t="s">
        <v>104</v>
      </c>
      <c r="R1" s="395" t="s">
        <v>105</v>
      </c>
      <c r="S1" s="395" t="s">
        <v>106</v>
      </c>
      <c r="T1" s="395" t="s">
        <v>107</v>
      </c>
      <c r="U1" s="395" t="s">
        <v>108</v>
      </c>
      <c r="V1" s="395" t="s">
        <v>109</v>
      </c>
      <c r="W1" s="395" t="s">
        <v>110</v>
      </c>
    </row>
    <row r="2" spans="1:23" x14ac:dyDescent="0.15">
      <c r="A2" s="93" t="s">
        <v>7068</v>
      </c>
      <c r="B2" s="93" t="s">
        <v>7069</v>
      </c>
      <c r="C2" s="93">
        <v>90</v>
      </c>
      <c r="D2" s="93" t="s">
        <v>24</v>
      </c>
      <c r="E2" s="93" t="s">
        <v>24</v>
      </c>
      <c r="F2" s="93" t="s">
        <v>7070</v>
      </c>
      <c r="G2" s="93" t="s">
        <v>7071</v>
      </c>
      <c r="H2" s="93" t="s">
        <v>11</v>
      </c>
      <c r="I2" s="93" t="s">
        <v>111</v>
      </c>
      <c r="J2" s="93" t="s">
        <v>112</v>
      </c>
      <c r="K2" s="93">
        <v>60</v>
      </c>
      <c r="L2" s="93">
        <v>0.15</v>
      </c>
      <c r="M2" s="93" t="s">
        <v>113</v>
      </c>
      <c r="N2" s="93">
        <v>2</v>
      </c>
      <c r="O2" s="93">
        <v>16</v>
      </c>
      <c r="P2" s="93">
        <v>25.5</v>
      </c>
      <c r="Q2" s="93" t="s">
        <v>114</v>
      </c>
      <c r="R2" s="93" t="s">
        <v>16</v>
      </c>
      <c r="S2" s="93" t="s">
        <v>115</v>
      </c>
      <c r="T2" s="93" t="s">
        <v>116</v>
      </c>
      <c r="U2" s="94">
        <v>44642.468055555553</v>
      </c>
      <c r="V2" s="93" t="s">
        <v>7072</v>
      </c>
      <c r="W2" s="93" t="s">
        <v>9</v>
      </c>
    </row>
    <row r="3" spans="1:23" x14ac:dyDescent="0.15">
      <c r="A3" s="93" t="s">
        <v>7073</v>
      </c>
      <c r="B3" s="93" t="s">
        <v>7074</v>
      </c>
      <c r="C3" s="93">
        <v>48</v>
      </c>
      <c r="D3" s="93" t="s">
        <v>24</v>
      </c>
      <c r="E3" s="93" t="s">
        <v>24</v>
      </c>
      <c r="F3" s="93" t="s">
        <v>7070</v>
      </c>
      <c r="G3" s="93" t="s">
        <v>7071</v>
      </c>
      <c r="H3" s="93" t="s">
        <v>11</v>
      </c>
      <c r="I3" s="93" t="s">
        <v>111</v>
      </c>
      <c r="J3" s="93" t="s">
        <v>112</v>
      </c>
      <c r="K3" s="93">
        <v>60</v>
      </c>
      <c r="L3" s="93" t="s">
        <v>111</v>
      </c>
      <c r="M3" s="93" t="s">
        <v>111</v>
      </c>
      <c r="N3" s="93" t="s">
        <v>111</v>
      </c>
      <c r="O3" s="93" t="s">
        <v>111</v>
      </c>
      <c r="P3" s="93" t="s">
        <v>111</v>
      </c>
      <c r="Q3" s="93" t="s">
        <v>114</v>
      </c>
      <c r="R3" s="93" t="s">
        <v>16</v>
      </c>
      <c r="S3" s="93" t="s">
        <v>115</v>
      </c>
      <c r="T3" s="93" t="s">
        <v>116</v>
      </c>
      <c r="U3" s="94">
        <v>44642.490277777775</v>
      </c>
      <c r="V3" s="93" t="s">
        <v>7072</v>
      </c>
      <c r="W3" s="93" t="s">
        <v>9</v>
      </c>
    </row>
    <row r="4" spans="1:23" x14ac:dyDescent="0.15">
      <c r="A4" s="93" t="s">
        <v>7075</v>
      </c>
      <c r="B4" s="93" t="s">
        <v>7076</v>
      </c>
      <c r="C4" s="93">
        <v>408</v>
      </c>
      <c r="D4" s="93" t="s">
        <v>24</v>
      </c>
      <c r="E4" s="93" t="s">
        <v>24</v>
      </c>
      <c r="F4" s="93" t="s">
        <v>7070</v>
      </c>
      <c r="G4" s="93" t="s">
        <v>7071</v>
      </c>
      <c r="H4" s="93" t="s">
        <v>11</v>
      </c>
      <c r="I4" s="93" t="s">
        <v>111</v>
      </c>
      <c r="J4" s="93" t="s">
        <v>112</v>
      </c>
      <c r="K4" s="93">
        <v>60</v>
      </c>
      <c r="L4" s="93" t="s">
        <v>111</v>
      </c>
      <c r="M4" s="93" t="s">
        <v>111</v>
      </c>
      <c r="N4" s="93" t="s">
        <v>111</v>
      </c>
      <c r="O4" s="93" t="s">
        <v>111</v>
      </c>
      <c r="P4" s="93" t="s">
        <v>111</v>
      </c>
      <c r="Q4" s="93" t="s">
        <v>117</v>
      </c>
      <c r="R4" s="93" t="s">
        <v>20</v>
      </c>
      <c r="S4" s="93" t="s">
        <v>115</v>
      </c>
      <c r="T4" s="93" t="s">
        <v>116</v>
      </c>
      <c r="U4" s="94">
        <v>44642.424305555556</v>
      </c>
      <c r="V4" s="93" t="s">
        <v>7072</v>
      </c>
      <c r="W4" s="93" t="s">
        <v>9</v>
      </c>
    </row>
    <row r="5" spans="1:23" x14ac:dyDescent="0.15">
      <c r="A5" s="93" t="s">
        <v>7077</v>
      </c>
      <c r="B5" s="93" t="s">
        <v>7078</v>
      </c>
      <c r="C5" s="93">
        <v>168</v>
      </c>
      <c r="D5" s="93" t="s">
        <v>24</v>
      </c>
      <c r="E5" s="93" t="s">
        <v>24</v>
      </c>
      <c r="F5" s="93" t="s">
        <v>7070</v>
      </c>
      <c r="G5" s="93" t="s">
        <v>7071</v>
      </c>
      <c r="H5" s="93" t="s">
        <v>11</v>
      </c>
      <c r="I5" s="93" t="s">
        <v>111</v>
      </c>
      <c r="J5" s="93" t="s">
        <v>112</v>
      </c>
      <c r="K5" s="93">
        <v>60</v>
      </c>
      <c r="L5" s="93" t="s">
        <v>111</v>
      </c>
      <c r="M5" s="93" t="s">
        <v>111</v>
      </c>
      <c r="N5" s="93" t="s">
        <v>111</v>
      </c>
      <c r="O5" s="93" t="s">
        <v>111</v>
      </c>
      <c r="P5" s="93" t="s">
        <v>111</v>
      </c>
      <c r="Q5" s="93" t="s">
        <v>117</v>
      </c>
      <c r="R5" s="93" t="s">
        <v>20</v>
      </c>
      <c r="S5" s="93" t="s">
        <v>115</v>
      </c>
      <c r="T5" s="93" t="s">
        <v>116</v>
      </c>
      <c r="U5" s="94">
        <v>44642.556944444441</v>
      </c>
      <c r="V5" s="93" t="s">
        <v>7072</v>
      </c>
      <c r="W5" s="93" t="s">
        <v>9</v>
      </c>
    </row>
    <row r="6" spans="1:23" x14ac:dyDescent="0.15">
      <c r="A6" s="93" t="s">
        <v>7079</v>
      </c>
      <c r="B6" s="93" t="s">
        <v>7080</v>
      </c>
      <c r="C6" s="93">
        <v>529.20000000000005</v>
      </c>
      <c r="D6" s="93" t="s">
        <v>24</v>
      </c>
      <c r="E6" s="93" t="s">
        <v>24</v>
      </c>
      <c r="F6" s="93" t="s">
        <v>7070</v>
      </c>
      <c r="G6" s="93" t="s">
        <v>7071</v>
      </c>
      <c r="H6" s="93" t="s">
        <v>11</v>
      </c>
      <c r="I6" s="93" t="s">
        <v>111</v>
      </c>
      <c r="J6" s="93" t="s">
        <v>112</v>
      </c>
      <c r="K6" s="93">
        <v>60</v>
      </c>
      <c r="L6" s="93" t="s">
        <v>111</v>
      </c>
      <c r="M6" s="93" t="s">
        <v>111</v>
      </c>
      <c r="N6" s="93" t="s">
        <v>111</v>
      </c>
      <c r="O6" s="93" t="s">
        <v>111</v>
      </c>
      <c r="P6" s="93" t="s">
        <v>111</v>
      </c>
      <c r="Q6" s="93" t="s">
        <v>117</v>
      </c>
      <c r="R6" s="93" t="s">
        <v>2</v>
      </c>
      <c r="S6" s="93" t="s">
        <v>115</v>
      </c>
      <c r="T6" s="93" t="s">
        <v>116</v>
      </c>
      <c r="U6" s="94">
        <v>44642.556944444441</v>
      </c>
      <c r="V6" s="93" t="s">
        <v>7072</v>
      </c>
      <c r="W6" s="93" t="s">
        <v>9</v>
      </c>
    </row>
    <row r="7" spans="1:23" x14ac:dyDescent="0.15">
      <c r="A7" s="93" t="s">
        <v>7081</v>
      </c>
      <c r="B7" s="93" t="s">
        <v>7082</v>
      </c>
      <c r="C7" s="93">
        <v>478.8</v>
      </c>
      <c r="D7" s="93" t="s">
        <v>24</v>
      </c>
      <c r="E7" s="93" t="s">
        <v>24</v>
      </c>
      <c r="F7" s="93" t="s">
        <v>7070</v>
      </c>
      <c r="G7" s="93" t="s">
        <v>7071</v>
      </c>
      <c r="H7" s="93" t="s">
        <v>11</v>
      </c>
      <c r="I7" s="93" t="s">
        <v>111</v>
      </c>
      <c r="J7" s="93" t="s">
        <v>112</v>
      </c>
      <c r="K7" s="93">
        <v>60</v>
      </c>
      <c r="L7" s="93">
        <v>3.75</v>
      </c>
      <c r="M7" s="93" t="s">
        <v>113</v>
      </c>
      <c r="N7" s="93">
        <v>16</v>
      </c>
      <c r="O7" s="93">
        <v>39</v>
      </c>
      <c r="P7" s="93">
        <v>44.5</v>
      </c>
      <c r="Q7" s="93" t="s">
        <v>117</v>
      </c>
      <c r="R7" s="93" t="s">
        <v>2</v>
      </c>
      <c r="S7" s="93" t="s">
        <v>115</v>
      </c>
      <c r="T7" s="93" t="s">
        <v>116</v>
      </c>
      <c r="U7" s="94">
        <v>44642.535416666666</v>
      </c>
      <c r="V7" s="93" t="s">
        <v>7072</v>
      </c>
      <c r="W7" s="93" t="s">
        <v>9</v>
      </c>
    </row>
    <row r="8" spans="1:23" x14ac:dyDescent="0.15">
      <c r="A8" s="93" t="s">
        <v>7083</v>
      </c>
      <c r="B8" s="93" t="s">
        <v>7084</v>
      </c>
      <c r="C8" s="93">
        <v>216</v>
      </c>
      <c r="D8" s="93" t="s">
        <v>24</v>
      </c>
      <c r="E8" s="93" t="s">
        <v>24</v>
      </c>
      <c r="F8" s="93" t="s">
        <v>7070</v>
      </c>
      <c r="G8" s="93" t="s">
        <v>7071</v>
      </c>
      <c r="H8" s="93" t="s">
        <v>11</v>
      </c>
      <c r="I8" s="93" t="s">
        <v>111</v>
      </c>
      <c r="J8" s="93" t="s">
        <v>112</v>
      </c>
      <c r="K8" s="93">
        <v>60</v>
      </c>
      <c r="L8" s="93">
        <v>1.4</v>
      </c>
      <c r="M8" s="93" t="s">
        <v>113</v>
      </c>
      <c r="N8" s="93">
        <v>10</v>
      </c>
      <c r="O8" s="93">
        <v>29</v>
      </c>
      <c r="P8" s="93">
        <v>58</v>
      </c>
      <c r="Q8" s="93" t="s">
        <v>117</v>
      </c>
      <c r="R8" s="93" t="s">
        <v>2</v>
      </c>
      <c r="S8" s="93" t="s">
        <v>115</v>
      </c>
      <c r="T8" s="93" t="s">
        <v>116</v>
      </c>
      <c r="U8" s="94">
        <v>44642.424305555556</v>
      </c>
      <c r="V8" s="93" t="s">
        <v>7072</v>
      </c>
      <c r="W8" s="93" t="s">
        <v>9</v>
      </c>
    </row>
    <row r="9" spans="1:23" x14ac:dyDescent="0.15">
      <c r="A9" s="93" t="s">
        <v>7085</v>
      </c>
      <c r="B9" s="93" t="s">
        <v>7086</v>
      </c>
      <c r="C9" s="93">
        <v>445.2</v>
      </c>
      <c r="D9" s="93" t="s">
        <v>24</v>
      </c>
      <c r="E9" s="93" t="s">
        <v>24</v>
      </c>
      <c r="F9" s="93" t="s">
        <v>7070</v>
      </c>
      <c r="G9" s="93" t="s">
        <v>7071</v>
      </c>
      <c r="H9" s="93" t="s">
        <v>11</v>
      </c>
      <c r="I9" s="93" t="s">
        <v>111</v>
      </c>
      <c r="J9" s="93" t="s">
        <v>112</v>
      </c>
      <c r="K9" s="93">
        <v>60</v>
      </c>
      <c r="L9" s="93" t="s">
        <v>111</v>
      </c>
      <c r="M9" s="93" t="s">
        <v>111</v>
      </c>
      <c r="N9" s="93" t="s">
        <v>111</v>
      </c>
      <c r="O9" s="93" t="s">
        <v>111</v>
      </c>
      <c r="P9" s="93" t="s">
        <v>111</v>
      </c>
      <c r="Q9" s="93" t="s">
        <v>117</v>
      </c>
      <c r="R9" s="93" t="s">
        <v>20</v>
      </c>
      <c r="S9" s="93" t="s">
        <v>115</v>
      </c>
      <c r="T9" s="93" t="s">
        <v>116</v>
      </c>
      <c r="U9" s="94">
        <v>44642.424305555556</v>
      </c>
      <c r="V9" s="93" t="s">
        <v>7072</v>
      </c>
      <c r="W9" s="93" t="s">
        <v>9</v>
      </c>
    </row>
    <row r="10" spans="1:23" x14ac:dyDescent="0.15">
      <c r="A10" s="93" t="s">
        <v>7087</v>
      </c>
      <c r="B10" s="93" t="s">
        <v>7088</v>
      </c>
      <c r="C10" s="93">
        <v>300</v>
      </c>
      <c r="D10" s="93" t="s">
        <v>24</v>
      </c>
      <c r="E10" s="93" t="s">
        <v>24</v>
      </c>
      <c r="F10" s="93" t="s">
        <v>7070</v>
      </c>
      <c r="G10" s="93" t="s">
        <v>7071</v>
      </c>
      <c r="H10" s="93" t="s">
        <v>11</v>
      </c>
      <c r="I10" s="93" t="s">
        <v>111</v>
      </c>
      <c r="J10" s="93" t="s">
        <v>112</v>
      </c>
      <c r="K10" s="93">
        <v>60</v>
      </c>
      <c r="L10" s="93" t="s">
        <v>111</v>
      </c>
      <c r="M10" s="93" t="s">
        <v>111</v>
      </c>
      <c r="N10" s="93" t="s">
        <v>111</v>
      </c>
      <c r="O10" s="93" t="s">
        <v>111</v>
      </c>
      <c r="P10" s="93" t="s">
        <v>111</v>
      </c>
      <c r="Q10" s="93" t="s">
        <v>117</v>
      </c>
      <c r="R10" s="93" t="s">
        <v>12</v>
      </c>
      <c r="S10" s="93" t="s">
        <v>115</v>
      </c>
      <c r="T10" s="93" t="s">
        <v>116</v>
      </c>
      <c r="U10" s="94">
        <v>44642.490972222222</v>
      </c>
      <c r="V10" s="93" t="s">
        <v>7072</v>
      </c>
      <c r="W10" s="93" t="s">
        <v>9</v>
      </c>
    </row>
    <row r="11" spans="1:23" x14ac:dyDescent="0.15">
      <c r="A11" s="93" t="s">
        <v>7089</v>
      </c>
      <c r="B11" s="93" t="s">
        <v>7090</v>
      </c>
      <c r="C11" s="93">
        <v>216</v>
      </c>
      <c r="D11" s="93" t="s">
        <v>24</v>
      </c>
      <c r="E11" s="93" t="s">
        <v>24</v>
      </c>
      <c r="F11" s="93" t="s">
        <v>7070</v>
      </c>
      <c r="G11" s="93" t="s">
        <v>7071</v>
      </c>
      <c r="H11" s="93" t="s">
        <v>11</v>
      </c>
      <c r="I11" s="93" t="s">
        <v>111</v>
      </c>
      <c r="J11" s="93" t="s">
        <v>112</v>
      </c>
      <c r="K11" s="93">
        <v>60</v>
      </c>
      <c r="L11" s="93">
        <v>1.4</v>
      </c>
      <c r="M11" s="93" t="s">
        <v>113</v>
      </c>
      <c r="N11" s="93">
        <v>10</v>
      </c>
      <c r="O11" s="93">
        <v>29</v>
      </c>
      <c r="P11" s="93">
        <v>57</v>
      </c>
      <c r="Q11" s="93" t="s">
        <v>117</v>
      </c>
      <c r="R11" s="93" t="s">
        <v>20</v>
      </c>
      <c r="S11" s="93" t="s">
        <v>115</v>
      </c>
      <c r="T11" s="93" t="s">
        <v>116</v>
      </c>
      <c r="U11" s="94">
        <v>44642.513194444444</v>
      </c>
      <c r="V11" s="93" t="s">
        <v>7072</v>
      </c>
      <c r="W11" s="93" t="s">
        <v>9</v>
      </c>
    </row>
    <row r="12" spans="1:23" x14ac:dyDescent="0.15">
      <c r="A12" s="93" t="s">
        <v>7091</v>
      </c>
      <c r="B12" s="93" t="s">
        <v>7092</v>
      </c>
      <c r="C12" s="93">
        <v>72</v>
      </c>
      <c r="D12" s="93" t="s">
        <v>24</v>
      </c>
      <c r="E12" s="93" t="s">
        <v>24</v>
      </c>
      <c r="F12" s="93" t="s">
        <v>7070</v>
      </c>
      <c r="G12" s="93" t="s">
        <v>7071</v>
      </c>
      <c r="H12" s="93" t="s">
        <v>11</v>
      </c>
      <c r="I12" s="93" t="s">
        <v>111</v>
      </c>
      <c r="J12" s="93" t="s">
        <v>112</v>
      </c>
      <c r="K12" s="93">
        <v>60</v>
      </c>
      <c r="L12" s="93" t="s">
        <v>111</v>
      </c>
      <c r="M12" s="93" t="s">
        <v>111</v>
      </c>
      <c r="N12" s="93" t="s">
        <v>111</v>
      </c>
      <c r="O12" s="93" t="s">
        <v>111</v>
      </c>
      <c r="P12" s="93" t="s">
        <v>111</v>
      </c>
      <c r="Q12" s="93" t="s">
        <v>117</v>
      </c>
      <c r="R12" s="93" t="s">
        <v>2</v>
      </c>
      <c r="S12" s="93" t="s">
        <v>115</v>
      </c>
      <c r="T12" s="93" t="s">
        <v>116</v>
      </c>
      <c r="U12" s="94">
        <v>44642.424305555556</v>
      </c>
      <c r="V12" s="93" t="s">
        <v>7072</v>
      </c>
      <c r="W12" s="93" t="s">
        <v>9</v>
      </c>
    </row>
    <row r="13" spans="1:23" x14ac:dyDescent="0.15">
      <c r="A13" s="93" t="s">
        <v>7093</v>
      </c>
      <c r="B13" s="93" t="s">
        <v>7094</v>
      </c>
      <c r="C13" s="93">
        <v>78</v>
      </c>
      <c r="D13" s="93" t="s">
        <v>24</v>
      </c>
      <c r="E13" s="93" t="s">
        <v>24</v>
      </c>
      <c r="F13" s="93" t="s">
        <v>7070</v>
      </c>
      <c r="G13" s="93" t="s">
        <v>7071</v>
      </c>
      <c r="H13" s="93" t="s">
        <v>11</v>
      </c>
      <c r="I13" s="93" t="s">
        <v>111</v>
      </c>
      <c r="J13" s="93" t="s">
        <v>112</v>
      </c>
      <c r="K13" s="93">
        <v>60</v>
      </c>
      <c r="L13" s="93">
        <v>0.1</v>
      </c>
      <c r="M13" s="93" t="s">
        <v>113</v>
      </c>
      <c r="N13" s="93" t="s">
        <v>111</v>
      </c>
      <c r="O13" s="93" t="s">
        <v>111</v>
      </c>
      <c r="P13" s="93">
        <v>19.5</v>
      </c>
      <c r="Q13" s="93" t="s">
        <v>117</v>
      </c>
      <c r="R13" s="93" t="s">
        <v>2</v>
      </c>
      <c r="S13" s="93" t="s">
        <v>115</v>
      </c>
      <c r="T13" s="93" t="s">
        <v>116</v>
      </c>
      <c r="U13" s="94">
        <v>44642.424305555556</v>
      </c>
      <c r="V13" s="93" t="s">
        <v>7072</v>
      </c>
      <c r="W13" s="93" t="s">
        <v>9</v>
      </c>
    </row>
    <row r="14" spans="1:23" x14ac:dyDescent="0.15">
      <c r="A14" s="93" t="s">
        <v>7095</v>
      </c>
      <c r="B14" s="93" t="s">
        <v>7096</v>
      </c>
      <c r="C14" s="93">
        <v>60</v>
      </c>
      <c r="D14" s="93" t="s">
        <v>24</v>
      </c>
      <c r="E14" s="93" t="s">
        <v>24</v>
      </c>
      <c r="F14" s="93" t="s">
        <v>7070</v>
      </c>
      <c r="G14" s="93" t="s">
        <v>7071</v>
      </c>
      <c r="H14" s="93" t="s">
        <v>11</v>
      </c>
      <c r="I14" s="93" t="s">
        <v>111</v>
      </c>
      <c r="J14" s="93" t="s">
        <v>112</v>
      </c>
      <c r="K14" s="93">
        <v>60</v>
      </c>
      <c r="L14" s="93" t="s">
        <v>111</v>
      </c>
      <c r="M14" s="93" t="s">
        <v>111</v>
      </c>
      <c r="N14" s="93" t="s">
        <v>111</v>
      </c>
      <c r="O14" s="93" t="s">
        <v>111</v>
      </c>
      <c r="P14" s="93" t="s">
        <v>111</v>
      </c>
      <c r="Q14" s="93" t="s">
        <v>117</v>
      </c>
      <c r="R14" s="93" t="s">
        <v>20</v>
      </c>
      <c r="S14" s="93" t="s">
        <v>115</v>
      </c>
      <c r="T14" s="93" t="s">
        <v>116</v>
      </c>
      <c r="U14" s="94">
        <v>44642.424305555556</v>
      </c>
      <c r="V14" s="93" t="s">
        <v>7072</v>
      </c>
      <c r="W14" s="93" t="s">
        <v>9</v>
      </c>
    </row>
    <row r="15" spans="1:23" x14ac:dyDescent="0.15">
      <c r="A15" s="93" t="s">
        <v>7097</v>
      </c>
      <c r="B15" s="93" t="s">
        <v>7098</v>
      </c>
      <c r="C15" s="93">
        <v>360</v>
      </c>
      <c r="D15" s="93" t="s">
        <v>24</v>
      </c>
      <c r="E15" s="93" t="s">
        <v>24</v>
      </c>
      <c r="F15" s="93" t="s">
        <v>7070</v>
      </c>
      <c r="G15" s="93" t="s">
        <v>7071</v>
      </c>
      <c r="H15" s="93" t="s">
        <v>11</v>
      </c>
      <c r="I15" s="93" t="s">
        <v>111</v>
      </c>
      <c r="J15" s="93" t="s">
        <v>112</v>
      </c>
      <c r="K15" s="93">
        <v>60</v>
      </c>
      <c r="L15" s="93" t="s">
        <v>111</v>
      </c>
      <c r="M15" s="93" t="s">
        <v>111</v>
      </c>
      <c r="N15" s="93" t="s">
        <v>111</v>
      </c>
      <c r="O15" s="93" t="s">
        <v>111</v>
      </c>
      <c r="P15" s="93" t="s">
        <v>111</v>
      </c>
      <c r="Q15" s="93" t="s">
        <v>117</v>
      </c>
      <c r="R15" s="93" t="s">
        <v>20</v>
      </c>
      <c r="S15" s="93" t="s">
        <v>115</v>
      </c>
      <c r="T15" s="93" t="s">
        <v>116</v>
      </c>
      <c r="U15" s="94">
        <v>44642.424305555556</v>
      </c>
      <c r="V15" s="93" t="s">
        <v>7072</v>
      </c>
      <c r="W15" s="93" t="s">
        <v>9</v>
      </c>
    </row>
    <row r="16" spans="1:23" x14ac:dyDescent="0.15">
      <c r="A16" s="93" t="s">
        <v>7099</v>
      </c>
      <c r="B16" s="93" t="s">
        <v>7100</v>
      </c>
      <c r="C16" s="93">
        <v>180</v>
      </c>
      <c r="D16" s="93" t="s">
        <v>24</v>
      </c>
      <c r="E16" s="93" t="s">
        <v>24</v>
      </c>
      <c r="F16" s="93" t="s">
        <v>7070</v>
      </c>
      <c r="G16" s="93" t="s">
        <v>7071</v>
      </c>
      <c r="H16" s="93" t="s">
        <v>11</v>
      </c>
      <c r="I16" s="93" t="s">
        <v>111</v>
      </c>
      <c r="J16" s="93" t="s">
        <v>112</v>
      </c>
      <c r="K16" s="93">
        <v>60</v>
      </c>
      <c r="L16" s="93">
        <v>0.38550000000000001</v>
      </c>
      <c r="M16" s="93" t="s">
        <v>113</v>
      </c>
      <c r="N16" s="93">
        <v>5.8419999999999996</v>
      </c>
      <c r="O16" s="93">
        <v>26.161999999999999</v>
      </c>
      <c r="P16" s="93">
        <v>11.43</v>
      </c>
      <c r="Q16" s="93" t="s">
        <v>117</v>
      </c>
      <c r="R16" s="93" t="s">
        <v>20</v>
      </c>
      <c r="S16" s="93" t="s">
        <v>115</v>
      </c>
      <c r="T16" s="93" t="s">
        <v>116</v>
      </c>
      <c r="U16" s="94">
        <v>44642.446527777778</v>
      </c>
      <c r="V16" s="93" t="s">
        <v>7072</v>
      </c>
      <c r="W16" s="93" t="s">
        <v>9</v>
      </c>
    </row>
    <row r="17" spans="1:23" x14ac:dyDescent="0.15">
      <c r="A17" s="93" t="s">
        <v>7101</v>
      </c>
      <c r="B17" s="93" t="s">
        <v>7102</v>
      </c>
      <c r="C17" s="93">
        <v>0</v>
      </c>
      <c r="D17" s="93" t="s">
        <v>24</v>
      </c>
      <c r="E17" s="93" t="s">
        <v>24</v>
      </c>
      <c r="F17" s="93" t="s">
        <v>7103</v>
      </c>
      <c r="G17" s="93" t="s">
        <v>7104</v>
      </c>
      <c r="H17" s="93" t="s">
        <v>118</v>
      </c>
      <c r="I17" s="93" t="s">
        <v>111</v>
      </c>
      <c r="J17" s="93" t="s">
        <v>7105</v>
      </c>
      <c r="K17" s="93" t="s">
        <v>111</v>
      </c>
      <c r="L17" s="93" t="s">
        <v>111</v>
      </c>
      <c r="M17" s="93" t="s">
        <v>111</v>
      </c>
      <c r="N17" s="93" t="s">
        <v>111</v>
      </c>
      <c r="O17" s="93" t="s">
        <v>111</v>
      </c>
      <c r="P17" s="93" t="s">
        <v>111</v>
      </c>
      <c r="Q17" s="93" t="s">
        <v>111</v>
      </c>
      <c r="R17" s="93" t="s">
        <v>2</v>
      </c>
      <c r="S17" s="93" t="s">
        <v>111</v>
      </c>
      <c r="T17" s="93" t="s">
        <v>119</v>
      </c>
      <c r="U17" s="94">
        <v>44588.189583333333</v>
      </c>
      <c r="V17" s="93" t="s">
        <v>7072</v>
      </c>
      <c r="W17" s="93" t="s">
        <v>24</v>
      </c>
    </row>
    <row r="18" spans="1:23" x14ac:dyDescent="0.15">
      <c r="A18" s="93" t="s">
        <v>7106</v>
      </c>
      <c r="B18" s="93" t="s">
        <v>7107</v>
      </c>
      <c r="C18" s="93">
        <v>39</v>
      </c>
      <c r="D18" s="93" t="s">
        <v>24</v>
      </c>
      <c r="E18" s="93" t="s">
        <v>24</v>
      </c>
      <c r="F18" s="93" t="s">
        <v>7070</v>
      </c>
      <c r="G18" s="93" t="s">
        <v>7108</v>
      </c>
      <c r="H18" s="93" t="s">
        <v>118</v>
      </c>
      <c r="I18" s="93" t="s">
        <v>111</v>
      </c>
      <c r="J18" s="93" t="s">
        <v>118</v>
      </c>
      <c r="K18" s="93">
        <v>3</v>
      </c>
      <c r="L18" s="93" t="s">
        <v>111</v>
      </c>
      <c r="M18" s="93" t="s">
        <v>111</v>
      </c>
      <c r="N18" s="93" t="s">
        <v>111</v>
      </c>
      <c r="O18" s="93" t="s">
        <v>111</v>
      </c>
      <c r="P18" s="93" t="s">
        <v>111</v>
      </c>
      <c r="Q18" s="93" t="s">
        <v>228</v>
      </c>
      <c r="R18" s="93" t="s">
        <v>2</v>
      </c>
      <c r="S18" s="93" t="s">
        <v>115</v>
      </c>
      <c r="T18" s="93" t="s">
        <v>116</v>
      </c>
      <c r="U18" s="94">
        <v>44602.411805555559</v>
      </c>
      <c r="V18" s="93" t="s">
        <v>402</v>
      </c>
      <c r="W18" s="93" t="s">
        <v>24</v>
      </c>
    </row>
    <row r="19" spans="1:23" x14ac:dyDescent="0.15">
      <c r="A19" s="93" t="s">
        <v>7109</v>
      </c>
      <c r="B19" s="93" t="s">
        <v>7110</v>
      </c>
      <c r="C19" s="93">
        <v>44</v>
      </c>
      <c r="D19" s="93" t="s">
        <v>24</v>
      </c>
      <c r="E19" s="93" t="s">
        <v>24</v>
      </c>
      <c r="F19" s="93" t="s">
        <v>7070</v>
      </c>
      <c r="G19" s="93" t="s">
        <v>7108</v>
      </c>
      <c r="H19" s="93" t="s">
        <v>118</v>
      </c>
      <c r="I19" s="93" t="s">
        <v>111</v>
      </c>
      <c r="J19" s="93" t="s">
        <v>118</v>
      </c>
      <c r="K19" s="93">
        <v>3</v>
      </c>
      <c r="L19" s="93" t="s">
        <v>111</v>
      </c>
      <c r="M19" s="93" t="s">
        <v>111</v>
      </c>
      <c r="N19" s="93" t="s">
        <v>111</v>
      </c>
      <c r="O19" s="93" t="s">
        <v>111</v>
      </c>
      <c r="P19" s="93" t="s">
        <v>111</v>
      </c>
      <c r="Q19" s="93" t="s">
        <v>228</v>
      </c>
      <c r="R19" s="93" t="s">
        <v>2</v>
      </c>
      <c r="S19" s="93" t="s">
        <v>115</v>
      </c>
      <c r="T19" s="93" t="s">
        <v>116</v>
      </c>
      <c r="U19" s="94">
        <v>44602.902083333334</v>
      </c>
      <c r="V19" s="93" t="s">
        <v>402</v>
      </c>
      <c r="W19" s="93" t="s">
        <v>24</v>
      </c>
    </row>
    <row r="20" spans="1:23" x14ac:dyDescent="0.15">
      <c r="A20" s="93" t="s">
        <v>7027</v>
      </c>
      <c r="B20" s="93" t="s">
        <v>7030</v>
      </c>
      <c r="C20" s="93">
        <v>68</v>
      </c>
      <c r="D20" s="93" t="s">
        <v>24</v>
      </c>
      <c r="E20" s="93" t="s">
        <v>24</v>
      </c>
      <c r="F20" s="93" t="s">
        <v>7070</v>
      </c>
      <c r="G20" s="93" t="s">
        <v>7108</v>
      </c>
      <c r="H20" s="93" t="s">
        <v>118</v>
      </c>
      <c r="I20" s="93" t="s">
        <v>111</v>
      </c>
      <c r="J20" s="93" t="s">
        <v>118</v>
      </c>
      <c r="K20" s="93">
        <v>3</v>
      </c>
      <c r="L20" s="93" t="s">
        <v>111</v>
      </c>
      <c r="M20" s="93" t="s">
        <v>111</v>
      </c>
      <c r="N20" s="93" t="s">
        <v>111</v>
      </c>
      <c r="O20" s="93" t="s">
        <v>111</v>
      </c>
      <c r="P20" s="93" t="s">
        <v>111</v>
      </c>
      <c r="Q20" s="93" t="s">
        <v>228</v>
      </c>
      <c r="R20" s="93" t="s">
        <v>2</v>
      </c>
      <c r="S20" s="93" t="s">
        <v>115</v>
      </c>
      <c r="T20" s="93" t="s">
        <v>116</v>
      </c>
      <c r="U20" s="94">
        <v>44629.552777777775</v>
      </c>
      <c r="V20" s="93" t="s">
        <v>402</v>
      </c>
      <c r="W20" s="93" t="s">
        <v>24</v>
      </c>
    </row>
    <row r="21" spans="1:23" x14ac:dyDescent="0.15">
      <c r="A21" s="93" t="s">
        <v>7037</v>
      </c>
      <c r="B21" s="93" t="s">
        <v>7038</v>
      </c>
      <c r="C21" s="93">
        <v>99</v>
      </c>
      <c r="D21" s="93" t="s">
        <v>24</v>
      </c>
      <c r="E21" s="93" t="s">
        <v>24</v>
      </c>
      <c r="F21" s="93" t="s">
        <v>7070</v>
      </c>
      <c r="G21" s="93" t="s">
        <v>7108</v>
      </c>
      <c r="H21" s="93" t="s">
        <v>118</v>
      </c>
      <c r="I21" s="93" t="s">
        <v>111</v>
      </c>
      <c r="J21" s="93" t="s">
        <v>118</v>
      </c>
      <c r="K21" s="93">
        <v>3</v>
      </c>
      <c r="L21" s="93" t="s">
        <v>111</v>
      </c>
      <c r="M21" s="93" t="s">
        <v>111</v>
      </c>
      <c r="N21" s="93" t="s">
        <v>111</v>
      </c>
      <c r="O21" s="93" t="s">
        <v>111</v>
      </c>
      <c r="P21" s="93" t="s">
        <v>111</v>
      </c>
      <c r="Q21" s="93" t="s">
        <v>228</v>
      </c>
      <c r="R21" s="93" t="s">
        <v>2</v>
      </c>
      <c r="S21" s="93" t="s">
        <v>115</v>
      </c>
      <c r="T21" s="93" t="s">
        <v>116</v>
      </c>
      <c r="U21" s="94">
        <v>44629.552777777775</v>
      </c>
      <c r="V21" s="93" t="s">
        <v>402</v>
      </c>
      <c r="W21" s="93" t="s">
        <v>24</v>
      </c>
    </row>
    <row r="22" spans="1:23" x14ac:dyDescent="0.15">
      <c r="A22" s="93" t="s">
        <v>7047</v>
      </c>
      <c r="B22" s="93" t="s">
        <v>7048</v>
      </c>
      <c r="C22" s="93">
        <v>104</v>
      </c>
      <c r="D22" s="93" t="s">
        <v>24</v>
      </c>
      <c r="E22" s="93" t="s">
        <v>24</v>
      </c>
      <c r="F22" s="93" t="s">
        <v>7070</v>
      </c>
      <c r="G22" s="93" t="s">
        <v>7108</v>
      </c>
      <c r="H22" s="93" t="s">
        <v>118</v>
      </c>
      <c r="I22" s="93" t="s">
        <v>111</v>
      </c>
      <c r="J22" s="93" t="s">
        <v>118</v>
      </c>
      <c r="K22" s="93">
        <v>3</v>
      </c>
      <c r="L22" s="93" t="s">
        <v>111</v>
      </c>
      <c r="M22" s="93" t="s">
        <v>111</v>
      </c>
      <c r="N22" s="93" t="s">
        <v>111</v>
      </c>
      <c r="O22" s="93" t="s">
        <v>111</v>
      </c>
      <c r="P22" s="93" t="s">
        <v>111</v>
      </c>
      <c r="Q22" s="93" t="s">
        <v>228</v>
      </c>
      <c r="R22" s="93" t="s">
        <v>2</v>
      </c>
      <c r="S22" s="93" t="s">
        <v>115</v>
      </c>
      <c r="T22" s="93" t="s">
        <v>116</v>
      </c>
      <c r="U22" s="94">
        <v>44629.553472222222</v>
      </c>
      <c r="V22" s="93" t="s">
        <v>402</v>
      </c>
      <c r="W22" s="93" t="s">
        <v>24</v>
      </c>
    </row>
    <row r="23" spans="1:23" x14ac:dyDescent="0.15">
      <c r="A23" s="93" t="s">
        <v>7111</v>
      </c>
      <c r="B23" s="93" t="s">
        <v>7112</v>
      </c>
      <c r="C23" s="93">
        <v>371</v>
      </c>
      <c r="D23" s="93" t="s">
        <v>24</v>
      </c>
      <c r="E23" s="93" t="s">
        <v>24</v>
      </c>
      <c r="F23" s="93" t="s">
        <v>5978</v>
      </c>
      <c r="G23" s="93" t="s">
        <v>7108</v>
      </c>
      <c r="H23" s="93" t="s">
        <v>118</v>
      </c>
      <c r="I23" s="93" t="s">
        <v>111</v>
      </c>
      <c r="J23" s="93" t="s">
        <v>118</v>
      </c>
      <c r="K23" s="93">
        <v>3</v>
      </c>
      <c r="L23" s="93" t="s">
        <v>111</v>
      </c>
      <c r="M23" s="93" t="s">
        <v>111</v>
      </c>
      <c r="N23" s="93" t="s">
        <v>111</v>
      </c>
      <c r="O23" s="93" t="s">
        <v>111</v>
      </c>
      <c r="P23" s="93" t="s">
        <v>111</v>
      </c>
      <c r="Q23" s="93" t="s">
        <v>228</v>
      </c>
      <c r="R23" s="93" t="s">
        <v>2</v>
      </c>
      <c r="S23" s="93" t="s">
        <v>115</v>
      </c>
      <c r="T23" s="93" t="s">
        <v>116</v>
      </c>
      <c r="U23" s="94">
        <v>44602.406944444447</v>
      </c>
      <c r="V23" s="93" t="s">
        <v>402</v>
      </c>
      <c r="W23" s="93" t="s">
        <v>24</v>
      </c>
    </row>
    <row r="24" spans="1:23" x14ac:dyDescent="0.15">
      <c r="A24" s="93" t="s">
        <v>7113</v>
      </c>
      <c r="B24" s="93" t="s">
        <v>7114</v>
      </c>
      <c r="C24" s="93">
        <v>25</v>
      </c>
      <c r="D24" s="93" t="s">
        <v>24</v>
      </c>
      <c r="E24" s="93" t="s">
        <v>24</v>
      </c>
      <c r="F24" s="93" t="s">
        <v>5978</v>
      </c>
      <c r="G24" s="93" t="s">
        <v>7108</v>
      </c>
      <c r="H24" s="93" t="s">
        <v>118</v>
      </c>
      <c r="I24" s="93" t="s">
        <v>111</v>
      </c>
      <c r="J24" s="93" t="s">
        <v>118</v>
      </c>
      <c r="K24" s="93">
        <v>3</v>
      </c>
      <c r="L24" s="93" t="s">
        <v>111</v>
      </c>
      <c r="M24" s="93" t="s">
        <v>111</v>
      </c>
      <c r="N24" s="93" t="s">
        <v>111</v>
      </c>
      <c r="O24" s="93" t="s">
        <v>111</v>
      </c>
      <c r="P24" s="93" t="s">
        <v>111</v>
      </c>
      <c r="Q24" s="93" t="s">
        <v>228</v>
      </c>
      <c r="R24" s="93" t="s">
        <v>2</v>
      </c>
      <c r="S24" s="93" t="s">
        <v>115</v>
      </c>
      <c r="T24" s="93" t="s">
        <v>116</v>
      </c>
      <c r="U24" s="94">
        <v>44602.411805555559</v>
      </c>
      <c r="V24" s="93" t="s">
        <v>402</v>
      </c>
      <c r="W24" s="93" t="s">
        <v>24</v>
      </c>
    </row>
    <row r="25" spans="1:23" x14ac:dyDescent="0.15">
      <c r="A25" s="93" t="s">
        <v>7115</v>
      </c>
      <c r="B25" s="93" t="s">
        <v>7116</v>
      </c>
      <c r="C25" s="93">
        <v>22</v>
      </c>
      <c r="D25" s="93" t="s">
        <v>24</v>
      </c>
      <c r="E25" s="93" t="s">
        <v>24</v>
      </c>
      <c r="F25" s="93" t="s">
        <v>7070</v>
      </c>
      <c r="G25" s="93" t="s">
        <v>7108</v>
      </c>
      <c r="H25" s="93" t="s">
        <v>118</v>
      </c>
      <c r="I25" s="93" t="s">
        <v>111</v>
      </c>
      <c r="J25" s="93" t="s">
        <v>118</v>
      </c>
      <c r="K25" s="93">
        <v>3</v>
      </c>
      <c r="L25" s="93" t="s">
        <v>111</v>
      </c>
      <c r="M25" s="93" t="s">
        <v>111</v>
      </c>
      <c r="N25" s="93" t="s">
        <v>111</v>
      </c>
      <c r="O25" s="93" t="s">
        <v>111</v>
      </c>
      <c r="P25" s="93" t="s">
        <v>111</v>
      </c>
      <c r="Q25" s="93" t="s">
        <v>228</v>
      </c>
      <c r="R25" s="93" t="s">
        <v>2</v>
      </c>
      <c r="S25" s="93" t="s">
        <v>115</v>
      </c>
      <c r="T25" s="93" t="s">
        <v>116</v>
      </c>
      <c r="U25" s="94">
        <v>44617.905555555553</v>
      </c>
      <c r="V25" s="93" t="s">
        <v>402</v>
      </c>
      <c r="W25" s="93" t="s">
        <v>24</v>
      </c>
    </row>
    <row r="26" spans="1:23" x14ac:dyDescent="0.15">
      <c r="A26" s="93" t="s">
        <v>7117</v>
      </c>
      <c r="B26" s="93" t="s">
        <v>7118</v>
      </c>
      <c r="C26" s="93">
        <v>22</v>
      </c>
      <c r="D26" s="93" t="s">
        <v>24</v>
      </c>
      <c r="E26" s="93" t="s">
        <v>24</v>
      </c>
      <c r="F26" s="93" t="s">
        <v>7070</v>
      </c>
      <c r="G26" s="93" t="s">
        <v>7108</v>
      </c>
      <c r="H26" s="93" t="s">
        <v>118</v>
      </c>
      <c r="I26" s="93" t="s">
        <v>111</v>
      </c>
      <c r="J26" s="93" t="s">
        <v>118</v>
      </c>
      <c r="K26" s="93">
        <v>3</v>
      </c>
      <c r="L26" s="93" t="s">
        <v>111</v>
      </c>
      <c r="M26" s="93" t="s">
        <v>111</v>
      </c>
      <c r="N26" s="93" t="s">
        <v>111</v>
      </c>
      <c r="O26" s="93" t="s">
        <v>111</v>
      </c>
      <c r="P26" s="93" t="s">
        <v>111</v>
      </c>
      <c r="Q26" s="93" t="s">
        <v>228</v>
      </c>
      <c r="R26" s="93" t="s">
        <v>2</v>
      </c>
      <c r="S26" s="93" t="s">
        <v>115</v>
      </c>
      <c r="T26" s="93" t="s">
        <v>116</v>
      </c>
      <c r="U26" s="94">
        <v>44617.906944444447</v>
      </c>
      <c r="V26" s="93" t="s">
        <v>402</v>
      </c>
      <c r="W26" s="93" t="s">
        <v>24</v>
      </c>
    </row>
    <row r="27" spans="1:23" x14ac:dyDescent="0.15">
      <c r="A27" s="93" t="s">
        <v>7119</v>
      </c>
      <c r="B27" s="93" t="s">
        <v>7120</v>
      </c>
      <c r="C27" s="93">
        <v>70</v>
      </c>
      <c r="D27" s="93" t="s">
        <v>24</v>
      </c>
      <c r="E27" s="93" t="s">
        <v>24</v>
      </c>
      <c r="F27" s="93" t="s">
        <v>7070</v>
      </c>
      <c r="G27" s="93" t="s">
        <v>7108</v>
      </c>
      <c r="H27" s="93" t="s">
        <v>118</v>
      </c>
      <c r="I27" s="93" t="s">
        <v>111</v>
      </c>
      <c r="J27" s="93" t="s">
        <v>118</v>
      </c>
      <c r="K27" s="93">
        <v>3</v>
      </c>
      <c r="L27" s="93" t="s">
        <v>111</v>
      </c>
      <c r="M27" s="93" t="s">
        <v>111</v>
      </c>
      <c r="N27" s="93" t="s">
        <v>111</v>
      </c>
      <c r="O27" s="93" t="s">
        <v>111</v>
      </c>
      <c r="P27" s="93" t="s">
        <v>111</v>
      </c>
      <c r="Q27" s="93" t="s">
        <v>228</v>
      </c>
      <c r="R27" s="93" t="s">
        <v>2</v>
      </c>
      <c r="S27" s="93" t="s">
        <v>115</v>
      </c>
      <c r="T27" s="93" t="s">
        <v>116</v>
      </c>
      <c r="U27" s="94">
        <v>44602.406944444447</v>
      </c>
      <c r="V27" s="93" t="s">
        <v>402</v>
      </c>
      <c r="W27" s="93" t="s">
        <v>24</v>
      </c>
    </row>
    <row r="28" spans="1:23" x14ac:dyDescent="0.15">
      <c r="A28" s="93" t="s">
        <v>7121</v>
      </c>
      <c r="B28" s="93" t="s">
        <v>7122</v>
      </c>
      <c r="C28" s="93">
        <v>79</v>
      </c>
      <c r="D28" s="93" t="s">
        <v>24</v>
      </c>
      <c r="E28" s="93" t="s">
        <v>24</v>
      </c>
      <c r="F28" s="93" t="s">
        <v>7070</v>
      </c>
      <c r="G28" s="93" t="s">
        <v>7108</v>
      </c>
      <c r="H28" s="93" t="s">
        <v>118</v>
      </c>
      <c r="I28" s="93" t="s">
        <v>111</v>
      </c>
      <c r="J28" s="93" t="s">
        <v>118</v>
      </c>
      <c r="K28" s="93">
        <v>3</v>
      </c>
      <c r="L28" s="93" t="s">
        <v>111</v>
      </c>
      <c r="M28" s="93" t="s">
        <v>111</v>
      </c>
      <c r="N28" s="93" t="s">
        <v>111</v>
      </c>
      <c r="O28" s="93" t="s">
        <v>111</v>
      </c>
      <c r="P28" s="93" t="s">
        <v>111</v>
      </c>
      <c r="Q28" s="93" t="s">
        <v>228</v>
      </c>
      <c r="R28" s="93" t="s">
        <v>2</v>
      </c>
      <c r="S28" s="93" t="s">
        <v>115</v>
      </c>
      <c r="T28" s="93" t="s">
        <v>116</v>
      </c>
      <c r="U28" s="94">
        <v>44602.90347222222</v>
      </c>
      <c r="V28" s="93" t="s">
        <v>402</v>
      </c>
      <c r="W28" s="93" t="s">
        <v>24</v>
      </c>
    </row>
    <row r="29" spans="1:23" x14ac:dyDescent="0.15">
      <c r="A29" s="93" t="s">
        <v>7028</v>
      </c>
      <c r="B29" s="93" t="s">
        <v>7031</v>
      </c>
      <c r="C29" s="93">
        <v>121</v>
      </c>
      <c r="D29" s="93" t="s">
        <v>24</v>
      </c>
      <c r="E29" s="93" t="s">
        <v>24</v>
      </c>
      <c r="F29" s="93" t="s">
        <v>7070</v>
      </c>
      <c r="G29" s="93" t="s">
        <v>7108</v>
      </c>
      <c r="H29" s="93" t="s">
        <v>118</v>
      </c>
      <c r="I29" s="93" t="s">
        <v>111</v>
      </c>
      <c r="J29" s="93" t="s">
        <v>118</v>
      </c>
      <c r="K29" s="93">
        <v>3</v>
      </c>
      <c r="L29" s="93" t="s">
        <v>111</v>
      </c>
      <c r="M29" s="93" t="s">
        <v>111</v>
      </c>
      <c r="N29" s="93" t="s">
        <v>111</v>
      </c>
      <c r="O29" s="93" t="s">
        <v>111</v>
      </c>
      <c r="P29" s="93" t="s">
        <v>111</v>
      </c>
      <c r="Q29" s="93" t="s">
        <v>228</v>
      </c>
      <c r="R29" s="93" t="s">
        <v>2</v>
      </c>
      <c r="S29" s="93" t="s">
        <v>115</v>
      </c>
      <c r="T29" s="93" t="s">
        <v>116</v>
      </c>
      <c r="U29" s="94">
        <v>44629.552777777775</v>
      </c>
      <c r="V29" s="93" t="s">
        <v>402</v>
      </c>
      <c r="W29" s="93" t="s">
        <v>24</v>
      </c>
    </row>
    <row r="30" spans="1:23" x14ac:dyDescent="0.15">
      <c r="A30" s="93" t="s">
        <v>7039</v>
      </c>
      <c r="B30" s="93" t="s">
        <v>7040</v>
      </c>
      <c r="C30" s="93">
        <v>176</v>
      </c>
      <c r="D30" s="93" t="s">
        <v>24</v>
      </c>
      <c r="E30" s="93" t="s">
        <v>24</v>
      </c>
      <c r="F30" s="93" t="s">
        <v>7070</v>
      </c>
      <c r="G30" s="93" t="s">
        <v>7108</v>
      </c>
      <c r="H30" s="93" t="s">
        <v>118</v>
      </c>
      <c r="I30" s="93" t="s">
        <v>111</v>
      </c>
      <c r="J30" s="93" t="s">
        <v>118</v>
      </c>
      <c r="K30" s="93">
        <v>3</v>
      </c>
      <c r="L30" s="93" t="s">
        <v>111</v>
      </c>
      <c r="M30" s="93" t="s">
        <v>111</v>
      </c>
      <c r="N30" s="93" t="s">
        <v>111</v>
      </c>
      <c r="O30" s="93" t="s">
        <v>111</v>
      </c>
      <c r="P30" s="93" t="s">
        <v>111</v>
      </c>
      <c r="Q30" s="93" t="s">
        <v>228</v>
      </c>
      <c r="R30" s="93" t="s">
        <v>2</v>
      </c>
      <c r="S30" s="93" t="s">
        <v>115</v>
      </c>
      <c r="T30" s="93" t="s">
        <v>116</v>
      </c>
      <c r="U30" s="94">
        <v>44629.552777777775</v>
      </c>
      <c r="V30" s="93" t="s">
        <v>402</v>
      </c>
      <c r="W30" s="93" t="s">
        <v>24</v>
      </c>
    </row>
    <row r="31" spans="1:23" x14ac:dyDescent="0.15">
      <c r="A31" s="93" t="s">
        <v>7049</v>
      </c>
      <c r="B31" s="93" t="s">
        <v>7050</v>
      </c>
      <c r="C31" s="93">
        <v>185</v>
      </c>
      <c r="D31" s="93" t="s">
        <v>24</v>
      </c>
      <c r="E31" s="93" t="s">
        <v>24</v>
      </c>
      <c r="F31" s="93" t="s">
        <v>7070</v>
      </c>
      <c r="G31" s="93" t="s">
        <v>7108</v>
      </c>
      <c r="H31" s="93" t="s">
        <v>118</v>
      </c>
      <c r="I31" s="93" t="s">
        <v>111</v>
      </c>
      <c r="J31" s="93" t="s">
        <v>118</v>
      </c>
      <c r="K31" s="93">
        <v>3</v>
      </c>
      <c r="L31" s="93" t="s">
        <v>111</v>
      </c>
      <c r="M31" s="93" t="s">
        <v>111</v>
      </c>
      <c r="N31" s="93" t="s">
        <v>111</v>
      </c>
      <c r="O31" s="93" t="s">
        <v>111</v>
      </c>
      <c r="P31" s="93" t="s">
        <v>111</v>
      </c>
      <c r="Q31" s="93" t="s">
        <v>228</v>
      </c>
      <c r="R31" s="93" t="s">
        <v>2</v>
      </c>
      <c r="S31" s="93" t="s">
        <v>115</v>
      </c>
      <c r="T31" s="93" t="s">
        <v>116</v>
      </c>
      <c r="U31" s="94">
        <v>44629.553472222222</v>
      </c>
      <c r="V31" s="93" t="s">
        <v>402</v>
      </c>
      <c r="W31" s="93" t="s">
        <v>24</v>
      </c>
    </row>
    <row r="32" spans="1:23" x14ac:dyDescent="0.15">
      <c r="A32" s="93" t="s">
        <v>7123</v>
      </c>
      <c r="B32" s="93" t="s">
        <v>7124</v>
      </c>
      <c r="C32" s="93">
        <v>661</v>
      </c>
      <c r="D32" s="93" t="s">
        <v>24</v>
      </c>
      <c r="E32" s="93" t="s">
        <v>24</v>
      </c>
      <c r="F32" s="93" t="s">
        <v>5978</v>
      </c>
      <c r="G32" s="93" t="s">
        <v>7108</v>
      </c>
      <c r="H32" s="93" t="s">
        <v>118</v>
      </c>
      <c r="I32" s="93" t="s">
        <v>111</v>
      </c>
      <c r="J32" s="93" t="s">
        <v>118</v>
      </c>
      <c r="K32" s="93">
        <v>3</v>
      </c>
      <c r="L32" s="93" t="s">
        <v>111</v>
      </c>
      <c r="M32" s="93" t="s">
        <v>111</v>
      </c>
      <c r="N32" s="93" t="s">
        <v>111</v>
      </c>
      <c r="O32" s="93" t="s">
        <v>111</v>
      </c>
      <c r="P32" s="93" t="s">
        <v>111</v>
      </c>
      <c r="Q32" s="93" t="s">
        <v>228</v>
      </c>
      <c r="R32" s="93" t="s">
        <v>2</v>
      </c>
      <c r="S32" s="93" t="s">
        <v>115</v>
      </c>
      <c r="T32" s="93" t="s">
        <v>116</v>
      </c>
      <c r="U32" s="94">
        <v>44602.406944444447</v>
      </c>
      <c r="V32" s="93" t="s">
        <v>402</v>
      </c>
      <c r="W32" s="93" t="s">
        <v>24</v>
      </c>
    </row>
    <row r="33" spans="1:23" x14ac:dyDescent="0.15">
      <c r="A33" s="93" t="s">
        <v>7125</v>
      </c>
      <c r="B33" s="93" t="s">
        <v>7126</v>
      </c>
      <c r="C33" s="93">
        <v>45</v>
      </c>
      <c r="D33" s="93" t="s">
        <v>24</v>
      </c>
      <c r="E33" s="93" t="s">
        <v>24</v>
      </c>
      <c r="F33" s="93" t="s">
        <v>5978</v>
      </c>
      <c r="G33" s="93" t="s">
        <v>7108</v>
      </c>
      <c r="H33" s="93" t="s">
        <v>118</v>
      </c>
      <c r="I33" s="93" t="s">
        <v>111</v>
      </c>
      <c r="J33" s="93" t="s">
        <v>118</v>
      </c>
      <c r="K33" s="93">
        <v>3</v>
      </c>
      <c r="L33" s="93" t="s">
        <v>111</v>
      </c>
      <c r="M33" s="93" t="s">
        <v>111</v>
      </c>
      <c r="N33" s="93" t="s">
        <v>111</v>
      </c>
      <c r="O33" s="93" t="s">
        <v>111</v>
      </c>
      <c r="P33" s="93" t="s">
        <v>111</v>
      </c>
      <c r="Q33" s="93" t="s">
        <v>228</v>
      </c>
      <c r="R33" s="93" t="s">
        <v>2</v>
      </c>
      <c r="S33" s="93" t="s">
        <v>115</v>
      </c>
      <c r="T33" s="93" t="s">
        <v>116</v>
      </c>
      <c r="U33" s="94">
        <v>44602.406944444447</v>
      </c>
      <c r="V33" s="93" t="s">
        <v>402</v>
      </c>
      <c r="W33" s="93" t="s">
        <v>24</v>
      </c>
    </row>
    <row r="34" spans="1:23" x14ac:dyDescent="0.15">
      <c r="A34" s="93" t="s">
        <v>7127</v>
      </c>
      <c r="B34" s="93" t="s">
        <v>7128</v>
      </c>
      <c r="C34" s="93">
        <v>40</v>
      </c>
      <c r="D34" s="93" t="s">
        <v>24</v>
      </c>
      <c r="E34" s="93" t="s">
        <v>24</v>
      </c>
      <c r="F34" s="93" t="s">
        <v>7070</v>
      </c>
      <c r="G34" s="93" t="s">
        <v>7108</v>
      </c>
      <c r="H34" s="93" t="s">
        <v>118</v>
      </c>
      <c r="I34" s="93" t="s">
        <v>111</v>
      </c>
      <c r="J34" s="93" t="s">
        <v>118</v>
      </c>
      <c r="K34" s="93">
        <v>3</v>
      </c>
      <c r="L34" s="93" t="s">
        <v>111</v>
      </c>
      <c r="M34" s="93" t="s">
        <v>111</v>
      </c>
      <c r="N34" s="93" t="s">
        <v>111</v>
      </c>
      <c r="O34" s="93" t="s">
        <v>111</v>
      </c>
      <c r="P34" s="93" t="s">
        <v>111</v>
      </c>
      <c r="Q34" s="93" t="s">
        <v>228</v>
      </c>
      <c r="R34" s="93" t="s">
        <v>2</v>
      </c>
      <c r="S34" s="93" t="s">
        <v>115</v>
      </c>
      <c r="T34" s="93" t="s">
        <v>116</v>
      </c>
      <c r="U34" s="94">
        <v>44617.90625</v>
      </c>
      <c r="V34" s="93" t="s">
        <v>402</v>
      </c>
      <c r="W34" s="93" t="s">
        <v>24</v>
      </c>
    </row>
    <row r="35" spans="1:23" x14ac:dyDescent="0.15">
      <c r="A35" s="93" t="s">
        <v>7129</v>
      </c>
      <c r="B35" s="93" t="s">
        <v>7130</v>
      </c>
      <c r="C35" s="93">
        <v>40</v>
      </c>
      <c r="D35" s="93" t="s">
        <v>24</v>
      </c>
      <c r="E35" s="93" t="s">
        <v>24</v>
      </c>
      <c r="F35" s="93" t="s">
        <v>7070</v>
      </c>
      <c r="G35" s="93" t="s">
        <v>7108</v>
      </c>
      <c r="H35" s="93" t="s">
        <v>118</v>
      </c>
      <c r="I35" s="93" t="s">
        <v>111</v>
      </c>
      <c r="J35" s="93" t="s">
        <v>118</v>
      </c>
      <c r="K35" s="93">
        <v>3</v>
      </c>
      <c r="L35" s="93" t="s">
        <v>111</v>
      </c>
      <c r="M35" s="93" t="s">
        <v>111</v>
      </c>
      <c r="N35" s="93" t="s">
        <v>111</v>
      </c>
      <c r="O35" s="93" t="s">
        <v>111</v>
      </c>
      <c r="P35" s="93" t="s">
        <v>111</v>
      </c>
      <c r="Q35" s="93" t="s">
        <v>228</v>
      </c>
      <c r="R35" s="93" t="s">
        <v>2</v>
      </c>
      <c r="S35" s="93" t="s">
        <v>115</v>
      </c>
      <c r="T35" s="93" t="s">
        <v>116</v>
      </c>
      <c r="U35" s="94">
        <v>44617.905555555553</v>
      </c>
      <c r="V35" s="93" t="s">
        <v>402</v>
      </c>
      <c r="W35" s="93" t="s">
        <v>24</v>
      </c>
    </row>
    <row r="36" spans="1:23" x14ac:dyDescent="0.15">
      <c r="A36" s="93" t="s">
        <v>7131</v>
      </c>
      <c r="B36" s="93" t="s">
        <v>7132</v>
      </c>
      <c r="C36" s="93">
        <v>92</v>
      </c>
      <c r="D36" s="93" t="s">
        <v>24</v>
      </c>
      <c r="E36" s="93" t="s">
        <v>24</v>
      </c>
      <c r="F36" s="93" t="s">
        <v>7070</v>
      </c>
      <c r="G36" s="93" t="s">
        <v>7108</v>
      </c>
      <c r="H36" s="93" t="s">
        <v>118</v>
      </c>
      <c r="I36" s="93" t="s">
        <v>111</v>
      </c>
      <c r="J36" s="93" t="s">
        <v>118</v>
      </c>
      <c r="K36" s="93">
        <v>3</v>
      </c>
      <c r="L36" s="93" t="s">
        <v>111</v>
      </c>
      <c r="M36" s="93" t="s">
        <v>111</v>
      </c>
      <c r="N36" s="93" t="s">
        <v>111</v>
      </c>
      <c r="O36" s="93" t="s">
        <v>111</v>
      </c>
      <c r="P36" s="93" t="s">
        <v>111</v>
      </c>
      <c r="Q36" s="93" t="s">
        <v>228</v>
      </c>
      <c r="R36" s="93" t="s">
        <v>2</v>
      </c>
      <c r="S36" s="93" t="s">
        <v>115</v>
      </c>
      <c r="T36" s="93" t="s">
        <v>116</v>
      </c>
      <c r="U36" s="94">
        <v>44602.406944444447</v>
      </c>
      <c r="V36" s="93" t="s">
        <v>402</v>
      </c>
      <c r="W36" s="93" t="s">
        <v>24</v>
      </c>
    </row>
    <row r="37" spans="1:23" x14ac:dyDescent="0.15">
      <c r="A37" s="93" t="s">
        <v>7133</v>
      </c>
      <c r="B37" s="93" t="s">
        <v>7134</v>
      </c>
      <c r="C37" s="93">
        <v>103</v>
      </c>
      <c r="D37" s="93" t="s">
        <v>24</v>
      </c>
      <c r="E37" s="93" t="s">
        <v>24</v>
      </c>
      <c r="F37" s="93" t="s">
        <v>7070</v>
      </c>
      <c r="G37" s="93" t="s">
        <v>7108</v>
      </c>
      <c r="H37" s="93" t="s">
        <v>118</v>
      </c>
      <c r="I37" s="93" t="s">
        <v>111</v>
      </c>
      <c r="J37" s="93" t="s">
        <v>118</v>
      </c>
      <c r="K37" s="93">
        <v>3</v>
      </c>
      <c r="L37" s="93" t="s">
        <v>111</v>
      </c>
      <c r="M37" s="93" t="s">
        <v>111</v>
      </c>
      <c r="N37" s="93" t="s">
        <v>111</v>
      </c>
      <c r="O37" s="93" t="s">
        <v>111</v>
      </c>
      <c r="P37" s="93" t="s">
        <v>111</v>
      </c>
      <c r="Q37" s="93" t="s">
        <v>228</v>
      </c>
      <c r="R37" s="93" t="s">
        <v>2</v>
      </c>
      <c r="S37" s="93" t="s">
        <v>115</v>
      </c>
      <c r="T37" s="93" t="s">
        <v>116</v>
      </c>
      <c r="U37" s="94">
        <v>44602.904166666667</v>
      </c>
      <c r="V37" s="93" t="s">
        <v>402</v>
      </c>
      <c r="W37" s="93" t="s">
        <v>24</v>
      </c>
    </row>
    <row r="38" spans="1:23" x14ac:dyDescent="0.15">
      <c r="A38" s="93" t="s">
        <v>7029</v>
      </c>
      <c r="B38" s="93" t="s">
        <v>7032</v>
      </c>
      <c r="C38" s="93">
        <v>158</v>
      </c>
      <c r="D38" s="93" t="s">
        <v>24</v>
      </c>
      <c r="E38" s="93" t="s">
        <v>24</v>
      </c>
      <c r="F38" s="93" t="s">
        <v>7070</v>
      </c>
      <c r="G38" s="93" t="s">
        <v>7108</v>
      </c>
      <c r="H38" s="93" t="s">
        <v>118</v>
      </c>
      <c r="I38" s="93" t="s">
        <v>111</v>
      </c>
      <c r="J38" s="93" t="s">
        <v>118</v>
      </c>
      <c r="K38" s="93">
        <v>3</v>
      </c>
      <c r="L38" s="93" t="s">
        <v>111</v>
      </c>
      <c r="M38" s="93" t="s">
        <v>111</v>
      </c>
      <c r="N38" s="93" t="s">
        <v>111</v>
      </c>
      <c r="O38" s="93" t="s">
        <v>111</v>
      </c>
      <c r="P38" s="93" t="s">
        <v>111</v>
      </c>
      <c r="Q38" s="93" t="s">
        <v>228</v>
      </c>
      <c r="R38" s="93" t="s">
        <v>2</v>
      </c>
      <c r="S38" s="93" t="s">
        <v>115</v>
      </c>
      <c r="T38" s="93" t="s">
        <v>116</v>
      </c>
      <c r="U38" s="94">
        <v>44629.552777777775</v>
      </c>
      <c r="V38" s="93" t="s">
        <v>402</v>
      </c>
      <c r="W38" s="93" t="s">
        <v>24</v>
      </c>
    </row>
    <row r="39" spans="1:23" x14ac:dyDescent="0.15">
      <c r="A39" s="93" t="s">
        <v>7041</v>
      </c>
      <c r="B39" s="93" t="s">
        <v>7042</v>
      </c>
      <c r="C39" s="93">
        <v>232</v>
      </c>
      <c r="D39" s="93" t="s">
        <v>24</v>
      </c>
      <c r="E39" s="93" t="s">
        <v>24</v>
      </c>
      <c r="F39" s="93" t="s">
        <v>7070</v>
      </c>
      <c r="G39" s="93" t="s">
        <v>7108</v>
      </c>
      <c r="H39" s="93" t="s">
        <v>118</v>
      </c>
      <c r="I39" s="93" t="s">
        <v>111</v>
      </c>
      <c r="J39" s="93" t="s">
        <v>118</v>
      </c>
      <c r="K39" s="93">
        <v>3</v>
      </c>
      <c r="L39" s="93" t="s">
        <v>111</v>
      </c>
      <c r="M39" s="93" t="s">
        <v>111</v>
      </c>
      <c r="N39" s="93" t="s">
        <v>111</v>
      </c>
      <c r="O39" s="93" t="s">
        <v>111</v>
      </c>
      <c r="P39" s="93" t="s">
        <v>111</v>
      </c>
      <c r="Q39" s="93" t="s">
        <v>228</v>
      </c>
      <c r="R39" s="93" t="s">
        <v>2</v>
      </c>
      <c r="S39" s="93" t="s">
        <v>115</v>
      </c>
      <c r="T39" s="93" t="s">
        <v>116</v>
      </c>
      <c r="U39" s="94">
        <v>44629.552777777775</v>
      </c>
      <c r="V39" s="93" t="s">
        <v>402</v>
      </c>
      <c r="W39" s="93" t="s">
        <v>24</v>
      </c>
    </row>
    <row r="40" spans="1:23" x14ac:dyDescent="0.15">
      <c r="A40" s="93" t="s">
        <v>7051</v>
      </c>
      <c r="B40" s="93" t="s">
        <v>7052</v>
      </c>
      <c r="C40" s="93">
        <v>242</v>
      </c>
      <c r="D40" s="93" t="s">
        <v>24</v>
      </c>
      <c r="E40" s="93" t="s">
        <v>24</v>
      </c>
      <c r="F40" s="93" t="s">
        <v>7070</v>
      </c>
      <c r="G40" s="93" t="s">
        <v>7108</v>
      </c>
      <c r="H40" s="93" t="s">
        <v>118</v>
      </c>
      <c r="I40" s="93" t="s">
        <v>111</v>
      </c>
      <c r="J40" s="93" t="s">
        <v>118</v>
      </c>
      <c r="K40" s="93">
        <v>3</v>
      </c>
      <c r="L40" s="93" t="s">
        <v>111</v>
      </c>
      <c r="M40" s="93" t="s">
        <v>111</v>
      </c>
      <c r="N40" s="93" t="s">
        <v>111</v>
      </c>
      <c r="O40" s="93" t="s">
        <v>111</v>
      </c>
      <c r="P40" s="93" t="s">
        <v>111</v>
      </c>
      <c r="Q40" s="93" t="s">
        <v>228</v>
      </c>
      <c r="R40" s="93" t="s">
        <v>2</v>
      </c>
      <c r="S40" s="93" t="s">
        <v>115</v>
      </c>
      <c r="T40" s="93" t="s">
        <v>116</v>
      </c>
      <c r="U40" s="94">
        <v>44629.553472222222</v>
      </c>
      <c r="V40" s="93" t="s">
        <v>402</v>
      </c>
      <c r="W40" s="93" t="s">
        <v>24</v>
      </c>
    </row>
    <row r="41" spans="1:23" x14ac:dyDescent="0.15">
      <c r="A41" s="93" t="s">
        <v>7135</v>
      </c>
      <c r="B41" s="93" t="s">
        <v>7136</v>
      </c>
      <c r="C41" s="93">
        <v>869</v>
      </c>
      <c r="D41" s="93" t="s">
        <v>24</v>
      </c>
      <c r="E41" s="93" t="s">
        <v>24</v>
      </c>
      <c r="F41" s="93" t="s">
        <v>5978</v>
      </c>
      <c r="G41" s="93" t="s">
        <v>7108</v>
      </c>
      <c r="H41" s="93" t="s">
        <v>118</v>
      </c>
      <c r="I41" s="93" t="s">
        <v>111</v>
      </c>
      <c r="J41" s="93" t="s">
        <v>118</v>
      </c>
      <c r="K41" s="93">
        <v>3</v>
      </c>
      <c r="L41" s="93" t="s">
        <v>111</v>
      </c>
      <c r="M41" s="93" t="s">
        <v>111</v>
      </c>
      <c r="N41" s="93" t="s">
        <v>111</v>
      </c>
      <c r="O41" s="93" t="s">
        <v>111</v>
      </c>
      <c r="P41" s="93" t="s">
        <v>111</v>
      </c>
      <c r="Q41" s="93" t="s">
        <v>228</v>
      </c>
      <c r="R41" s="93" t="s">
        <v>2</v>
      </c>
      <c r="S41" s="93" t="s">
        <v>115</v>
      </c>
      <c r="T41" s="93" t="s">
        <v>116</v>
      </c>
      <c r="U41" s="94">
        <v>44602.406944444447</v>
      </c>
      <c r="V41" s="93" t="s">
        <v>402</v>
      </c>
      <c r="W41" s="93" t="s">
        <v>24</v>
      </c>
    </row>
    <row r="42" spans="1:23" x14ac:dyDescent="0.15">
      <c r="A42" s="93" t="s">
        <v>7137</v>
      </c>
      <c r="B42" s="93" t="s">
        <v>7138</v>
      </c>
      <c r="C42" s="93">
        <v>59</v>
      </c>
      <c r="D42" s="93" t="s">
        <v>24</v>
      </c>
      <c r="E42" s="93" t="s">
        <v>24</v>
      </c>
      <c r="F42" s="93" t="s">
        <v>5978</v>
      </c>
      <c r="G42" s="93" t="s">
        <v>7108</v>
      </c>
      <c r="H42" s="93" t="s">
        <v>118</v>
      </c>
      <c r="I42" s="93" t="s">
        <v>111</v>
      </c>
      <c r="J42" s="93" t="s">
        <v>118</v>
      </c>
      <c r="K42" s="93">
        <v>3</v>
      </c>
      <c r="L42" s="93" t="s">
        <v>111</v>
      </c>
      <c r="M42" s="93" t="s">
        <v>111</v>
      </c>
      <c r="N42" s="93" t="s">
        <v>111</v>
      </c>
      <c r="O42" s="93" t="s">
        <v>111</v>
      </c>
      <c r="P42" s="93" t="s">
        <v>111</v>
      </c>
      <c r="Q42" s="93" t="s">
        <v>228</v>
      </c>
      <c r="R42" s="93" t="s">
        <v>2</v>
      </c>
      <c r="S42" s="93" t="s">
        <v>115</v>
      </c>
      <c r="T42" s="93" t="s">
        <v>116</v>
      </c>
      <c r="U42" s="94">
        <v>44602.406944444447</v>
      </c>
      <c r="V42" s="93" t="s">
        <v>402</v>
      </c>
      <c r="W42" s="93" t="s">
        <v>24</v>
      </c>
    </row>
    <row r="43" spans="1:23" x14ac:dyDescent="0.15">
      <c r="A43" s="93" t="s">
        <v>7139</v>
      </c>
      <c r="B43" s="93" t="s">
        <v>7140</v>
      </c>
      <c r="C43" s="93">
        <v>52</v>
      </c>
      <c r="D43" s="93" t="s">
        <v>24</v>
      </c>
      <c r="E43" s="93" t="s">
        <v>24</v>
      </c>
      <c r="F43" s="93" t="s">
        <v>7070</v>
      </c>
      <c r="G43" s="93" t="s">
        <v>7108</v>
      </c>
      <c r="H43" s="93" t="s">
        <v>118</v>
      </c>
      <c r="I43" s="93" t="s">
        <v>111</v>
      </c>
      <c r="J43" s="93" t="s">
        <v>118</v>
      </c>
      <c r="K43" s="93">
        <v>3</v>
      </c>
      <c r="L43" s="93" t="s">
        <v>111</v>
      </c>
      <c r="M43" s="93" t="s">
        <v>111</v>
      </c>
      <c r="N43" s="93" t="s">
        <v>111</v>
      </c>
      <c r="O43" s="93" t="s">
        <v>111</v>
      </c>
      <c r="P43" s="93" t="s">
        <v>111</v>
      </c>
      <c r="Q43" s="93" t="s">
        <v>228</v>
      </c>
      <c r="R43" s="93" t="s">
        <v>2</v>
      </c>
      <c r="S43" s="93" t="s">
        <v>115</v>
      </c>
      <c r="T43" s="93" t="s">
        <v>116</v>
      </c>
      <c r="U43" s="94">
        <v>44617.902777777781</v>
      </c>
      <c r="V43" s="93" t="s">
        <v>402</v>
      </c>
      <c r="W43" s="93" t="s">
        <v>24</v>
      </c>
    </row>
    <row r="44" spans="1:23" x14ac:dyDescent="0.15">
      <c r="A44" s="93" t="s">
        <v>7141</v>
      </c>
      <c r="B44" s="93" t="s">
        <v>7142</v>
      </c>
      <c r="C44" s="93">
        <v>52</v>
      </c>
      <c r="D44" s="93" t="s">
        <v>24</v>
      </c>
      <c r="E44" s="93" t="s">
        <v>24</v>
      </c>
      <c r="F44" s="93" t="s">
        <v>7070</v>
      </c>
      <c r="G44" s="93" t="s">
        <v>7108</v>
      </c>
      <c r="H44" s="93" t="s">
        <v>118</v>
      </c>
      <c r="I44" s="93" t="s">
        <v>111</v>
      </c>
      <c r="J44" s="93" t="s">
        <v>118</v>
      </c>
      <c r="K44" s="93">
        <v>3</v>
      </c>
      <c r="L44" s="93" t="s">
        <v>111</v>
      </c>
      <c r="M44" s="93" t="s">
        <v>111</v>
      </c>
      <c r="N44" s="93" t="s">
        <v>111</v>
      </c>
      <c r="O44" s="93" t="s">
        <v>111</v>
      </c>
      <c r="P44" s="93" t="s">
        <v>111</v>
      </c>
      <c r="Q44" s="93" t="s">
        <v>228</v>
      </c>
      <c r="R44" s="93" t="s">
        <v>2</v>
      </c>
      <c r="S44" s="93" t="s">
        <v>115</v>
      </c>
      <c r="T44" s="93" t="s">
        <v>116</v>
      </c>
      <c r="U44" s="94">
        <v>44617.902083333334</v>
      </c>
      <c r="V44" s="93" t="s">
        <v>402</v>
      </c>
      <c r="W44" s="93" t="s">
        <v>24</v>
      </c>
    </row>
    <row r="45" spans="1:23" x14ac:dyDescent="0.15">
      <c r="A45" s="93" t="s">
        <v>7143</v>
      </c>
      <c r="B45" s="93" t="s">
        <v>7144</v>
      </c>
      <c r="C45" s="93">
        <v>990</v>
      </c>
      <c r="D45" s="93" t="s">
        <v>24</v>
      </c>
      <c r="E45" s="93" t="s">
        <v>24</v>
      </c>
      <c r="F45" s="93" t="s">
        <v>5978</v>
      </c>
      <c r="G45" s="93" t="s">
        <v>7108</v>
      </c>
      <c r="H45" s="93" t="s">
        <v>118</v>
      </c>
      <c r="I45" s="93" t="s">
        <v>111</v>
      </c>
      <c r="J45" s="93" t="s">
        <v>118</v>
      </c>
      <c r="K45" s="93">
        <v>3</v>
      </c>
      <c r="L45" s="93" t="s">
        <v>111</v>
      </c>
      <c r="M45" s="93" t="s">
        <v>111</v>
      </c>
      <c r="N45" s="93" t="s">
        <v>111</v>
      </c>
      <c r="O45" s="93" t="s">
        <v>111</v>
      </c>
      <c r="P45" s="93" t="s">
        <v>111</v>
      </c>
      <c r="Q45" s="93" t="s">
        <v>228</v>
      </c>
      <c r="R45" s="93" t="s">
        <v>2</v>
      </c>
      <c r="S45" s="93" t="s">
        <v>115</v>
      </c>
      <c r="T45" s="93" t="s">
        <v>116</v>
      </c>
      <c r="U45" s="94">
        <v>44602.406944444447</v>
      </c>
      <c r="V45" s="93" t="s">
        <v>402</v>
      </c>
      <c r="W45" s="93" t="s">
        <v>24</v>
      </c>
    </row>
    <row r="46" spans="1:23" x14ac:dyDescent="0.15">
      <c r="A46" s="93" t="s">
        <v>7145</v>
      </c>
      <c r="B46" s="93" t="s">
        <v>7146</v>
      </c>
      <c r="C46" s="93">
        <v>67</v>
      </c>
      <c r="D46" s="93" t="s">
        <v>24</v>
      </c>
      <c r="E46" s="93" t="s">
        <v>24</v>
      </c>
      <c r="F46" s="93" t="s">
        <v>5978</v>
      </c>
      <c r="G46" s="93" t="s">
        <v>7108</v>
      </c>
      <c r="H46" s="93" t="s">
        <v>118</v>
      </c>
      <c r="I46" s="93" t="s">
        <v>111</v>
      </c>
      <c r="J46" s="93" t="s">
        <v>118</v>
      </c>
      <c r="K46" s="93">
        <v>3</v>
      </c>
      <c r="L46" s="93" t="s">
        <v>111</v>
      </c>
      <c r="M46" s="93" t="s">
        <v>111</v>
      </c>
      <c r="N46" s="93" t="s">
        <v>111</v>
      </c>
      <c r="O46" s="93" t="s">
        <v>111</v>
      </c>
      <c r="P46" s="93" t="s">
        <v>111</v>
      </c>
      <c r="Q46" s="93" t="s">
        <v>228</v>
      </c>
      <c r="R46" s="93" t="s">
        <v>2</v>
      </c>
      <c r="S46" s="93" t="s">
        <v>115</v>
      </c>
      <c r="T46" s="93" t="s">
        <v>116</v>
      </c>
      <c r="U46" s="94">
        <v>44602.406944444447</v>
      </c>
      <c r="V46" s="93" t="s">
        <v>402</v>
      </c>
      <c r="W46" s="93" t="s">
        <v>24</v>
      </c>
    </row>
    <row r="47" spans="1:23" x14ac:dyDescent="0.15">
      <c r="A47" s="93" t="s">
        <v>7147</v>
      </c>
      <c r="B47" s="93" t="s">
        <v>7148</v>
      </c>
      <c r="C47" s="93">
        <v>1034</v>
      </c>
      <c r="D47" s="93" t="s">
        <v>24</v>
      </c>
      <c r="E47" s="93" t="s">
        <v>24</v>
      </c>
      <c r="F47" s="93" t="s">
        <v>5978</v>
      </c>
      <c r="G47" s="93" t="s">
        <v>7108</v>
      </c>
      <c r="H47" s="93" t="s">
        <v>118</v>
      </c>
      <c r="I47" s="93" t="s">
        <v>111</v>
      </c>
      <c r="J47" s="93" t="s">
        <v>118</v>
      </c>
      <c r="K47" s="93">
        <v>3</v>
      </c>
      <c r="L47" s="93" t="s">
        <v>111</v>
      </c>
      <c r="M47" s="93" t="s">
        <v>111</v>
      </c>
      <c r="N47" s="93" t="s">
        <v>111</v>
      </c>
      <c r="O47" s="93" t="s">
        <v>111</v>
      </c>
      <c r="P47" s="93" t="s">
        <v>111</v>
      </c>
      <c r="Q47" s="93" t="s">
        <v>228</v>
      </c>
      <c r="R47" s="93" t="s">
        <v>2</v>
      </c>
      <c r="S47" s="93" t="s">
        <v>115</v>
      </c>
      <c r="T47" s="93" t="s">
        <v>116</v>
      </c>
      <c r="U47" s="94">
        <v>44602.406944444447</v>
      </c>
      <c r="V47" s="93" t="s">
        <v>402</v>
      </c>
      <c r="W47" s="93" t="s">
        <v>24</v>
      </c>
    </row>
    <row r="48" spans="1:23" x14ac:dyDescent="0.15">
      <c r="A48" s="93" t="s">
        <v>7149</v>
      </c>
      <c r="B48" s="93" t="s">
        <v>7150</v>
      </c>
      <c r="C48" s="93">
        <v>70</v>
      </c>
      <c r="D48" s="93" t="s">
        <v>24</v>
      </c>
      <c r="E48" s="93" t="s">
        <v>24</v>
      </c>
      <c r="F48" s="93" t="s">
        <v>5978</v>
      </c>
      <c r="G48" s="93" t="s">
        <v>7108</v>
      </c>
      <c r="H48" s="93" t="s">
        <v>118</v>
      </c>
      <c r="I48" s="93" t="s">
        <v>111</v>
      </c>
      <c r="J48" s="93" t="s">
        <v>118</v>
      </c>
      <c r="K48" s="93">
        <v>3</v>
      </c>
      <c r="L48" s="93" t="s">
        <v>111</v>
      </c>
      <c r="M48" s="93" t="s">
        <v>111</v>
      </c>
      <c r="N48" s="93" t="s">
        <v>111</v>
      </c>
      <c r="O48" s="93" t="s">
        <v>111</v>
      </c>
      <c r="P48" s="93" t="s">
        <v>111</v>
      </c>
      <c r="Q48" s="93" t="s">
        <v>228</v>
      </c>
      <c r="R48" s="93" t="s">
        <v>2</v>
      </c>
      <c r="S48" s="93" t="s">
        <v>115</v>
      </c>
      <c r="T48" s="93" t="s">
        <v>116</v>
      </c>
      <c r="U48" s="94">
        <v>44602.406944444447</v>
      </c>
      <c r="V48" s="93" t="s">
        <v>402</v>
      </c>
      <c r="W48" s="93" t="s">
        <v>24</v>
      </c>
    </row>
    <row r="49" spans="1:23" x14ac:dyDescent="0.15">
      <c r="A49" s="93" t="s">
        <v>7151</v>
      </c>
      <c r="B49" s="93" t="s">
        <v>7152</v>
      </c>
      <c r="C49" s="93">
        <v>18</v>
      </c>
      <c r="D49" s="93" t="s">
        <v>9</v>
      </c>
      <c r="E49" s="93" t="s">
        <v>24</v>
      </c>
      <c r="F49" s="93" t="s">
        <v>7070</v>
      </c>
      <c r="G49" s="93" t="s">
        <v>7071</v>
      </c>
      <c r="H49" s="93" t="s">
        <v>11</v>
      </c>
      <c r="I49" s="93" t="s">
        <v>111</v>
      </c>
      <c r="J49" s="93" t="s">
        <v>71</v>
      </c>
      <c r="K49" s="93">
        <v>180</v>
      </c>
      <c r="L49" s="93">
        <v>0.3</v>
      </c>
      <c r="M49" s="93" t="s">
        <v>113</v>
      </c>
      <c r="N49" s="93" t="s">
        <v>111</v>
      </c>
      <c r="O49" s="93" t="s">
        <v>111</v>
      </c>
      <c r="P49" s="93" t="s">
        <v>111</v>
      </c>
      <c r="Q49" s="93" t="s">
        <v>121</v>
      </c>
      <c r="R49" s="93" t="s">
        <v>20</v>
      </c>
      <c r="S49" s="93" t="s">
        <v>115</v>
      </c>
      <c r="T49" s="93" t="s">
        <v>116</v>
      </c>
      <c r="U49" s="94">
        <v>44642.540277777778</v>
      </c>
      <c r="V49" s="93" t="s">
        <v>10</v>
      </c>
      <c r="W49" s="93" t="s">
        <v>9</v>
      </c>
    </row>
    <row r="50" spans="1:23" x14ac:dyDescent="0.15">
      <c r="A50" s="93" t="s">
        <v>7153</v>
      </c>
      <c r="B50" s="93" t="s">
        <v>7154</v>
      </c>
      <c r="C50" s="93">
        <v>21.6</v>
      </c>
      <c r="D50" s="93" t="s">
        <v>9</v>
      </c>
      <c r="E50" s="93" t="s">
        <v>24</v>
      </c>
      <c r="F50" s="93" t="s">
        <v>7070</v>
      </c>
      <c r="G50" s="93" t="s">
        <v>7071</v>
      </c>
      <c r="H50" s="93" t="s">
        <v>11</v>
      </c>
      <c r="I50" s="93" t="s">
        <v>111</v>
      </c>
      <c r="J50" s="93" t="s">
        <v>71</v>
      </c>
      <c r="K50" s="93">
        <v>180</v>
      </c>
      <c r="L50" s="93">
        <v>0.23</v>
      </c>
      <c r="M50" s="93" t="s">
        <v>113</v>
      </c>
      <c r="N50" s="93">
        <v>11.63</v>
      </c>
      <c r="O50" s="93">
        <v>3.8</v>
      </c>
      <c r="P50" s="93">
        <v>5.24</v>
      </c>
      <c r="Q50" s="93" t="s">
        <v>7155</v>
      </c>
      <c r="R50" s="93" t="s">
        <v>20</v>
      </c>
      <c r="S50" s="93" t="s">
        <v>115</v>
      </c>
      <c r="T50" s="93" t="s">
        <v>116</v>
      </c>
      <c r="U50" s="94">
        <v>44642.539583333331</v>
      </c>
      <c r="V50" s="93" t="s">
        <v>7156</v>
      </c>
      <c r="W50" s="93" t="s">
        <v>9</v>
      </c>
    </row>
    <row r="51" spans="1:23" x14ac:dyDescent="0.15">
      <c r="A51" s="93" t="s">
        <v>7157</v>
      </c>
      <c r="B51" s="93" t="s">
        <v>7158</v>
      </c>
      <c r="C51" s="93">
        <v>35.94</v>
      </c>
      <c r="D51" s="93" t="s">
        <v>24</v>
      </c>
      <c r="E51" s="93" t="s">
        <v>24</v>
      </c>
      <c r="F51" s="93" t="s">
        <v>70</v>
      </c>
      <c r="G51" s="93" t="s">
        <v>7159</v>
      </c>
      <c r="H51" s="93" t="s">
        <v>11</v>
      </c>
      <c r="I51" s="93" t="s">
        <v>111</v>
      </c>
      <c r="J51" s="93" t="s">
        <v>72</v>
      </c>
      <c r="K51" s="93">
        <v>180</v>
      </c>
      <c r="L51" s="93">
        <v>0.48</v>
      </c>
      <c r="M51" s="93" t="s">
        <v>113</v>
      </c>
      <c r="N51" s="93">
        <v>1.1399999999999999</v>
      </c>
      <c r="O51" s="93">
        <v>11</v>
      </c>
      <c r="P51" s="93">
        <v>28.5</v>
      </c>
      <c r="Q51" s="93" t="s">
        <v>122</v>
      </c>
      <c r="R51" s="93" t="s">
        <v>20</v>
      </c>
      <c r="S51" s="93" t="s">
        <v>115</v>
      </c>
      <c r="T51" s="93" t="s">
        <v>116</v>
      </c>
      <c r="U51" s="94">
        <v>44642.559027777781</v>
      </c>
      <c r="V51" s="93" t="s">
        <v>10</v>
      </c>
      <c r="W51" s="93" t="s">
        <v>9</v>
      </c>
    </row>
    <row r="52" spans="1:23" x14ac:dyDescent="0.15">
      <c r="A52" s="93" t="s">
        <v>7160</v>
      </c>
      <c r="B52" s="93" t="s">
        <v>7161</v>
      </c>
      <c r="C52" s="93">
        <v>1.44</v>
      </c>
      <c r="D52" s="93" t="s">
        <v>9</v>
      </c>
      <c r="E52" s="93" t="s">
        <v>24</v>
      </c>
      <c r="F52" s="93" t="s">
        <v>7070</v>
      </c>
      <c r="G52" s="93" t="s">
        <v>7071</v>
      </c>
      <c r="H52" s="93" t="s">
        <v>11</v>
      </c>
      <c r="I52" s="93" t="s">
        <v>111</v>
      </c>
      <c r="J52" s="93" t="s">
        <v>71</v>
      </c>
      <c r="K52" s="93">
        <v>180</v>
      </c>
      <c r="L52" s="93">
        <v>6.4000000000000001E-2</v>
      </c>
      <c r="M52" s="93" t="s">
        <v>113</v>
      </c>
      <c r="N52" s="93">
        <v>10.3</v>
      </c>
      <c r="O52" s="93">
        <v>6</v>
      </c>
      <c r="P52" s="93">
        <v>8.1999999999999993</v>
      </c>
      <c r="Q52" s="93" t="s">
        <v>122</v>
      </c>
      <c r="R52" s="93" t="s">
        <v>20</v>
      </c>
      <c r="S52" s="93" t="s">
        <v>115</v>
      </c>
      <c r="T52" s="93" t="s">
        <v>116</v>
      </c>
      <c r="U52" s="94">
        <v>44642.561805555553</v>
      </c>
      <c r="V52" s="93" t="s">
        <v>10</v>
      </c>
      <c r="W52" s="93" t="s">
        <v>9</v>
      </c>
    </row>
    <row r="53" spans="1:23" x14ac:dyDescent="0.15">
      <c r="A53" s="93" t="s">
        <v>7162</v>
      </c>
      <c r="B53" s="93" t="s">
        <v>7163</v>
      </c>
      <c r="C53" s="93">
        <v>120</v>
      </c>
      <c r="D53" s="93" t="s">
        <v>9</v>
      </c>
      <c r="E53" s="93" t="s">
        <v>24</v>
      </c>
      <c r="F53" s="93" t="s">
        <v>70</v>
      </c>
      <c r="G53" s="93" t="s">
        <v>7164</v>
      </c>
      <c r="H53" s="93" t="s">
        <v>6</v>
      </c>
      <c r="I53" s="93" t="s">
        <v>111</v>
      </c>
      <c r="J53" s="93" t="s">
        <v>7165</v>
      </c>
      <c r="K53" s="93">
        <v>90</v>
      </c>
      <c r="L53" s="93">
        <v>0.74</v>
      </c>
      <c r="M53" s="93" t="s">
        <v>113</v>
      </c>
      <c r="N53" s="93">
        <v>7.5</v>
      </c>
      <c r="O53" s="93">
        <v>19.5</v>
      </c>
      <c r="P53" s="93">
        <v>25.9</v>
      </c>
      <c r="Q53" s="93" t="s">
        <v>7166</v>
      </c>
      <c r="R53" s="93" t="s">
        <v>20</v>
      </c>
      <c r="S53" s="93" t="s">
        <v>124</v>
      </c>
      <c r="T53" s="93" t="s">
        <v>7167</v>
      </c>
      <c r="U53" s="94">
        <v>44642.429166666669</v>
      </c>
      <c r="V53" s="93" t="s">
        <v>10</v>
      </c>
      <c r="W53" s="93" t="s">
        <v>24</v>
      </c>
    </row>
    <row r="54" spans="1:23" x14ac:dyDescent="0.15">
      <c r="A54" s="93" t="s">
        <v>1529</v>
      </c>
      <c r="B54" s="93" t="s">
        <v>1530</v>
      </c>
      <c r="C54" s="93">
        <v>54</v>
      </c>
      <c r="D54" s="93" t="s">
        <v>24</v>
      </c>
      <c r="E54" s="93" t="s">
        <v>24</v>
      </c>
      <c r="F54" s="93" t="s">
        <v>7070</v>
      </c>
      <c r="G54" s="93" t="s">
        <v>7168</v>
      </c>
      <c r="H54" s="93" t="s">
        <v>11</v>
      </c>
      <c r="I54" s="93" t="s">
        <v>111</v>
      </c>
      <c r="J54" s="93" t="s">
        <v>387</v>
      </c>
      <c r="K54" s="93">
        <v>60</v>
      </c>
      <c r="L54" s="93">
        <v>0.2</v>
      </c>
      <c r="M54" s="93" t="s">
        <v>113</v>
      </c>
      <c r="N54" s="93">
        <v>6</v>
      </c>
      <c r="O54" s="93">
        <v>10</v>
      </c>
      <c r="P54" s="93">
        <v>13</v>
      </c>
      <c r="Q54" s="93" t="s">
        <v>411</v>
      </c>
      <c r="R54" s="93" t="s">
        <v>18</v>
      </c>
      <c r="S54" s="93" t="s">
        <v>115</v>
      </c>
      <c r="T54" s="93" t="s">
        <v>116</v>
      </c>
      <c r="U54" s="94">
        <v>44642.475694444445</v>
      </c>
      <c r="V54" s="93" t="s">
        <v>402</v>
      </c>
      <c r="W54" s="93" t="s">
        <v>9</v>
      </c>
    </row>
    <row r="55" spans="1:23" x14ac:dyDescent="0.15">
      <c r="A55" s="93" t="s">
        <v>7169</v>
      </c>
      <c r="B55" s="93" t="s">
        <v>7170</v>
      </c>
      <c r="C55" s="93">
        <v>108</v>
      </c>
      <c r="D55" s="93" t="s">
        <v>9</v>
      </c>
      <c r="E55" s="93" t="s">
        <v>24</v>
      </c>
      <c r="F55" s="93" t="s">
        <v>70</v>
      </c>
      <c r="G55" s="93" t="s">
        <v>7171</v>
      </c>
      <c r="H55" s="93" t="s">
        <v>6</v>
      </c>
      <c r="I55" s="93" t="s">
        <v>111</v>
      </c>
      <c r="J55" s="93" t="s">
        <v>7165</v>
      </c>
      <c r="K55" s="93">
        <v>90</v>
      </c>
      <c r="L55" s="93">
        <v>0.8</v>
      </c>
      <c r="M55" s="93" t="s">
        <v>113</v>
      </c>
      <c r="N55" s="93">
        <v>7.5</v>
      </c>
      <c r="O55" s="93">
        <v>19.5</v>
      </c>
      <c r="P55" s="93">
        <v>23.5</v>
      </c>
      <c r="Q55" s="93" t="s">
        <v>7166</v>
      </c>
      <c r="R55" s="93" t="s">
        <v>20</v>
      </c>
      <c r="S55" s="93" t="s">
        <v>124</v>
      </c>
      <c r="T55" s="93" t="s">
        <v>119</v>
      </c>
      <c r="U55" s="94">
        <v>44642.452777777777</v>
      </c>
      <c r="V55" s="93" t="s">
        <v>10</v>
      </c>
      <c r="W55" s="93" t="s">
        <v>24</v>
      </c>
    </row>
    <row r="56" spans="1:23" x14ac:dyDescent="0.15">
      <c r="A56" s="93" t="s">
        <v>409</v>
      </c>
      <c r="B56" s="93" t="s">
        <v>410</v>
      </c>
      <c r="C56" s="93">
        <v>48.6</v>
      </c>
      <c r="D56" s="93" t="s">
        <v>24</v>
      </c>
      <c r="E56" s="93" t="s">
        <v>24</v>
      </c>
      <c r="F56" s="93" t="s">
        <v>7070</v>
      </c>
      <c r="G56" s="93" t="s">
        <v>7168</v>
      </c>
      <c r="H56" s="93" t="s">
        <v>11</v>
      </c>
      <c r="I56" s="93" t="s">
        <v>111</v>
      </c>
      <c r="J56" s="93" t="s">
        <v>387</v>
      </c>
      <c r="K56" s="93">
        <v>60</v>
      </c>
      <c r="L56" s="93">
        <v>0.2</v>
      </c>
      <c r="M56" s="93" t="s">
        <v>113</v>
      </c>
      <c r="N56" s="93">
        <v>6</v>
      </c>
      <c r="O56" s="93">
        <v>10</v>
      </c>
      <c r="P56" s="93">
        <v>13</v>
      </c>
      <c r="Q56" s="93" t="s">
        <v>411</v>
      </c>
      <c r="R56" s="93" t="s">
        <v>18</v>
      </c>
      <c r="S56" s="93" t="s">
        <v>115</v>
      </c>
      <c r="T56" s="93" t="s">
        <v>116</v>
      </c>
      <c r="U56" s="94">
        <v>44642.496527777781</v>
      </c>
      <c r="V56" s="93" t="s">
        <v>402</v>
      </c>
      <c r="W56" s="93" t="s">
        <v>9</v>
      </c>
    </row>
    <row r="57" spans="1:23" x14ac:dyDescent="0.15">
      <c r="A57" s="93" t="s">
        <v>412</v>
      </c>
      <c r="B57" s="93" t="s">
        <v>7172</v>
      </c>
      <c r="C57" s="93">
        <v>59.4</v>
      </c>
      <c r="D57" s="93" t="s">
        <v>24</v>
      </c>
      <c r="E57" s="93" t="s">
        <v>24</v>
      </c>
      <c r="F57" s="93" t="s">
        <v>7070</v>
      </c>
      <c r="G57" s="93" t="s">
        <v>7168</v>
      </c>
      <c r="H57" s="93" t="s">
        <v>11</v>
      </c>
      <c r="I57" s="93" t="s">
        <v>111</v>
      </c>
      <c r="J57" s="93" t="s">
        <v>1552</v>
      </c>
      <c r="K57" s="93">
        <v>80</v>
      </c>
      <c r="L57" s="93">
        <v>0.27100000000000002</v>
      </c>
      <c r="M57" s="93" t="s">
        <v>113</v>
      </c>
      <c r="N57" s="93">
        <v>7</v>
      </c>
      <c r="O57" s="93">
        <v>8</v>
      </c>
      <c r="P57" s="93">
        <v>17</v>
      </c>
      <c r="Q57" s="93" t="s">
        <v>413</v>
      </c>
      <c r="R57" s="93" t="s">
        <v>20</v>
      </c>
      <c r="S57" s="93" t="s">
        <v>115</v>
      </c>
      <c r="T57" s="93" t="s">
        <v>116</v>
      </c>
      <c r="U57" s="94">
        <v>44642.513194444444</v>
      </c>
      <c r="V57" s="93" t="s">
        <v>402</v>
      </c>
      <c r="W57" s="93" t="s">
        <v>24</v>
      </c>
    </row>
    <row r="58" spans="1:23" x14ac:dyDescent="0.15">
      <c r="A58" s="93" t="s">
        <v>414</v>
      </c>
      <c r="B58" s="93" t="s">
        <v>7173</v>
      </c>
      <c r="C58" s="93">
        <v>43.2</v>
      </c>
      <c r="D58" s="93" t="s">
        <v>24</v>
      </c>
      <c r="E58" s="93" t="s">
        <v>24</v>
      </c>
      <c r="F58" s="93" t="s">
        <v>7070</v>
      </c>
      <c r="G58" s="93" t="s">
        <v>7168</v>
      </c>
      <c r="H58" s="93" t="s">
        <v>11</v>
      </c>
      <c r="I58" s="93" t="s">
        <v>111</v>
      </c>
      <c r="J58" s="93" t="s">
        <v>1552</v>
      </c>
      <c r="K58" s="93">
        <v>80</v>
      </c>
      <c r="L58" s="93">
        <v>0.152</v>
      </c>
      <c r="M58" s="93" t="s">
        <v>113</v>
      </c>
      <c r="N58" s="93">
        <v>4</v>
      </c>
      <c r="O58" s="93">
        <v>8</v>
      </c>
      <c r="P58" s="93">
        <v>18</v>
      </c>
      <c r="Q58" s="93" t="s">
        <v>413</v>
      </c>
      <c r="R58" s="93" t="s">
        <v>20</v>
      </c>
      <c r="S58" s="93" t="s">
        <v>115</v>
      </c>
      <c r="T58" s="93" t="s">
        <v>116</v>
      </c>
      <c r="U58" s="94">
        <v>44642.589583333334</v>
      </c>
      <c r="V58" s="93" t="s">
        <v>402</v>
      </c>
      <c r="W58" s="93" t="s">
        <v>24</v>
      </c>
    </row>
    <row r="59" spans="1:23" x14ac:dyDescent="0.15">
      <c r="A59" s="93" t="s">
        <v>1553</v>
      </c>
      <c r="B59" s="93" t="s">
        <v>1554</v>
      </c>
      <c r="C59" s="93">
        <v>129.6</v>
      </c>
      <c r="D59" s="93" t="s">
        <v>24</v>
      </c>
      <c r="E59" s="93" t="s">
        <v>24</v>
      </c>
      <c r="F59" s="93" t="s">
        <v>7070</v>
      </c>
      <c r="G59" s="93" t="s">
        <v>7174</v>
      </c>
      <c r="H59" s="93" t="s">
        <v>11</v>
      </c>
      <c r="I59" s="93" t="s">
        <v>111</v>
      </c>
      <c r="J59" s="93" t="s">
        <v>1552</v>
      </c>
      <c r="K59" s="93">
        <v>80</v>
      </c>
      <c r="L59" s="93">
        <v>3.3</v>
      </c>
      <c r="M59" s="93" t="s">
        <v>113</v>
      </c>
      <c r="N59" s="93">
        <v>24</v>
      </c>
      <c r="O59" s="93">
        <v>19</v>
      </c>
      <c r="P59" s="93">
        <v>21</v>
      </c>
      <c r="Q59" s="93" t="s">
        <v>122</v>
      </c>
      <c r="R59" s="93" t="s">
        <v>20</v>
      </c>
      <c r="S59" s="93" t="s">
        <v>115</v>
      </c>
      <c r="T59" s="93" t="s">
        <v>116</v>
      </c>
      <c r="U59" s="94">
        <v>44642.467361111114</v>
      </c>
      <c r="V59" s="93" t="s">
        <v>402</v>
      </c>
      <c r="W59" s="93" t="s">
        <v>24</v>
      </c>
    </row>
    <row r="60" spans="1:23" x14ac:dyDescent="0.15">
      <c r="A60" s="93" t="s">
        <v>415</v>
      </c>
      <c r="B60" s="93" t="s">
        <v>416</v>
      </c>
      <c r="C60" s="93">
        <v>32.4</v>
      </c>
      <c r="D60" s="93" t="s">
        <v>24</v>
      </c>
      <c r="E60" s="93" t="s">
        <v>24</v>
      </c>
      <c r="F60" s="93" t="s">
        <v>7070</v>
      </c>
      <c r="G60" s="93" t="s">
        <v>7174</v>
      </c>
      <c r="H60" s="93" t="s">
        <v>11</v>
      </c>
      <c r="I60" s="93" t="s">
        <v>111</v>
      </c>
      <c r="J60" s="93" t="s">
        <v>1552</v>
      </c>
      <c r="K60" s="93">
        <v>80</v>
      </c>
      <c r="L60" s="93">
        <v>1.077</v>
      </c>
      <c r="M60" s="93" t="s">
        <v>113</v>
      </c>
      <c r="N60" s="93">
        <v>4.7</v>
      </c>
      <c r="O60" s="93">
        <v>12.9</v>
      </c>
      <c r="P60" s="93">
        <v>14.6</v>
      </c>
      <c r="Q60" s="93" t="s">
        <v>122</v>
      </c>
      <c r="R60" s="93" t="s">
        <v>20</v>
      </c>
      <c r="S60" s="93" t="s">
        <v>115</v>
      </c>
      <c r="T60" s="93" t="s">
        <v>116</v>
      </c>
      <c r="U60" s="94">
        <v>44642.512499999997</v>
      </c>
      <c r="V60" s="93" t="s">
        <v>402</v>
      </c>
      <c r="W60" s="93" t="s">
        <v>24</v>
      </c>
    </row>
    <row r="61" spans="1:23" x14ac:dyDescent="0.15">
      <c r="A61" s="93" t="s">
        <v>417</v>
      </c>
      <c r="B61" s="93" t="s">
        <v>418</v>
      </c>
      <c r="C61" s="93">
        <v>27</v>
      </c>
      <c r="D61" s="93" t="s">
        <v>24</v>
      </c>
      <c r="E61" s="93" t="s">
        <v>24</v>
      </c>
      <c r="F61" s="93" t="s">
        <v>7070</v>
      </c>
      <c r="G61" s="93" t="s">
        <v>7174</v>
      </c>
      <c r="H61" s="93" t="s">
        <v>11</v>
      </c>
      <c r="I61" s="93" t="s">
        <v>111</v>
      </c>
      <c r="J61" s="93" t="s">
        <v>1552</v>
      </c>
      <c r="K61" s="93">
        <v>80</v>
      </c>
      <c r="L61" s="93">
        <v>0.84399999999999997</v>
      </c>
      <c r="M61" s="93" t="s">
        <v>113</v>
      </c>
      <c r="N61" s="93">
        <v>4.7</v>
      </c>
      <c r="O61" s="93">
        <v>12.9</v>
      </c>
      <c r="P61" s="93">
        <v>14.6</v>
      </c>
      <c r="Q61" s="93" t="s">
        <v>122</v>
      </c>
      <c r="R61" s="93" t="s">
        <v>20</v>
      </c>
      <c r="S61" s="93" t="s">
        <v>115</v>
      </c>
      <c r="T61" s="93" t="s">
        <v>116</v>
      </c>
      <c r="U61" s="94">
        <v>44642.489583333336</v>
      </c>
      <c r="V61" s="93" t="s">
        <v>402</v>
      </c>
      <c r="W61" s="93" t="s">
        <v>24</v>
      </c>
    </row>
    <row r="62" spans="1:23" x14ac:dyDescent="0.15">
      <c r="A62" s="93" t="s">
        <v>419</v>
      </c>
      <c r="B62" s="93" t="s">
        <v>420</v>
      </c>
      <c r="C62" s="93">
        <v>5.4</v>
      </c>
      <c r="D62" s="93" t="s">
        <v>24</v>
      </c>
      <c r="E62" s="93" t="s">
        <v>24</v>
      </c>
      <c r="F62" s="93" t="s">
        <v>7070</v>
      </c>
      <c r="G62" s="93" t="s">
        <v>7175</v>
      </c>
      <c r="H62" s="93" t="s">
        <v>11</v>
      </c>
      <c r="I62" s="93" t="s">
        <v>111</v>
      </c>
      <c r="J62" s="93" t="s">
        <v>387</v>
      </c>
      <c r="K62" s="93">
        <v>60</v>
      </c>
      <c r="L62" s="93">
        <v>0.05</v>
      </c>
      <c r="M62" s="93" t="s">
        <v>113</v>
      </c>
      <c r="N62" s="93">
        <v>0.6</v>
      </c>
      <c r="O62" s="93">
        <v>10</v>
      </c>
      <c r="P62" s="93">
        <v>15</v>
      </c>
      <c r="Q62" s="93" t="s">
        <v>114</v>
      </c>
      <c r="R62" s="93" t="s">
        <v>20</v>
      </c>
      <c r="S62" s="93" t="s">
        <v>115</v>
      </c>
      <c r="T62" s="93" t="s">
        <v>116</v>
      </c>
      <c r="U62" s="94">
        <v>44642.466666666667</v>
      </c>
      <c r="V62" s="93" t="s">
        <v>402</v>
      </c>
      <c r="W62" s="93" t="s">
        <v>9</v>
      </c>
    </row>
    <row r="63" spans="1:23" x14ac:dyDescent="0.15">
      <c r="A63" s="93" t="s">
        <v>1556</v>
      </c>
      <c r="B63" s="93" t="s">
        <v>1557</v>
      </c>
      <c r="C63" s="93">
        <v>16.2</v>
      </c>
      <c r="D63" s="93" t="s">
        <v>24</v>
      </c>
      <c r="E63" s="93" t="s">
        <v>24</v>
      </c>
      <c r="F63" s="93" t="s">
        <v>7070</v>
      </c>
      <c r="G63" s="93" t="s">
        <v>7174</v>
      </c>
      <c r="H63" s="93" t="s">
        <v>11</v>
      </c>
      <c r="I63" s="93" t="s">
        <v>111</v>
      </c>
      <c r="J63" s="93" t="s">
        <v>1552</v>
      </c>
      <c r="K63" s="93">
        <v>80</v>
      </c>
      <c r="L63" s="93">
        <v>7.5999999999999998E-2</v>
      </c>
      <c r="M63" s="93" t="s">
        <v>113</v>
      </c>
      <c r="N63" s="93">
        <v>7.7</v>
      </c>
      <c r="O63" s="93">
        <v>3.5</v>
      </c>
      <c r="P63" s="93">
        <v>6.5</v>
      </c>
      <c r="Q63" s="93" t="s">
        <v>122</v>
      </c>
      <c r="R63" s="93" t="s">
        <v>20</v>
      </c>
      <c r="S63" s="93" t="s">
        <v>111</v>
      </c>
      <c r="T63" s="93" t="s">
        <v>116</v>
      </c>
      <c r="U63" s="94">
        <v>44642.445833333331</v>
      </c>
      <c r="V63" s="93" t="s">
        <v>402</v>
      </c>
      <c r="W63" s="93" t="s">
        <v>24</v>
      </c>
    </row>
    <row r="64" spans="1:23" x14ac:dyDescent="0.15">
      <c r="A64" s="93" t="s">
        <v>7176</v>
      </c>
      <c r="B64" s="93" t="s">
        <v>7177</v>
      </c>
      <c r="C64" s="93">
        <v>27</v>
      </c>
      <c r="D64" s="93" t="s">
        <v>24</v>
      </c>
      <c r="E64" s="93" t="s">
        <v>24</v>
      </c>
      <c r="F64" s="93" t="s">
        <v>7070</v>
      </c>
      <c r="G64" s="93" t="s">
        <v>7174</v>
      </c>
      <c r="H64" s="93" t="s">
        <v>11</v>
      </c>
      <c r="I64" s="93" t="s">
        <v>111</v>
      </c>
      <c r="J64" s="93" t="s">
        <v>1552</v>
      </c>
      <c r="K64" s="93">
        <v>80</v>
      </c>
      <c r="L64" s="93">
        <v>0.27100000000000002</v>
      </c>
      <c r="M64" s="93" t="s">
        <v>113</v>
      </c>
      <c r="N64" s="93">
        <v>7</v>
      </c>
      <c r="O64" s="93">
        <v>8</v>
      </c>
      <c r="P64" s="93">
        <v>17</v>
      </c>
      <c r="Q64" s="93" t="s">
        <v>413</v>
      </c>
      <c r="R64" s="93" t="s">
        <v>20</v>
      </c>
      <c r="S64" s="93" t="s">
        <v>115</v>
      </c>
      <c r="T64" s="93" t="s">
        <v>116</v>
      </c>
      <c r="U64" s="94">
        <v>44642.490277777775</v>
      </c>
      <c r="V64" s="93" t="s">
        <v>402</v>
      </c>
      <c r="W64" s="93" t="s">
        <v>24</v>
      </c>
    </row>
    <row r="65" spans="1:23" x14ac:dyDescent="0.15">
      <c r="A65" s="93" t="s">
        <v>1558</v>
      </c>
      <c r="B65" s="93" t="s">
        <v>1559</v>
      </c>
      <c r="C65" s="93">
        <v>43.2</v>
      </c>
      <c r="D65" s="93" t="s">
        <v>24</v>
      </c>
      <c r="E65" s="93" t="s">
        <v>24</v>
      </c>
      <c r="F65" s="93" t="s">
        <v>7070</v>
      </c>
      <c r="G65" s="93" t="s">
        <v>7174</v>
      </c>
      <c r="H65" s="93" t="s">
        <v>11</v>
      </c>
      <c r="I65" s="93" t="s">
        <v>111</v>
      </c>
      <c r="J65" s="93" t="s">
        <v>1552</v>
      </c>
      <c r="K65" s="93">
        <v>80</v>
      </c>
      <c r="L65" s="93" t="s">
        <v>111</v>
      </c>
      <c r="M65" s="93" t="s">
        <v>111</v>
      </c>
      <c r="N65" s="93">
        <v>2.04</v>
      </c>
      <c r="O65" s="93">
        <v>1.56</v>
      </c>
      <c r="P65" s="93">
        <v>5.5</v>
      </c>
      <c r="Q65" s="93" t="s">
        <v>1548</v>
      </c>
      <c r="R65" s="93" t="s">
        <v>20</v>
      </c>
      <c r="S65" s="93" t="s">
        <v>115</v>
      </c>
      <c r="T65" s="93" t="s">
        <v>116</v>
      </c>
      <c r="U65" s="94">
        <v>44642.466666666667</v>
      </c>
      <c r="V65" s="93" t="s">
        <v>402</v>
      </c>
      <c r="W65" s="93" t="s">
        <v>24</v>
      </c>
    </row>
    <row r="66" spans="1:23" x14ac:dyDescent="0.15">
      <c r="A66" s="93" t="s">
        <v>7178</v>
      </c>
      <c r="B66" s="93" t="s">
        <v>7179</v>
      </c>
      <c r="C66" s="93">
        <v>324</v>
      </c>
      <c r="D66" s="93" t="s">
        <v>24</v>
      </c>
      <c r="E66" s="93" t="s">
        <v>24</v>
      </c>
      <c r="F66" s="93" t="s">
        <v>7180</v>
      </c>
      <c r="G66" s="93" t="s">
        <v>7181</v>
      </c>
      <c r="H66" s="93" t="s">
        <v>1198</v>
      </c>
      <c r="I66" s="93" t="s">
        <v>111</v>
      </c>
      <c r="J66" s="93" t="s">
        <v>1552</v>
      </c>
      <c r="K66" s="93">
        <v>80</v>
      </c>
      <c r="L66" s="93">
        <v>1.8</v>
      </c>
      <c r="M66" s="93" t="s">
        <v>113</v>
      </c>
      <c r="N66" s="93">
        <v>9</v>
      </c>
      <c r="O66" s="93">
        <v>34</v>
      </c>
      <c r="P66" s="93">
        <v>47</v>
      </c>
      <c r="Q66" s="93" t="s">
        <v>123</v>
      </c>
      <c r="R66" s="93" t="s">
        <v>20</v>
      </c>
      <c r="S66" s="93" t="s">
        <v>383</v>
      </c>
      <c r="T66" s="93" t="s">
        <v>6686</v>
      </c>
      <c r="U66" s="94">
        <v>44642.46597222222</v>
      </c>
      <c r="V66" s="93" t="s">
        <v>402</v>
      </c>
      <c r="W66" s="93" t="s">
        <v>24</v>
      </c>
    </row>
    <row r="67" spans="1:23" x14ac:dyDescent="0.15">
      <c r="A67" s="93" t="s">
        <v>664</v>
      </c>
      <c r="B67" s="93" t="s">
        <v>665</v>
      </c>
      <c r="C67" s="93">
        <v>20</v>
      </c>
      <c r="D67" s="93" t="s">
        <v>24</v>
      </c>
      <c r="E67" s="93" t="s">
        <v>24</v>
      </c>
      <c r="F67" s="93" t="s">
        <v>399</v>
      </c>
      <c r="G67" s="93" t="s">
        <v>7182</v>
      </c>
      <c r="H67" s="93" t="s">
        <v>400</v>
      </c>
      <c r="I67" s="93" t="s">
        <v>111</v>
      </c>
      <c r="J67" s="93" t="s">
        <v>7105</v>
      </c>
      <c r="K67" s="93" t="s">
        <v>111</v>
      </c>
      <c r="L67" s="93" t="s">
        <v>111</v>
      </c>
      <c r="M67" s="93" t="s">
        <v>111</v>
      </c>
      <c r="N67" s="93" t="s">
        <v>111</v>
      </c>
      <c r="O67" s="93" t="s">
        <v>111</v>
      </c>
      <c r="P67" s="93" t="s">
        <v>111</v>
      </c>
      <c r="Q67" s="93" t="s">
        <v>111</v>
      </c>
      <c r="R67" s="93" t="s">
        <v>111</v>
      </c>
      <c r="S67" s="93" t="s">
        <v>115</v>
      </c>
      <c r="T67" s="93" t="s">
        <v>116</v>
      </c>
      <c r="U67" s="94">
        <v>44596.581250000003</v>
      </c>
      <c r="V67" s="93" t="s">
        <v>402</v>
      </c>
      <c r="W67" s="93" t="s">
        <v>24</v>
      </c>
    </row>
    <row r="68" spans="1:23" x14ac:dyDescent="0.15">
      <c r="A68" s="93" t="s">
        <v>666</v>
      </c>
      <c r="B68" s="93" t="s">
        <v>667</v>
      </c>
      <c r="C68" s="93">
        <v>19</v>
      </c>
      <c r="D68" s="93" t="s">
        <v>24</v>
      </c>
      <c r="E68" s="93" t="s">
        <v>24</v>
      </c>
      <c r="F68" s="93" t="s">
        <v>399</v>
      </c>
      <c r="G68" s="93" t="s">
        <v>7182</v>
      </c>
      <c r="H68" s="93" t="s">
        <v>400</v>
      </c>
      <c r="I68" s="93" t="s">
        <v>111</v>
      </c>
      <c r="J68" s="93" t="s">
        <v>7105</v>
      </c>
      <c r="K68" s="93" t="s">
        <v>111</v>
      </c>
      <c r="L68" s="93" t="s">
        <v>111</v>
      </c>
      <c r="M68" s="93" t="s">
        <v>111</v>
      </c>
      <c r="N68" s="93" t="s">
        <v>111</v>
      </c>
      <c r="O68" s="93" t="s">
        <v>111</v>
      </c>
      <c r="P68" s="93" t="s">
        <v>111</v>
      </c>
      <c r="Q68" s="93" t="s">
        <v>111</v>
      </c>
      <c r="R68" s="93" t="s">
        <v>111</v>
      </c>
      <c r="S68" s="93" t="s">
        <v>115</v>
      </c>
      <c r="T68" s="93" t="s">
        <v>116</v>
      </c>
      <c r="U68" s="94">
        <v>44596.611805555556</v>
      </c>
      <c r="V68" s="93" t="s">
        <v>402</v>
      </c>
      <c r="W68" s="93" t="s">
        <v>24</v>
      </c>
    </row>
    <row r="69" spans="1:23" x14ac:dyDescent="0.15">
      <c r="A69" s="93" t="s">
        <v>668</v>
      </c>
      <c r="B69" s="93" t="s">
        <v>669</v>
      </c>
      <c r="C69" s="93">
        <v>18</v>
      </c>
      <c r="D69" s="93" t="s">
        <v>24</v>
      </c>
      <c r="E69" s="93" t="s">
        <v>24</v>
      </c>
      <c r="F69" s="93" t="s">
        <v>399</v>
      </c>
      <c r="G69" s="93" t="s">
        <v>7182</v>
      </c>
      <c r="H69" s="93" t="s">
        <v>400</v>
      </c>
      <c r="I69" s="93" t="s">
        <v>111</v>
      </c>
      <c r="J69" s="93" t="s">
        <v>7105</v>
      </c>
      <c r="K69" s="93" t="s">
        <v>111</v>
      </c>
      <c r="L69" s="93" t="s">
        <v>111</v>
      </c>
      <c r="M69" s="93" t="s">
        <v>111</v>
      </c>
      <c r="N69" s="93" t="s">
        <v>111</v>
      </c>
      <c r="O69" s="93" t="s">
        <v>111</v>
      </c>
      <c r="P69" s="93" t="s">
        <v>111</v>
      </c>
      <c r="Q69" s="93" t="s">
        <v>111</v>
      </c>
      <c r="R69" s="93" t="s">
        <v>111</v>
      </c>
      <c r="S69" s="93" t="s">
        <v>115</v>
      </c>
      <c r="T69" s="93" t="s">
        <v>116</v>
      </c>
      <c r="U69" s="94">
        <v>44596.57708333333</v>
      </c>
      <c r="V69" s="93" t="s">
        <v>402</v>
      </c>
      <c r="W69" s="93" t="s">
        <v>24</v>
      </c>
    </row>
    <row r="70" spans="1:23" x14ac:dyDescent="0.15">
      <c r="A70" s="93" t="s">
        <v>670</v>
      </c>
      <c r="B70" s="93" t="s">
        <v>671</v>
      </c>
      <c r="C70" s="93">
        <v>17</v>
      </c>
      <c r="D70" s="93" t="s">
        <v>24</v>
      </c>
      <c r="E70" s="93" t="s">
        <v>24</v>
      </c>
      <c r="F70" s="93" t="s">
        <v>399</v>
      </c>
      <c r="G70" s="93" t="s">
        <v>7182</v>
      </c>
      <c r="H70" s="93" t="s">
        <v>400</v>
      </c>
      <c r="I70" s="93" t="s">
        <v>111</v>
      </c>
      <c r="J70" s="93" t="s">
        <v>7105</v>
      </c>
      <c r="K70" s="93" t="s">
        <v>111</v>
      </c>
      <c r="L70" s="93" t="s">
        <v>111</v>
      </c>
      <c r="M70" s="93" t="s">
        <v>111</v>
      </c>
      <c r="N70" s="93" t="s">
        <v>111</v>
      </c>
      <c r="O70" s="93" t="s">
        <v>111</v>
      </c>
      <c r="P70" s="93" t="s">
        <v>111</v>
      </c>
      <c r="Q70" s="93" t="s">
        <v>111</v>
      </c>
      <c r="R70" s="93" t="s">
        <v>111</v>
      </c>
      <c r="S70" s="93" t="s">
        <v>115</v>
      </c>
      <c r="T70" s="93" t="s">
        <v>116</v>
      </c>
      <c r="U70" s="94">
        <v>44596.603472222225</v>
      </c>
      <c r="V70" s="93" t="s">
        <v>402</v>
      </c>
      <c r="W70" s="93" t="s">
        <v>24</v>
      </c>
    </row>
    <row r="71" spans="1:23" x14ac:dyDescent="0.15">
      <c r="A71" s="93" t="s">
        <v>672</v>
      </c>
      <c r="B71" s="93" t="s">
        <v>673</v>
      </c>
      <c r="C71" s="93">
        <v>16</v>
      </c>
      <c r="D71" s="93" t="s">
        <v>24</v>
      </c>
      <c r="E71" s="93" t="s">
        <v>24</v>
      </c>
      <c r="F71" s="93" t="s">
        <v>399</v>
      </c>
      <c r="G71" s="93" t="s">
        <v>7182</v>
      </c>
      <c r="H71" s="93" t="s">
        <v>400</v>
      </c>
      <c r="I71" s="93" t="s">
        <v>111</v>
      </c>
      <c r="J71" s="93" t="s">
        <v>7105</v>
      </c>
      <c r="K71" s="93" t="s">
        <v>111</v>
      </c>
      <c r="L71" s="93" t="s">
        <v>111</v>
      </c>
      <c r="M71" s="93" t="s">
        <v>111</v>
      </c>
      <c r="N71" s="93" t="s">
        <v>111</v>
      </c>
      <c r="O71" s="93" t="s">
        <v>111</v>
      </c>
      <c r="P71" s="93" t="s">
        <v>111</v>
      </c>
      <c r="Q71" s="93" t="s">
        <v>111</v>
      </c>
      <c r="R71" s="93" t="s">
        <v>111</v>
      </c>
      <c r="S71" s="93" t="s">
        <v>115</v>
      </c>
      <c r="T71" s="93" t="s">
        <v>116</v>
      </c>
      <c r="U71" s="94">
        <v>44596.611805555556</v>
      </c>
      <c r="V71" s="93" t="s">
        <v>402</v>
      </c>
      <c r="W71" s="93" t="s">
        <v>24</v>
      </c>
    </row>
    <row r="72" spans="1:23" x14ac:dyDescent="0.15">
      <c r="A72" s="93" t="s">
        <v>674</v>
      </c>
      <c r="B72" s="93" t="s">
        <v>675</v>
      </c>
      <c r="C72" s="93">
        <v>32</v>
      </c>
      <c r="D72" s="93" t="s">
        <v>24</v>
      </c>
      <c r="E72" s="93" t="s">
        <v>24</v>
      </c>
      <c r="F72" s="93" t="s">
        <v>399</v>
      </c>
      <c r="G72" s="93" t="s">
        <v>7182</v>
      </c>
      <c r="H72" s="93" t="s">
        <v>400</v>
      </c>
      <c r="I72" s="93" t="s">
        <v>111</v>
      </c>
      <c r="J72" s="93" t="s">
        <v>7105</v>
      </c>
      <c r="K72" s="93" t="s">
        <v>111</v>
      </c>
      <c r="L72" s="93" t="s">
        <v>111</v>
      </c>
      <c r="M72" s="93" t="s">
        <v>111</v>
      </c>
      <c r="N72" s="93" t="s">
        <v>111</v>
      </c>
      <c r="O72" s="93" t="s">
        <v>111</v>
      </c>
      <c r="P72" s="93" t="s">
        <v>111</v>
      </c>
      <c r="Q72" s="93" t="s">
        <v>111</v>
      </c>
      <c r="R72" s="93" t="s">
        <v>111</v>
      </c>
      <c r="S72" s="93" t="s">
        <v>115</v>
      </c>
      <c r="T72" s="93" t="s">
        <v>116</v>
      </c>
      <c r="U72" s="94">
        <v>44596.568055555559</v>
      </c>
      <c r="V72" s="93" t="s">
        <v>402</v>
      </c>
      <c r="W72" s="93" t="s">
        <v>24</v>
      </c>
    </row>
    <row r="73" spans="1:23" x14ac:dyDescent="0.15">
      <c r="A73" s="93" t="s">
        <v>676</v>
      </c>
      <c r="B73" s="93" t="s">
        <v>677</v>
      </c>
      <c r="C73" s="93">
        <v>30.4</v>
      </c>
      <c r="D73" s="93" t="s">
        <v>24</v>
      </c>
      <c r="E73" s="93" t="s">
        <v>24</v>
      </c>
      <c r="F73" s="93" t="s">
        <v>399</v>
      </c>
      <c r="G73" s="93" t="s">
        <v>7182</v>
      </c>
      <c r="H73" s="93" t="s">
        <v>400</v>
      </c>
      <c r="I73" s="93" t="s">
        <v>111</v>
      </c>
      <c r="J73" s="93" t="s">
        <v>7105</v>
      </c>
      <c r="K73" s="93" t="s">
        <v>111</v>
      </c>
      <c r="L73" s="93" t="s">
        <v>111</v>
      </c>
      <c r="M73" s="93" t="s">
        <v>111</v>
      </c>
      <c r="N73" s="93" t="s">
        <v>111</v>
      </c>
      <c r="O73" s="93" t="s">
        <v>111</v>
      </c>
      <c r="P73" s="93" t="s">
        <v>111</v>
      </c>
      <c r="Q73" s="93" t="s">
        <v>111</v>
      </c>
      <c r="R73" s="93" t="s">
        <v>111</v>
      </c>
      <c r="S73" s="93" t="s">
        <v>115</v>
      </c>
      <c r="T73" s="93" t="s">
        <v>116</v>
      </c>
      <c r="U73" s="94">
        <v>44596.563888888886</v>
      </c>
      <c r="V73" s="93" t="s">
        <v>402</v>
      </c>
      <c r="W73" s="93" t="s">
        <v>24</v>
      </c>
    </row>
    <row r="74" spans="1:23" x14ac:dyDescent="0.15">
      <c r="A74" s="93" t="s">
        <v>678</v>
      </c>
      <c r="B74" s="93" t="s">
        <v>679</v>
      </c>
      <c r="C74" s="93">
        <v>28.8</v>
      </c>
      <c r="D74" s="93" t="s">
        <v>24</v>
      </c>
      <c r="E74" s="93" t="s">
        <v>24</v>
      </c>
      <c r="F74" s="93" t="s">
        <v>399</v>
      </c>
      <c r="G74" s="93" t="s">
        <v>7182</v>
      </c>
      <c r="H74" s="93" t="s">
        <v>400</v>
      </c>
      <c r="I74" s="93" t="s">
        <v>111</v>
      </c>
      <c r="J74" s="93" t="s">
        <v>7105</v>
      </c>
      <c r="K74" s="93" t="s">
        <v>111</v>
      </c>
      <c r="L74" s="93" t="s">
        <v>111</v>
      </c>
      <c r="M74" s="93" t="s">
        <v>111</v>
      </c>
      <c r="N74" s="93" t="s">
        <v>111</v>
      </c>
      <c r="O74" s="93" t="s">
        <v>111</v>
      </c>
      <c r="P74" s="93" t="s">
        <v>111</v>
      </c>
      <c r="Q74" s="93" t="s">
        <v>111</v>
      </c>
      <c r="R74" s="93" t="s">
        <v>111</v>
      </c>
      <c r="S74" s="93" t="s">
        <v>115</v>
      </c>
      <c r="T74" s="93" t="s">
        <v>116</v>
      </c>
      <c r="U74" s="94">
        <v>44596.559027777781</v>
      </c>
      <c r="V74" s="93" t="s">
        <v>402</v>
      </c>
      <c r="W74" s="93" t="s">
        <v>24</v>
      </c>
    </row>
    <row r="75" spans="1:23" x14ac:dyDescent="0.15">
      <c r="A75" s="93" t="s">
        <v>680</v>
      </c>
      <c r="B75" s="93" t="s">
        <v>681</v>
      </c>
      <c r="C75" s="93">
        <v>27.2</v>
      </c>
      <c r="D75" s="93" t="s">
        <v>24</v>
      </c>
      <c r="E75" s="93" t="s">
        <v>24</v>
      </c>
      <c r="F75" s="93" t="s">
        <v>399</v>
      </c>
      <c r="G75" s="93" t="s">
        <v>7182</v>
      </c>
      <c r="H75" s="93" t="s">
        <v>400</v>
      </c>
      <c r="I75" s="93" t="s">
        <v>111</v>
      </c>
      <c r="J75" s="93" t="s">
        <v>7105</v>
      </c>
      <c r="K75" s="93" t="s">
        <v>111</v>
      </c>
      <c r="L75" s="93" t="s">
        <v>111</v>
      </c>
      <c r="M75" s="93" t="s">
        <v>111</v>
      </c>
      <c r="N75" s="93" t="s">
        <v>111</v>
      </c>
      <c r="O75" s="93" t="s">
        <v>111</v>
      </c>
      <c r="P75" s="93" t="s">
        <v>111</v>
      </c>
      <c r="Q75" s="93" t="s">
        <v>111</v>
      </c>
      <c r="R75" s="93" t="s">
        <v>111</v>
      </c>
      <c r="S75" s="93" t="s">
        <v>115</v>
      </c>
      <c r="T75" s="93" t="s">
        <v>116</v>
      </c>
      <c r="U75" s="94">
        <v>44596.611805555556</v>
      </c>
      <c r="V75" s="93" t="s">
        <v>402</v>
      </c>
      <c r="W75" s="93" t="s">
        <v>24</v>
      </c>
    </row>
    <row r="76" spans="1:23" x14ac:dyDescent="0.15">
      <c r="A76" s="93" t="s">
        <v>682</v>
      </c>
      <c r="B76" s="93" t="s">
        <v>683</v>
      </c>
      <c r="C76" s="93">
        <v>25.6</v>
      </c>
      <c r="D76" s="93" t="s">
        <v>24</v>
      </c>
      <c r="E76" s="93" t="s">
        <v>24</v>
      </c>
      <c r="F76" s="93" t="s">
        <v>399</v>
      </c>
      <c r="G76" s="93" t="s">
        <v>7182</v>
      </c>
      <c r="H76" s="93" t="s">
        <v>400</v>
      </c>
      <c r="I76" s="93" t="s">
        <v>111</v>
      </c>
      <c r="J76" s="93" t="s">
        <v>7105</v>
      </c>
      <c r="K76" s="93" t="s">
        <v>111</v>
      </c>
      <c r="L76" s="93" t="s">
        <v>111</v>
      </c>
      <c r="M76" s="93" t="s">
        <v>111</v>
      </c>
      <c r="N76" s="93" t="s">
        <v>111</v>
      </c>
      <c r="O76" s="93" t="s">
        <v>111</v>
      </c>
      <c r="P76" s="93" t="s">
        <v>111</v>
      </c>
      <c r="Q76" s="93" t="s">
        <v>111</v>
      </c>
      <c r="R76" s="93" t="s">
        <v>111</v>
      </c>
      <c r="S76" s="93" t="s">
        <v>115</v>
      </c>
      <c r="T76" s="93" t="s">
        <v>116</v>
      </c>
      <c r="U76" s="94">
        <v>44596.568749999999</v>
      </c>
      <c r="V76" s="93" t="s">
        <v>402</v>
      </c>
      <c r="W76" s="93" t="s">
        <v>24</v>
      </c>
    </row>
    <row r="77" spans="1:23" x14ac:dyDescent="0.15">
      <c r="A77" s="93" t="s">
        <v>684</v>
      </c>
      <c r="B77" s="93" t="s">
        <v>685</v>
      </c>
      <c r="C77" s="93">
        <v>40</v>
      </c>
      <c r="D77" s="93" t="s">
        <v>24</v>
      </c>
      <c r="E77" s="93" t="s">
        <v>24</v>
      </c>
      <c r="F77" s="93" t="s">
        <v>399</v>
      </c>
      <c r="G77" s="93" t="s">
        <v>7182</v>
      </c>
      <c r="H77" s="93" t="s">
        <v>400</v>
      </c>
      <c r="I77" s="93" t="s">
        <v>111</v>
      </c>
      <c r="J77" s="93" t="s">
        <v>7105</v>
      </c>
      <c r="K77" s="93" t="s">
        <v>111</v>
      </c>
      <c r="L77" s="93" t="s">
        <v>111</v>
      </c>
      <c r="M77" s="93" t="s">
        <v>111</v>
      </c>
      <c r="N77" s="93" t="s">
        <v>111</v>
      </c>
      <c r="O77" s="93" t="s">
        <v>111</v>
      </c>
      <c r="P77" s="93" t="s">
        <v>111</v>
      </c>
      <c r="Q77" s="93" t="s">
        <v>111</v>
      </c>
      <c r="R77" s="93" t="s">
        <v>111</v>
      </c>
      <c r="S77" s="93" t="s">
        <v>115</v>
      </c>
      <c r="T77" s="93" t="s">
        <v>116</v>
      </c>
      <c r="U77" s="94">
        <v>44596.563888888886</v>
      </c>
      <c r="V77" s="93" t="s">
        <v>402</v>
      </c>
      <c r="W77" s="93" t="s">
        <v>24</v>
      </c>
    </row>
    <row r="78" spans="1:23" x14ac:dyDescent="0.15">
      <c r="A78" s="93" t="s">
        <v>686</v>
      </c>
      <c r="B78" s="93" t="s">
        <v>687</v>
      </c>
      <c r="C78" s="93">
        <v>38</v>
      </c>
      <c r="D78" s="93" t="s">
        <v>24</v>
      </c>
      <c r="E78" s="93" t="s">
        <v>24</v>
      </c>
      <c r="F78" s="93" t="s">
        <v>399</v>
      </c>
      <c r="G78" s="93" t="s">
        <v>7182</v>
      </c>
      <c r="H78" s="93" t="s">
        <v>400</v>
      </c>
      <c r="I78" s="93" t="s">
        <v>111</v>
      </c>
      <c r="J78" s="93" t="s">
        <v>7105</v>
      </c>
      <c r="K78" s="93" t="s">
        <v>111</v>
      </c>
      <c r="L78" s="93" t="s">
        <v>111</v>
      </c>
      <c r="M78" s="93" t="s">
        <v>111</v>
      </c>
      <c r="N78" s="93" t="s">
        <v>111</v>
      </c>
      <c r="O78" s="93" t="s">
        <v>111</v>
      </c>
      <c r="P78" s="93" t="s">
        <v>111</v>
      </c>
      <c r="Q78" s="93" t="s">
        <v>111</v>
      </c>
      <c r="R78" s="93" t="s">
        <v>111</v>
      </c>
      <c r="S78" s="93" t="s">
        <v>115</v>
      </c>
      <c r="T78" s="93" t="s">
        <v>116</v>
      </c>
      <c r="U78" s="94">
        <v>44596.572916666664</v>
      </c>
      <c r="V78" s="93" t="s">
        <v>402</v>
      </c>
      <c r="W78" s="93" t="s">
        <v>24</v>
      </c>
    </row>
    <row r="79" spans="1:23" x14ac:dyDescent="0.15">
      <c r="A79" s="93" t="s">
        <v>688</v>
      </c>
      <c r="B79" s="93" t="s">
        <v>689</v>
      </c>
      <c r="C79" s="93">
        <v>36</v>
      </c>
      <c r="D79" s="93" t="s">
        <v>24</v>
      </c>
      <c r="E79" s="93" t="s">
        <v>24</v>
      </c>
      <c r="F79" s="93" t="s">
        <v>399</v>
      </c>
      <c r="G79" s="93" t="s">
        <v>7182</v>
      </c>
      <c r="H79" s="93" t="s">
        <v>400</v>
      </c>
      <c r="I79" s="93" t="s">
        <v>111</v>
      </c>
      <c r="J79" s="93" t="s">
        <v>7105</v>
      </c>
      <c r="K79" s="93" t="s">
        <v>111</v>
      </c>
      <c r="L79" s="93" t="s">
        <v>111</v>
      </c>
      <c r="M79" s="93" t="s">
        <v>111</v>
      </c>
      <c r="N79" s="93" t="s">
        <v>111</v>
      </c>
      <c r="O79" s="93" t="s">
        <v>111</v>
      </c>
      <c r="P79" s="93" t="s">
        <v>111</v>
      </c>
      <c r="Q79" s="93" t="s">
        <v>111</v>
      </c>
      <c r="R79" s="93" t="s">
        <v>111</v>
      </c>
      <c r="S79" s="93" t="s">
        <v>115</v>
      </c>
      <c r="T79" s="93" t="s">
        <v>116</v>
      </c>
      <c r="U79" s="94">
        <v>44596.572916666664</v>
      </c>
      <c r="V79" s="93" t="s">
        <v>402</v>
      </c>
      <c r="W79" s="93" t="s">
        <v>24</v>
      </c>
    </row>
    <row r="80" spans="1:23" x14ac:dyDescent="0.15">
      <c r="A80" s="93" t="s">
        <v>690</v>
      </c>
      <c r="B80" s="93" t="s">
        <v>691</v>
      </c>
      <c r="C80" s="93">
        <v>34</v>
      </c>
      <c r="D80" s="93" t="s">
        <v>24</v>
      </c>
      <c r="E80" s="93" t="s">
        <v>24</v>
      </c>
      <c r="F80" s="93" t="s">
        <v>399</v>
      </c>
      <c r="G80" s="93" t="s">
        <v>7182</v>
      </c>
      <c r="H80" s="93" t="s">
        <v>400</v>
      </c>
      <c r="I80" s="93" t="s">
        <v>111</v>
      </c>
      <c r="J80" s="93" t="s">
        <v>7105</v>
      </c>
      <c r="K80" s="93" t="s">
        <v>111</v>
      </c>
      <c r="L80" s="93" t="s">
        <v>111</v>
      </c>
      <c r="M80" s="93" t="s">
        <v>111</v>
      </c>
      <c r="N80" s="93" t="s">
        <v>111</v>
      </c>
      <c r="O80" s="93" t="s">
        <v>111</v>
      </c>
      <c r="P80" s="93" t="s">
        <v>111</v>
      </c>
      <c r="Q80" s="93" t="s">
        <v>111</v>
      </c>
      <c r="R80" s="93" t="s">
        <v>111</v>
      </c>
      <c r="S80" s="93" t="s">
        <v>115</v>
      </c>
      <c r="T80" s="93" t="s">
        <v>116</v>
      </c>
      <c r="U80" s="94">
        <v>44596.554861111108</v>
      </c>
      <c r="V80" s="93" t="s">
        <v>402</v>
      </c>
      <c r="W80" s="93" t="s">
        <v>24</v>
      </c>
    </row>
    <row r="81" spans="1:23" x14ac:dyDescent="0.15">
      <c r="A81" s="93" t="s">
        <v>692</v>
      </c>
      <c r="B81" s="93" t="s">
        <v>693</v>
      </c>
      <c r="C81" s="93">
        <v>32</v>
      </c>
      <c r="D81" s="93" t="s">
        <v>24</v>
      </c>
      <c r="E81" s="93" t="s">
        <v>24</v>
      </c>
      <c r="F81" s="93" t="s">
        <v>399</v>
      </c>
      <c r="G81" s="93" t="s">
        <v>7182</v>
      </c>
      <c r="H81" s="93" t="s">
        <v>400</v>
      </c>
      <c r="I81" s="93" t="s">
        <v>111</v>
      </c>
      <c r="J81" s="93" t="s">
        <v>7105</v>
      </c>
      <c r="K81" s="93" t="s">
        <v>111</v>
      </c>
      <c r="L81" s="93" t="s">
        <v>111</v>
      </c>
      <c r="M81" s="93" t="s">
        <v>111</v>
      </c>
      <c r="N81" s="93" t="s">
        <v>111</v>
      </c>
      <c r="O81" s="93" t="s">
        <v>111</v>
      </c>
      <c r="P81" s="93" t="s">
        <v>111</v>
      </c>
      <c r="Q81" s="93" t="s">
        <v>111</v>
      </c>
      <c r="R81" s="93" t="s">
        <v>111</v>
      </c>
      <c r="S81" s="93" t="s">
        <v>115</v>
      </c>
      <c r="T81" s="93" t="s">
        <v>116</v>
      </c>
      <c r="U81" s="94">
        <v>44596.568749999999</v>
      </c>
      <c r="V81" s="93" t="s">
        <v>402</v>
      </c>
      <c r="W81" s="93" t="s">
        <v>24</v>
      </c>
    </row>
    <row r="82" spans="1:23" x14ac:dyDescent="0.15">
      <c r="A82" s="93" t="s">
        <v>694</v>
      </c>
      <c r="B82" s="93" t="s">
        <v>695</v>
      </c>
      <c r="C82" s="93">
        <v>50</v>
      </c>
      <c r="D82" s="93" t="s">
        <v>24</v>
      </c>
      <c r="E82" s="93" t="s">
        <v>24</v>
      </c>
      <c r="F82" s="93" t="s">
        <v>399</v>
      </c>
      <c r="G82" s="93" t="s">
        <v>7182</v>
      </c>
      <c r="H82" s="93" t="s">
        <v>400</v>
      </c>
      <c r="I82" s="93" t="s">
        <v>111</v>
      </c>
      <c r="J82" s="93" t="s">
        <v>118</v>
      </c>
      <c r="K82" s="93">
        <v>3</v>
      </c>
      <c r="L82" s="93" t="s">
        <v>111</v>
      </c>
      <c r="M82" s="93" t="s">
        <v>111</v>
      </c>
      <c r="N82" s="93" t="s">
        <v>111</v>
      </c>
      <c r="O82" s="93" t="s">
        <v>111</v>
      </c>
      <c r="P82" s="93" t="s">
        <v>111</v>
      </c>
      <c r="Q82" s="93" t="s">
        <v>111</v>
      </c>
      <c r="R82" s="93" t="s">
        <v>111</v>
      </c>
      <c r="S82" s="93" t="s">
        <v>115</v>
      </c>
      <c r="T82" s="93" t="s">
        <v>116</v>
      </c>
      <c r="U82" s="94">
        <v>44596.563888888886</v>
      </c>
      <c r="V82" s="93" t="s">
        <v>402</v>
      </c>
      <c r="W82" s="93" t="s">
        <v>24</v>
      </c>
    </row>
    <row r="83" spans="1:23" x14ac:dyDescent="0.15">
      <c r="A83" s="93" t="s">
        <v>696</v>
      </c>
      <c r="B83" s="93" t="s">
        <v>697</v>
      </c>
      <c r="C83" s="93">
        <v>47.5</v>
      </c>
      <c r="D83" s="93" t="s">
        <v>24</v>
      </c>
      <c r="E83" s="93" t="s">
        <v>24</v>
      </c>
      <c r="F83" s="93" t="s">
        <v>399</v>
      </c>
      <c r="G83" s="93" t="s">
        <v>7182</v>
      </c>
      <c r="H83" s="93" t="s">
        <v>400</v>
      </c>
      <c r="I83" s="93" t="s">
        <v>111</v>
      </c>
      <c r="J83" s="93" t="s">
        <v>7105</v>
      </c>
      <c r="K83" s="93" t="s">
        <v>111</v>
      </c>
      <c r="L83" s="93" t="s">
        <v>111</v>
      </c>
      <c r="M83" s="93" t="s">
        <v>111</v>
      </c>
      <c r="N83" s="93" t="s">
        <v>111</v>
      </c>
      <c r="O83" s="93" t="s">
        <v>111</v>
      </c>
      <c r="P83" s="93" t="s">
        <v>111</v>
      </c>
      <c r="Q83" s="93" t="s">
        <v>111</v>
      </c>
      <c r="R83" s="93" t="s">
        <v>111</v>
      </c>
      <c r="S83" s="93" t="s">
        <v>115</v>
      </c>
      <c r="T83" s="93" t="s">
        <v>116</v>
      </c>
      <c r="U83" s="94">
        <v>44596.55972222222</v>
      </c>
      <c r="V83" s="93" t="s">
        <v>402</v>
      </c>
      <c r="W83" s="93" t="s">
        <v>24</v>
      </c>
    </row>
    <row r="84" spans="1:23" x14ac:dyDescent="0.15">
      <c r="A84" s="93" t="s">
        <v>698</v>
      </c>
      <c r="B84" s="93" t="s">
        <v>699</v>
      </c>
      <c r="C84" s="93">
        <v>45</v>
      </c>
      <c r="D84" s="93" t="s">
        <v>24</v>
      </c>
      <c r="E84" s="93" t="s">
        <v>24</v>
      </c>
      <c r="F84" s="93" t="s">
        <v>399</v>
      </c>
      <c r="G84" s="93" t="s">
        <v>7182</v>
      </c>
      <c r="H84" s="93" t="s">
        <v>400</v>
      </c>
      <c r="I84" s="93" t="s">
        <v>111</v>
      </c>
      <c r="J84" s="93" t="s">
        <v>7105</v>
      </c>
      <c r="K84" s="93" t="s">
        <v>111</v>
      </c>
      <c r="L84" s="93" t="s">
        <v>111</v>
      </c>
      <c r="M84" s="93" t="s">
        <v>111</v>
      </c>
      <c r="N84" s="93" t="s">
        <v>111</v>
      </c>
      <c r="O84" s="93" t="s">
        <v>111</v>
      </c>
      <c r="P84" s="93" t="s">
        <v>111</v>
      </c>
      <c r="Q84" s="93" t="s">
        <v>111</v>
      </c>
      <c r="R84" s="93" t="s">
        <v>111</v>
      </c>
      <c r="S84" s="93" t="s">
        <v>115</v>
      </c>
      <c r="T84" s="93" t="s">
        <v>116</v>
      </c>
      <c r="U84" s="94">
        <v>44596.559027777781</v>
      </c>
      <c r="V84" s="93" t="s">
        <v>402</v>
      </c>
      <c r="W84" s="93" t="s">
        <v>24</v>
      </c>
    </row>
    <row r="85" spans="1:23" x14ac:dyDescent="0.15">
      <c r="A85" s="93" t="s">
        <v>700</v>
      </c>
      <c r="B85" s="93" t="s">
        <v>701</v>
      </c>
      <c r="C85" s="93">
        <v>42.5</v>
      </c>
      <c r="D85" s="93" t="s">
        <v>24</v>
      </c>
      <c r="E85" s="93" t="s">
        <v>24</v>
      </c>
      <c r="F85" s="93" t="s">
        <v>399</v>
      </c>
      <c r="G85" s="93" t="s">
        <v>7182</v>
      </c>
      <c r="H85" s="93" t="s">
        <v>400</v>
      </c>
      <c r="I85" s="93" t="s">
        <v>111</v>
      </c>
      <c r="J85" s="93" t="s">
        <v>7105</v>
      </c>
      <c r="K85" s="93" t="s">
        <v>111</v>
      </c>
      <c r="L85" s="93" t="s">
        <v>111</v>
      </c>
      <c r="M85" s="93" t="s">
        <v>111</v>
      </c>
      <c r="N85" s="93" t="s">
        <v>111</v>
      </c>
      <c r="O85" s="93" t="s">
        <v>111</v>
      </c>
      <c r="P85" s="93" t="s">
        <v>111</v>
      </c>
      <c r="Q85" s="93" t="s">
        <v>111</v>
      </c>
      <c r="R85" s="93" t="s">
        <v>111</v>
      </c>
      <c r="S85" s="93" t="s">
        <v>115</v>
      </c>
      <c r="T85" s="93" t="s">
        <v>116</v>
      </c>
      <c r="U85" s="94">
        <v>44596.563194444447</v>
      </c>
      <c r="V85" s="93" t="s">
        <v>402</v>
      </c>
      <c r="W85" s="93" t="s">
        <v>24</v>
      </c>
    </row>
    <row r="86" spans="1:23" x14ac:dyDescent="0.15">
      <c r="A86" s="93" t="s">
        <v>702</v>
      </c>
      <c r="B86" s="93" t="s">
        <v>703</v>
      </c>
      <c r="C86" s="93">
        <v>40</v>
      </c>
      <c r="D86" s="93" t="s">
        <v>24</v>
      </c>
      <c r="E86" s="93" t="s">
        <v>24</v>
      </c>
      <c r="F86" s="93" t="s">
        <v>399</v>
      </c>
      <c r="G86" s="93" t="s">
        <v>7182</v>
      </c>
      <c r="H86" s="93" t="s">
        <v>400</v>
      </c>
      <c r="I86" s="93" t="s">
        <v>111</v>
      </c>
      <c r="J86" s="93" t="s">
        <v>7105</v>
      </c>
      <c r="K86" s="93" t="s">
        <v>111</v>
      </c>
      <c r="L86" s="93" t="s">
        <v>111</v>
      </c>
      <c r="M86" s="93" t="s">
        <v>111</v>
      </c>
      <c r="N86" s="93" t="s">
        <v>111</v>
      </c>
      <c r="O86" s="93" t="s">
        <v>111</v>
      </c>
      <c r="P86" s="93" t="s">
        <v>111</v>
      </c>
      <c r="Q86" s="93" t="s">
        <v>111</v>
      </c>
      <c r="R86" s="93" t="s">
        <v>111</v>
      </c>
      <c r="S86" s="93" t="s">
        <v>115</v>
      </c>
      <c r="T86" s="93" t="s">
        <v>116</v>
      </c>
      <c r="U86" s="94">
        <v>44596.604166666664</v>
      </c>
      <c r="V86" s="93" t="s">
        <v>402</v>
      </c>
      <c r="W86" s="93" t="s">
        <v>24</v>
      </c>
    </row>
    <row r="87" spans="1:23" x14ac:dyDescent="0.15">
      <c r="A87" s="93" t="s">
        <v>704</v>
      </c>
      <c r="B87" s="93" t="s">
        <v>705</v>
      </c>
      <c r="C87" s="93">
        <v>134</v>
      </c>
      <c r="D87" s="93" t="s">
        <v>24</v>
      </c>
      <c r="E87" s="93" t="s">
        <v>24</v>
      </c>
      <c r="F87" s="93" t="s">
        <v>399</v>
      </c>
      <c r="G87" s="93" t="s">
        <v>7182</v>
      </c>
      <c r="H87" s="93" t="s">
        <v>400</v>
      </c>
      <c r="I87" s="93" t="s">
        <v>111</v>
      </c>
      <c r="J87" s="93" t="s">
        <v>7105</v>
      </c>
      <c r="K87" s="93" t="s">
        <v>111</v>
      </c>
      <c r="L87" s="93" t="s">
        <v>111</v>
      </c>
      <c r="M87" s="93" t="s">
        <v>111</v>
      </c>
      <c r="N87" s="93" t="s">
        <v>111</v>
      </c>
      <c r="O87" s="93" t="s">
        <v>111</v>
      </c>
      <c r="P87" s="93" t="s">
        <v>111</v>
      </c>
      <c r="Q87" s="93" t="s">
        <v>111</v>
      </c>
      <c r="R87" s="93" t="s">
        <v>111</v>
      </c>
      <c r="S87" s="93" t="s">
        <v>115</v>
      </c>
      <c r="T87" s="93" t="s">
        <v>116</v>
      </c>
      <c r="U87" s="94">
        <v>44596.581250000003</v>
      </c>
      <c r="V87" s="93" t="s">
        <v>402</v>
      </c>
      <c r="W87" s="93" t="s">
        <v>24</v>
      </c>
    </row>
    <row r="88" spans="1:23" x14ac:dyDescent="0.15">
      <c r="A88" s="93" t="s">
        <v>706</v>
      </c>
      <c r="B88" s="93" t="s">
        <v>707</v>
      </c>
      <c r="C88" s="93">
        <v>120.6</v>
      </c>
      <c r="D88" s="93" t="s">
        <v>24</v>
      </c>
      <c r="E88" s="93" t="s">
        <v>24</v>
      </c>
      <c r="F88" s="93" t="s">
        <v>399</v>
      </c>
      <c r="G88" s="93" t="s">
        <v>7182</v>
      </c>
      <c r="H88" s="93" t="s">
        <v>400</v>
      </c>
      <c r="I88" s="93" t="s">
        <v>111</v>
      </c>
      <c r="J88" s="93" t="s">
        <v>7105</v>
      </c>
      <c r="K88" s="93" t="s">
        <v>111</v>
      </c>
      <c r="L88" s="93" t="s">
        <v>111</v>
      </c>
      <c r="M88" s="93" t="s">
        <v>111</v>
      </c>
      <c r="N88" s="93" t="s">
        <v>111</v>
      </c>
      <c r="O88" s="93" t="s">
        <v>111</v>
      </c>
      <c r="P88" s="93" t="s">
        <v>111</v>
      </c>
      <c r="Q88" s="93" t="s">
        <v>111</v>
      </c>
      <c r="R88" s="93" t="s">
        <v>111</v>
      </c>
      <c r="S88" s="93" t="s">
        <v>115</v>
      </c>
      <c r="T88" s="93" t="s">
        <v>116</v>
      </c>
      <c r="U88" s="94">
        <v>44596.607638888891</v>
      </c>
      <c r="V88" s="93" t="s">
        <v>402</v>
      </c>
      <c r="W88" s="93" t="s">
        <v>24</v>
      </c>
    </row>
    <row r="89" spans="1:23" x14ac:dyDescent="0.15">
      <c r="A89" s="93" t="s">
        <v>708</v>
      </c>
      <c r="B89" s="93" t="s">
        <v>709</v>
      </c>
      <c r="C89" s="93">
        <v>113.9</v>
      </c>
      <c r="D89" s="93" t="s">
        <v>24</v>
      </c>
      <c r="E89" s="93" t="s">
        <v>24</v>
      </c>
      <c r="F89" s="93" t="s">
        <v>399</v>
      </c>
      <c r="G89" s="93" t="s">
        <v>7182</v>
      </c>
      <c r="H89" s="93" t="s">
        <v>400</v>
      </c>
      <c r="I89" s="93" t="s">
        <v>111</v>
      </c>
      <c r="J89" s="93" t="s">
        <v>7105</v>
      </c>
      <c r="K89" s="93" t="s">
        <v>111</v>
      </c>
      <c r="L89" s="93" t="s">
        <v>111</v>
      </c>
      <c r="M89" s="93" t="s">
        <v>111</v>
      </c>
      <c r="N89" s="93" t="s">
        <v>111</v>
      </c>
      <c r="O89" s="93" t="s">
        <v>111</v>
      </c>
      <c r="P89" s="93" t="s">
        <v>111</v>
      </c>
      <c r="Q89" s="93" t="s">
        <v>111</v>
      </c>
      <c r="R89" s="93" t="s">
        <v>111</v>
      </c>
      <c r="S89" s="93" t="s">
        <v>115</v>
      </c>
      <c r="T89" s="93" t="s">
        <v>116</v>
      </c>
      <c r="U89" s="94">
        <v>44596.576388888891</v>
      </c>
      <c r="V89" s="93" t="s">
        <v>402</v>
      </c>
      <c r="W89" s="93" t="s">
        <v>24</v>
      </c>
    </row>
    <row r="90" spans="1:23" x14ac:dyDescent="0.15">
      <c r="A90" s="93" t="s">
        <v>710</v>
      </c>
      <c r="B90" s="93" t="s">
        <v>711</v>
      </c>
      <c r="C90" s="93">
        <v>100.5</v>
      </c>
      <c r="D90" s="93" t="s">
        <v>24</v>
      </c>
      <c r="E90" s="93" t="s">
        <v>24</v>
      </c>
      <c r="F90" s="93" t="s">
        <v>399</v>
      </c>
      <c r="G90" s="93" t="s">
        <v>7182</v>
      </c>
      <c r="H90" s="93" t="s">
        <v>400</v>
      </c>
      <c r="I90" s="93" t="s">
        <v>111</v>
      </c>
      <c r="J90" s="93" t="s">
        <v>7105</v>
      </c>
      <c r="K90" s="93" t="s">
        <v>111</v>
      </c>
      <c r="L90" s="93" t="s">
        <v>111</v>
      </c>
      <c r="M90" s="93" t="s">
        <v>111</v>
      </c>
      <c r="N90" s="93" t="s">
        <v>111</v>
      </c>
      <c r="O90" s="93" t="s">
        <v>111</v>
      </c>
      <c r="P90" s="93" t="s">
        <v>111</v>
      </c>
      <c r="Q90" s="93" t="s">
        <v>111</v>
      </c>
      <c r="R90" s="93" t="s">
        <v>111</v>
      </c>
      <c r="S90" s="93" t="s">
        <v>115</v>
      </c>
      <c r="T90" s="93" t="s">
        <v>116</v>
      </c>
      <c r="U90" s="94">
        <v>44596.607638888891</v>
      </c>
      <c r="V90" s="93" t="s">
        <v>402</v>
      </c>
      <c r="W90" s="93" t="s">
        <v>24</v>
      </c>
    </row>
    <row r="91" spans="1:23" x14ac:dyDescent="0.15">
      <c r="A91" s="93" t="s">
        <v>712</v>
      </c>
      <c r="B91" s="93" t="s">
        <v>713</v>
      </c>
      <c r="C91" s="93">
        <v>67</v>
      </c>
      <c r="D91" s="93" t="s">
        <v>24</v>
      </c>
      <c r="E91" s="93" t="s">
        <v>24</v>
      </c>
      <c r="F91" s="93" t="s">
        <v>399</v>
      </c>
      <c r="G91" s="93" t="s">
        <v>7182</v>
      </c>
      <c r="H91" s="93" t="s">
        <v>400</v>
      </c>
      <c r="I91" s="93" t="s">
        <v>111</v>
      </c>
      <c r="J91" s="93" t="s">
        <v>7105</v>
      </c>
      <c r="K91" s="93" t="s">
        <v>111</v>
      </c>
      <c r="L91" s="93" t="s">
        <v>111</v>
      </c>
      <c r="M91" s="93" t="s">
        <v>111</v>
      </c>
      <c r="N91" s="93" t="s">
        <v>111</v>
      </c>
      <c r="O91" s="93" t="s">
        <v>111</v>
      </c>
      <c r="P91" s="93" t="s">
        <v>111</v>
      </c>
      <c r="Q91" s="93" t="s">
        <v>111</v>
      </c>
      <c r="R91" s="93" t="s">
        <v>111</v>
      </c>
      <c r="S91" s="93" t="s">
        <v>115</v>
      </c>
      <c r="T91" s="93" t="s">
        <v>116</v>
      </c>
      <c r="U91" s="94">
        <v>44596.568055555559</v>
      </c>
      <c r="V91" s="93" t="s">
        <v>402</v>
      </c>
      <c r="W91" s="93" t="s">
        <v>24</v>
      </c>
    </row>
    <row r="92" spans="1:23" x14ac:dyDescent="0.15">
      <c r="A92" s="93" t="s">
        <v>714</v>
      </c>
      <c r="B92" s="93" t="s">
        <v>715</v>
      </c>
      <c r="C92" s="93">
        <v>210</v>
      </c>
      <c r="D92" s="93" t="s">
        <v>24</v>
      </c>
      <c r="E92" s="93" t="s">
        <v>24</v>
      </c>
      <c r="F92" s="93" t="s">
        <v>399</v>
      </c>
      <c r="G92" s="93" t="s">
        <v>7182</v>
      </c>
      <c r="H92" s="93" t="s">
        <v>400</v>
      </c>
      <c r="I92" s="93" t="s">
        <v>111</v>
      </c>
      <c r="J92" s="93" t="s">
        <v>7105</v>
      </c>
      <c r="K92" s="93" t="s">
        <v>111</v>
      </c>
      <c r="L92" s="93" t="s">
        <v>111</v>
      </c>
      <c r="M92" s="93" t="s">
        <v>111</v>
      </c>
      <c r="N92" s="93" t="s">
        <v>111</v>
      </c>
      <c r="O92" s="93" t="s">
        <v>111</v>
      </c>
      <c r="P92" s="93" t="s">
        <v>111</v>
      </c>
      <c r="Q92" s="93" t="s">
        <v>111</v>
      </c>
      <c r="R92" s="93" t="s">
        <v>111</v>
      </c>
      <c r="S92" s="93" t="s">
        <v>115</v>
      </c>
      <c r="T92" s="93" t="s">
        <v>116</v>
      </c>
      <c r="U92" s="94">
        <v>44596.599305555559</v>
      </c>
      <c r="V92" s="93" t="s">
        <v>402</v>
      </c>
      <c r="W92" s="93" t="s">
        <v>24</v>
      </c>
    </row>
    <row r="93" spans="1:23" x14ac:dyDescent="0.15">
      <c r="A93" s="93" t="s">
        <v>716</v>
      </c>
      <c r="B93" s="93" t="s">
        <v>717</v>
      </c>
      <c r="C93" s="93">
        <v>189</v>
      </c>
      <c r="D93" s="93" t="s">
        <v>24</v>
      </c>
      <c r="E93" s="93" t="s">
        <v>24</v>
      </c>
      <c r="F93" s="93" t="s">
        <v>399</v>
      </c>
      <c r="G93" s="93" t="s">
        <v>7182</v>
      </c>
      <c r="H93" s="93" t="s">
        <v>400</v>
      </c>
      <c r="I93" s="93" t="s">
        <v>111</v>
      </c>
      <c r="J93" s="93" t="s">
        <v>7105</v>
      </c>
      <c r="K93" s="93" t="s">
        <v>111</v>
      </c>
      <c r="L93" s="93" t="s">
        <v>111</v>
      </c>
      <c r="M93" s="93" t="s">
        <v>111</v>
      </c>
      <c r="N93" s="93" t="s">
        <v>111</v>
      </c>
      <c r="O93" s="93" t="s">
        <v>111</v>
      </c>
      <c r="P93" s="93" t="s">
        <v>111</v>
      </c>
      <c r="Q93" s="93" t="s">
        <v>111</v>
      </c>
      <c r="R93" s="93" t="s">
        <v>111</v>
      </c>
      <c r="S93" s="93" t="s">
        <v>115</v>
      </c>
      <c r="T93" s="93" t="s">
        <v>116</v>
      </c>
      <c r="U93" s="94">
        <v>44596.57708333333</v>
      </c>
      <c r="V93" s="93" t="s">
        <v>402</v>
      </c>
      <c r="W93" s="93" t="s">
        <v>24</v>
      </c>
    </row>
    <row r="94" spans="1:23" x14ac:dyDescent="0.15">
      <c r="A94" s="93" t="s">
        <v>718</v>
      </c>
      <c r="B94" s="93" t="s">
        <v>719</v>
      </c>
      <c r="C94" s="93">
        <v>178.5</v>
      </c>
      <c r="D94" s="93" t="s">
        <v>24</v>
      </c>
      <c r="E94" s="93" t="s">
        <v>24</v>
      </c>
      <c r="F94" s="93" t="s">
        <v>399</v>
      </c>
      <c r="G94" s="93" t="s">
        <v>7182</v>
      </c>
      <c r="H94" s="93" t="s">
        <v>400</v>
      </c>
      <c r="I94" s="93" t="s">
        <v>111</v>
      </c>
      <c r="J94" s="93" t="s">
        <v>7105</v>
      </c>
      <c r="K94" s="93" t="s">
        <v>111</v>
      </c>
      <c r="L94" s="93" t="s">
        <v>111</v>
      </c>
      <c r="M94" s="93" t="s">
        <v>111</v>
      </c>
      <c r="N94" s="93" t="s">
        <v>111</v>
      </c>
      <c r="O94" s="93" t="s">
        <v>111</v>
      </c>
      <c r="P94" s="93" t="s">
        <v>111</v>
      </c>
      <c r="Q94" s="93" t="s">
        <v>111</v>
      </c>
      <c r="R94" s="93" t="s">
        <v>111</v>
      </c>
      <c r="S94" s="93" t="s">
        <v>115</v>
      </c>
      <c r="T94" s="93" t="s">
        <v>116</v>
      </c>
      <c r="U94" s="94">
        <v>44596.611805555556</v>
      </c>
      <c r="V94" s="93" t="s">
        <v>402</v>
      </c>
      <c r="W94" s="93" t="s">
        <v>24</v>
      </c>
    </row>
    <row r="95" spans="1:23" x14ac:dyDescent="0.15">
      <c r="A95" s="93" t="s">
        <v>720</v>
      </c>
      <c r="B95" s="93" t="s">
        <v>721</v>
      </c>
      <c r="C95" s="93">
        <v>157.5</v>
      </c>
      <c r="D95" s="93" t="s">
        <v>24</v>
      </c>
      <c r="E95" s="93" t="s">
        <v>24</v>
      </c>
      <c r="F95" s="93" t="s">
        <v>399</v>
      </c>
      <c r="G95" s="93" t="s">
        <v>7182</v>
      </c>
      <c r="H95" s="93" t="s">
        <v>400</v>
      </c>
      <c r="I95" s="93" t="s">
        <v>111</v>
      </c>
      <c r="J95" s="93" t="s">
        <v>7105</v>
      </c>
      <c r="K95" s="93" t="s">
        <v>111</v>
      </c>
      <c r="L95" s="93" t="s">
        <v>111</v>
      </c>
      <c r="M95" s="93" t="s">
        <v>111</v>
      </c>
      <c r="N95" s="93" t="s">
        <v>111</v>
      </c>
      <c r="O95" s="93" t="s">
        <v>111</v>
      </c>
      <c r="P95" s="93" t="s">
        <v>111</v>
      </c>
      <c r="Q95" s="93" t="s">
        <v>111</v>
      </c>
      <c r="R95" s="93" t="s">
        <v>111</v>
      </c>
      <c r="S95" s="93" t="s">
        <v>115</v>
      </c>
      <c r="T95" s="93" t="s">
        <v>116</v>
      </c>
      <c r="U95" s="94">
        <v>44596.568055555559</v>
      </c>
      <c r="V95" s="93" t="s">
        <v>402</v>
      </c>
      <c r="W95" s="93" t="s">
        <v>24</v>
      </c>
    </row>
    <row r="96" spans="1:23" x14ac:dyDescent="0.15">
      <c r="A96" s="93" t="s">
        <v>722</v>
      </c>
      <c r="B96" s="93" t="s">
        <v>723</v>
      </c>
      <c r="C96" s="93">
        <v>105</v>
      </c>
      <c r="D96" s="93" t="s">
        <v>24</v>
      </c>
      <c r="E96" s="93" t="s">
        <v>24</v>
      </c>
      <c r="F96" s="93" t="s">
        <v>399</v>
      </c>
      <c r="G96" s="93" t="s">
        <v>7182</v>
      </c>
      <c r="H96" s="93" t="s">
        <v>400</v>
      </c>
      <c r="I96" s="93" t="s">
        <v>111</v>
      </c>
      <c r="J96" s="93" t="s">
        <v>7105</v>
      </c>
      <c r="K96" s="93" t="s">
        <v>111</v>
      </c>
      <c r="L96" s="93" t="s">
        <v>111</v>
      </c>
      <c r="M96" s="93" t="s">
        <v>111</v>
      </c>
      <c r="N96" s="93" t="s">
        <v>111</v>
      </c>
      <c r="O96" s="93" t="s">
        <v>111</v>
      </c>
      <c r="P96" s="93" t="s">
        <v>111</v>
      </c>
      <c r="Q96" s="93" t="s">
        <v>111</v>
      </c>
      <c r="R96" s="93" t="s">
        <v>111</v>
      </c>
      <c r="S96" s="93" t="s">
        <v>115</v>
      </c>
      <c r="T96" s="93" t="s">
        <v>116</v>
      </c>
      <c r="U96" s="94">
        <v>44596.563194444447</v>
      </c>
      <c r="V96" s="93" t="s">
        <v>402</v>
      </c>
      <c r="W96" s="93" t="s">
        <v>24</v>
      </c>
    </row>
    <row r="97" spans="1:23" x14ac:dyDescent="0.15">
      <c r="A97" s="93" t="s">
        <v>724</v>
      </c>
      <c r="B97" s="93" t="s">
        <v>725</v>
      </c>
      <c r="C97" s="93">
        <v>375</v>
      </c>
      <c r="D97" s="93" t="s">
        <v>24</v>
      </c>
      <c r="E97" s="93" t="s">
        <v>24</v>
      </c>
      <c r="F97" s="93" t="s">
        <v>399</v>
      </c>
      <c r="G97" s="93" t="s">
        <v>7182</v>
      </c>
      <c r="H97" s="93" t="s">
        <v>400</v>
      </c>
      <c r="I97" s="93" t="s">
        <v>111</v>
      </c>
      <c r="J97" s="93" t="s">
        <v>7105</v>
      </c>
      <c r="K97" s="93" t="s">
        <v>111</v>
      </c>
      <c r="L97" s="93" t="s">
        <v>111</v>
      </c>
      <c r="M97" s="93" t="s">
        <v>111</v>
      </c>
      <c r="N97" s="93" t="s">
        <v>111</v>
      </c>
      <c r="O97" s="93" t="s">
        <v>111</v>
      </c>
      <c r="P97" s="93" t="s">
        <v>111</v>
      </c>
      <c r="Q97" s="93" t="s">
        <v>111</v>
      </c>
      <c r="R97" s="93" t="s">
        <v>111</v>
      </c>
      <c r="S97" s="93" t="s">
        <v>115</v>
      </c>
      <c r="T97" s="93" t="s">
        <v>116</v>
      </c>
      <c r="U97" s="94">
        <v>44596.559027777781</v>
      </c>
      <c r="V97" s="93" t="s">
        <v>402</v>
      </c>
      <c r="W97" s="93" t="s">
        <v>24</v>
      </c>
    </row>
    <row r="98" spans="1:23" x14ac:dyDescent="0.15">
      <c r="A98" s="93" t="s">
        <v>726</v>
      </c>
      <c r="B98" s="93" t="s">
        <v>727</v>
      </c>
      <c r="C98" s="93">
        <v>337.5</v>
      </c>
      <c r="D98" s="93" t="s">
        <v>24</v>
      </c>
      <c r="E98" s="93" t="s">
        <v>24</v>
      </c>
      <c r="F98" s="93" t="s">
        <v>399</v>
      </c>
      <c r="G98" s="93" t="s">
        <v>7182</v>
      </c>
      <c r="H98" s="93" t="s">
        <v>400</v>
      </c>
      <c r="I98" s="93" t="s">
        <v>111</v>
      </c>
      <c r="J98" s="93" t="s">
        <v>7105</v>
      </c>
      <c r="K98" s="93" t="s">
        <v>111</v>
      </c>
      <c r="L98" s="93" t="s">
        <v>111</v>
      </c>
      <c r="M98" s="93" t="s">
        <v>111</v>
      </c>
      <c r="N98" s="93" t="s">
        <v>111</v>
      </c>
      <c r="O98" s="93" t="s">
        <v>111</v>
      </c>
      <c r="P98" s="93" t="s">
        <v>111</v>
      </c>
      <c r="Q98" s="93" t="s">
        <v>111</v>
      </c>
      <c r="R98" s="93" t="s">
        <v>111</v>
      </c>
      <c r="S98" s="93" t="s">
        <v>115</v>
      </c>
      <c r="T98" s="93" t="s">
        <v>116</v>
      </c>
      <c r="U98" s="94">
        <v>44596.599305555559</v>
      </c>
      <c r="V98" s="93" t="s">
        <v>402</v>
      </c>
      <c r="W98" s="93" t="s">
        <v>24</v>
      </c>
    </row>
    <row r="99" spans="1:23" x14ac:dyDescent="0.15">
      <c r="A99" s="93" t="s">
        <v>728</v>
      </c>
      <c r="B99" s="93" t="s">
        <v>729</v>
      </c>
      <c r="C99" s="93">
        <v>318.75</v>
      </c>
      <c r="D99" s="93" t="s">
        <v>24</v>
      </c>
      <c r="E99" s="93" t="s">
        <v>24</v>
      </c>
      <c r="F99" s="93" t="s">
        <v>399</v>
      </c>
      <c r="G99" s="93" t="s">
        <v>7182</v>
      </c>
      <c r="H99" s="93" t="s">
        <v>400</v>
      </c>
      <c r="I99" s="93" t="s">
        <v>111</v>
      </c>
      <c r="J99" s="93" t="s">
        <v>7105</v>
      </c>
      <c r="K99" s="93" t="s">
        <v>111</v>
      </c>
      <c r="L99" s="93" t="s">
        <v>111</v>
      </c>
      <c r="M99" s="93" t="s">
        <v>111</v>
      </c>
      <c r="N99" s="93" t="s">
        <v>111</v>
      </c>
      <c r="O99" s="93" t="s">
        <v>111</v>
      </c>
      <c r="P99" s="93" t="s">
        <v>111</v>
      </c>
      <c r="Q99" s="93" t="s">
        <v>111</v>
      </c>
      <c r="R99" s="93" t="s">
        <v>111</v>
      </c>
      <c r="S99" s="93" t="s">
        <v>115</v>
      </c>
      <c r="T99" s="93" t="s">
        <v>116</v>
      </c>
      <c r="U99" s="94">
        <v>44596.604166666664</v>
      </c>
      <c r="V99" s="93" t="s">
        <v>402</v>
      </c>
      <c r="W99" s="93" t="s">
        <v>24</v>
      </c>
    </row>
    <row r="100" spans="1:23" x14ac:dyDescent="0.15">
      <c r="A100" s="93" t="s">
        <v>730</v>
      </c>
      <c r="B100" s="93" t="s">
        <v>731</v>
      </c>
      <c r="C100" s="93">
        <v>281.25</v>
      </c>
      <c r="D100" s="93" t="s">
        <v>24</v>
      </c>
      <c r="E100" s="93" t="s">
        <v>24</v>
      </c>
      <c r="F100" s="93" t="s">
        <v>399</v>
      </c>
      <c r="G100" s="93" t="s">
        <v>7182</v>
      </c>
      <c r="H100" s="93" t="s">
        <v>400</v>
      </c>
      <c r="I100" s="93" t="s">
        <v>111</v>
      </c>
      <c r="J100" s="93" t="s">
        <v>7105</v>
      </c>
      <c r="K100" s="93" t="s">
        <v>111</v>
      </c>
      <c r="L100" s="93" t="s">
        <v>111</v>
      </c>
      <c r="M100" s="93" t="s">
        <v>111</v>
      </c>
      <c r="N100" s="93" t="s">
        <v>111</v>
      </c>
      <c r="O100" s="93" t="s">
        <v>111</v>
      </c>
      <c r="P100" s="93" t="s">
        <v>111</v>
      </c>
      <c r="Q100" s="93" t="s">
        <v>111</v>
      </c>
      <c r="R100" s="93" t="s">
        <v>111</v>
      </c>
      <c r="S100" s="93" t="s">
        <v>115</v>
      </c>
      <c r="T100" s="93" t="s">
        <v>116</v>
      </c>
      <c r="U100" s="94">
        <v>44596.572222222225</v>
      </c>
      <c r="V100" s="93" t="s">
        <v>402</v>
      </c>
      <c r="W100" s="93" t="s">
        <v>24</v>
      </c>
    </row>
    <row r="101" spans="1:23" x14ac:dyDescent="0.15">
      <c r="A101" s="93" t="s">
        <v>732</v>
      </c>
      <c r="B101" s="93" t="s">
        <v>733</v>
      </c>
      <c r="C101" s="93">
        <v>187.5</v>
      </c>
      <c r="D101" s="93" t="s">
        <v>24</v>
      </c>
      <c r="E101" s="93" t="s">
        <v>24</v>
      </c>
      <c r="F101" s="93" t="s">
        <v>399</v>
      </c>
      <c r="G101" s="93" t="s">
        <v>7182</v>
      </c>
      <c r="H101" s="93" t="s">
        <v>400</v>
      </c>
      <c r="I101" s="93" t="s">
        <v>111</v>
      </c>
      <c r="J101" s="93" t="s">
        <v>7105</v>
      </c>
      <c r="K101" s="93" t="s">
        <v>111</v>
      </c>
      <c r="L101" s="93" t="s">
        <v>111</v>
      </c>
      <c r="M101" s="93" t="s">
        <v>111</v>
      </c>
      <c r="N101" s="93" t="s">
        <v>111</v>
      </c>
      <c r="O101" s="93" t="s">
        <v>111</v>
      </c>
      <c r="P101" s="93" t="s">
        <v>111</v>
      </c>
      <c r="Q101" s="93" t="s">
        <v>111</v>
      </c>
      <c r="R101" s="93" t="s">
        <v>111</v>
      </c>
      <c r="S101" s="93" t="s">
        <v>115</v>
      </c>
      <c r="T101" s="93" t="s">
        <v>116</v>
      </c>
      <c r="U101" s="94">
        <v>44596.572222222225</v>
      </c>
      <c r="V101" s="93" t="s">
        <v>402</v>
      </c>
      <c r="W101" s="93" t="s">
        <v>24</v>
      </c>
    </row>
    <row r="102" spans="1:23" x14ac:dyDescent="0.15">
      <c r="A102" s="93" t="s">
        <v>734</v>
      </c>
      <c r="B102" s="93" t="s">
        <v>735</v>
      </c>
      <c r="C102" s="93">
        <v>700</v>
      </c>
      <c r="D102" s="93" t="s">
        <v>24</v>
      </c>
      <c r="E102" s="93" t="s">
        <v>24</v>
      </c>
      <c r="F102" s="93" t="s">
        <v>399</v>
      </c>
      <c r="G102" s="93" t="s">
        <v>7182</v>
      </c>
      <c r="H102" s="93" t="s">
        <v>400</v>
      </c>
      <c r="I102" s="93" t="s">
        <v>111</v>
      </c>
      <c r="J102" s="93" t="s">
        <v>118</v>
      </c>
      <c r="K102" s="93">
        <v>3</v>
      </c>
      <c r="L102" s="93" t="s">
        <v>111</v>
      </c>
      <c r="M102" s="93" t="s">
        <v>111</v>
      </c>
      <c r="N102" s="93" t="s">
        <v>111</v>
      </c>
      <c r="O102" s="93" t="s">
        <v>111</v>
      </c>
      <c r="P102" s="93" t="s">
        <v>111</v>
      </c>
      <c r="Q102" s="93" t="s">
        <v>111</v>
      </c>
      <c r="R102" s="93" t="s">
        <v>111</v>
      </c>
      <c r="S102" s="93" t="s">
        <v>115</v>
      </c>
      <c r="T102" s="93" t="s">
        <v>116</v>
      </c>
      <c r="U102" s="94">
        <v>44596.57708333333</v>
      </c>
      <c r="V102" s="93" t="s">
        <v>402</v>
      </c>
      <c r="W102" s="93" t="s">
        <v>24</v>
      </c>
    </row>
    <row r="103" spans="1:23" x14ac:dyDescent="0.15">
      <c r="A103" s="93" t="s">
        <v>736</v>
      </c>
      <c r="B103" s="93" t="s">
        <v>737</v>
      </c>
      <c r="C103" s="93">
        <v>11750</v>
      </c>
      <c r="D103" s="93" t="s">
        <v>24</v>
      </c>
      <c r="E103" s="93" t="s">
        <v>24</v>
      </c>
      <c r="F103" s="93" t="s">
        <v>399</v>
      </c>
      <c r="G103" s="93" t="s">
        <v>7182</v>
      </c>
      <c r="H103" s="93" t="s">
        <v>400</v>
      </c>
      <c r="I103" s="93" t="s">
        <v>111</v>
      </c>
      <c r="J103" s="93" t="s">
        <v>7105</v>
      </c>
      <c r="K103" s="93" t="s">
        <v>111</v>
      </c>
      <c r="L103" s="93" t="s">
        <v>111</v>
      </c>
      <c r="M103" s="93" t="s">
        <v>111</v>
      </c>
      <c r="N103" s="93" t="s">
        <v>111</v>
      </c>
      <c r="O103" s="93" t="s">
        <v>111</v>
      </c>
      <c r="P103" s="93" t="s">
        <v>111</v>
      </c>
      <c r="Q103" s="93" t="s">
        <v>111</v>
      </c>
      <c r="R103" s="93" t="s">
        <v>2</v>
      </c>
      <c r="S103" s="93" t="s">
        <v>115</v>
      </c>
      <c r="T103" s="93" t="s">
        <v>116</v>
      </c>
      <c r="U103" s="94">
        <v>44596.554861111108</v>
      </c>
      <c r="V103" s="93" t="s">
        <v>402</v>
      </c>
      <c r="W103" s="93" t="s">
        <v>24</v>
      </c>
    </row>
    <row r="104" spans="1:23" x14ac:dyDescent="0.15">
      <c r="A104" s="93" t="s">
        <v>738</v>
      </c>
      <c r="B104" s="93" t="s">
        <v>739</v>
      </c>
      <c r="C104" s="93">
        <v>630</v>
      </c>
      <c r="D104" s="93" t="s">
        <v>24</v>
      </c>
      <c r="E104" s="93" t="s">
        <v>24</v>
      </c>
      <c r="F104" s="93" t="s">
        <v>399</v>
      </c>
      <c r="G104" s="93" t="s">
        <v>7182</v>
      </c>
      <c r="H104" s="93" t="s">
        <v>400</v>
      </c>
      <c r="I104" s="93" t="s">
        <v>111</v>
      </c>
      <c r="J104" s="93" t="s">
        <v>7105</v>
      </c>
      <c r="K104" s="93" t="s">
        <v>111</v>
      </c>
      <c r="L104" s="93" t="s">
        <v>111</v>
      </c>
      <c r="M104" s="93" t="s">
        <v>111</v>
      </c>
      <c r="N104" s="93" t="s">
        <v>111</v>
      </c>
      <c r="O104" s="93" t="s">
        <v>111</v>
      </c>
      <c r="P104" s="93" t="s">
        <v>111</v>
      </c>
      <c r="Q104" s="93" t="s">
        <v>111</v>
      </c>
      <c r="R104" s="93" t="s">
        <v>111</v>
      </c>
      <c r="S104" s="93" t="s">
        <v>115</v>
      </c>
      <c r="T104" s="93" t="s">
        <v>116</v>
      </c>
      <c r="U104" s="94">
        <v>44596.568055555559</v>
      </c>
      <c r="V104" s="93" t="s">
        <v>402</v>
      </c>
      <c r="W104" s="93" t="s">
        <v>24</v>
      </c>
    </row>
    <row r="105" spans="1:23" x14ac:dyDescent="0.15">
      <c r="A105" s="93" t="s">
        <v>740</v>
      </c>
      <c r="B105" s="93" t="s">
        <v>741</v>
      </c>
      <c r="C105" s="93">
        <v>595</v>
      </c>
      <c r="D105" s="93" t="s">
        <v>24</v>
      </c>
      <c r="E105" s="93" t="s">
        <v>24</v>
      </c>
      <c r="F105" s="93" t="s">
        <v>399</v>
      </c>
      <c r="G105" s="93" t="s">
        <v>7182</v>
      </c>
      <c r="H105" s="93" t="s">
        <v>400</v>
      </c>
      <c r="I105" s="93" t="s">
        <v>111</v>
      </c>
      <c r="J105" s="93" t="s">
        <v>7105</v>
      </c>
      <c r="K105" s="93" t="s">
        <v>111</v>
      </c>
      <c r="L105" s="93" t="s">
        <v>111</v>
      </c>
      <c r="M105" s="93" t="s">
        <v>111</v>
      </c>
      <c r="N105" s="93" t="s">
        <v>111</v>
      </c>
      <c r="O105" s="93" t="s">
        <v>111</v>
      </c>
      <c r="P105" s="93" t="s">
        <v>111</v>
      </c>
      <c r="Q105" s="93" t="s">
        <v>111</v>
      </c>
      <c r="R105" s="93" t="s">
        <v>111</v>
      </c>
      <c r="S105" s="93" t="s">
        <v>115</v>
      </c>
      <c r="T105" s="93" t="s">
        <v>116</v>
      </c>
      <c r="U105" s="94">
        <v>44596.563888888886</v>
      </c>
      <c r="V105" s="93" t="s">
        <v>402</v>
      </c>
      <c r="W105" s="93" t="s">
        <v>24</v>
      </c>
    </row>
    <row r="106" spans="1:23" x14ac:dyDescent="0.15">
      <c r="A106" s="93" t="s">
        <v>742</v>
      </c>
      <c r="B106" s="93" t="s">
        <v>743</v>
      </c>
      <c r="C106" s="93">
        <v>525</v>
      </c>
      <c r="D106" s="93" t="s">
        <v>24</v>
      </c>
      <c r="E106" s="93" t="s">
        <v>24</v>
      </c>
      <c r="F106" s="93" t="s">
        <v>399</v>
      </c>
      <c r="G106" s="93" t="s">
        <v>7182</v>
      </c>
      <c r="H106" s="93" t="s">
        <v>400</v>
      </c>
      <c r="I106" s="93" t="s">
        <v>111</v>
      </c>
      <c r="J106" s="93" t="s">
        <v>7105</v>
      </c>
      <c r="K106" s="93" t="s">
        <v>111</v>
      </c>
      <c r="L106" s="93" t="s">
        <v>111</v>
      </c>
      <c r="M106" s="93" t="s">
        <v>111</v>
      </c>
      <c r="N106" s="93" t="s">
        <v>111</v>
      </c>
      <c r="O106" s="93" t="s">
        <v>111</v>
      </c>
      <c r="P106" s="93" t="s">
        <v>111</v>
      </c>
      <c r="Q106" s="93" t="s">
        <v>111</v>
      </c>
      <c r="R106" s="93" t="s">
        <v>111</v>
      </c>
      <c r="S106" s="93" t="s">
        <v>115</v>
      </c>
      <c r="T106" s="93" t="s">
        <v>116</v>
      </c>
      <c r="U106" s="94">
        <v>44596.559027777781</v>
      </c>
      <c r="V106" s="93" t="s">
        <v>402</v>
      </c>
      <c r="W106" s="93" t="s">
        <v>24</v>
      </c>
    </row>
    <row r="107" spans="1:23" x14ac:dyDescent="0.15">
      <c r="A107" s="93" t="s">
        <v>744</v>
      </c>
      <c r="B107" s="93" t="s">
        <v>745</v>
      </c>
      <c r="C107" s="93">
        <v>350</v>
      </c>
      <c r="D107" s="93" t="s">
        <v>24</v>
      </c>
      <c r="E107" s="93" t="s">
        <v>24</v>
      </c>
      <c r="F107" s="93" t="s">
        <v>399</v>
      </c>
      <c r="G107" s="93" t="s">
        <v>7182</v>
      </c>
      <c r="H107" s="93" t="s">
        <v>400</v>
      </c>
      <c r="I107" s="93" t="s">
        <v>111</v>
      </c>
      <c r="J107" s="93" t="s">
        <v>7105</v>
      </c>
      <c r="K107" s="93" t="s">
        <v>111</v>
      </c>
      <c r="L107" s="93" t="s">
        <v>111</v>
      </c>
      <c r="M107" s="93" t="s">
        <v>111</v>
      </c>
      <c r="N107" s="93" t="s">
        <v>111</v>
      </c>
      <c r="O107" s="93" t="s">
        <v>111</v>
      </c>
      <c r="P107" s="93" t="s">
        <v>111</v>
      </c>
      <c r="Q107" s="93" t="s">
        <v>111</v>
      </c>
      <c r="R107" s="93" t="s">
        <v>111</v>
      </c>
      <c r="S107" s="93" t="s">
        <v>115</v>
      </c>
      <c r="T107" s="93" t="s">
        <v>116</v>
      </c>
      <c r="U107" s="94">
        <v>44596.563888888886</v>
      </c>
      <c r="V107" s="93" t="s">
        <v>402</v>
      </c>
      <c r="W107" s="93" t="s">
        <v>24</v>
      </c>
    </row>
    <row r="108" spans="1:23" x14ac:dyDescent="0.15">
      <c r="A108" s="93" t="s">
        <v>746</v>
      </c>
      <c r="B108" s="93" t="s">
        <v>747</v>
      </c>
      <c r="C108" s="93">
        <v>5</v>
      </c>
      <c r="D108" s="93" t="s">
        <v>24</v>
      </c>
      <c r="E108" s="93" t="s">
        <v>24</v>
      </c>
      <c r="F108" s="93" t="s">
        <v>399</v>
      </c>
      <c r="G108" s="93" t="s">
        <v>7183</v>
      </c>
      <c r="H108" s="93" t="s">
        <v>400</v>
      </c>
      <c r="I108" s="93" t="s">
        <v>111</v>
      </c>
      <c r="J108" s="93" t="s">
        <v>118</v>
      </c>
      <c r="K108" s="93">
        <v>3</v>
      </c>
      <c r="L108" s="93" t="s">
        <v>111</v>
      </c>
      <c r="M108" s="93" t="s">
        <v>111</v>
      </c>
      <c r="N108" s="93" t="s">
        <v>111</v>
      </c>
      <c r="O108" s="93" t="s">
        <v>111</v>
      </c>
      <c r="P108" s="93" t="s">
        <v>111</v>
      </c>
      <c r="Q108" s="93" t="s">
        <v>228</v>
      </c>
      <c r="R108" s="93" t="s">
        <v>2</v>
      </c>
      <c r="S108" s="93" t="s">
        <v>115</v>
      </c>
      <c r="T108" s="93" t="s">
        <v>116</v>
      </c>
      <c r="U108" s="94">
        <v>44596.579861111109</v>
      </c>
      <c r="V108" s="93" t="s">
        <v>402</v>
      </c>
      <c r="W108" s="93" t="s">
        <v>24</v>
      </c>
    </row>
    <row r="109" spans="1:23" x14ac:dyDescent="0.15">
      <c r="A109" s="93" t="s">
        <v>748</v>
      </c>
      <c r="B109" s="93" t="s">
        <v>749</v>
      </c>
      <c r="C109" s="93">
        <v>4.5</v>
      </c>
      <c r="D109" s="93" t="s">
        <v>24</v>
      </c>
      <c r="E109" s="93" t="s">
        <v>24</v>
      </c>
      <c r="F109" s="93" t="s">
        <v>399</v>
      </c>
      <c r="G109" s="93" t="s">
        <v>7183</v>
      </c>
      <c r="H109" s="93" t="s">
        <v>400</v>
      </c>
      <c r="I109" s="93" t="s">
        <v>111</v>
      </c>
      <c r="J109" s="93" t="s">
        <v>118</v>
      </c>
      <c r="K109" s="93">
        <v>3</v>
      </c>
      <c r="L109" s="93" t="s">
        <v>111</v>
      </c>
      <c r="M109" s="93" t="s">
        <v>111</v>
      </c>
      <c r="N109" s="93" t="s">
        <v>111</v>
      </c>
      <c r="O109" s="93" t="s">
        <v>111</v>
      </c>
      <c r="P109" s="93" t="s">
        <v>111</v>
      </c>
      <c r="Q109" s="93" t="s">
        <v>228</v>
      </c>
      <c r="R109" s="93" t="s">
        <v>2</v>
      </c>
      <c r="S109" s="93" t="s">
        <v>115</v>
      </c>
      <c r="T109" s="93" t="s">
        <v>116</v>
      </c>
      <c r="U109" s="94">
        <v>44596.571527777778</v>
      </c>
      <c r="V109" s="93" t="s">
        <v>402</v>
      </c>
      <c r="W109" s="93" t="s">
        <v>24</v>
      </c>
    </row>
    <row r="110" spans="1:23" x14ac:dyDescent="0.15">
      <c r="A110" s="93" t="s">
        <v>6645</v>
      </c>
      <c r="B110" s="93" t="s">
        <v>7184</v>
      </c>
      <c r="C110" s="93">
        <v>4.25</v>
      </c>
      <c r="D110" s="93" t="s">
        <v>24</v>
      </c>
      <c r="E110" s="93" t="s">
        <v>24</v>
      </c>
      <c r="F110" s="93" t="s">
        <v>399</v>
      </c>
      <c r="G110" s="93" t="s">
        <v>7183</v>
      </c>
      <c r="H110" s="93" t="s">
        <v>400</v>
      </c>
      <c r="I110" s="93" t="s">
        <v>111</v>
      </c>
      <c r="J110" s="93" t="s">
        <v>7105</v>
      </c>
      <c r="K110" s="93" t="s">
        <v>111</v>
      </c>
      <c r="L110" s="93" t="s">
        <v>111</v>
      </c>
      <c r="M110" s="93" t="s">
        <v>111</v>
      </c>
      <c r="N110" s="93" t="s">
        <v>111</v>
      </c>
      <c r="O110" s="93" t="s">
        <v>111</v>
      </c>
      <c r="P110" s="93" t="s">
        <v>111</v>
      </c>
      <c r="Q110" s="93" t="s">
        <v>228</v>
      </c>
      <c r="R110" s="93" t="s">
        <v>2</v>
      </c>
      <c r="S110" s="93" t="s">
        <v>115</v>
      </c>
      <c r="T110" s="93" t="s">
        <v>116</v>
      </c>
      <c r="U110" s="94">
        <v>44596.579861111109</v>
      </c>
      <c r="V110" s="93" t="s">
        <v>402</v>
      </c>
      <c r="W110" s="93" t="s">
        <v>24</v>
      </c>
    </row>
    <row r="111" spans="1:23" x14ac:dyDescent="0.15">
      <c r="A111" s="93" t="s">
        <v>750</v>
      </c>
      <c r="B111" s="93" t="s">
        <v>751</v>
      </c>
      <c r="C111" s="93">
        <v>3.75</v>
      </c>
      <c r="D111" s="93" t="s">
        <v>24</v>
      </c>
      <c r="E111" s="93" t="s">
        <v>24</v>
      </c>
      <c r="F111" s="93" t="s">
        <v>399</v>
      </c>
      <c r="G111" s="93" t="s">
        <v>7183</v>
      </c>
      <c r="H111" s="93" t="s">
        <v>400</v>
      </c>
      <c r="I111" s="93" t="s">
        <v>111</v>
      </c>
      <c r="J111" s="93" t="s">
        <v>118</v>
      </c>
      <c r="K111" s="93">
        <v>3</v>
      </c>
      <c r="L111" s="93" t="s">
        <v>111</v>
      </c>
      <c r="M111" s="93" t="s">
        <v>111</v>
      </c>
      <c r="N111" s="93" t="s">
        <v>111</v>
      </c>
      <c r="O111" s="93" t="s">
        <v>111</v>
      </c>
      <c r="P111" s="93" t="s">
        <v>111</v>
      </c>
      <c r="Q111" s="93" t="s">
        <v>228</v>
      </c>
      <c r="R111" s="93" t="s">
        <v>2</v>
      </c>
      <c r="S111" s="93" t="s">
        <v>115</v>
      </c>
      <c r="T111" s="93" t="s">
        <v>116</v>
      </c>
      <c r="U111" s="94">
        <v>44596.584722222222</v>
      </c>
      <c r="V111" s="93" t="s">
        <v>402</v>
      </c>
      <c r="W111" s="93" t="s">
        <v>24</v>
      </c>
    </row>
    <row r="112" spans="1:23" x14ac:dyDescent="0.15">
      <c r="A112" s="93" t="s">
        <v>752</v>
      </c>
      <c r="B112" s="93" t="s">
        <v>753</v>
      </c>
      <c r="C112" s="93">
        <v>2.5</v>
      </c>
      <c r="D112" s="93" t="s">
        <v>24</v>
      </c>
      <c r="E112" s="93" t="s">
        <v>24</v>
      </c>
      <c r="F112" s="93" t="s">
        <v>399</v>
      </c>
      <c r="G112" s="93" t="s">
        <v>7183</v>
      </c>
      <c r="H112" s="93" t="s">
        <v>400</v>
      </c>
      <c r="I112" s="93" t="s">
        <v>111</v>
      </c>
      <c r="J112" s="93" t="s">
        <v>118</v>
      </c>
      <c r="K112" s="93">
        <v>3</v>
      </c>
      <c r="L112" s="93" t="s">
        <v>111</v>
      </c>
      <c r="M112" s="93" t="s">
        <v>111</v>
      </c>
      <c r="N112" s="93" t="s">
        <v>111</v>
      </c>
      <c r="O112" s="93" t="s">
        <v>111</v>
      </c>
      <c r="P112" s="93" t="s">
        <v>111</v>
      </c>
      <c r="Q112" s="93" t="s">
        <v>228</v>
      </c>
      <c r="R112" s="93" t="s">
        <v>2</v>
      </c>
      <c r="S112" s="93" t="s">
        <v>115</v>
      </c>
      <c r="T112" s="93" t="s">
        <v>116</v>
      </c>
      <c r="U112" s="94">
        <v>44596.579861111109</v>
      </c>
      <c r="V112" s="93" t="s">
        <v>402</v>
      </c>
      <c r="W112" s="93" t="s">
        <v>24</v>
      </c>
    </row>
    <row r="113" spans="1:23" x14ac:dyDescent="0.15">
      <c r="A113" s="93" t="s">
        <v>754</v>
      </c>
      <c r="B113" s="93" t="s">
        <v>755</v>
      </c>
      <c r="C113" s="93">
        <v>20</v>
      </c>
      <c r="D113" s="93" t="s">
        <v>24</v>
      </c>
      <c r="E113" s="93" t="s">
        <v>24</v>
      </c>
      <c r="F113" s="93" t="s">
        <v>399</v>
      </c>
      <c r="G113" s="93" t="s">
        <v>7183</v>
      </c>
      <c r="H113" s="93" t="s">
        <v>400</v>
      </c>
      <c r="I113" s="93" t="s">
        <v>111</v>
      </c>
      <c r="J113" s="93" t="s">
        <v>118</v>
      </c>
      <c r="K113" s="93">
        <v>3</v>
      </c>
      <c r="L113" s="93" t="s">
        <v>111</v>
      </c>
      <c r="M113" s="93" t="s">
        <v>111</v>
      </c>
      <c r="N113" s="93" t="s">
        <v>111</v>
      </c>
      <c r="O113" s="93" t="s">
        <v>111</v>
      </c>
      <c r="P113" s="93" t="s">
        <v>111</v>
      </c>
      <c r="Q113" s="93" t="s">
        <v>228</v>
      </c>
      <c r="R113" s="93" t="s">
        <v>2</v>
      </c>
      <c r="S113" s="93" t="s">
        <v>115</v>
      </c>
      <c r="T113" s="93" t="s">
        <v>116</v>
      </c>
      <c r="U113" s="94">
        <v>44596.585416666669</v>
      </c>
      <c r="V113" s="93" t="s">
        <v>402</v>
      </c>
      <c r="W113" s="93" t="s">
        <v>24</v>
      </c>
    </row>
    <row r="114" spans="1:23" x14ac:dyDescent="0.15">
      <c r="A114" s="93" t="s">
        <v>756</v>
      </c>
      <c r="B114" s="93" t="s">
        <v>757</v>
      </c>
      <c r="C114" s="93">
        <v>18</v>
      </c>
      <c r="D114" s="93" t="s">
        <v>24</v>
      </c>
      <c r="E114" s="93" t="s">
        <v>24</v>
      </c>
      <c r="F114" s="93" t="s">
        <v>399</v>
      </c>
      <c r="G114" s="93" t="s">
        <v>7183</v>
      </c>
      <c r="H114" s="93" t="s">
        <v>400</v>
      </c>
      <c r="I114" s="93" t="s">
        <v>111</v>
      </c>
      <c r="J114" s="93" t="s">
        <v>118</v>
      </c>
      <c r="K114" s="93">
        <v>3</v>
      </c>
      <c r="L114" s="93" t="s">
        <v>111</v>
      </c>
      <c r="M114" s="93" t="s">
        <v>111</v>
      </c>
      <c r="N114" s="93" t="s">
        <v>111</v>
      </c>
      <c r="O114" s="93" t="s">
        <v>111</v>
      </c>
      <c r="P114" s="93" t="s">
        <v>111</v>
      </c>
      <c r="Q114" s="93" t="s">
        <v>228</v>
      </c>
      <c r="R114" s="93" t="s">
        <v>2</v>
      </c>
      <c r="S114" s="93" t="s">
        <v>115</v>
      </c>
      <c r="T114" s="93" t="s">
        <v>116</v>
      </c>
      <c r="U114" s="94">
        <v>44596.579861111109</v>
      </c>
      <c r="V114" s="93" t="s">
        <v>402</v>
      </c>
      <c r="W114" s="93" t="s">
        <v>24</v>
      </c>
    </row>
    <row r="115" spans="1:23" x14ac:dyDescent="0.15">
      <c r="A115" s="93" t="s">
        <v>758</v>
      </c>
      <c r="B115" s="93" t="s">
        <v>759</v>
      </c>
      <c r="C115" s="93">
        <v>17</v>
      </c>
      <c r="D115" s="93" t="s">
        <v>24</v>
      </c>
      <c r="E115" s="93" t="s">
        <v>24</v>
      </c>
      <c r="F115" s="93" t="s">
        <v>399</v>
      </c>
      <c r="G115" s="93" t="s">
        <v>7183</v>
      </c>
      <c r="H115" s="93" t="s">
        <v>400</v>
      </c>
      <c r="I115" s="93" t="s">
        <v>111</v>
      </c>
      <c r="J115" s="93" t="s">
        <v>118</v>
      </c>
      <c r="K115" s="93">
        <v>3</v>
      </c>
      <c r="L115" s="93" t="s">
        <v>111</v>
      </c>
      <c r="M115" s="93" t="s">
        <v>111</v>
      </c>
      <c r="N115" s="93" t="s">
        <v>111</v>
      </c>
      <c r="O115" s="93" t="s">
        <v>111</v>
      </c>
      <c r="P115" s="93" t="s">
        <v>111</v>
      </c>
      <c r="Q115" s="93" t="s">
        <v>228</v>
      </c>
      <c r="R115" s="93" t="s">
        <v>2</v>
      </c>
      <c r="S115" s="93" t="s">
        <v>115</v>
      </c>
      <c r="T115" s="93" t="s">
        <v>116</v>
      </c>
      <c r="U115" s="94">
        <v>44596.585416666669</v>
      </c>
      <c r="V115" s="93" t="s">
        <v>402</v>
      </c>
      <c r="W115" s="93" t="s">
        <v>24</v>
      </c>
    </row>
    <row r="116" spans="1:23" x14ac:dyDescent="0.15">
      <c r="A116" s="93" t="s">
        <v>760</v>
      </c>
      <c r="B116" s="93" t="s">
        <v>761</v>
      </c>
      <c r="C116" s="93">
        <v>15</v>
      </c>
      <c r="D116" s="93" t="s">
        <v>24</v>
      </c>
      <c r="E116" s="93" t="s">
        <v>24</v>
      </c>
      <c r="F116" s="93" t="s">
        <v>399</v>
      </c>
      <c r="G116" s="93" t="s">
        <v>7183</v>
      </c>
      <c r="H116" s="93" t="s">
        <v>400</v>
      </c>
      <c r="I116" s="93" t="s">
        <v>111</v>
      </c>
      <c r="J116" s="93" t="s">
        <v>118</v>
      </c>
      <c r="K116" s="93">
        <v>3</v>
      </c>
      <c r="L116" s="93" t="s">
        <v>111</v>
      </c>
      <c r="M116" s="93" t="s">
        <v>111</v>
      </c>
      <c r="N116" s="93" t="s">
        <v>111</v>
      </c>
      <c r="O116" s="93" t="s">
        <v>111</v>
      </c>
      <c r="P116" s="93" t="s">
        <v>111</v>
      </c>
      <c r="Q116" s="93" t="s">
        <v>228</v>
      </c>
      <c r="R116" s="93" t="s">
        <v>2</v>
      </c>
      <c r="S116" s="93" t="s">
        <v>115</v>
      </c>
      <c r="T116" s="93" t="s">
        <v>116</v>
      </c>
      <c r="U116" s="94">
        <v>44596.579861111109</v>
      </c>
      <c r="V116" s="93" t="s">
        <v>402</v>
      </c>
      <c r="W116" s="93" t="s">
        <v>24</v>
      </c>
    </row>
    <row r="117" spans="1:23" x14ac:dyDescent="0.15">
      <c r="A117" s="93" t="s">
        <v>762</v>
      </c>
      <c r="B117" s="93" t="s">
        <v>763</v>
      </c>
      <c r="C117" s="93">
        <v>10</v>
      </c>
      <c r="D117" s="93" t="s">
        <v>24</v>
      </c>
      <c r="E117" s="93" t="s">
        <v>24</v>
      </c>
      <c r="F117" s="93" t="s">
        <v>399</v>
      </c>
      <c r="G117" s="93" t="s">
        <v>7183</v>
      </c>
      <c r="H117" s="93" t="s">
        <v>400</v>
      </c>
      <c r="I117" s="93" t="s">
        <v>111</v>
      </c>
      <c r="J117" s="93" t="s">
        <v>118</v>
      </c>
      <c r="K117" s="93">
        <v>3</v>
      </c>
      <c r="L117" s="93" t="s">
        <v>111</v>
      </c>
      <c r="M117" s="93" t="s">
        <v>111</v>
      </c>
      <c r="N117" s="93" t="s">
        <v>111</v>
      </c>
      <c r="O117" s="93" t="s">
        <v>111</v>
      </c>
      <c r="P117" s="93" t="s">
        <v>111</v>
      </c>
      <c r="Q117" s="93" t="s">
        <v>228</v>
      </c>
      <c r="R117" s="93" t="s">
        <v>2</v>
      </c>
      <c r="S117" s="93" t="s">
        <v>115</v>
      </c>
      <c r="T117" s="93" t="s">
        <v>116</v>
      </c>
      <c r="U117" s="94">
        <v>44596.571527777778</v>
      </c>
      <c r="V117" s="93" t="s">
        <v>402</v>
      </c>
      <c r="W117" s="93" t="s">
        <v>24</v>
      </c>
    </row>
    <row r="118" spans="1:23" x14ac:dyDescent="0.15">
      <c r="A118" s="93" t="s">
        <v>764</v>
      </c>
      <c r="B118" s="93" t="s">
        <v>765</v>
      </c>
      <c r="C118" s="93">
        <v>50</v>
      </c>
      <c r="D118" s="93" t="s">
        <v>24</v>
      </c>
      <c r="E118" s="93" t="s">
        <v>24</v>
      </c>
      <c r="F118" s="93" t="s">
        <v>399</v>
      </c>
      <c r="G118" s="93" t="s">
        <v>7183</v>
      </c>
      <c r="H118" s="93" t="s">
        <v>400</v>
      </c>
      <c r="I118" s="93" t="s">
        <v>111</v>
      </c>
      <c r="J118" s="93" t="s">
        <v>118</v>
      </c>
      <c r="K118" s="93">
        <v>3</v>
      </c>
      <c r="L118" s="93" t="s">
        <v>111</v>
      </c>
      <c r="M118" s="93" t="s">
        <v>111</v>
      </c>
      <c r="N118" s="93" t="s">
        <v>111</v>
      </c>
      <c r="O118" s="93" t="s">
        <v>111</v>
      </c>
      <c r="P118" s="93" t="s">
        <v>111</v>
      </c>
      <c r="Q118" s="93" t="s">
        <v>228</v>
      </c>
      <c r="R118" s="93" t="s">
        <v>2</v>
      </c>
      <c r="S118" s="93" t="s">
        <v>115</v>
      </c>
      <c r="T118" s="93" t="s">
        <v>116</v>
      </c>
      <c r="U118" s="94">
        <v>44596.579861111109</v>
      </c>
      <c r="V118" s="93" t="s">
        <v>402</v>
      </c>
      <c r="W118" s="93" t="s">
        <v>24</v>
      </c>
    </row>
    <row r="119" spans="1:23" x14ac:dyDescent="0.15">
      <c r="A119" s="93" t="s">
        <v>766</v>
      </c>
      <c r="B119" s="93" t="s">
        <v>767</v>
      </c>
      <c r="C119" s="93">
        <v>45</v>
      </c>
      <c r="D119" s="93" t="s">
        <v>24</v>
      </c>
      <c r="E119" s="93" t="s">
        <v>24</v>
      </c>
      <c r="F119" s="93" t="s">
        <v>399</v>
      </c>
      <c r="G119" s="93" t="s">
        <v>7183</v>
      </c>
      <c r="H119" s="93" t="s">
        <v>400</v>
      </c>
      <c r="I119" s="93" t="s">
        <v>111</v>
      </c>
      <c r="J119" s="93" t="s">
        <v>118</v>
      </c>
      <c r="K119" s="93">
        <v>3</v>
      </c>
      <c r="L119" s="93" t="s">
        <v>111</v>
      </c>
      <c r="M119" s="93" t="s">
        <v>111</v>
      </c>
      <c r="N119" s="93" t="s">
        <v>111</v>
      </c>
      <c r="O119" s="93" t="s">
        <v>111</v>
      </c>
      <c r="P119" s="93" t="s">
        <v>111</v>
      </c>
      <c r="Q119" s="93" t="s">
        <v>228</v>
      </c>
      <c r="R119" s="93" t="s">
        <v>2</v>
      </c>
      <c r="S119" s="93" t="s">
        <v>115</v>
      </c>
      <c r="T119" s="93" t="s">
        <v>116</v>
      </c>
      <c r="U119" s="94">
        <v>44596.606944444444</v>
      </c>
      <c r="V119" s="93" t="s">
        <v>402</v>
      </c>
      <c r="W119" s="93" t="s">
        <v>24</v>
      </c>
    </row>
    <row r="120" spans="1:23" x14ac:dyDescent="0.15">
      <c r="A120" s="93" t="s">
        <v>768</v>
      </c>
      <c r="B120" s="93" t="s">
        <v>769</v>
      </c>
      <c r="C120" s="93">
        <v>42.5</v>
      </c>
      <c r="D120" s="93" t="s">
        <v>24</v>
      </c>
      <c r="E120" s="93" t="s">
        <v>24</v>
      </c>
      <c r="F120" s="93" t="s">
        <v>399</v>
      </c>
      <c r="G120" s="93" t="s">
        <v>7183</v>
      </c>
      <c r="H120" s="93" t="s">
        <v>400</v>
      </c>
      <c r="I120" s="93" t="s">
        <v>111</v>
      </c>
      <c r="J120" s="93" t="s">
        <v>118</v>
      </c>
      <c r="K120" s="93">
        <v>3</v>
      </c>
      <c r="L120" s="93" t="s">
        <v>111</v>
      </c>
      <c r="M120" s="93" t="s">
        <v>111</v>
      </c>
      <c r="N120" s="93" t="s">
        <v>111</v>
      </c>
      <c r="O120" s="93" t="s">
        <v>111</v>
      </c>
      <c r="P120" s="93" t="s">
        <v>111</v>
      </c>
      <c r="Q120" s="93" t="s">
        <v>228</v>
      </c>
      <c r="R120" s="93" t="s">
        <v>2</v>
      </c>
      <c r="S120" s="93" t="s">
        <v>115</v>
      </c>
      <c r="T120" s="93" t="s">
        <v>116</v>
      </c>
      <c r="U120" s="94">
        <v>44596.580555555556</v>
      </c>
      <c r="V120" s="93" t="s">
        <v>402</v>
      </c>
      <c r="W120" s="93" t="s">
        <v>24</v>
      </c>
    </row>
    <row r="121" spans="1:23" x14ac:dyDescent="0.15">
      <c r="A121" s="93" t="s">
        <v>770</v>
      </c>
      <c r="B121" s="93" t="s">
        <v>771</v>
      </c>
      <c r="C121" s="93">
        <v>37.5</v>
      </c>
      <c r="D121" s="93" t="s">
        <v>24</v>
      </c>
      <c r="E121" s="93" t="s">
        <v>24</v>
      </c>
      <c r="F121" s="93" t="s">
        <v>399</v>
      </c>
      <c r="G121" s="93" t="s">
        <v>7183</v>
      </c>
      <c r="H121" s="93" t="s">
        <v>400</v>
      </c>
      <c r="I121" s="93" t="s">
        <v>111</v>
      </c>
      <c r="J121" s="93" t="s">
        <v>118</v>
      </c>
      <c r="K121" s="93">
        <v>3</v>
      </c>
      <c r="L121" s="93" t="s">
        <v>111</v>
      </c>
      <c r="M121" s="93" t="s">
        <v>111</v>
      </c>
      <c r="N121" s="93" t="s">
        <v>111</v>
      </c>
      <c r="O121" s="93" t="s">
        <v>111</v>
      </c>
      <c r="P121" s="93" t="s">
        <v>111</v>
      </c>
      <c r="Q121" s="93" t="s">
        <v>228</v>
      </c>
      <c r="R121" s="93" t="s">
        <v>111</v>
      </c>
      <c r="S121" s="93" t="s">
        <v>115</v>
      </c>
      <c r="T121" s="93" t="s">
        <v>116</v>
      </c>
      <c r="U121" s="94">
        <v>44596.606944444444</v>
      </c>
      <c r="V121" s="93" t="s">
        <v>402</v>
      </c>
      <c r="W121" s="93" t="s">
        <v>24</v>
      </c>
    </row>
    <row r="122" spans="1:23" x14ac:dyDescent="0.15">
      <c r="A122" s="93" t="s">
        <v>772</v>
      </c>
      <c r="B122" s="93" t="s">
        <v>773</v>
      </c>
      <c r="C122" s="93">
        <v>25</v>
      </c>
      <c r="D122" s="93" t="s">
        <v>24</v>
      </c>
      <c r="E122" s="93" t="s">
        <v>24</v>
      </c>
      <c r="F122" s="93" t="s">
        <v>399</v>
      </c>
      <c r="G122" s="93" t="s">
        <v>7183</v>
      </c>
      <c r="H122" s="93" t="s">
        <v>400</v>
      </c>
      <c r="I122" s="93" t="s">
        <v>111</v>
      </c>
      <c r="J122" s="93" t="s">
        <v>118</v>
      </c>
      <c r="K122" s="93">
        <v>3</v>
      </c>
      <c r="L122" s="93" t="s">
        <v>111</v>
      </c>
      <c r="M122" s="93" t="s">
        <v>111</v>
      </c>
      <c r="N122" s="93" t="s">
        <v>111</v>
      </c>
      <c r="O122" s="93" t="s">
        <v>111</v>
      </c>
      <c r="P122" s="93" t="s">
        <v>111</v>
      </c>
      <c r="Q122" s="93" t="s">
        <v>228</v>
      </c>
      <c r="R122" s="93" t="s">
        <v>2</v>
      </c>
      <c r="S122" s="93" t="s">
        <v>115</v>
      </c>
      <c r="T122" s="93" t="s">
        <v>116</v>
      </c>
      <c r="U122" s="94">
        <v>44596.580555555556</v>
      </c>
      <c r="V122" s="93" t="s">
        <v>402</v>
      </c>
      <c r="W122" s="93" t="s">
        <v>24</v>
      </c>
    </row>
    <row r="123" spans="1:23" x14ac:dyDescent="0.15">
      <c r="A123" s="93" t="s">
        <v>774</v>
      </c>
      <c r="B123" s="93" t="s">
        <v>775</v>
      </c>
      <c r="C123" s="93">
        <v>70</v>
      </c>
      <c r="D123" s="93" t="s">
        <v>24</v>
      </c>
      <c r="E123" s="93" t="s">
        <v>24</v>
      </c>
      <c r="F123" s="93" t="s">
        <v>399</v>
      </c>
      <c r="G123" s="93" t="s">
        <v>7183</v>
      </c>
      <c r="H123" s="93" t="s">
        <v>400</v>
      </c>
      <c r="I123" s="93" t="s">
        <v>111</v>
      </c>
      <c r="J123" s="93" t="s">
        <v>118</v>
      </c>
      <c r="K123" s="93">
        <v>3</v>
      </c>
      <c r="L123" s="93" t="s">
        <v>111</v>
      </c>
      <c r="M123" s="93" t="s">
        <v>111</v>
      </c>
      <c r="N123" s="93" t="s">
        <v>111</v>
      </c>
      <c r="O123" s="93" t="s">
        <v>111</v>
      </c>
      <c r="P123" s="93" t="s">
        <v>111</v>
      </c>
      <c r="Q123" s="93" t="s">
        <v>228</v>
      </c>
      <c r="R123" s="93" t="s">
        <v>2</v>
      </c>
      <c r="S123" s="93" t="s">
        <v>115</v>
      </c>
      <c r="T123" s="93" t="s">
        <v>116</v>
      </c>
      <c r="U123" s="94">
        <v>44596.606944444444</v>
      </c>
      <c r="V123" s="93" t="s">
        <v>402</v>
      </c>
      <c r="W123" s="93" t="s">
        <v>24</v>
      </c>
    </row>
    <row r="124" spans="1:23" x14ac:dyDescent="0.15">
      <c r="A124" s="93" t="s">
        <v>776</v>
      </c>
      <c r="B124" s="93" t="s">
        <v>777</v>
      </c>
      <c r="C124" s="93">
        <v>63</v>
      </c>
      <c r="D124" s="93" t="s">
        <v>24</v>
      </c>
      <c r="E124" s="93" t="s">
        <v>24</v>
      </c>
      <c r="F124" s="93" t="s">
        <v>399</v>
      </c>
      <c r="G124" s="93" t="s">
        <v>7183</v>
      </c>
      <c r="H124" s="93" t="s">
        <v>400</v>
      </c>
      <c r="I124" s="93" t="s">
        <v>111</v>
      </c>
      <c r="J124" s="93" t="s">
        <v>118</v>
      </c>
      <c r="K124" s="93">
        <v>3</v>
      </c>
      <c r="L124" s="93" t="s">
        <v>111</v>
      </c>
      <c r="M124" s="93" t="s">
        <v>111</v>
      </c>
      <c r="N124" s="93" t="s">
        <v>111</v>
      </c>
      <c r="O124" s="93" t="s">
        <v>111</v>
      </c>
      <c r="P124" s="93" t="s">
        <v>111</v>
      </c>
      <c r="Q124" s="93" t="s">
        <v>228</v>
      </c>
      <c r="R124" s="93" t="s">
        <v>2</v>
      </c>
      <c r="S124" s="93" t="s">
        <v>115</v>
      </c>
      <c r="T124" s="93" t="s">
        <v>116</v>
      </c>
      <c r="U124" s="94">
        <v>44596.580555555556</v>
      </c>
      <c r="V124" s="93" t="s">
        <v>402</v>
      </c>
      <c r="W124" s="93" t="s">
        <v>24</v>
      </c>
    </row>
    <row r="125" spans="1:23" x14ac:dyDescent="0.15">
      <c r="A125" s="93" t="s">
        <v>778</v>
      </c>
      <c r="B125" s="93" t="s">
        <v>779</v>
      </c>
      <c r="C125" s="93">
        <v>59.5</v>
      </c>
      <c r="D125" s="93" t="s">
        <v>24</v>
      </c>
      <c r="E125" s="93" t="s">
        <v>24</v>
      </c>
      <c r="F125" s="93" t="s">
        <v>399</v>
      </c>
      <c r="G125" s="93" t="s">
        <v>7183</v>
      </c>
      <c r="H125" s="93" t="s">
        <v>400</v>
      </c>
      <c r="I125" s="93" t="s">
        <v>111</v>
      </c>
      <c r="J125" s="93" t="s">
        <v>118</v>
      </c>
      <c r="K125" s="93">
        <v>3</v>
      </c>
      <c r="L125" s="93" t="s">
        <v>111</v>
      </c>
      <c r="M125" s="93" t="s">
        <v>111</v>
      </c>
      <c r="N125" s="93" t="s">
        <v>111</v>
      </c>
      <c r="O125" s="93" t="s">
        <v>111</v>
      </c>
      <c r="P125" s="93" t="s">
        <v>111</v>
      </c>
      <c r="Q125" s="93" t="s">
        <v>228</v>
      </c>
      <c r="R125" s="93" t="s">
        <v>2</v>
      </c>
      <c r="S125" s="93" t="s">
        <v>115</v>
      </c>
      <c r="T125" s="93" t="s">
        <v>116</v>
      </c>
      <c r="U125" s="94">
        <v>44596.606944444444</v>
      </c>
      <c r="V125" s="93" t="s">
        <v>402</v>
      </c>
      <c r="W125" s="93" t="s">
        <v>24</v>
      </c>
    </row>
    <row r="126" spans="1:23" x14ac:dyDescent="0.15">
      <c r="A126" s="93" t="s">
        <v>780</v>
      </c>
      <c r="B126" s="93" t="s">
        <v>781</v>
      </c>
      <c r="C126" s="93">
        <v>52.5</v>
      </c>
      <c r="D126" s="93" t="s">
        <v>24</v>
      </c>
      <c r="E126" s="93" t="s">
        <v>24</v>
      </c>
      <c r="F126" s="93" t="s">
        <v>399</v>
      </c>
      <c r="G126" s="93" t="s">
        <v>7183</v>
      </c>
      <c r="H126" s="93" t="s">
        <v>400</v>
      </c>
      <c r="I126" s="93" t="s">
        <v>111</v>
      </c>
      <c r="J126" s="93" t="s">
        <v>118</v>
      </c>
      <c r="K126" s="93">
        <v>3</v>
      </c>
      <c r="L126" s="93" t="s">
        <v>111</v>
      </c>
      <c r="M126" s="93" t="s">
        <v>111</v>
      </c>
      <c r="N126" s="93" t="s">
        <v>111</v>
      </c>
      <c r="O126" s="93" t="s">
        <v>111</v>
      </c>
      <c r="P126" s="93" t="s">
        <v>111</v>
      </c>
      <c r="Q126" s="93" t="s">
        <v>228</v>
      </c>
      <c r="R126" s="93" t="s">
        <v>2</v>
      </c>
      <c r="S126" s="93" t="s">
        <v>115</v>
      </c>
      <c r="T126" s="93" t="s">
        <v>116</v>
      </c>
      <c r="U126" s="94">
        <v>44596.580555555556</v>
      </c>
      <c r="V126" s="93" t="s">
        <v>402</v>
      </c>
      <c r="W126" s="93" t="s">
        <v>24</v>
      </c>
    </row>
    <row r="127" spans="1:23" x14ac:dyDescent="0.15">
      <c r="A127" s="93" t="s">
        <v>782</v>
      </c>
      <c r="B127" s="93" t="s">
        <v>783</v>
      </c>
      <c r="C127" s="93">
        <v>35</v>
      </c>
      <c r="D127" s="93" t="s">
        <v>24</v>
      </c>
      <c r="E127" s="93" t="s">
        <v>24</v>
      </c>
      <c r="F127" s="93" t="s">
        <v>399</v>
      </c>
      <c r="G127" s="93" t="s">
        <v>7183</v>
      </c>
      <c r="H127" s="93" t="s">
        <v>400</v>
      </c>
      <c r="I127" s="93" t="s">
        <v>111</v>
      </c>
      <c r="J127" s="93" t="s">
        <v>118</v>
      </c>
      <c r="K127" s="93">
        <v>3</v>
      </c>
      <c r="L127" s="93" t="s">
        <v>111</v>
      </c>
      <c r="M127" s="93" t="s">
        <v>111</v>
      </c>
      <c r="N127" s="93" t="s">
        <v>111</v>
      </c>
      <c r="O127" s="93" t="s">
        <v>111</v>
      </c>
      <c r="P127" s="93" t="s">
        <v>111</v>
      </c>
      <c r="Q127" s="93" t="s">
        <v>228</v>
      </c>
      <c r="R127" s="93" t="s">
        <v>2</v>
      </c>
      <c r="S127" s="93" t="s">
        <v>115</v>
      </c>
      <c r="T127" s="93" t="s">
        <v>116</v>
      </c>
      <c r="U127" s="94">
        <v>44596.606944444444</v>
      </c>
      <c r="V127" s="93" t="s">
        <v>402</v>
      </c>
      <c r="W127" s="93" t="s">
        <v>24</v>
      </c>
    </row>
    <row r="128" spans="1:23" x14ac:dyDescent="0.15">
      <c r="A128" s="93" t="s">
        <v>784</v>
      </c>
      <c r="B128" s="93" t="s">
        <v>785</v>
      </c>
      <c r="C128" s="93">
        <v>120</v>
      </c>
      <c r="D128" s="93" t="s">
        <v>24</v>
      </c>
      <c r="E128" s="93" t="s">
        <v>24</v>
      </c>
      <c r="F128" s="93" t="s">
        <v>399</v>
      </c>
      <c r="G128" s="93" t="s">
        <v>7183</v>
      </c>
      <c r="H128" s="93" t="s">
        <v>400</v>
      </c>
      <c r="I128" s="93" t="s">
        <v>111</v>
      </c>
      <c r="J128" s="93" t="s">
        <v>118</v>
      </c>
      <c r="K128" s="93">
        <v>3</v>
      </c>
      <c r="L128" s="93" t="s">
        <v>111</v>
      </c>
      <c r="M128" s="93" t="s">
        <v>111</v>
      </c>
      <c r="N128" s="93" t="s">
        <v>111</v>
      </c>
      <c r="O128" s="93" t="s">
        <v>111</v>
      </c>
      <c r="P128" s="93" t="s">
        <v>111</v>
      </c>
      <c r="Q128" s="93" t="s">
        <v>228</v>
      </c>
      <c r="R128" s="93" t="s">
        <v>2</v>
      </c>
      <c r="S128" s="93" t="s">
        <v>115</v>
      </c>
      <c r="T128" s="93" t="s">
        <v>116</v>
      </c>
      <c r="U128" s="94">
        <v>44596.580555555556</v>
      </c>
      <c r="V128" s="93" t="s">
        <v>402</v>
      </c>
      <c r="W128" s="93" t="s">
        <v>24</v>
      </c>
    </row>
    <row r="129" spans="1:23" x14ac:dyDescent="0.15">
      <c r="A129" s="93" t="s">
        <v>786</v>
      </c>
      <c r="B129" s="93" t="s">
        <v>787</v>
      </c>
      <c r="C129" s="93">
        <v>108</v>
      </c>
      <c r="D129" s="93" t="s">
        <v>24</v>
      </c>
      <c r="E129" s="93" t="s">
        <v>24</v>
      </c>
      <c r="F129" s="93" t="s">
        <v>399</v>
      </c>
      <c r="G129" s="93" t="s">
        <v>7183</v>
      </c>
      <c r="H129" s="93" t="s">
        <v>400</v>
      </c>
      <c r="I129" s="93" t="s">
        <v>111</v>
      </c>
      <c r="J129" s="93" t="s">
        <v>118</v>
      </c>
      <c r="K129" s="93">
        <v>3</v>
      </c>
      <c r="L129" s="93" t="s">
        <v>111</v>
      </c>
      <c r="M129" s="93" t="s">
        <v>111</v>
      </c>
      <c r="N129" s="93" t="s">
        <v>111</v>
      </c>
      <c r="O129" s="93" t="s">
        <v>111</v>
      </c>
      <c r="P129" s="93" t="s">
        <v>111</v>
      </c>
      <c r="Q129" s="93" t="s">
        <v>228</v>
      </c>
      <c r="R129" s="93" t="s">
        <v>2</v>
      </c>
      <c r="S129" s="93" t="s">
        <v>115</v>
      </c>
      <c r="T129" s="93" t="s">
        <v>116</v>
      </c>
      <c r="U129" s="94">
        <v>44596.614583333336</v>
      </c>
      <c r="V129" s="93" t="s">
        <v>402</v>
      </c>
      <c r="W129" s="93" t="s">
        <v>24</v>
      </c>
    </row>
    <row r="130" spans="1:23" x14ac:dyDescent="0.15">
      <c r="A130" s="93" t="s">
        <v>788</v>
      </c>
      <c r="B130" s="93" t="s">
        <v>789</v>
      </c>
      <c r="C130" s="93">
        <v>102</v>
      </c>
      <c r="D130" s="93" t="s">
        <v>24</v>
      </c>
      <c r="E130" s="93" t="s">
        <v>24</v>
      </c>
      <c r="F130" s="93" t="s">
        <v>399</v>
      </c>
      <c r="G130" s="93" t="s">
        <v>7183</v>
      </c>
      <c r="H130" s="93" t="s">
        <v>400</v>
      </c>
      <c r="I130" s="93" t="s">
        <v>111</v>
      </c>
      <c r="J130" s="93" t="s">
        <v>118</v>
      </c>
      <c r="K130" s="93">
        <v>3</v>
      </c>
      <c r="L130" s="93" t="s">
        <v>111</v>
      </c>
      <c r="M130" s="93" t="s">
        <v>111</v>
      </c>
      <c r="N130" s="93" t="s">
        <v>111</v>
      </c>
      <c r="O130" s="93" t="s">
        <v>111</v>
      </c>
      <c r="P130" s="93" t="s">
        <v>111</v>
      </c>
      <c r="Q130" s="93" t="s">
        <v>228</v>
      </c>
      <c r="R130" s="93" t="s">
        <v>2</v>
      </c>
      <c r="S130" s="93" t="s">
        <v>115</v>
      </c>
      <c r="T130" s="93" t="s">
        <v>116</v>
      </c>
      <c r="U130" s="94">
        <v>44596.557638888888</v>
      </c>
      <c r="V130" s="93" t="s">
        <v>402</v>
      </c>
      <c r="W130" s="93" t="s">
        <v>24</v>
      </c>
    </row>
    <row r="131" spans="1:23" x14ac:dyDescent="0.15">
      <c r="A131" s="93" t="s">
        <v>790</v>
      </c>
      <c r="B131" s="93" t="s">
        <v>791</v>
      </c>
      <c r="C131" s="93">
        <v>90</v>
      </c>
      <c r="D131" s="93" t="s">
        <v>24</v>
      </c>
      <c r="E131" s="93" t="s">
        <v>24</v>
      </c>
      <c r="F131" s="93" t="s">
        <v>399</v>
      </c>
      <c r="G131" s="93" t="s">
        <v>7183</v>
      </c>
      <c r="H131" s="93" t="s">
        <v>400</v>
      </c>
      <c r="I131" s="93" t="s">
        <v>111</v>
      </c>
      <c r="J131" s="93" t="s">
        <v>118</v>
      </c>
      <c r="K131" s="93">
        <v>3</v>
      </c>
      <c r="L131" s="93" t="s">
        <v>111</v>
      </c>
      <c r="M131" s="93" t="s">
        <v>111</v>
      </c>
      <c r="N131" s="93" t="s">
        <v>111</v>
      </c>
      <c r="O131" s="93" t="s">
        <v>111</v>
      </c>
      <c r="P131" s="93" t="s">
        <v>111</v>
      </c>
      <c r="Q131" s="93" t="s">
        <v>228</v>
      </c>
      <c r="R131" s="93" t="s">
        <v>2</v>
      </c>
      <c r="S131" s="93" t="s">
        <v>115</v>
      </c>
      <c r="T131" s="93" t="s">
        <v>116</v>
      </c>
      <c r="U131" s="94">
        <v>44596.614583333336</v>
      </c>
      <c r="V131" s="93" t="s">
        <v>402</v>
      </c>
      <c r="W131" s="93" t="s">
        <v>24</v>
      </c>
    </row>
    <row r="132" spans="1:23" x14ac:dyDescent="0.15">
      <c r="A132" s="93" t="s">
        <v>792</v>
      </c>
      <c r="B132" s="93" t="s">
        <v>793</v>
      </c>
      <c r="C132" s="93">
        <v>60</v>
      </c>
      <c r="D132" s="93" t="s">
        <v>24</v>
      </c>
      <c r="E132" s="93" t="s">
        <v>24</v>
      </c>
      <c r="F132" s="93" t="s">
        <v>399</v>
      </c>
      <c r="G132" s="93" t="s">
        <v>7183</v>
      </c>
      <c r="H132" s="93" t="s">
        <v>400</v>
      </c>
      <c r="I132" s="93" t="s">
        <v>111</v>
      </c>
      <c r="J132" s="93" t="s">
        <v>118</v>
      </c>
      <c r="K132" s="93">
        <v>3</v>
      </c>
      <c r="L132" s="93" t="s">
        <v>111</v>
      </c>
      <c r="M132" s="93" t="s">
        <v>111</v>
      </c>
      <c r="N132" s="93" t="s">
        <v>111</v>
      </c>
      <c r="O132" s="93" t="s">
        <v>111</v>
      </c>
      <c r="P132" s="93" t="s">
        <v>111</v>
      </c>
      <c r="Q132" s="93" t="s">
        <v>228</v>
      </c>
      <c r="R132" s="93" t="s">
        <v>2</v>
      </c>
      <c r="S132" s="93" t="s">
        <v>115</v>
      </c>
      <c r="T132" s="93" t="s">
        <v>116</v>
      </c>
      <c r="U132" s="94">
        <v>44596.557638888888</v>
      </c>
      <c r="V132" s="93" t="s">
        <v>402</v>
      </c>
      <c r="W132" s="93" t="s">
        <v>24</v>
      </c>
    </row>
    <row r="133" spans="1:23" x14ac:dyDescent="0.15">
      <c r="A133" s="93" t="s">
        <v>794</v>
      </c>
      <c r="B133" s="93" t="s">
        <v>795</v>
      </c>
      <c r="C133" s="93">
        <v>225</v>
      </c>
      <c r="D133" s="93" t="s">
        <v>24</v>
      </c>
      <c r="E133" s="93" t="s">
        <v>24</v>
      </c>
      <c r="F133" s="93" t="s">
        <v>399</v>
      </c>
      <c r="G133" s="93" t="s">
        <v>7183</v>
      </c>
      <c r="H133" s="93" t="s">
        <v>400</v>
      </c>
      <c r="I133" s="93" t="s">
        <v>111</v>
      </c>
      <c r="J133" s="93" t="s">
        <v>118</v>
      </c>
      <c r="K133" s="93">
        <v>3</v>
      </c>
      <c r="L133" s="93" t="s">
        <v>111</v>
      </c>
      <c r="M133" s="93" t="s">
        <v>111</v>
      </c>
      <c r="N133" s="93" t="s">
        <v>111</v>
      </c>
      <c r="O133" s="93" t="s">
        <v>111</v>
      </c>
      <c r="P133" s="93" t="s">
        <v>111</v>
      </c>
      <c r="Q133" s="93" t="s">
        <v>228</v>
      </c>
      <c r="R133" s="93" t="s">
        <v>2</v>
      </c>
      <c r="S133" s="93" t="s">
        <v>115</v>
      </c>
      <c r="T133" s="93" t="s">
        <v>116</v>
      </c>
      <c r="U133" s="94">
        <v>44596.614583333336</v>
      </c>
      <c r="V133" s="93" t="s">
        <v>402</v>
      </c>
      <c r="W133" s="93" t="s">
        <v>24</v>
      </c>
    </row>
    <row r="134" spans="1:23" x14ac:dyDescent="0.15">
      <c r="A134" s="93" t="s">
        <v>796</v>
      </c>
      <c r="B134" s="93" t="s">
        <v>797</v>
      </c>
      <c r="C134" s="93">
        <v>202.5</v>
      </c>
      <c r="D134" s="93" t="s">
        <v>24</v>
      </c>
      <c r="E134" s="93" t="s">
        <v>24</v>
      </c>
      <c r="F134" s="93" t="s">
        <v>399</v>
      </c>
      <c r="G134" s="93" t="s">
        <v>7183</v>
      </c>
      <c r="H134" s="93" t="s">
        <v>400</v>
      </c>
      <c r="I134" s="93" t="s">
        <v>111</v>
      </c>
      <c r="J134" s="93" t="s">
        <v>118</v>
      </c>
      <c r="K134" s="93">
        <v>3</v>
      </c>
      <c r="L134" s="93" t="s">
        <v>111</v>
      </c>
      <c r="M134" s="93" t="s">
        <v>111</v>
      </c>
      <c r="N134" s="93" t="s">
        <v>111</v>
      </c>
      <c r="O134" s="93" t="s">
        <v>111</v>
      </c>
      <c r="P134" s="93" t="s">
        <v>111</v>
      </c>
      <c r="Q134" s="93" t="s">
        <v>228</v>
      </c>
      <c r="R134" s="93" t="s">
        <v>2</v>
      </c>
      <c r="S134" s="93" t="s">
        <v>115</v>
      </c>
      <c r="T134" s="93" t="s">
        <v>116</v>
      </c>
      <c r="U134" s="94">
        <v>44596.557638888888</v>
      </c>
      <c r="V134" s="93" t="s">
        <v>402</v>
      </c>
      <c r="W134" s="93" t="s">
        <v>24</v>
      </c>
    </row>
    <row r="135" spans="1:23" x14ac:dyDescent="0.15">
      <c r="A135" s="93" t="s">
        <v>798</v>
      </c>
      <c r="B135" s="93" t="s">
        <v>799</v>
      </c>
      <c r="C135" s="93">
        <v>191.25</v>
      </c>
      <c r="D135" s="93" t="s">
        <v>24</v>
      </c>
      <c r="E135" s="93" t="s">
        <v>24</v>
      </c>
      <c r="F135" s="93" t="s">
        <v>399</v>
      </c>
      <c r="G135" s="93" t="s">
        <v>7183</v>
      </c>
      <c r="H135" s="93" t="s">
        <v>400</v>
      </c>
      <c r="I135" s="93" t="s">
        <v>111</v>
      </c>
      <c r="J135" s="93" t="s">
        <v>118</v>
      </c>
      <c r="K135" s="93">
        <v>3</v>
      </c>
      <c r="L135" s="93" t="s">
        <v>111</v>
      </c>
      <c r="M135" s="93" t="s">
        <v>111</v>
      </c>
      <c r="N135" s="93" t="s">
        <v>111</v>
      </c>
      <c r="O135" s="93" t="s">
        <v>111</v>
      </c>
      <c r="P135" s="93" t="s">
        <v>111</v>
      </c>
      <c r="Q135" s="93" t="s">
        <v>228</v>
      </c>
      <c r="R135" s="93" t="s">
        <v>2</v>
      </c>
      <c r="S135" s="93" t="s">
        <v>115</v>
      </c>
      <c r="T135" s="93" t="s">
        <v>116</v>
      </c>
      <c r="U135" s="94">
        <v>44596.614583333336</v>
      </c>
      <c r="V135" s="93" t="s">
        <v>402</v>
      </c>
      <c r="W135" s="93" t="s">
        <v>24</v>
      </c>
    </row>
    <row r="136" spans="1:23" x14ac:dyDescent="0.15">
      <c r="A136" s="93" t="s">
        <v>800</v>
      </c>
      <c r="B136" s="93" t="s">
        <v>801</v>
      </c>
      <c r="C136" s="93">
        <v>168.75</v>
      </c>
      <c r="D136" s="93" t="s">
        <v>24</v>
      </c>
      <c r="E136" s="93" t="s">
        <v>24</v>
      </c>
      <c r="F136" s="93" t="s">
        <v>399</v>
      </c>
      <c r="G136" s="93" t="s">
        <v>7183</v>
      </c>
      <c r="H136" s="93" t="s">
        <v>400</v>
      </c>
      <c r="I136" s="93" t="s">
        <v>111</v>
      </c>
      <c r="J136" s="93" t="s">
        <v>118</v>
      </c>
      <c r="K136" s="93">
        <v>3</v>
      </c>
      <c r="L136" s="93" t="s">
        <v>111</v>
      </c>
      <c r="M136" s="93" t="s">
        <v>111</v>
      </c>
      <c r="N136" s="93" t="s">
        <v>111</v>
      </c>
      <c r="O136" s="93" t="s">
        <v>111</v>
      </c>
      <c r="P136" s="93" t="s">
        <v>111</v>
      </c>
      <c r="Q136" s="93" t="s">
        <v>228</v>
      </c>
      <c r="R136" s="93" t="s">
        <v>2</v>
      </c>
      <c r="S136" s="93" t="s">
        <v>115</v>
      </c>
      <c r="T136" s="93" t="s">
        <v>116</v>
      </c>
      <c r="U136" s="94">
        <v>44596.557638888888</v>
      </c>
      <c r="V136" s="93" t="s">
        <v>402</v>
      </c>
      <c r="W136" s="93" t="s">
        <v>24</v>
      </c>
    </row>
    <row r="137" spans="1:23" x14ac:dyDescent="0.15">
      <c r="A137" s="93" t="s">
        <v>802</v>
      </c>
      <c r="B137" s="93" t="s">
        <v>803</v>
      </c>
      <c r="C137" s="93">
        <v>112.5</v>
      </c>
      <c r="D137" s="93" t="s">
        <v>24</v>
      </c>
      <c r="E137" s="93" t="s">
        <v>24</v>
      </c>
      <c r="F137" s="93" t="s">
        <v>399</v>
      </c>
      <c r="G137" s="93" t="s">
        <v>7183</v>
      </c>
      <c r="H137" s="93" t="s">
        <v>400</v>
      </c>
      <c r="I137" s="93" t="s">
        <v>111</v>
      </c>
      <c r="J137" s="93" t="s">
        <v>118</v>
      </c>
      <c r="K137" s="93">
        <v>3</v>
      </c>
      <c r="L137" s="93" t="s">
        <v>111</v>
      </c>
      <c r="M137" s="93" t="s">
        <v>111</v>
      </c>
      <c r="N137" s="93" t="s">
        <v>111</v>
      </c>
      <c r="O137" s="93" t="s">
        <v>111</v>
      </c>
      <c r="P137" s="93" t="s">
        <v>111</v>
      </c>
      <c r="Q137" s="93" t="s">
        <v>228</v>
      </c>
      <c r="R137" s="93" t="s">
        <v>2</v>
      </c>
      <c r="S137" s="93" t="s">
        <v>115</v>
      </c>
      <c r="T137" s="93" t="s">
        <v>116</v>
      </c>
      <c r="U137" s="94">
        <v>44596.614583333336</v>
      </c>
      <c r="V137" s="93" t="s">
        <v>402</v>
      </c>
      <c r="W137" s="93" t="s">
        <v>24</v>
      </c>
    </row>
    <row r="138" spans="1:23" x14ac:dyDescent="0.15">
      <c r="A138" s="93" t="s">
        <v>125</v>
      </c>
      <c r="B138" s="93" t="s">
        <v>201</v>
      </c>
      <c r="C138" s="93">
        <v>19</v>
      </c>
      <c r="D138" s="93" t="s">
        <v>24</v>
      </c>
      <c r="E138" s="93" t="s">
        <v>24</v>
      </c>
      <c r="F138" s="93" t="s">
        <v>126</v>
      </c>
      <c r="G138" s="93" t="s">
        <v>7185</v>
      </c>
      <c r="H138" s="93" t="s">
        <v>400</v>
      </c>
      <c r="I138" s="93" t="s">
        <v>111</v>
      </c>
      <c r="J138" s="93" t="s">
        <v>7105</v>
      </c>
      <c r="K138" s="93" t="s">
        <v>111</v>
      </c>
      <c r="L138" s="93" t="s">
        <v>111</v>
      </c>
      <c r="M138" s="93" t="s">
        <v>111</v>
      </c>
      <c r="N138" s="93" t="s">
        <v>111</v>
      </c>
      <c r="O138" s="93" t="s">
        <v>111</v>
      </c>
      <c r="P138" s="93" t="s">
        <v>111</v>
      </c>
      <c r="Q138" s="93" t="s">
        <v>111</v>
      </c>
      <c r="R138" s="93" t="s">
        <v>2</v>
      </c>
      <c r="S138" s="93" t="s">
        <v>111</v>
      </c>
      <c r="T138" s="93" t="s">
        <v>116</v>
      </c>
      <c r="U138" s="94">
        <v>44610.09375</v>
      </c>
      <c r="V138" s="93" t="s">
        <v>7072</v>
      </c>
      <c r="W138" s="93" t="s">
        <v>24</v>
      </c>
    </row>
    <row r="139" spans="1:23" x14ac:dyDescent="0.15">
      <c r="A139" s="93" t="s">
        <v>127</v>
      </c>
      <c r="B139" s="93" t="s">
        <v>204</v>
      </c>
      <c r="C139" s="93">
        <v>95</v>
      </c>
      <c r="D139" s="93" t="s">
        <v>24</v>
      </c>
      <c r="E139" s="93" t="s">
        <v>24</v>
      </c>
      <c r="F139" s="93" t="s">
        <v>126</v>
      </c>
      <c r="G139" s="93" t="s">
        <v>7185</v>
      </c>
      <c r="H139" s="93" t="s">
        <v>400</v>
      </c>
      <c r="I139" s="93" t="s">
        <v>111</v>
      </c>
      <c r="J139" s="93" t="s">
        <v>7105</v>
      </c>
      <c r="K139" s="93" t="s">
        <v>111</v>
      </c>
      <c r="L139" s="93" t="s">
        <v>111</v>
      </c>
      <c r="M139" s="93" t="s">
        <v>111</v>
      </c>
      <c r="N139" s="93" t="s">
        <v>111</v>
      </c>
      <c r="O139" s="93" t="s">
        <v>111</v>
      </c>
      <c r="P139" s="93" t="s">
        <v>111</v>
      </c>
      <c r="Q139" s="93" t="s">
        <v>111</v>
      </c>
      <c r="R139" s="93" t="s">
        <v>2</v>
      </c>
      <c r="S139" s="93" t="s">
        <v>111</v>
      </c>
      <c r="T139" s="93" t="s">
        <v>116</v>
      </c>
      <c r="U139" s="94">
        <v>44610.102777777778</v>
      </c>
      <c r="V139" s="93" t="s">
        <v>7072</v>
      </c>
      <c r="W139" s="93" t="s">
        <v>24</v>
      </c>
    </row>
    <row r="140" spans="1:23" x14ac:dyDescent="0.15">
      <c r="A140" s="93" t="s">
        <v>128</v>
      </c>
      <c r="B140" s="93" t="s">
        <v>207</v>
      </c>
      <c r="C140" s="93">
        <v>30</v>
      </c>
      <c r="D140" s="93" t="s">
        <v>24</v>
      </c>
      <c r="E140" s="93" t="s">
        <v>24</v>
      </c>
      <c r="F140" s="93" t="s">
        <v>126</v>
      </c>
      <c r="G140" s="93" t="s">
        <v>7185</v>
      </c>
      <c r="H140" s="93" t="s">
        <v>400</v>
      </c>
      <c r="I140" s="93" t="s">
        <v>111</v>
      </c>
      <c r="J140" s="93" t="s">
        <v>7105</v>
      </c>
      <c r="K140" s="93" t="s">
        <v>111</v>
      </c>
      <c r="L140" s="93" t="s">
        <v>111</v>
      </c>
      <c r="M140" s="93" t="s">
        <v>111</v>
      </c>
      <c r="N140" s="93" t="s">
        <v>111</v>
      </c>
      <c r="O140" s="93" t="s">
        <v>111</v>
      </c>
      <c r="P140" s="93" t="s">
        <v>111</v>
      </c>
      <c r="Q140" s="93" t="s">
        <v>111</v>
      </c>
      <c r="R140" s="93" t="s">
        <v>2</v>
      </c>
      <c r="S140" s="93" t="s">
        <v>111</v>
      </c>
      <c r="T140" s="93" t="s">
        <v>116</v>
      </c>
      <c r="U140" s="94">
        <v>44610.07708333333</v>
      </c>
      <c r="V140" s="93" t="s">
        <v>7072</v>
      </c>
      <c r="W140" s="93" t="s">
        <v>24</v>
      </c>
    </row>
    <row r="141" spans="1:23" x14ac:dyDescent="0.15">
      <c r="A141" s="93" t="s">
        <v>129</v>
      </c>
      <c r="B141" s="93" t="s">
        <v>210</v>
      </c>
      <c r="C141" s="93">
        <v>56</v>
      </c>
      <c r="D141" s="93" t="s">
        <v>24</v>
      </c>
      <c r="E141" s="93" t="s">
        <v>24</v>
      </c>
      <c r="F141" s="93" t="s">
        <v>126</v>
      </c>
      <c r="G141" s="93" t="s">
        <v>7185</v>
      </c>
      <c r="H141" s="93" t="s">
        <v>400</v>
      </c>
      <c r="I141" s="93" t="s">
        <v>111</v>
      </c>
      <c r="J141" s="93" t="s">
        <v>7105</v>
      </c>
      <c r="K141" s="93" t="s">
        <v>111</v>
      </c>
      <c r="L141" s="93" t="s">
        <v>111</v>
      </c>
      <c r="M141" s="93" t="s">
        <v>111</v>
      </c>
      <c r="N141" s="93" t="s">
        <v>111</v>
      </c>
      <c r="O141" s="93" t="s">
        <v>111</v>
      </c>
      <c r="P141" s="93" t="s">
        <v>111</v>
      </c>
      <c r="Q141" s="93" t="s">
        <v>111</v>
      </c>
      <c r="R141" s="93" t="s">
        <v>2</v>
      </c>
      <c r="S141" s="93" t="s">
        <v>111</v>
      </c>
      <c r="T141" s="93" t="s">
        <v>116</v>
      </c>
      <c r="U141" s="94">
        <v>44610.125</v>
      </c>
      <c r="V141" s="93" t="s">
        <v>7072</v>
      </c>
      <c r="W141" s="93" t="s">
        <v>24</v>
      </c>
    </row>
    <row r="142" spans="1:23" x14ac:dyDescent="0.15">
      <c r="A142" s="93" t="s">
        <v>130</v>
      </c>
      <c r="B142" s="93" t="s">
        <v>213</v>
      </c>
      <c r="C142" s="93">
        <v>69</v>
      </c>
      <c r="D142" s="93" t="s">
        <v>24</v>
      </c>
      <c r="E142" s="93" t="s">
        <v>24</v>
      </c>
      <c r="F142" s="93" t="s">
        <v>126</v>
      </c>
      <c r="G142" s="93" t="s">
        <v>7185</v>
      </c>
      <c r="H142" s="93" t="s">
        <v>400</v>
      </c>
      <c r="I142" s="93" t="s">
        <v>111</v>
      </c>
      <c r="J142" s="93" t="s">
        <v>7105</v>
      </c>
      <c r="K142" s="93" t="s">
        <v>111</v>
      </c>
      <c r="L142" s="93" t="s">
        <v>111</v>
      </c>
      <c r="M142" s="93" t="s">
        <v>111</v>
      </c>
      <c r="N142" s="93" t="s">
        <v>111</v>
      </c>
      <c r="O142" s="93" t="s">
        <v>111</v>
      </c>
      <c r="P142" s="93" t="s">
        <v>111</v>
      </c>
      <c r="Q142" s="93" t="s">
        <v>111</v>
      </c>
      <c r="R142" s="93" t="s">
        <v>2</v>
      </c>
      <c r="S142" s="93" t="s">
        <v>111</v>
      </c>
      <c r="T142" s="93" t="s">
        <v>116</v>
      </c>
      <c r="U142" s="94">
        <v>44610.125</v>
      </c>
      <c r="V142" s="93" t="s">
        <v>7072</v>
      </c>
      <c r="W142" s="93" t="s">
        <v>24</v>
      </c>
    </row>
    <row r="143" spans="1:23" x14ac:dyDescent="0.15">
      <c r="A143" s="93" t="s">
        <v>7186</v>
      </c>
      <c r="B143" s="93" t="s">
        <v>7187</v>
      </c>
      <c r="C143" s="93">
        <v>32</v>
      </c>
      <c r="D143" s="93" t="s">
        <v>24</v>
      </c>
      <c r="E143" s="93" t="s">
        <v>24</v>
      </c>
      <c r="F143" s="93" t="s">
        <v>126</v>
      </c>
      <c r="G143" s="93" t="s">
        <v>7185</v>
      </c>
      <c r="H143" s="93" t="s">
        <v>400</v>
      </c>
      <c r="I143" s="93" t="s">
        <v>111</v>
      </c>
      <c r="J143" s="93" t="s">
        <v>118</v>
      </c>
      <c r="K143" s="93">
        <v>3</v>
      </c>
      <c r="L143" s="93" t="s">
        <v>111</v>
      </c>
      <c r="M143" s="93" t="s">
        <v>111</v>
      </c>
      <c r="N143" s="93" t="s">
        <v>111</v>
      </c>
      <c r="O143" s="93" t="s">
        <v>111</v>
      </c>
      <c r="P143" s="93" t="s">
        <v>111</v>
      </c>
      <c r="Q143" s="93" t="s">
        <v>228</v>
      </c>
      <c r="R143" s="93" t="s">
        <v>2</v>
      </c>
      <c r="S143" s="93" t="s">
        <v>115</v>
      </c>
      <c r="T143" s="93" t="s">
        <v>116</v>
      </c>
      <c r="U143" s="94">
        <v>44600.059027777781</v>
      </c>
      <c r="V143" s="93" t="s">
        <v>402</v>
      </c>
      <c r="W143" s="93" t="s">
        <v>24</v>
      </c>
    </row>
    <row r="144" spans="1:23" x14ac:dyDescent="0.15">
      <c r="A144" s="93" t="s">
        <v>131</v>
      </c>
      <c r="B144" s="93" t="s">
        <v>216</v>
      </c>
      <c r="C144" s="93">
        <v>61</v>
      </c>
      <c r="D144" s="93" t="s">
        <v>24</v>
      </c>
      <c r="E144" s="93" t="s">
        <v>24</v>
      </c>
      <c r="F144" s="93" t="s">
        <v>126</v>
      </c>
      <c r="G144" s="93" t="s">
        <v>7185</v>
      </c>
      <c r="H144" s="93" t="s">
        <v>400</v>
      </c>
      <c r="I144" s="93" t="s">
        <v>111</v>
      </c>
      <c r="J144" s="93" t="s">
        <v>7105</v>
      </c>
      <c r="K144" s="93" t="s">
        <v>111</v>
      </c>
      <c r="L144" s="93" t="s">
        <v>111</v>
      </c>
      <c r="M144" s="93" t="s">
        <v>111</v>
      </c>
      <c r="N144" s="93" t="s">
        <v>111</v>
      </c>
      <c r="O144" s="93" t="s">
        <v>111</v>
      </c>
      <c r="P144" s="93" t="s">
        <v>111</v>
      </c>
      <c r="Q144" s="93" t="s">
        <v>111</v>
      </c>
      <c r="R144" s="93" t="s">
        <v>2</v>
      </c>
      <c r="S144" s="93" t="s">
        <v>111</v>
      </c>
      <c r="T144" s="93" t="s">
        <v>116</v>
      </c>
      <c r="U144" s="94">
        <v>44610.086111111108</v>
      </c>
      <c r="V144" s="93" t="s">
        <v>7072</v>
      </c>
      <c r="W144" s="93" t="s">
        <v>24</v>
      </c>
    </row>
    <row r="145" spans="1:23" x14ac:dyDescent="0.15">
      <c r="A145" s="93" t="s">
        <v>132</v>
      </c>
      <c r="B145" s="93" t="s">
        <v>804</v>
      </c>
      <c r="C145" s="93">
        <v>49</v>
      </c>
      <c r="D145" s="93" t="s">
        <v>24</v>
      </c>
      <c r="E145" s="93" t="s">
        <v>24</v>
      </c>
      <c r="F145" s="93" t="s">
        <v>126</v>
      </c>
      <c r="G145" s="93" t="s">
        <v>7185</v>
      </c>
      <c r="H145" s="93" t="s">
        <v>400</v>
      </c>
      <c r="I145" s="93" t="s">
        <v>111</v>
      </c>
      <c r="J145" s="93" t="s">
        <v>7105</v>
      </c>
      <c r="K145" s="93" t="s">
        <v>111</v>
      </c>
      <c r="L145" s="93" t="s">
        <v>111</v>
      </c>
      <c r="M145" s="93" t="s">
        <v>111</v>
      </c>
      <c r="N145" s="93" t="s">
        <v>111</v>
      </c>
      <c r="O145" s="93" t="s">
        <v>111</v>
      </c>
      <c r="P145" s="93" t="s">
        <v>111</v>
      </c>
      <c r="Q145" s="93" t="s">
        <v>111</v>
      </c>
      <c r="R145" s="93" t="s">
        <v>2</v>
      </c>
      <c r="S145" s="93" t="s">
        <v>111</v>
      </c>
      <c r="T145" s="93" t="s">
        <v>116</v>
      </c>
      <c r="U145" s="94">
        <v>44610.054861111108</v>
      </c>
      <c r="V145" s="93" t="s">
        <v>7072</v>
      </c>
      <c r="W145" s="93" t="s">
        <v>24</v>
      </c>
    </row>
    <row r="146" spans="1:23" x14ac:dyDescent="0.15">
      <c r="A146" s="93" t="s">
        <v>133</v>
      </c>
      <c r="B146" s="93" t="s">
        <v>805</v>
      </c>
      <c r="C146" s="93">
        <v>98</v>
      </c>
      <c r="D146" s="93" t="s">
        <v>24</v>
      </c>
      <c r="E146" s="93" t="s">
        <v>24</v>
      </c>
      <c r="F146" s="93" t="s">
        <v>126</v>
      </c>
      <c r="G146" s="93" t="s">
        <v>7185</v>
      </c>
      <c r="H146" s="93" t="s">
        <v>400</v>
      </c>
      <c r="I146" s="93" t="s">
        <v>111</v>
      </c>
      <c r="J146" s="93" t="s">
        <v>7105</v>
      </c>
      <c r="K146" s="93" t="s">
        <v>111</v>
      </c>
      <c r="L146" s="93" t="s">
        <v>111</v>
      </c>
      <c r="M146" s="93" t="s">
        <v>111</v>
      </c>
      <c r="N146" s="93" t="s">
        <v>111</v>
      </c>
      <c r="O146" s="93" t="s">
        <v>111</v>
      </c>
      <c r="P146" s="93" t="s">
        <v>111</v>
      </c>
      <c r="Q146" s="93" t="s">
        <v>111</v>
      </c>
      <c r="R146" s="93" t="s">
        <v>2</v>
      </c>
      <c r="S146" s="93" t="s">
        <v>111</v>
      </c>
      <c r="T146" s="93" t="s">
        <v>116</v>
      </c>
      <c r="U146" s="94">
        <v>44610.084722222222</v>
      </c>
      <c r="V146" s="93" t="s">
        <v>7072</v>
      </c>
      <c r="W146" s="93" t="s">
        <v>24</v>
      </c>
    </row>
    <row r="147" spans="1:23" x14ac:dyDescent="0.15">
      <c r="A147" s="93" t="s">
        <v>134</v>
      </c>
      <c r="B147" s="93" t="s">
        <v>806</v>
      </c>
      <c r="C147" s="93">
        <v>114</v>
      </c>
      <c r="D147" s="93" t="s">
        <v>24</v>
      </c>
      <c r="E147" s="93" t="s">
        <v>24</v>
      </c>
      <c r="F147" s="93" t="s">
        <v>126</v>
      </c>
      <c r="G147" s="93" t="s">
        <v>7185</v>
      </c>
      <c r="H147" s="93" t="s">
        <v>400</v>
      </c>
      <c r="I147" s="93" t="s">
        <v>111</v>
      </c>
      <c r="J147" s="93" t="s">
        <v>7105</v>
      </c>
      <c r="K147" s="93" t="s">
        <v>111</v>
      </c>
      <c r="L147" s="93" t="s">
        <v>111</v>
      </c>
      <c r="M147" s="93" t="s">
        <v>111</v>
      </c>
      <c r="N147" s="93" t="s">
        <v>111</v>
      </c>
      <c r="O147" s="93" t="s">
        <v>111</v>
      </c>
      <c r="P147" s="93" t="s">
        <v>111</v>
      </c>
      <c r="Q147" s="93" t="s">
        <v>111</v>
      </c>
      <c r="R147" s="93" t="s">
        <v>2</v>
      </c>
      <c r="S147" s="93" t="s">
        <v>111</v>
      </c>
      <c r="T147" s="93" t="s">
        <v>116</v>
      </c>
      <c r="U147" s="94">
        <v>44610.10833333333</v>
      </c>
      <c r="V147" s="93" t="s">
        <v>7072</v>
      </c>
      <c r="W147" s="93" t="s">
        <v>24</v>
      </c>
    </row>
    <row r="148" spans="1:23" x14ac:dyDescent="0.15">
      <c r="A148" s="93" t="s">
        <v>135</v>
      </c>
      <c r="B148" s="93" t="s">
        <v>807</v>
      </c>
      <c r="C148" s="93">
        <v>7</v>
      </c>
      <c r="D148" s="93" t="s">
        <v>24</v>
      </c>
      <c r="E148" s="93" t="s">
        <v>24</v>
      </c>
      <c r="F148" s="93" t="s">
        <v>126</v>
      </c>
      <c r="G148" s="93" t="s">
        <v>7185</v>
      </c>
      <c r="H148" s="93" t="s">
        <v>400</v>
      </c>
      <c r="I148" s="93" t="s">
        <v>111</v>
      </c>
      <c r="J148" s="93" t="s">
        <v>7105</v>
      </c>
      <c r="K148" s="93" t="s">
        <v>111</v>
      </c>
      <c r="L148" s="93" t="s">
        <v>111</v>
      </c>
      <c r="M148" s="93" t="s">
        <v>111</v>
      </c>
      <c r="N148" s="93" t="s">
        <v>111</v>
      </c>
      <c r="O148" s="93" t="s">
        <v>111</v>
      </c>
      <c r="P148" s="93" t="s">
        <v>111</v>
      </c>
      <c r="Q148" s="93" t="s">
        <v>111</v>
      </c>
      <c r="R148" s="93" t="s">
        <v>2</v>
      </c>
      <c r="S148" s="93" t="s">
        <v>111</v>
      </c>
      <c r="T148" s="93" t="s">
        <v>116</v>
      </c>
      <c r="U148" s="94">
        <v>44610.093055555553</v>
      </c>
      <c r="V148" s="93" t="s">
        <v>7072</v>
      </c>
      <c r="W148" s="93" t="s">
        <v>24</v>
      </c>
    </row>
    <row r="149" spans="1:23" x14ac:dyDescent="0.15">
      <c r="A149" s="93" t="s">
        <v>136</v>
      </c>
      <c r="B149" s="93" t="s">
        <v>808</v>
      </c>
      <c r="C149" s="93">
        <v>16</v>
      </c>
      <c r="D149" s="93" t="s">
        <v>24</v>
      </c>
      <c r="E149" s="93" t="s">
        <v>24</v>
      </c>
      <c r="F149" s="93" t="s">
        <v>126</v>
      </c>
      <c r="G149" s="93" t="s">
        <v>7185</v>
      </c>
      <c r="H149" s="93" t="s">
        <v>400</v>
      </c>
      <c r="I149" s="93" t="s">
        <v>111</v>
      </c>
      <c r="J149" s="93" t="s">
        <v>7105</v>
      </c>
      <c r="K149" s="93" t="s">
        <v>111</v>
      </c>
      <c r="L149" s="93" t="s">
        <v>111</v>
      </c>
      <c r="M149" s="93" t="s">
        <v>111</v>
      </c>
      <c r="N149" s="93" t="s">
        <v>111</v>
      </c>
      <c r="O149" s="93" t="s">
        <v>111</v>
      </c>
      <c r="P149" s="93" t="s">
        <v>111</v>
      </c>
      <c r="Q149" s="93" t="s">
        <v>111</v>
      </c>
      <c r="R149" s="93" t="s">
        <v>2</v>
      </c>
      <c r="S149" s="93" t="s">
        <v>111</v>
      </c>
      <c r="T149" s="93" t="s">
        <v>116</v>
      </c>
      <c r="U149" s="94">
        <v>44610.09375</v>
      </c>
      <c r="V149" s="93" t="s">
        <v>7072</v>
      </c>
      <c r="W149" s="93" t="s">
        <v>24</v>
      </c>
    </row>
    <row r="150" spans="1:23" x14ac:dyDescent="0.15">
      <c r="A150" s="93" t="s">
        <v>137</v>
      </c>
      <c r="B150" s="93" t="s">
        <v>811</v>
      </c>
      <c r="C150" s="93">
        <v>65</v>
      </c>
      <c r="D150" s="93" t="s">
        <v>24</v>
      </c>
      <c r="E150" s="93" t="s">
        <v>24</v>
      </c>
      <c r="F150" s="93" t="s">
        <v>126</v>
      </c>
      <c r="G150" s="93" t="s">
        <v>7185</v>
      </c>
      <c r="H150" s="93" t="s">
        <v>400</v>
      </c>
      <c r="I150" s="93" t="s">
        <v>111</v>
      </c>
      <c r="J150" s="93" t="s">
        <v>7105</v>
      </c>
      <c r="K150" s="93" t="s">
        <v>111</v>
      </c>
      <c r="L150" s="93" t="s">
        <v>111</v>
      </c>
      <c r="M150" s="93" t="s">
        <v>111</v>
      </c>
      <c r="N150" s="93" t="s">
        <v>111</v>
      </c>
      <c r="O150" s="93" t="s">
        <v>111</v>
      </c>
      <c r="P150" s="93" t="s">
        <v>111</v>
      </c>
      <c r="Q150" s="93" t="s">
        <v>111</v>
      </c>
      <c r="R150" s="93" t="s">
        <v>2</v>
      </c>
      <c r="S150" s="93" t="s">
        <v>111</v>
      </c>
      <c r="T150" s="93" t="s">
        <v>116</v>
      </c>
      <c r="U150" s="94">
        <v>44610.093055555553</v>
      </c>
      <c r="V150" s="93" t="s">
        <v>7072</v>
      </c>
      <c r="W150" s="93" t="s">
        <v>24</v>
      </c>
    </row>
    <row r="151" spans="1:23" x14ac:dyDescent="0.15">
      <c r="A151" s="93" t="s">
        <v>138</v>
      </c>
      <c r="B151" s="93" t="s">
        <v>812</v>
      </c>
      <c r="C151" s="93">
        <v>111</v>
      </c>
      <c r="D151" s="93" t="s">
        <v>24</v>
      </c>
      <c r="E151" s="93" t="s">
        <v>24</v>
      </c>
      <c r="F151" s="93" t="s">
        <v>126</v>
      </c>
      <c r="G151" s="93" t="s">
        <v>7185</v>
      </c>
      <c r="H151" s="93" t="s">
        <v>400</v>
      </c>
      <c r="I151" s="93" t="s">
        <v>111</v>
      </c>
      <c r="J151" s="93" t="s">
        <v>7105</v>
      </c>
      <c r="K151" s="93" t="s">
        <v>111</v>
      </c>
      <c r="L151" s="93" t="s">
        <v>111</v>
      </c>
      <c r="M151" s="93" t="s">
        <v>111</v>
      </c>
      <c r="N151" s="93" t="s">
        <v>111</v>
      </c>
      <c r="O151" s="93" t="s">
        <v>111</v>
      </c>
      <c r="P151" s="93" t="s">
        <v>111</v>
      </c>
      <c r="Q151" s="93" t="s">
        <v>111</v>
      </c>
      <c r="R151" s="93" t="s">
        <v>2</v>
      </c>
      <c r="S151" s="93" t="s">
        <v>111</v>
      </c>
      <c r="T151" s="93" t="s">
        <v>116</v>
      </c>
      <c r="U151" s="94">
        <v>44610.125</v>
      </c>
      <c r="V151" s="93" t="s">
        <v>7072</v>
      </c>
      <c r="W151" s="93" t="s">
        <v>24</v>
      </c>
    </row>
    <row r="152" spans="1:23" x14ac:dyDescent="0.15">
      <c r="A152" s="93" t="s">
        <v>139</v>
      </c>
      <c r="B152" s="93" t="s">
        <v>813</v>
      </c>
      <c r="C152" s="93">
        <v>114</v>
      </c>
      <c r="D152" s="93" t="s">
        <v>24</v>
      </c>
      <c r="E152" s="93" t="s">
        <v>24</v>
      </c>
      <c r="F152" s="93" t="s">
        <v>126</v>
      </c>
      <c r="G152" s="93" t="s">
        <v>7185</v>
      </c>
      <c r="H152" s="93" t="s">
        <v>400</v>
      </c>
      <c r="I152" s="93" t="s">
        <v>111</v>
      </c>
      <c r="J152" s="93" t="s">
        <v>7105</v>
      </c>
      <c r="K152" s="93" t="s">
        <v>111</v>
      </c>
      <c r="L152" s="93" t="s">
        <v>111</v>
      </c>
      <c r="M152" s="93" t="s">
        <v>111</v>
      </c>
      <c r="N152" s="93" t="s">
        <v>111</v>
      </c>
      <c r="O152" s="93" t="s">
        <v>111</v>
      </c>
      <c r="P152" s="93" t="s">
        <v>111</v>
      </c>
      <c r="Q152" s="93" t="s">
        <v>111</v>
      </c>
      <c r="R152" s="93" t="s">
        <v>2</v>
      </c>
      <c r="S152" s="93" t="s">
        <v>111</v>
      </c>
      <c r="T152" s="93" t="s">
        <v>116</v>
      </c>
      <c r="U152" s="94">
        <v>44610.093055555553</v>
      </c>
      <c r="V152" s="93" t="s">
        <v>7072</v>
      </c>
      <c r="W152" s="93" t="s">
        <v>24</v>
      </c>
    </row>
    <row r="153" spans="1:23" x14ac:dyDescent="0.15">
      <c r="A153" s="93" t="s">
        <v>140</v>
      </c>
      <c r="B153" s="93" t="s">
        <v>220</v>
      </c>
      <c r="C153" s="93">
        <v>17</v>
      </c>
      <c r="D153" s="93" t="s">
        <v>24</v>
      </c>
      <c r="E153" s="93" t="s">
        <v>24</v>
      </c>
      <c r="F153" s="93" t="s">
        <v>126</v>
      </c>
      <c r="G153" s="93" t="s">
        <v>7185</v>
      </c>
      <c r="H153" s="93" t="s">
        <v>400</v>
      </c>
      <c r="I153" s="93" t="s">
        <v>111</v>
      </c>
      <c r="J153" s="93" t="s">
        <v>118</v>
      </c>
      <c r="K153" s="93">
        <v>3</v>
      </c>
      <c r="L153" s="93" t="s">
        <v>111</v>
      </c>
      <c r="M153" s="93" t="s">
        <v>111</v>
      </c>
      <c r="N153" s="93" t="s">
        <v>111</v>
      </c>
      <c r="O153" s="93" t="s">
        <v>111</v>
      </c>
      <c r="P153" s="93" t="s">
        <v>111</v>
      </c>
      <c r="Q153" s="93" t="s">
        <v>111</v>
      </c>
      <c r="R153" s="93" t="s">
        <v>2</v>
      </c>
      <c r="S153" s="93" t="s">
        <v>111</v>
      </c>
      <c r="T153" s="93" t="s">
        <v>116</v>
      </c>
      <c r="U153" s="94">
        <v>44610.10833333333</v>
      </c>
      <c r="V153" s="93" t="s">
        <v>7072</v>
      </c>
      <c r="W153" s="93" t="s">
        <v>24</v>
      </c>
    </row>
    <row r="154" spans="1:23" x14ac:dyDescent="0.15">
      <c r="A154" s="93" t="s">
        <v>141</v>
      </c>
      <c r="B154" s="93" t="s">
        <v>814</v>
      </c>
      <c r="C154" s="93">
        <v>128</v>
      </c>
      <c r="D154" s="93" t="s">
        <v>24</v>
      </c>
      <c r="E154" s="93" t="s">
        <v>24</v>
      </c>
      <c r="F154" s="93" t="s">
        <v>126</v>
      </c>
      <c r="G154" s="93" t="s">
        <v>7185</v>
      </c>
      <c r="H154" s="93" t="s">
        <v>400</v>
      </c>
      <c r="I154" s="93" t="s">
        <v>111</v>
      </c>
      <c r="J154" s="93" t="s">
        <v>7105</v>
      </c>
      <c r="K154" s="93" t="s">
        <v>111</v>
      </c>
      <c r="L154" s="93" t="s">
        <v>111</v>
      </c>
      <c r="M154" s="93" t="s">
        <v>111</v>
      </c>
      <c r="N154" s="93" t="s">
        <v>111</v>
      </c>
      <c r="O154" s="93" t="s">
        <v>111</v>
      </c>
      <c r="P154" s="93" t="s">
        <v>111</v>
      </c>
      <c r="Q154" s="93" t="s">
        <v>111</v>
      </c>
      <c r="R154" s="93" t="s">
        <v>2</v>
      </c>
      <c r="S154" s="93" t="s">
        <v>111</v>
      </c>
      <c r="T154" s="93" t="s">
        <v>116</v>
      </c>
      <c r="U154" s="94">
        <v>44610.054861111108</v>
      </c>
      <c r="V154" s="93" t="s">
        <v>7072</v>
      </c>
      <c r="W154" s="93" t="s">
        <v>24</v>
      </c>
    </row>
    <row r="155" spans="1:23" x14ac:dyDescent="0.15">
      <c r="A155" s="93" t="s">
        <v>142</v>
      </c>
      <c r="B155" s="93" t="s">
        <v>815</v>
      </c>
      <c r="C155" s="93">
        <v>216</v>
      </c>
      <c r="D155" s="93" t="s">
        <v>24</v>
      </c>
      <c r="E155" s="93" t="s">
        <v>24</v>
      </c>
      <c r="F155" s="93" t="s">
        <v>126</v>
      </c>
      <c r="G155" s="93" t="s">
        <v>7185</v>
      </c>
      <c r="H155" s="93" t="s">
        <v>400</v>
      </c>
      <c r="I155" s="93" t="s">
        <v>111</v>
      </c>
      <c r="J155" s="93" t="s">
        <v>7105</v>
      </c>
      <c r="K155" s="93" t="s">
        <v>111</v>
      </c>
      <c r="L155" s="93" t="s">
        <v>111</v>
      </c>
      <c r="M155" s="93" t="s">
        <v>111</v>
      </c>
      <c r="N155" s="93" t="s">
        <v>111</v>
      </c>
      <c r="O155" s="93" t="s">
        <v>111</v>
      </c>
      <c r="P155" s="93" t="s">
        <v>111</v>
      </c>
      <c r="Q155" s="93" t="s">
        <v>111</v>
      </c>
      <c r="R155" s="93" t="s">
        <v>2</v>
      </c>
      <c r="S155" s="93" t="s">
        <v>111</v>
      </c>
      <c r="T155" s="93" t="s">
        <v>116</v>
      </c>
      <c r="U155" s="94">
        <v>44610.068055555559</v>
      </c>
      <c r="V155" s="93" t="s">
        <v>7072</v>
      </c>
      <c r="W155" s="93" t="s">
        <v>24</v>
      </c>
    </row>
    <row r="156" spans="1:23" x14ac:dyDescent="0.15">
      <c r="A156" s="93" t="s">
        <v>143</v>
      </c>
      <c r="B156" s="93" t="s">
        <v>816</v>
      </c>
      <c r="C156" s="93">
        <v>52</v>
      </c>
      <c r="D156" s="93" t="s">
        <v>24</v>
      </c>
      <c r="E156" s="93" t="s">
        <v>24</v>
      </c>
      <c r="F156" s="93" t="s">
        <v>126</v>
      </c>
      <c r="G156" s="93" t="s">
        <v>7185</v>
      </c>
      <c r="H156" s="93" t="s">
        <v>400</v>
      </c>
      <c r="I156" s="93" t="s">
        <v>111</v>
      </c>
      <c r="J156" s="93" t="s">
        <v>7105</v>
      </c>
      <c r="K156" s="93" t="s">
        <v>111</v>
      </c>
      <c r="L156" s="93" t="s">
        <v>111</v>
      </c>
      <c r="M156" s="93" t="s">
        <v>111</v>
      </c>
      <c r="N156" s="93" t="s">
        <v>111</v>
      </c>
      <c r="O156" s="93" t="s">
        <v>111</v>
      </c>
      <c r="P156" s="93" t="s">
        <v>111</v>
      </c>
      <c r="Q156" s="93" t="s">
        <v>111</v>
      </c>
      <c r="R156" s="93" t="s">
        <v>2</v>
      </c>
      <c r="S156" s="93" t="s">
        <v>111</v>
      </c>
      <c r="T156" s="93" t="s">
        <v>116</v>
      </c>
      <c r="U156" s="94">
        <v>44610.068055555559</v>
      </c>
      <c r="V156" s="93" t="s">
        <v>7072</v>
      </c>
      <c r="W156" s="93" t="s">
        <v>24</v>
      </c>
    </row>
    <row r="157" spans="1:23" x14ac:dyDescent="0.15">
      <c r="A157" s="93" t="s">
        <v>144</v>
      </c>
      <c r="B157" s="93" t="s">
        <v>817</v>
      </c>
      <c r="C157" s="93">
        <v>37</v>
      </c>
      <c r="D157" s="93" t="s">
        <v>24</v>
      </c>
      <c r="E157" s="93" t="s">
        <v>24</v>
      </c>
      <c r="F157" s="93" t="s">
        <v>126</v>
      </c>
      <c r="G157" s="93" t="s">
        <v>7185</v>
      </c>
      <c r="H157" s="93" t="s">
        <v>400</v>
      </c>
      <c r="I157" s="93" t="s">
        <v>111</v>
      </c>
      <c r="J157" s="93" t="s">
        <v>7105</v>
      </c>
      <c r="K157" s="93" t="s">
        <v>111</v>
      </c>
      <c r="L157" s="93" t="s">
        <v>111</v>
      </c>
      <c r="M157" s="93" t="s">
        <v>111</v>
      </c>
      <c r="N157" s="93" t="s">
        <v>111</v>
      </c>
      <c r="O157" s="93" t="s">
        <v>111</v>
      </c>
      <c r="P157" s="93" t="s">
        <v>111</v>
      </c>
      <c r="Q157" s="93" t="s">
        <v>111</v>
      </c>
      <c r="R157" s="93" t="s">
        <v>2</v>
      </c>
      <c r="S157" s="93" t="s">
        <v>111</v>
      </c>
      <c r="T157" s="93" t="s">
        <v>116</v>
      </c>
      <c r="U157" s="94">
        <v>44610.10833333333</v>
      </c>
      <c r="V157" s="93" t="s">
        <v>7072</v>
      </c>
      <c r="W157" s="93" t="s">
        <v>24</v>
      </c>
    </row>
    <row r="158" spans="1:23" x14ac:dyDescent="0.15">
      <c r="A158" s="93" t="s">
        <v>145</v>
      </c>
      <c r="B158" s="93" t="s">
        <v>818</v>
      </c>
      <c r="C158" s="93">
        <v>210</v>
      </c>
      <c r="D158" s="93" t="s">
        <v>24</v>
      </c>
      <c r="E158" s="93" t="s">
        <v>24</v>
      </c>
      <c r="F158" s="93" t="s">
        <v>126</v>
      </c>
      <c r="G158" s="93" t="s">
        <v>7185</v>
      </c>
      <c r="H158" s="93" t="s">
        <v>400</v>
      </c>
      <c r="I158" s="93" t="s">
        <v>111</v>
      </c>
      <c r="J158" s="93" t="s">
        <v>7105</v>
      </c>
      <c r="K158" s="93" t="s">
        <v>111</v>
      </c>
      <c r="L158" s="93" t="s">
        <v>111</v>
      </c>
      <c r="M158" s="93" t="s">
        <v>111</v>
      </c>
      <c r="N158" s="93" t="s">
        <v>111</v>
      </c>
      <c r="O158" s="93" t="s">
        <v>111</v>
      </c>
      <c r="P158" s="93" t="s">
        <v>111</v>
      </c>
      <c r="Q158" s="93" t="s">
        <v>111</v>
      </c>
      <c r="R158" s="93" t="s">
        <v>2</v>
      </c>
      <c r="S158" s="93" t="s">
        <v>111</v>
      </c>
      <c r="T158" s="93" t="s">
        <v>116</v>
      </c>
      <c r="U158" s="94">
        <v>44610.102083333331</v>
      </c>
      <c r="V158" s="93" t="s">
        <v>7072</v>
      </c>
      <c r="W158" s="93" t="s">
        <v>24</v>
      </c>
    </row>
    <row r="159" spans="1:23" x14ac:dyDescent="0.15">
      <c r="A159" s="93" t="s">
        <v>7188</v>
      </c>
      <c r="B159" s="93" t="s">
        <v>7189</v>
      </c>
      <c r="C159" s="93">
        <v>563</v>
      </c>
      <c r="D159" s="93" t="s">
        <v>24</v>
      </c>
      <c r="E159" s="93" t="s">
        <v>24</v>
      </c>
      <c r="F159" s="93" t="s">
        <v>399</v>
      </c>
      <c r="G159" s="93" t="s">
        <v>7185</v>
      </c>
      <c r="H159" s="93" t="s">
        <v>400</v>
      </c>
      <c r="I159" s="93" t="s">
        <v>111</v>
      </c>
      <c r="J159" s="93" t="s">
        <v>7105</v>
      </c>
      <c r="K159" s="93" t="s">
        <v>111</v>
      </c>
      <c r="L159" s="93" t="s">
        <v>111</v>
      </c>
      <c r="M159" s="93" t="s">
        <v>111</v>
      </c>
      <c r="N159" s="93" t="s">
        <v>111</v>
      </c>
      <c r="O159" s="93" t="s">
        <v>111</v>
      </c>
      <c r="P159" s="93" t="s">
        <v>111</v>
      </c>
      <c r="Q159" s="93" t="s">
        <v>228</v>
      </c>
      <c r="R159" s="93" t="s">
        <v>111</v>
      </c>
      <c r="S159" s="93" t="s">
        <v>115</v>
      </c>
      <c r="T159" s="93" t="s">
        <v>116</v>
      </c>
      <c r="U159" s="94">
        <v>44610.117361111108</v>
      </c>
      <c r="V159" s="93" t="s">
        <v>7072</v>
      </c>
      <c r="W159" s="93" t="s">
        <v>24</v>
      </c>
    </row>
    <row r="160" spans="1:23" x14ac:dyDescent="0.15">
      <c r="A160" s="93" t="s">
        <v>7190</v>
      </c>
      <c r="B160" s="93" t="s">
        <v>7191</v>
      </c>
      <c r="C160" s="93">
        <v>1436</v>
      </c>
      <c r="D160" s="93" t="s">
        <v>24</v>
      </c>
      <c r="E160" s="93" t="s">
        <v>24</v>
      </c>
      <c r="F160" s="93" t="s">
        <v>399</v>
      </c>
      <c r="G160" s="93" t="s">
        <v>7185</v>
      </c>
      <c r="H160" s="93" t="s">
        <v>400</v>
      </c>
      <c r="I160" s="93" t="s">
        <v>111</v>
      </c>
      <c r="J160" s="93" t="s">
        <v>7105</v>
      </c>
      <c r="K160" s="93" t="s">
        <v>111</v>
      </c>
      <c r="L160" s="93" t="s">
        <v>111</v>
      </c>
      <c r="M160" s="93" t="s">
        <v>111</v>
      </c>
      <c r="N160" s="93" t="s">
        <v>111</v>
      </c>
      <c r="O160" s="93" t="s">
        <v>111</v>
      </c>
      <c r="P160" s="93" t="s">
        <v>111</v>
      </c>
      <c r="Q160" s="93" t="s">
        <v>228</v>
      </c>
      <c r="R160" s="93" t="s">
        <v>111</v>
      </c>
      <c r="S160" s="93" t="s">
        <v>115</v>
      </c>
      <c r="T160" s="93" t="s">
        <v>116</v>
      </c>
      <c r="U160" s="94">
        <v>44610.078472222223</v>
      </c>
      <c r="V160" s="93" t="s">
        <v>7072</v>
      </c>
      <c r="W160" s="93" t="s">
        <v>24</v>
      </c>
    </row>
    <row r="161" spans="1:23" x14ac:dyDescent="0.15">
      <c r="A161" s="93" t="s">
        <v>7192</v>
      </c>
      <c r="B161" s="93" t="s">
        <v>7193</v>
      </c>
      <c r="C161" s="93">
        <v>2252</v>
      </c>
      <c r="D161" s="93" t="s">
        <v>24</v>
      </c>
      <c r="E161" s="93" t="s">
        <v>24</v>
      </c>
      <c r="F161" s="93" t="s">
        <v>399</v>
      </c>
      <c r="G161" s="93" t="s">
        <v>7185</v>
      </c>
      <c r="H161" s="93" t="s">
        <v>400</v>
      </c>
      <c r="I161" s="93" t="s">
        <v>111</v>
      </c>
      <c r="J161" s="93" t="s">
        <v>7105</v>
      </c>
      <c r="K161" s="93" t="s">
        <v>111</v>
      </c>
      <c r="L161" s="93" t="s">
        <v>111</v>
      </c>
      <c r="M161" s="93" t="s">
        <v>111</v>
      </c>
      <c r="N161" s="93" t="s">
        <v>111</v>
      </c>
      <c r="O161" s="93" t="s">
        <v>111</v>
      </c>
      <c r="P161" s="93" t="s">
        <v>111</v>
      </c>
      <c r="Q161" s="93" t="s">
        <v>228</v>
      </c>
      <c r="R161" s="93" t="s">
        <v>111</v>
      </c>
      <c r="S161" s="93" t="s">
        <v>115</v>
      </c>
      <c r="T161" s="93" t="s">
        <v>116</v>
      </c>
      <c r="U161" s="94">
        <v>44610.088888888888</v>
      </c>
      <c r="V161" s="93" t="s">
        <v>7072</v>
      </c>
      <c r="W161" s="93" t="s">
        <v>24</v>
      </c>
    </row>
    <row r="162" spans="1:23" x14ac:dyDescent="0.15">
      <c r="A162" s="93" t="s">
        <v>7194</v>
      </c>
      <c r="B162" s="93" t="s">
        <v>7195</v>
      </c>
      <c r="C162" s="93">
        <v>25</v>
      </c>
      <c r="D162" s="93" t="s">
        <v>24</v>
      </c>
      <c r="E162" s="93" t="s">
        <v>24</v>
      </c>
      <c r="F162" s="93" t="s">
        <v>399</v>
      </c>
      <c r="G162" s="93" t="s">
        <v>7185</v>
      </c>
      <c r="H162" s="93" t="s">
        <v>400</v>
      </c>
      <c r="I162" s="93" t="s">
        <v>111</v>
      </c>
      <c r="J162" s="93" t="s">
        <v>7105</v>
      </c>
      <c r="K162" s="93" t="s">
        <v>111</v>
      </c>
      <c r="L162" s="93" t="s">
        <v>111</v>
      </c>
      <c r="M162" s="93" t="s">
        <v>111</v>
      </c>
      <c r="N162" s="93" t="s">
        <v>111</v>
      </c>
      <c r="O162" s="93" t="s">
        <v>111</v>
      </c>
      <c r="P162" s="93" t="s">
        <v>111</v>
      </c>
      <c r="Q162" s="93" t="s">
        <v>228</v>
      </c>
      <c r="R162" s="93" t="s">
        <v>111</v>
      </c>
      <c r="S162" s="93" t="s">
        <v>115</v>
      </c>
      <c r="T162" s="93" t="s">
        <v>116</v>
      </c>
      <c r="U162" s="94">
        <v>44610.095833333333</v>
      </c>
      <c r="V162" s="93" t="s">
        <v>7072</v>
      </c>
      <c r="W162" s="93" t="s">
        <v>24</v>
      </c>
    </row>
    <row r="163" spans="1:23" x14ac:dyDescent="0.15">
      <c r="A163" s="93" t="s">
        <v>7196</v>
      </c>
      <c r="B163" s="93" t="s">
        <v>7197</v>
      </c>
      <c r="C163" s="93">
        <v>64</v>
      </c>
      <c r="D163" s="93" t="s">
        <v>24</v>
      </c>
      <c r="E163" s="93" t="s">
        <v>24</v>
      </c>
      <c r="F163" s="93" t="s">
        <v>399</v>
      </c>
      <c r="G163" s="93" t="s">
        <v>7185</v>
      </c>
      <c r="H163" s="93" t="s">
        <v>400</v>
      </c>
      <c r="I163" s="93" t="s">
        <v>111</v>
      </c>
      <c r="J163" s="93" t="s">
        <v>7105</v>
      </c>
      <c r="K163" s="93" t="s">
        <v>111</v>
      </c>
      <c r="L163" s="93" t="s">
        <v>111</v>
      </c>
      <c r="M163" s="93" t="s">
        <v>111</v>
      </c>
      <c r="N163" s="93" t="s">
        <v>111</v>
      </c>
      <c r="O163" s="93" t="s">
        <v>111</v>
      </c>
      <c r="P163" s="93" t="s">
        <v>111</v>
      </c>
      <c r="Q163" s="93" t="s">
        <v>228</v>
      </c>
      <c r="R163" s="93" t="s">
        <v>111</v>
      </c>
      <c r="S163" s="93" t="s">
        <v>115</v>
      </c>
      <c r="T163" s="93" t="s">
        <v>116</v>
      </c>
      <c r="U163" s="94">
        <v>44610.078472222223</v>
      </c>
      <c r="V163" s="93" t="s">
        <v>7072</v>
      </c>
      <c r="W163" s="93" t="s">
        <v>24</v>
      </c>
    </row>
    <row r="164" spans="1:23" x14ac:dyDescent="0.15">
      <c r="A164" s="93" t="s">
        <v>7198</v>
      </c>
      <c r="B164" s="93" t="s">
        <v>7199</v>
      </c>
      <c r="C164" s="93">
        <v>100</v>
      </c>
      <c r="D164" s="93" t="s">
        <v>24</v>
      </c>
      <c r="E164" s="93" t="s">
        <v>24</v>
      </c>
      <c r="F164" s="93" t="s">
        <v>399</v>
      </c>
      <c r="G164" s="93" t="s">
        <v>7185</v>
      </c>
      <c r="H164" s="93" t="s">
        <v>400</v>
      </c>
      <c r="I164" s="93" t="s">
        <v>111</v>
      </c>
      <c r="J164" s="93" t="s">
        <v>7105</v>
      </c>
      <c r="K164" s="93" t="s">
        <v>111</v>
      </c>
      <c r="L164" s="93" t="s">
        <v>111</v>
      </c>
      <c r="M164" s="93" t="s">
        <v>111</v>
      </c>
      <c r="N164" s="93" t="s">
        <v>111</v>
      </c>
      <c r="O164" s="93" t="s">
        <v>111</v>
      </c>
      <c r="P164" s="93" t="s">
        <v>111</v>
      </c>
      <c r="Q164" s="93" t="s">
        <v>228</v>
      </c>
      <c r="R164" s="93" t="s">
        <v>111</v>
      </c>
      <c r="S164" s="93" t="s">
        <v>115</v>
      </c>
      <c r="T164" s="93" t="s">
        <v>116</v>
      </c>
      <c r="U164" s="94">
        <v>44610.061805555553</v>
      </c>
      <c r="V164" s="93" t="s">
        <v>7072</v>
      </c>
      <c r="W164" s="93" t="s">
        <v>24</v>
      </c>
    </row>
    <row r="165" spans="1:23" x14ac:dyDescent="0.15">
      <c r="A165" s="93" t="s">
        <v>146</v>
      </c>
      <c r="B165" s="93" t="s">
        <v>202</v>
      </c>
      <c r="C165" s="93">
        <v>49</v>
      </c>
      <c r="D165" s="93" t="s">
        <v>24</v>
      </c>
      <c r="E165" s="93" t="s">
        <v>24</v>
      </c>
      <c r="F165" s="93" t="s">
        <v>126</v>
      </c>
      <c r="G165" s="93" t="s">
        <v>7185</v>
      </c>
      <c r="H165" s="93" t="s">
        <v>400</v>
      </c>
      <c r="I165" s="93" t="s">
        <v>111</v>
      </c>
      <c r="J165" s="93" t="s">
        <v>7105</v>
      </c>
      <c r="K165" s="93" t="s">
        <v>111</v>
      </c>
      <c r="L165" s="93" t="s">
        <v>111</v>
      </c>
      <c r="M165" s="93" t="s">
        <v>111</v>
      </c>
      <c r="N165" s="93" t="s">
        <v>111</v>
      </c>
      <c r="O165" s="93" t="s">
        <v>111</v>
      </c>
      <c r="P165" s="93" t="s">
        <v>111</v>
      </c>
      <c r="Q165" s="93" t="s">
        <v>111</v>
      </c>
      <c r="R165" s="93" t="s">
        <v>2</v>
      </c>
      <c r="S165" s="93" t="s">
        <v>111</v>
      </c>
      <c r="T165" s="93" t="s">
        <v>116</v>
      </c>
      <c r="U165" s="94">
        <v>44610.060416666667</v>
      </c>
      <c r="V165" s="93" t="s">
        <v>7072</v>
      </c>
      <c r="W165" s="93" t="s">
        <v>24</v>
      </c>
    </row>
    <row r="166" spans="1:23" x14ac:dyDescent="0.15">
      <c r="A166" s="93" t="s">
        <v>147</v>
      </c>
      <c r="B166" s="93" t="s">
        <v>205</v>
      </c>
      <c r="C166" s="93">
        <v>243</v>
      </c>
      <c r="D166" s="93" t="s">
        <v>24</v>
      </c>
      <c r="E166" s="93" t="s">
        <v>24</v>
      </c>
      <c r="F166" s="93" t="s">
        <v>126</v>
      </c>
      <c r="G166" s="93" t="s">
        <v>7185</v>
      </c>
      <c r="H166" s="93" t="s">
        <v>400</v>
      </c>
      <c r="I166" s="93" t="s">
        <v>111</v>
      </c>
      <c r="J166" s="93" t="s">
        <v>7105</v>
      </c>
      <c r="K166" s="93" t="s">
        <v>111</v>
      </c>
      <c r="L166" s="93" t="s">
        <v>111</v>
      </c>
      <c r="M166" s="93" t="s">
        <v>111</v>
      </c>
      <c r="N166" s="93" t="s">
        <v>111</v>
      </c>
      <c r="O166" s="93" t="s">
        <v>111</v>
      </c>
      <c r="P166" s="93" t="s">
        <v>111</v>
      </c>
      <c r="Q166" s="93" t="s">
        <v>111</v>
      </c>
      <c r="R166" s="93" t="s">
        <v>2</v>
      </c>
      <c r="S166" s="93" t="s">
        <v>111</v>
      </c>
      <c r="T166" s="93" t="s">
        <v>116</v>
      </c>
      <c r="U166" s="94">
        <v>44610.068749999999</v>
      </c>
      <c r="V166" s="93" t="s">
        <v>7072</v>
      </c>
      <c r="W166" s="93" t="s">
        <v>24</v>
      </c>
    </row>
    <row r="167" spans="1:23" x14ac:dyDescent="0.15">
      <c r="A167" s="93" t="s">
        <v>148</v>
      </c>
      <c r="B167" s="93" t="s">
        <v>208</v>
      </c>
      <c r="C167" s="93">
        <v>125</v>
      </c>
      <c r="D167" s="93" t="s">
        <v>24</v>
      </c>
      <c r="E167" s="93" t="s">
        <v>24</v>
      </c>
      <c r="F167" s="93" t="s">
        <v>126</v>
      </c>
      <c r="G167" s="93" t="s">
        <v>7185</v>
      </c>
      <c r="H167" s="93" t="s">
        <v>400</v>
      </c>
      <c r="I167" s="93" t="s">
        <v>111</v>
      </c>
      <c r="J167" s="93" t="s">
        <v>7105</v>
      </c>
      <c r="K167" s="93" t="s">
        <v>111</v>
      </c>
      <c r="L167" s="93" t="s">
        <v>111</v>
      </c>
      <c r="M167" s="93" t="s">
        <v>111</v>
      </c>
      <c r="N167" s="93" t="s">
        <v>111</v>
      </c>
      <c r="O167" s="93" t="s">
        <v>111</v>
      </c>
      <c r="P167" s="93" t="s">
        <v>111</v>
      </c>
      <c r="Q167" s="93" t="s">
        <v>111</v>
      </c>
      <c r="R167" s="93" t="s">
        <v>2</v>
      </c>
      <c r="S167" s="93" t="s">
        <v>111</v>
      </c>
      <c r="T167" s="93" t="s">
        <v>116</v>
      </c>
      <c r="U167" s="94">
        <v>44610.054861111108</v>
      </c>
      <c r="V167" s="93" t="s">
        <v>7072</v>
      </c>
      <c r="W167" s="93" t="s">
        <v>24</v>
      </c>
    </row>
    <row r="168" spans="1:23" x14ac:dyDescent="0.15">
      <c r="A168" s="93" t="s">
        <v>149</v>
      </c>
      <c r="B168" s="93" t="s">
        <v>211</v>
      </c>
      <c r="C168" s="93">
        <v>143</v>
      </c>
      <c r="D168" s="93" t="s">
        <v>24</v>
      </c>
      <c r="E168" s="93" t="s">
        <v>24</v>
      </c>
      <c r="F168" s="93" t="s">
        <v>126</v>
      </c>
      <c r="G168" s="93" t="s">
        <v>7185</v>
      </c>
      <c r="H168" s="93" t="s">
        <v>400</v>
      </c>
      <c r="I168" s="93" t="s">
        <v>111</v>
      </c>
      <c r="J168" s="93" t="s">
        <v>7105</v>
      </c>
      <c r="K168" s="93" t="s">
        <v>111</v>
      </c>
      <c r="L168" s="93" t="s">
        <v>111</v>
      </c>
      <c r="M168" s="93" t="s">
        <v>111</v>
      </c>
      <c r="N168" s="93" t="s">
        <v>111</v>
      </c>
      <c r="O168" s="93" t="s">
        <v>111</v>
      </c>
      <c r="P168" s="93" t="s">
        <v>111</v>
      </c>
      <c r="Q168" s="93" t="s">
        <v>111</v>
      </c>
      <c r="R168" s="93" t="s">
        <v>2</v>
      </c>
      <c r="S168" s="93" t="s">
        <v>111</v>
      </c>
      <c r="T168" s="93" t="s">
        <v>116</v>
      </c>
      <c r="U168" s="94">
        <v>44610.09375</v>
      </c>
      <c r="V168" s="93" t="s">
        <v>7072</v>
      </c>
      <c r="W168" s="93" t="s">
        <v>24</v>
      </c>
    </row>
    <row r="169" spans="1:23" x14ac:dyDescent="0.15">
      <c r="A169" s="93" t="s">
        <v>150</v>
      </c>
      <c r="B169" s="93" t="s">
        <v>214</v>
      </c>
      <c r="C169" s="93">
        <v>176</v>
      </c>
      <c r="D169" s="93" t="s">
        <v>24</v>
      </c>
      <c r="E169" s="93" t="s">
        <v>24</v>
      </c>
      <c r="F169" s="93" t="s">
        <v>126</v>
      </c>
      <c r="G169" s="93" t="s">
        <v>7185</v>
      </c>
      <c r="H169" s="93" t="s">
        <v>400</v>
      </c>
      <c r="I169" s="93" t="s">
        <v>111</v>
      </c>
      <c r="J169" s="93" t="s">
        <v>7105</v>
      </c>
      <c r="K169" s="93" t="s">
        <v>111</v>
      </c>
      <c r="L169" s="93" t="s">
        <v>111</v>
      </c>
      <c r="M169" s="93" t="s">
        <v>111</v>
      </c>
      <c r="N169" s="93" t="s">
        <v>111</v>
      </c>
      <c r="O169" s="93" t="s">
        <v>111</v>
      </c>
      <c r="P169" s="93" t="s">
        <v>111</v>
      </c>
      <c r="Q169" s="93" t="s">
        <v>111</v>
      </c>
      <c r="R169" s="93" t="s">
        <v>2</v>
      </c>
      <c r="S169" s="93" t="s">
        <v>111</v>
      </c>
      <c r="T169" s="93" t="s">
        <v>116</v>
      </c>
      <c r="U169" s="94">
        <v>44610.102777777778</v>
      </c>
      <c r="V169" s="93" t="s">
        <v>7072</v>
      </c>
      <c r="W169" s="93" t="s">
        <v>24</v>
      </c>
    </row>
    <row r="170" spans="1:23" x14ac:dyDescent="0.15">
      <c r="A170" s="93" t="s">
        <v>151</v>
      </c>
      <c r="B170" s="93" t="s">
        <v>217</v>
      </c>
      <c r="C170" s="93">
        <v>156</v>
      </c>
      <c r="D170" s="93" t="s">
        <v>24</v>
      </c>
      <c r="E170" s="93" t="s">
        <v>24</v>
      </c>
      <c r="F170" s="93" t="s">
        <v>126</v>
      </c>
      <c r="G170" s="93" t="s">
        <v>7185</v>
      </c>
      <c r="H170" s="93" t="s">
        <v>400</v>
      </c>
      <c r="I170" s="93" t="s">
        <v>111</v>
      </c>
      <c r="J170" s="93" t="s">
        <v>7105</v>
      </c>
      <c r="K170" s="93" t="s">
        <v>111</v>
      </c>
      <c r="L170" s="93" t="s">
        <v>111</v>
      </c>
      <c r="M170" s="93" t="s">
        <v>111</v>
      </c>
      <c r="N170" s="93" t="s">
        <v>111</v>
      </c>
      <c r="O170" s="93" t="s">
        <v>111</v>
      </c>
      <c r="P170" s="93" t="s">
        <v>111</v>
      </c>
      <c r="Q170" s="93" t="s">
        <v>111</v>
      </c>
      <c r="R170" s="93" t="s">
        <v>2</v>
      </c>
      <c r="S170" s="93" t="s">
        <v>111</v>
      </c>
      <c r="T170" s="93" t="s">
        <v>116</v>
      </c>
      <c r="U170" s="94">
        <v>44610.115972222222</v>
      </c>
      <c r="V170" s="93" t="s">
        <v>7072</v>
      </c>
      <c r="W170" s="93" t="s">
        <v>24</v>
      </c>
    </row>
    <row r="171" spans="1:23" x14ac:dyDescent="0.15">
      <c r="A171" s="93" t="s">
        <v>152</v>
      </c>
      <c r="B171" s="93" t="s">
        <v>819</v>
      </c>
      <c r="C171" s="93">
        <v>124.95</v>
      </c>
      <c r="D171" s="93" t="s">
        <v>24</v>
      </c>
      <c r="E171" s="93" t="s">
        <v>24</v>
      </c>
      <c r="F171" s="93" t="s">
        <v>126</v>
      </c>
      <c r="G171" s="93" t="s">
        <v>7185</v>
      </c>
      <c r="H171" s="93" t="s">
        <v>400</v>
      </c>
      <c r="I171" s="93" t="s">
        <v>111</v>
      </c>
      <c r="J171" s="93" t="s">
        <v>7105</v>
      </c>
      <c r="K171" s="93" t="s">
        <v>111</v>
      </c>
      <c r="L171" s="93" t="s">
        <v>111</v>
      </c>
      <c r="M171" s="93" t="s">
        <v>111</v>
      </c>
      <c r="N171" s="93" t="s">
        <v>111</v>
      </c>
      <c r="O171" s="93" t="s">
        <v>111</v>
      </c>
      <c r="P171" s="93" t="s">
        <v>111</v>
      </c>
      <c r="Q171" s="93" t="s">
        <v>111</v>
      </c>
      <c r="R171" s="93" t="s">
        <v>2</v>
      </c>
      <c r="S171" s="93" t="s">
        <v>111</v>
      </c>
      <c r="T171" s="93" t="s">
        <v>116</v>
      </c>
      <c r="U171" s="94">
        <v>44610.074305555558</v>
      </c>
      <c r="V171" s="93" t="s">
        <v>7072</v>
      </c>
      <c r="W171" s="93" t="s">
        <v>24</v>
      </c>
    </row>
    <row r="172" spans="1:23" x14ac:dyDescent="0.15">
      <c r="A172" s="93" t="s">
        <v>153</v>
      </c>
      <c r="B172" s="93" t="s">
        <v>154</v>
      </c>
      <c r="C172" s="93">
        <v>3.47</v>
      </c>
      <c r="D172" s="93" t="s">
        <v>24</v>
      </c>
      <c r="E172" s="93" t="s">
        <v>24</v>
      </c>
      <c r="F172" s="93" t="s">
        <v>126</v>
      </c>
      <c r="G172" s="93" t="s">
        <v>7185</v>
      </c>
      <c r="H172" s="93" t="s">
        <v>400</v>
      </c>
      <c r="I172" s="93" t="s">
        <v>111</v>
      </c>
      <c r="J172" s="93" t="s">
        <v>7105</v>
      </c>
      <c r="K172" s="93" t="s">
        <v>111</v>
      </c>
      <c r="L172" s="93" t="s">
        <v>111</v>
      </c>
      <c r="M172" s="93" t="s">
        <v>111</v>
      </c>
      <c r="N172" s="93" t="s">
        <v>111</v>
      </c>
      <c r="O172" s="93" t="s">
        <v>111</v>
      </c>
      <c r="P172" s="93" t="s">
        <v>111</v>
      </c>
      <c r="Q172" s="93" t="s">
        <v>111</v>
      </c>
      <c r="R172" s="93" t="s">
        <v>2</v>
      </c>
      <c r="S172" s="93" t="s">
        <v>111</v>
      </c>
      <c r="T172" s="93" t="s">
        <v>116</v>
      </c>
      <c r="U172" s="94">
        <v>44610.102083333331</v>
      </c>
      <c r="V172" s="93" t="s">
        <v>7072</v>
      </c>
      <c r="W172" s="93" t="s">
        <v>24</v>
      </c>
    </row>
    <row r="173" spans="1:23" x14ac:dyDescent="0.15">
      <c r="A173" s="93" t="s">
        <v>155</v>
      </c>
      <c r="B173" s="93" t="s">
        <v>820</v>
      </c>
      <c r="C173" s="93">
        <v>249.9</v>
      </c>
      <c r="D173" s="93" t="s">
        <v>24</v>
      </c>
      <c r="E173" s="93" t="s">
        <v>24</v>
      </c>
      <c r="F173" s="93" t="s">
        <v>126</v>
      </c>
      <c r="G173" s="93" t="s">
        <v>7185</v>
      </c>
      <c r="H173" s="93" t="s">
        <v>400</v>
      </c>
      <c r="I173" s="93" t="s">
        <v>111</v>
      </c>
      <c r="J173" s="93" t="s">
        <v>7105</v>
      </c>
      <c r="K173" s="93" t="s">
        <v>111</v>
      </c>
      <c r="L173" s="93" t="s">
        <v>111</v>
      </c>
      <c r="M173" s="93" t="s">
        <v>111</v>
      </c>
      <c r="N173" s="93" t="s">
        <v>111</v>
      </c>
      <c r="O173" s="93" t="s">
        <v>111</v>
      </c>
      <c r="P173" s="93" t="s">
        <v>111</v>
      </c>
      <c r="Q173" s="93" t="s">
        <v>111</v>
      </c>
      <c r="R173" s="93" t="s">
        <v>2</v>
      </c>
      <c r="S173" s="93" t="s">
        <v>111</v>
      </c>
      <c r="T173" s="93" t="s">
        <v>116</v>
      </c>
      <c r="U173" s="94">
        <v>44610.085416666669</v>
      </c>
      <c r="V173" s="93" t="s">
        <v>7072</v>
      </c>
      <c r="W173" s="93" t="s">
        <v>24</v>
      </c>
    </row>
    <row r="174" spans="1:23" x14ac:dyDescent="0.15">
      <c r="A174" s="93" t="s">
        <v>156</v>
      </c>
      <c r="B174" s="93" t="s">
        <v>821</v>
      </c>
      <c r="C174" s="93">
        <v>6.94</v>
      </c>
      <c r="D174" s="93" t="s">
        <v>24</v>
      </c>
      <c r="E174" s="93" t="s">
        <v>24</v>
      </c>
      <c r="F174" s="93" t="s">
        <v>126</v>
      </c>
      <c r="G174" s="93" t="s">
        <v>7185</v>
      </c>
      <c r="H174" s="93" t="s">
        <v>400</v>
      </c>
      <c r="I174" s="93" t="s">
        <v>111</v>
      </c>
      <c r="J174" s="93" t="s">
        <v>7105</v>
      </c>
      <c r="K174" s="93" t="s">
        <v>111</v>
      </c>
      <c r="L174" s="93" t="s">
        <v>111</v>
      </c>
      <c r="M174" s="93" t="s">
        <v>111</v>
      </c>
      <c r="N174" s="93" t="s">
        <v>111</v>
      </c>
      <c r="O174" s="93" t="s">
        <v>111</v>
      </c>
      <c r="P174" s="93" t="s">
        <v>111</v>
      </c>
      <c r="Q174" s="93" t="s">
        <v>111</v>
      </c>
      <c r="R174" s="93" t="s">
        <v>2</v>
      </c>
      <c r="S174" s="93" t="s">
        <v>111</v>
      </c>
      <c r="T174" s="93" t="s">
        <v>116</v>
      </c>
      <c r="U174" s="94">
        <v>44610.060416666667</v>
      </c>
      <c r="V174" s="93" t="s">
        <v>7072</v>
      </c>
      <c r="W174" s="93" t="s">
        <v>24</v>
      </c>
    </row>
    <row r="175" spans="1:23" x14ac:dyDescent="0.15">
      <c r="A175" s="93" t="s">
        <v>157</v>
      </c>
      <c r="B175" s="93" t="s">
        <v>822</v>
      </c>
      <c r="C175" s="93">
        <v>290.7</v>
      </c>
      <c r="D175" s="93" t="s">
        <v>24</v>
      </c>
      <c r="E175" s="93" t="s">
        <v>24</v>
      </c>
      <c r="F175" s="93" t="s">
        <v>126</v>
      </c>
      <c r="G175" s="93" t="s">
        <v>7185</v>
      </c>
      <c r="H175" s="93" t="s">
        <v>400</v>
      </c>
      <c r="I175" s="93" t="s">
        <v>111</v>
      </c>
      <c r="J175" s="93" t="s">
        <v>7105</v>
      </c>
      <c r="K175" s="93" t="s">
        <v>111</v>
      </c>
      <c r="L175" s="93" t="s">
        <v>111</v>
      </c>
      <c r="M175" s="93" t="s">
        <v>111</v>
      </c>
      <c r="N175" s="93" t="s">
        <v>111</v>
      </c>
      <c r="O175" s="93" t="s">
        <v>111</v>
      </c>
      <c r="P175" s="93" t="s">
        <v>111</v>
      </c>
      <c r="Q175" s="93" t="s">
        <v>111</v>
      </c>
      <c r="R175" s="93" t="s">
        <v>2</v>
      </c>
      <c r="S175" s="93" t="s">
        <v>111</v>
      </c>
      <c r="T175" s="93" t="s">
        <v>116</v>
      </c>
      <c r="U175" s="94">
        <v>44610.125</v>
      </c>
      <c r="V175" s="93" t="s">
        <v>7072</v>
      </c>
      <c r="W175" s="93" t="s">
        <v>24</v>
      </c>
    </row>
    <row r="176" spans="1:23" x14ac:dyDescent="0.15">
      <c r="A176" s="93" t="s">
        <v>158</v>
      </c>
      <c r="B176" s="93" t="s">
        <v>823</v>
      </c>
      <c r="C176" s="93">
        <v>8.08</v>
      </c>
      <c r="D176" s="93" t="s">
        <v>24</v>
      </c>
      <c r="E176" s="93" t="s">
        <v>24</v>
      </c>
      <c r="F176" s="93" t="s">
        <v>126</v>
      </c>
      <c r="G176" s="93" t="s">
        <v>7185</v>
      </c>
      <c r="H176" s="93" t="s">
        <v>400</v>
      </c>
      <c r="I176" s="93" t="s">
        <v>111</v>
      </c>
      <c r="J176" s="93" t="s">
        <v>7105</v>
      </c>
      <c r="K176" s="93" t="s">
        <v>111</v>
      </c>
      <c r="L176" s="93" t="s">
        <v>111</v>
      </c>
      <c r="M176" s="93" t="s">
        <v>111</v>
      </c>
      <c r="N176" s="93" t="s">
        <v>111</v>
      </c>
      <c r="O176" s="93" t="s">
        <v>111</v>
      </c>
      <c r="P176" s="93" t="s">
        <v>111</v>
      </c>
      <c r="Q176" s="93" t="s">
        <v>111</v>
      </c>
      <c r="R176" s="93" t="s">
        <v>2</v>
      </c>
      <c r="S176" s="93" t="s">
        <v>111</v>
      </c>
      <c r="T176" s="93" t="s">
        <v>116</v>
      </c>
      <c r="U176" s="94">
        <v>44610.086111111108</v>
      </c>
      <c r="V176" s="93" t="s">
        <v>7072</v>
      </c>
      <c r="W176" s="93" t="s">
        <v>24</v>
      </c>
    </row>
    <row r="177" spans="1:23" x14ac:dyDescent="0.15">
      <c r="A177" s="93" t="s">
        <v>159</v>
      </c>
      <c r="B177" s="93" t="s">
        <v>824</v>
      </c>
      <c r="C177" s="93">
        <v>17.850000000000001</v>
      </c>
      <c r="D177" s="93" t="s">
        <v>24</v>
      </c>
      <c r="E177" s="93" t="s">
        <v>24</v>
      </c>
      <c r="F177" s="93" t="s">
        <v>126</v>
      </c>
      <c r="G177" s="93" t="s">
        <v>7185</v>
      </c>
      <c r="H177" s="93" t="s">
        <v>400</v>
      </c>
      <c r="I177" s="93" t="s">
        <v>111</v>
      </c>
      <c r="J177" s="93" t="s">
        <v>7105</v>
      </c>
      <c r="K177" s="93" t="s">
        <v>111</v>
      </c>
      <c r="L177" s="93" t="s">
        <v>111</v>
      </c>
      <c r="M177" s="93" t="s">
        <v>111</v>
      </c>
      <c r="N177" s="93" t="s">
        <v>111</v>
      </c>
      <c r="O177" s="93" t="s">
        <v>111</v>
      </c>
      <c r="P177" s="93" t="s">
        <v>111</v>
      </c>
      <c r="Q177" s="93" t="s">
        <v>111</v>
      </c>
      <c r="R177" s="93" t="s">
        <v>2</v>
      </c>
      <c r="S177" s="93" t="s">
        <v>111</v>
      </c>
      <c r="T177" s="93" t="s">
        <v>116</v>
      </c>
      <c r="U177" s="94">
        <v>44610.060416666667</v>
      </c>
      <c r="V177" s="93" t="s">
        <v>7072</v>
      </c>
      <c r="W177" s="93" t="s">
        <v>24</v>
      </c>
    </row>
    <row r="178" spans="1:23" x14ac:dyDescent="0.15">
      <c r="A178" s="93" t="s">
        <v>160</v>
      </c>
      <c r="B178" s="93" t="s">
        <v>825</v>
      </c>
      <c r="C178" s="93">
        <v>0.5</v>
      </c>
      <c r="D178" s="93" t="s">
        <v>24</v>
      </c>
      <c r="E178" s="93" t="s">
        <v>24</v>
      </c>
      <c r="F178" s="93" t="s">
        <v>126</v>
      </c>
      <c r="G178" s="93" t="s">
        <v>7185</v>
      </c>
      <c r="H178" s="93" t="s">
        <v>400</v>
      </c>
      <c r="I178" s="93" t="s">
        <v>111</v>
      </c>
      <c r="J178" s="93" t="s">
        <v>7105</v>
      </c>
      <c r="K178" s="93" t="s">
        <v>111</v>
      </c>
      <c r="L178" s="93" t="s">
        <v>111</v>
      </c>
      <c r="M178" s="93" t="s">
        <v>111</v>
      </c>
      <c r="N178" s="93" t="s">
        <v>111</v>
      </c>
      <c r="O178" s="93" t="s">
        <v>111</v>
      </c>
      <c r="P178" s="93" t="s">
        <v>111</v>
      </c>
      <c r="Q178" s="93" t="s">
        <v>111</v>
      </c>
      <c r="R178" s="93" t="s">
        <v>2</v>
      </c>
      <c r="S178" s="93" t="s">
        <v>111</v>
      </c>
      <c r="T178" s="93" t="s">
        <v>116</v>
      </c>
      <c r="U178" s="94">
        <v>44610.102777777778</v>
      </c>
      <c r="V178" s="93" t="s">
        <v>7072</v>
      </c>
      <c r="W178" s="93" t="s">
        <v>24</v>
      </c>
    </row>
    <row r="179" spans="1:23" x14ac:dyDescent="0.15">
      <c r="A179" s="93" t="s">
        <v>161</v>
      </c>
      <c r="B179" s="93" t="s">
        <v>219</v>
      </c>
      <c r="C179" s="93">
        <v>41</v>
      </c>
      <c r="D179" s="93" t="s">
        <v>24</v>
      </c>
      <c r="E179" s="93" t="s">
        <v>24</v>
      </c>
      <c r="F179" s="93" t="s">
        <v>126</v>
      </c>
      <c r="G179" s="93" t="s">
        <v>7185</v>
      </c>
      <c r="H179" s="93" t="s">
        <v>400</v>
      </c>
      <c r="I179" s="93" t="s">
        <v>111</v>
      </c>
      <c r="J179" s="93" t="s">
        <v>7105</v>
      </c>
      <c r="K179" s="93" t="s">
        <v>111</v>
      </c>
      <c r="L179" s="93" t="s">
        <v>111</v>
      </c>
      <c r="M179" s="93" t="s">
        <v>111</v>
      </c>
      <c r="N179" s="93" t="s">
        <v>111</v>
      </c>
      <c r="O179" s="93" t="s">
        <v>111</v>
      </c>
      <c r="P179" s="93" t="s">
        <v>111</v>
      </c>
      <c r="Q179" s="93" t="s">
        <v>111</v>
      </c>
      <c r="R179" s="93" t="s">
        <v>2</v>
      </c>
      <c r="S179" s="93" t="s">
        <v>111</v>
      </c>
      <c r="T179" s="93" t="s">
        <v>116</v>
      </c>
      <c r="U179" s="94">
        <v>44610.10833333333</v>
      </c>
      <c r="V179" s="93" t="s">
        <v>7072</v>
      </c>
      <c r="W179" s="93" t="s">
        <v>24</v>
      </c>
    </row>
    <row r="180" spans="1:23" x14ac:dyDescent="0.15">
      <c r="A180" s="93" t="s">
        <v>162</v>
      </c>
      <c r="B180" s="93" t="s">
        <v>826</v>
      </c>
      <c r="C180" s="93">
        <v>173.4</v>
      </c>
      <c r="D180" s="93" t="s">
        <v>24</v>
      </c>
      <c r="E180" s="93" t="s">
        <v>24</v>
      </c>
      <c r="F180" s="93" t="s">
        <v>126</v>
      </c>
      <c r="G180" s="93" t="s">
        <v>7185</v>
      </c>
      <c r="H180" s="93" t="s">
        <v>400</v>
      </c>
      <c r="I180" s="93" t="s">
        <v>111</v>
      </c>
      <c r="J180" s="93" t="s">
        <v>7105</v>
      </c>
      <c r="K180" s="93" t="s">
        <v>111</v>
      </c>
      <c r="L180" s="93" t="s">
        <v>111</v>
      </c>
      <c r="M180" s="93" t="s">
        <v>111</v>
      </c>
      <c r="N180" s="93" t="s">
        <v>111</v>
      </c>
      <c r="O180" s="93" t="s">
        <v>111</v>
      </c>
      <c r="P180" s="93" t="s">
        <v>111</v>
      </c>
      <c r="Q180" s="93" t="s">
        <v>111</v>
      </c>
      <c r="R180" s="93" t="s">
        <v>2</v>
      </c>
      <c r="S180" s="93" t="s">
        <v>111</v>
      </c>
      <c r="T180" s="93" t="s">
        <v>116</v>
      </c>
      <c r="U180" s="94">
        <v>44610.107638888891</v>
      </c>
      <c r="V180" s="93" t="s">
        <v>7072</v>
      </c>
      <c r="W180" s="93" t="s">
        <v>24</v>
      </c>
    </row>
    <row r="181" spans="1:23" x14ac:dyDescent="0.15">
      <c r="A181" s="93" t="s">
        <v>163</v>
      </c>
      <c r="B181" s="93" t="s">
        <v>827</v>
      </c>
      <c r="C181" s="93">
        <v>4.82</v>
      </c>
      <c r="D181" s="93" t="s">
        <v>24</v>
      </c>
      <c r="E181" s="93" t="s">
        <v>24</v>
      </c>
      <c r="F181" s="93" t="s">
        <v>126</v>
      </c>
      <c r="G181" s="93" t="s">
        <v>7185</v>
      </c>
      <c r="H181" s="93" t="s">
        <v>400</v>
      </c>
      <c r="I181" s="93" t="s">
        <v>111</v>
      </c>
      <c r="J181" s="93" t="s">
        <v>7105</v>
      </c>
      <c r="K181" s="93" t="s">
        <v>111</v>
      </c>
      <c r="L181" s="93" t="s">
        <v>111</v>
      </c>
      <c r="M181" s="93" t="s">
        <v>111</v>
      </c>
      <c r="N181" s="93" t="s">
        <v>111</v>
      </c>
      <c r="O181" s="93" t="s">
        <v>111</v>
      </c>
      <c r="P181" s="93" t="s">
        <v>111</v>
      </c>
      <c r="Q181" s="93" t="s">
        <v>111</v>
      </c>
      <c r="R181" s="93" t="s">
        <v>2</v>
      </c>
      <c r="S181" s="93" t="s">
        <v>111</v>
      </c>
      <c r="T181" s="93" t="s">
        <v>116</v>
      </c>
      <c r="U181" s="94">
        <v>44610.085416666669</v>
      </c>
      <c r="V181" s="93" t="s">
        <v>7072</v>
      </c>
      <c r="W181" s="93" t="s">
        <v>24</v>
      </c>
    </row>
    <row r="182" spans="1:23" x14ac:dyDescent="0.15">
      <c r="A182" s="93" t="s">
        <v>164</v>
      </c>
      <c r="B182" s="93" t="s">
        <v>828</v>
      </c>
      <c r="C182" s="93">
        <v>224.4</v>
      </c>
      <c r="D182" s="93" t="s">
        <v>24</v>
      </c>
      <c r="E182" s="93" t="s">
        <v>24</v>
      </c>
      <c r="F182" s="93" t="s">
        <v>126</v>
      </c>
      <c r="G182" s="93" t="s">
        <v>7185</v>
      </c>
      <c r="H182" s="93" t="s">
        <v>400</v>
      </c>
      <c r="I182" s="93" t="s">
        <v>111</v>
      </c>
      <c r="J182" s="93" t="s">
        <v>7105</v>
      </c>
      <c r="K182" s="93" t="s">
        <v>111</v>
      </c>
      <c r="L182" s="93" t="s">
        <v>111</v>
      </c>
      <c r="M182" s="93" t="s">
        <v>111</v>
      </c>
      <c r="N182" s="93" t="s">
        <v>111</v>
      </c>
      <c r="O182" s="93" t="s">
        <v>111</v>
      </c>
      <c r="P182" s="93" t="s">
        <v>111</v>
      </c>
      <c r="Q182" s="93" t="s">
        <v>111</v>
      </c>
      <c r="R182" s="93" t="s">
        <v>2</v>
      </c>
      <c r="S182" s="93" t="s">
        <v>111</v>
      </c>
      <c r="T182" s="93" t="s">
        <v>116</v>
      </c>
      <c r="U182" s="94">
        <v>44610.102083333331</v>
      </c>
      <c r="V182" s="93" t="s">
        <v>7072</v>
      </c>
      <c r="W182" s="93" t="s">
        <v>24</v>
      </c>
    </row>
    <row r="183" spans="1:23" x14ac:dyDescent="0.15">
      <c r="A183" s="93" t="s">
        <v>165</v>
      </c>
      <c r="B183" s="93" t="s">
        <v>829</v>
      </c>
      <c r="C183" s="93">
        <v>6.23</v>
      </c>
      <c r="D183" s="93" t="s">
        <v>24</v>
      </c>
      <c r="E183" s="93" t="s">
        <v>24</v>
      </c>
      <c r="F183" s="93" t="s">
        <v>126</v>
      </c>
      <c r="G183" s="93" t="s">
        <v>7185</v>
      </c>
      <c r="H183" s="93" t="s">
        <v>400</v>
      </c>
      <c r="I183" s="93" t="s">
        <v>111</v>
      </c>
      <c r="J183" s="93" t="s">
        <v>7105</v>
      </c>
      <c r="K183" s="93" t="s">
        <v>111</v>
      </c>
      <c r="L183" s="93" t="s">
        <v>111</v>
      </c>
      <c r="M183" s="93" t="s">
        <v>111</v>
      </c>
      <c r="N183" s="93" t="s">
        <v>111</v>
      </c>
      <c r="O183" s="93" t="s">
        <v>111</v>
      </c>
      <c r="P183" s="93" t="s">
        <v>111</v>
      </c>
      <c r="Q183" s="93" t="s">
        <v>111</v>
      </c>
      <c r="R183" s="93" t="s">
        <v>2</v>
      </c>
      <c r="S183" s="93" t="s">
        <v>111</v>
      </c>
      <c r="T183" s="93" t="s">
        <v>116</v>
      </c>
      <c r="U183" s="94">
        <v>44610.115277777775</v>
      </c>
      <c r="V183" s="93" t="s">
        <v>7072</v>
      </c>
      <c r="W183" s="93" t="s">
        <v>24</v>
      </c>
    </row>
    <row r="184" spans="1:23" x14ac:dyDescent="0.15">
      <c r="A184" s="93" t="s">
        <v>166</v>
      </c>
      <c r="B184" s="93" t="s">
        <v>830</v>
      </c>
      <c r="C184" s="93">
        <v>165.75</v>
      </c>
      <c r="D184" s="93" t="s">
        <v>24</v>
      </c>
      <c r="E184" s="93" t="s">
        <v>24</v>
      </c>
      <c r="F184" s="93" t="s">
        <v>126</v>
      </c>
      <c r="G184" s="93" t="s">
        <v>7185</v>
      </c>
      <c r="H184" s="93" t="s">
        <v>400</v>
      </c>
      <c r="I184" s="93" t="s">
        <v>111</v>
      </c>
      <c r="J184" s="93" t="s">
        <v>7105</v>
      </c>
      <c r="K184" s="93" t="s">
        <v>111</v>
      </c>
      <c r="L184" s="93" t="s">
        <v>111</v>
      </c>
      <c r="M184" s="93" t="s">
        <v>111</v>
      </c>
      <c r="N184" s="93" t="s">
        <v>111</v>
      </c>
      <c r="O184" s="93" t="s">
        <v>111</v>
      </c>
      <c r="P184" s="93" t="s">
        <v>111</v>
      </c>
      <c r="Q184" s="93" t="s">
        <v>111</v>
      </c>
      <c r="R184" s="93" t="s">
        <v>2</v>
      </c>
      <c r="S184" s="93" t="s">
        <v>111</v>
      </c>
      <c r="T184" s="93" t="s">
        <v>116</v>
      </c>
      <c r="U184" s="94">
        <v>44610.107638888891</v>
      </c>
      <c r="V184" s="93" t="s">
        <v>7072</v>
      </c>
      <c r="W184" s="93" t="s">
        <v>24</v>
      </c>
    </row>
    <row r="185" spans="1:23" x14ac:dyDescent="0.15">
      <c r="A185" s="93" t="s">
        <v>167</v>
      </c>
      <c r="B185" s="93" t="s">
        <v>831</v>
      </c>
      <c r="C185" s="93">
        <v>4.5999999999999996</v>
      </c>
      <c r="D185" s="93" t="s">
        <v>24</v>
      </c>
      <c r="E185" s="93" t="s">
        <v>24</v>
      </c>
      <c r="F185" s="93" t="s">
        <v>126</v>
      </c>
      <c r="G185" s="93" t="s">
        <v>7185</v>
      </c>
      <c r="H185" s="93" t="s">
        <v>400</v>
      </c>
      <c r="I185" s="93" t="s">
        <v>111</v>
      </c>
      <c r="J185" s="93" t="s">
        <v>7105</v>
      </c>
      <c r="K185" s="93" t="s">
        <v>111</v>
      </c>
      <c r="L185" s="93" t="s">
        <v>111</v>
      </c>
      <c r="M185" s="93" t="s">
        <v>111</v>
      </c>
      <c r="N185" s="93" t="s">
        <v>111</v>
      </c>
      <c r="O185" s="93" t="s">
        <v>111</v>
      </c>
      <c r="P185" s="93" t="s">
        <v>111</v>
      </c>
      <c r="Q185" s="93" t="s">
        <v>111</v>
      </c>
      <c r="R185" s="93" t="s">
        <v>2</v>
      </c>
      <c r="S185" s="93" t="s">
        <v>111</v>
      </c>
      <c r="T185" s="93" t="s">
        <v>116</v>
      </c>
      <c r="U185" s="94">
        <v>44610.09375</v>
      </c>
      <c r="V185" s="93" t="s">
        <v>7072</v>
      </c>
      <c r="W185" s="93" t="s">
        <v>24</v>
      </c>
    </row>
    <row r="186" spans="1:23" x14ac:dyDescent="0.15">
      <c r="A186" s="93" t="s">
        <v>168</v>
      </c>
      <c r="B186" s="93" t="s">
        <v>832</v>
      </c>
      <c r="C186" s="93">
        <v>283.05</v>
      </c>
      <c r="D186" s="93" t="s">
        <v>24</v>
      </c>
      <c r="E186" s="93" t="s">
        <v>24</v>
      </c>
      <c r="F186" s="93" t="s">
        <v>126</v>
      </c>
      <c r="G186" s="93" t="s">
        <v>7185</v>
      </c>
      <c r="H186" s="93" t="s">
        <v>400</v>
      </c>
      <c r="I186" s="93" t="s">
        <v>111</v>
      </c>
      <c r="J186" s="93" t="s">
        <v>7105</v>
      </c>
      <c r="K186" s="93" t="s">
        <v>111</v>
      </c>
      <c r="L186" s="93" t="s">
        <v>111</v>
      </c>
      <c r="M186" s="93" t="s">
        <v>111</v>
      </c>
      <c r="N186" s="93" t="s">
        <v>111</v>
      </c>
      <c r="O186" s="93" t="s">
        <v>111</v>
      </c>
      <c r="P186" s="93" t="s">
        <v>111</v>
      </c>
      <c r="Q186" s="93" t="s">
        <v>111</v>
      </c>
      <c r="R186" s="93" t="s">
        <v>2</v>
      </c>
      <c r="S186" s="93" t="s">
        <v>111</v>
      </c>
      <c r="T186" s="93" t="s">
        <v>116</v>
      </c>
      <c r="U186" s="94">
        <v>44610.102083333331</v>
      </c>
      <c r="V186" s="93" t="s">
        <v>7072</v>
      </c>
      <c r="W186" s="93" t="s">
        <v>24</v>
      </c>
    </row>
    <row r="187" spans="1:23" x14ac:dyDescent="0.15">
      <c r="A187" s="93" t="s">
        <v>169</v>
      </c>
      <c r="B187" s="93" t="s">
        <v>833</v>
      </c>
      <c r="C187" s="93">
        <v>7.86</v>
      </c>
      <c r="D187" s="93" t="s">
        <v>24</v>
      </c>
      <c r="E187" s="93" t="s">
        <v>24</v>
      </c>
      <c r="F187" s="93" t="s">
        <v>126</v>
      </c>
      <c r="G187" s="93" t="s">
        <v>7185</v>
      </c>
      <c r="H187" s="93" t="s">
        <v>400</v>
      </c>
      <c r="I187" s="93" t="s">
        <v>111</v>
      </c>
      <c r="J187" s="93" t="s">
        <v>7105</v>
      </c>
      <c r="K187" s="93" t="s">
        <v>111</v>
      </c>
      <c r="L187" s="93" t="s">
        <v>111</v>
      </c>
      <c r="M187" s="93" t="s">
        <v>111</v>
      </c>
      <c r="N187" s="93" t="s">
        <v>111</v>
      </c>
      <c r="O187" s="93" t="s">
        <v>111</v>
      </c>
      <c r="P187" s="93" t="s">
        <v>111</v>
      </c>
      <c r="Q187" s="93" t="s">
        <v>111</v>
      </c>
      <c r="R187" s="93" t="s">
        <v>2</v>
      </c>
      <c r="S187" s="93" t="s">
        <v>111</v>
      </c>
      <c r="T187" s="93" t="s">
        <v>116</v>
      </c>
      <c r="U187" s="94">
        <v>44610.125</v>
      </c>
      <c r="V187" s="93" t="s">
        <v>7072</v>
      </c>
      <c r="W187" s="93" t="s">
        <v>24</v>
      </c>
    </row>
    <row r="188" spans="1:23" x14ac:dyDescent="0.15">
      <c r="A188" s="93" t="s">
        <v>170</v>
      </c>
      <c r="B188" s="93" t="s">
        <v>834</v>
      </c>
      <c r="C188" s="93">
        <v>290.7</v>
      </c>
      <c r="D188" s="93" t="s">
        <v>24</v>
      </c>
      <c r="E188" s="93" t="s">
        <v>24</v>
      </c>
      <c r="F188" s="93" t="s">
        <v>126</v>
      </c>
      <c r="G188" s="93" t="s">
        <v>7185</v>
      </c>
      <c r="H188" s="93" t="s">
        <v>400</v>
      </c>
      <c r="I188" s="93" t="s">
        <v>111</v>
      </c>
      <c r="J188" s="93" t="s">
        <v>7105</v>
      </c>
      <c r="K188" s="93" t="s">
        <v>111</v>
      </c>
      <c r="L188" s="93" t="s">
        <v>111</v>
      </c>
      <c r="M188" s="93" t="s">
        <v>111</v>
      </c>
      <c r="N188" s="93" t="s">
        <v>111</v>
      </c>
      <c r="O188" s="93" t="s">
        <v>111</v>
      </c>
      <c r="P188" s="93" t="s">
        <v>111</v>
      </c>
      <c r="Q188" s="93" t="s">
        <v>111</v>
      </c>
      <c r="R188" s="93" t="s">
        <v>2</v>
      </c>
      <c r="S188" s="93" t="s">
        <v>111</v>
      </c>
      <c r="T188" s="93" t="s">
        <v>116</v>
      </c>
      <c r="U188" s="94">
        <v>44610.107638888891</v>
      </c>
      <c r="V188" s="93" t="s">
        <v>7072</v>
      </c>
      <c r="W188" s="93" t="s">
        <v>24</v>
      </c>
    </row>
    <row r="189" spans="1:23" x14ac:dyDescent="0.15">
      <c r="A189" s="93" t="s">
        <v>171</v>
      </c>
      <c r="B189" s="93" t="s">
        <v>835</v>
      </c>
      <c r="C189" s="93">
        <v>8.08</v>
      </c>
      <c r="D189" s="93" t="s">
        <v>24</v>
      </c>
      <c r="E189" s="93" t="s">
        <v>24</v>
      </c>
      <c r="F189" s="93" t="s">
        <v>126</v>
      </c>
      <c r="G189" s="93" t="s">
        <v>7185</v>
      </c>
      <c r="H189" s="93" t="s">
        <v>400</v>
      </c>
      <c r="I189" s="93" t="s">
        <v>111</v>
      </c>
      <c r="J189" s="93" t="s">
        <v>7105</v>
      </c>
      <c r="K189" s="93" t="s">
        <v>111</v>
      </c>
      <c r="L189" s="93" t="s">
        <v>111</v>
      </c>
      <c r="M189" s="93" t="s">
        <v>111</v>
      </c>
      <c r="N189" s="93" t="s">
        <v>111</v>
      </c>
      <c r="O189" s="93" t="s">
        <v>111</v>
      </c>
      <c r="P189" s="93" t="s">
        <v>111</v>
      </c>
      <c r="Q189" s="93" t="s">
        <v>111</v>
      </c>
      <c r="R189" s="93" t="s">
        <v>2</v>
      </c>
      <c r="S189" s="93" t="s">
        <v>111</v>
      </c>
      <c r="T189" s="93" t="s">
        <v>116</v>
      </c>
      <c r="U189" s="94">
        <v>44610.10833333333</v>
      </c>
      <c r="V189" s="93" t="s">
        <v>7072</v>
      </c>
      <c r="W189" s="93" t="s">
        <v>24</v>
      </c>
    </row>
    <row r="190" spans="1:23" x14ac:dyDescent="0.15">
      <c r="A190" s="93" t="s">
        <v>172</v>
      </c>
      <c r="B190" s="93" t="s">
        <v>221</v>
      </c>
      <c r="C190" s="93">
        <v>44</v>
      </c>
      <c r="D190" s="93" t="s">
        <v>24</v>
      </c>
      <c r="E190" s="93" t="s">
        <v>24</v>
      </c>
      <c r="F190" s="93" t="s">
        <v>126</v>
      </c>
      <c r="G190" s="93" t="s">
        <v>7185</v>
      </c>
      <c r="H190" s="93" t="s">
        <v>400</v>
      </c>
      <c r="I190" s="93" t="s">
        <v>111</v>
      </c>
      <c r="J190" s="93" t="s">
        <v>7105</v>
      </c>
      <c r="K190" s="93" t="s">
        <v>111</v>
      </c>
      <c r="L190" s="93" t="s">
        <v>111</v>
      </c>
      <c r="M190" s="93" t="s">
        <v>111</v>
      </c>
      <c r="N190" s="93" t="s">
        <v>111</v>
      </c>
      <c r="O190" s="93" t="s">
        <v>111</v>
      </c>
      <c r="P190" s="93" t="s">
        <v>111</v>
      </c>
      <c r="Q190" s="93" t="s">
        <v>111</v>
      </c>
      <c r="R190" s="93" t="s">
        <v>2</v>
      </c>
      <c r="S190" s="93" t="s">
        <v>111</v>
      </c>
      <c r="T190" s="93" t="s">
        <v>116</v>
      </c>
      <c r="U190" s="94">
        <v>44610.054861111108</v>
      </c>
      <c r="V190" s="93" t="s">
        <v>7072</v>
      </c>
      <c r="W190" s="93" t="s">
        <v>24</v>
      </c>
    </row>
    <row r="191" spans="1:23" x14ac:dyDescent="0.15">
      <c r="A191" s="93" t="s">
        <v>173</v>
      </c>
      <c r="B191" s="93" t="s">
        <v>836</v>
      </c>
      <c r="C191" s="93">
        <v>326.39999999999998</v>
      </c>
      <c r="D191" s="93" t="s">
        <v>24</v>
      </c>
      <c r="E191" s="93" t="s">
        <v>24</v>
      </c>
      <c r="F191" s="93" t="s">
        <v>126</v>
      </c>
      <c r="G191" s="93" t="s">
        <v>7185</v>
      </c>
      <c r="H191" s="93" t="s">
        <v>400</v>
      </c>
      <c r="I191" s="93" t="s">
        <v>111</v>
      </c>
      <c r="J191" s="93" t="s">
        <v>7105</v>
      </c>
      <c r="K191" s="93" t="s">
        <v>111</v>
      </c>
      <c r="L191" s="93" t="s">
        <v>111</v>
      </c>
      <c r="M191" s="93" t="s">
        <v>111</v>
      </c>
      <c r="N191" s="93" t="s">
        <v>111</v>
      </c>
      <c r="O191" s="93" t="s">
        <v>111</v>
      </c>
      <c r="P191" s="93" t="s">
        <v>111</v>
      </c>
      <c r="Q191" s="93" t="s">
        <v>111</v>
      </c>
      <c r="R191" s="93" t="s">
        <v>2</v>
      </c>
      <c r="S191" s="93" t="s">
        <v>111</v>
      </c>
      <c r="T191" s="93" t="s">
        <v>116</v>
      </c>
      <c r="U191" s="94">
        <v>44610.102083333331</v>
      </c>
      <c r="V191" s="93" t="s">
        <v>7072</v>
      </c>
      <c r="W191" s="93" t="s">
        <v>24</v>
      </c>
    </row>
    <row r="192" spans="1:23" x14ac:dyDescent="0.15">
      <c r="A192" s="93" t="s">
        <v>174</v>
      </c>
      <c r="B192" s="93" t="s">
        <v>837</v>
      </c>
      <c r="C192" s="93">
        <v>9.07</v>
      </c>
      <c r="D192" s="93" t="s">
        <v>24</v>
      </c>
      <c r="E192" s="93" t="s">
        <v>24</v>
      </c>
      <c r="F192" s="93" t="s">
        <v>126</v>
      </c>
      <c r="G192" s="93" t="s">
        <v>7185</v>
      </c>
      <c r="H192" s="93" t="s">
        <v>400</v>
      </c>
      <c r="I192" s="93" t="s">
        <v>111</v>
      </c>
      <c r="J192" s="93" t="s">
        <v>7105</v>
      </c>
      <c r="K192" s="93" t="s">
        <v>111</v>
      </c>
      <c r="L192" s="93" t="s">
        <v>111</v>
      </c>
      <c r="M192" s="93" t="s">
        <v>111</v>
      </c>
      <c r="N192" s="93" t="s">
        <v>111</v>
      </c>
      <c r="O192" s="93" t="s">
        <v>111</v>
      </c>
      <c r="P192" s="93" t="s">
        <v>111</v>
      </c>
      <c r="Q192" s="93" t="s">
        <v>111</v>
      </c>
      <c r="R192" s="93" t="s">
        <v>2</v>
      </c>
      <c r="S192" s="93" t="s">
        <v>111</v>
      </c>
      <c r="T192" s="93" t="s">
        <v>116</v>
      </c>
      <c r="U192" s="94">
        <v>44610.102777777778</v>
      </c>
      <c r="V192" s="93" t="s">
        <v>7072</v>
      </c>
      <c r="W192" s="93" t="s">
        <v>24</v>
      </c>
    </row>
    <row r="193" spans="1:23" x14ac:dyDescent="0.15">
      <c r="A193" s="93" t="s">
        <v>175</v>
      </c>
      <c r="B193" s="93" t="s">
        <v>838</v>
      </c>
      <c r="C193" s="93">
        <v>550.79999999999995</v>
      </c>
      <c r="D193" s="93" t="s">
        <v>24</v>
      </c>
      <c r="E193" s="93" t="s">
        <v>24</v>
      </c>
      <c r="F193" s="93" t="s">
        <v>126</v>
      </c>
      <c r="G193" s="93" t="s">
        <v>7185</v>
      </c>
      <c r="H193" s="93" t="s">
        <v>400</v>
      </c>
      <c r="I193" s="93" t="s">
        <v>111</v>
      </c>
      <c r="J193" s="93" t="s">
        <v>7105</v>
      </c>
      <c r="K193" s="93" t="s">
        <v>111</v>
      </c>
      <c r="L193" s="93" t="s">
        <v>111</v>
      </c>
      <c r="M193" s="93" t="s">
        <v>111</v>
      </c>
      <c r="N193" s="93" t="s">
        <v>111</v>
      </c>
      <c r="O193" s="93" t="s">
        <v>111</v>
      </c>
      <c r="P193" s="93" t="s">
        <v>111</v>
      </c>
      <c r="Q193" s="93" t="s">
        <v>111</v>
      </c>
      <c r="R193" s="93" t="s">
        <v>2</v>
      </c>
      <c r="S193" s="93" t="s">
        <v>111</v>
      </c>
      <c r="T193" s="93" t="s">
        <v>116</v>
      </c>
      <c r="U193" s="94">
        <v>44610.107638888891</v>
      </c>
      <c r="V193" s="93" t="s">
        <v>7072</v>
      </c>
      <c r="W193" s="93" t="s">
        <v>24</v>
      </c>
    </row>
    <row r="194" spans="1:23" x14ac:dyDescent="0.15">
      <c r="A194" s="93" t="s">
        <v>176</v>
      </c>
      <c r="B194" s="93" t="s">
        <v>839</v>
      </c>
      <c r="C194" s="93">
        <v>15.3</v>
      </c>
      <c r="D194" s="93" t="s">
        <v>24</v>
      </c>
      <c r="E194" s="93" t="s">
        <v>24</v>
      </c>
      <c r="F194" s="93" t="s">
        <v>126</v>
      </c>
      <c r="G194" s="93" t="s">
        <v>7185</v>
      </c>
      <c r="H194" s="93" t="s">
        <v>400</v>
      </c>
      <c r="I194" s="93" t="s">
        <v>111</v>
      </c>
      <c r="J194" s="93" t="s">
        <v>7105</v>
      </c>
      <c r="K194" s="93" t="s">
        <v>111</v>
      </c>
      <c r="L194" s="93" t="s">
        <v>111</v>
      </c>
      <c r="M194" s="93" t="s">
        <v>111</v>
      </c>
      <c r="N194" s="93" t="s">
        <v>111</v>
      </c>
      <c r="O194" s="93" t="s">
        <v>111</v>
      </c>
      <c r="P194" s="93" t="s">
        <v>111</v>
      </c>
      <c r="Q194" s="93" t="s">
        <v>111</v>
      </c>
      <c r="R194" s="93" t="s">
        <v>2</v>
      </c>
      <c r="S194" s="93" t="s">
        <v>111</v>
      </c>
      <c r="T194" s="93" t="s">
        <v>116</v>
      </c>
      <c r="U194" s="94">
        <v>44610.07708333333</v>
      </c>
      <c r="V194" s="93" t="s">
        <v>7072</v>
      </c>
      <c r="W194" s="93" t="s">
        <v>24</v>
      </c>
    </row>
    <row r="195" spans="1:23" x14ac:dyDescent="0.15">
      <c r="A195" s="93" t="s">
        <v>177</v>
      </c>
      <c r="B195" s="93" t="s">
        <v>840</v>
      </c>
      <c r="C195" s="93">
        <v>58.65</v>
      </c>
      <c r="D195" s="93" t="s">
        <v>24</v>
      </c>
      <c r="E195" s="93" t="s">
        <v>24</v>
      </c>
      <c r="F195" s="93" t="s">
        <v>126</v>
      </c>
      <c r="G195" s="93" t="s">
        <v>7185</v>
      </c>
      <c r="H195" s="93" t="s">
        <v>400</v>
      </c>
      <c r="I195" s="93" t="s">
        <v>111</v>
      </c>
      <c r="J195" s="93" t="s">
        <v>7105</v>
      </c>
      <c r="K195" s="93" t="s">
        <v>111</v>
      </c>
      <c r="L195" s="93" t="s">
        <v>111</v>
      </c>
      <c r="M195" s="93" t="s">
        <v>111</v>
      </c>
      <c r="N195" s="93" t="s">
        <v>111</v>
      </c>
      <c r="O195" s="93" t="s">
        <v>111</v>
      </c>
      <c r="P195" s="93" t="s">
        <v>111</v>
      </c>
      <c r="Q195" s="93" t="s">
        <v>111</v>
      </c>
      <c r="R195" s="93" t="s">
        <v>2</v>
      </c>
      <c r="S195" s="93" t="s">
        <v>111</v>
      </c>
      <c r="T195" s="93" t="s">
        <v>116</v>
      </c>
      <c r="U195" s="94">
        <v>44610.102083333331</v>
      </c>
      <c r="V195" s="93" t="s">
        <v>7072</v>
      </c>
      <c r="W195" s="93" t="s">
        <v>24</v>
      </c>
    </row>
    <row r="196" spans="1:23" x14ac:dyDescent="0.15">
      <c r="A196" s="93" t="s">
        <v>178</v>
      </c>
      <c r="B196" s="93" t="s">
        <v>841</v>
      </c>
      <c r="C196" s="93">
        <v>1.63</v>
      </c>
      <c r="D196" s="93" t="s">
        <v>24</v>
      </c>
      <c r="E196" s="93" t="s">
        <v>24</v>
      </c>
      <c r="F196" s="93" t="s">
        <v>126</v>
      </c>
      <c r="G196" s="93" t="s">
        <v>7185</v>
      </c>
      <c r="H196" s="93" t="s">
        <v>400</v>
      </c>
      <c r="I196" s="93" t="s">
        <v>111</v>
      </c>
      <c r="J196" s="93" t="s">
        <v>7105</v>
      </c>
      <c r="K196" s="93" t="s">
        <v>111</v>
      </c>
      <c r="L196" s="93" t="s">
        <v>111</v>
      </c>
      <c r="M196" s="93" t="s">
        <v>111</v>
      </c>
      <c r="N196" s="93" t="s">
        <v>111</v>
      </c>
      <c r="O196" s="93" t="s">
        <v>111</v>
      </c>
      <c r="P196" s="93" t="s">
        <v>111</v>
      </c>
      <c r="Q196" s="93" t="s">
        <v>111</v>
      </c>
      <c r="R196" s="93" t="s">
        <v>2</v>
      </c>
      <c r="S196" s="93" t="s">
        <v>111</v>
      </c>
      <c r="T196" s="93" t="s">
        <v>116</v>
      </c>
      <c r="U196" s="94">
        <v>44610.102777777778</v>
      </c>
      <c r="V196" s="93" t="s">
        <v>7072</v>
      </c>
      <c r="W196" s="93" t="s">
        <v>24</v>
      </c>
    </row>
    <row r="197" spans="1:23" x14ac:dyDescent="0.15">
      <c r="A197" s="93" t="s">
        <v>179</v>
      </c>
      <c r="B197" s="93" t="s">
        <v>842</v>
      </c>
      <c r="C197" s="93">
        <v>132.6</v>
      </c>
      <c r="D197" s="93" t="s">
        <v>24</v>
      </c>
      <c r="E197" s="93" t="s">
        <v>24</v>
      </c>
      <c r="F197" s="93" t="s">
        <v>126</v>
      </c>
      <c r="G197" s="93" t="s">
        <v>7185</v>
      </c>
      <c r="H197" s="93" t="s">
        <v>400</v>
      </c>
      <c r="I197" s="93" t="s">
        <v>111</v>
      </c>
      <c r="J197" s="93" t="s">
        <v>7105</v>
      </c>
      <c r="K197" s="93" t="s">
        <v>111</v>
      </c>
      <c r="L197" s="93" t="s">
        <v>111</v>
      </c>
      <c r="M197" s="93" t="s">
        <v>111</v>
      </c>
      <c r="N197" s="93" t="s">
        <v>111</v>
      </c>
      <c r="O197" s="93" t="s">
        <v>111</v>
      </c>
      <c r="P197" s="93" t="s">
        <v>111</v>
      </c>
      <c r="Q197" s="93" t="s">
        <v>111</v>
      </c>
      <c r="R197" s="93" t="s">
        <v>2</v>
      </c>
      <c r="S197" s="93" t="s">
        <v>111</v>
      </c>
      <c r="T197" s="93" t="s">
        <v>116</v>
      </c>
      <c r="U197" s="94">
        <v>44610.07708333333</v>
      </c>
      <c r="V197" s="93" t="s">
        <v>7072</v>
      </c>
      <c r="W197" s="93" t="s">
        <v>24</v>
      </c>
    </row>
    <row r="198" spans="1:23" x14ac:dyDescent="0.15">
      <c r="A198" s="93" t="s">
        <v>180</v>
      </c>
      <c r="B198" s="93" t="s">
        <v>843</v>
      </c>
      <c r="C198" s="93">
        <v>3.68</v>
      </c>
      <c r="D198" s="93" t="s">
        <v>24</v>
      </c>
      <c r="E198" s="93" t="s">
        <v>24</v>
      </c>
      <c r="F198" s="93" t="s">
        <v>126</v>
      </c>
      <c r="G198" s="93" t="s">
        <v>7185</v>
      </c>
      <c r="H198" s="93" t="s">
        <v>400</v>
      </c>
      <c r="I198" s="93" t="s">
        <v>111</v>
      </c>
      <c r="J198" s="93" t="s">
        <v>7105</v>
      </c>
      <c r="K198" s="93" t="s">
        <v>111</v>
      </c>
      <c r="L198" s="93" t="s">
        <v>111</v>
      </c>
      <c r="M198" s="93" t="s">
        <v>111</v>
      </c>
      <c r="N198" s="93" t="s">
        <v>111</v>
      </c>
      <c r="O198" s="93" t="s">
        <v>111</v>
      </c>
      <c r="P198" s="93" t="s">
        <v>111</v>
      </c>
      <c r="Q198" s="93" t="s">
        <v>111</v>
      </c>
      <c r="R198" s="93" t="s">
        <v>2</v>
      </c>
      <c r="S198" s="93" t="s">
        <v>111</v>
      </c>
      <c r="T198" s="93" t="s">
        <v>116</v>
      </c>
      <c r="U198" s="94">
        <v>44610.125694444447</v>
      </c>
      <c r="V198" s="93" t="s">
        <v>7072</v>
      </c>
      <c r="W198" s="93" t="s">
        <v>24</v>
      </c>
    </row>
    <row r="199" spans="1:23" x14ac:dyDescent="0.15">
      <c r="A199" s="93" t="s">
        <v>181</v>
      </c>
      <c r="B199" s="93" t="s">
        <v>844</v>
      </c>
      <c r="C199" s="93">
        <v>640.04999999999995</v>
      </c>
      <c r="D199" s="93" t="s">
        <v>24</v>
      </c>
      <c r="E199" s="93" t="s">
        <v>24</v>
      </c>
      <c r="F199" s="93" t="s">
        <v>126</v>
      </c>
      <c r="G199" s="93" t="s">
        <v>7185</v>
      </c>
      <c r="H199" s="93" t="s">
        <v>400</v>
      </c>
      <c r="I199" s="93" t="s">
        <v>111</v>
      </c>
      <c r="J199" s="93" t="s">
        <v>7105</v>
      </c>
      <c r="K199" s="93" t="s">
        <v>111</v>
      </c>
      <c r="L199" s="93" t="s">
        <v>111</v>
      </c>
      <c r="M199" s="93" t="s">
        <v>111</v>
      </c>
      <c r="N199" s="93" t="s">
        <v>111</v>
      </c>
      <c r="O199" s="93" t="s">
        <v>111</v>
      </c>
      <c r="P199" s="93" t="s">
        <v>111</v>
      </c>
      <c r="Q199" s="93" t="s">
        <v>111</v>
      </c>
      <c r="R199" s="93" t="s">
        <v>2</v>
      </c>
      <c r="S199" s="93" t="s">
        <v>111</v>
      </c>
      <c r="T199" s="93" t="s">
        <v>116</v>
      </c>
      <c r="U199" s="94">
        <v>44610.102083333331</v>
      </c>
      <c r="V199" s="93" t="s">
        <v>7072</v>
      </c>
      <c r="W199" s="93" t="s">
        <v>24</v>
      </c>
    </row>
    <row r="200" spans="1:23" x14ac:dyDescent="0.15">
      <c r="A200" s="93" t="s">
        <v>182</v>
      </c>
      <c r="B200" s="93" t="s">
        <v>845</v>
      </c>
      <c r="C200" s="93">
        <v>17.78</v>
      </c>
      <c r="D200" s="93" t="s">
        <v>24</v>
      </c>
      <c r="E200" s="93" t="s">
        <v>24</v>
      </c>
      <c r="F200" s="93" t="s">
        <v>126</v>
      </c>
      <c r="G200" s="93" t="s">
        <v>7185</v>
      </c>
      <c r="H200" s="93" t="s">
        <v>400</v>
      </c>
      <c r="I200" s="93" t="s">
        <v>111</v>
      </c>
      <c r="J200" s="93" t="s">
        <v>7105</v>
      </c>
      <c r="K200" s="93" t="s">
        <v>111</v>
      </c>
      <c r="L200" s="93" t="s">
        <v>111</v>
      </c>
      <c r="M200" s="93" t="s">
        <v>111</v>
      </c>
      <c r="N200" s="93" t="s">
        <v>111</v>
      </c>
      <c r="O200" s="93" t="s">
        <v>111</v>
      </c>
      <c r="P200" s="93" t="s">
        <v>111</v>
      </c>
      <c r="Q200" s="93" t="s">
        <v>111</v>
      </c>
      <c r="R200" s="93" t="s">
        <v>2</v>
      </c>
      <c r="S200" s="93" t="s">
        <v>111</v>
      </c>
      <c r="T200" s="93" t="s">
        <v>116</v>
      </c>
      <c r="U200" s="94">
        <v>44610.068749999999</v>
      </c>
      <c r="V200" s="93" t="s">
        <v>7072</v>
      </c>
      <c r="W200" s="93" t="s">
        <v>24</v>
      </c>
    </row>
    <row r="201" spans="1:23" x14ac:dyDescent="0.15">
      <c r="A201" s="93" t="s">
        <v>183</v>
      </c>
      <c r="B201" s="93" t="s">
        <v>846</v>
      </c>
      <c r="C201" s="93">
        <v>772.65</v>
      </c>
      <c r="D201" s="93" t="s">
        <v>24</v>
      </c>
      <c r="E201" s="93" t="s">
        <v>24</v>
      </c>
      <c r="F201" s="93" t="s">
        <v>126</v>
      </c>
      <c r="G201" s="93" t="s">
        <v>7185</v>
      </c>
      <c r="H201" s="93" t="s">
        <v>400</v>
      </c>
      <c r="I201" s="93" t="s">
        <v>111</v>
      </c>
      <c r="J201" s="93" t="s">
        <v>7105</v>
      </c>
      <c r="K201" s="93" t="s">
        <v>111</v>
      </c>
      <c r="L201" s="93" t="s">
        <v>111</v>
      </c>
      <c r="M201" s="93" t="s">
        <v>111</v>
      </c>
      <c r="N201" s="93" t="s">
        <v>111</v>
      </c>
      <c r="O201" s="93" t="s">
        <v>111</v>
      </c>
      <c r="P201" s="93" t="s">
        <v>111</v>
      </c>
      <c r="Q201" s="93" t="s">
        <v>111</v>
      </c>
      <c r="R201" s="93" t="s">
        <v>2</v>
      </c>
      <c r="S201" s="93" t="s">
        <v>111</v>
      </c>
      <c r="T201" s="93" t="s">
        <v>116</v>
      </c>
      <c r="U201" s="94">
        <v>44610.10833333333</v>
      </c>
      <c r="V201" s="93" t="s">
        <v>7072</v>
      </c>
      <c r="W201" s="93" t="s">
        <v>24</v>
      </c>
    </row>
    <row r="202" spans="1:23" x14ac:dyDescent="0.15">
      <c r="A202" s="93" t="s">
        <v>184</v>
      </c>
      <c r="B202" s="93" t="s">
        <v>847</v>
      </c>
      <c r="C202" s="93">
        <v>21.46</v>
      </c>
      <c r="D202" s="93" t="s">
        <v>24</v>
      </c>
      <c r="E202" s="93" t="s">
        <v>24</v>
      </c>
      <c r="F202" s="93" t="s">
        <v>126</v>
      </c>
      <c r="G202" s="93" t="s">
        <v>7185</v>
      </c>
      <c r="H202" s="93" t="s">
        <v>400</v>
      </c>
      <c r="I202" s="93" t="s">
        <v>111</v>
      </c>
      <c r="J202" s="93" t="s">
        <v>7105</v>
      </c>
      <c r="K202" s="93" t="s">
        <v>111</v>
      </c>
      <c r="L202" s="93" t="s">
        <v>111</v>
      </c>
      <c r="M202" s="93" t="s">
        <v>111</v>
      </c>
      <c r="N202" s="93" t="s">
        <v>111</v>
      </c>
      <c r="O202" s="93" t="s">
        <v>111</v>
      </c>
      <c r="P202" s="93" t="s">
        <v>111</v>
      </c>
      <c r="Q202" s="93" t="s">
        <v>111</v>
      </c>
      <c r="R202" s="93" t="s">
        <v>2</v>
      </c>
      <c r="S202" s="93" t="s">
        <v>111</v>
      </c>
      <c r="T202" s="93" t="s">
        <v>116</v>
      </c>
      <c r="U202" s="94">
        <v>44610.060416666667</v>
      </c>
      <c r="V202" s="93" t="s">
        <v>7072</v>
      </c>
      <c r="W202" s="93" t="s">
        <v>24</v>
      </c>
    </row>
    <row r="203" spans="1:23" x14ac:dyDescent="0.15">
      <c r="A203" s="93" t="s">
        <v>185</v>
      </c>
      <c r="B203" s="93" t="s">
        <v>848</v>
      </c>
      <c r="C203" s="93">
        <v>1071</v>
      </c>
      <c r="D203" s="93" t="s">
        <v>24</v>
      </c>
      <c r="E203" s="93" t="s">
        <v>24</v>
      </c>
      <c r="F203" s="93" t="s">
        <v>126</v>
      </c>
      <c r="G203" s="93" t="s">
        <v>7185</v>
      </c>
      <c r="H203" s="93" t="s">
        <v>400</v>
      </c>
      <c r="I203" s="93" t="s">
        <v>111</v>
      </c>
      <c r="J203" s="93" t="s">
        <v>118</v>
      </c>
      <c r="K203" s="93">
        <v>3</v>
      </c>
      <c r="L203" s="93" t="s">
        <v>111</v>
      </c>
      <c r="M203" s="93" t="s">
        <v>111</v>
      </c>
      <c r="N203" s="93" t="s">
        <v>111</v>
      </c>
      <c r="O203" s="93" t="s">
        <v>111</v>
      </c>
      <c r="P203" s="93" t="s">
        <v>111</v>
      </c>
      <c r="Q203" s="93" t="s">
        <v>111</v>
      </c>
      <c r="R203" s="93" t="s">
        <v>2</v>
      </c>
      <c r="S203" s="93" t="s">
        <v>111</v>
      </c>
      <c r="T203" s="93" t="s">
        <v>116</v>
      </c>
      <c r="U203" s="94">
        <v>44610.068055555559</v>
      </c>
      <c r="V203" s="93" t="s">
        <v>7072</v>
      </c>
      <c r="W203" s="93" t="s">
        <v>24</v>
      </c>
    </row>
    <row r="204" spans="1:23" x14ac:dyDescent="0.15">
      <c r="A204" s="93" t="s">
        <v>186</v>
      </c>
      <c r="B204" s="93" t="s">
        <v>849</v>
      </c>
      <c r="C204" s="93">
        <v>29.75</v>
      </c>
      <c r="D204" s="93" t="s">
        <v>24</v>
      </c>
      <c r="E204" s="93" t="s">
        <v>24</v>
      </c>
      <c r="F204" s="93" t="s">
        <v>126</v>
      </c>
      <c r="G204" s="93" t="s">
        <v>7185</v>
      </c>
      <c r="H204" s="93" t="s">
        <v>400</v>
      </c>
      <c r="I204" s="93" t="s">
        <v>111</v>
      </c>
      <c r="J204" s="93" t="s">
        <v>7105</v>
      </c>
      <c r="K204" s="93" t="s">
        <v>111</v>
      </c>
      <c r="L204" s="93" t="s">
        <v>111</v>
      </c>
      <c r="M204" s="93" t="s">
        <v>111</v>
      </c>
      <c r="N204" s="93" t="s">
        <v>111</v>
      </c>
      <c r="O204" s="93" t="s">
        <v>111</v>
      </c>
      <c r="P204" s="93" t="s">
        <v>111</v>
      </c>
      <c r="Q204" s="93" t="s">
        <v>111</v>
      </c>
      <c r="R204" s="93" t="s">
        <v>2</v>
      </c>
      <c r="S204" s="93" t="s">
        <v>111</v>
      </c>
      <c r="T204" s="93" t="s">
        <v>116</v>
      </c>
      <c r="U204" s="94">
        <v>44610.086111111108</v>
      </c>
      <c r="V204" s="93" t="s">
        <v>7072</v>
      </c>
      <c r="W204" s="93" t="s">
        <v>24</v>
      </c>
    </row>
    <row r="205" spans="1:23" x14ac:dyDescent="0.15">
      <c r="A205" s="93" t="s">
        <v>187</v>
      </c>
      <c r="B205" s="93" t="s">
        <v>850</v>
      </c>
      <c r="C205" s="93">
        <v>535.5</v>
      </c>
      <c r="D205" s="93" t="s">
        <v>24</v>
      </c>
      <c r="E205" s="93" t="s">
        <v>24</v>
      </c>
      <c r="F205" s="93" t="s">
        <v>126</v>
      </c>
      <c r="G205" s="93" t="s">
        <v>7185</v>
      </c>
      <c r="H205" s="93" t="s">
        <v>400</v>
      </c>
      <c r="I205" s="93" t="s">
        <v>111</v>
      </c>
      <c r="J205" s="93" t="s">
        <v>7105</v>
      </c>
      <c r="K205" s="93" t="s">
        <v>111</v>
      </c>
      <c r="L205" s="93" t="s">
        <v>111</v>
      </c>
      <c r="M205" s="93" t="s">
        <v>111</v>
      </c>
      <c r="N205" s="93" t="s">
        <v>111</v>
      </c>
      <c r="O205" s="93" t="s">
        <v>111</v>
      </c>
      <c r="P205" s="93" t="s">
        <v>111</v>
      </c>
      <c r="Q205" s="93" t="s">
        <v>111</v>
      </c>
      <c r="R205" s="93" t="s">
        <v>2</v>
      </c>
      <c r="S205" s="93" t="s">
        <v>111</v>
      </c>
      <c r="T205" s="93" t="s">
        <v>116</v>
      </c>
      <c r="U205" s="94">
        <v>44610.068055555559</v>
      </c>
      <c r="V205" s="93" t="s">
        <v>7072</v>
      </c>
      <c r="W205" s="93" t="s">
        <v>24</v>
      </c>
    </row>
    <row r="206" spans="1:23" x14ac:dyDescent="0.15">
      <c r="A206" s="93" t="s">
        <v>188</v>
      </c>
      <c r="B206" s="93" t="s">
        <v>851</v>
      </c>
      <c r="C206" s="93">
        <v>14.88</v>
      </c>
      <c r="D206" s="93" t="s">
        <v>24</v>
      </c>
      <c r="E206" s="93" t="s">
        <v>24</v>
      </c>
      <c r="F206" s="93" t="s">
        <v>126</v>
      </c>
      <c r="G206" s="93" t="s">
        <v>7185</v>
      </c>
      <c r="H206" s="93" t="s">
        <v>400</v>
      </c>
      <c r="I206" s="93" t="s">
        <v>111</v>
      </c>
      <c r="J206" s="93" t="s">
        <v>7105</v>
      </c>
      <c r="K206" s="93" t="s">
        <v>111</v>
      </c>
      <c r="L206" s="93" t="s">
        <v>111</v>
      </c>
      <c r="M206" s="93" t="s">
        <v>111</v>
      </c>
      <c r="N206" s="93" t="s">
        <v>111</v>
      </c>
      <c r="O206" s="93" t="s">
        <v>111</v>
      </c>
      <c r="P206" s="93" t="s">
        <v>111</v>
      </c>
      <c r="Q206" s="93" t="s">
        <v>111</v>
      </c>
      <c r="R206" s="93" t="s">
        <v>2</v>
      </c>
      <c r="S206" s="93" t="s">
        <v>111</v>
      </c>
      <c r="T206" s="93" t="s">
        <v>116</v>
      </c>
      <c r="U206" s="94">
        <v>44610.061111111114</v>
      </c>
      <c r="V206" s="93" t="s">
        <v>7072</v>
      </c>
      <c r="W206" s="93" t="s">
        <v>24</v>
      </c>
    </row>
    <row r="207" spans="1:23" x14ac:dyDescent="0.15">
      <c r="A207" s="93" t="s">
        <v>189</v>
      </c>
      <c r="B207" s="93" t="s">
        <v>203</v>
      </c>
      <c r="C207" s="93">
        <v>76</v>
      </c>
      <c r="D207" s="93" t="s">
        <v>24</v>
      </c>
      <c r="E207" s="93" t="s">
        <v>24</v>
      </c>
      <c r="F207" s="93" t="s">
        <v>126</v>
      </c>
      <c r="G207" s="93" t="s">
        <v>7185</v>
      </c>
      <c r="H207" s="93" t="s">
        <v>400</v>
      </c>
      <c r="I207" s="93" t="s">
        <v>111</v>
      </c>
      <c r="J207" s="93" t="s">
        <v>7105</v>
      </c>
      <c r="K207" s="93" t="s">
        <v>111</v>
      </c>
      <c r="L207" s="93" t="s">
        <v>111</v>
      </c>
      <c r="M207" s="93" t="s">
        <v>111</v>
      </c>
      <c r="N207" s="93" t="s">
        <v>111</v>
      </c>
      <c r="O207" s="93" t="s">
        <v>111</v>
      </c>
      <c r="P207" s="93" t="s">
        <v>111</v>
      </c>
      <c r="Q207" s="93" t="s">
        <v>111</v>
      </c>
      <c r="R207" s="93" t="s">
        <v>2</v>
      </c>
      <c r="S207" s="93" t="s">
        <v>111</v>
      </c>
      <c r="T207" s="93" t="s">
        <v>116</v>
      </c>
      <c r="U207" s="94">
        <v>44610.054861111108</v>
      </c>
      <c r="V207" s="93" t="s">
        <v>7072</v>
      </c>
      <c r="W207" s="93" t="s">
        <v>24</v>
      </c>
    </row>
    <row r="208" spans="1:23" x14ac:dyDescent="0.15">
      <c r="A208" s="93" t="s">
        <v>190</v>
      </c>
      <c r="B208" s="93" t="s">
        <v>852</v>
      </c>
      <c r="C208" s="93">
        <v>1.27</v>
      </c>
      <c r="D208" s="93" t="s">
        <v>24</v>
      </c>
      <c r="E208" s="93" t="s">
        <v>24</v>
      </c>
      <c r="F208" s="93" t="s">
        <v>126</v>
      </c>
      <c r="G208" s="93" t="s">
        <v>7185</v>
      </c>
      <c r="H208" s="93" t="s">
        <v>400</v>
      </c>
      <c r="I208" s="93" t="s">
        <v>111</v>
      </c>
      <c r="J208" s="93" t="s">
        <v>7105</v>
      </c>
      <c r="K208" s="93" t="s">
        <v>111</v>
      </c>
      <c r="L208" s="93" t="s">
        <v>111</v>
      </c>
      <c r="M208" s="93" t="s">
        <v>111</v>
      </c>
      <c r="N208" s="93" t="s">
        <v>111</v>
      </c>
      <c r="O208" s="93" t="s">
        <v>111</v>
      </c>
      <c r="P208" s="93" t="s">
        <v>111</v>
      </c>
      <c r="Q208" s="93" t="s">
        <v>111</v>
      </c>
      <c r="R208" s="93" t="s">
        <v>2</v>
      </c>
      <c r="S208" s="93" t="s">
        <v>111</v>
      </c>
      <c r="T208" s="93" t="s">
        <v>116</v>
      </c>
      <c r="U208" s="94">
        <v>44610.055555555555</v>
      </c>
      <c r="V208" s="93" t="s">
        <v>7072</v>
      </c>
      <c r="W208" s="93" t="s">
        <v>24</v>
      </c>
    </row>
    <row r="209" spans="1:23" x14ac:dyDescent="0.15">
      <c r="A209" s="93" t="s">
        <v>191</v>
      </c>
      <c r="B209" s="93" t="s">
        <v>206</v>
      </c>
      <c r="C209" s="93">
        <v>380</v>
      </c>
      <c r="D209" s="93" t="s">
        <v>24</v>
      </c>
      <c r="E209" s="93" t="s">
        <v>24</v>
      </c>
      <c r="F209" s="93" t="s">
        <v>126</v>
      </c>
      <c r="G209" s="93" t="s">
        <v>7185</v>
      </c>
      <c r="H209" s="93" t="s">
        <v>400</v>
      </c>
      <c r="I209" s="93" t="s">
        <v>111</v>
      </c>
      <c r="J209" s="93" t="s">
        <v>7105</v>
      </c>
      <c r="K209" s="93" t="s">
        <v>111</v>
      </c>
      <c r="L209" s="93" t="s">
        <v>111</v>
      </c>
      <c r="M209" s="93" t="s">
        <v>111</v>
      </c>
      <c r="N209" s="93" t="s">
        <v>111</v>
      </c>
      <c r="O209" s="93" t="s">
        <v>111</v>
      </c>
      <c r="P209" s="93" t="s">
        <v>111</v>
      </c>
      <c r="Q209" s="93" t="s">
        <v>111</v>
      </c>
      <c r="R209" s="93" t="s">
        <v>2</v>
      </c>
      <c r="S209" s="93" t="s">
        <v>111</v>
      </c>
      <c r="T209" s="93" t="s">
        <v>116</v>
      </c>
      <c r="U209" s="94">
        <v>44610.10833333333</v>
      </c>
      <c r="V209" s="93" t="s">
        <v>7072</v>
      </c>
      <c r="W209" s="93" t="s">
        <v>24</v>
      </c>
    </row>
    <row r="210" spans="1:23" x14ac:dyDescent="0.15">
      <c r="A210" s="93" t="s">
        <v>192</v>
      </c>
      <c r="B210" s="93" t="s">
        <v>209</v>
      </c>
      <c r="C210" s="93">
        <v>196</v>
      </c>
      <c r="D210" s="93" t="s">
        <v>24</v>
      </c>
      <c r="E210" s="93" t="s">
        <v>24</v>
      </c>
      <c r="F210" s="93" t="s">
        <v>126</v>
      </c>
      <c r="G210" s="93" t="s">
        <v>7185</v>
      </c>
      <c r="H210" s="93" t="s">
        <v>400</v>
      </c>
      <c r="I210" s="93" t="s">
        <v>111</v>
      </c>
      <c r="J210" s="93" t="s">
        <v>7105</v>
      </c>
      <c r="K210" s="93" t="s">
        <v>111</v>
      </c>
      <c r="L210" s="93" t="s">
        <v>111</v>
      </c>
      <c r="M210" s="93" t="s">
        <v>111</v>
      </c>
      <c r="N210" s="93" t="s">
        <v>111</v>
      </c>
      <c r="O210" s="93" t="s">
        <v>111</v>
      </c>
      <c r="P210" s="93" t="s">
        <v>111</v>
      </c>
      <c r="Q210" s="93" t="s">
        <v>111</v>
      </c>
      <c r="R210" s="93" t="s">
        <v>2</v>
      </c>
      <c r="S210" s="93" t="s">
        <v>111</v>
      </c>
      <c r="T210" s="93" t="s">
        <v>116</v>
      </c>
      <c r="U210" s="94">
        <v>44610.102083333331</v>
      </c>
      <c r="V210" s="93" t="s">
        <v>7072</v>
      </c>
      <c r="W210" s="93" t="s">
        <v>24</v>
      </c>
    </row>
    <row r="211" spans="1:23" x14ac:dyDescent="0.15">
      <c r="A211" s="93" t="s">
        <v>193</v>
      </c>
      <c r="B211" s="93" t="s">
        <v>212</v>
      </c>
      <c r="C211" s="93">
        <v>224</v>
      </c>
      <c r="D211" s="93" t="s">
        <v>24</v>
      </c>
      <c r="E211" s="93" t="s">
        <v>24</v>
      </c>
      <c r="F211" s="93" t="s">
        <v>126</v>
      </c>
      <c r="G211" s="93" t="s">
        <v>7185</v>
      </c>
      <c r="H211" s="93" t="s">
        <v>400</v>
      </c>
      <c r="I211" s="93" t="s">
        <v>111</v>
      </c>
      <c r="J211" s="93" t="s">
        <v>7105</v>
      </c>
      <c r="K211" s="93" t="s">
        <v>111</v>
      </c>
      <c r="L211" s="93" t="s">
        <v>111</v>
      </c>
      <c r="M211" s="93" t="s">
        <v>111</v>
      </c>
      <c r="N211" s="93" t="s">
        <v>111</v>
      </c>
      <c r="O211" s="93" t="s">
        <v>111</v>
      </c>
      <c r="P211" s="93" t="s">
        <v>111</v>
      </c>
      <c r="Q211" s="93" t="s">
        <v>111</v>
      </c>
      <c r="R211" s="93" t="s">
        <v>2</v>
      </c>
      <c r="S211" s="93" t="s">
        <v>111</v>
      </c>
      <c r="T211" s="93" t="s">
        <v>116</v>
      </c>
      <c r="U211" s="94">
        <v>44610.10833333333</v>
      </c>
      <c r="V211" s="93" t="s">
        <v>7072</v>
      </c>
      <c r="W211" s="93" t="s">
        <v>24</v>
      </c>
    </row>
    <row r="212" spans="1:23" x14ac:dyDescent="0.15">
      <c r="A212" s="93" t="s">
        <v>194</v>
      </c>
      <c r="B212" s="93" t="s">
        <v>215</v>
      </c>
      <c r="C212" s="93">
        <v>276</v>
      </c>
      <c r="D212" s="93" t="s">
        <v>24</v>
      </c>
      <c r="E212" s="93" t="s">
        <v>24</v>
      </c>
      <c r="F212" s="93" t="s">
        <v>126</v>
      </c>
      <c r="G212" s="93" t="s">
        <v>7185</v>
      </c>
      <c r="H212" s="93" t="s">
        <v>400</v>
      </c>
      <c r="I212" s="93" t="s">
        <v>111</v>
      </c>
      <c r="J212" s="93" t="s">
        <v>7105</v>
      </c>
      <c r="K212" s="93" t="s">
        <v>111</v>
      </c>
      <c r="L212" s="93" t="s">
        <v>111</v>
      </c>
      <c r="M212" s="93" t="s">
        <v>111</v>
      </c>
      <c r="N212" s="93" t="s">
        <v>111</v>
      </c>
      <c r="O212" s="93" t="s">
        <v>111</v>
      </c>
      <c r="P212" s="93" t="s">
        <v>111</v>
      </c>
      <c r="Q212" s="93" t="s">
        <v>111</v>
      </c>
      <c r="R212" s="93" t="s">
        <v>2</v>
      </c>
      <c r="S212" s="93" t="s">
        <v>111</v>
      </c>
      <c r="T212" s="93" t="s">
        <v>116</v>
      </c>
      <c r="U212" s="94">
        <v>44610.09375</v>
      </c>
      <c r="V212" s="93" t="s">
        <v>7072</v>
      </c>
      <c r="W212" s="93" t="s">
        <v>24</v>
      </c>
    </row>
    <row r="213" spans="1:23" x14ac:dyDescent="0.15">
      <c r="A213" s="93" t="s">
        <v>195</v>
      </c>
      <c r="B213" s="93" t="s">
        <v>218</v>
      </c>
      <c r="C213" s="93">
        <v>244</v>
      </c>
      <c r="D213" s="93" t="s">
        <v>24</v>
      </c>
      <c r="E213" s="93" t="s">
        <v>24</v>
      </c>
      <c r="F213" s="93" t="s">
        <v>126</v>
      </c>
      <c r="G213" s="93" t="s">
        <v>7185</v>
      </c>
      <c r="H213" s="93" t="s">
        <v>400</v>
      </c>
      <c r="I213" s="93" t="s">
        <v>111</v>
      </c>
      <c r="J213" s="93" t="s">
        <v>7105</v>
      </c>
      <c r="K213" s="93" t="s">
        <v>111</v>
      </c>
      <c r="L213" s="93" t="s">
        <v>111</v>
      </c>
      <c r="M213" s="93" t="s">
        <v>111</v>
      </c>
      <c r="N213" s="93" t="s">
        <v>111</v>
      </c>
      <c r="O213" s="93" t="s">
        <v>111</v>
      </c>
      <c r="P213" s="93" t="s">
        <v>111</v>
      </c>
      <c r="Q213" s="93" t="s">
        <v>111</v>
      </c>
      <c r="R213" s="93" t="s">
        <v>2</v>
      </c>
      <c r="S213" s="93" t="s">
        <v>111</v>
      </c>
      <c r="T213" s="93" t="s">
        <v>116</v>
      </c>
      <c r="U213" s="94">
        <v>44610.060416666667</v>
      </c>
      <c r="V213" s="93" t="s">
        <v>7072</v>
      </c>
      <c r="W213" s="93" t="s">
        <v>24</v>
      </c>
    </row>
    <row r="214" spans="1:23" x14ac:dyDescent="0.15">
      <c r="A214" s="93" t="s">
        <v>196</v>
      </c>
      <c r="B214" s="93" t="s">
        <v>853</v>
      </c>
      <c r="C214" s="93">
        <v>64</v>
      </c>
      <c r="D214" s="93" t="s">
        <v>24</v>
      </c>
      <c r="E214" s="93" t="s">
        <v>24</v>
      </c>
      <c r="F214" s="93" t="s">
        <v>126</v>
      </c>
      <c r="G214" s="93" t="s">
        <v>7185</v>
      </c>
      <c r="H214" s="93" t="s">
        <v>400</v>
      </c>
      <c r="I214" s="93" t="s">
        <v>111</v>
      </c>
      <c r="J214" s="93" t="s">
        <v>7105</v>
      </c>
      <c r="K214" s="93" t="s">
        <v>111</v>
      </c>
      <c r="L214" s="93" t="s">
        <v>111</v>
      </c>
      <c r="M214" s="93" t="s">
        <v>111</v>
      </c>
      <c r="N214" s="93" t="s">
        <v>111</v>
      </c>
      <c r="O214" s="93" t="s">
        <v>111</v>
      </c>
      <c r="P214" s="93" t="s">
        <v>111</v>
      </c>
      <c r="Q214" s="93" t="s">
        <v>111</v>
      </c>
      <c r="R214" s="93" t="s">
        <v>2</v>
      </c>
      <c r="S214" s="93" t="s">
        <v>111</v>
      </c>
      <c r="T214" s="93" t="s">
        <v>116</v>
      </c>
      <c r="U214" s="94">
        <v>44610.125694444447</v>
      </c>
      <c r="V214" s="93" t="s">
        <v>7072</v>
      </c>
      <c r="W214" s="93" t="s">
        <v>24</v>
      </c>
    </row>
    <row r="215" spans="1:23" x14ac:dyDescent="0.15">
      <c r="A215" s="93" t="s">
        <v>197</v>
      </c>
      <c r="B215" s="93" t="s">
        <v>222</v>
      </c>
      <c r="C215" s="93">
        <v>68</v>
      </c>
      <c r="D215" s="93" t="s">
        <v>24</v>
      </c>
      <c r="E215" s="93" t="s">
        <v>24</v>
      </c>
      <c r="F215" s="93" t="s">
        <v>126</v>
      </c>
      <c r="G215" s="93" t="s">
        <v>7185</v>
      </c>
      <c r="H215" s="93" t="s">
        <v>400</v>
      </c>
      <c r="I215" s="93" t="s">
        <v>111</v>
      </c>
      <c r="J215" s="93" t="s">
        <v>7105</v>
      </c>
      <c r="K215" s="93" t="s">
        <v>111</v>
      </c>
      <c r="L215" s="93" t="s">
        <v>111</v>
      </c>
      <c r="M215" s="93" t="s">
        <v>111</v>
      </c>
      <c r="N215" s="93" t="s">
        <v>111</v>
      </c>
      <c r="O215" s="93" t="s">
        <v>111</v>
      </c>
      <c r="P215" s="93" t="s">
        <v>111</v>
      </c>
      <c r="Q215" s="93" t="s">
        <v>111</v>
      </c>
      <c r="R215" s="93" t="s">
        <v>2</v>
      </c>
      <c r="S215" s="93" t="s">
        <v>111</v>
      </c>
      <c r="T215" s="93" t="s">
        <v>116</v>
      </c>
      <c r="U215" s="94">
        <v>44610.125</v>
      </c>
      <c r="V215" s="93" t="s">
        <v>7072</v>
      </c>
      <c r="W215" s="93" t="s">
        <v>24</v>
      </c>
    </row>
    <row r="216" spans="1:23" x14ac:dyDescent="0.15">
      <c r="A216" s="93" t="s">
        <v>198</v>
      </c>
      <c r="B216" s="93" t="s">
        <v>854</v>
      </c>
      <c r="C216" s="93">
        <v>1.1299999999999999</v>
      </c>
      <c r="D216" s="93" t="s">
        <v>24</v>
      </c>
      <c r="E216" s="93" t="s">
        <v>24</v>
      </c>
      <c r="F216" s="93" t="s">
        <v>126</v>
      </c>
      <c r="G216" s="93" t="s">
        <v>7185</v>
      </c>
      <c r="H216" s="93" t="s">
        <v>400</v>
      </c>
      <c r="I216" s="93" t="s">
        <v>111</v>
      </c>
      <c r="J216" s="93" t="s">
        <v>7105</v>
      </c>
      <c r="K216" s="93" t="s">
        <v>111</v>
      </c>
      <c r="L216" s="93" t="s">
        <v>111</v>
      </c>
      <c r="M216" s="93" t="s">
        <v>111</v>
      </c>
      <c r="N216" s="93" t="s">
        <v>111</v>
      </c>
      <c r="O216" s="93" t="s">
        <v>111</v>
      </c>
      <c r="P216" s="93" t="s">
        <v>111</v>
      </c>
      <c r="Q216" s="93" t="s">
        <v>111</v>
      </c>
      <c r="R216" s="93" t="s">
        <v>2</v>
      </c>
      <c r="S216" s="93" t="s">
        <v>111</v>
      </c>
      <c r="T216" s="93" t="s">
        <v>116</v>
      </c>
      <c r="U216" s="94">
        <v>44610.102777777778</v>
      </c>
      <c r="V216" s="93" t="s">
        <v>7072</v>
      </c>
      <c r="W216" s="93" t="s">
        <v>24</v>
      </c>
    </row>
    <row r="217" spans="1:23" x14ac:dyDescent="0.15">
      <c r="A217" s="93" t="s">
        <v>199</v>
      </c>
      <c r="B217" s="93" t="s">
        <v>855</v>
      </c>
      <c r="C217" s="93">
        <v>148</v>
      </c>
      <c r="D217" s="93" t="s">
        <v>24</v>
      </c>
      <c r="E217" s="93" t="s">
        <v>24</v>
      </c>
      <c r="F217" s="93" t="s">
        <v>126</v>
      </c>
      <c r="G217" s="93" t="s">
        <v>7185</v>
      </c>
      <c r="H217" s="93" t="s">
        <v>400</v>
      </c>
      <c r="I217" s="93" t="s">
        <v>111</v>
      </c>
      <c r="J217" s="93" t="s">
        <v>7105</v>
      </c>
      <c r="K217" s="93" t="s">
        <v>111</v>
      </c>
      <c r="L217" s="93" t="s">
        <v>111</v>
      </c>
      <c r="M217" s="93" t="s">
        <v>111</v>
      </c>
      <c r="N217" s="93" t="s">
        <v>111</v>
      </c>
      <c r="O217" s="93" t="s">
        <v>111</v>
      </c>
      <c r="P217" s="93" t="s">
        <v>111</v>
      </c>
      <c r="Q217" s="93" t="s">
        <v>111</v>
      </c>
      <c r="R217" s="93" t="s">
        <v>2</v>
      </c>
      <c r="S217" s="93" t="s">
        <v>111</v>
      </c>
      <c r="T217" s="93" t="s">
        <v>116</v>
      </c>
      <c r="U217" s="94">
        <v>44610.102777777778</v>
      </c>
      <c r="V217" s="93" t="s">
        <v>7072</v>
      </c>
      <c r="W217" s="93" t="s">
        <v>24</v>
      </c>
    </row>
    <row r="218" spans="1:23" x14ac:dyDescent="0.15">
      <c r="A218" s="93" t="s">
        <v>200</v>
      </c>
      <c r="B218" s="93" t="s">
        <v>856</v>
      </c>
      <c r="C218" s="93">
        <v>2.4700000000000002</v>
      </c>
      <c r="D218" s="93" t="s">
        <v>24</v>
      </c>
      <c r="E218" s="93" t="s">
        <v>24</v>
      </c>
      <c r="F218" s="93" t="s">
        <v>126</v>
      </c>
      <c r="G218" s="93" t="s">
        <v>7185</v>
      </c>
      <c r="H218" s="93" t="s">
        <v>400</v>
      </c>
      <c r="I218" s="93" t="s">
        <v>111</v>
      </c>
      <c r="J218" s="93" t="s">
        <v>7105</v>
      </c>
      <c r="K218" s="93" t="s">
        <v>111</v>
      </c>
      <c r="L218" s="93" t="s">
        <v>111</v>
      </c>
      <c r="M218" s="93" t="s">
        <v>111</v>
      </c>
      <c r="N218" s="93" t="s">
        <v>111</v>
      </c>
      <c r="O218" s="93" t="s">
        <v>111</v>
      </c>
      <c r="P218" s="93" t="s">
        <v>111</v>
      </c>
      <c r="Q218" s="93" t="s">
        <v>111</v>
      </c>
      <c r="R218" s="93" t="s">
        <v>2</v>
      </c>
      <c r="S218" s="93" t="s">
        <v>111</v>
      </c>
      <c r="T218" s="93" t="s">
        <v>116</v>
      </c>
      <c r="U218" s="94">
        <v>44610.125694444447</v>
      </c>
      <c r="V218" s="93" t="s">
        <v>7072</v>
      </c>
      <c r="W218" s="93" t="s">
        <v>24</v>
      </c>
    </row>
    <row r="219" spans="1:23" x14ac:dyDescent="0.15">
      <c r="A219" s="93" t="s">
        <v>5996</v>
      </c>
      <c r="B219" s="93" t="s">
        <v>7200</v>
      </c>
      <c r="C219" s="93">
        <v>10</v>
      </c>
      <c r="D219" s="93" t="s">
        <v>24</v>
      </c>
      <c r="E219" s="93" t="s">
        <v>24</v>
      </c>
      <c r="F219" s="93" t="s">
        <v>399</v>
      </c>
      <c r="G219" s="93" t="s">
        <v>7185</v>
      </c>
      <c r="H219" s="93" t="s">
        <v>400</v>
      </c>
      <c r="I219" s="93" t="s">
        <v>111</v>
      </c>
      <c r="J219" s="93" t="s">
        <v>7105</v>
      </c>
      <c r="K219" s="93" t="s">
        <v>111</v>
      </c>
      <c r="L219" s="93" t="s">
        <v>111</v>
      </c>
      <c r="M219" s="93" t="s">
        <v>111</v>
      </c>
      <c r="N219" s="93" t="s">
        <v>111</v>
      </c>
      <c r="O219" s="93" t="s">
        <v>111</v>
      </c>
      <c r="P219" s="93" t="s">
        <v>111</v>
      </c>
      <c r="Q219" s="93" t="s">
        <v>228</v>
      </c>
      <c r="R219" s="93" t="s">
        <v>111</v>
      </c>
      <c r="S219" s="93" t="s">
        <v>115</v>
      </c>
      <c r="T219" s="93" t="s">
        <v>116</v>
      </c>
      <c r="U219" s="94">
        <v>44610.072222222225</v>
      </c>
      <c r="V219" s="93" t="s">
        <v>7072</v>
      </c>
      <c r="W219" s="93" t="s">
        <v>24</v>
      </c>
    </row>
    <row r="220" spans="1:23" x14ac:dyDescent="0.15">
      <c r="A220" s="93" t="s">
        <v>5997</v>
      </c>
      <c r="B220" s="93" t="s">
        <v>7201</v>
      </c>
      <c r="C220" s="93">
        <v>26</v>
      </c>
      <c r="D220" s="93" t="s">
        <v>24</v>
      </c>
      <c r="E220" s="93" t="s">
        <v>24</v>
      </c>
      <c r="F220" s="93" t="s">
        <v>399</v>
      </c>
      <c r="G220" s="93" t="s">
        <v>7185</v>
      </c>
      <c r="H220" s="93" t="s">
        <v>400</v>
      </c>
      <c r="I220" s="93" t="s">
        <v>111</v>
      </c>
      <c r="J220" s="93" t="s">
        <v>7105</v>
      </c>
      <c r="K220" s="93" t="s">
        <v>111</v>
      </c>
      <c r="L220" s="93" t="s">
        <v>111</v>
      </c>
      <c r="M220" s="93" t="s">
        <v>111</v>
      </c>
      <c r="N220" s="93" t="s">
        <v>111</v>
      </c>
      <c r="O220" s="93" t="s">
        <v>111</v>
      </c>
      <c r="P220" s="93" t="s">
        <v>111</v>
      </c>
      <c r="Q220" s="93" t="s">
        <v>228</v>
      </c>
      <c r="R220" s="93" t="s">
        <v>111</v>
      </c>
      <c r="S220" s="93" t="s">
        <v>115</v>
      </c>
      <c r="T220" s="93" t="s">
        <v>116</v>
      </c>
      <c r="U220" s="94">
        <v>44610.119444444441</v>
      </c>
      <c r="V220" s="93" t="s">
        <v>7072</v>
      </c>
      <c r="W220" s="93" t="s">
        <v>24</v>
      </c>
    </row>
    <row r="221" spans="1:23" x14ac:dyDescent="0.15">
      <c r="A221" s="93" t="s">
        <v>5998</v>
      </c>
      <c r="B221" s="93" t="s">
        <v>7202</v>
      </c>
      <c r="C221" s="93">
        <v>40</v>
      </c>
      <c r="D221" s="93" t="s">
        <v>24</v>
      </c>
      <c r="E221" s="93" t="s">
        <v>24</v>
      </c>
      <c r="F221" s="93" t="s">
        <v>399</v>
      </c>
      <c r="G221" s="93" t="s">
        <v>7185</v>
      </c>
      <c r="H221" s="93" t="s">
        <v>400</v>
      </c>
      <c r="I221" s="93" t="s">
        <v>111</v>
      </c>
      <c r="J221" s="93" t="s">
        <v>7105</v>
      </c>
      <c r="K221" s="93" t="s">
        <v>111</v>
      </c>
      <c r="L221" s="93" t="s">
        <v>111</v>
      </c>
      <c r="M221" s="93" t="s">
        <v>111</v>
      </c>
      <c r="N221" s="93" t="s">
        <v>111</v>
      </c>
      <c r="O221" s="93" t="s">
        <v>111</v>
      </c>
      <c r="P221" s="93" t="s">
        <v>111</v>
      </c>
      <c r="Q221" s="93" t="s">
        <v>228</v>
      </c>
      <c r="R221" s="93" t="s">
        <v>111</v>
      </c>
      <c r="S221" s="93" t="s">
        <v>115</v>
      </c>
      <c r="T221" s="93" t="s">
        <v>116</v>
      </c>
      <c r="U221" s="94">
        <v>44610.113194444442</v>
      </c>
      <c r="V221" s="93" t="s">
        <v>7072</v>
      </c>
      <c r="W221" s="93" t="s">
        <v>24</v>
      </c>
    </row>
    <row r="222" spans="1:23" x14ac:dyDescent="0.15">
      <c r="A222" s="93" t="s">
        <v>5999</v>
      </c>
      <c r="B222" s="93" t="s">
        <v>7203</v>
      </c>
      <c r="C222" s="93">
        <v>8</v>
      </c>
      <c r="D222" s="93" t="s">
        <v>24</v>
      </c>
      <c r="E222" s="93" t="s">
        <v>24</v>
      </c>
      <c r="F222" s="93" t="s">
        <v>399</v>
      </c>
      <c r="G222" s="93" t="s">
        <v>7185</v>
      </c>
      <c r="H222" s="93" t="s">
        <v>400</v>
      </c>
      <c r="I222" s="93" t="s">
        <v>111</v>
      </c>
      <c r="J222" s="93" t="s">
        <v>7105</v>
      </c>
      <c r="K222" s="93" t="s">
        <v>111</v>
      </c>
      <c r="L222" s="93" t="s">
        <v>111</v>
      </c>
      <c r="M222" s="93" t="s">
        <v>111</v>
      </c>
      <c r="N222" s="93" t="s">
        <v>111</v>
      </c>
      <c r="O222" s="93" t="s">
        <v>111</v>
      </c>
      <c r="P222" s="93" t="s">
        <v>111</v>
      </c>
      <c r="Q222" s="93" t="s">
        <v>228</v>
      </c>
      <c r="R222" s="93" t="s">
        <v>111</v>
      </c>
      <c r="S222" s="93" t="s">
        <v>115</v>
      </c>
      <c r="T222" s="93" t="s">
        <v>116</v>
      </c>
      <c r="U222" s="94">
        <v>44610.111111111109</v>
      </c>
      <c r="V222" s="93" t="s">
        <v>7072</v>
      </c>
      <c r="W222" s="93" t="s">
        <v>24</v>
      </c>
    </row>
    <row r="223" spans="1:23" x14ac:dyDescent="0.15">
      <c r="A223" s="93" t="s">
        <v>6000</v>
      </c>
      <c r="B223" s="93" t="s">
        <v>7204</v>
      </c>
      <c r="C223" s="93">
        <v>21</v>
      </c>
      <c r="D223" s="93" t="s">
        <v>24</v>
      </c>
      <c r="E223" s="93" t="s">
        <v>24</v>
      </c>
      <c r="F223" s="93" t="s">
        <v>399</v>
      </c>
      <c r="G223" s="93" t="s">
        <v>7185</v>
      </c>
      <c r="H223" s="93" t="s">
        <v>400</v>
      </c>
      <c r="I223" s="93" t="s">
        <v>111</v>
      </c>
      <c r="J223" s="93" t="s">
        <v>7105</v>
      </c>
      <c r="K223" s="93" t="s">
        <v>111</v>
      </c>
      <c r="L223" s="93" t="s">
        <v>111</v>
      </c>
      <c r="M223" s="93" t="s">
        <v>111</v>
      </c>
      <c r="N223" s="93" t="s">
        <v>111</v>
      </c>
      <c r="O223" s="93" t="s">
        <v>111</v>
      </c>
      <c r="P223" s="93" t="s">
        <v>111</v>
      </c>
      <c r="Q223" s="93" t="s">
        <v>228</v>
      </c>
      <c r="R223" s="93" t="s">
        <v>111</v>
      </c>
      <c r="S223" s="93" t="s">
        <v>115</v>
      </c>
      <c r="T223" s="93" t="s">
        <v>116</v>
      </c>
      <c r="U223" s="94">
        <v>44610.057638888888</v>
      </c>
      <c r="V223" s="93" t="s">
        <v>7072</v>
      </c>
      <c r="W223" s="93" t="s">
        <v>24</v>
      </c>
    </row>
    <row r="224" spans="1:23" x14ac:dyDescent="0.15">
      <c r="A224" s="93" t="s">
        <v>6001</v>
      </c>
      <c r="B224" s="93" t="s">
        <v>7205</v>
      </c>
      <c r="C224" s="93">
        <v>32</v>
      </c>
      <c r="D224" s="93" t="s">
        <v>24</v>
      </c>
      <c r="E224" s="93" t="s">
        <v>24</v>
      </c>
      <c r="F224" s="93" t="s">
        <v>399</v>
      </c>
      <c r="G224" s="93" t="s">
        <v>7185</v>
      </c>
      <c r="H224" s="93" t="s">
        <v>400</v>
      </c>
      <c r="I224" s="93" t="s">
        <v>111</v>
      </c>
      <c r="J224" s="93" t="s">
        <v>7105</v>
      </c>
      <c r="K224" s="93" t="s">
        <v>111</v>
      </c>
      <c r="L224" s="93" t="s">
        <v>111</v>
      </c>
      <c r="M224" s="93" t="s">
        <v>111</v>
      </c>
      <c r="N224" s="93" t="s">
        <v>111</v>
      </c>
      <c r="O224" s="93" t="s">
        <v>111</v>
      </c>
      <c r="P224" s="93" t="s">
        <v>111</v>
      </c>
      <c r="Q224" s="93" t="s">
        <v>228</v>
      </c>
      <c r="R224" s="93" t="s">
        <v>111</v>
      </c>
      <c r="S224" s="93" t="s">
        <v>115</v>
      </c>
      <c r="T224" s="93" t="s">
        <v>116</v>
      </c>
      <c r="U224" s="94">
        <v>44610.117361111108</v>
      </c>
      <c r="V224" s="93" t="s">
        <v>7072</v>
      </c>
      <c r="W224" s="93" t="s">
        <v>24</v>
      </c>
    </row>
    <row r="225" spans="1:23" x14ac:dyDescent="0.15">
      <c r="A225" s="93" t="s">
        <v>6002</v>
      </c>
      <c r="B225" s="93" t="s">
        <v>7206</v>
      </c>
      <c r="C225" s="93">
        <v>13</v>
      </c>
      <c r="D225" s="93" t="s">
        <v>24</v>
      </c>
      <c r="E225" s="93" t="s">
        <v>24</v>
      </c>
      <c r="F225" s="93" t="s">
        <v>399</v>
      </c>
      <c r="G225" s="93" t="s">
        <v>7185</v>
      </c>
      <c r="H225" s="93" t="s">
        <v>400</v>
      </c>
      <c r="I225" s="93" t="s">
        <v>111</v>
      </c>
      <c r="J225" s="93" t="s">
        <v>7105</v>
      </c>
      <c r="K225" s="93" t="s">
        <v>111</v>
      </c>
      <c r="L225" s="93" t="s">
        <v>111</v>
      </c>
      <c r="M225" s="93" t="s">
        <v>111</v>
      </c>
      <c r="N225" s="93" t="s">
        <v>111</v>
      </c>
      <c r="O225" s="93" t="s">
        <v>111</v>
      </c>
      <c r="P225" s="93" t="s">
        <v>111</v>
      </c>
      <c r="Q225" s="93" t="s">
        <v>228</v>
      </c>
      <c r="R225" s="93" t="s">
        <v>111</v>
      </c>
      <c r="S225" s="93" t="s">
        <v>115</v>
      </c>
      <c r="T225" s="93" t="s">
        <v>116</v>
      </c>
      <c r="U225" s="94">
        <v>44610.063888888886</v>
      </c>
      <c r="V225" s="93" t="s">
        <v>7072</v>
      </c>
      <c r="W225" s="93" t="s">
        <v>24</v>
      </c>
    </row>
    <row r="226" spans="1:23" x14ac:dyDescent="0.15">
      <c r="A226" s="93" t="s">
        <v>6003</v>
      </c>
      <c r="B226" s="93" t="s">
        <v>7207</v>
      </c>
      <c r="C226" s="93">
        <v>34</v>
      </c>
      <c r="D226" s="93" t="s">
        <v>24</v>
      </c>
      <c r="E226" s="93" t="s">
        <v>24</v>
      </c>
      <c r="F226" s="93" t="s">
        <v>399</v>
      </c>
      <c r="G226" s="93" t="s">
        <v>7185</v>
      </c>
      <c r="H226" s="93" t="s">
        <v>400</v>
      </c>
      <c r="I226" s="93" t="s">
        <v>111</v>
      </c>
      <c r="J226" s="93" t="s">
        <v>7105</v>
      </c>
      <c r="K226" s="93" t="s">
        <v>111</v>
      </c>
      <c r="L226" s="93" t="s">
        <v>111</v>
      </c>
      <c r="M226" s="93" t="s">
        <v>111</v>
      </c>
      <c r="N226" s="93" t="s">
        <v>111</v>
      </c>
      <c r="O226" s="93" t="s">
        <v>111</v>
      </c>
      <c r="P226" s="93" t="s">
        <v>111</v>
      </c>
      <c r="Q226" s="93" t="s">
        <v>228</v>
      </c>
      <c r="R226" s="93" t="s">
        <v>111</v>
      </c>
      <c r="S226" s="93" t="s">
        <v>115</v>
      </c>
      <c r="T226" s="93" t="s">
        <v>116</v>
      </c>
      <c r="U226" s="94">
        <v>44610.111111111109</v>
      </c>
      <c r="V226" s="93" t="s">
        <v>7072</v>
      </c>
      <c r="W226" s="93" t="s">
        <v>24</v>
      </c>
    </row>
    <row r="227" spans="1:23" x14ac:dyDescent="0.15">
      <c r="A227" s="93" t="s">
        <v>6004</v>
      </c>
      <c r="B227" s="93" t="s">
        <v>7208</v>
      </c>
      <c r="C227" s="93">
        <v>52</v>
      </c>
      <c r="D227" s="93" t="s">
        <v>24</v>
      </c>
      <c r="E227" s="93" t="s">
        <v>24</v>
      </c>
      <c r="F227" s="93" t="s">
        <v>399</v>
      </c>
      <c r="G227" s="93" t="s">
        <v>7185</v>
      </c>
      <c r="H227" s="93" t="s">
        <v>400</v>
      </c>
      <c r="I227" s="93" t="s">
        <v>111</v>
      </c>
      <c r="J227" s="93" t="s">
        <v>7105</v>
      </c>
      <c r="K227" s="93" t="s">
        <v>111</v>
      </c>
      <c r="L227" s="93" t="s">
        <v>111</v>
      </c>
      <c r="M227" s="93" t="s">
        <v>111</v>
      </c>
      <c r="N227" s="93" t="s">
        <v>111</v>
      </c>
      <c r="O227" s="93" t="s">
        <v>111</v>
      </c>
      <c r="P227" s="93" t="s">
        <v>111</v>
      </c>
      <c r="Q227" s="93" t="s">
        <v>228</v>
      </c>
      <c r="R227" s="93" t="s">
        <v>111</v>
      </c>
      <c r="S227" s="93" t="s">
        <v>115</v>
      </c>
      <c r="T227" s="93" t="s">
        <v>116</v>
      </c>
      <c r="U227" s="94">
        <v>44610.095833333333</v>
      </c>
      <c r="V227" s="93" t="s">
        <v>7072</v>
      </c>
      <c r="W227" s="93" t="s">
        <v>24</v>
      </c>
    </row>
    <row r="228" spans="1:23" x14ac:dyDescent="0.15">
      <c r="A228" s="93" t="s">
        <v>6009</v>
      </c>
      <c r="B228" s="93" t="s">
        <v>6010</v>
      </c>
      <c r="C228" s="93">
        <v>22</v>
      </c>
      <c r="D228" s="93" t="s">
        <v>24</v>
      </c>
      <c r="E228" s="93" t="s">
        <v>24</v>
      </c>
      <c r="F228" s="93" t="s">
        <v>399</v>
      </c>
      <c r="G228" s="93" t="s">
        <v>7185</v>
      </c>
      <c r="H228" s="93" t="s">
        <v>400</v>
      </c>
      <c r="I228" s="93" t="s">
        <v>111</v>
      </c>
      <c r="J228" s="93" t="s">
        <v>7105</v>
      </c>
      <c r="K228" s="93" t="s">
        <v>111</v>
      </c>
      <c r="L228" s="93" t="s">
        <v>111</v>
      </c>
      <c r="M228" s="93" t="s">
        <v>111</v>
      </c>
      <c r="N228" s="93" t="s">
        <v>111</v>
      </c>
      <c r="O228" s="93" t="s">
        <v>111</v>
      </c>
      <c r="P228" s="93" t="s">
        <v>111</v>
      </c>
      <c r="Q228" s="93" t="s">
        <v>228</v>
      </c>
      <c r="R228" s="93" t="s">
        <v>111</v>
      </c>
      <c r="S228" s="93" t="s">
        <v>115</v>
      </c>
      <c r="T228" s="93" t="s">
        <v>116</v>
      </c>
      <c r="U228" s="94">
        <v>44610.117361111108</v>
      </c>
      <c r="V228" s="93" t="s">
        <v>7072</v>
      </c>
      <c r="W228" s="93" t="s">
        <v>24</v>
      </c>
    </row>
    <row r="229" spans="1:23" x14ac:dyDescent="0.15">
      <c r="A229" s="93" t="s">
        <v>6011</v>
      </c>
      <c r="B229" s="93" t="s">
        <v>7209</v>
      </c>
      <c r="C229" s="93">
        <v>57</v>
      </c>
      <c r="D229" s="93" t="s">
        <v>24</v>
      </c>
      <c r="E229" s="93" t="s">
        <v>24</v>
      </c>
      <c r="F229" s="93" t="s">
        <v>399</v>
      </c>
      <c r="G229" s="93" t="s">
        <v>7185</v>
      </c>
      <c r="H229" s="93" t="s">
        <v>400</v>
      </c>
      <c r="I229" s="93" t="s">
        <v>111</v>
      </c>
      <c r="J229" s="93" t="s">
        <v>7105</v>
      </c>
      <c r="K229" s="93" t="s">
        <v>111</v>
      </c>
      <c r="L229" s="93" t="s">
        <v>111</v>
      </c>
      <c r="M229" s="93" t="s">
        <v>111</v>
      </c>
      <c r="N229" s="93" t="s">
        <v>111</v>
      </c>
      <c r="O229" s="93" t="s">
        <v>111</v>
      </c>
      <c r="P229" s="93" t="s">
        <v>111</v>
      </c>
      <c r="Q229" s="93" t="s">
        <v>228</v>
      </c>
      <c r="R229" s="93" t="s">
        <v>111</v>
      </c>
      <c r="S229" s="93" t="s">
        <v>115</v>
      </c>
      <c r="T229" s="93" t="s">
        <v>116</v>
      </c>
      <c r="U229" s="94">
        <v>44610.056250000001</v>
      </c>
      <c r="V229" s="93" t="s">
        <v>7072</v>
      </c>
      <c r="W229" s="93" t="s">
        <v>24</v>
      </c>
    </row>
    <row r="230" spans="1:23" x14ac:dyDescent="0.15">
      <c r="A230" s="93" t="s">
        <v>6012</v>
      </c>
      <c r="B230" s="93" t="s">
        <v>7210</v>
      </c>
      <c r="C230" s="93">
        <v>88</v>
      </c>
      <c r="D230" s="93" t="s">
        <v>24</v>
      </c>
      <c r="E230" s="93" t="s">
        <v>24</v>
      </c>
      <c r="F230" s="93" t="s">
        <v>399</v>
      </c>
      <c r="G230" s="93" t="s">
        <v>7185</v>
      </c>
      <c r="H230" s="93" t="s">
        <v>400</v>
      </c>
      <c r="I230" s="93" t="s">
        <v>111</v>
      </c>
      <c r="J230" s="93" t="s">
        <v>7105</v>
      </c>
      <c r="K230" s="93" t="s">
        <v>111</v>
      </c>
      <c r="L230" s="93" t="s">
        <v>111</v>
      </c>
      <c r="M230" s="93" t="s">
        <v>111</v>
      </c>
      <c r="N230" s="93" t="s">
        <v>111</v>
      </c>
      <c r="O230" s="93" t="s">
        <v>111</v>
      </c>
      <c r="P230" s="93" t="s">
        <v>111</v>
      </c>
      <c r="Q230" s="93" t="s">
        <v>228</v>
      </c>
      <c r="R230" s="93" t="s">
        <v>111</v>
      </c>
      <c r="S230" s="93" t="s">
        <v>115</v>
      </c>
      <c r="T230" s="93" t="s">
        <v>116</v>
      </c>
      <c r="U230" s="94">
        <v>44610.088888888888</v>
      </c>
      <c r="V230" s="93" t="s">
        <v>7072</v>
      </c>
      <c r="W230" s="93" t="s">
        <v>24</v>
      </c>
    </row>
    <row r="231" spans="1:23" x14ac:dyDescent="0.15">
      <c r="A231" s="93" t="s">
        <v>6013</v>
      </c>
      <c r="B231" s="93" t="s">
        <v>6014</v>
      </c>
      <c r="C231" s="93">
        <v>22</v>
      </c>
      <c r="D231" s="93" t="s">
        <v>24</v>
      </c>
      <c r="E231" s="93" t="s">
        <v>24</v>
      </c>
      <c r="F231" s="93" t="s">
        <v>399</v>
      </c>
      <c r="G231" s="93" t="s">
        <v>7185</v>
      </c>
      <c r="H231" s="93" t="s">
        <v>400</v>
      </c>
      <c r="I231" s="93" t="s">
        <v>111</v>
      </c>
      <c r="J231" s="93" t="s">
        <v>7105</v>
      </c>
      <c r="K231" s="93" t="s">
        <v>111</v>
      </c>
      <c r="L231" s="93" t="s">
        <v>111</v>
      </c>
      <c r="M231" s="93" t="s">
        <v>111</v>
      </c>
      <c r="N231" s="93" t="s">
        <v>111</v>
      </c>
      <c r="O231" s="93" t="s">
        <v>111</v>
      </c>
      <c r="P231" s="93" t="s">
        <v>111</v>
      </c>
      <c r="Q231" s="93" t="s">
        <v>228</v>
      </c>
      <c r="R231" s="93" t="s">
        <v>111</v>
      </c>
      <c r="S231" s="93" t="s">
        <v>115</v>
      </c>
      <c r="T231" s="93" t="s">
        <v>116</v>
      </c>
      <c r="U231" s="94">
        <v>44610.09652777778</v>
      </c>
      <c r="V231" s="93" t="s">
        <v>7072</v>
      </c>
      <c r="W231" s="93" t="s">
        <v>24</v>
      </c>
    </row>
    <row r="232" spans="1:23" x14ac:dyDescent="0.15">
      <c r="A232" s="93" t="s">
        <v>6015</v>
      </c>
      <c r="B232" s="93" t="s">
        <v>7211</v>
      </c>
      <c r="C232" s="93">
        <v>57</v>
      </c>
      <c r="D232" s="93" t="s">
        <v>24</v>
      </c>
      <c r="E232" s="93" t="s">
        <v>24</v>
      </c>
      <c r="F232" s="93" t="s">
        <v>399</v>
      </c>
      <c r="G232" s="93" t="s">
        <v>7185</v>
      </c>
      <c r="H232" s="93" t="s">
        <v>400</v>
      </c>
      <c r="I232" s="93" t="s">
        <v>111</v>
      </c>
      <c r="J232" s="93" t="s">
        <v>7105</v>
      </c>
      <c r="K232" s="93" t="s">
        <v>111</v>
      </c>
      <c r="L232" s="93" t="s">
        <v>111</v>
      </c>
      <c r="M232" s="93" t="s">
        <v>111</v>
      </c>
      <c r="N232" s="93" t="s">
        <v>111</v>
      </c>
      <c r="O232" s="93" t="s">
        <v>111</v>
      </c>
      <c r="P232" s="93" t="s">
        <v>111</v>
      </c>
      <c r="Q232" s="93" t="s">
        <v>228</v>
      </c>
      <c r="R232" s="93" t="s">
        <v>111</v>
      </c>
      <c r="S232" s="93" t="s">
        <v>115</v>
      </c>
      <c r="T232" s="93" t="s">
        <v>116</v>
      </c>
      <c r="U232" s="94">
        <v>44610.117361111108</v>
      </c>
      <c r="V232" s="93" t="s">
        <v>7072</v>
      </c>
      <c r="W232" s="93" t="s">
        <v>24</v>
      </c>
    </row>
    <row r="233" spans="1:23" x14ac:dyDescent="0.15">
      <c r="A233" s="93" t="s">
        <v>6016</v>
      </c>
      <c r="B233" s="93" t="s">
        <v>7212</v>
      </c>
      <c r="C233" s="93">
        <v>88</v>
      </c>
      <c r="D233" s="93" t="s">
        <v>24</v>
      </c>
      <c r="E233" s="93" t="s">
        <v>24</v>
      </c>
      <c r="F233" s="93" t="s">
        <v>399</v>
      </c>
      <c r="G233" s="93" t="s">
        <v>7185</v>
      </c>
      <c r="H233" s="93" t="s">
        <v>400</v>
      </c>
      <c r="I233" s="93" t="s">
        <v>111</v>
      </c>
      <c r="J233" s="93" t="s">
        <v>7105</v>
      </c>
      <c r="K233" s="93" t="s">
        <v>111</v>
      </c>
      <c r="L233" s="93" t="s">
        <v>111</v>
      </c>
      <c r="M233" s="93" t="s">
        <v>111</v>
      </c>
      <c r="N233" s="93" t="s">
        <v>111</v>
      </c>
      <c r="O233" s="93" t="s">
        <v>111</v>
      </c>
      <c r="P233" s="93" t="s">
        <v>111</v>
      </c>
      <c r="Q233" s="93" t="s">
        <v>228</v>
      </c>
      <c r="R233" s="93" t="s">
        <v>111</v>
      </c>
      <c r="S233" s="93" t="s">
        <v>115</v>
      </c>
      <c r="T233" s="93" t="s">
        <v>116</v>
      </c>
      <c r="U233" s="94">
        <v>44610.120138888888</v>
      </c>
      <c r="V233" s="93" t="s">
        <v>7072</v>
      </c>
      <c r="W233" s="93" t="s">
        <v>24</v>
      </c>
    </row>
    <row r="234" spans="1:23" x14ac:dyDescent="0.15">
      <c r="A234" s="93" t="s">
        <v>6017</v>
      </c>
      <c r="B234" s="93" t="s">
        <v>6018</v>
      </c>
      <c r="C234" s="93">
        <v>22</v>
      </c>
      <c r="D234" s="93" t="s">
        <v>24</v>
      </c>
      <c r="E234" s="93" t="s">
        <v>24</v>
      </c>
      <c r="F234" s="93" t="s">
        <v>399</v>
      </c>
      <c r="G234" s="93" t="s">
        <v>7185</v>
      </c>
      <c r="H234" s="93" t="s">
        <v>400</v>
      </c>
      <c r="I234" s="93" t="s">
        <v>111</v>
      </c>
      <c r="J234" s="93" t="s">
        <v>7105</v>
      </c>
      <c r="K234" s="93" t="s">
        <v>111</v>
      </c>
      <c r="L234" s="93" t="s">
        <v>111</v>
      </c>
      <c r="M234" s="93" t="s">
        <v>111</v>
      </c>
      <c r="N234" s="93" t="s">
        <v>111</v>
      </c>
      <c r="O234" s="93" t="s">
        <v>111</v>
      </c>
      <c r="P234" s="93" t="s">
        <v>111</v>
      </c>
      <c r="Q234" s="93" t="s">
        <v>228</v>
      </c>
      <c r="R234" s="93" t="s">
        <v>111</v>
      </c>
      <c r="S234" s="93" t="s">
        <v>115</v>
      </c>
      <c r="T234" s="93" t="s">
        <v>116</v>
      </c>
      <c r="U234" s="94">
        <v>44610.081250000003</v>
      </c>
      <c r="V234" s="93" t="s">
        <v>7072</v>
      </c>
      <c r="W234" s="93" t="s">
        <v>24</v>
      </c>
    </row>
    <row r="235" spans="1:23" x14ac:dyDescent="0.15">
      <c r="A235" s="93" t="s">
        <v>6019</v>
      </c>
      <c r="B235" s="93" t="s">
        <v>7213</v>
      </c>
      <c r="C235" s="93">
        <v>57</v>
      </c>
      <c r="D235" s="93" t="s">
        <v>24</v>
      </c>
      <c r="E235" s="93" t="s">
        <v>24</v>
      </c>
      <c r="F235" s="93" t="s">
        <v>399</v>
      </c>
      <c r="G235" s="93" t="s">
        <v>7185</v>
      </c>
      <c r="H235" s="93" t="s">
        <v>400</v>
      </c>
      <c r="I235" s="93" t="s">
        <v>111</v>
      </c>
      <c r="J235" s="93" t="s">
        <v>7105</v>
      </c>
      <c r="K235" s="93" t="s">
        <v>111</v>
      </c>
      <c r="L235" s="93" t="s">
        <v>111</v>
      </c>
      <c r="M235" s="93" t="s">
        <v>111</v>
      </c>
      <c r="N235" s="93" t="s">
        <v>111</v>
      </c>
      <c r="O235" s="93" t="s">
        <v>111</v>
      </c>
      <c r="P235" s="93" t="s">
        <v>111</v>
      </c>
      <c r="Q235" s="93" t="s">
        <v>228</v>
      </c>
      <c r="R235" s="93" t="s">
        <v>111</v>
      </c>
      <c r="S235" s="93" t="s">
        <v>115</v>
      </c>
      <c r="T235" s="93" t="s">
        <v>116</v>
      </c>
      <c r="U235" s="94">
        <v>44610.057638888888</v>
      </c>
      <c r="V235" s="93" t="s">
        <v>7072</v>
      </c>
      <c r="W235" s="93" t="s">
        <v>24</v>
      </c>
    </row>
    <row r="236" spans="1:23" x14ac:dyDescent="0.15">
      <c r="A236" s="93" t="s">
        <v>6020</v>
      </c>
      <c r="B236" s="93" t="s">
        <v>7214</v>
      </c>
      <c r="C236" s="93">
        <v>88</v>
      </c>
      <c r="D236" s="93" t="s">
        <v>24</v>
      </c>
      <c r="E236" s="93" t="s">
        <v>24</v>
      </c>
      <c r="F236" s="93" t="s">
        <v>399</v>
      </c>
      <c r="G236" s="93" t="s">
        <v>7185</v>
      </c>
      <c r="H236" s="93" t="s">
        <v>400</v>
      </c>
      <c r="I236" s="93" t="s">
        <v>111</v>
      </c>
      <c r="J236" s="93" t="s">
        <v>7105</v>
      </c>
      <c r="K236" s="93" t="s">
        <v>111</v>
      </c>
      <c r="L236" s="93" t="s">
        <v>111</v>
      </c>
      <c r="M236" s="93" t="s">
        <v>111</v>
      </c>
      <c r="N236" s="93" t="s">
        <v>111</v>
      </c>
      <c r="O236" s="93" t="s">
        <v>111</v>
      </c>
      <c r="P236" s="93" t="s">
        <v>111</v>
      </c>
      <c r="Q236" s="93" t="s">
        <v>228</v>
      </c>
      <c r="R236" s="93" t="s">
        <v>111</v>
      </c>
      <c r="S236" s="93" t="s">
        <v>115</v>
      </c>
      <c r="T236" s="93" t="s">
        <v>116</v>
      </c>
      <c r="U236" s="94">
        <v>44610.07916666667</v>
      </c>
      <c r="V236" s="93" t="s">
        <v>7072</v>
      </c>
      <c r="W236" s="93" t="s">
        <v>24</v>
      </c>
    </row>
    <row r="237" spans="1:23" x14ac:dyDescent="0.15">
      <c r="A237" s="93" t="s">
        <v>6021</v>
      </c>
      <c r="B237" s="93" t="s">
        <v>6022</v>
      </c>
      <c r="C237" s="93">
        <v>15</v>
      </c>
      <c r="D237" s="93" t="s">
        <v>24</v>
      </c>
      <c r="E237" s="93" t="s">
        <v>24</v>
      </c>
      <c r="F237" s="93" t="s">
        <v>399</v>
      </c>
      <c r="G237" s="93" t="s">
        <v>7185</v>
      </c>
      <c r="H237" s="93" t="s">
        <v>400</v>
      </c>
      <c r="I237" s="93" t="s">
        <v>111</v>
      </c>
      <c r="J237" s="93" t="s">
        <v>7105</v>
      </c>
      <c r="K237" s="93" t="s">
        <v>111</v>
      </c>
      <c r="L237" s="93" t="s">
        <v>111</v>
      </c>
      <c r="M237" s="93" t="s">
        <v>111</v>
      </c>
      <c r="N237" s="93" t="s">
        <v>111</v>
      </c>
      <c r="O237" s="93" t="s">
        <v>111</v>
      </c>
      <c r="P237" s="93" t="s">
        <v>111</v>
      </c>
      <c r="Q237" s="93" t="s">
        <v>228</v>
      </c>
      <c r="R237" s="93" t="s">
        <v>111</v>
      </c>
      <c r="S237" s="93" t="s">
        <v>115</v>
      </c>
      <c r="T237" s="93" t="s">
        <v>116</v>
      </c>
      <c r="U237" s="94">
        <v>44610.072222222225</v>
      </c>
      <c r="V237" s="93" t="s">
        <v>7072</v>
      </c>
      <c r="W237" s="93" t="s">
        <v>24</v>
      </c>
    </row>
    <row r="238" spans="1:23" x14ac:dyDescent="0.15">
      <c r="A238" s="93" t="s">
        <v>6023</v>
      </c>
      <c r="B238" s="93" t="s">
        <v>7215</v>
      </c>
      <c r="C238" s="93">
        <v>39</v>
      </c>
      <c r="D238" s="93" t="s">
        <v>24</v>
      </c>
      <c r="E238" s="93" t="s">
        <v>24</v>
      </c>
      <c r="F238" s="93" t="s">
        <v>399</v>
      </c>
      <c r="G238" s="93" t="s">
        <v>7185</v>
      </c>
      <c r="H238" s="93" t="s">
        <v>400</v>
      </c>
      <c r="I238" s="93" t="s">
        <v>111</v>
      </c>
      <c r="J238" s="93" t="s">
        <v>7105</v>
      </c>
      <c r="K238" s="93" t="s">
        <v>111</v>
      </c>
      <c r="L238" s="93" t="s">
        <v>111</v>
      </c>
      <c r="M238" s="93" t="s">
        <v>111</v>
      </c>
      <c r="N238" s="93" t="s">
        <v>111</v>
      </c>
      <c r="O238" s="93" t="s">
        <v>111</v>
      </c>
      <c r="P238" s="93" t="s">
        <v>111</v>
      </c>
      <c r="Q238" s="93" t="s">
        <v>228</v>
      </c>
      <c r="R238" s="93" t="s">
        <v>111</v>
      </c>
      <c r="S238" s="93" t="s">
        <v>115</v>
      </c>
      <c r="T238" s="93" t="s">
        <v>116</v>
      </c>
      <c r="U238" s="94">
        <v>44610.111111111109</v>
      </c>
      <c r="V238" s="93" t="s">
        <v>7072</v>
      </c>
      <c r="W238" s="93" t="s">
        <v>24</v>
      </c>
    </row>
    <row r="239" spans="1:23" x14ac:dyDescent="0.15">
      <c r="A239" s="93" t="s">
        <v>6024</v>
      </c>
      <c r="B239" s="93" t="s">
        <v>7216</v>
      </c>
      <c r="C239" s="93">
        <v>60</v>
      </c>
      <c r="D239" s="93" t="s">
        <v>24</v>
      </c>
      <c r="E239" s="93" t="s">
        <v>24</v>
      </c>
      <c r="F239" s="93" t="s">
        <v>399</v>
      </c>
      <c r="G239" s="93" t="s">
        <v>7185</v>
      </c>
      <c r="H239" s="93" t="s">
        <v>400</v>
      </c>
      <c r="I239" s="93" t="s">
        <v>111</v>
      </c>
      <c r="J239" s="93" t="s">
        <v>7105</v>
      </c>
      <c r="K239" s="93" t="s">
        <v>111</v>
      </c>
      <c r="L239" s="93" t="s">
        <v>111</v>
      </c>
      <c r="M239" s="93" t="s">
        <v>111</v>
      </c>
      <c r="N239" s="93" t="s">
        <v>111</v>
      </c>
      <c r="O239" s="93" t="s">
        <v>111</v>
      </c>
      <c r="P239" s="93" t="s">
        <v>111</v>
      </c>
      <c r="Q239" s="93" t="s">
        <v>228</v>
      </c>
      <c r="R239" s="93" t="s">
        <v>111</v>
      </c>
      <c r="S239" s="93" t="s">
        <v>115</v>
      </c>
      <c r="T239" s="93" t="s">
        <v>116</v>
      </c>
      <c r="U239" s="94">
        <v>44610.120138888888</v>
      </c>
      <c r="V239" s="93" t="s">
        <v>7072</v>
      </c>
      <c r="W239" s="93" t="s">
        <v>24</v>
      </c>
    </row>
    <row r="240" spans="1:23" x14ac:dyDescent="0.15">
      <c r="A240" s="93" t="s">
        <v>6025</v>
      </c>
      <c r="B240" s="93" t="s">
        <v>6026</v>
      </c>
      <c r="C240" s="93">
        <v>22</v>
      </c>
      <c r="D240" s="93" t="s">
        <v>24</v>
      </c>
      <c r="E240" s="93" t="s">
        <v>24</v>
      </c>
      <c r="F240" s="93" t="s">
        <v>399</v>
      </c>
      <c r="G240" s="93" t="s">
        <v>7185</v>
      </c>
      <c r="H240" s="93" t="s">
        <v>400</v>
      </c>
      <c r="I240" s="93" t="s">
        <v>111</v>
      </c>
      <c r="J240" s="93" t="s">
        <v>7105</v>
      </c>
      <c r="K240" s="93" t="s">
        <v>111</v>
      </c>
      <c r="L240" s="93" t="s">
        <v>111</v>
      </c>
      <c r="M240" s="93" t="s">
        <v>111</v>
      </c>
      <c r="N240" s="93" t="s">
        <v>111</v>
      </c>
      <c r="O240" s="93" t="s">
        <v>111</v>
      </c>
      <c r="P240" s="93" t="s">
        <v>111</v>
      </c>
      <c r="Q240" s="93" t="s">
        <v>228</v>
      </c>
      <c r="R240" s="93" t="s">
        <v>111</v>
      </c>
      <c r="S240" s="93" t="s">
        <v>115</v>
      </c>
      <c r="T240" s="93" t="s">
        <v>116</v>
      </c>
      <c r="U240" s="94">
        <v>44610.117361111108</v>
      </c>
      <c r="V240" s="93" t="s">
        <v>7072</v>
      </c>
      <c r="W240" s="93" t="s">
        <v>24</v>
      </c>
    </row>
    <row r="241" spans="1:23" x14ac:dyDescent="0.15">
      <c r="A241" s="93" t="s">
        <v>6027</v>
      </c>
      <c r="B241" s="93" t="s">
        <v>7217</v>
      </c>
      <c r="C241" s="93">
        <v>57</v>
      </c>
      <c r="D241" s="93" t="s">
        <v>24</v>
      </c>
      <c r="E241" s="93" t="s">
        <v>24</v>
      </c>
      <c r="F241" s="93" t="s">
        <v>399</v>
      </c>
      <c r="G241" s="93" t="s">
        <v>7185</v>
      </c>
      <c r="H241" s="93" t="s">
        <v>400</v>
      </c>
      <c r="I241" s="93" t="s">
        <v>111</v>
      </c>
      <c r="J241" s="93" t="s">
        <v>7105</v>
      </c>
      <c r="K241" s="93" t="s">
        <v>111</v>
      </c>
      <c r="L241" s="93" t="s">
        <v>111</v>
      </c>
      <c r="M241" s="93" t="s">
        <v>111</v>
      </c>
      <c r="N241" s="93" t="s">
        <v>111</v>
      </c>
      <c r="O241" s="93" t="s">
        <v>111</v>
      </c>
      <c r="P241" s="93" t="s">
        <v>111</v>
      </c>
      <c r="Q241" s="93" t="s">
        <v>228</v>
      </c>
      <c r="R241" s="93" t="s">
        <v>111</v>
      </c>
      <c r="S241" s="93" t="s">
        <v>115</v>
      </c>
      <c r="T241" s="93" t="s">
        <v>116</v>
      </c>
      <c r="U241" s="94">
        <v>44610.07916666667</v>
      </c>
      <c r="V241" s="93" t="s">
        <v>7072</v>
      </c>
      <c r="W241" s="93" t="s">
        <v>24</v>
      </c>
    </row>
    <row r="242" spans="1:23" x14ac:dyDescent="0.15">
      <c r="A242" s="93" t="s">
        <v>6028</v>
      </c>
      <c r="B242" s="93" t="s">
        <v>7218</v>
      </c>
      <c r="C242" s="93">
        <v>88</v>
      </c>
      <c r="D242" s="93" t="s">
        <v>24</v>
      </c>
      <c r="E242" s="93" t="s">
        <v>24</v>
      </c>
      <c r="F242" s="93" t="s">
        <v>399</v>
      </c>
      <c r="G242" s="93" t="s">
        <v>7185</v>
      </c>
      <c r="H242" s="93" t="s">
        <v>400</v>
      </c>
      <c r="I242" s="93" t="s">
        <v>111</v>
      </c>
      <c r="J242" s="93" t="s">
        <v>7105</v>
      </c>
      <c r="K242" s="93" t="s">
        <v>111</v>
      </c>
      <c r="L242" s="93" t="s">
        <v>111</v>
      </c>
      <c r="M242" s="93" t="s">
        <v>111</v>
      </c>
      <c r="N242" s="93" t="s">
        <v>111</v>
      </c>
      <c r="O242" s="93" t="s">
        <v>111</v>
      </c>
      <c r="P242" s="93" t="s">
        <v>111</v>
      </c>
      <c r="Q242" s="93" t="s">
        <v>228</v>
      </c>
      <c r="R242" s="93" t="s">
        <v>111</v>
      </c>
      <c r="S242" s="93" t="s">
        <v>115</v>
      </c>
      <c r="T242" s="93" t="s">
        <v>116</v>
      </c>
      <c r="U242" s="94">
        <v>44610.088888888888</v>
      </c>
      <c r="V242" s="93" t="s">
        <v>7072</v>
      </c>
      <c r="W242" s="93" t="s">
        <v>24</v>
      </c>
    </row>
    <row r="243" spans="1:23" x14ac:dyDescent="0.15">
      <c r="A243" s="93" t="s">
        <v>6005</v>
      </c>
      <c r="B243" s="93" t="s">
        <v>6006</v>
      </c>
      <c r="C243" s="93">
        <v>17</v>
      </c>
      <c r="D243" s="93" t="s">
        <v>24</v>
      </c>
      <c r="E243" s="93" t="s">
        <v>24</v>
      </c>
      <c r="F243" s="93" t="s">
        <v>399</v>
      </c>
      <c r="G243" s="93" t="s">
        <v>7185</v>
      </c>
      <c r="H243" s="93" t="s">
        <v>400</v>
      </c>
      <c r="I243" s="93" t="s">
        <v>111</v>
      </c>
      <c r="J243" s="93" t="s">
        <v>7105</v>
      </c>
      <c r="K243" s="93" t="s">
        <v>111</v>
      </c>
      <c r="L243" s="93" t="s">
        <v>111</v>
      </c>
      <c r="M243" s="93" t="s">
        <v>111</v>
      </c>
      <c r="N243" s="93" t="s">
        <v>111</v>
      </c>
      <c r="O243" s="93" t="s">
        <v>111</v>
      </c>
      <c r="P243" s="93" t="s">
        <v>111</v>
      </c>
      <c r="Q243" s="93" t="s">
        <v>228</v>
      </c>
      <c r="R243" s="93" t="s">
        <v>111</v>
      </c>
      <c r="S243" s="93" t="s">
        <v>115</v>
      </c>
      <c r="T243" s="93" t="s">
        <v>116</v>
      </c>
      <c r="U243" s="94">
        <v>44610.09652777778</v>
      </c>
      <c r="V243" s="93" t="s">
        <v>7072</v>
      </c>
      <c r="W243" s="93" t="s">
        <v>24</v>
      </c>
    </row>
    <row r="244" spans="1:23" x14ac:dyDescent="0.15">
      <c r="A244" s="93" t="s">
        <v>6007</v>
      </c>
      <c r="B244" s="93" t="s">
        <v>7219</v>
      </c>
      <c r="C244" s="93">
        <v>44</v>
      </c>
      <c r="D244" s="93" t="s">
        <v>24</v>
      </c>
      <c r="E244" s="93" t="s">
        <v>24</v>
      </c>
      <c r="F244" s="93" t="s">
        <v>399</v>
      </c>
      <c r="G244" s="93" t="s">
        <v>7185</v>
      </c>
      <c r="H244" s="93" t="s">
        <v>400</v>
      </c>
      <c r="I244" s="93" t="s">
        <v>111</v>
      </c>
      <c r="J244" s="93" t="s">
        <v>7105</v>
      </c>
      <c r="K244" s="93" t="s">
        <v>111</v>
      </c>
      <c r="L244" s="93" t="s">
        <v>111</v>
      </c>
      <c r="M244" s="93" t="s">
        <v>111</v>
      </c>
      <c r="N244" s="93" t="s">
        <v>111</v>
      </c>
      <c r="O244" s="93" t="s">
        <v>111</v>
      </c>
      <c r="P244" s="93" t="s">
        <v>111</v>
      </c>
      <c r="Q244" s="93" t="s">
        <v>228</v>
      </c>
      <c r="R244" s="93" t="s">
        <v>111</v>
      </c>
      <c r="S244" s="93" t="s">
        <v>115</v>
      </c>
      <c r="T244" s="93" t="s">
        <v>116</v>
      </c>
      <c r="U244" s="94">
        <v>44610.07916666667</v>
      </c>
      <c r="V244" s="93" t="s">
        <v>7072</v>
      </c>
      <c r="W244" s="93" t="s">
        <v>24</v>
      </c>
    </row>
    <row r="245" spans="1:23" x14ac:dyDescent="0.15">
      <c r="A245" s="93" t="s">
        <v>6008</v>
      </c>
      <c r="B245" s="93" t="s">
        <v>7220</v>
      </c>
      <c r="C245" s="93">
        <v>68</v>
      </c>
      <c r="D245" s="93" t="s">
        <v>24</v>
      </c>
      <c r="E245" s="93" t="s">
        <v>24</v>
      </c>
      <c r="F245" s="93" t="s">
        <v>399</v>
      </c>
      <c r="G245" s="93" t="s">
        <v>7185</v>
      </c>
      <c r="H245" s="93" t="s">
        <v>400</v>
      </c>
      <c r="I245" s="93" t="s">
        <v>111</v>
      </c>
      <c r="J245" s="93" t="s">
        <v>7105</v>
      </c>
      <c r="K245" s="93" t="s">
        <v>111</v>
      </c>
      <c r="L245" s="93" t="s">
        <v>111</v>
      </c>
      <c r="M245" s="93" t="s">
        <v>111</v>
      </c>
      <c r="N245" s="93" t="s">
        <v>111</v>
      </c>
      <c r="O245" s="93" t="s">
        <v>111</v>
      </c>
      <c r="P245" s="93" t="s">
        <v>111</v>
      </c>
      <c r="Q245" s="93" t="s">
        <v>228</v>
      </c>
      <c r="R245" s="93" t="s">
        <v>111</v>
      </c>
      <c r="S245" s="93" t="s">
        <v>115</v>
      </c>
      <c r="T245" s="93" t="s">
        <v>116</v>
      </c>
      <c r="U245" s="94">
        <v>44610.056250000001</v>
      </c>
      <c r="V245" s="93" t="s">
        <v>7072</v>
      </c>
      <c r="W245" s="93" t="s">
        <v>24</v>
      </c>
    </row>
    <row r="246" spans="1:23" x14ac:dyDescent="0.15">
      <c r="A246" s="93" t="s">
        <v>6029</v>
      </c>
      <c r="B246" s="93" t="s">
        <v>6030</v>
      </c>
      <c r="C246" s="93">
        <v>33</v>
      </c>
      <c r="D246" s="93" t="s">
        <v>24</v>
      </c>
      <c r="E246" s="93" t="s">
        <v>24</v>
      </c>
      <c r="F246" s="93" t="s">
        <v>399</v>
      </c>
      <c r="G246" s="93" t="s">
        <v>7185</v>
      </c>
      <c r="H246" s="93" t="s">
        <v>400</v>
      </c>
      <c r="I246" s="93" t="s">
        <v>111</v>
      </c>
      <c r="J246" s="93" t="s">
        <v>7105</v>
      </c>
      <c r="K246" s="93" t="s">
        <v>111</v>
      </c>
      <c r="L246" s="93" t="s">
        <v>111</v>
      </c>
      <c r="M246" s="93" t="s">
        <v>111</v>
      </c>
      <c r="N246" s="93" t="s">
        <v>111</v>
      </c>
      <c r="O246" s="93" t="s">
        <v>111</v>
      </c>
      <c r="P246" s="93" t="s">
        <v>111</v>
      </c>
      <c r="Q246" s="93" t="s">
        <v>228</v>
      </c>
      <c r="R246" s="93" t="s">
        <v>111</v>
      </c>
      <c r="S246" s="93" t="s">
        <v>115</v>
      </c>
      <c r="T246" s="93" t="s">
        <v>116</v>
      </c>
      <c r="U246" s="94">
        <v>44610.111805555556</v>
      </c>
      <c r="V246" s="93" t="s">
        <v>7072</v>
      </c>
      <c r="W246" s="93" t="s">
        <v>24</v>
      </c>
    </row>
    <row r="247" spans="1:23" x14ac:dyDescent="0.15">
      <c r="A247" s="93" t="s">
        <v>6031</v>
      </c>
      <c r="B247" s="93" t="s">
        <v>7221</v>
      </c>
      <c r="C247" s="93">
        <v>85</v>
      </c>
      <c r="D247" s="93" t="s">
        <v>24</v>
      </c>
      <c r="E247" s="93" t="s">
        <v>24</v>
      </c>
      <c r="F247" s="93" t="s">
        <v>399</v>
      </c>
      <c r="G247" s="93" t="s">
        <v>7185</v>
      </c>
      <c r="H247" s="93" t="s">
        <v>400</v>
      </c>
      <c r="I247" s="93" t="s">
        <v>111</v>
      </c>
      <c r="J247" s="93" t="s">
        <v>7105</v>
      </c>
      <c r="K247" s="93" t="s">
        <v>111</v>
      </c>
      <c r="L247" s="93" t="s">
        <v>111</v>
      </c>
      <c r="M247" s="93" t="s">
        <v>111</v>
      </c>
      <c r="N247" s="93" t="s">
        <v>111</v>
      </c>
      <c r="O247" s="93" t="s">
        <v>111</v>
      </c>
      <c r="P247" s="93" t="s">
        <v>111</v>
      </c>
      <c r="Q247" s="93" t="s">
        <v>228</v>
      </c>
      <c r="R247" s="93" t="s">
        <v>111</v>
      </c>
      <c r="S247" s="93" t="s">
        <v>115</v>
      </c>
      <c r="T247" s="93" t="s">
        <v>116</v>
      </c>
      <c r="U247" s="94">
        <v>44610.113194444442</v>
      </c>
      <c r="V247" s="93" t="s">
        <v>7072</v>
      </c>
      <c r="W247" s="93" t="s">
        <v>24</v>
      </c>
    </row>
    <row r="248" spans="1:23" x14ac:dyDescent="0.15">
      <c r="A248" s="93" t="s">
        <v>6032</v>
      </c>
      <c r="B248" s="93" t="s">
        <v>7222</v>
      </c>
      <c r="C248" s="93">
        <v>132</v>
      </c>
      <c r="D248" s="93" t="s">
        <v>24</v>
      </c>
      <c r="E248" s="93" t="s">
        <v>24</v>
      </c>
      <c r="F248" s="93" t="s">
        <v>399</v>
      </c>
      <c r="G248" s="93" t="s">
        <v>7185</v>
      </c>
      <c r="H248" s="93" t="s">
        <v>400</v>
      </c>
      <c r="I248" s="93" t="s">
        <v>111</v>
      </c>
      <c r="J248" s="93" t="s">
        <v>7105</v>
      </c>
      <c r="K248" s="93" t="s">
        <v>111</v>
      </c>
      <c r="L248" s="93" t="s">
        <v>111</v>
      </c>
      <c r="M248" s="93" t="s">
        <v>111</v>
      </c>
      <c r="N248" s="93" t="s">
        <v>111</v>
      </c>
      <c r="O248" s="93" t="s">
        <v>111</v>
      </c>
      <c r="P248" s="93" t="s">
        <v>111</v>
      </c>
      <c r="Q248" s="93" t="s">
        <v>228</v>
      </c>
      <c r="R248" s="93" t="s">
        <v>111</v>
      </c>
      <c r="S248" s="93" t="s">
        <v>115</v>
      </c>
      <c r="T248" s="93" t="s">
        <v>116</v>
      </c>
      <c r="U248" s="94">
        <v>44610.113194444442</v>
      </c>
      <c r="V248" s="93" t="s">
        <v>7072</v>
      </c>
      <c r="W248" s="93" t="s">
        <v>24</v>
      </c>
    </row>
    <row r="249" spans="1:23" x14ac:dyDescent="0.15">
      <c r="A249" s="93" t="s">
        <v>6735</v>
      </c>
      <c r="B249" s="93" t="s">
        <v>6736</v>
      </c>
      <c r="C249" s="93">
        <v>11</v>
      </c>
      <c r="D249" s="93" t="s">
        <v>24</v>
      </c>
      <c r="E249" s="93" t="s">
        <v>24</v>
      </c>
      <c r="F249" s="93" t="s">
        <v>399</v>
      </c>
      <c r="G249" s="93" t="s">
        <v>7185</v>
      </c>
      <c r="H249" s="93" t="s">
        <v>400</v>
      </c>
      <c r="I249" s="93" t="s">
        <v>111</v>
      </c>
      <c r="J249" s="93" t="s">
        <v>7105</v>
      </c>
      <c r="K249" s="93" t="s">
        <v>111</v>
      </c>
      <c r="L249" s="93" t="s">
        <v>111</v>
      </c>
      <c r="M249" s="93" t="s">
        <v>111</v>
      </c>
      <c r="N249" s="93" t="s">
        <v>111</v>
      </c>
      <c r="O249" s="93" t="s">
        <v>111</v>
      </c>
      <c r="P249" s="93" t="s">
        <v>111</v>
      </c>
      <c r="Q249" s="93" t="s">
        <v>228</v>
      </c>
      <c r="R249" s="93" t="s">
        <v>111</v>
      </c>
      <c r="S249" s="93" t="s">
        <v>115</v>
      </c>
      <c r="T249" s="93" t="s">
        <v>116</v>
      </c>
      <c r="U249" s="94">
        <v>44610.072222222225</v>
      </c>
      <c r="V249" s="93" t="s">
        <v>7072</v>
      </c>
      <c r="W249" s="93" t="s">
        <v>24</v>
      </c>
    </row>
    <row r="250" spans="1:23" x14ac:dyDescent="0.15">
      <c r="A250" s="93" t="s">
        <v>6737</v>
      </c>
      <c r="B250" s="93" t="s">
        <v>7223</v>
      </c>
      <c r="C250" s="93">
        <v>29</v>
      </c>
      <c r="D250" s="93" t="s">
        <v>24</v>
      </c>
      <c r="E250" s="93" t="s">
        <v>24</v>
      </c>
      <c r="F250" s="93" t="s">
        <v>399</v>
      </c>
      <c r="G250" s="93" t="s">
        <v>7185</v>
      </c>
      <c r="H250" s="93" t="s">
        <v>400</v>
      </c>
      <c r="I250" s="93" t="s">
        <v>111</v>
      </c>
      <c r="J250" s="93" t="s">
        <v>7105</v>
      </c>
      <c r="K250" s="93" t="s">
        <v>111</v>
      </c>
      <c r="L250" s="93" t="s">
        <v>111</v>
      </c>
      <c r="M250" s="93" t="s">
        <v>111</v>
      </c>
      <c r="N250" s="93" t="s">
        <v>111</v>
      </c>
      <c r="O250" s="93" t="s">
        <v>111</v>
      </c>
      <c r="P250" s="93" t="s">
        <v>111</v>
      </c>
      <c r="Q250" s="93" t="s">
        <v>228</v>
      </c>
      <c r="R250" s="93" t="s">
        <v>111</v>
      </c>
      <c r="S250" s="93" t="s">
        <v>115</v>
      </c>
      <c r="T250" s="93" t="s">
        <v>116</v>
      </c>
      <c r="U250" s="94">
        <v>44610.097916666666</v>
      </c>
      <c r="V250" s="93" t="s">
        <v>7072</v>
      </c>
      <c r="W250" s="93" t="s">
        <v>24</v>
      </c>
    </row>
    <row r="251" spans="1:23" x14ac:dyDescent="0.15">
      <c r="A251" s="93" t="s">
        <v>6739</v>
      </c>
      <c r="B251" s="93" t="s">
        <v>7224</v>
      </c>
      <c r="C251" s="93">
        <v>44</v>
      </c>
      <c r="D251" s="93" t="s">
        <v>24</v>
      </c>
      <c r="E251" s="93" t="s">
        <v>24</v>
      </c>
      <c r="F251" s="93" t="s">
        <v>399</v>
      </c>
      <c r="G251" s="93" t="s">
        <v>7185</v>
      </c>
      <c r="H251" s="93" t="s">
        <v>400</v>
      </c>
      <c r="I251" s="93" t="s">
        <v>111</v>
      </c>
      <c r="J251" s="93" t="s">
        <v>7105</v>
      </c>
      <c r="K251" s="93" t="s">
        <v>111</v>
      </c>
      <c r="L251" s="93" t="s">
        <v>111</v>
      </c>
      <c r="M251" s="93" t="s">
        <v>111</v>
      </c>
      <c r="N251" s="93" t="s">
        <v>111</v>
      </c>
      <c r="O251" s="93" t="s">
        <v>111</v>
      </c>
      <c r="P251" s="93" t="s">
        <v>111</v>
      </c>
      <c r="Q251" s="93" t="s">
        <v>228</v>
      </c>
      <c r="R251" s="93" t="s">
        <v>111</v>
      </c>
      <c r="S251" s="93" t="s">
        <v>115</v>
      </c>
      <c r="T251" s="93" t="s">
        <v>116</v>
      </c>
      <c r="U251" s="94">
        <v>44610.078472222223</v>
      </c>
      <c r="V251" s="93" t="s">
        <v>7072</v>
      </c>
      <c r="W251" s="93" t="s">
        <v>24</v>
      </c>
    </row>
    <row r="252" spans="1:23" x14ac:dyDescent="0.15">
      <c r="A252" s="93" t="s">
        <v>6741</v>
      </c>
      <c r="B252" s="93" t="s">
        <v>6742</v>
      </c>
      <c r="C252" s="93">
        <v>15</v>
      </c>
      <c r="D252" s="93" t="s">
        <v>24</v>
      </c>
      <c r="E252" s="93" t="s">
        <v>24</v>
      </c>
      <c r="F252" s="93" t="s">
        <v>399</v>
      </c>
      <c r="G252" s="93" t="s">
        <v>7185</v>
      </c>
      <c r="H252" s="93" t="s">
        <v>400</v>
      </c>
      <c r="I252" s="93" t="s">
        <v>111</v>
      </c>
      <c r="J252" s="93" t="s">
        <v>7105</v>
      </c>
      <c r="K252" s="93" t="s">
        <v>111</v>
      </c>
      <c r="L252" s="93" t="s">
        <v>111</v>
      </c>
      <c r="M252" s="93" t="s">
        <v>111</v>
      </c>
      <c r="N252" s="93" t="s">
        <v>111</v>
      </c>
      <c r="O252" s="93" t="s">
        <v>111</v>
      </c>
      <c r="P252" s="93" t="s">
        <v>111</v>
      </c>
      <c r="Q252" s="93" t="s">
        <v>228</v>
      </c>
      <c r="R252" s="93" t="s">
        <v>111</v>
      </c>
      <c r="S252" s="93" t="s">
        <v>115</v>
      </c>
      <c r="T252" s="93" t="s">
        <v>116</v>
      </c>
      <c r="U252" s="94">
        <v>44610.056944444441</v>
      </c>
      <c r="V252" s="93" t="s">
        <v>7072</v>
      </c>
      <c r="W252" s="93" t="s">
        <v>24</v>
      </c>
    </row>
    <row r="253" spans="1:23" x14ac:dyDescent="0.15">
      <c r="A253" s="93" t="s">
        <v>6743</v>
      </c>
      <c r="B253" s="93" t="s">
        <v>7225</v>
      </c>
      <c r="C253" s="93">
        <v>39</v>
      </c>
      <c r="D253" s="93" t="s">
        <v>24</v>
      </c>
      <c r="E253" s="93" t="s">
        <v>24</v>
      </c>
      <c r="F253" s="93" t="s">
        <v>399</v>
      </c>
      <c r="G253" s="93" t="s">
        <v>7185</v>
      </c>
      <c r="H253" s="93" t="s">
        <v>400</v>
      </c>
      <c r="I253" s="93" t="s">
        <v>111</v>
      </c>
      <c r="J253" s="93" t="s">
        <v>7105</v>
      </c>
      <c r="K253" s="93" t="s">
        <v>111</v>
      </c>
      <c r="L253" s="93" t="s">
        <v>111</v>
      </c>
      <c r="M253" s="93" t="s">
        <v>111</v>
      </c>
      <c r="N253" s="93" t="s">
        <v>111</v>
      </c>
      <c r="O253" s="93" t="s">
        <v>111</v>
      </c>
      <c r="P253" s="93" t="s">
        <v>111</v>
      </c>
      <c r="Q253" s="93" t="s">
        <v>228</v>
      </c>
      <c r="R253" s="93" t="s">
        <v>111</v>
      </c>
      <c r="S253" s="93" t="s">
        <v>115</v>
      </c>
      <c r="T253" s="93" t="s">
        <v>116</v>
      </c>
      <c r="U253" s="94">
        <v>44610.088194444441</v>
      </c>
      <c r="V253" s="93" t="s">
        <v>7072</v>
      </c>
      <c r="W253" s="93" t="s">
        <v>24</v>
      </c>
    </row>
    <row r="254" spans="1:23" x14ac:dyDescent="0.15">
      <c r="A254" s="93" t="s">
        <v>6745</v>
      </c>
      <c r="B254" s="93" t="s">
        <v>7226</v>
      </c>
      <c r="C254" s="93">
        <v>60</v>
      </c>
      <c r="D254" s="93" t="s">
        <v>24</v>
      </c>
      <c r="E254" s="93" t="s">
        <v>24</v>
      </c>
      <c r="F254" s="93" t="s">
        <v>399</v>
      </c>
      <c r="G254" s="93" t="s">
        <v>7185</v>
      </c>
      <c r="H254" s="93" t="s">
        <v>400</v>
      </c>
      <c r="I254" s="93" t="s">
        <v>111</v>
      </c>
      <c r="J254" s="93" t="s">
        <v>7105</v>
      </c>
      <c r="K254" s="93" t="s">
        <v>111</v>
      </c>
      <c r="L254" s="93" t="s">
        <v>111</v>
      </c>
      <c r="M254" s="93" t="s">
        <v>111</v>
      </c>
      <c r="N254" s="93" t="s">
        <v>111</v>
      </c>
      <c r="O254" s="93" t="s">
        <v>111</v>
      </c>
      <c r="P254" s="93" t="s">
        <v>111</v>
      </c>
      <c r="Q254" s="93" t="s">
        <v>228</v>
      </c>
      <c r="R254" s="93" t="s">
        <v>111</v>
      </c>
      <c r="S254" s="93" t="s">
        <v>115</v>
      </c>
      <c r="T254" s="93" t="s">
        <v>116</v>
      </c>
      <c r="U254" s="94">
        <v>44610.088194444441</v>
      </c>
      <c r="V254" s="93" t="s">
        <v>7072</v>
      </c>
      <c r="W254" s="93" t="s">
        <v>24</v>
      </c>
    </row>
    <row r="255" spans="1:23" x14ac:dyDescent="0.15">
      <c r="A255" s="93" t="s">
        <v>6747</v>
      </c>
      <c r="B255" s="93" t="s">
        <v>6748</v>
      </c>
      <c r="C255" s="93">
        <v>20</v>
      </c>
      <c r="D255" s="93" t="s">
        <v>24</v>
      </c>
      <c r="E255" s="93" t="s">
        <v>24</v>
      </c>
      <c r="F255" s="93" t="s">
        <v>399</v>
      </c>
      <c r="G255" s="93" t="s">
        <v>7185</v>
      </c>
      <c r="H255" s="93" t="s">
        <v>400</v>
      </c>
      <c r="I255" s="93" t="s">
        <v>111</v>
      </c>
      <c r="J255" s="93" t="s">
        <v>7105</v>
      </c>
      <c r="K255" s="93" t="s">
        <v>111</v>
      </c>
      <c r="L255" s="93" t="s">
        <v>111</v>
      </c>
      <c r="M255" s="93" t="s">
        <v>111</v>
      </c>
      <c r="N255" s="93" t="s">
        <v>111</v>
      </c>
      <c r="O255" s="93" t="s">
        <v>111</v>
      </c>
      <c r="P255" s="93" t="s">
        <v>111</v>
      </c>
      <c r="Q255" s="93" t="s">
        <v>228</v>
      </c>
      <c r="R255" s="93" t="s">
        <v>111</v>
      </c>
      <c r="S255" s="93" t="s">
        <v>115</v>
      </c>
      <c r="T255" s="93" t="s">
        <v>116</v>
      </c>
      <c r="U255" s="94">
        <v>44610.119444444441</v>
      </c>
      <c r="V255" s="93" t="s">
        <v>7072</v>
      </c>
      <c r="W255" s="93" t="s">
        <v>24</v>
      </c>
    </row>
    <row r="256" spans="1:23" x14ac:dyDescent="0.15">
      <c r="A256" s="93" t="s">
        <v>6749</v>
      </c>
      <c r="B256" s="93" t="s">
        <v>7227</v>
      </c>
      <c r="C256" s="93">
        <v>51</v>
      </c>
      <c r="D256" s="93" t="s">
        <v>24</v>
      </c>
      <c r="E256" s="93" t="s">
        <v>24</v>
      </c>
      <c r="F256" s="93" t="s">
        <v>399</v>
      </c>
      <c r="G256" s="93" t="s">
        <v>7185</v>
      </c>
      <c r="H256" s="93" t="s">
        <v>400</v>
      </c>
      <c r="I256" s="93" t="s">
        <v>111</v>
      </c>
      <c r="J256" s="93" t="s">
        <v>7105</v>
      </c>
      <c r="K256" s="93" t="s">
        <v>111</v>
      </c>
      <c r="L256" s="93" t="s">
        <v>111</v>
      </c>
      <c r="M256" s="93" t="s">
        <v>111</v>
      </c>
      <c r="N256" s="93" t="s">
        <v>111</v>
      </c>
      <c r="O256" s="93" t="s">
        <v>111</v>
      </c>
      <c r="P256" s="93" t="s">
        <v>111</v>
      </c>
      <c r="Q256" s="93" t="s">
        <v>228</v>
      </c>
      <c r="R256" s="93" t="s">
        <v>111</v>
      </c>
      <c r="S256" s="93" t="s">
        <v>115</v>
      </c>
      <c r="T256" s="93" t="s">
        <v>116</v>
      </c>
      <c r="U256" s="94">
        <v>44610.056944444441</v>
      </c>
      <c r="V256" s="93" t="s">
        <v>7072</v>
      </c>
      <c r="W256" s="93" t="s">
        <v>24</v>
      </c>
    </row>
    <row r="257" spans="1:23" x14ac:dyDescent="0.15">
      <c r="A257" s="93" t="s">
        <v>6751</v>
      </c>
      <c r="B257" s="93" t="s">
        <v>7228</v>
      </c>
      <c r="C257" s="93">
        <v>80</v>
      </c>
      <c r="D257" s="93" t="s">
        <v>24</v>
      </c>
      <c r="E257" s="93" t="s">
        <v>24</v>
      </c>
      <c r="F257" s="93" t="s">
        <v>399</v>
      </c>
      <c r="G257" s="93" t="s">
        <v>7185</v>
      </c>
      <c r="H257" s="93" t="s">
        <v>400</v>
      </c>
      <c r="I257" s="93" t="s">
        <v>111</v>
      </c>
      <c r="J257" s="93" t="s">
        <v>7105</v>
      </c>
      <c r="K257" s="93" t="s">
        <v>111</v>
      </c>
      <c r="L257" s="93" t="s">
        <v>111</v>
      </c>
      <c r="M257" s="93" t="s">
        <v>111</v>
      </c>
      <c r="N257" s="93" t="s">
        <v>111</v>
      </c>
      <c r="O257" s="93" t="s">
        <v>111</v>
      </c>
      <c r="P257" s="93" t="s">
        <v>111</v>
      </c>
      <c r="Q257" s="93" t="s">
        <v>228</v>
      </c>
      <c r="R257" s="93" t="s">
        <v>111</v>
      </c>
      <c r="S257" s="93" t="s">
        <v>115</v>
      </c>
      <c r="T257" s="93" t="s">
        <v>116</v>
      </c>
      <c r="U257" s="94">
        <v>44610.078472222223</v>
      </c>
      <c r="V257" s="93" t="s">
        <v>7072</v>
      </c>
      <c r="W257" s="93" t="s">
        <v>24</v>
      </c>
    </row>
    <row r="258" spans="1:23" x14ac:dyDescent="0.15">
      <c r="A258" s="93" t="s">
        <v>6753</v>
      </c>
      <c r="B258" s="93" t="s">
        <v>6754</v>
      </c>
      <c r="C258" s="93">
        <v>28</v>
      </c>
      <c r="D258" s="93" t="s">
        <v>24</v>
      </c>
      <c r="E258" s="93" t="s">
        <v>24</v>
      </c>
      <c r="F258" s="93" t="s">
        <v>399</v>
      </c>
      <c r="G258" s="93" t="s">
        <v>7185</v>
      </c>
      <c r="H258" s="93" t="s">
        <v>400</v>
      </c>
      <c r="I258" s="93" t="s">
        <v>111</v>
      </c>
      <c r="J258" s="93" t="s">
        <v>7105</v>
      </c>
      <c r="K258" s="93" t="s">
        <v>111</v>
      </c>
      <c r="L258" s="93" t="s">
        <v>111</v>
      </c>
      <c r="M258" s="93" t="s">
        <v>111</v>
      </c>
      <c r="N258" s="93" t="s">
        <v>111</v>
      </c>
      <c r="O258" s="93" t="s">
        <v>111</v>
      </c>
      <c r="P258" s="93" t="s">
        <v>111</v>
      </c>
      <c r="Q258" s="93" t="s">
        <v>228</v>
      </c>
      <c r="R258" s="93" t="s">
        <v>111</v>
      </c>
      <c r="S258" s="93" t="s">
        <v>115</v>
      </c>
      <c r="T258" s="93" t="s">
        <v>116</v>
      </c>
      <c r="U258" s="94">
        <v>44610.061805555553</v>
      </c>
      <c r="V258" s="93" t="s">
        <v>7072</v>
      </c>
      <c r="W258" s="93" t="s">
        <v>24</v>
      </c>
    </row>
    <row r="259" spans="1:23" x14ac:dyDescent="0.15">
      <c r="A259" s="93" t="s">
        <v>6755</v>
      </c>
      <c r="B259" s="93" t="s">
        <v>7229</v>
      </c>
      <c r="C259" s="93">
        <v>72</v>
      </c>
      <c r="D259" s="93" t="s">
        <v>24</v>
      </c>
      <c r="E259" s="93" t="s">
        <v>24</v>
      </c>
      <c r="F259" s="93" t="s">
        <v>399</v>
      </c>
      <c r="G259" s="93" t="s">
        <v>7185</v>
      </c>
      <c r="H259" s="93" t="s">
        <v>400</v>
      </c>
      <c r="I259" s="93" t="s">
        <v>111</v>
      </c>
      <c r="J259" s="93" t="s">
        <v>7105</v>
      </c>
      <c r="K259" s="93" t="s">
        <v>111</v>
      </c>
      <c r="L259" s="93" t="s">
        <v>111</v>
      </c>
      <c r="M259" s="93" t="s">
        <v>111</v>
      </c>
      <c r="N259" s="93" t="s">
        <v>111</v>
      </c>
      <c r="O259" s="93" t="s">
        <v>111</v>
      </c>
      <c r="P259" s="93" t="s">
        <v>111</v>
      </c>
      <c r="Q259" s="93" t="s">
        <v>228</v>
      </c>
      <c r="R259" s="93" t="s">
        <v>111</v>
      </c>
      <c r="S259" s="93" t="s">
        <v>115</v>
      </c>
      <c r="T259" s="93" t="s">
        <v>116</v>
      </c>
      <c r="U259" s="94">
        <v>44610.118750000001</v>
      </c>
      <c r="V259" s="93" t="s">
        <v>7072</v>
      </c>
      <c r="W259" s="93" t="s">
        <v>24</v>
      </c>
    </row>
    <row r="260" spans="1:23" x14ac:dyDescent="0.15">
      <c r="A260" s="93" t="s">
        <v>6757</v>
      </c>
      <c r="B260" s="93" t="s">
        <v>7230</v>
      </c>
      <c r="C260" s="93">
        <v>112</v>
      </c>
      <c r="D260" s="93" t="s">
        <v>24</v>
      </c>
      <c r="E260" s="93" t="s">
        <v>24</v>
      </c>
      <c r="F260" s="93" t="s">
        <v>399</v>
      </c>
      <c r="G260" s="93" t="s">
        <v>7185</v>
      </c>
      <c r="H260" s="93" t="s">
        <v>400</v>
      </c>
      <c r="I260" s="93" t="s">
        <v>111</v>
      </c>
      <c r="J260" s="93" t="s">
        <v>7105</v>
      </c>
      <c r="K260" s="93" t="s">
        <v>111</v>
      </c>
      <c r="L260" s="93" t="s">
        <v>111</v>
      </c>
      <c r="M260" s="93" t="s">
        <v>111</v>
      </c>
      <c r="N260" s="93" t="s">
        <v>111</v>
      </c>
      <c r="O260" s="93" t="s">
        <v>111</v>
      </c>
      <c r="P260" s="93" t="s">
        <v>111</v>
      </c>
      <c r="Q260" s="93" t="s">
        <v>228</v>
      </c>
      <c r="R260" s="93" t="s">
        <v>111</v>
      </c>
      <c r="S260" s="93" t="s">
        <v>115</v>
      </c>
      <c r="T260" s="93" t="s">
        <v>116</v>
      </c>
      <c r="U260" s="94">
        <v>44610.0625</v>
      </c>
      <c r="V260" s="93" t="s">
        <v>7072</v>
      </c>
      <c r="W260" s="93" t="s">
        <v>24</v>
      </c>
    </row>
    <row r="261" spans="1:23" x14ac:dyDescent="0.15">
      <c r="A261" s="93" t="s">
        <v>6717</v>
      </c>
      <c r="B261" s="93" t="s">
        <v>6718</v>
      </c>
      <c r="C261" s="93">
        <v>22</v>
      </c>
      <c r="D261" s="93" t="s">
        <v>24</v>
      </c>
      <c r="E261" s="93" t="s">
        <v>24</v>
      </c>
      <c r="F261" s="93" t="s">
        <v>399</v>
      </c>
      <c r="G261" s="93" t="s">
        <v>7185</v>
      </c>
      <c r="H261" s="93" t="s">
        <v>400</v>
      </c>
      <c r="I261" s="93" t="s">
        <v>111</v>
      </c>
      <c r="J261" s="93" t="s">
        <v>7105</v>
      </c>
      <c r="K261" s="93" t="s">
        <v>111</v>
      </c>
      <c r="L261" s="93" t="s">
        <v>111</v>
      </c>
      <c r="M261" s="93" t="s">
        <v>111</v>
      </c>
      <c r="N261" s="93" t="s">
        <v>111</v>
      </c>
      <c r="O261" s="93" t="s">
        <v>111</v>
      </c>
      <c r="P261" s="93" t="s">
        <v>111</v>
      </c>
      <c r="Q261" s="93" t="s">
        <v>228</v>
      </c>
      <c r="R261" s="93" t="s">
        <v>111</v>
      </c>
      <c r="S261" s="93" t="s">
        <v>115</v>
      </c>
      <c r="T261" s="93" t="s">
        <v>116</v>
      </c>
      <c r="U261" s="94">
        <v>44610.112500000003</v>
      </c>
      <c r="V261" s="93" t="s">
        <v>7072</v>
      </c>
      <c r="W261" s="93" t="s">
        <v>24</v>
      </c>
    </row>
    <row r="262" spans="1:23" x14ac:dyDescent="0.15">
      <c r="A262" s="93" t="s">
        <v>6719</v>
      </c>
      <c r="B262" s="93" t="s">
        <v>7231</v>
      </c>
      <c r="C262" s="93">
        <v>57</v>
      </c>
      <c r="D262" s="93" t="s">
        <v>24</v>
      </c>
      <c r="E262" s="93" t="s">
        <v>24</v>
      </c>
      <c r="F262" s="93" t="s">
        <v>399</v>
      </c>
      <c r="G262" s="93" t="s">
        <v>7185</v>
      </c>
      <c r="H262" s="93" t="s">
        <v>400</v>
      </c>
      <c r="I262" s="93" t="s">
        <v>111</v>
      </c>
      <c r="J262" s="93" t="s">
        <v>7105</v>
      </c>
      <c r="K262" s="93" t="s">
        <v>111</v>
      </c>
      <c r="L262" s="93" t="s">
        <v>111</v>
      </c>
      <c r="M262" s="93" t="s">
        <v>111</v>
      </c>
      <c r="N262" s="93" t="s">
        <v>111</v>
      </c>
      <c r="O262" s="93" t="s">
        <v>111</v>
      </c>
      <c r="P262" s="93" t="s">
        <v>111</v>
      </c>
      <c r="Q262" s="93" t="s">
        <v>228</v>
      </c>
      <c r="R262" s="93" t="s">
        <v>111</v>
      </c>
      <c r="S262" s="93" t="s">
        <v>115</v>
      </c>
      <c r="T262" s="93" t="s">
        <v>116</v>
      </c>
      <c r="U262" s="94">
        <v>44610.097916666666</v>
      </c>
      <c r="V262" s="93" t="s">
        <v>7072</v>
      </c>
      <c r="W262" s="93" t="s">
        <v>24</v>
      </c>
    </row>
    <row r="263" spans="1:23" x14ac:dyDescent="0.15">
      <c r="A263" s="93" t="s">
        <v>6721</v>
      </c>
      <c r="B263" s="93" t="s">
        <v>7232</v>
      </c>
      <c r="C263" s="93">
        <v>88</v>
      </c>
      <c r="D263" s="93" t="s">
        <v>24</v>
      </c>
      <c r="E263" s="93" t="s">
        <v>24</v>
      </c>
      <c r="F263" s="93" t="s">
        <v>399</v>
      </c>
      <c r="G263" s="93" t="s">
        <v>7185</v>
      </c>
      <c r="H263" s="93" t="s">
        <v>400</v>
      </c>
      <c r="I263" s="93" t="s">
        <v>111</v>
      </c>
      <c r="J263" s="93" t="s">
        <v>7105</v>
      </c>
      <c r="K263" s="93" t="s">
        <v>111</v>
      </c>
      <c r="L263" s="93" t="s">
        <v>111</v>
      </c>
      <c r="M263" s="93" t="s">
        <v>111</v>
      </c>
      <c r="N263" s="93" t="s">
        <v>111</v>
      </c>
      <c r="O263" s="93" t="s">
        <v>111</v>
      </c>
      <c r="P263" s="93" t="s">
        <v>111</v>
      </c>
      <c r="Q263" s="93" t="s">
        <v>228</v>
      </c>
      <c r="R263" s="93" t="s">
        <v>111</v>
      </c>
      <c r="S263" s="93" t="s">
        <v>115</v>
      </c>
      <c r="T263" s="93" t="s">
        <v>116</v>
      </c>
      <c r="U263" s="94">
        <v>44610.112500000003</v>
      </c>
      <c r="V263" s="93" t="s">
        <v>7072</v>
      </c>
      <c r="W263" s="93" t="s">
        <v>24</v>
      </c>
    </row>
    <row r="264" spans="1:23" x14ac:dyDescent="0.15">
      <c r="A264" s="93" t="s">
        <v>6723</v>
      </c>
      <c r="B264" s="93" t="s">
        <v>6724</v>
      </c>
      <c r="C264" s="93">
        <v>31</v>
      </c>
      <c r="D264" s="93" t="s">
        <v>24</v>
      </c>
      <c r="E264" s="93" t="s">
        <v>24</v>
      </c>
      <c r="F264" s="93" t="s">
        <v>399</v>
      </c>
      <c r="G264" s="93" t="s">
        <v>7185</v>
      </c>
      <c r="H264" s="93" t="s">
        <v>400</v>
      </c>
      <c r="I264" s="93" t="s">
        <v>111</v>
      </c>
      <c r="J264" s="93" t="s">
        <v>7105</v>
      </c>
      <c r="K264" s="93" t="s">
        <v>111</v>
      </c>
      <c r="L264" s="93" t="s">
        <v>111</v>
      </c>
      <c r="M264" s="93" t="s">
        <v>111</v>
      </c>
      <c r="N264" s="93" t="s">
        <v>111</v>
      </c>
      <c r="O264" s="93" t="s">
        <v>111</v>
      </c>
      <c r="P264" s="93" t="s">
        <v>111</v>
      </c>
      <c r="Q264" s="93" t="s">
        <v>228</v>
      </c>
      <c r="R264" s="93" t="s">
        <v>111</v>
      </c>
      <c r="S264" s="93" t="s">
        <v>115</v>
      </c>
      <c r="T264" s="93" t="s">
        <v>116</v>
      </c>
      <c r="U264" s="94">
        <v>44610.056944444441</v>
      </c>
      <c r="V264" s="93" t="s">
        <v>7072</v>
      </c>
      <c r="W264" s="93" t="s">
        <v>24</v>
      </c>
    </row>
    <row r="265" spans="1:23" x14ac:dyDescent="0.15">
      <c r="A265" s="93" t="s">
        <v>6725</v>
      </c>
      <c r="B265" s="93" t="s">
        <v>7233</v>
      </c>
      <c r="C265" s="93">
        <v>80</v>
      </c>
      <c r="D265" s="93" t="s">
        <v>24</v>
      </c>
      <c r="E265" s="93" t="s">
        <v>24</v>
      </c>
      <c r="F265" s="93" t="s">
        <v>399</v>
      </c>
      <c r="G265" s="93" t="s">
        <v>7185</v>
      </c>
      <c r="H265" s="93" t="s">
        <v>400</v>
      </c>
      <c r="I265" s="93" t="s">
        <v>111</v>
      </c>
      <c r="J265" s="93" t="s">
        <v>7105</v>
      </c>
      <c r="K265" s="93" t="s">
        <v>111</v>
      </c>
      <c r="L265" s="93" t="s">
        <v>111</v>
      </c>
      <c r="M265" s="93" t="s">
        <v>111</v>
      </c>
      <c r="N265" s="93" t="s">
        <v>111</v>
      </c>
      <c r="O265" s="93" t="s">
        <v>111</v>
      </c>
      <c r="P265" s="93" t="s">
        <v>111</v>
      </c>
      <c r="Q265" s="93" t="s">
        <v>228</v>
      </c>
      <c r="R265" s="93" t="s">
        <v>111</v>
      </c>
      <c r="S265" s="93" t="s">
        <v>115</v>
      </c>
      <c r="T265" s="93" t="s">
        <v>116</v>
      </c>
      <c r="U265" s="94">
        <v>44610.070138888892</v>
      </c>
      <c r="V265" s="93" t="s">
        <v>7072</v>
      </c>
      <c r="W265" s="93" t="s">
        <v>24</v>
      </c>
    </row>
    <row r="266" spans="1:23" x14ac:dyDescent="0.15">
      <c r="A266" s="93" t="s">
        <v>6727</v>
      </c>
      <c r="B266" s="93" t="s">
        <v>7234</v>
      </c>
      <c r="C266" s="93">
        <v>124</v>
      </c>
      <c r="D266" s="93" t="s">
        <v>24</v>
      </c>
      <c r="E266" s="93" t="s">
        <v>24</v>
      </c>
      <c r="F266" s="93" t="s">
        <v>399</v>
      </c>
      <c r="G266" s="93" t="s">
        <v>7185</v>
      </c>
      <c r="H266" s="93" t="s">
        <v>400</v>
      </c>
      <c r="I266" s="93" t="s">
        <v>111</v>
      </c>
      <c r="J266" s="93" t="s">
        <v>7105</v>
      </c>
      <c r="K266" s="93" t="s">
        <v>111</v>
      </c>
      <c r="L266" s="93" t="s">
        <v>111</v>
      </c>
      <c r="M266" s="93" t="s">
        <v>111</v>
      </c>
      <c r="N266" s="93" t="s">
        <v>111</v>
      </c>
      <c r="O266" s="93" t="s">
        <v>111</v>
      </c>
      <c r="P266" s="93" t="s">
        <v>111</v>
      </c>
      <c r="Q266" s="93" t="s">
        <v>228</v>
      </c>
      <c r="R266" s="93" t="s">
        <v>111</v>
      </c>
      <c r="S266" s="93" t="s">
        <v>115</v>
      </c>
      <c r="T266" s="93" t="s">
        <v>116</v>
      </c>
      <c r="U266" s="94">
        <v>44610.072222222225</v>
      </c>
      <c r="V266" s="93" t="s">
        <v>7072</v>
      </c>
      <c r="W266" s="93" t="s">
        <v>24</v>
      </c>
    </row>
    <row r="267" spans="1:23" x14ac:dyDescent="0.15">
      <c r="A267" s="93" t="s">
        <v>6729</v>
      </c>
      <c r="B267" s="93" t="s">
        <v>6730</v>
      </c>
      <c r="C267" s="93">
        <v>65</v>
      </c>
      <c r="D267" s="93" t="s">
        <v>24</v>
      </c>
      <c r="E267" s="93" t="s">
        <v>24</v>
      </c>
      <c r="F267" s="93" t="s">
        <v>399</v>
      </c>
      <c r="G267" s="93" t="s">
        <v>7185</v>
      </c>
      <c r="H267" s="93" t="s">
        <v>400</v>
      </c>
      <c r="I267" s="93" t="s">
        <v>111</v>
      </c>
      <c r="J267" s="93" t="s">
        <v>7105</v>
      </c>
      <c r="K267" s="93" t="s">
        <v>111</v>
      </c>
      <c r="L267" s="93" t="s">
        <v>111</v>
      </c>
      <c r="M267" s="93" t="s">
        <v>111</v>
      </c>
      <c r="N267" s="93" t="s">
        <v>111</v>
      </c>
      <c r="O267" s="93" t="s">
        <v>111</v>
      </c>
      <c r="P267" s="93" t="s">
        <v>111</v>
      </c>
      <c r="Q267" s="93" t="s">
        <v>228</v>
      </c>
      <c r="R267" s="93" t="s">
        <v>111</v>
      </c>
      <c r="S267" s="93" t="s">
        <v>115</v>
      </c>
      <c r="T267" s="93" t="s">
        <v>116</v>
      </c>
      <c r="U267" s="94">
        <v>44610.061805555553</v>
      </c>
      <c r="V267" s="93" t="s">
        <v>7072</v>
      </c>
      <c r="W267" s="93" t="s">
        <v>24</v>
      </c>
    </row>
    <row r="268" spans="1:23" x14ac:dyDescent="0.15">
      <c r="A268" s="93" t="s">
        <v>6731</v>
      </c>
      <c r="B268" s="93" t="s">
        <v>7235</v>
      </c>
      <c r="C268" s="93">
        <v>166</v>
      </c>
      <c r="D268" s="93" t="s">
        <v>24</v>
      </c>
      <c r="E268" s="93" t="s">
        <v>24</v>
      </c>
      <c r="F268" s="93" t="s">
        <v>399</v>
      </c>
      <c r="G268" s="93" t="s">
        <v>7185</v>
      </c>
      <c r="H268" s="93" t="s">
        <v>400</v>
      </c>
      <c r="I268" s="93" t="s">
        <v>111</v>
      </c>
      <c r="J268" s="93" t="s">
        <v>7105</v>
      </c>
      <c r="K268" s="93" t="s">
        <v>111</v>
      </c>
      <c r="L268" s="93" t="s">
        <v>111</v>
      </c>
      <c r="M268" s="93" t="s">
        <v>111</v>
      </c>
      <c r="N268" s="93" t="s">
        <v>111</v>
      </c>
      <c r="O268" s="93" t="s">
        <v>111</v>
      </c>
      <c r="P268" s="93" t="s">
        <v>111</v>
      </c>
      <c r="Q268" s="93" t="s">
        <v>228</v>
      </c>
      <c r="R268" s="93" t="s">
        <v>111</v>
      </c>
      <c r="S268" s="93" t="s">
        <v>115</v>
      </c>
      <c r="T268" s="93" t="s">
        <v>116</v>
      </c>
      <c r="U268" s="94">
        <v>44610.080555555556</v>
      </c>
      <c r="V268" s="93" t="s">
        <v>7072</v>
      </c>
      <c r="W268" s="93" t="s">
        <v>24</v>
      </c>
    </row>
    <row r="269" spans="1:23" x14ac:dyDescent="0.15">
      <c r="A269" s="93" t="s">
        <v>6733</v>
      </c>
      <c r="B269" s="93" t="s">
        <v>7236</v>
      </c>
      <c r="C269" s="93">
        <v>260</v>
      </c>
      <c r="D269" s="93" t="s">
        <v>24</v>
      </c>
      <c r="E269" s="93" t="s">
        <v>24</v>
      </c>
      <c r="F269" s="93" t="s">
        <v>399</v>
      </c>
      <c r="G269" s="93" t="s">
        <v>7185</v>
      </c>
      <c r="H269" s="93" t="s">
        <v>400</v>
      </c>
      <c r="I269" s="93" t="s">
        <v>111</v>
      </c>
      <c r="J269" s="93" t="s">
        <v>7105</v>
      </c>
      <c r="K269" s="93" t="s">
        <v>111</v>
      </c>
      <c r="L269" s="93" t="s">
        <v>111</v>
      </c>
      <c r="M269" s="93" t="s">
        <v>111</v>
      </c>
      <c r="N269" s="93" t="s">
        <v>111</v>
      </c>
      <c r="O269" s="93" t="s">
        <v>111</v>
      </c>
      <c r="P269" s="93" t="s">
        <v>111</v>
      </c>
      <c r="Q269" s="93" t="s">
        <v>228</v>
      </c>
      <c r="R269" s="93" t="s">
        <v>111</v>
      </c>
      <c r="S269" s="93" t="s">
        <v>115</v>
      </c>
      <c r="T269" s="93" t="s">
        <v>116</v>
      </c>
      <c r="U269" s="94">
        <v>44610.090277777781</v>
      </c>
      <c r="V269" s="93" t="s">
        <v>7072</v>
      </c>
      <c r="W269" s="93" t="s">
        <v>24</v>
      </c>
    </row>
    <row r="270" spans="1:23" x14ac:dyDescent="0.15">
      <c r="A270" s="93" t="s">
        <v>6759</v>
      </c>
      <c r="B270" s="93" t="s">
        <v>6760</v>
      </c>
      <c r="C270" s="93">
        <v>39</v>
      </c>
      <c r="D270" s="93" t="s">
        <v>24</v>
      </c>
      <c r="E270" s="93" t="s">
        <v>24</v>
      </c>
      <c r="F270" s="93" t="s">
        <v>399</v>
      </c>
      <c r="G270" s="93" t="s">
        <v>7185</v>
      </c>
      <c r="H270" s="93" t="s">
        <v>400</v>
      </c>
      <c r="I270" s="93" t="s">
        <v>111</v>
      </c>
      <c r="J270" s="93" t="s">
        <v>7105</v>
      </c>
      <c r="K270" s="93" t="s">
        <v>111</v>
      </c>
      <c r="L270" s="93" t="s">
        <v>111</v>
      </c>
      <c r="M270" s="93" t="s">
        <v>111</v>
      </c>
      <c r="N270" s="93" t="s">
        <v>111</v>
      </c>
      <c r="O270" s="93" t="s">
        <v>111</v>
      </c>
      <c r="P270" s="93" t="s">
        <v>111</v>
      </c>
      <c r="Q270" s="93" t="s">
        <v>228</v>
      </c>
      <c r="R270" s="93" t="s">
        <v>111</v>
      </c>
      <c r="S270" s="93" t="s">
        <v>115</v>
      </c>
      <c r="T270" s="93" t="s">
        <v>116</v>
      </c>
      <c r="U270" s="94">
        <v>44610.088194444441</v>
      </c>
      <c r="V270" s="93" t="s">
        <v>7072</v>
      </c>
      <c r="W270" s="93" t="s">
        <v>24</v>
      </c>
    </row>
    <row r="271" spans="1:23" x14ac:dyDescent="0.15">
      <c r="A271" s="93" t="s">
        <v>6761</v>
      </c>
      <c r="B271" s="93" t="s">
        <v>7237</v>
      </c>
      <c r="C271" s="93">
        <v>100</v>
      </c>
      <c r="D271" s="93" t="s">
        <v>24</v>
      </c>
      <c r="E271" s="93" t="s">
        <v>24</v>
      </c>
      <c r="F271" s="93" t="s">
        <v>399</v>
      </c>
      <c r="G271" s="93" t="s">
        <v>7185</v>
      </c>
      <c r="H271" s="93" t="s">
        <v>400</v>
      </c>
      <c r="I271" s="93" t="s">
        <v>111</v>
      </c>
      <c r="J271" s="93" t="s">
        <v>7105</v>
      </c>
      <c r="K271" s="93" t="s">
        <v>111</v>
      </c>
      <c r="L271" s="93" t="s">
        <v>111</v>
      </c>
      <c r="M271" s="93" t="s">
        <v>111</v>
      </c>
      <c r="N271" s="93" t="s">
        <v>111</v>
      </c>
      <c r="O271" s="93" t="s">
        <v>111</v>
      </c>
      <c r="P271" s="93" t="s">
        <v>111</v>
      </c>
      <c r="Q271" s="93" t="s">
        <v>228</v>
      </c>
      <c r="R271" s="93" t="s">
        <v>111</v>
      </c>
      <c r="S271" s="93" t="s">
        <v>115</v>
      </c>
      <c r="T271" s="93" t="s">
        <v>116</v>
      </c>
      <c r="U271" s="94">
        <v>44610.080555555556</v>
      </c>
      <c r="V271" s="93" t="s">
        <v>7072</v>
      </c>
      <c r="W271" s="93" t="s">
        <v>24</v>
      </c>
    </row>
    <row r="272" spans="1:23" x14ac:dyDescent="0.15">
      <c r="A272" s="93" t="s">
        <v>6763</v>
      </c>
      <c r="B272" s="93" t="s">
        <v>7238</v>
      </c>
      <c r="C272" s="93">
        <v>156</v>
      </c>
      <c r="D272" s="93" t="s">
        <v>24</v>
      </c>
      <c r="E272" s="93" t="s">
        <v>24</v>
      </c>
      <c r="F272" s="93" t="s">
        <v>399</v>
      </c>
      <c r="G272" s="93" t="s">
        <v>7185</v>
      </c>
      <c r="H272" s="93" t="s">
        <v>400</v>
      </c>
      <c r="I272" s="93" t="s">
        <v>111</v>
      </c>
      <c r="J272" s="93" t="s">
        <v>7105</v>
      </c>
      <c r="K272" s="93" t="s">
        <v>111</v>
      </c>
      <c r="L272" s="93" t="s">
        <v>111</v>
      </c>
      <c r="M272" s="93" t="s">
        <v>111</v>
      </c>
      <c r="N272" s="93" t="s">
        <v>111</v>
      </c>
      <c r="O272" s="93" t="s">
        <v>111</v>
      </c>
      <c r="P272" s="93" t="s">
        <v>111</v>
      </c>
      <c r="Q272" s="93" t="s">
        <v>228</v>
      </c>
      <c r="R272" s="93" t="s">
        <v>111</v>
      </c>
      <c r="S272" s="93" t="s">
        <v>115</v>
      </c>
      <c r="T272" s="93" t="s">
        <v>116</v>
      </c>
      <c r="U272" s="94">
        <v>44610.056944444441</v>
      </c>
      <c r="V272" s="93" t="s">
        <v>7072</v>
      </c>
      <c r="W272" s="93" t="s">
        <v>24</v>
      </c>
    </row>
    <row r="273" spans="1:23" x14ac:dyDescent="0.15">
      <c r="A273" s="93" t="s">
        <v>6765</v>
      </c>
      <c r="B273" s="93" t="s">
        <v>6766</v>
      </c>
      <c r="C273" s="93">
        <v>57</v>
      </c>
      <c r="D273" s="93" t="s">
        <v>24</v>
      </c>
      <c r="E273" s="93" t="s">
        <v>24</v>
      </c>
      <c r="F273" s="93" t="s">
        <v>399</v>
      </c>
      <c r="G273" s="93" t="s">
        <v>7185</v>
      </c>
      <c r="H273" s="93" t="s">
        <v>400</v>
      </c>
      <c r="I273" s="93" t="s">
        <v>111</v>
      </c>
      <c r="J273" s="93" t="s">
        <v>7105</v>
      </c>
      <c r="K273" s="93" t="s">
        <v>111</v>
      </c>
      <c r="L273" s="93" t="s">
        <v>111</v>
      </c>
      <c r="M273" s="93" t="s">
        <v>111</v>
      </c>
      <c r="N273" s="93" t="s">
        <v>111</v>
      </c>
      <c r="O273" s="93" t="s">
        <v>111</v>
      </c>
      <c r="P273" s="93" t="s">
        <v>111</v>
      </c>
      <c r="Q273" s="93" t="s">
        <v>228</v>
      </c>
      <c r="R273" s="93" t="s">
        <v>111</v>
      </c>
      <c r="S273" s="93" t="s">
        <v>115</v>
      </c>
      <c r="T273" s="93" t="s">
        <v>116</v>
      </c>
      <c r="U273" s="94">
        <v>44610.070138888892</v>
      </c>
      <c r="V273" s="93" t="s">
        <v>7072</v>
      </c>
      <c r="W273" s="93" t="s">
        <v>24</v>
      </c>
    </row>
    <row r="274" spans="1:23" x14ac:dyDescent="0.15">
      <c r="A274" s="93" t="s">
        <v>6767</v>
      </c>
      <c r="B274" s="93" t="s">
        <v>7239</v>
      </c>
      <c r="C274" s="93">
        <v>146</v>
      </c>
      <c r="D274" s="93" t="s">
        <v>24</v>
      </c>
      <c r="E274" s="93" t="s">
        <v>24</v>
      </c>
      <c r="F274" s="93" t="s">
        <v>399</v>
      </c>
      <c r="G274" s="93" t="s">
        <v>7185</v>
      </c>
      <c r="H274" s="93" t="s">
        <v>400</v>
      </c>
      <c r="I274" s="93" t="s">
        <v>111</v>
      </c>
      <c r="J274" s="93" t="s">
        <v>7105</v>
      </c>
      <c r="K274" s="93" t="s">
        <v>111</v>
      </c>
      <c r="L274" s="93" t="s">
        <v>111</v>
      </c>
      <c r="M274" s="93" t="s">
        <v>111</v>
      </c>
      <c r="N274" s="93" t="s">
        <v>111</v>
      </c>
      <c r="O274" s="93" t="s">
        <v>111</v>
      </c>
      <c r="P274" s="93" t="s">
        <v>111</v>
      </c>
      <c r="Q274" s="93" t="s">
        <v>228</v>
      </c>
      <c r="R274" s="93" t="s">
        <v>111</v>
      </c>
      <c r="S274" s="93" t="s">
        <v>115</v>
      </c>
      <c r="T274" s="93" t="s">
        <v>116</v>
      </c>
      <c r="U274" s="94">
        <v>44610.097916666666</v>
      </c>
      <c r="V274" s="93" t="s">
        <v>7072</v>
      </c>
      <c r="W274" s="93" t="s">
        <v>24</v>
      </c>
    </row>
    <row r="275" spans="1:23" x14ac:dyDescent="0.15">
      <c r="A275" s="93" t="s">
        <v>6769</v>
      </c>
      <c r="B275" s="93" t="s">
        <v>7240</v>
      </c>
      <c r="C275" s="93">
        <v>228</v>
      </c>
      <c r="D275" s="93" t="s">
        <v>24</v>
      </c>
      <c r="E275" s="93" t="s">
        <v>24</v>
      </c>
      <c r="F275" s="93" t="s">
        <v>399</v>
      </c>
      <c r="G275" s="93" t="s">
        <v>7185</v>
      </c>
      <c r="H275" s="93" t="s">
        <v>400</v>
      </c>
      <c r="I275" s="93" t="s">
        <v>111</v>
      </c>
      <c r="J275" s="93" t="s">
        <v>7105</v>
      </c>
      <c r="K275" s="93" t="s">
        <v>111</v>
      </c>
      <c r="L275" s="93" t="s">
        <v>111</v>
      </c>
      <c r="M275" s="93" t="s">
        <v>111</v>
      </c>
      <c r="N275" s="93" t="s">
        <v>111</v>
      </c>
      <c r="O275" s="93" t="s">
        <v>111</v>
      </c>
      <c r="P275" s="93" t="s">
        <v>111</v>
      </c>
      <c r="Q275" s="93" t="s">
        <v>228</v>
      </c>
      <c r="R275" s="93" t="s">
        <v>111</v>
      </c>
      <c r="S275" s="93" t="s">
        <v>115</v>
      </c>
      <c r="T275" s="93" t="s">
        <v>116</v>
      </c>
      <c r="U275" s="94">
        <v>44610.116666666669</v>
      </c>
      <c r="V275" s="93" t="s">
        <v>7072</v>
      </c>
      <c r="W275" s="93" t="s">
        <v>24</v>
      </c>
    </row>
    <row r="276" spans="1:23" x14ac:dyDescent="0.15">
      <c r="A276" s="93" t="s">
        <v>6771</v>
      </c>
      <c r="B276" s="93" t="s">
        <v>6772</v>
      </c>
      <c r="C276" s="93">
        <v>57</v>
      </c>
      <c r="D276" s="93" t="s">
        <v>24</v>
      </c>
      <c r="E276" s="93" t="s">
        <v>24</v>
      </c>
      <c r="F276" s="93" t="s">
        <v>399</v>
      </c>
      <c r="G276" s="93" t="s">
        <v>7185</v>
      </c>
      <c r="H276" s="93" t="s">
        <v>400</v>
      </c>
      <c r="I276" s="93" t="s">
        <v>111</v>
      </c>
      <c r="J276" s="93" t="s">
        <v>7105</v>
      </c>
      <c r="K276" s="93" t="s">
        <v>111</v>
      </c>
      <c r="L276" s="93" t="s">
        <v>111</v>
      </c>
      <c r="M276" s="93" t="s">
        <v>111</v>
      </c>
      <c r="N276" s="93" t="s">
        <v>111</v>
      </c>
      <c r="O276" s="93" t="s">
        <v>111</v>
      </c>
      <c r="P276" s="93" t="s">
        <v>111</v>
      </c>
      <c r="Q276" s="93" t="s">
        <v>228</v>
      </c>
      <c r="R276" s="93" t="s">
        <v>111</v>
      </c>
      <c r="S276" s="93" t="s">
        <v>115</v>
      </c>
      <c r="T276" s="93" t="s">
        <v>116</v>
      </c>
      <c r="U276" s="94">
        <v>44610.056944444441</v>
      </c>
      <c r="V276" s="93" t="s">
        <v>7072</v>
      </c>
      <c r="W276" s="93" t="s">
        <v>24</v>
      </c>
    </row>
    <row r="277" spans="1:23" x14ac:dyDescent="0.15">
      <c r="A277" s="93" t="s">
        <v>6773</v>
      </c>
      <c r="B277" s="93" t="s">
        <v>7241</v>
      </c>
      <c r="C277" s="93">
        <v>146</v>
      </c>
      <c r="D277" s="93" t="s">
        <v>24</v>
      </c>
      <c r="E277" s="93" t="s">
        <v>24</v>
      </c>
      <c r="F277" s="93" t="s">
        <v>399</v>
      </c>
      <c r="G277" s="93" t="s">
        <v>7185</v>
      </c>
      <c r="H277" s="93" t="s">
        <v>400</v>
      </c>
      <c r="I277" s="93" t="s">
        <v>111</v>
      </c>
      <c r="J277" s="93" t="s">
        <v>7105</v>
      </c>
      <c r="K277" s="93" t="s">
        <v>111</v>
      </c>
      <c r="L277" s="93" t="s">
        <v>111</v>
      </c>
      <c r="M277" s="93" t="s">
        <v>111</v>
      </c>
      <c r="N277" s="93" t="s">
        <v>111</v>
      </c>
      <c r="O277" s="93" t="s">
        <v>111</v>
      </c>
      <c r="P277" s="93" t="s">
        <v>111</v>
      </c>
      <c r="Q277" s="93" t="s">
        <v>228</v>
      </c>
      <c r="R277" s="93" t="s">
        <v>111</v>
      </c>
      <c r="S277" s="93" t="s">
        <v>115</v>
      </c>
      <c r="T277" s="93" t="s">
        <v>116</v>
      </c>
      <c r="U277" s="94">
        <v>44610.119444444441</v>
      </c>
      <c r="V277" s="93" t="s">
        <v>7072</v>
      </c>
      <c r="W277" s="93" t="s">
        <v>24</v>
      </c>
    </row>
    <row r="278" spans="1:23" x14ac:dyDescent="0.15">
      <c r="A278" s="93" t="s">
        <v>6775</v>
      </c>
      <c r="B278" s="93" t="s">
        <v>7242</v>
      </c>
      <c r="C278" s="93">
        <v>228</v>
      </c>
      <c r="D278" s="93" t="s">
        <v>24</v>
      </c>
      <c r="E278" s="93" t="s">
        <v>24</v>
      </c>
      <c r="F278" s="93" t="s">
        <v>399</v>
      </c>
      <c r="G278" s="93" t="s">
        <v>7185</v>
      </c>
      <c r="H278" s="93" t="s">
        <v>400</v>
      </c>
      <c r="I278" s="93" t="s">
        <v>111</v>
      </c>
      <c r="J278" s="93" t="s">
        <v>7105</v>
      </c>
      <c r="K278" s="93" t="s">
        <v>111</v>
      </c>
      <c r="L278" s="93" t="s">
        <v>111</v>
      </c>
      <c r="M278" s="93" t="s">
        <v>111</v>
      </c>
      <c r="N278" s="93" t="s">
        <v>111</v>
      </c>
      <c r="O278" s="93" t="s">
        <v>111</v>
      </c>
      <c r="P278" s="93" t="s">
        <v>111</v>
      </c>
      <c r="Q278" s="93" t="s">
        <v>228</v>
      </c>
      <c r="R278" s="93" t="s">
        <v>111</v>
      </c>
      <c r="S278" s="93" t="s">
        <v>115</v>
      </c>
      <c r="T278" s="93" t="s">
        <v>116</v>
      </c>
      <c r="U278" s="94">
        <v>44610.11041666667</v>
      </c>
      <c r="V278" s="93" t="s">
        <v>7072</v>
      </c>
      <c r="W278" s="93" t="s">
        <v>24</v>
      </c>
    </row>
    <row r="279" spans="1:23" x14ac:dyDescent="0.15">
      <c r="A279" s="93" t="s">
        <v>6777</v>
      </c>
      <c r="B279" s="93" t="s">
        <v>6778</v>
      </c>
      <c r="C279" s="93">
        <v>78</v>
      </c>
      <c r="D279" s="93" t="s">
        <v>24</v>
      </c>
      <c r="E279" s="93" t="s">
        <v>24</v>
      </c>
      <c r="F279" s="93" t="s">
        <v>399</v>
      </c>
      <c r="G279" s="93" t="s">
        <v>7185</v>
      </c>
      <c r="H279" s="93" t="s">
        <v>400</v>
      </c>
      <c r="I279" s="93" t="s">
        <v>111</v>
      </c>
      <c r="J279" s="93" t="s">
        <v>7105</v>
      </c>
      <c r="K279" s="93" t="s">
        <v>111</v>
      </c>
      <c r="L279" s="93" t="s">
        <v>111</v>
      </c>
      <c r="M279" s="93" t="s">
        <v>111</v>
      </c>
      <c r="N279" s="93" t="s">
        <v>111</v>
      </c>
      <c r="O279" s="93" t="s">
        <v>111</v>
      </c>
      <c r="P279" s="93" t="s">
        <v>111</v>
      </c>
      <c r="Q279" s="93" t="s">
        <v>228</v>
      </c>
      <c r="R279" s="93" t="s">
        <v>111</v>
      </c>
      <c r="S279" s="93" t="s">
        <v>115</v>
      </c>
      <c r="T279" s="93" t="s">
        <v>116</v>
      </c>
      <c r="U279" s="94">
        <v>44610.070138888892</v>
      </c>
      <c r="V279" s="93" t="s">
        <v>7072</v>
      </c>
      <c r="W279" s="93" t="s">
        <v>24</v>
      </c>
    </row>
    <row r="280" spans="1:23" x14ac:dyDescent="0.15">
      <c r="A280" s="93" t="s">
        <v>6779</v>
      </c>
      <c r="B280" s="93" t="s">
        <v>7243</v>
      </c>
      <c r="C280" s="93">
        <v>199</v>
      </c>
      <c r="D280" s="93" t="s">
        <v>24</v>
      </c>
      <c r="E280" s="93" t="s">
        <v>24</v>
      </c>
      <c r="F280" s="93" t="s">
        <v>399</v>
      </c>
      <c r="G280" s="93" t="s">
        <v>7185</v>
      </c>
      <c r="H280" s="93" t="s">
        <v>400</v>
      </c>
      <c r="I280" s="93" t="s">
        <v>111</v>
      </c>
      <c r="J280" s="93" t="s">
        <v>7105</v>
      </c>
      <c r="K280" s="93" t="s">
        <v>111</v>
      </c>
      <c r="L280" s="93" t="s">
        <v>111</v>
      </c>
      <c r="M280" s="93" t="s">
        <v>111</v>
      </c>
      <c r="N280" s="93" t="s">
        <v>111</v>
      </c>
      <c r="O280" s="93" t="s">
        <v>111</v>
      </c>
      <c r="P280" s="93" t="s">
        <v>111</v>
      </c>
      <c r="Q280" s="93" t="s">
        <v>228</v>
      </c>
      <c r="R280" s="93" t="s">
        <v>111</v>
      </c>
      <c r="S280" s="93" t="s">
        <v>115</v>
      </c>
      <c r="T280" s="93" t="s">
        <v>116</v>
      </c>
      <c r="U280" s="94">
        <v>44610.080555555556</v>
      </c>
      <c r="V280" s="93" t="s">
        <v>7072</v>
      </c>
      <c r="W280" s="93" t="s">
        <v>24</v>
      </c>
    </row>
    <row r="281" spans="1:23" x14ac:dyDescent="0.15">
      <c r="A281" s="93" t="s">
        <v>6781</v>
      </c>
      <c r="B281" s="93" t="s">
        <v>7244</v>
      </c>
      <c r="C281" s="93">
        <v>312</v>
      </c>
      <c r="D281" s="93" t="s">
        <v>24</v>
      </c>
      <c r="E281" s="93" t="s">
        <v>24</v>
      </c>
      <c r="F281" s="93" t="s">
        <v>399</v>
      </c>
      <c r="G281" s="93" t="s">
        <v>7185</v>
      </c>
      <c r="H281" s="93" t="s">
        <v>400</v>
      </c>
      <c r="I281" s="93" t="s">
        <v>111</v>
      </c>
      <c r="J281" s="93" t="s">
        <v>7105</v>
      </c>
      <c r="K281" s="93" t="s">
        <v>111</v>
      </c>
      <c r="L281" s="93" t="s">
        <v>111</v>
      </c>
      <c r="M281" s="93" t="s">
        <v>111</v>
      </c>
      <c r="N281" s="93" t="s">
        <v>111</v>
      </c>
      <c r="O281" s="93" t="s">
        <v>111</v>
      </c>
      <c r="P281" s="93" t="s">
        <v>111</v>
      </c>
      <c r="Q281" s="93" t="s">
        <v>228</v>
      </c>
      <c r="R281" s="93" t="s">
        <v>111</v>
      </c>
      <c r="S281" s="93" t="s">
        <v>115</v>
      </c>
      <c r="T281" s="93" t="s">
        <v>116</v>
      </c>
      <c r="U281" s="94">
        <v>44610.112500000003</v>
      </c>
      <c r="V281" s="93" t="s">
        <v>7072</v>
      </c>
      <c r="W281" s="93" t="s">
        <v>24</v>
      </c>
    </row>
    <row r="282" spans="1:23" x14ac:dyDescent="0.15">
      <c r="A282" s="93" t="s">
        <v>6783</v>
      </c>
      <c r="B282" s="93" t="s">
        <v>6784</v>
      </c>
      <c r="C282" s="93">
        <v>70</v>
      </c>
      <c r="D282" s="93" t="s">
        <v>24</v>
      </c>
      <c r="E282" s="93" t="s">
        <v>24</v>
      </c>
      <c r="F282" s="93" t="s">
        <v>399</v>
      </c>
      <c r="G282" s="93" t="s">
        <v>7185</v>
      </c>
      <c r="H282" s="93" t="s">
        <v>400</v>
      </c>
      <c r="I282" s="93" t="s">
        <v>111</v>
      </c>
      <c r="J282" s="93" t="s">
        <v>7105</v>
      </c>
      <c r="K282" s="93" t="s">
        <v>111</v>
      </c>
      <c r="L282" s="93" t="s">
        <v>111</v>
      </c>
      <c r="M282" s="93" t="s">
        <v>111</v>
      </c>
      <c r="N282" s="93" t="s">
        <v>111</v>
      </c>
      <c r="O282" s="93" t="s">
        <v>111</v>
      </c>
      <c r="P282" s="93" t="s">
        <v>111</v>
      </c>
      <c r="Q282" s="93" t="s">
        <v>228</v>
      </c>
      <c r="R282" s="93" t="s">
        <v>111</v>
      </c>
      <c r="S282" s="93" t="s">
        <v>115</v>
      </c>
      <c r="T282" s="93" t="s">
        <v>116</v>
      </c>
      <c r="U282" s="94">
        <v>44610.057638888888</v>
      </c>
      <c r="V282" s="93" t="s">
        <v>7072</v>
      </c>
      <c r="W282" s="93" t="s">
        <v>24</v>
      </c>
    </row>
    <row r="283" spans="1:23" x14ac:dyDescent="0.15">
      <c r="A283" s="93" t="s">
        <v>6785</v>
      </c>
      <c r="B283" s="93" t="s">
        <v>7245</v>
      </c>
      <c r="C283" s="93">
        <v>179</v>
      </c>
      <c r="D283" s="93" t="s">
        <v>24</v>
      </c>
      <c r="E283" s="93" t="s">
        <v>24</v>
      </c>
      <c r="F283" s="93" t="s">
        <v>399</v>
      </c>
      <c r="G283" s="93" t="s">
        <v>7185</v>
      </c>
      <c r="H283" s="93" t="s">
        <v>400</v>
      </c>
      <c r="I283" s="93" t="s">
        <v>111</v>
      </c>
      <c r="J283" s="93" t="s">
        <v>7105</v>
      </c>
      <c r="K283" s="93" t="s">
        <v>111</v>
      </c>
      <c r="L283" s="93" t="s">
        <v>111</v>
      </c>
      <c r="M283" s="93" t="s">
        <v>111</v>
      </c>
      <c r="N283" s="93" t="s">
        <v>111</v>
      </c>
      <c r="O283" s="93" t="s">
        <v>111</v>
      </c>
      <c r="P283" s="93" t="s">
        <v>111</v>
      </c>
      <c r="Q283" s="93" t="s">
        <v>228</v>
      </c>
      <c r="R283" s="93" t="s">
        <v>111</v>
      </c>
      <c r="S283" s="93" t="s">
        <v>115</v>
      </c>
      <c r="T283" s="93" t="s">
        <v>116</v>
      </c>
      <c r="U283" s="94">
        <v>44610.097916666666</v>
      </c>
      <c r="V283" s="93" t="s">
        <v>7072</v>
      </c>
      <c r="W283" s="93" t="s">
        <v>24</v>
      </c>
    </row>
    <row r="284" spans="1:23" x14ac:dyDescent="0.15">
      <c r="A284" s="93" t="s">
        <v>6787</v>
      </c>
      <c r="B284" s="93" t="s">
        <v>7246</v>
      </c>
      <c r="C284" s="93">
        <v>280</v>
      </c>
      <c r="D284" s="93" t="s">
        <v>24</v>
      </c>
      <c r="E284" s="93" t="s">
        <v>24</v>
      </c>
      <c r="F284" s="93" t="s">
        <v>399</v>
      </c>
      <c r="G284" s="93" t="s">
        <v>7185</v>
      </c>
      <c r="H284" s="93" t="s">
        <v>400</v>
      </c>
      <c r="I284" s="93" t="s">
        <v>111</v>
      </c>
      <c r="J284" s="93" t="s">
        <v>7105</v>
      </c>
      <c r="K284" s="93" t="s">
        <v>111</v>
      </c>
      <c r="L284" s="93" t="s">
        <v>111</v>
      </c>
      <c r="M284" s="93" t="s">
        <v>111</v>
      </c>
      <c r="N284" s="93" t="s">
        <v>111</v>
      </c>
      <c r="O284" s="93" t="s">
        <v>111</v>
      </c>
      <c r="P284" s="93" t="s">
        <v>111</v>
      </c>
      <c r="Q284" s="93" t="s">
        <v>228</v>
      </c>
      <c r="R284" s="93" t="s">
        <v>111</v>
      </c>
      <c r="S284" s="93" t="s">
        <v>115</v>
      </c>
      <c r="T284" s="93" t="s">
        <v>116</v>
      </c>
      <c r="U284" s="94">
        <v>44610.080555555556</v>
      </c>
      <c r="V284" s="93" t="s">
        <v>7072</v>
      </c>
      <c r="W284" s="93" t="s">
        <v>24</v>
      </c>
    </row>
    <row r="285" spans="1:23" x14ac:dyDescent="0.15">
      <c r="A285" s="93" t="s">
        <v>6789</v>
      </c>
      <c r="B285" s="93" t="s">
        <v>6790</v>
      </c>
      <c r="C285" s="93">
        <v>65</v>
      </c>
      <c r="D285" s="93" t="s">
        <v>24</v>
      </c>
      <c r="E285" s="93" t="s">
        <v>24</v>
      </c>
      <c r="F285" s="93" t="s">
        <v>399</v>
      </c>
      <c r="G285" s="93" t="s">
        <v>7185</v>
      </c>
      <c r="H285" s="93" t="s">
        <v>400</v>
      </c>
      <c r="I285" s="93" t="s">
        <v>111</v>
      </c>
      <c r="J285" s="93" t="s">
        <v>7105</v>
      </c>
      <c r="K285" s="93" t="s">
        <v>111</v>
      </c>
      <c r="L285" s="93" t="s">
        <v>111</v>
      </c>
      <c r="M285" s="93" t="s">
        <v>111</v>
      </c>
      <c r="N285" s="93" t="s">
        <v>111</v>
      </c>
      <c r="O285" s="93" t="s">
        <v>111</v>
      </c>
      <c r="P285" s="93" t="s">
        <v>111</v>
      </c>
      <c r="Q285" s="93" t="s">
        <v>228</v>
      </c>
      <c r="R285" s="93" t="s">
        <v>111</v>
      </c>
      <c r="S285" s="93" t="s">
        <v>115</v>
      </c>
      <c r="T285" s="93" t="s">
        <v>116</v>
      </c>
      <c r="U285" s="94">
        <v>44610.11041666667</v>
      </c>
      <c r="V285" s="93" t="s">
        <v>7072</v>
      </c>
      <c r="W285" s="93" t="s">
        <v>24</v>
      </c>
    </row>
    <row r="286" spans="1:23" x14ac:dyDescent="0.15">
      <c r="A286" s="93" t="s">
        <v>6791</v>
      </c>
      <c r="B286" s="93" t="s">
        <v>7247</v>
      </c>
      <c r="C286" s="93">
        <v>166</v>
      </c>
      <c r="D286" s="93" t="s">
        <v>24</v>
      </c>
      <c r="E286" s="93" t="s">
        <v>24</v>
      </c>
      <c r="F286" s="93" t="s">
        <v>399</v>
      </c>
      <c r="G286" s="93" t="s">
        <v>7185</v>
      </c>
      <c r="H286" s="93" t="s">
        <v>400</v>
      </c>
      <c r="I286" s="93" t="s">
        <v>111</v>
      </c>
      <c r="J286" s="93" t="s">
        <v>7105</v>
      </c>
      <c r="K286" s="93" t="s">
        <v>111</v>
      </c>
      <c r="L286" s="93" t="s">
        <v>111</v>
      </c>
      <c r="M286" s="93" t="s">
        <v>111</v>
      </c>
      <c r="N286" s="93" t="s">
        <v>111</v>
      </c>
      <c r="O286" s="93" t="s">
        <v>111</v>
      </c>
      <c r="P286" s="93" t="s">
        <v>111</v>
      </c>
      <c r="Q286" s="93" t="s">
        <v>228</v>
      </c>
      <c r="R286" s="93" t="s">
        <v>111</v>
      </c>
      <c r="S286" s="93" t="s">
        <v>115</v>
      </c>
      <c r="T286" s="93" t="s">
        <v>116</v>
      </c>
      <c r="U286" s="94">
        <v>44610.0625</v>
      </c>
      <c r="V286" s="93" t="s">
        <v>7072</v>
      </c>
      <c r="W286" s="93" t="s">
        <v>24</v>
      </c>
    </row>
    <row r="287" spans="1:23" x14ac:dyDescent="0.15">
      <c r="A287" s="93" t="s">
        <v>6793</v>
      </c>
      <c r="B287" s="93" t="s">
        <v>7248</v>
      </c>
      <c r="C287" s="93">
        <v>260</v>
      </c>
      <c r="D287" s="93" t="s">
        <v>24</v>
      </c>
      <c r="E287" s="93" t="s">
        <v>24</v>
      </c>
      <c r="F287" s="93" t="s">
        <v>399</v>
      </c>
      <c r="G287" s="93" t="s">
        <v>7185</v>
      </c>
      <c r="H287" s="93" t="s">
        <v>400</v>
      </c>
      <c r="I287" s="93" t="s">
        <v>111</v>
      </c>
      <c r="J287" s="93" t="s">
        <v>118</v>
      </c>
      <c r="K287" s="93">
        <v>3</v>
      </c>
      <c r="L287" s="93" t="s">
        <v>111</v>
      </c>
      <c r="M287" s="93" t="s">
        <v>111</v>
      </c>
      <c r="N287" s="93" t="s">
        <v>111</v>
      </c>
      <c r="O287" s="93" t="s">
        <v>111</v>
      </c>
      <c r="P287" s="93" t="s">
        <v>111</v>
      </c>
      <c r="Q287" s="93" t="s">
        <v>228</v>
      </c>
      <c r="R287" s="93" t="s">
        <v>111</v>
      </c>
      <c r="S287" s="93" t="s">
        <v>115</v>
      </c>
      <c r="T287" s="93" t="s">
        <v>116</v>
      </c>
      <c r="U287" s="94">
        <v>44641.552777777775</v>
      </c>
      <c r="V287" s="93" t="s">
        <v>7072</v>
      </c>
      <c r="W287" s="93" t="s">
        <v>24</v>
      </c>
    </row>
    <row r="288" spans="1:23" x14ac:dyDescent="0.15">
      <c r="A288" s="93" t="s">
        <v>6795</v>
      </c>
      <c r="B288" s="93" t="s">
        <v>6796</v>
      </c>
      <c r="C288" s="93">
        <v>96</v>
      </c>
      <c r="D288" s="93" t="s">
        <v>24</v>
      </c>
      <c r="E288" s="93" t="s">
        <v>24</v>
      </c>
      <c r="F288" s="93" t="s">
        <v>399</v>
      </c>
      <c r="G288" s="93" t="s">
        <v>7185</v>
      </c>
      <c r="H288" s="93" t="s">
        <v>400</v>
      </c>
      <c r="I288" s="93" t="s">
        <v>111</v>
      </c>
      <c r="J288" s="93" t="s">
        <v>7105</v>
      </c>
      <c r="K288" s="93" t="s">
        <v>111</v>
      </c>
      <c r="L288" s="93" t="s">
        <v>111</v>
      </c>
      <c r="M288" s="93" t="s">
        <v>111</v>
      </c>
      <c r="N288" s="93" t="s">
        <v>111</v>
      </c>
      <c r="O288" s="93" t="s">
        <v>111</v>
      </c>
      <c r="P288" s="93" t="s">
        <v>111</v>
      </c>
      <c r="Q288" s="93" t="s">
        <v>228</v>
      </c>
      <c r="R288" s="93" t="s">
        <v>111</v>
      </c>
      <c r="S288" s="93" t="s">
        <v>115</v>
      </c>
      <c r="T288" s="93" t="s">
        <v>116</v>
      </c>
      <c r="U288" s="94">
        <v>44610.097916666666</v>
      </c>
      <c r="V288" s="93" t="s">
        <v>7072</v>
      </c>
      <c r="W288" s="93" t="s">
        <v>24</v>
      </c>
    </row>
    <row r="289" spans="1:23" x14ac:dyDescent="0.15">
      <c r="A289" s="93" t="s">
        <v>6797</v>
      </c>
      <c r="B289" s="93" t="s">
        <v>7249</v>
      </c>
      <c r="C289" s="93">
        <v>245</v>
      </c>
      <c r="D289" s="93" t="s">
        <v>24</v>
      </c>
      <c r="E289" s="93" t="s">
        <v>24</v>
      </c>
      <c r="F289" s="93" t="s">
        <v>399</v>
      </c>
      <c r="G289" s="93" t="s">
        <v>7185</v>
      </c>
      <c r="H289" s="93" t="s">
        <v>400</v>
      </c>
      <c r="I289" s="93" t="s">
        <v>111</v>
      </c>
      <c r="J289" s="93" t="s">
        <v>7105</v>
      </c>
      <c r="K289" s="93" t="s">
        <v>111</v>
      </c>
      <c r="L289" s="93" t="s">
        <v>111</v>
      </c>
      <c r="M289" s="93" t="s">
        <v>111</v>
      </c>
      <c r="N289" s="93" t="s">
        <v>111</v>
      </c>
      <c r="O289" s="93" t="s">
        <v>111</v>
      </c>
      <c r="P289" s="93" t="s">
        <v>111</v>
      </c>
      <c r="Q289" s="93" t="s">
        <v>228</v>
      </c>
      <c r="R289" s="93" t="s">
        <v>111</v>
      </c>
      <c r="S289" s="93" t="s">
        <v>115</v>
      </c>
      <c r="T289" s="93" t="s">
        <v>116</v>
      </c>
      <c r="U289" s="94">
        <v>44610.116666666669</v>
      </c>
      <c r="V289" s="93" t="s">
        <v>7072</v>
      </c>
      <c r="W289" s="93" t="s">
        <v>24</v>
      </c>
    </row>
    <row r="290" spans="1:23" x14ac:dyDescent="0.15">
      <c r="A290" s="93" t="s">
        <v>6799</v>
      </c>
      <c r="B290" s="93" t="s">
        <v>7250</v>
      </c>
      <c r="C290" s="93">
        <v>384</v>
      </c>
      <c r="D290" s="93" t="s">
        <v>24</v>
      </c>
      <c r="E290" s="93" t="s">
        <v>24</v>
      </c>
      <c r="F290" s="93" t="s">
        <v>399</v>
      </c>
      <c r="G290" s="93" t="s">
        <v>7185</v>
      </c>
      <c r="H290" s="93" t="s">
        <v>400</v>
      </c>
      <c r="I290" s="93" t="s">
        <v>111</v>
      </c>
      <c r="J290" s="93" t="s">
        <v>7105</v>
      </c>
      <c r="K290" s="93" t="s">
        <v>111</v>
      </c>
      <c r="L290" s="93" t="s">
        <v>111</v>
      </c>
      <c r="M290" s="93" t="s">
        <v>111</v>
      </c>
      <c r="N290" s="93" t="s">
        <v>111</v>
      </c>
      <c r="O290" s="93" t="s">
        <v>111</v>
      </c>
      <c r="P290" s="93" t="s">
        <v>111</v>
      </c>
      <c r="Q290" s="93" t="s">
        <v>228</v>
      </c>
      <c r="R290" s="93" t="s">
        <v>111</v>
      </c>
      <c r="S290" s="93" t="s">
        <v>115</v>
      </c>
      <c r="T290" s="93" t="s">
        <v>116</v>
      </c>
      <c r="U290" s="94">
        <v>44610.090277777781</v>
      </c>
      <c r="V290" s="93" t="s">
        <v>7072</v>
      </c>
      <c r="W290" s="93" t="s">
        <v>24</v>
      </c>
    </row>
    <row r="291" spans="1:23" x14ac:dyDescent="0.15">
      <c r="A291" s="93" t="s">
        <v>6801</v>
      </c>
      <c r="B291" s="93" t="s">
        <v>6802</v>
      </c>
      <c r="C291" s="93">
        <v>100</v>
      </c>
      <c r="D291" s="93" t="s">
        <v>24</v>
      </c>
      <c r="E291" s="93" t="s">
        <v>24</v>
      </c>
      <c r="F291" s="93" t="s">
        <v>399</v>
      </c>
      <c r="G291" s="93" t="s">
        <v>7185</v>
      </c>
      <c r="H291" s="93" t="s">
        <v>400</v>
      </c>
      <c r="I291" s="93" t="s">
        <v>111</v>
      </c>
      <c r="J291" s="93" t="s">
        <v>7105</v>
      </c>
      <c r="K291" s="93" t="s">
        <v>111</v>
      </c>
      <c r="L291" s="93" t="s">
        <v>111</v>
      </c>
      <c r="M291" s="93" t="s">
        <v>111</v>
      </c>
      <c r="N291" s="93" t="s">
        <v>111</v>
      </c>
      <c r="O291" s="93" t="s">
        <v>111</v>
      </c>
      <c r="P291" s="93" t="s">
        <v>111</v>
      </c>
      <c r="Q291" s="93" t="s">
        <v>228</v>
      </c>
      <c r="R291" s="93" t="s">
        <v>111</v>
      </c>
      <c r="S291" s="93" t="s">
        <v>115</v>
      </c>
      <c r="T291" s="93" t="s">
        <v>116</v>
      </c>
      <c r="U291" s="94">
        <v>44610.11041666667</v>
      </c>
      <c r="V291" s="93" t="s">
        <v>7072</v>
      </c>
      <c r="W291" s="93" t="s">
        <v>24</v>
      </c>
    </row>
    <row r="292" spans="1:23" x14ac:dyDescent="0.15">
      <c r="A292" s="93" t="s">
        <v>6803</v>
      </c>
      <c r="B292" s="93" t="s">
        <v>7251</v>
      </c>
      <c r="C292" s="93">
        <v>255</v>
      </c>
      <c r="D292" s="93" t="s">
        <v>24</v>
      </c>
      <c r="E292" s="93" t="s">
        <v>24</v>
      </c>
      <c r="F292" s="93" t="s">
        <v>399</v>
      </c>
      <c r="G292" s="93" t="s">
        <v>7185</v>
      </c>
      <c r="H292" s="93" t="s">
        <v>400</v>
      </c>
      <c r="I292" s="93" t="s">
        <v>111</v>
      </c>
      <c r="J292" s="93" t="s">
        <v>7105</v>
      </c>
      <c r="K292" s="93" t="s">
        <v>111</v>
      </c>
      <c r="L292" s="93" t="s">
        <v>111</v>
      </c>
      <c r="M292" s="93" t="s">
        <v>111</v>
      </c>
      <c r="N292" s="93" t="s">
        <v>111</v>
      </c>
      <c r="O292" s="93" t="s">
        <v>111</v>
      </c>
      <c r="P292" s="93" t="s">
        <v>111</v>
      </c>
      <c r="Q292" s="93" t="s">
        <v>228</v>
      </c>
      <c r="R292" s="93" t="s">
        <v>111</v>
      </c>
      <c r="S292" s="93" t="s">
        <v>115</v>
      </c>
      <c r="T292" s="93" t="s">
        <v>116</v>
      </c>
      <c r="U292" s="94">
        <v>44610.071527777778</v>
      </c>
      <c r="V292" s="93" t="s">
        <v>7072</v>
      </c>
      <c r="W292" s="93" t="s">
        <v>24</v>
      </c>
    </row>
    <row r="293" spans="1:23" x14ac:dyDescent="0.15">
      <c r="A293" s="93" t="s">
        <v>6805</v>
      </c>
      <c r="B293" s="93" t="s">
        <v>7252</v>
      </c>
      <c r="C293" s="93">
        <v>400</v>
      </c>
      <c r="D293" s="93" t="s">
        <v>24</v>
      </c>
      <c r="E293" s="93" t="s">
        <v>24</v>
      </c>
      <c r="F293" s="93" t="s">
        <v>399</v>
      </c>
      <c r="G293" s="93" t="s">
        <v>7185</v>
      </c>
      <c r="H293" s="93" t="s">
        <v>400</v>
      </c>
      <c r="I293" s="93" t="s">
        <v>111</v>
      </c>
      <c r="J293" s="93" t="s">
        <v>7105</v>
      </c>
      <c r="K293" s="93" t="s">
        <v>111</v>
      </c>
      <c r="L293" s="93" t="s">
        <v>111</v>
      </c>
      <c r="M293" s="93" t="s">
        <v>111</v>
      </c>
      <c r="N293" s="93" t="s">
        <v>111</v>
      </c>
      <c r="O293" s="93" t="s">
        <v>111</v>
      </c>
      <c r="P293" s="93" t="s">
        <v>111</v>
      </c>
      <c r="Q293" s="93" t="s">
        <v>228</v>
      </c>
      <c r="R293" s="93" t="s">
        <v>111</v>
      </c>
      <c r="S293" s="93" t="s">
        <v>115</v>
      </c>
      <c r="T293" s="93" t="s">
        <v>116</v>
      </c>
      <c r="U293" s="94">
        <v>44610.070833333331</v>
      </c>
      <c r="V293" s="93" t="s">
        <v>7072</v>
      </c>
      <c r="W293" s="93" t="s">
        <v>24</v>
      </c>
    </row>
    <row r="294" spans="1:23" x14ac:dyDescent="0.15">
      <c r="A294" s="93" t="s">
        <v>6999</v>
      </c>
      <c r="B294" s="93" t="s">
        <v>7000</v>
      </c>
      <c r="C294" s="93">
        <v>11</v>
      </c>
      <c r="D294" s="93" t="s">
        <v>24</v>
      </c>
      <c r="E294" s="93" t="s">
        <v>24</v>
      </c>
      <c r="F294" s="93" t="s">
        <v>7</v>
      </c>
      <c r="G294" s="93" t="s">
        <v>7185</v>
      </c>
      <c r="H294" s="93" t="s">
        <v>400</v>
      </c>
      <c r="I294" s="93" t="s">
        <v>111</v>
      </c>
      <c r="J294" s="93" t="s">
        <v>7105</v>
      </c>
      <c r="K294" s="93" t="s">
        <v>111</v>
      </c>
      <c r="L294" s="93" t="s">
        <v>111</v>
      </c>
      <c r="M294" s="93" t="s">
        <v>111</v>
      </c>
      <c r="N294" s="93" t="s">
        <v>111</v>
      </c>
      <c r="O294" s="93" t="s">
        <v>111</v>
      </c>
      <c r="P294" s="93" t="s">
        <v>111</v>
      </c>
      <c r="Q294" s="93" t="s">
        <v>228</v>
      </c>
      <c r="R294" s="93" t="s">
        <v>111</v>
      </c>
      <c r="S294" s="93" t="s">
        <v>115</v>
      </c>
      <c r="T294" s="93" t="s">
        <v>116</v>
      </c>
      <c r="U294" s="94">
        <v>44610.081944444442</v>
      </c>
      <c r="V294" s="93" t="s">
        <v>7072</v>
      </c>
      <c r="W294" s="93" t="s">
        <v>24</v>
      </c>
    </row>
    <row r="295" spans="1:23" x14ac:dyDescent="0.15">
      <c r="A295" s="93" t="s">
        <v>7001</v>
      </c>
      <c r="B295" s="93" t="s">
        <v>7253</v>
      </c>
      <c r="C295" s="93">
        <v>29</v>
      </c>
      <c r="D295" s="93" t="s">
        <v>24</v>
      </c>
      <c r="E295" s="93" t="s">
        <v>24</v>
      </c>
      <c r="F295" s="93" t="s">
        <v>7</v>
      </c>
      <c r="G295" s="93" t="s">
        <v>7185</v>
      </c>
      <c r="H295" s="93" t="s">
        <v>400</v>
      </c>
      <c r="I295" s="93" t="s">
        <v>111</v>
      </c>
      <c r="J295" s="93" t="s">
        <v>7105</v>
      </c>
      <c r="K295" s="93" t="s">
        <v>111</v>
      </c>
      <c r="L295" s="93" t="s">
        <v>111</v>
      </c>
      <c r="M295" s="93" t="s">
        <v>111</v>
      </c>
      <c r="N295" s="93" t="s">
        <v>111</v>
      </c>
      <c r="O295" s="93" t="s">
        <v>111</v>
      </c>
      <c r="P295" s="93" t="s">
        <v>111</v>
      </c>
      <c r="Q295" s="93" t="s">
        <v>228</v>
      </c>
      <c r="R295" s="93" t="s">
        <v>111</v>
      </c>
      <c r="S295" s="93" t="s">
        <v>115</v>
      </c>
      <c r="T295" s="93" t="s">
        <v>116</v>
      </c>
      <c r="U295" s="94">
        <v>44610.064583333333</v>
      </c>
      <c r="V295" s="93" t="s">
        <v>7072</v>
      </c>
      <c r="W295" s="93" t="s">
        <v>24</v>
      </c>
    </row>
    <row r="296" spans="1:23" x14ac:dyDescent="0.15">
      <c r="A296" s="93" t="s">
        <v>7003</v>
      </c>
      <c r="B296" s="93" t="s">
        <v>7254</v>
      </c>
      <c r="C296" s="93">
        <v>44</v>
      </c>
      <c r="D296" s="93" t="s">
        <v>24</v>
      </c>
      <c r="E296" s="93" t="s">
        <v>24</v>
      </c>
      <c r="F296" s="93" t="s">
        <v>7</v>
      </c>
      <c r="G296" s="93" t="s">
        <v>7185</v>
      </c>
      <c r="H296" s="93" t="s">
        <v>400</v>
      </c>
      <c r="I296" s="93" t="s">
        <v>111</v>
      </c>
      <c r="J296" s="93" t="s">
        <v>7105</v>
      </c>
      <c r="K296" s="93" t="s">
        <v>111</v>
      </c>
      <c r="L296" s="93" t="s">
        <v>111</v>
      </c>
      <c r="M296" s="93" t="s">
        <v>111</v>
      </c>
      <c r="N296" s="93" t="s">
        <v>111</v>
      </c>
      <c r="O296" s="93" t="s">
        <v>111</v>
      </c>
      <c r="P296" s="93" t="s">
        <v>111</v>
      </c>
      <c r="Q296" s="93" t="s">
        <v>228</v>
      </c>
      <c r="R296" s="93" t="s">
        <v>111</v>
      </c>
      <c r="S296" s="93" t="s">
        <v>115</v>
      </c>
      <c r="T296" s="93" t="s">
        <v>116</v>
      </c>
      <c r="U296" s="94">
        <v>44610.120833333334</v>
      </c>
      <c r="V296" s="93" t="s">
        <v>7072</v>
      </c>
      <c r="W296" s="93" t="s">
        <v>24</v>
      </c>
    </row>
    <row r="297" spans="1:23" x14ac:dyDescent="0.15">
      <c r="A297" s="93" t="s">
        <v>6993</v>
      </c>
      <c r="B297" s="93" t="s">
        <v>6994</v>
      </c>
      <c r="C297" s="93">
        <v>26</v>
      </c>
      <c r="D297" s="93" t="s">
        <v>24</v>
      </c>
      <c r="E297" s="93" t="s">
        <v>24</v>
      </c>
      <c r="F297" s="93" t="s">
        <v>7</v>
      </c>
      <c r="G297" s="93" t="s">
        <v>7185</v>
      </c>
      <c r="H297" s="93" t="s">
        <v>400</v>
      </c>
      <c r="I297" s="93" t="s">
        <v>111</v>
      </c>
      <c r="J297" s="93" t="s">
        <v>7105</v>
      </c>
      <c r="K297" s="93" t="s">
        <v>111</v>
      </c>
      <c r="L297" s="93" t="s">
        <v>111</v>
      </c>
      <c r="M297" s="93" t="s">
        <v>111</v>
      </c>
      <c r="N297" s="93" t="s">
        <v>111</v>
      </c>
      <c r="O297" s="93" t="s">
        <v>111</v>
      </c>
      <c r="P297" s="93" t="s">
        <v>111</v>
      </c>
      <c r="Q297" s="93" t="s">
        <v>228</v>
      </c>
      <c r="R297" s="93" t="s">
        <v>111</v>
      </c>
      <c r="S297" s="93" t="s">
        <v>115</v>
      </c>
      <c r="T297" s="93" t="s">
        <v>116</v>
      </c>
      <c r="U297" s="94">
        <v>44610.081944444442</v>
      </c>
      <c r="V297" s="93" t="s">
        <v>7072</v>
      </c>
      <c r="W297" s="93" t="s">
        <v>24</v>
      </c>
    </row>
    <row r="298" spans="1:23" x14ac:dyDescent="0.15">
      <c r="A298" s="93" t="s">
        <v>6995</v>
      </c>
      <c r="B298" s="93" t="s">
        <v>7255</v>
      </c>
      <c r="C298" s="93">
        <v>67</v>
      </c>
      <c r="D298" s="93" t="s">
        <v>24</v>
      </c>
      <c r="E298" s="93" t="s">
        <v>24</v>
      </c>
      <c r="F298" s="93" t="s">
        <v>7</v>
      </c>
      <c r="G298" s="93" t="s">
        <v>7185</v>
      </c>
      <c r="H298" s="93" t="s">
        <v>400</v>
      </c>
      <c r="I298" s="93" t="s">
        <v>111</v>
      </c>
      <c r="J298" s="93" t="s">
        <v>7105</v>
      </c>
      <c r="K298" s="93" t="s">
        <v>111</v>
      </c>
      <c r="L298" s="93" t="s">
        <v>111</v>
      </c>
      <c r="M298" s="93" t="s">
        <v>111</v>
      </c>
      <c r="N298" s="93" t="s">
        <v>111</v>
      </c>
      <c r="O298" s="93" t="s">
        <v>111</v>
      </c>
      <c r="P298" s="93" t="s">
        <v>111</v>
      </c>
      <c r="Q298" s="93" t="s">
        <v>228</v>
      </c>
      <c r="R298" s="93" t="s">
        <v>111</v>
      </c>
      <c r="S298" s="93" t="s">
        <v>115</v>
      </c>
      <c r="T298" s="93" t="s">
        <v>116</v>
      </c>
      <c r="U298" s="94">
        <v>44610.058333333334</v>
      </c>
      <c r="V298" s="93" t="s">
        <v>7072</v>
      </c>
      <c r="W298" s="93" t="s">
        <v>24</v>
      </c>
    </row>
    <row r="299" spans="1:23" x14ac:dyDescent="0.15">
      <c r="A299" s="93" t="s">
        <v>6997</v>
      </c>
      <c r="B299" s="93" t="s">
        <v>7256</v>
      </c>
      <c r="C299" s="93">
        <v>104</v>
      </c>
      <c r="D299" s="93" t="s">
        <v>24</v>
      </c>
      <c r="E299" s="93" t="s">
        <v>24</v>
      </c>
      <c r="F299" s="93" t="s">
        <v>7</v>
      </c>
      <c r="G299" s="93" t="s">
        <v>7185</v>
      </c>
      <c r="H299" s="93" t="s">
        <v>400</v>
      </c>
      <c r="I299" s="93" t="s">
        <v>111</v>
      </c>
      <c r="J299" s="93" t="s">
        <v>7105</v>
      </c>
      <c r="K299" s="93" t="s">
        <v>111</v>
      </c>
      <c r="L299" s="93" t="s">
        <v>111</v>
      </c>
      <c r="M299" s="93" t="s">
        <v>111</v>
      </c>
      <c r="N299" s="93" t="s">
        <v>111</v>
      </c>
      <c r="O299" s="93" t="s">
        <v>111</v>
      </c>
      <c r="P299" s="93" t="s">
        <v>111</v>
      </c>
      <c r="Q299" s="93" t="s">
        <v>228</v>
      </c>
      <c r="R299" s="93" t="s">
        <v>111</v>
      </c>
      <c r="S299" s="93" t="s">
        <v>115</v>
      </c>
      <c r="T299" s="93" t="s">
        <v>116</v>
      </c>
      <c r="U299" s="94">
        <v>44610.064583333333</v>
      </c>
      <c r="V299" s="93" t="s">
        <v>7072</v>
      </c>
      <c r="W299" s="93" t="s">
        <v>24</v>
      </c>
    </row>
    <row r="300" spans="1:23" x14ac:dyDescent="0.15">
      <c r="A300" s="93" t="s">
        <v>6987</v>
      </c>
      <c r="B300" s="93" t="s">
        <v>6988</v>
      </c>
      <c r="C300" s="93">
        <v>52</v>
      </c>
      <c r="D300" s="93" t="s">
        <v>24</v>
      </c>
      <c r="E300" s="93" t="s">
        <v>24</v>
      </c>
      <c r="F300" s="93" t="s">
        <v>7</v>
      </c>
      <c r="G300" s="93" t="s">
        <v>7185</v>
      </c>
      <c r="H300" s="93" t="s">
        <v>400</v>
      </c>
      <c r="I300" s="93" t="s">
        <v>111</v>
      </c>
      <c r="J300" s="93" t="s">
        <v>7105</v>
      </c>
      <c r="K300" s="93" t="s">
        <v>111</v>
      </c>
      <c r="L300" s="93" t="s">
        <v>111</v>
      </c>
      <c r="M300" s="93" t="s">
        <v>111</v>
      </c>
      <c r="N300" s="93" t="s">
        <v>111</v>
      </c>
      <c r="O300" s="93" t="s">
        <v>111</v>
      </c>
      <c r="P300" s="93" t="s">
        <v>111</v>
      </c>
      <c r="Q300" s="93" t="s">
        <v>228</v>
      </c>
      <c r="R300" s="93" t="s">
        <v>111</v>
      </c>
      <c r="S300" s="93" t="s">
        <v>115</v>
      </c>
      <c r="T300" s="93" t="s">
        <v>116</v>
      </c>
      <c r="U300" s="94">
        <v>44610.120833333334</v>
      </c>
      <c r="V300" s="93" t="s">
        <v>7072</v>
      </c>
      <c r="W300" s="93" t="s">
        <v>24</v>
      </c>
    </row>
    <row r="301" spans="1:23" x14ac:dyDescent="0.15">
      <c r="A301" s="93" t="s">
        <v>6989</v>
      </c>
      <c r="B301" s="93" t="s">
        <v>7257</v>
      </c>
      <c r="C301" s="93">
        <v>133</v>
      </c>
      <c r="D301" s="93" t="s">
        <v>24</v>
      </c>
      <c r="E301" s="93" t="s">
        <v>24</v>
      </c>
      <c r="F301" s="93" t="s">
        <v>7</v>
      </c>
      <c r="G301" s="93" t="s">
        <v>7185</v>
      </c>
      <c r="H301" s="93" t="s">
        <v>400</v>
      </c>
      <c r="I301" s="93" t="s">
        <v>111</v>
      </c>
      <c r="J301" s="93" t="s">
        <v>7105</v>
      </c>
      <c r="K301" s="93" t="s">
        <v>111</v>
      </c>
      <c r="L301" s="93" t="s">
        <v>111</v>
      </c>
      <c r="M301" s="93" t="s">
        <v>111</v>
      </c>
      <c r="N301" s="93" t="s">
        <v>111</v>
      </c>
      <c r="O301" s="93" t="s">
        <v>111</v>
      </c>
      <c r="P301" s="93" t="s">
        <v>111</v>
      </c>
      <c r="Q301" s="93" t="s">
        <v>228</v>
      </c>
      <c r="R301" s="93" t="s">
        <v>111</v>
      </c>
      <c r="S301" s="93" t="s">
        <v>115</v>
      </c>
      <c r="T301" s="93" t="s">
        <v>116</v>
      </c>
      <c r="U301" s="94">
        <v>44610.081944444442</v>
      </c>
      <c r="V301" s="93" t="s">
        <v>7072</v>
      </c>
      <c r="W301" s="93" t="s">
        <v>24</v>
      </c>
    </row>
    <row r="302" spans="1:23" x14ac:dyDescent="0.15">
      <c r="A302" s="93" t="s">
        <v>6991</v>
      </c>
      <c r="B302" s="93" t="s">
        <v>7258</v>
      </c>
      <c r="C302" s="93">
        <v>208</v>
      </c>
      <c r="D302" s="93" t="s">
        <v>24</v>
      </c>
      <c r="E302" s="93" t="s">
        <v>24</v>
      </c>
      <c r="F302" s="93" t="s">
        <v>7</v>
      </c>
      <c r="G302" s="93" t="s">
        <v>7185</v>
      </c>
      <c r="H302" s="93" t="s">
        <v>400</v>
      </c>
      <c r="I302" s="93" t="s">
        <v>111</v>
      </c>
      <c r="J302" s="93" t="s">
        <v>7105</v>
      </c>
      <c r="K302" s="93" t="s">
        <v>111</v>
      </c>
      <c r="L302" s="93" t="s">
        <v>111</v>
      </c>
      <c r="M302" s="93" t="s">
        <v>111</v>
      </c>
      <c r="N302" s="93" t="s">
        <v>111</v>
      </c>
      <c r="O302" s="93" t="s">
        <v>111</v>
      </c>
      <c r="P302" s="93" t="s">
        <v>111</v>
      </c>
      <c r="Q302" s="93" t="s">
        <v>228</v>
      </c>
      <c r="R302" s="93" t="s">
        <v>111</v>
      </c>
      <c r="S302" s="93" t="s">
        <v>115</v>
      </c>
      <c r="T302" s="93" t="s">
        <v>116</v>
      </c>
      <c r="U302" s="94">
        <v>44610.058333333334</v>
      </c>
      <c r="V302" s="93" t="s">
        <v>7072</v>
      </c>
      <c r="W302" s="93" t="s">
        <v>24</v>
      </c>
    </row>
    <row r="303" spans="1:23" x14ac:dyDescent="0.15">
      <c r="A303" s="93" t="s">
        <v>6037</v>
      </c>
      <c r="B303" s="93" t="s">
        <v>6038</v>
      </c>
      <c r="C303" s="93">
        <v>17</v>
      </c>
      <c r="D303" s="93" t="s">
        <v>24</v>
      </c>
      <c r="E303" s="93" t="s">
        <v>24</v>
      </c>
      <c r="F303" s="93" t="s">
        <v>399</v>
      </c>
      <c r="G303" s="93" t="s">
        <v>7185</v>
      </c>
      <c r="H303" s="93" t="s">
        <v>400</v>
      </c>
      <c r="I303" s="93" t="s">
        <v>111</v>
      </c>
      <c r="J303" s="93" t="s">
        <v>7105</v>
      </c>
      <c r="K303" s="93" t="s">
        <v>111</v>
      </c>
      <c r="L303" s="93" t="s">
        <v>111</v>
      </c>
      <c r="M303" s="93" t="s">
        <v>111</v>
      </c>
      <c r="N303" s="93" t="s">
        <v>111</v>
      </c>
      <c r="O303" s="93" t="s">
        <v>111</v>
      </c>
      <c r="P303" s="93" t="s">
        <v>111</v>
      </c>
      <c r="Q303" s="93" t="s">
        <v>228</v>
      </c>
      <c r="R303" s="93" t="s">
        <v>111</v>
      </c>
      <c r="S303" s="93" t="s">
        <v>115</v>
      </c>
      <c r="T303" s="93" t="s">
        <v>116</v>
      </c>
      <c r="U303" s="94">
        <v>44610.072222222225</v>
      </c>
      <c r="V303" s="93" t="s">
        <v>7072</v>
      </c>
      <c r="W303" s="93" t="s">
        <v>24</v>
      </c>
    </row>
    <row r="304" spans="1:23" x14ac:dyDescent="0.15">
      <c r="A304" s="93" t="s">
        <v>6039</v>
      </c>
      <c r="B304" s="93" t="s">
        <v>7259</v>
      </c>
      <c r="C304" s="93">
        <v>44</v>
      </c>
      <c r="D304" s="93" t="s">
        <v>24</v>
      </c>
      <c r="E304" s="93" t="s">
        <v>24</v>
      </c>
      <c r="F304" s="93" t="s">
        <v>399</v>
      </c>
      <c r="G304" s="93" t="s">
        <v>7185</v>
      </c>
      <c r="H304" s="93" t="s">
        <v>400</v>
      </c>
      <c r="I304" s="93" t="s">
        <v>111</v>
      </c>
      <c r="J304" s="93" t="s">
        <v>7105</v>
      </c>
      <c r="K304" s="93" t="s">
        <v>111</v>
      </c>
      <c r="L304" s="93" t="s">
        <v>111</v>
      </c>
      <c r="M304" s="93" t="s">
        <v>111</v>
      </c>
      <c r="N304" s="93" t="s">
        <v>111</v>
      </c>
      <c r="O304" s="93" t="s">
        <v>111</v>
      </c>
      <c r="P304" s="93" t="s">
        <v>111</v>
      </c>
      <c r="Q304" s="93" t="s">
        <v>228</v>
      </c>
      <c r="R304" s="93" t="s">
        <v>111</v>
      </c>
      <c r="S304" s="93" t="s">
        <v>115</v>
      </c>
      <c r="T304" s="93" t="s">
        <v>116</v>
      </c>
      <c r="U304" s="94">
        <v>44610.088888888888</v>
      </c>
      <c r="V304" s="93" t="s">
        <v>7072</v>
      </c>
      <c r="W304" s="93" t="s">
        <v>24</v>
      </c>
    </row>
    <row r="305" spans="1:23" x14ac:dyDescent="0.15">
      <c r="A305" s="93" t="s">
        <v>6040</v>
      </c>
      <c r="B305" s="93" t="s">
        <v>7260</v>
      </c>
      <c r="C305" s="93">
        <v>68</v>
      </c>
      <c r="D305" s="93" t="s">
        <v>24</v>
      </c>
      <c r="E305" s="93" t="s">
        <v>24</v>
      </c>
      <c r="F305" s="93" t="s">
        <v>399</v>
      </c>
      <c r="G305" s="93" t="s">
        <v>7185</v>
      </c>
      <c r="H305" s="93" t="s">
        <v>400</v>
      </c>
      <c r="I305" s="93" t="s">
        <v>111</v>
      </c>
      <c r="J305" s="93" t="s">
        <v>7105</v>
      </c>
      <c r="K305" s="93" t="s">
        <v>111</v>
      </c>
      <c r="L305" s="93" t="s">
        <v>111</v>
      </c>
      <c r="M305" s="93" t="s">
        <v>111</v>
      </c>
      <c r="N305" s="93" t="s">
        <v>111</v>
      </c>
      <c r="O305" s="93" t="s">
        <v>111</v>
      </c>
      <c r="P305" s="93" t="s">
        <v>111</v>
      </c>
      <c r="Q305" s="93" t="s">
        <v>228</v>
      </c>
      <c r="R305" s="93" t="s">
        <v>111</v>
      </c>
      <c r="S305" s="93" t="s">
        <v>115</v>
      </c>
      <c r="T305" s="93" t="s">
        <v>116</v>
      </c>
      <c r="U305" s="94">
        <v>44610.090277777781</v>
      </c>
      <c r="V305" s="93" t="s">
        <v>7072</v>
      </c>
      <c r="W305" s="93" t="s">
        <v>24</v>
      </c>
    </row>
    <row r="306" spans="1:23" x14ac:dyDescent="0.15">
      <c r="A306" s="93" t="s">
        <v>6033</v>
      </c>
      <c r="B306" s="93" t="s">
        <v>6034</v>
      </c>
      <c r="C306" s="93">
        <v>47</v>
      </c>
      <c r="D306" s="93" t="s">
        <v>24</v>
      </c>
      <c r="E306" s="93" t="s">
        <v>24</v>
      </c>
      <c r="F306" s="93" t="s">
        <v>399</v>
      </c>
      <c r="G306" s="93" t="s">
        <v>7185</v>
      </c>
      <c r="H306" s="93" t="s">
        <v>400</v>
      </c>
      <c r="I306" s="93" t="s">
        <v>111</v>
      </c>
      <c r="J306" s="93" t="s">
        <v>7105</v>
      </c>
      <c r="K306" s="93" t="s">
        <v>111</v>
      </c>
      <c r="L306" s="93" t="s">
        <v>111</v>
      </c>
      <c r="M306" s="93" t="s">
        <v>111</v>
      </c>
      <c r="N306" s="93" t="s">
        <v>111</v>
      </c>
      <c r="O306" s="93" t="s">
        <v>111</v>
      </c>
      <c r="P306" s="93" t="s">
        <v>111</v>
      </c>
      <c r="Q306" s="93" t="s">
        <v>228</v>
      </c>
      <c r="R306" s="93" t="s">
        <v>111</v>
      </c>
      <c r="S306" s="93" t="s">
        <v>115</v>
      </c>
      <c r="T306" s="93" t="s">
        <v>116</v>
      </c>
      <c r="U306" s="94">
        <v>44610.07916666667</v>
      </c>
      <c r="V306" s="93" t="s">
        <v>7072</v>
      </c>
      <c r="W306" s="93" t="s">
        <v>24</v>
      </c>
    </row>
    <row r="307" spans="1:23" x14ac:dyDescent="0.15">
      <c r="A307" s="93" t="s">
        <v>6035</v>
      </c>
      <c r="B307" s="93" t="s">
        <v>7261</v>
      </c>
      <c r="C307" s="93">
        <v>120</v>
      </c>
      <c r="D307" s="93" t="s">
        <v>24</v>
      </c>
      <c r="E307" s="93" t="s">
        <v>24</v>
      </c>
      <c r="F307" s="93" t="s">
        <v>399</v>
      </c>
      <c r="G307" s="93" t="s">
        <v>7185</v>
      </c>
      <c r="H307" s="93" t="s">
        <v>400</v>
      </c>
      <c r="I307" s="93" t="s">
        <v>111</v>
      </c>
      <c r="J307" s="93" t="s">
        <v>7105</v>
      </c>
      <c r="K307" s="93" t="s">
        <v>111</v>
      </c>
      <c r="L307" s="93" t="s">
        <v>111</v>
      </c>
      <c r="M307" s="93" t="s">
        <v>111</v>
      </c>
      <c r="N307" s="93" t="s">
        <v>111</v>
      </c>
      <c r="O307" s="93" t="s">
        <v>111</v>
      </c>
      <c r="P307" s="93" t="s">
        <v>111</v>
      </c>
      <c r="Q307" s="93" t="s">
        <v>228</v>
      </c>
      <c r="R307" s="93" t="s">
        <v>111</v>
      </c>
      <c r="S307" s="93" t="s">
        <v>115</v>
      </c>
      <c r="T307" s="93" t="s">
        <v>116</v>
      </c>
      <c r="U307" s="94">
        <v>44610.120138888888</v>
      </c>
      <c r="V307" s="93" t="s">
        <v>7072</v>
      </c>
      <c r="W307" s="93" t="s">
        <v>24</v>
      </c>
    </row>
    <row r="308" spans="1:23" x14ac:dyDescent="0.15">
      <c r="A308" s="93" t="s">
        <v>6036</v>
      </c>
      <c r="B308" s="93" t="s">
        <v>7262</v>
      </c>
      <c r="C308" s="93">
        <v>188</v>
      </c>
      <c r="D308" s="93" t="s">
        <v>24</v>
      </c>
      <c r="E308" s="93" t="s">
        <v>24</v>
      </c>
      <c r="F308" s="93" t="s">
        <v>399</v>
      </c>
      <c r="G308" s="93" t="s">
        <v>7185</v>
      </c>
      <c r="H308" s="93" t="s">
        <v>400</v>
      </c>
      <c r="I308" s="93" t="s">
        <v>111</v>
      </c>
      <c r="J308" s="93" t="s">
        <v>7105</v>
      </c>
      <c r="K308" s="93" t="s">
        <v>111</v>
      </c>
      <c r="L308" s="93" t="s">
        <v>111</v>
      </c>
      <c r="M308" s="93" t="s">
        <v>111</v>
      </c>
      <c r="N308" s="93" t="s">
        <v>111</v>
      </c>
      <c r="O308" s="93" t="s">
        <v>111</v>
      </c>
      <c r="P308" s="93" t="s">
        <v>111</v>
      </c>
      <c r="Q308" s="93" t="s">
        <v>228</v>
      </c>
      <c r="R308" s="93" t="s">
        <v>111</v>
      </c>
      <c r="S308" s="93" t="s">
        <v>115</v>
      </c>
      <c r="T308" s="93" t="s">
        <v>116</v>
      </c>
      <c r="U308" s="94">
        <v>44610.089583333334</v>
      </c>
      <c r="V308" s="93" t="s">
        <v>7072</v>
      </c>
      <c r="W308" s="93" t="s">
        <v>24</v>
      </c>
    </row>
    <row r="309" spans="1:23" x14ac:dyDescent="0.15">
      <c r="A309" s="93" t="s">
        <v>7263</v>
      </c>
      <c r="B309" s="93" t="s">
        <v>7264</v>
      </c>
      <c r="C309" s="93">
        <v>19</v>
      </c>
      <c r="D309" s="93" t="s">
        <v>24</v>
      </c>
      <c r="E309" s="93" t="s">
        <v>24</v>
      </c>
      <c r="F309" s="93" t="s">
        <v>7</v>
      </c>
      <c r="G309" s="93" t="s">
        <v>7185</v>
      </c>
      <c r="H309" s="93" t="s">
        <v>400</v>
      </c>
      <c r="I309" s="93" t="s">
        <v>111</v>
      </c>
      <c r="J309" s="93" t="s">
        <v>7105</v>
      </c>
      <c r="K309" s="93" t="s">
        <v>111</v>
      </c>
      <c r="L309" s="93" t="s">
        <v>111</v>
      </c>
      <c r="M309" s="93" t="s">
        <v>111</v>
      </c>
      <c r="N309" s="93" t="s">
        <v>111</v>
      </c>
      <c r="O309" s="93" t="s">
        <v>111</v>
      </c>
      <c r="P309" s="93" t="s">
        <v>111</v>
      </c>
      <c r="Q309" s="93" t="s">
        <v>111</v>
      </c>
      <c r="R309" s="93" t="s">
        <v>111</v>
      </c>
      <c r="S309" s="93" t="s">
        <v>111</v>
      </c>
      <c r="T309" s="93" t="s">
        <v>116</v>
      </c>
      <c r="U309" s="94">
        <v>44596.56527777778</v>
      </c>
      <c r="V309" s="93" t="s">
        <v>402</v>
      </c>
      <c r="W309" s="93" t="s">
        <v>24</v>
      </c>
    </row>
    <row r="310" spans="1:23" x14ac:dyDescent="0.15">
      <c r="A310" s="93" t="s">
        <v>7265</v>
      </c>
      <c r="B310" s="93" t="s">
        <v>7266</v>
      </c>
      <c r="C310" s="93">
        <v>49</v>
      </c>
      <c r="D310" s="93" t="s">
        <v>24</v>
      </c>
      <c r="E310" s="93" t="s">
        <v>24</v>
      </c>
      <c r="F310" s="93" t="s">
        <v>7</v>
      </c>
      <c r="G310" s="93" t="s">
        <v>7185</v>
      </c>
      <c r="H310" s="93" t="s">
        <v>400</v>
      </c>
      <c r="I310" s="93" t="s">
        <v>111</v>
      </c>
      <c r="J310" s="93" t="s">
        <v>7105</v>
      </c>
      <c r="K310" s="93" t="s">
        <v>111</v>
      </c>
      <c r="L310" s="93" t="s">
        <v>111</v>
      </c>
      <c r="M310" s="93" t="s">
        <v>111</v>
      </c>
      <c r="N310" s="93" t="s">
        <v>111</v>
      </c>
      <c r="O310" s="93" t="s">
        <v>111</v>
      </c>
      <c r="P310" s="93" t="s">
        <v>111</v>
      </c>
      <c r="Q310" s="93" t="s">
        <v>111</v>
      </c>
      <c r="R310" s="93" t="s">
        <v>111</v>
      </c>
      <c r="S310" s="93" t="s">
        <v>111</v>
      </c>
      <c r="T310" s="93" t="s">
        <v>116</v>
      </c>
      <c r="U310" s="94">
        <v>44596.570138888892</v>
      </c>
      <c r="V310" s="93" t="s">
        <v>402</v>
      </c>
      <c r="W310" s="93" t="s">
        <v>24</v>
      </c>
    </row>
    <row r="311" spans="1:23" x14ac:dyDescent="0.15">
      <c r="A311" s="93" t="s">
        <v>7267</v>
      </c>
      <c r="B311" s="93" t="s">
        <v>7268</v>
      </c>
      <c r="C311" s="93">
        <v>76</v>
      </c>
      <c r="D311" s="93" t="s">
        <v>24</v>
      </c>
      <c r="E311" s="93" t="s">
        <v>24</v>
      </c>
      <c r="F311" s="93" t="s">
        <v>7</v>
      </c>
      <c r="G311" s="93" t="s">
        <v>7185</v>
      </c>
      <c r="H311" s="93" t="s">
        <v>400</v>
      </c>
      <c r="I311" s="93" t="s">
        <v>111</v>
      </c>
      <c r="J311" s="93" t="s">
        <v>7105</v>
      </c>
      <c r="K311" s="93" t="s">
        <v>111</v>
      </c>
      <c r="L311" s="93" t="s">
        <v>111</v>
      </c>
      <c r="M311" s="93" t="s">
        <v>111</v>
      </c>
      <c r="N311" s="93" t="s">
        <v>111</v>
      </c>
      <c r="O311" s="93" t="s">
        <v>111</v>
      </c>
      <c r="P311" s="93" t="s">
        <v>111</v>
      </c>
      <c r="Q311" s="93" t="s">
        <v>111</v>
      </c>
      <c r="R311" s="93" t="s">
        <v>111</v>
      </c>
      <c r="S311" s="93" t="s">
        <v>111</v>
      </c>
      <c r="T311" s="93" t="s">
        <v>116</v>
      </c>
      <c r="U311" s="94">
        <v>44596.583333333336</v>
      </c>
      <c r="V311" s="93" t="s">
        <v>402</v>
      </c>
      <c r="W311" s="93" t="s">
        <v>24</v>
      </c>
    </row>
    <row r="312" spans="1:23" x14ac:dyDescent="0.15">
      <c r="A312" s="93" t="s">
        <v>7269</v>
      </c>
      <c r="B312" s="93" t="s">
        <v>7270</v>
      </c>
      <c r="C312" s="93">
        <v>95</v>
      </c>
      <c r="D312" s="93" t="s">
        <v>24</v>
      </c>
      <c r="E312" s="93" t="s">
        <v>24</v>
      </c>
      <c r="F312" s="93" t="s">
        <v>7</v>
      </c>
      <c r="G312" s="93" t="s">
        <v>7185</v>
      </c>
      <c r="H312" s="93" t="s">
        <v>400</v>
      </c>
      <c r="I312" s="93" t="s">
        <v>111</v>
      </c>
      <c r="J312" s="93" t="s">
        <v>7105</v>
      </c>
      <c r="K312" s="93" t="s">
        <v>111</v>
      </c>
      <c r="L312" s="93" t="s">
        <v>111</v>
      </c>
      <c r="M312" s="93" t="s">
        <v>111</v>
      </c>
      <c r="N312" s="93" t="s">
        <v>111</v>
      </c>
      <c r="O312" s="93" t="s">
        <v>111</v>
      </c>
      <c r="P312" s="93" t="s">
        <v>111</v>
      </c>
      <c r="Q312" s="93" t="s">
        <v>111</v>
      </c>
      <c r="R312" s="93" t="s">
        <v>2</v>
      </c>
      <c r="S312" s="93" t="s">
        <v>111</v>
      </c>
      <c r="T312" s="93" t="s">
        <v>116</v>
      </c>
      <c r="U312" s="94">
        <v>44596.609722222223</v>
      </c>
      <c r="V312" s="93" t="s">
        <v>402</v>
      </c>
      <c r="W312" s="93" t="s">
        <v>24</v>
      </c>
    </row>
    <row r="313" spans="1:23" x14ac:dyDescent="0.15">
      <c r="A313" s="93" t="s">
        <v>7271</v>
      </c>
      <c r="B313" s="93" t="s">
        <v>7272</v>
      </c>
      <c r="C313" s="93">
        <v>243</v>
      </c>
      <c r="D313" s="93" t="s">
        <v>24</v>
      </c>
      <c r="E313" s="93" t="s">
        <v>24</v>
      </c>
      <c r="F313" s="93" t="s">
        <v>7</v>
      </c>
      <c r="G313" s="93" t="s">
        <v>7185</v>
      </c>
      <c r="H313" s="93" t="s">
        <v>400</v>
      </c>
      <c r="I313" s="93" t="s">
        <v>111</v>
      </c>
      <c r="J313" s="93" t="s">
        <v>7105</v>
      </c>
      <c r="K313" s="93" t="s">
        <v>111</v>
      </c>
      <c r="L313" s="93" t="s">
        <v>111</v>
      </c>
      <c r="M313" s="93" t="s">
        <v>111</v>
      </c>
      <c r="N313" s="93" t="s">
        <v>111</v>
      </c>
      <c r="O313" s="93" t="s">
        <v>111</v>
      </c>
      <c r="P313" s="93" t="s">
        <v>111</v>
      </c>
      <c r="Q313" s="93" t="s">
        <v>111</v>
      </c>
      <c r="R313" s="93" t="s">
        <v>111</v>
      </c>
      <c r="S313" s="93" t="s">
        <v>111</v>
      </c>
      <c r="T313" s="93" t="s">
        <v>116</v>
      </c>
      <c r="U313" s="94">
        <v>44596.561805555553</v>
      </c>
      <c r="V313" s="93" t="s">
        <v>402</v>
      </c>
      <c r="W313" s="93" t="s">
        <v>24</v>
      </c>
    </row>
    <row r="314" spans="1:23" x14ac:dyDescent="0.15">
      <c r="A314" s="93" t="s">
        <v>7273</v>
      </c>
      <c r="B314" s="93" t="s">
        <v>7274</v>
      </c>
      <c r="C314" s="93">
        <v>380</v>
      </c>
      <c r="D314" s="93" t="s">
        <v>24</v>
      </c>
      <c r="E314" s="93" t="s">
        <v>24</v>
      </c>
      <c r="F314" s="93" t="s">
        <v>7</v>
      </c>
      <c r="G314" s="93" t="s">
        <v>7185</v>
      </c>
      <c r="H314" s="93" t="s">
        <v>400</v>
      </c>
      <c r="I314" s="93" t="s">
        <v>111</v>
      </c>
      <c r="J314" s="93" t="s">
        <v>7105</v>
      </c>
      <c r="K314" s="93" t="s">
        <v>111</v>
      </c>
      <c r="L314" s="93" t="s">
        <v>111</v>
      </c>
      <c r="M314" s="93" t="s">
        <v>111</v>
      </c>
      <c r="N314" s="93" t="s">
        <v>111</v>
      </c>
      <c r="O314" s="93" t="s">
        <v>111</v>
      </c>
      <c r="P314" s="93" t="s">
        <v>111</v>
      </c>
      <c r="Q314" s="93" t="s">
        <v>111</v>
      </c>
      <c r="R314" s="93" t="s">
        <v>111</v>
      </c>
      <c r="S314" s="93" t="s">
        <v>111</v>
      </c>
      <c r="T314" s="93" t="s">
        <v>116</v>
      </c>
      <c r="U314" s="94">
        <v>44596.604166666664</v>
      </c>
      <c r="V314" s="93" t="s">
        <v>402</v>
      </c>
      <c r="W314" s="93" t="s">
        <v>24</v>
      </c>
    </row>
    <row r="315" spans="1:23" x14ac:dyDescent="0.15">
      <c r="A315" s="93" t="s">
        <v>7275</v>
      </c>
      <c r="B315" s="93" t="s">
        <v>7276</v>
      </c>
      <c r="C315" s="93">
        <v>30</v>
      </c>
      <c r="D315" s="93" t="s">
        <v>24</v>
      </c>
      <c r="E315" s="93" t="s">
        <v>24</v>
      </c>
      <c r="F315" s="93" t="s">
        <v>7</v>
      </c>
      <c r="G315" s="93" t="s">
        <v>7185</v>
      </c>
      <c r="H315" s="93" t="s">
        <v>400</v>
      </c>
      <c r="I315" s="93" t="s">
        <v>111</v>
      </c>
      <c r="J315" s="93" t="s">
        <v>7105</v>
      </c>
      <c r="K315" s="93" t="s">
        <v>111</v>
      </c>
      <c r="L315" s="93" t="s">
        <v>111</v>
      </c>
      <c r="M315" s="93" t="s">
        <v>111</v>
      </c>
      <c r="N315" s="93" t="s">
        <v>111</v>
      </c>
      <c r="O315" s="93" t="s">
        <v>111</v>
      </c>
      <c r="P315" s="93" t="s">
        <v>111</v>
      </c>
      <c r="Q315" s="93" t="s">
        <v>111</v>
      </c>
      <c r="R315" s="93" t="s">
        <v>111</v>
      </c>
      <c r="S315" s="93" t="s">
        <v>111</v>
      </c>
      <c r="T315" s="93" t="s">
        <v>116</v>
      </c>
      <c r="U315" s="94">
        <v>44596.605555555558</v>
      </c>
      <c r="V315" s="93" t="s">
        <v>402</v>
      </c>
      <c r="W315" s="93" t="s">
        <v>24</v>
      </c>
    </row>
    <row r="316" spans="1:23" x14ac:dyDescent="0.15">
      <c r="A316" s="93" t="s">
        <v>7277</v>
      </c>
      <c r="B316" s="93" t="s">
        <v>7278</v>
      </c>
      <c r="C316" s="93">
        <v>77</v>
      </c>
      <c r="D316" s="93" t="s">
        <v>24</v>
      </c>
      <c r="E316" s="93" t="s">
        <v>24</v>
      </c>
      <c r="F316" s="93" t="s">
        <v>7</v>
      </c>
      <c r="G316" s="93" t="s">
        <v>7185</v>
      </c>
      <c r="H316" s="93" t="s">
        <v>400</v>
      </c>
      <c r="I316" s="93" t="s">
        <v>111</v>
      </c>
      <c r="J316" s="93" t="s">
        <v>7105</v>
      </c>
      <c r="K316" s="93" t="s">
        <v>111</v>
      </c>
      <c r="L316" s="93" t="s">
        <v>111</v>
      </c>
      <c r="M316" s="93" t="s">
        <v>111</v>
      </c>
      <c r="N316" s="93" t="s">
        <v>111</v>
      </c>
      <c r="O316" s="93" t="s">
        <v>111</v>
      </c>
      <c r="P316" s="93" t="s">
        <v>111</v>
      </c>
      <c r="Q316" s="93" t="s">
        <v>111</v>
      </c>
      <c r="R316" s="93" t="s">
        <v>111</v>
      </c>
      <c r="S316" s="93" t="s">
        <v>111</v>
      </c>
      <c r="T316" s="93" t="s">
        <v>116</v>
      </c>
      <c r="U316" s="94">
        <v>44596.601388888892</v>
      </c>
      <c r="V316" s="93" t="s">
        <v>402</v>
      </c>
      <c r="W316" s="93" t="s">
        <v>24</v>
      </c>
    </row>
    <row r="317" spans="1:23" x14ac:dyDescent="0.15">
      <c r="A317" s="93" t="s">
        <v>7279</v>
      </c>
      <c r="B317" s="93" t="s">
        <v>7280</v>
      </c>
      <c r="C317" s="93">
        <v>120</v>
      </c>
      <c r="D317" s="93" t="s">
        <v>24</v>
      </c>
      <c r="E317" s="93" t="s">
        <v>24</v>
      </c>
      <c r="F317" s="93" t="s">
        <v>7</v>
      </c>
      <c r="G317" s="93" t="s">
        <v>7185</v>
      </c>
      <c r="H317" s="93" t="s">
        <v>400</v>
      </c>
      <c r="I317" s="93" t="s">
        <v>111</v>
      </c>
      <c r="J317" s="93" t="s">
        <v>7105</v>
      </c>
      <c r="K317" s="93" t="s">
        <v>111</v>
      </c>
      <c r="L317" s="93" t="s">
        <v>111</v>
      </c>
      <c r="M317" s="93" t="s">
        <v>111</v>
      </c>
      <c r="N317" s="93" t="s">
        <v>111</v>
      </c>
      <c r="O317" s="93" t="s">
        <v>111</v>
      </c>
      <c r="P317" s="93" t="s">
        <v>111</v>
      </c>
      <c r="Q317" s="93" t="s">
        <v>111</v>
      </c>
      <c r="R317" s="93" t="s">
        <v>111</v>
      </c>
      <c r="S317" s="93" t="s">
        <v>111</v>
      </c>
      <c r="T317" s="93" t="s">
        <v>116</v>
      </c>
      <c r="U317" s="94">
        <v>44596.561111111114</v>
      </c>
      <c r="V317" s="93" t="s">
        <v>402</v>
      </c>
      <c r="W317" s="93" t="s">
        <v>24</v>
      </c>
    </row>
    <row r="318" spans="1:23" x14ac:dyDescent="0.15">
      <c r="A318" s="93" t="s">
        <v>7281</v>
      </c>
      <c r="B318" s="93" t="s">
        <v>7282</v>
      </c>
      <c r="C318" s="93">
        <v>56</v>
      </c>
      <c r="D318" s="93" t="s">
        <v>24</v>
      </c>
      <c r="E318" s="93" t="s">
        <v>24</v>
      </c>
      <c r="F318" s="93" t="s">
        <v>7</v>
      </c>
      <c r="G318" s="93" t="s">
        <v>7185</v>
      </c>
      <c r="H318" s="93" t="s">
        <v>400</v>
      </c>
      <c r="I318" s="93" t="s">
        <v>111</v>
      </c>
      <c r="J318" s="93" t="s">
        <v>7105</v>
      </c>
      <c r="K318" s="93" t="s">
        <v>111</v>
      </c>
      <c r="L318" s="93" t="s">
        <v>111</v>
      </c>
      <c r="M318" s="93" t="s">
        <v>111</v>
      </c>
      <c r="N318" s="93" t="s">
        <v>111</v>
      </c>
      <c r="O318" s="93" t="s">
        <v>111</v>
      </c>
      <c r="P318" s="93" t="s">
        <v>111</v>
      </c>
      <c r="Q318" s="93" t="s">
        <v>111</v>
      </c>
      <c r="R318" s="93" t="s">
        <v>111</v>
      </c>
      <c r="S318" s="93" t="s">
        <v>111</v>
      </c>
      <c r="T318" s="93" t="s">
        <v>116</v>
      </c>
      <c r="U318" s="94">
        <v>44596.601388888892</v>
      </c>
      <c r="V318" s="93" t="s">
        <v>402</v>
      </c>
      <c r="W318" s="93" t="s">
        <v>24</v>
      </c>
    </row>
    <row r="319" spans="1:23" x14ac:dyDescent="0.15">
      <c r="A319" s="93" t="s">
        <v>7283</v>
      </c>
      <c r="B319" s="93" t="s">
        <v>7284</v>
      </c>
      <c r="C319" s="93">
        <v>143</v>
      </c>
      <c r="D319" s="93" t="s">
        <v>24</v>
      </c>
      <c r="E319" s="93" t="s">
        <v>24</v>
      </c>
      <c r="F319" s="93" t="s">
        <v>7</v>
      </c>
      <c r="G319" s="93" t="s">
        <v>7185</v>
      </c>
      <c r="H319" s="93" t="s">
        <v>400</v>
      </c>
      <c r="I319" s="93" t="s">
        <v>111</v>
      </c>
      <c r="J319" s="93" t="s">
        <v>7105</v>
      </c>
      <c r="K319" s="93" t="s">
        <v>111</v>
      </c>
      <c r="L319" s="93" t="s">
        <v>111</v>
      </c>
      <c r="M319" s="93" t="s">
        <v>111</v>
      </c>
      <c r="N319" s="93" t="s">
        <v>111</v>
      </c>
      <c r="O319" s="93" t="s">
        <v>111</v>
      </c>
      <c r="P319" s="93" t="s">
        <v>111</v>
      </c>
      <c r="Q319" s="93" t="s">
        <v>111</v>
      </c>
      <c r="R319" s="93" t="s">
        <v>2</v>
      </c>
      <c r="S319" s="93" t="s">
        <v>111</v>
      </c>
      <c r="T319" s="93" t="s">
        <v>116</v>
      </c>
      <c r="U319" s="94">
        <v>44596.574305555558</v>
      </c>
      <c r="V319" s="93" t="s">
        <v>402</v>
      </c>
      <c r="W319" s="93" t="s">
        <v>24</v>
      </c>
    </row>
    <row r="320" spans="1:23" x14ac:dyDescent="0.15">
      <c r="A320" s="93" t="s">
        <v>7285</v>
      </c>
      <c r="B320" s="93" t="s">
        <v>7286</v>
      </c>
      <c r="C320" s="93">
        <v>224</v>
      </c>
      <c r="D320" s="93" t="s">
        <v>24</v>
      </c>
      <c r="E320" s="93" t="s">
        <v>24</v>
      </c>
      <c r="F320" s="93" t="s">
        <v>7</v>
      </c>
      <c r="G320" s="93" t="s">
        <v>7185</v>
      </c>
      <c r="H320" s="93" t="s">
        <v>400</v>
      </c>
      <c r="I320" s="93" t="s">
        <v>111</v>
      </c>
      <c r="J320" s="93" t="s">
        <v>7105</v>
      </c>
      <c r="K320" s="93" t="s">
        <v>111</v>
      </c>
      <c r="L320" s="93" t="s">
        <v>111</v>
      </c>
      <c r="M320" s="93" t="s">
        <v>111</v>
      </c>
      <c r="N320" s="93" t="s">
        <v>111</v>
      </c>
      <c r="O320" s="93" t="s">
        <v>111</v>
      </c>
      <c r="P320" s="93" t="s">
        <v>111</v>
      </c>
      <c r="Q320" s="93" t="s">
        <v>111</v>
      </c>
      <c r="R320" s="93" t="s">
        <v>111</v>
      </c>
      <c r="S320" s="93" t="s">
        <v>111</v>
      </c>
      <c r="T320" s="93" t="s">
        <v>116</v>
      </c>
      <c r="U320" s="94">
        <v>44596.583333333336</v>
      </c>
      <c r="V320" s="93" t="s">
        <v>402</v>
      </c>
      <c r="W320" s="93" t="s">
        <v>24</v>
      </c>
    </row>
    <row r="321" spans="1:23" x14ac:dyDescent="0.15">
      <c r="A321" s="93" t="s">
        <v>7287</v>
      </c>
      <c r="B321" s="93" t="s">
        <v>7288</v>
      </c>
      <c r="C321" s="93">
        <v>69</v>
      </c>
      <c r="D321" s="93" t="s">
        <v>24</v>
      </c>
      <c r="E321" s="93" t="s">
        <v>24</v>
      </c>
      <c r="F321" s="93" t="s">
        <v>7</v>
      </c>
      <c r="G321" s="93" t="s">
        <v>7185</v>
      </c>
      <c r="H321" s="93" t="s">
        <v>400</v>
      </c>
      <c r="I321" s="93" t="s">
        <v>111</v>
      </c>
      <c r="J321" s="93" t="s">
        <v>7105</v>
      </c>
      <c r="K321" s="93" t="s">
        <v>111</v>
      </c>
      <c r="L321" s="93" t="s">
        <v>111</v>
      </c>
      <c r="M321" s="93" t="s">
        <v>111</v>
      </c>
      <c r="N321" s="93" t="s">
        <v>111</v>
      </c>
      <c r="O321" s="93" t="s">
        <v>111</v>
      </c>
      <c r="P321" s="93" t="s">
        <v>111</v>
      </c>
      <c r="Q321" s="93" t="s">
        <v>111</v>
      </c>
      <c r="R321" s="93" t="s">
        <v>111</v>
      </c>
      <c r="S321" s="93" t="s">
        <v>111</v>
      </c>
      <c r="T321" s="93" t="s">
        <v>116</v>
      </c>
      <c r="U321" s="94">
        <v>44596.613194444442</v>
      </c>
      <c r="V321" s="93" t="s">
        <v>402</v>
      </c>
      <c r="W321" s="93" t="s">
        <v>24</v>
      </c>
    </row>
    <row r="322" spans="1:23" x14ac:dyDescent="0.15">
      <c r="A322" s="93" t="s">
        <v>7289</v>
      </c>
      <c r="B322" s="93" t="s">
        <v>7290</v>
      </c>
      <c r="C322" s="93">
        <v>176</v>
      </c>
      <c r="D322" s="93" t="s">
        <v>24</v>
      </c>
      <c r="E322" s="93" t="s">
        <v>24</v>
      </c>
      <c r="F322" s="93" t="s">
        <v>7</v>
      </c>
      <c r="G322" s="93" t="s">
        <v>7185</v>
      </c>
      <c r="H322" s="93" t="s">
        <v>400</v>
      </c>
      <c r="I322" s="93" t="s">
        <v>111</v>
      </c>
      <c r="J322" s="93" t="s">
        <v>7105</v>
      </c>
      <c r="K322" s="93" t="s">
        <v>111</v>
      </c>
      <c r="L322" s="93" t="s">
        <v>111</v>
      </c>
      <c r="M322" s="93" t="s">
        <v>111</v>
      </c>
      <c r="N322" s="93" t="s">
        <v>111</v>
      </c>
      <c r="O322" s="93" t="s">
        <v>111</v>
      </c>
      <c r="P322" s="93" t="s">
        <v>111</v>
      </c>
      <c r="Q322" s="93" t="s">
        <v>111</v>
      </c>
      <c r="R322" s="93" t="s">
        <v>111</v>
      </c>
      <c r="S322" s="93" t="s">
        <v>111</v>
      </c>
      <c r="T322" s="93" t="s">
        <v>116</v>
      </c>
      <c r="U322" s="94">
        <v>44596.578472222223</v>
      </c>
      <c r="V322" s="93" t="s">
        <v>402</v>
      </c>
      <c r="W322" s="93" t="s">
        <v>24</v>
      </c>
    </row>
    <row r="323" spans="1:23" x14ac:dyDescent="0.15">
      <c r="A323" s="93" t="s">
        <v>7291</v>
      </c>
      <c r="B323" s="93" t="s">
        <v>7292</v>
      </c>
      <c r="C323" s="93">
        <v>276</v>
      </c>
      <c r="D323" s="93" t="s">
        <v>24</v>
      </c>
      <c r="E323" s="93" t="s">
        <v>24</v>
      </c>
      <c r="F323" s="93" t="s">
        <v>7</v>
      </c>
      <c r="G323" s="93" t="s">
        <v>7185</v>
      </c>
      <c r="H323" s="93" t="s">
        <v>400</v>
      </c>
      <c r="I323" s="93" t="s">
        <v>111</v>
      </c>
      <c r="J323" s="93" t="s">
        <v>7105</v>
      </c>
      <c r="K323" s="93" t="s">
        <v>111</v>
      </c>
      <c r="L323" s="93" t="s">
        <v>111</v>
      </c>
      <c r="M323" s="93" t="s">
        <v>111</v>
      </c>
      <c r="N323" s="93" t="s">
        <v>111</v>
      </c>
      <c r="O323" s="93" t="s">
        <v>111</v>
      </c>
      <c r="P323" s="93" t="s">
        <v>111</v>
      </c>
      <c r="Q323" s="93" t="s">
        <v>111</v>
      </c>
      <c r="R323" s="93" t="s">
        <v>2</v>
      </c>
      <c r="S323" s="93" t="s">
        <v>111</v>
      </c>
      <c r="T323" s="93" t="s">
        <v>116</v>
      </c>
      <c r="U323" s="94">
        <v>44596.569444444445</v>
      </c>
      <c r="V323" s="93" t="s">
        <v>402</v>
      </c>
      <c r="W323" s="93" t="s">
        <v>24</v>
      </c>
    </row>
    <row r="324" spans="1:23" x14ac:dyDescent="0.15">
      <c r="A324" s="93" t="s">
        <v>7293</v>
      </c>
      <c r="B324" s="93" t="s">
        <v>7294</v>
      </c>
      <c r="C324" s="93">
        <v>32</v>
      </c>
      <c r="D324" s="93" t="s">
        <v>24</v>
      </c>
      <c r="E324" s="93" t="s">
        <v>24</v>
      </c>
      <c r="F324" s="93" t="s">
        <v>7</v>
      </c>
      <c r="G324" s="93" t="s">
        <v>7185</v>
      </c>
      <c r="H324" s="93" t="s">
        <v>400</v>
      </c>
      <c r="I324" s="93" t="s">
        <v>111</v>
      </c>
      <c r="J324" s="93" t="s">
        <v>7105</v>
      </c>
      <c r="K324" s="93" t="s">
        <v>111</v>
      </c>
      <c r="L324" s="93" t="s">
        <v>111</v>
      </c>
      <c r="M324" s="93" t="s">
        <v>111</v>
      </c>
      <c r="N324" s="93" t="s">
        <v>111</v>
      </c>
      <c r="O324" s="93" t="s">
        <v>111</v>
      </c>
      <c r="P324" s="93" t="s">
        <v>111</v>
      </c>
      <c r="Q324" s="93" t="s">
        <v>111</v>
      </c>
      <c r="R324" s="93" t="s">
        <v>2</v>
      </c>
      <c r="S324" s="93" t="s">
        <v>111</v>
      </c>
      <c r="T324" s="93" t="s">
        <v>116</v>
      </c>
      <c r="U324" s="94">
        <v>44596.570833333331</v>
      </c>
      <c r="V324" s="93" t="s">
        <v>402</v>
      </c>
      <c r="W324" s="93" t="s">
        <v>24</v>
      </c>
    </row>
    <row r="325" spans="1:23" x14ac:dyDescent="0.15">
      <c r="A325" s="93" t="s">
        <v>7295</v>
      </c>
      <c r="B325" s="93" t="s">
        <v>7296</v>
      </c>
      <c r="C325" s="93">
        <v>82</v>
      </c>
      <c r="D325" s="93" t="s">
        <v>24</v>
      </c>
      <c r="E325" s="93" t="s">
        <v>24</v>
      </c>
      <c r="F325" s="93" t="s">
        <v>7</v>
      </c>
      <c r="G325" s="93" t="s">
        <v>7185</v>
      </c>
      <c r="H325" s="93" t="s">
        <v>400</v>
      </c>
      <c r="I325" s="93" t="s">
        <v>111</v>
      </c>
      <c r="J325" s="93" t="s">
        <v>7105</v>
      </c>
      <c r="K325" s="93" t="s">
        <v>111</v>
      </c>
      <c r="L325" s="93" t="s">
        <v>111</v>
      </c>
      <c r="M325" s="93" t="s">
        <v>111</v>
      </c>
      <c r="N325" s="93" t="s">
        <v>111</v>
      </c>
      <c r="O325" s="93" t="s">
        <v>111</v>
      </c>
      <c r="P325" s="93" t="s">
        <v>111</v>
      </c>
      <c r="Q325" s="93" t="s">
        <v>111</v>
      </c>
      <c r="R325" s="93" t="s">
        <v>111</v>
      </c>
      <c r="S325" s="93" t="s">
        <v>111</v>
      </c>
      <c r="T325" s="93" t="s">
        <v>116</v>
      </c>
      <c r="U325" s="94">
        <v>44596.565972222219</v>
      </c>
      <c r="V325" s="93" t="s">
        <v>402</v>
      </c>
      <c r="W325" s="93" t="s">
        <v>24</v>
      </c>
    </row>
    <row r="326" spans="1:23" x14ac:dyDescent="0.15">
      <c r="A326" s="93" t="s">
        <v>7297</v>
      </c>
      <c r="B326" s="93" t="s">
        <v>7298</v>
      </c>
      <c r="C326" s="93">
        <v>128</v>
      </c>
      <c r="D326" s="93" t="s">
        <v>24</v>
      </c>
      <c r="E326" s="93" t="s">
        <v>24</v>
      </c>
      <c r="F326" s="93" t="s">
        <v>7</v>
      </c>
      <c r="G326" s="93" t="s">
        <v>7185</v>
      </c>
      <c r="H326" s="93" t="s">
        <v>400</v>
      </c>
      <c r="I326" s="93" t="s">
        <v>111</v>
      </c>
      <c r="J326" s="93" t="s">
        <v>7105</v>
      </c>
      <c r="K326" s="93" t="s">
        <v>111</v>
      </c>
      <c r="L326" s="93" t="s">
        <v>111</v>
      </c>
      <c r="M326" s="93" t="s">
        <v>111</v>
      </c>
      <c r="N326" s="93" t="s">
        <v>111</v>
      </c>
      <c r="O326" s="93" t="s">
        <v>111</v>
      </c>
      <c r="P326" s="93" t="s">
        <v>111</v>
      </c>
      <c r="Q326" s="93" t="s">
        <v>111</v>
      </c>
      <c r="R326" s="93" t="s">
        <v>111</v>
      </c>
      <c r="S326" s="93" t="s">
        <v>111</v>
      </c>
      <c r="T326" s="93" t="s">
        <v>116</v>
      </c>
      <c r="U326" s="94">
        <v>44596.556944444441</v>
      </c>
      <c r="V326" s="93" t="s">
        <v>402</v>
      </c>
      <c r="W326" s="93" t="s">
        <v>24</v>
      </c>
    </row>
    <row r="327" spans="1:23" x14ac:dyDescent="0.15">
      <c r="A327" s="93" t="s">
        <v>7299</v>
      </c>
      <c r="B327" s="93" t="s">
        <v>7300</v>
      </c>
      <c r="C327" s="93">
        <v>61</v>
      </c>
      <c r="D327" s="93" t="s">
        <v>24</v>
      </c>
      <c r="E327" s="93" t="s">
        <v>24</v>
      </c>
      <c r="F327" s="93" t="s">
        <v>7</v>
      </c>
      <c r="G327" s="93" t="s">
        <v>7185</v>
      </c>
      <c r="H327" s="93" t="s">
        <v>400</v>
      </c>
      <c r="I327" s="93" t="s">
        <v>111</v>
      </c>
      <c r="J327" s="93" t="s">
        <v>7105</v>
      </c>
      <c r="K327" s="93" t="s">
        <v>111</v>
      </c>
      <c r="L327" s="93" t="s">
        <v>111</v>
      </c>
      <c r="M327" s="93" t="s">
        <v>111</v>
      </c>
      <c r="N327" s="93" t="s">
        <v>111</v>
      </c>
      <c r="O327" s="93" t="s">
        <v>111</v>
      </c>
      <c r="P327" s="93" t="s">
        <v>111</v>
      </c>
      <c r="Q327" s="93" t="s">
        <v>111</v>
      </c>
      <c r="R327" s="93" t="s">
        <v>111</v>
      </c>
      <c r="S327" s="93" t="s">
        <v>111</v>
      </c>
      <c r="T327" s="93" t="s">
        <v>116</v>
      </c>
      <c r="U327" s="94">
        <v>44596.613194444442</v>
      </c>
      <c r="V327" s="93" t="s">
        <v>402</v>
      </c>
      <c r="W327" s="93" t="s">
        <v>24</v>
      </c>
    </row>
    <row r="328" spans="1:23" x14ac:dyDescent="0.15">
      <c r="A328" s="93" t="s">
        <v>7301</v>
      </c>
      <c r="B328" s="93" t="s">
        <v>7302</v>
      </c>
      <c r="C328" s="93">
        <v>156</v>
      </c>
      <c r="D328" s="93" t="s">
        <v>24</v>
      </c>
      <c r="E328" s="93" t="s">
        <v>24</v>
      </c>
      <c r="F328" s="93" t="s">
        <v>7</v>
      </c>
      <c r="G328" s="93" t="s">
        <v>7185</v>
      </c>
      <c r="H328" s="93" t="s">
        <v>400</v>
      </c>
      <c r="I328" s="93" t="s">
        <v>111</v>
      </c>
      <c r="J328" s="93" t="s">
        <v>7105</v>
      </c>
      <c r="K328" s="93" t="s">
        <v>111</v>
      </c>
      <c r="L328" s="93" t="s">
        <v>111</v>
      </c>
      <c r="M328" s="93" t="s">
        <v>111</v>
      </c>
      <c r="N328" s="93" t="s">
        <v>111</v>
      </c>
      <c r="O328" s="93" t="s">
        <v>111</v>
      </c>
      <c r="P328" s="93" t="s">
        <v>111</v>
      </c>
      <c r="Q328" s="93" t="s">
        <v>111</v>
      </c>
      <c r="R328" s="93" t="s">
        <v>111</v>
      </c>
      <c r="S328" s="93" t="s">
        <v>111</v>
      </c>
      <c r="T328" s="93" t="s">
        <v>116</v>
      </c>
      <c r="U328" s="94">
        <v>44596.570138888892</v>
      </c>
      <c r="V328" s="93" t="s">
        <v>402</v>
      </c>
      <c r="W328" s="93" t="s">
        <v>24</v>
      </c>
    </row>
    <row r="329" spans="1:23" x14ac:dyDescent="0.15">
      <c r="A329" s="93" t="s">
        <v>7303</v>
      </c>
      <c r="B329" s="93" t="s">
        <v>7304</v>
      </c>
      <c r="C329" s="93">
        <v>244</v>
      </c>
      <c r="D329" s="93" t="s">
        <v>24</v>
      </c>
      <c r="E329" s="93" t="s">
        <v>24</v>
      </c>
      <c r="F329" s="93" t="s">
        <v>7</v>
      </c>
      <c r="G329" s="93" t="s">
        <v>7185</v>
      </c>
      <c r="H329" s="93" t="s">
        <v>400</v>
      </c>
      <c r="I329" s="93" t="s">
        <v>111</v>
      </c>
      <c r="J329" s="93" t="s">
        <v>7105</v>
      </c>
      <c r="K329" s="93" t="s">
        <v>111</v>
      </c>
      <c r="L329" s="93" t="s">
        <v>111</v>
      </c>
      <c r="M329" s="93" t="s">
        <v>111</v>
      </c>
      <c r="N329" s="93" t="s">
        <v>111</v>
      </c>
      <c r="O329" s="93" t="s">
        <v>111</v>
      </c>
      <c r="P329" s="93" t="s">
        <v>111</v>
      </c>
      <c r="Q329" s="93" t="s">
        <v>111</v>
      </c>
      <c r="R329" s="93" t="s">
        <v>111</v>
      </c>
      <c r="S329" s="93" t="s">
        <v>111</v>
      </c>
      <c r="T329" s="93" t="s">
        <v>116</v>
      </c>
      <c r="U329" s="94">
        <v>44596.606249999997</v>
      </c>
      <c r="V329" s="93" t="s">
        <v>402</v>
      </c>
      <c r="W329" s="93" t="s">
        <v>24</v>
      </c>
    </row>
    <row r="330" spans="1:23" x14ac:dyDescent="0.15">
      <c r="A330" s="93" t="s">
        <v>7305</v>
      </c>
      <c r="B330" s="93" t="s">
        <v>7306</v>
      </c>
      <c r="C330" s="93">
        <v>16</v>
      </c>
      <c r="D330" s="93" t="s">
        <v>24</v>
      </c>
      <c r="E330" s="93" t="s">
        <v>24</v>
      </c>
      <c r="F330" s="93" t="s">
        <v>7</v>
      </c>
      <c r="G330" s="93" t="s">
        <v>7185</v>
      </c>
      <c r="H330" s="93" t="s">
        <v>400</v>
      </c>
      <c r="I330" s="93" t="s">
        <v>111</v>
      </c>
      <c r="J330" s="93" t="s">
        <v>7105</v>
      </c>
      <c r="K330" s="93" t="s">
        <v>111</v>
      </c>
      <c r="L330" s="93" t="s">
        <v>111</v>
      </c>
      <c r="M330" s="93" t="s">
        <v>111</v>
      </c>
      <c r="N330" s="93" t="s">
        <v>111</v>
      </c>
      <c r="O330" s="93" t="s">
        <v>111</v>
      </c>
      <c r="P330" s="93" t="s">
        <v>111</v>
      </c>
      <c r="Q330" s="93" t="s">
        <v>111</v>
      </c>
      <c r="R330" s="93" t="s">
        <v>111</v>
      </c>
      <c r="S330" s="93" t="s">
        <v>111</v>
      </c>
      <c r="T330" s="93" t="s">
        <v>116</v>
      </c>
      <c r="U330" s="94">
        <v>44596.606249999997</v>
      </c>
      <c r="V330" s="93" t="s">
        <v>402</v>
      </c>
      <c r="W330" s="93" t="s">
        <v>24</v>
      </c>
    </row>
    <row r="331" spans="1:23" x14ac:dyDescent="0.15">
      <c r="A331" s="93" t="s">
        <v>7307</v>
      </c>
      <c r="B331" s="93" t="s">
        <v>7308</v>
      </c>
      <c r="C331" s="93">
        <v>41</v>
      </c>
      <c r="D331" s="93" t="s">
        <v>24</v>
      </c>
      <c r="E331" s="93" t="s">
        <v>24</v>
      </c>
      <c r="F331" s="93" t="s">
        <v>7</v>
      </c>
      <c r="G331" s="93" t="s">
        <v>7185</v>
      </c>
      <c r="H331" s="93" t="s">
        <v>400</v>
      </c>
      <c r="I331" s="93" t="s">
        <v>111</v>
      </c>
      <c r="J331" s="93" t="s">
        <v>7105</v>
      </c>
      <c r="K331" s="93" t="s">
        <v>111</v>
      </c>
      <c r="L331" s="93" t="s">
        <v>111</v>
      </c>
      <c r="M331" s="93" t="s">
        <v>111</v>
      </c>
      <c r="N331" s="93" t="s">
        <v>111</v>
      </c>
      <c r="O331" s="93" t="s">
        <v>111</v>
      </c>
      <c r="P331" s="93" t="s">
        <v>111</v>
      </c>
      <c r="Q331" s="93" t="s">
        <v>111</v>
      </c>
      <c r="R331" s="93" t="s">
        <v>111</v>
      </c>
      <c r="S331" s="93" t="s">
        <v>111</v>
      </c>
      <c r="T331" s="93" t="s">
        <v>116</v>
      </c>
      <c r="U331" s="94">
        <v>44596.583333333336</v>
      </c>
      <c r="V331" s="93" t="s">
        <v>402</v>
      </c>
      <c r="W331" s="93" t="s">
        <v>24</v>
      </c>
    </row>
    <row r="332" spans="1:23" x14ac:dyDescent="0.15">
      <c r="A332" s="93" t="s">
        <v>7309</v>
      </c>
      <c r="B332" s="93" t="s">
        <v>7310</v>
      </c>
      <c r="C332" s="93">
        <v>64</v>
      </c>
      <c r="D332" s="93" t="s">
        <v>24</v>
      </c>
      <c r="E332" s="93" t="s">
        <v>24</v>
      </c>
      <c r="F332" s="93" t="s">
        <v>7</v>
      </c>
      <c r="G332" s="93" t="s">
        <v>7185</v>
      </c>
      <c r="H332" s="93" t="s">
        <v>400</v>
      </c>
      <c r="I332" s="93" t="s">
        <v>111</v>
      </c>
      <c r="J332" s="93" t="s">
        <v>7105</v>
      </c>
      <c r="K332" s="93" t="s">
        <v>111</v>
      </c>
      <c r="L332" s="93" t="s">
        <v>111</v>
      </c>
      <c r="M332" s="93" t="s">
        <v>111</v>
      </c>
      <c r="N332" s="93" t="s">
        <v>111</v>
      </c>
      <c r="O332" s="93" t="s">
        <v>111</v>
      </c>
      <c r="P332" s="93" t="s">
        <v>111</v>
      </c>
      <c r="Q332" s="93" t="s">
        <v>111</v>
      </c>
      <c r="R332" s="93" t="s">
        <v>2</v>
      </c>
      <c r="S332" s="93" t="s">
        <v>111</v>
      </c>
      <c r="T332" s="93" t="s">
        <v>116</v>
      </c>
      <c r="U332" s="94">
        <v>44596.605555555558</v>
      </c>
      <c r="V332" s="93" t="s">
        <v>402</v>
      </c>
      <c r="W332" s="93" t="s">
        <v>24</v>
      </c>
    </row>
    <row r="333" spans="1:23" x14ac:dyDescent="0.15">
      <c r="A333" s="93" t="s">
        <v>7311</v>
      </c>
      <c r="B333" s="93" t="s">
        <v>7312</v>
      </c>
      <c r="C333" s="93">
        <v>17</v>
      </c>
      <c r="D333" s="93" t="s">
        <v>24</v>
      </c>
      <c r="E333" s="93" t="s">
        <v>24</v>
      </c>
      <c r="F333" s="93" t="s">
        <v>7</v>
      </c>
      <c r="G333" s="93" t="s">
        <v>7185</v>
      </c>
      <c r="H333" s="93" t="s">
        <v>400</v>
      </c>
      <c r="I333" s="93" t="s">
        <v>111</v>
      </c>
      <c r="J333" s="93" t="s">
        <v>7105</v>
      </c>
      <c r="K333" s="93" t="s">
        <v>111</v>
      </c>
      <c r="L333" s="93" t="s">
        <v>111</v>
      </c>
      <c r="M333" s="93" t="s">
        <v>111</v>
      </c>
      <c r="N333" s="93" t="s">
        <v>111</v>
      </c>
      <c r="O333" s="93" t="s">
        <v>111</v>
      </c>
      <c r="P333" s="93" t="s">
        <v>111</v>
      </c>
      <c r="Q333" s="93" t="s">
        <v>111</v>
      </c>
      <c r="R333" s="93" t="s">
        <v>2</v>
      </c>
      <c r="S333" s="93" t="s">
        <v>111</v>
      </c>
      <c r="T333" s="93" t="s">
        <v>116</v>
      </c>
      <c r="U333" s="94">
        <v>44596.604166666664</v>
      </c>
      <c r="V333" s="93" t="s">
        <v>402</v>
      </c>
      <c r="W333" s="93" t="s">
        <v>24</v>
      </c>
    </row>
    <row r="334" spans="1:23" x14ac:dyDescent="0.15">
      <c r="A334" s="93" t="s">
        <v>7313</v>
      </c>
      <c r="B334" s="93" t="s">
        <v>7314</v>
      </c>
      <c r="C334" s="93">
        <v>44</v>
      </c>
      <c r="D334" s="93" t="s">
        <v>24</v>
      </c>
      <c r="E334" s="93" t="s">
        <v>24</v>
      </c>
      <c r="F334" s="93" t="s">
        <v>7</v>
      </c>
      <c r="G334" s="93" t="s">
        <v>7185</v>
      </c>
      <c r="H334" s="93" t="s">
        <v>400</v>
      </c>
      <c r="I334" s="93" t="s">
        <v>111</v>
      </c>
      <c r="J334" s="93" t="s">
        <v>7105</v>
      </c>
      <c r="K334" s="93" t="s">
        <v>111</v>
      </c>
      <c r="L334" s="93" t="s">
        <v>111</v>
      </c>
      <c r="M334" s="93" t="s">
        <v>111</v>
      </c>
      <c r="N334" s="93" t="s">
        <v>111</v>
      </c>
      <c r="O334" s="93" t="s">
        <v>111</v>
      </c>
      <c r="P334" s="93" t="s">
        <v>111</v>
      </c>
      <c r="Q334" s="93" t="s">
        <v>111</v>
      </c>
      <c r="R334" s="93" t="s">
        <v>111</v>
      </c>
      <c r="S334" s="93" t="s">
        <v>111</v>
      </c>
      <c r="T334" s="93" t="s">
        <v>116</v>
      </c>
      <c r="U334" s="94">
        <v>44596.574305555558</v>
      </c>
      <c r="V334" s="93" t="s">
        <v>402</v>
      </c>
      <c r="W334" s="93" t="s">
        <v>24</v>
      </c>
    </row>
    <row r="335" spans="1:23" x14ac:dyDescent="0.15">
      <c r="A335" s="93" t="s">
        <v>7315</v>
      </c>
      <c r="B335" s="93" t="s">
        <v>7316</v>
      </c>
      <c r="C335" s="93">
        <v>68</v>
      </c>
      <c r="D335" s="93" t="s">
        <v>24</v>
      </c>
      <c r="E335" s="93" t="s">
        <v>24</v>
      </c>
      <c r="F335" s="93" t="s">
        <v>7</v>
      </c>
      <c r="G335" s="93" t="s">
        <v>7185</v>
      </c>
      <c r="H335" s="93" t="s">
        <v>400</v>
      </c>
      <c r="I335" s="93" t="s">
        <v>111</v>
      </c>
      <c r="J335" s="93" t="s">
        <v>7105</v>
      </c>
      <c r="K335" s="93" t="s">
        <v>111</v>
      </c>
      <c r="L335" s="93" t="s">
        <v>111</v>
      </c>
      <c r="M335" s="93" t="s">
        <v>111</v>
      </c>
      <c r="N335" s="93" t="s">
        <v>111</v>
      </c>
      <c r="O335" s="93" t="s">
        <v>111</v>
      </c>
      <c r="P335" s="93" t="s">
        <v>111</v>
      </c>
      <c r="Q335" s="93" t="s">
        <v>111</v>
      </c>
      <c r="R335" s="93" t="s">
        <v>111</v>
      </c>
      <c r="S335" s="93" t="s">
        <v>111</v>
      </c>
      <c r="T335" s="93" t="s">
        <v>116</v>
      </c>
      <c r="U335" s="94">
        <v>44596.570138888892</v>
      </c>
      <c r="V335" s="93" t="s">
        <v>402</v>
      </c>
      <c r="W335" s="93" t="s">
        <v>24</v>
      </c>
    </row>
    <row r="336" spans="1:23" x14ac:dyDescent="0.15">
      <c r="A336" s="93" t="s">
        <v>7317</v>
      </c>
      <c r="B336" s="93" t="s">
        <v>7318</v>
      </c>
      <c r="C336" s="93">
        <v>37</v>
      </c>
      <c r="D336" s="93" t="s">
        <v>24</v>
      </c>
      <c r="E336" s="93" t="s">
        <v>24</v>
      </c>
      <c r="F336" s="93" t="s">
        <v>7</v>
      </c>
      <c r="G336" s="93" t="s">
        <v>7185</v>
      </c>
      <c r="H336" s="93" t="s">
        <v>400</v>
      </c>
      <c r="I336" s="93" t="s">
        <v>111</v>
      </c>
      <c r="J336" s="93" t="s">
        <v>7105</v>
      </c>
      <c r="K336" s="93" t="s">
        <v>111</v>
      </c>
      <c r="L336" s="93" t="s">
        <v>111</v>
      </c>
      <c r="M336" s="93" t="s">
        <v>111</v>
      </c>
      <c r="N336" s="93" t="s">
        <v>111</v>
      </c>
      <c r="O336" s="93" t="s">
        <v>111</v>
      </c>
      <c r="P336" s="93" t="s">
        <v>111</v>
      </c>
      <c r="Q336" s="93" t="s">
        <v>111</v>
      </c>
      <c r="R336" s="93" t="s">
        <v>111</v>
      </c>
      <c r="S336" s="93" t="s">
        <v>111</v>
      </c>
      <c r="T336" s="93" t="s">
        <v>116</v>
      </c>
      <c r="U336" s="94">
        <v>44596.56527777778</v>
      </c>
      <c r="V336" s="93" t="s">
        <v>402</v>
      </c>
      <c r="W336" s="93" t="s">
        <v>24</v>
      </c>
    </row>
    <row r="337" spans="1:23" x14ac:dyDescent="0.15">
      <c r="A337" s="93" t="s">
        <v>7319</v>
      </c>
      <c r="B337" s="93" t="s">
        <v>7320</v>
      </c>
      <c r="C337" s="93">
        <v>95</v>
      </c>
      <c r="D337" s="93" t="s">
        <v>24</v>
      </c>
      <c r="E337" s="93" t="s">
        <v>24</v>
      </c>
      <c r="F337" s="93" t="s">
        <v>7</v>
      </c>
      <c r="G337" s="93" t="s">
        <v>7185</v>
      </c>
      <c r="H337" s="93" t="s">
        <v>400</v>
      </c>
      <c r="I337" s="93" t="s">
        <v>111</v>
      </c>
      <c r="J337" s="93" t="s">
        <v>7105</v>
      </c>
      <c r="K337" s="93" t="s">
        <v>111</v>
      </c>
      <c r="L337" s="93" t="s">
        <v>111</v>
      </c>
      <c r="M337" s="93" t="s">
        <v>111</v>
      </c>
      <c r="N337" s="93" t="s">
        <v>111</v>
      </c>
      <c r="O337" s="93" t="s">
        <v>111</v>
      </c>
      <c r="P337" s="93" t="s">
        <v>111</v>
      </c>
      <c r="Q337" s="93" t="s">
        <v>111</v>
      </c>
      <c r="R337" s="93" t="s">
        <v>111</v>
      </c>
      <c r="S337" s="93" t="s">
        <v>111</v>
      </c>
      <c r="T337" s="93" t="s">
        <v>116</v>
      </c>
      <c r="U337" s="94">
        <v>44596.561111111114</v>
      </c>
      <c r="V337" s="93" t="s">
        <v>402</v>
      </c>
      <c r="W337" s="93" t="s">
        <v>24</v>
      </c>
    </row>
    <row r="338" spans="1:23" x14ac:dyDescent="0.15">
      <c r="A338" s="93" t="s">
        <v>7321</v>
      </c>
      <c r="B338" s="93" t="s">
        <v>7322</v>
      </c>
      <c r="C338" s="93">
        <v>148</v>
      </c>
      <c r="D338" s="93" t="s">
        <v>24</v>
      </c>
      <c r="E338" s="93" t="s">
        <v>24</v>
      </c>
      <c r="F338" s="93" t="s">
        <v>7</v>
      </c>
      <c r="G338" s="93" t="s">
        <v>7185</v>
      </c>
      <c r="H338" s="93" t="s">
        <v>400</v>
      </c>
      <c r="I338" s="93" t="s">
        <v>111</v>
      </c>
      <c r="J338" s="93" t="s">
        <v>7105</v>
      </c>
      <c r="K338" s="93" t="s">
        <v>111</v>
      </c>
      <c r="L338" s="93" t="s">
        <v>111</v>
      </c>
      <c r="M338" s="93" t="s">
        <v>111</v>
      </c>
      <c r="N338" s="93" t="s">
        <v>111</v>
      </c>
      <c r="O338" s="93" t="s">
        <v>111</v>
      </c>
      <c r="P338" s="93" t="s">
        <v>111</v>
      </c>
      <c r="Q338" s="93" t="s">
        <v>111</v>
      </c>
      <c r="R338" s="93" t="s">
        <v>111</v>
      </c>
      <c r="S338" s="93" t="s">
        <v>111</v>
      </c>
      <c r="T338" s="93" t="s">
        <v>116</v>
      </c>
      <c r="U338" s="94">
        <v>44596.561111111114</v>
      </c>
      <c r="V338" s="93" t="s">
        <v>402</v>
      </c>
      <c r="W338" s="93" t="s">
        <v>24</v>
      </c>
    </row>
    <row r="339" spans="1:23" x14ac:dyDescent="0.15">
      <c r="A339" s="93" t="s">
        <v>7323</v>
      </c>
      <c r="B339" s="93" t="s">
        <v>7324</v>
      </c>
      <c r="C339" s="93">
        <v>360</v>
      </c>
      <c r="D339" s="93" t="s">
        <v>24</v>
      </c>
      <c r="E339" s="93" t="s">
        <v>24</v>
      </c>
      <c r="F339" s="93" t="s">
        <v>399</v>
      </c>
      <c r="G339" s="93" t="s">
        <v>7185</v>
      </c>
      <c r="H339" s="93" t="s">
        <v>400</v>
      </c>
      <c r="I339" s="93" t="s">
        <v>111</v>
      </c>
      <c r="J339" s="93" t="s">
        <v>7105</v>
      </c>
      <c r="K339" s="93" t="s">
        <v>111</v>
      </c>
      <c r="L339" s="93" t="s">
        <v>111</v>
      </c>
      <c r="M339" s="93" t="s">
        <v>111</v>
      </c>
      <c r="N339" s="93" t="s">
        <v>111</v>
      </c>
      <c r="O339" s="93" t="s">
        <v>111</v>
      </c>
      <c r="P339" s="93" t="s">
        <v>111</v>
      </c>
      <c r="Q339" s="93" t="s">
        <v>228</v>
      </c>
      <c r="R339" s="93" t="s">
        <v>111</v>
      </c>
      <c r="S339" s="93" t="s">
        <v>115</v>
      </c>
      <c r="T339" s="93" t="s">
        <v>116</v>
      </c>
      <c r="U339" s="94">
        <v>44610.111111111109</v>
      </c>
      <c r="V339" s="93" t="s">
        <v>7072</v>
      </c>
      <c r="W339" s="93" t="s">
        <v>24</v>
      </c>
    </row>
    <row r="340" spans="1:23" x14ac:dyDescent="0.15">
      <c r="A340" s="93" t="s">
        <v>7325</v>
      </c>
      <c r="B340" s="93" t="s">
        <v>7326</v>
      </c>
      <c r="C340" s="93">
        <v>918</v>
      </c>
      <c r="D340" s="93" t="s">
        <v>24</v>
      </c>
      <c r="E340" s="93" t="s">
        <v>24</v>
      </c>
      <c r="F340" s="93" t="s">
        <v>399</v>
      </c>
      <c r="G340" s="93" t="s">
        <v>7185</v>
      </c>
      <c r="H340" s="93" t="s">
        <v>400</v>
      </c>
      <c r="I340" s="93" t="s">
        <v>111</v>
      </c>
      <c r="J340" s="93" t="s">
        <v>7105</v>
      </c>
      <c r="K340" s="93" t="s">
        <v>111</v>
      </c>
      <c r="L340" s="93" t="s">
        <v>111</v>
      </c>
      <c r="M340" s="93" t="s">
        <v>111</v>
      </c>
      <c r="N340" s="93" t="s">
        <v>111</v>
      </c>
      <c r="O340" s="93" t="s">
        <v>111</v>
      </c>
      <c r="P340" s="93" t="s">
        <v>111</v>
      </c>
      <c r="Q340" s="93" t="s">
        <v>228</v>
      </c>
      <c r="R340" s="93" t="s">
        <v>111</v>
      </c>
      <c r="S340" s="93" t="s">
        <v>115</v>
      </c>
      <c r="T340" s="93" t="s">
        <v>116</v>
      </c>
      <c r="U340" s="94">
        <v>44610.095833333333</v>
      </c>
      <c r="V340" s="93" t="s">
        <v>7072</v>
      </c>
      <c r="W340" s="93" t="s">
        <v>24</v>
      </c>
    </row>
    <row r="341" spans="1:23" x14ac:dyDescent="0.15">
      <c r="A341" s="93" t="s">
        <v>7327</v>
      </c>
      <c r="B341" s="93" t="s">
        <v>7328</v>
      </c>
      <c r="C341" s="93">
        <v>1440</v>
      </c>
      <c r="D341" s="93" t="s">
        <v>24</v>
      </c>
      <c r="E341" s="93" t="s">
        <v>24</v>
      </c>
      <c r="F341" s="93" t="s">
        <v>399</v>
      </c>
      <c r="G341" s="93" t="s">
        <v>7185</v>
      </c>
      <c r="H341" s="93" t="s">
        <v>400</v>
      </c>
      <c r="I341" s="93" t="s">
        <v>111</v>
      </c>
      <c r="J341" s="93" t="s">
        <v>7105</v>
      </c>
      <c r="K341" s="93" t="s">
        <v>111</v>
      </c>
      <c r="L341" s="93" t="s">
        <v>111</v>
      </c>
      <c r="M341" s="93" t="s">
        <v>111</v>
      </c>
      <c r="N341" s="93" t="s">
        <v>111</v>
      </c>
      <c r="O341" s="93" t="s">
        <v>111</v>
      </c>
      <c r="P341" s="93" t="s">
        <v>111</v>
      </c>
      <c r="Q341" s="93" t="s">
        <v>228</v>
      </c>
      <c r="R341" s="93" t="s">
        <v>111</v>
      </c>
      <c r="S341" s="93" t="s">
        <v>115</v>
      </c>
      <c r="T341" s="93" t="s">
        <v>116</v>
      </c>
      <c r="U341" s="94">
        <v>44610.117361111108</v>
      </c>
      <c r="V341" s="93" t="s">
        <v>7072</v>
      </c>
      <c r="W341" s="93" t="s">
        <v>24</v>
      </c>
    </row>
    <row r="342" spans="1:23" x14ac:dyDescent="0.15">
      <c r="A342" s="93" t="s">
        <v>7329</v>
      </c>
      <c r="B342" s="93" t="s">
        <v>7330</v>
      </c>
      <c r="C342" s="93">
        <v>26</v>
      </c>
      <c r="D342" s="93" t="s">
        <v>24</v>
      </c>
      <c r="E342" s="93" t="s">
        <v>24</v>
      </c>
      <c r="F342" s="93" t="s">
        <v>399</v>
      </c>
      <c r="G342" s="93" t="s">
        <v>7185</v>
      </c>
      <c r="H342" s="93" t="s">
        <v>400</v>
      </c>
      <c r="I342" s="93" t="s">
        <v>111</v>
      </c>
      <c r="J342" s="93" t="s">
        <v>7105</v>
      </c>
      <c r="K342" s="93" t="s">
        <v>111</v>
      </c>
      <c r="L342" s="93" t="s">
        <v>111</v>
      </c>
      <c r="M342" s="93" t="s">
        <v>111</v>
      </c>
      <c r="N342" s="93" t="s">
        <v>111</v>
      </c>
      <c r="O342" s="93" t="s">
        <v>111</v>
      </c>
      <c r="P342" s="93" t="s">
        <v>111</v>
      </c>
      <c r="Q342" s="93" t="s">
        <v>228</v>
      </c>
      <c r="R342" s="93" t="s">
        <v>111</v>
      </c>
      <c r="S342" s="93" t="s">
        <v>115</v>
      </c>
      <c r="T342" s="93" t="s">
        <v>116</v>
      </c>
      <c r="U342" s="94">
        <v>44610.056250000001</v>
      </c>
      <c r="V342" s="93" t="s">
        <v>7072</v>
      </c>
      <c r="W342" s="93" t="s">
        <v>24</v>
      </c>
    </row>
    <row r="343" spans="1:23" x14ac:dyDescent="0.15">
      <c r="A343" s="93" t="s">
        <v>7331</v>
      </c>
      <c r="B343" s="93" t="s">
        <v>7332</v>
      </c>
      <c r="C343" s="93">
        <v>67</v>
      </c>
      <c r="D343" s="93" t="s">
        <v>24</v>
      </c>
      <c r="E343" s="93" t="s">
        <v>24</v>
      </c>
      <c r="F343" s="93" t="s">
        <v>399</v>
      </c>
      <c r="G343" s="93" t="s">
        <v>7185</v>
      </c>
      <c r="H343" s="93" t="s">
        <v>400</v>
      </c>
      <c r="I343" s="93" t="s">
        <v>111</v>
      </c>
      <c r="J343" s="93" t="s">
        <v>7105</v>
      </c>
      <c r="K343" s="93" t="s">
        <v>111</v>
      </c>
      <c r="L343" s="93" t="s">
        <v>111</v>
      </c>
      <c r="M343" s="93" t="s">
        <v>111</v>
      </c>
      <c r="N343" s="93" t="s">
        <v>111</v>
      </c>
      <c r="O343" s="93" t="s">
        <v>111</v>
      </c>
      <c r="P343" s="93" t="s">
        <v>111</v>
      </c>
      <c r="Q343" s="93" t="s">
        <v>228</v>
      </c>
      <c r="R343" s="93" t="s">
        <v>111</v>
      </c>
      <c r="S343" s="93" t="s">
        <v>115</v>
      </c>
      <c r="T343" s="93" t="s">
        <v>116</v>
      </c>
      <c r="U343" s="94">
        <v>44610.088888888888</v>
      </c>
      <c r="V343" s="93" t="s">
        <v>7072</v>
      </c>
      <c r="W343" s="93" t="s">
        <v>24</v>
      </c>
    </row>
    <row r="344" spans="1:23" x14ac:dyDescent="0.15">
      <c r="A344" s="93" t="s">
        <v>7333</v>
      </c>
      <c r="B344" s="93" t="s">
        <v>7334</v>
      </c>
      <c r="C344" s="93">
        <v>104</v>
      </c>
      <c r="D344" s="93" t="s">
        <v>24</v>
      </c>
      <c r="E344" s="93" t="s">
        <v>24</v>
      </c>
      <c r="F344" s="93" t="s">
        <v>399</v>
      </c>
      <c r="G344" s="93" t="s">
        <v>7185</v>
      </c>
      <c r="H344" s="93" t="s">
        <v>400</v>
      </c>
      <c r="I344" s="93" t="s">
        <v>111</v>
      </c>
      <c r="J344" s="93" t="s">
        <v>7105</v>
      </c>
      <c r="K344" s="93" t="s">
        <v>111</v>
      </c>
      <c r="L344" s="93" t="s">
        <v>111</v>
      </c>
      <c r="M344" s="93" t="s">
        <v>111</v>
      </c>
      <c r="N344" s="93" t="s">
        <v>111</v>
      </c>
      <c r="O344" s="93" t="s">
        <v>111</v>
      </c>
      <c r="P344" s="93" t="s">
        <v>111</v>
      </c>
      <c r="Q344" s="93" t="s">
        <v>228</v>
      </c>
      <c r="R344" s="93" t="s">
        <v>111</v>
      </c>
      <c r="S344" s="93" t="s">
        <v>115</v>
      </c>
      <c r="T344" s="93" t="s">
        <v>116</v>
      </c>
      <c r="U344" s="94">
        <v>44610.095833333333</v>
      </c>
      <c r="V344" s="93" t="s">
        <v>7072</v>
      </c>
      <c r="W344" s="93" t="s">
        <v>24</v>
      </c>
    </row>
    <row r="345" spans="1:23" x14ac:dyDescent="0.15">
      <c r="A345" s="93" t="s">
        <v>1035</v>
      </c>
      <c r="B345" s="93" t="s">
        <v>7335</v>
      </c>
      <c r="C345" s="93">
        <v>10</v>
      </c>
      <c r="D345" s="93" t="s">
        <v>24</v>
      </c>
      <c r="E345" s="93" t="s">
        <v>24</v>
      </c>
      <c r="F345" s="93" t="s">
        <v>7</v>
      </c>
      <c r="G345" s="93" t="s">
        <v>7185</v>
      </c>
      <c r="H345" s="93" t="s">
        <v>400</v>
      </c>
      <c r="I345" s="93" t="s">
        <v>111</v>
      </c>
      <c r="J345" s="93" t="s">
        <v>7105</v>
      </c>
      <c r="K345" s="93" t="s">
        <v>111</v>
      </c>
      <c r="L345" s="93" t="s">
        <v>111</v>
      </c>
      <c r="M345" s="93" t="s">
        <v>111</v>
      </c>
      <c r="N345" s="93" t="s">
        <v>111</v>
      </c>
      <c r="O345" s="93" t="s">
        <v>111</v>
      </c>
      <c r="P345" s="93" t="s">
        <v>111</v>
      </c>
      <c r="Q345" s="93" t="s">
        <v>228</v>
      </c>
      <c r="R345" s="93" t="s">
        <v>111</v>
      </c>
      <c r="S345" s="93" t="s">
        <v>115</v>
      </c>
      <c r="T345" s="93" t="s">
        <v>116</v>
      </c>
      <c r="U345" s="94">
        <v>44610.089583333334</v>
      </c>
      <c r="V345" s="93" t="s">
        <v>7336</v>
      </c>
      <c r="W345" s="93" t="s">
        <v>24</v>
      </c>
    </row>
    <row r="346" spans="1:23" x14ac:dyDescent="0.15">
      <c r="A346" s="93" t="s">
        <v>1036</v>
      </c>
      <c r="B346" s="93" t="s">
        <v>7337</v>
      </c>
      <c r="C346" s="93">
        <v>26</v>
      </c>
      <c r="D346" s="93" t="s">
        <v>24</v>
      </c>
      <c r="E346" s="93" t="s">
        <v>24</v>
      </c>
      <c r="F346" s="93" t="s">
        <v>7</v>
      </c>
      <c r="G346" s="93" t="s">
        <v>7185</v>
      </c>
      <c r="H346" s="93" t="s">
        <v>400</v>
      </c>
      <c r="I346" s="93" t="s">
        <v>111</v>
      </c>
      <c r="J346" s="93" t="s">
        <v>7105</v>
      </c>
      <c r="K346" s="93" t="s">
        <v>111</v>
      </c>
      <c r="L346" s="93" t="s">
        <v>111</v>
      </c>
      <c r="M346" s="93" t="s">
        <v>111</v>
      </c>
      <c r="N346" s="93" t="s">
        <v>111</v>
      </c>
      <c r="O346" s="93" t="s">
        <v>111</v>
      </c>
      <c r="P346" s="93" t="s">
        <v>111</v>
      </c>
      <c r="Q346" s="93" t="s">
        <v>228</v>
      </c>
      <c r="R346" s="93" t="s">
        <v>111</v>
      </c>
      <c r="S346" s="93" t="s">
        <v>115</v>
      </c>
      <c r="T346" s="93" t="s">
        <v>116</v>
      </c>
      <c r="U346" s="94">
        <v>44610.09652777778</v>
      </c>
      <c r="V346" s="93" t="s">
        <v>7336</v>
      </c>
      <c r="W346" s="93" t="s">
        <v>24</v>
      </c>
    </row>
    <row r="347" spans="1:23" x14ac:dyDescent="0.15">
      <c r="A347" s="93" t="s">
        <v>1037</v>
      </c>
      <c r="B347" s="93" t="s">
        <v>7338</v>
      </c>
      <c r="C347" s="93">
        <v>40</v>
      </c>
      <c r="D347" s="93" t="s">
        <v>24</v>
      </c>
      <c r="E347" s="93" t="s">
        <v>24</v>
      </c>
      <c r="F347" s="93" t="s">
        <v>7</v>
      </c>
      <c r="G347" s="93" t="s">
        <v>7185</v>
      </c>
      <c r="H347" s="93" t="s">
        <v>400</v>
      </c>
      <c r="I347" s="93" t="s">
        <v>111</v>
      </c>
      <c r="J347" s="93" t="s">
        <v>7105</v>
      </c>
      <c r="K347" s="93" t="s">
        <v>111</v>
      </c>
      <c r="L347" s="93" t="s">
        <v>111</v>
      </c>
      <c r="M347" s="93" t="s">
        <v>111</v>
      </c>
      <c r="N347" s="93" t="s">
        <v>111</v>
      </c>
      <c r="O347" s="93" t="s">
        <v>111</v>
      </c>
      <c r="P347" s="93" t="s">
        <v>111</v>
      </c>
      <c r="Q347" s="93" t="s">
        <v>228</v>
      </c>
      <c r="R347" s="93" t="s">
        <v>111</v>
      </c>
      <c r="S347" s="93" t="s">
        <v>115</v>
      </c>
      <c r="T347" s="93" t="s">
        <v>116</v>
      </c>
      <c r="U347" s="94">
        <v>44610.07916666667</v>
      </c>
      <c r="V347" s="93" t="s">
        <v>7336</v>
      </c>
      <c r="W347" s="93" t="s">
        <v>24</v>
      </c>
    </row>
    <row r="348" spans="1:23" x14ac:dyDescent="0.15">
      <c r="A348" s="93" t="s">
        <v>1038</v>
      </c>
      <c r="B348" s="93" t="s">
        <v>7339</v>
      </c>
      <c r="C348" s="93">
        <v>8</v>
      </c>
      <c r="D348" s="93" t="s">
        <v>24</v>
      </c>
      <c r="E348" s="93" t="s">
        <v>24</v>
      </c>
      <c r="F348" s="93" t="s">
        <v>7</v>
      </c>
      <c r="G348" s="93" t="s">
        <v>7185</v>
      </c>
      <c r="H348" s="93" t="s">
        <v>400</v>
      </c>
      <c r="I348" s="93" t="s">
        <v>111</v>
      </c>
      <c r="J348" s="93" t="s">
        <v>7105</v>
      </c>
      <c r="K348" s="93" t="s">
        <v>111</v>
      </c>
      <c r="L348" s="93" t="s">
        <v>111</v>
      </c>
      <c r="M348" s="93" t="s">
        <v>111</v>
      </c>
      <c r="N348" s="93" t="s">
        <v>111</v>
      </c>
      <c r="O348" s="93" t="s">
        <v>111</v>
      </c>
      <c r="P348" s="93" t="s">
        <v>111</v>
      </c>
      <c r="Q348" s="93" t="s">
        <v>228</v>
      </c>
      <c r="R348" s="93" t="s">
        <v>111</v>
      </c>
      <c r="S348" s="93" t="s">
        <v>115</v>
      </c>
      <c r="T348" s="93" t="s">
        <v>116</v>
      </c>
      <c r="U348" s="94">
        <v>44610.056250000001</v>
      </c>
      <c r="V348" s="93" t="s">
        <v>7336</v>
      </c>
      <c r="W348" s="93" t="s">
        <v>24</v>
      </c>
    </row>
    <row r="349" spans="1:23" x14ac:dyDescent="0.15">
      <c r="A349" s="93" t="s">
        <v>1039</v>
      </c>
      <c r="B349" s="93" t="s">
        <v>7340</v>
      </c>
      <c r="C349" s="93">
        <v>21</v>
      </c>
      <c r="D349" s="93" t="s">
        <v>24</v>
      </c>
      <c r="E349" s="93" t="s">
        <v>24</v>
      </c>
      <c r="F349" s="93" t="s">
        <v>7</v>
      </c>
      <c r="G349" s="93" t="s">
        <v>7185</v>
      </c>
      <c r="H349" s="93" t="s">
        <v>400</v>
      </c>
      <c r="I349" s="93" t="s">
        <v>111</v>
      </c>
      <c r="J349" s="93" t="s">
        <v>7105</v>
      </c>
      <c r="K349" s="93" t="s">
        <v>111</v>
      </c>
      <c r="L349" s="93" t="s">
        <v>111</v>
      </c>
      <c r="M349" s="93" t="s">
        <v>111</v>
      </c>
      <c r="N349" s="93" t="s">
        <v>111</v>
      </c>
      <c r="O349" s="93" t="s">
        <v>111</v>
      </c>
      <c r="P349" s="93" t="s">
        <v>111</v>
      </c>
      <c r="Q349" s="93" t="s">
        <v>228</v>
      </c>
      <c r="R349" s="93" t="s">
        <v>111</v>
      </c>
      <c r="S349" s="93" t="s">
        <v>115</v>
      </c>
      <c r="T349" s="93" t="s">
        <v>116</v>
      </c>
      <c r="U349" s="94">
        <v>44610.111805555556</v>
      </c>
      <c r="V349" s="93" t="s">
        <v>7336</v>
      </c>
      <c r="W349" s="93" t="s">
        <v>24</v>
      </c>
    </row>
    <row r="350" spans="1:23" x14ac:dyDescent="0.15">
      <c r="A350" s="93" t="s">
        <v>1040</v>
      </c>
      <c r="B350" s="93" t="s">
        <v>7341</v>
      </c>
      <c r="C350" s="93">
        <v>32</v>
      </c>
      <c r="D350" s="93" t="s">
        <v>24</v>
      </c>
      <c r="E350" s="93" t="s">
        <v>24</v>
      </c>
      <c r="F350" s="93" t="s">
        <v>7</v>
      </c>
      <c r="G350" s="93" t="s">
        <v>7185</v>
      </c>
      <c r="H350" s="93" t="s">
        <v>400</v>
      </c>
      <c r="I350" s="93" t="s">
        <v>111</v>
      </c>
      <c r="J350" s="93" t="s">
        <v>7105</v>
      </c>
      <c r="K350" s="93" t="s">
        <v>111</v>
      </c>
      <c r="L350" s="93" t="s">
        <v>111</v>
      </c>
      <c r="M350" s="93" t="s">
        <v>111</v>
      </c>
      <c r="N350" s="93" t="s">
        <v>111</v>
      </c>
      <c r="O350" s="93" t="s">
        <v>111</v>
      </c>
      <c r="P350" s="93" t="s">
        <v>111</v>
      </c>
      <c r="Q350" s="93" t="s">
        <v>228</v>
      </c>
      <c r="R350" s="93" t="s">
        <v>111</v>
      </c>
      <c r="S350" s="93" t="s">
        <v>115</v>
      </c>
      <c r="T350" s="93" t="s">
        <v>116</v>
      </c>
      <c r="U350" s="94">
        <v>44610.089583333334</v>
      </c>
      <c r="V350" s="93" t="s">
        <v>7336</v>
      </c>
      <c r="W350" s="93" t="s">
        <v>24</v>
      </c>
    </row>
    <row r="351" spans="1:23" x14ac:dyDescent="0.15">
      <c r="A351" s="93" t="s">
        <v>1041</v>
      </c>
      <c r="B351" s="93" t="s">
        <v>7342</v>
      </c>
      <c r="C351" s="93">
        <v>13</v>
      </c>
      <c r="D351" s="93" t="s">
        <v>24</v>
      </c>
      <c r="E351" s="93" t="s">
        <v>24</v>
      </c>
      <c r="F351" s="93" t="s">
        <v>7</v>
      </c>
      <c r="G351" s="93" t="s">
        <v>7185</v>
      </c>
      <c r="H351" s="93" t="s">
        <v>400</v>
      </c>
      <c r="I351" s="93" t="s">
        <v>111</v>
      </c>
      <c r="J351" s="93" t="s">
        <v>7105</v>
      </c>
      <c r="K351" s="93" t="s">
        <v>111</v>
      </c>
      <c r="L351" s="93" t="s">
        <v>111</v>
      </c>
      <c r="M351" s="93" t="s">
        <v>111</v>
      </c>
      <c r="N351" s="93" t="s">
        <v>111</v>
      </c>
      <c r="O351" s="93" t="s">
        <v>111</v>
      </c>
      <c r="P351" s="93" t="s">
        <v>111</v>
      </c>
      <c r="Q351" s="93" t="s">
        <v>228</v>
      </c>
      <c r="R351" s="93" t="s">
        <v>111</v>
      </c>
      <c r="S351" s="93" t="s">
        <v>115</v>
      </c>
      <c r="T351" s="93" t="s">
        <v>116</v>
      </c>
      <c r="U351" s="94">
        <v>44610.113194444442</v>
      </c>
      <c r="V351" s="93" t="s">
        <v>7336</v>
      </c>
      <c r="W351" s="93" t="s">
        <v>24</v>
      </c>
    </row>
    <row r="352" spans="1:23" x14ac:dyDescent="0.15">
      <c r="A352" s="93" t="s">
        <v>1042</v>
      </c>
      <c r="B352" s="93" t="s">
        <v>7343</v>
      </c>
      <c r="C352" s="93">
        <v>34</v>
      </c>
      <c r="D352" s="93" t="s">
        <v>24</v>
      </c>
      <c r="E352" s="93" t="s">
        <v>24</v>
      </c>
      <c r="F352" s="93" t="s">
        <v>7</v>
      </c>
      <c r="G352" s="93" t="s">
        <v>7185</v>
      </c>
      <c r="H352" s="93" t="s">
        <v>400</v>
      </c>
      <c r="I352" s="93" t="s">
        <v>111</v>
      </c>
      <c r="J352" s="93" t="s">
        <v>7105</v>
      </c>
      <c r="K352" s="93" t="s">
        <v>111</v>
      </c>
      <c r="L352" s="93" t="s">
        <v>111</v>
      </c>
      <c r="M352" s="93" t="s">
        <v>111</v>
      </c>
      <c r="N352" s="93" t="s">
        <v>111</v>
      </c>
      <c r="O352" s="93" t="s">
        <v>111</v>
      </c>
      <c r="P352" s="93" t="s">
        <v>111</v>
      </c>
      <c r="Q352" s="93" t="s">
        <v>228</v>
      </c>
      <c r="R352" s="93" t="s">
        <v>111</v>
      </c>
      <c r="S352" s="93" t="s">
        <v>115</v>
      </c>
      <c r="T352" s="93" t="s">
        <v>116</v>
      </c>
      <c r="U352" s="94">
        <v>44610.057638888888</v>
      </c>
      <c r="V352" s="93" t="s">
        <v>7336</v>
      </c>
      <c r="W352" s="93" t="s">
        <v>24</v>
      </c>
    </row>
    <row r="353" spans="1:23" x14ac:dyDescent="0.15">
      <c r="A353" s="93" t="s">
        <v>1043</v>
      </c>
      <c r="B353" s="93" t="s">
        <v>7344</v>
      </c>
      <c r="C353" s="93">
        <v>52</v>
      </c>
      <c r="D353" s="93" t="s">
        <v>24</v>
      </c>
      <c r="E353" s="93" t="s">
        <v>24</v>
      </c>
      <c r="F353" s="93" t="s">
        <v>7</v>
      </c>
      <c r="G353" s="93" t="s">
        <v>7185</v>
      </c>
      <c r="H353" s="93" t="s">
        <v>400</v>
      </c>
      <c r="I353" s="93" t="s">
        <v>111</v>
      </c>
      <c r="J353" s="93" t="s">
        <v>7105</v>
      </c>
      <c r="K353" s="93" t="s">
        <v>111</v>
      </c>
      <c r="L353" s="93" t="s">
        <v>111</v>
      </c>
      <c r="M353" s="93" t="s">
        <v>111</v>
      </c>
      <c r="N353" s="93" t="s">
        <v>111</v>
      </c>
      <c r="O353" s="93" t="s">
        <v>111</v>
      </c>
      <c r="P353" s="93" t="s">
        <v>111</v>
      </c>
      <c r="Q353" s="93" t="s">
        <v>228</v>
      </c>
      <c r="R353" s="93" t="s">
        <v>111</v>
      </c>
      <c r="S353" s="93" t="s">
        <v>115</v>
      </c>
      <c r="T353" s="93" t="s">
        <v>116</v>
      </c>
      <c r="U353" s="94">
        <v>44610.063888888886</v>
      </c>
      <c r="V353" s="93" t="s">
        <v>7336</v>
      </c>
      <c r="W353" s="93" t="s">
        <v>24</v>
      </c>
    </row>
    <row r="354" spans="1:23" x14ac:dyDescent="0.15">
      <c r="A354" s="93" t="s">
        <v>1048</v>
      </c>
      <c r="B354" s="93" t="s">
        <v>1049</v>
      </c>
      <c r="C354" s="93">
        <v>22</v>
      </c>
      <c r="D354" s="93" t="s">
        <v>24</v>
      </c>
      <c r="E354" s="93" t="s">
        <v>24</v>
      </c>
      <c r="F354" s="93" t="s">
        <v>7</v>
      </c>
      <c r="G354" s="93" t="s">
        <v>7185</v>
      </c>
      <c r="H354" s="93" t="s">
        <v>400</v>
      </c>
      <c r="I354" s="93" t="s">
        <v>111</v>
      </c>
      <c r="J354" s="93" t="s">
        <v>7105</v>
      </c>
      <c r="K354" s="93" t="s">
        <v>111</v>
      </c>
      <c r="L354" s="93" t="s">
        <v>111</v>
      </c>
      <c r="M354" s="93" t="s">
        <v>111</v>
      </c>
      <c r="N354" s="93" t="s">
        <v>111</v>
      </c>
      <c r="O354" s="93" t="s">
        <v>111</v>
      </c>
      <c r="P354" s="93" t="s">
        <v>111</v>
      </c>
      <c r="Q354" s="93" t="s">
        <v>228</v>
      </c>
      <c r="R354" s="93" t="s">
        <v>111</v>
      </c>
      <c r="S354" s="93" t="s">
        <v>115</v>
      </c>
      <c r="T354" s="93" t="s">
        <v>116</v>
      </c>
      <c r="U354" s="94">
        <v>44610.111805555556</v>
      </c>
      <c r="V354" s="93" t="s">
        <v>7336</v>
      </c>
      <c r="W354" s="93" t="s">
        <v>24</v>
      </c>
    </row>
    <row r="355" spans="1:23" x14ac:dyDescent="0.15">
      <c r="A355" s="93" t="s">
        <v>1050</v>
      </c>
      <c r="B355" s="93" t="s">
        <v>7345</v>
      </c>
      <c r="C355" s="93">
        <v>57</v>
      </c>
      <c r="D355" s="93" t="s">
        <v>24</v>
      </c>
      <c r="E355" s="93" t="s">
        <v>24</v>
      </c>
      <c r="F355" s="93" t="s">
        <v>7</v>
      </c>
      <c r="G355" s="93" t="s">
        <v>7185</v>
      </c>
      <c r="H355" s="93" t="s">
        <v>400</v>
      </c>
      <c r="I355" s="93" t="s">
        <v>111</v>
      </c>
      <c r="J355" s="93" t="s">
        <v>7105</v>
      </c>
      <c r="K355" s="93" t="s">
        <v>111</v>
      </c>
      <c r="L355" s="93" t="s">
        <v>111</v>
      </c>
      <c r="M355" s="93" t="s">
        <v>111</v>
      </c>
      <c r="N355" s="93" t="s">
        <v>111</v>
      </c>
      <c r="O355" s="93" t="s">
        <v>111</v>
      </c>
      <c r="P355" s="93" t="s">
        <v>111</v>
      </c>
      <c r="Q355" s="93" t="s">
        <v>228</v>
      </c>
      <c r="R355" s="93" t="s">
        <v>111</v>
      </c>
      <c r="S355" s="93" t="s">
        <v>115</v>
      </c>
      <c r="T355" s="93" t="s">
        <v>116</v>
      </c>
      <c r="U355" s="94">
        <v>44610.090277777781</v>
      </c>
      <c r="V355" s="93" t="s">
        <v>7336</v>
      </c>
      <c r="W355" s="93" t="s">
        <v>24</v>
      </c>
    </row>
    <row r="356" spans="1:23" x14ac:dyDescent="0.15">
      <c r="A356" s="93" t="s">
        <v>1051</v>
      </c>
      <c r="B356" s="93" t="s">
        <v>7346</v>
      </c>
      <c r="C356" s="93">
        <v>88</v>
      </c>
      <c r="D356" s="93" t="s">
        <v>24</v>
      </c>
      <c r="E356" s="93" t="s">
        <v>24</v>
      </c>
      <c r="F356" s="93" t="s">
        <v>7</v>
      </c>
      <c r="G356" s="93" t="s">
        <v>7185</v>
      </c>
      <c r="H356" s="93" t="s">
        <v>400</v>
      </c>
      <c r="I356" s="93" t="s">
        <v>111</v>
      </c>
      <c r="J356" s="93" t="s">
        <v>7105</v>
      </c>
      <c r="K356" s="93" t="s">
        <v>111</v>
      </c>
      <c r="L356" s="93" t="s">
        <v>111</v>
      </c>
      <c r="M356" s="93" t="s">
        <v>111</v>
      </c>
      <c r="N356" s="93" t="s">
        <v>111</v>
      </c>
      <c r="O356" s="93" t="s">
        <v>111</v>
      </c>
      <c r="P356" s="93" t="s">
        <v>111</v>
      </c>
      <c r="Q356" s="93" t="s">
        <v>228</v>
      </c>
      <c r="R356" s="93" t="s">
        <v>111</v>
      </c>
      <c r="S356" s="93" t="s">
        <v>115</v>
      </c>
      <c r="T356" s="93" t="s">
        <v>116</v>
      </c>
      <c r="U356" s="94">
        <v>44610.09652777778</v>
      </c>
      <c r="V356" s="93" t="s">
        <v>7336</v>
      </c>
      <c r="W356" s="93" t="s">
        <v>24</v>
      </c>
    </row>
    <row r="357" spans="1:23" x14ac:dyDescent="0.15">
      <c r="A357" s="93" t="s">
        <v>1052</v>
      </c>
      <c r="B357" s="93" t="s">
        <v>1053</v>
      </c>
      <c r="C357" s="93">
        <v>22</v>
      </c>
      <c r="D357" s="93" t="s">
        <v>24</v>
      </c>
      <c r="E357" s="93" t="s">
        <v>24</v>
      </c>
      <c r="F357" s="93" t="s">
        <v>7</v>
      </c>
      <c r="G357" s="93" t="s">
        <v>7185</v>
      </c>
      <c r="H357" s="93" t="s">
        <v>400</v>
      </c>
      <c r="I357" s="93" t="s">
        <v>111</v>
      </c>
      <c r="J357" s="93" t="s">
        <v>7105</v>
      </c>
      <c r="K357" s="93" t="s">
        <v>111</v>
      </c>
      <c r="L357" s="93" t="s">
        <v>111</v>
      </c>
      <c r="M357" s="93" t="s">
        <v>111</v>
      </c>
      <c r="N357" s="93" t="s">
        <v>111</v>
      </c>
      <c r="O357" s="93" t="s">
        <v>111</v>
      </c>
      <c r="P357" s="93" t="s">
        <v>111</v>
      </c>
      <c r="Q357" s="93" t="s">
        <v>228</v>
      </c>
      <c r="R357" s="93" t="s">
        <v>111</v>
      </c>
      <c r="S357" s="93" t="s">
        <v>115</v>
      </c>
      <c r="T357" s="93" t="s">
        <v>116</v>
      </c>
      <c r="U357" s="94">
        <v>44610.120138888888</v>
      </c>
      <c r="V357" s="93" t="s">
        <v>7336</v>
      </c>
      <c r="W357" s="93" t="s">
        <v>24</v>
      </c>
    </row>
    <row r="358" spans="1:23" x14ac:dyDescent="0.15">
      <c r="A358" s="93" t="s">
        <v>1054</v>
      </c>
      <c r="B358" s="93" t="s">
        <v>7347</v>
      </c>
      <c r="C358" s="93">
        <v>57</v>
      </c>
      <c r="D358" s="93" t="s">
        <v>24</v>
      </c>
      <c r="E358" s="93" t="s">
        <v>24</v>
      </c>
      <c r="F358" s="93" t="s">
        <v>7</v>
      </c>
      <c r="G358" s="93" t="s">
        <v>7185</v>
      </c>
      <c r="H358" s="93" t="s">
        <v>400</v>
      </c>
      <c r="I358" s="93" t="s">
        <v>111</v>
      </c>
      <c r="J358" s="93" t="s">
        <v>7105</v>
      </c>
      <c r="K358" s="93" t="s">
        <v>111</v>
      </c>
      <c r="L358" s="93" t="s">
        <v>111</v>
      </c>
      <c r="M358" s="93" t="s">
        <v>111</v>
      </c>
      <c r="N358" s="93" t="s">
        <v>111</v>
      </c>
      <c r="O358" s="93" t="s">
        <v>111</v>
      </c>
      <c r="P358" s="93" t="s">
        <v>111</v>
      </c>
      <c r="Q358" s="93" t="s">
        <v>228</v>
      </c>
      <c r="R358" s="93" t="s">
        <v>111</v>
      </c>
      <c r="S358" s="93" t="s">
        <v>115</v>
      </c>
      <c r="T358" s="93" t="s">
        <v>116</v>
      </c>
      <c r="U358" s="94">
        <v>44610.079861111109</v>
      </c>
      <c r="V358" s="93" t="s">
        <v>7336</v>
      </c>
      <c r="W358" s="93" t="s">
        <v>24</v>
      </c>
    </row>
    <row r="359" spans="1:23" x14ac:dyDescent="0.15">
      <c r="A359" s="93" t="s">
        <v>1055</v>
      </c>
      <c r="B359" s="93" t="s">
        <v>7348</v>
      </c>
      <c r="C359" s="93">
        <v>88</v>
      </c>
      <c r="D359" s="93" t="s">
        <v>24</v>
      </c>
      <c r="E359" s="93" t="s">
        <v>24</v>
      </c>
      <c r="F359" s="93" t="s">
        <v>7</v>
      </c>
      <c r="G359" s="93" t="s">
        <v>7185</v>
      </c>
      <c r="H359" s="93" t="s">
        <v>400</v>
      </c>
      <c r="I359" s="93" t="s">
        <v>111</v>
      </c>
      <c r="J359" s="93" t="s">
        <v>7105</v>
      </c>
      <c r="K359" s="93" t="s">
        <v>111</v>
      </c>
      <c r="L359" s="93" t="s">
        <v>111</v>
      </c>
      <c r="M359" s="93" t="s">
        <v>111</v>
      </c>
      <c r="N359" s="93" t="s">
        <v>111</v>
      </c>
      <c r="O359" s="93" t="s">
        <v>111</v>
      </c>
      <c r="P359" s="93" t="s">
        <v>111</v>
      </c>
      <c r="Q359" s="93" t="s">
        <v>228</v>
      </c>
      <c r="R359" s="93" t="s">
        <v>111</v>
      </c>
      <c r="S359" s="93" t="s">
        <v>115</v>
      </c>
      <c r="T359" s="93" t="s">
        <v>116</v>
      </c>
      <c r="U359" s="94">
        <v>44610.111805555556</v>
      </c>
      <c r="V359" s="93" t="s">
        <v>7336</v>
      </c>
      <c r="W359" s="93" t="s">
        <v>24</v>
      </c>
    </row>
    <row r="360" spans="1:23" x14ac:dyDescent="0.15">
      <c r="A360" s="93" t="s">
        <v>1056</v>
      </c>
      <c r="B360" s="93" t="s">
        <v>1057</v>
      </c>
      <c r="C360" s="93">
        <v>22</v>
      </c>
      <c r="D360" s="93" t="s">
        <v>24</v>
      </c>
      <c r="E360" s="93" t="s">
        <v>24</v>
      </c>
      <c r="F360" s="93" t="s">
        <v>7</v>
      </c>
      <c r="G360" s="93" t="s">
        <v>7185</v>
      </c>
      <c r="H360" s="93" t="s">
        <v>400</v>
      </c>
      <c r="I360" s="93" t="s">
        <v>111</v>
      </c>
      <c r="J360" s="93" t="s">
        <v>7105</v>
      </c>
      <c r="K360" s="93" t="s">
        <v>111</v>
      </c>
      <c r="L360" s="93" t="s">
        <v>111</v>
      </c>
      <c r="M360" s="93" t="s">
        <v>111</v>
      </c>
      <c r="N360" s="93" t="s">
        <v>111</v>
      </c>
      <c r="O360" s="93" t="s">
        <v>111</v>
      </c>
      <c r="P360" s="93" t="s">
        <v>111</v>
      </c>
      <c r="Q360" s="93" t="s">
        <v>228</v>
      </c>
      <c r="R360" s="93" t="s">
        <v>111</v>
      </c>
      <c r="S360" s="93" t="s">
        <v>115</v>
      </c>
      <c r="T360" s="93" t="s">
        <v>116</v>
      </c>
      <c r="U360" s="94">
        <v>44610.09652777778</v>
      </c>
      <c r="V360" s="93" t="s">
        <v>7336</v>
      </c>
      <c r="W360" s="93" t="s">
        <v>24</v>
      </c>
    </row>
    <row r="361" spans="1:23" x14ac:dyDescent="0.15">
      <c r="A361" s="93" t="s">
        <v>1058</v>
      </c>
      <c r="B361" s="93" t="s">
        <v>7349</v>
      </c>
      <c r="C361" s="93">
        <v>57</v>
      </c>
      <c r="D361" s="93" t="s">
        <v>24</v>
      </c>
      <c r="E361" s="93" t="s">
        <v>24</v>
      </c>
      <c r="F361" s="93" t="s">
        <v>7</v>
      </c>
      <c r="G361" s="93" t="s">
        <v>7185</v>
      </c>
      <c r="H361" s="93" t="s">
        <v>400</v>
      </c>
      <c r="I361" s="93" t="s">
        <v>111</v>
      </c>
      <c r="J361" s="93" t="s">
        <v>7105</v>
      </c>
      <c r="K361" s="93" t="s">
        <v>111</v>
      </c>
      <c r="L361" s="93" t="s">
        <v>111</v>
      </c>
      <c r="M361" s="93" t="s">
        <v>111</v>
      </c>
      <c r="N361" s="93" t="s">
        <v>111</v>
      </c>
      <c r="O361" s="93" t="s">
        <v>111</v>
      </c>
      <c r="P361" s="93" t="s">
        <v>111</v>
      </c>
      <c r="Q361" s="93" t="s">
        <v>228</v>
      </c>
      <c r="R361" s="93" t="s">
        <v>111</v>
      </c>
      <c r="S361" s="93" t="s">
        <v>115</v>
      </c>
      <c r="T361" s="93" t="s">
        <v>116</v>
      </c>
      <c r="U361" s="94">
        <v>44610.118055555555</v>
      </c>
      <c r="V361" s="93" t="s">
        <v>7336</v>
      </c>
      <c r="W361" s="93" t="s">
        <v>24</v>
      </c>
    </row>
    <row r="362" spans="1:23" x14ac:dyDescent="0.15">
      <c r="A362" s="93" t="s">
        <v>1059</v>
      </c>
      <c r="B362" s="93" t="s">
        <v>7350</v>
      </c>
      <c r="C362" s="93">
        <v>88</v>
      </c>
      <c r="D362" s="93" t="s">
        <v>24</v>
      </c>
      <c r="E362" s="93" t="s">
        <v>24</v>
      </c>
      <c r="F362" s="93" t="s">
        <v>7</v>
      </c>
      <c r="G362" s="93" t="s">
        <v>7185</v>
      </c>
      <c r="H362" s="93" t="s">
        <v>400</v>
      </c>
      <c r="I362" s="93" t="s">
        <v>111</v>
      </c>
      <c r="J362" s="93" t="s">
        <v>7105</v>
      </c>
      <c r="K362" s="93" t="s">
        <v>111</v>
      </c>
      <c r="L362" s="93" t="s">
        <v>111</v>
      </c>
      <c r="M362" s="93" t="s">
        <v>111</v>
      </c>
      <c r="N362" s="93" t="s">
        <v>111</v>
      </c>
      <c r="O362" s="93" t="s">
        <v>111</v>
      </c>
      <c r="P362" s="93" t="s">
        <v>111</v>
      </c>
      <c r="Q362" s="93" t="s">
        <v>228</v>
      </c>
      <c r="R362" s="93" t="s">
        <v>111</v>
      </c>
      <c r="S362" s="93" t="s">
        <v>115</v>
      </c>
      <c r="T362" s="93" t="s">
        <v>116</v>
      </c>
      <c r="U362" s="94">
        <v>44610.118055555555</v>
      </c>
      <c r="V362" s="93" t="s">
        <v>7336</v>
      </c>
      <c r="W362" s="93" t="s">
        <v>24</v>
      </c>
    </row>
    <row r="363" spans="1:23" x14ac:dyDescent="0.15">
      <c r="A363" s="93" t="s">
        <v>1060</v>
      </c>
      <c r="B363" s="93" t="s">
        <v>1061</v>
      </c>
      <c r="C363" s="93">
        <v>15</v>
      </c>
      <c r="D363" s="93" t="s">
        <v>24</v>
      </c>
      <c r="E363" s="93" t="s">
        <v>24</v>
      </c>
      <c r="F363" s="93" t="s">
        <v>7</v>
      </c>
      <c r="G363" s="93" t="s">
        <v>7185</v>
      </c>
      <c r="H363" s="93" t="s">
        <v>400</v>
      </c>
      <c r="I363" s="93" t="s">
        <v>111</v>
      </c>
      <c r="J363" s="93" t="s">
        <v>7105</v>
      </c>
      <c r="K363" s="93" t="s">
        <v>111</v>
      </c>
      <c r="L363" s="93" t="s">
        <v>111</v>
      </c>
      <c r="M363" s="93" t="s">
        <v>111</v>
      </c>
      <c r="N363" s="93" t="s">
        <v>111</v>
      </c>
      <c r="O363" s="93" t="s">
        <v>111</v>
      </c>
      <c r="P363" s="93" t="s">
        <v>111</v>
      </c>
      <c r="Q363" s="93" t="s">
        <v>228</v>
      </c>
      <c r="R363" s="93" t="s">
        <v>111</v>
      </c>
      <c r="S363" s="93" t="s">
        <v>115</v>
      </c>
      <c r="T363" s="93" t="s">
        <v>116</v>
      </c>
      <c r="U363" s="94">
        <v>44610.111805555556</v>
      </c>
      <c r="V363" s="93" t="s">
        <v>7336</v>
      </c>
      <c r="W363" s="93" t="s">
        <v>24</v>
      </c>
    </row>
    <row r="364" spans="1:23" x14ac:dyDescent="0.15">
      <c r="A364" s="93" t="s">
        <v>1062</v>
      </c>
      <c r="B364" s="93" t="s">
        <v>7351</v>
      </c>
      <c r="C364" s="93">
        <v>39</v>
      </c>
      <c r="D364" s="93" t="s">
        <v>24</v>
      </c>
      <c r="E364" s="93" t="s">
        <v>24</v>
      </c>
      <c r="F364" s="93" t="s">
        <v>7</v>
      </c>
      <c r="G364" s="93" t="s">
        <v>7185</v>
      </c>
      <c r="H364" s="93" t="s">
        <v>400</v>
      </c>
      <c r="I364" s="93" t="s">
        <v>111</v>
      </c>
      <c r="J364" s="93" t="s">
        <v>7105</v>
      </c>
      <c r="K364" s="93" t="s">
        <v>111</v>
      </c>
      <c r="L364" s="93" t="s">
        <v>111</v>
      </c>
      <c r="M364" s="93" t="s">
        <v>111</v>
      </c>
      <c r="N364" s="93" t="s">
        <v>111</v>
      </c>
      <c r="O364" s="93" t="s">
        <v>111</v>
      </c>
      <c r="P364" s="93" t="s">
        <v>111</v>
      </c>
      <c r="Q364" s="93" t="s">
        <v>228</v>
      </c>
      <c r="R364" s="93" t="s">
        <v>111</v>
      </c>
      <c r="S364" s="93" t="s">
        <v>115</v>
      </c>
      <c r="T364" s="93" t="s">
        <v>116</v>
      </c>
      <c r="U364" s="94">
        <v>44610.09652777778</v>
      </c>
      <c r="V364" s="93" t="s">
        <v>7336</v>
      </c>
      <c r="W364" s="93" t="s">
        <v>24</v>
      </c>
    </row>
    <row r="365" spans="1:23" x14ac:dyDescent="0.15">
      <c r="A365" s="93" t="s">
        <v>1063</v>
      </c>
      <c r="B365" s="93" t="s">
        <v>7352</v>
      </c>
      <c r="C365" s="93">
        <v>60</v>
      </c>
      <c r="D365" s="93" t="s">
        <v>24</v>
      </c>
      <c r="E365" s="93" t="s">
        <v>24</v>
      </c>
      <c r="F365" s="93" t="s">
        <v>7</v>
      </c>
      <c r="G365" s="93" t="s">
        <v>7185</v>
      </c>
      <c r="H365" s="93" t="s">
        <v>400</v>
      </c>
      <c r="I365" s="93" t="s">
        <v>111</v>
      </c>
      <c r="J365" s="93" t="s">
        <v>7105</v>
      </c>
      <c r="K365" s="93" t="s">
        <v>111</v>
      </c>
      <c r="L365" s="93" t="s">
        <v>111</v>
      </c>
      <c r="M365" s="93" t="s">
        <v>111</v>
      </c>
      <c r="N365" s="93" t="s">
        <v>111</v>
      </c>
      <c r="O365" s="93" t="s">
        <v>111</v>
      </c>
      <c r="P365" s="93" t="s">
        <v>111</v>
      </c>
      <c r="Q365" s="93" t="s">
        <v>228</v>
      </c>
      <c r="R365" s="93" t="s">
        <v>111</v>
      </c>
      <c r="S365" s="93" t="s">
        <v>115</v>
      </c>
      <c r="T365" s="93" t="s">
        <v>116</v>
      </c>
      <c r="U365" s="94">
        <v>44610.113194444442</v>
      </c>
      <c r="V365" s="93" t="s">
        <v>7336</v>
      </c>
      <c r="W365" s="93" t="s">
        <v>24</v>
      </c>
    </row>
    <row r="366" spans="1:23" x14ac:dyDescent="0.15">
      <c r="A366" s="93" t="s">
        <v>1064</v>
      </c>
      <c r="B366" s="93" t="s">
        <v>1065</v>
      </c>
      <c r="C366" s="93">
        <v>22</v>
      </c>
      <c r="D366" s="93" t="s">
        <v>24</v>
      </c>
      <c r="E366" s="93" t="s">
        <v>24</v>
      </c>
      <c r="F366" s="93" t="s">
        <v>7</v>
      </c>
      <c r="G366" s="93" t="s">
        <v>7185</v>
      </c>
      <c r="H366" s="93" t="s">
        <v>400</v>
      </c>
      <c r="I366" s="93" t="s">
        <v>111</v>
      </c>
      <c r="J366" s="93" t="s">
        <v>7105</v>
      </c>
      <c r="K366" s="93" t="s">
        <v>111</v>
      </c>
      <c r="L366" s="93" t="s">
        <v>111</v>
      </c>
      <c r="M366" s="93" t="s">
        <v>111</v>
      </c>
      <c r="N366" s="93" t="s">
        <v>111</v>
      </c>
      <c r="O366" s="93" t="s">
        <v>111</v>
      </c>
      <c r="P366" s="93" t="s">
        <v>111</v>
      </c>
      <c r="Q366" s="93" t="s">
        <v>228</v>
      </c>
      <c r="R366" s="93" t="s">
        <v>111</v>
      </c>
      <c r="S366" s="93" t="s">
        <v>115</v>
      </c>
      <c r="T366" s="93" t="s">
        <v>116</v>
      </c>
      <c r="U366" s="94">
        <v>44610.057638888888</v>
      </c>
      <c r="V366" s="93" t="s">
        <v>7336</v>
      </c>
      <c r="W366" s="93" t="s">
        <v>24</v>
      </c>
    </row>
    <row r="367" spans="1:23" x14ac:dyDescent="0.15">
      <c r="A367" s="93" t="s">
        <v>1066</v>
      </c>
      <c r="B367" s="93" t="s">
        <v>7353</v>
      </c>
      <c r="C367" s="93">
        <v>57</v>
      </c>
      <c r="D367" s="93" t="s">
        <v>24</v>
      </c>
      <c r="E367" s="93" t="s">
        <v>24</v>
      </c>
      <c r="F367" s="93" t="s">
        <v>7</v>
      </c>
      <c r="G367" s="93" t="s">
        <v>7185</v>
      </c>
      <c r="H367" s="93" t="s">
        <v>400</v>
      </c>
      <c r="I367" s="93" t="s">
        <v>111</v>
      </c>
      <c r="J367" s="93" t="s">
        <v>7105</v>
      </c>
      <c r="K367" s="93" t="s">
        <v>111</v>
      </c>
      <c r="L367" s="93" t="s">
        <v>111</v>
      </c>
      <c r="M367" s="93" t="s">
        <v>111</v>
      </c>
      <c r="N367" s="93" t="s">
        <v>111</v>
      </c>
      <c r="O367" s="93" t="s">
        <v>111</v>
      </c>
      <c r="P367" s="93" t="s">
        <v>111</v>
      </c>
      <c r="Q367" s="93" t="s">
        <v>228</v>
      </c>
      <c r="R367" s="93" t="s">
        <v>111</v>
      </c>
      <c r="S367" s="93" t="s">
        <v>115</v>
      </c>
      <c r="T367" s="93" t="s">
        <v>116</v>
      </c>
      <c r="U367" s="94">
        <v>44610.063888888886</v>
      </c>
      <c r="V367" s="93" t="s">
        <v>7336</v>
      </c>
      <c r="W367" s="93" t="s">
        <v>24</v>
      </c>
    </row>
    <row r="368" spans="1:23" x14ac:dyDescent="0.15">
      <c r="A368" s="93" t="s">
        <v>1067</v>
      </c>
      <c r="B368" s="93" t="s">
        <v>7354</v>
      </c>
      <c r="C368" s="93">
        <v>88</v>
      </c>
      <c r="D368" s="93" t="s">
        <v>24</v>
      </c>
      <c r="E368" s="93" t="s">
        <v>24</v>
      </c>
      <c r="F368" s="93" t="s">
        <v>7</v>
      </c>
      <c r="G368" s="93" t="s">
        <v>7185</v>
      </c>
      <c r="H368" s="93" t="s">
        <v>400</v>
      </c>
      <c r="I368" s="93" t="s">
        <v>111</v>
      </c>
      <c r="J368" s="93" t="s">
        <v>7105</v>
      </c>
      <c r="K368" s="93" t="s">
        <v>111</v>
      </c>
      <c r="L368" s="93" t="s">
        <v>111</v>
      </c>
      <c r="M368" s="93" t="s">
        <v>111</v>
      </c>
      <c r="N368" s="93" t="s">
        <v>111</v>
      </c>
      <c r="O368" s="93" t="s">
        <v>111</v>
      </c>
      <c r="P368" s="93" t="s">
        <v>111</v>
      </c>
      <c r="Q368" s="93" t="s">
        <v>228</v>
      </c>
      <c r="R368" s="93" t="s">
        <v>111</v>
      </c>
      <c r="S368" s="93" t="s">
        <v>115</v>
      </c>
      <c r="T368" s="93" t="s">
        <v>116</v>
      </c>
      <c r="U368" s="94">
        <v>44610.09652777778</v>
      </c>
      <c r="V368" s="93" t="s">
        <v>7336</v>
      </c>
      <c r="W368" s="93" t="s">
        <v>24</v>
      </c>
    </row>
    <row r="369" spans="1:23" x14ac:dyDescent="0.15">
      <c r="A369" s="93" t="s">
        <v>1044</v>
      </c>
      <c r="B369" s="93" t="s">
        <v>1045</v>
      </c>
      <c r="C369" s="93">
        <v>17</v>
      </c>
      <c r="D369" s="93" t="s">
        <v>24</v>
      </c>
      <c r="E369" s="93" t="s">
        <v>24</v>
      </c>
      <c r="F369" s="93" t="s">
        <v>7</v>
      </c>
      <c r="G369" s="93" t="s">
        <v>7185</v>
      </c>
      <c r="H369" s="93" t="s">
        <v>400</v>
      </c>
      <c r="I369" s="93" t="s">
        <v>111</v>
      </c>
      <c r="J369" s="93" t="s">
        <v>7105</v>
      </c>
      <c r="K369" s="93" t="s">
        <v>111</v>
      </c>
      <c r="L369" s="93" t="s">
        <v>111</v>
      </c>
      <c r="M369" s="93" t="s">
        <v>111</v>
      </c>
      <c r="N369" s="93" t="s">
        <v>111</v>
      </c>
      <c r="O369" s="93" t="s">
        <v>111</v>
      </c>
      <c r="P369" s="93" t="s">
        <v>111</v>
      </c>
      <c r="Q369" s="93" t="s">
        <v>228</v>
      </c>
      <c r="R369" s="93" t="s">
        <v>111</v>
      </c>
      <c r="S369" s="93" t="s">
        <v>115</v>
      </c>
      <c r="T369" s="93" t="s">
        <v>116</v>
      </c>
      <c r="U369" s="94">
        <v>44610.072222222225</v>
      </c>
      <c r="V369" s="93" t="s">
        <v>7336</v>
      </c>
      <c r="W369" s="93" t="s">
        <v>24</v>
      </c>
    </row>
    <row r="370" spans="1:23" x14ac:dyDescent="0.15">
      <c r="A370" s="93" t="s">
        <v>1046</v>
      </c>
      <c r="B370" s="93" t="s">
        <v>7355</v>
      </c>
      <c r="C370" s="93">
        <v>44</v>
      </c>
      <c r="D370" s="93" t="s">
        <v>24</v>
      </c>
      <c r="E370" s="93" t="s">
        <v>24</v>
      </c>
      <c r="F370" s="93" t="s">
        <v>7</v>
      </c>
      <c r="G370" s="93" t="s">
        <v>7185</v>
      </c>
      <c r="H370" s="93" t="s">
        <v>400</v>
      </c>
      <c r="I370" s="93" t="s">
        <v>111</v>
      </c>
      <c r="J370" s="93" t="s">
        <v>7105</v>
      </c>
      <c r="K370" s="93" t="s">
        <v>111</v>
      </c>
      <c r="L370" s="93" t="s">
        <v>111</v>
      </c>
      <c r="M370" s="93" t="s">
        <v>111</v>
      </c>
      <c r="N370" s="93" t="s">
        <v>111</v>
      </c>
      <c r="O370" s="93" t="s">
        <v>111</v>
      </c>
      <c r="P370" s="93" t="s">
        <v>111</v>
      </c>
      <c r="Q370" s="93" t="s">
        <v>228</v>
      </c>
      <c r="R370" s="93" t="s">
        <v>111</v>
      </c>
      <c r="S370" s="93" t="s">
        <v>115</v>
      </c>
      <c r="T370" s="93" t="s">
        <v>116</v>
      </c>
      <c r="U370" s="94">
        <v>44610.056250000001</v>
      </c>
      <c r="V370" s="93" t="s">
        <v>7336</v>
      </c>
      <c r="W370" s="93" t="s">
        <v>24</v>
      </c>
    </row>
    <row r="371" spans="1:23" x14ac:dyDescent="0.15">
      <c r="A371" s="93" t="s">
        <v>1047</v>
      </c>
      <c r="B371" s="93" t="s">
        <v>7356</v>
      </c>
      <c r="C371" s="93">
        <v>68</v>
      </c>
      <c r="D371" s="93" t="s">
        <v>24</v>
      </c>
      <c r="E371" s="93" t="s">
        <v>24</v>
      </c>
      <c r="F371" s="93" t="s">
        <v>7</v>
      </c>
      <c r="G371" s="93" t="s">
        <v>7185</v>
      </c>
      <c r="H371" s="93" t="s">
        <v>400</v>
      </c>
      <c r="I371" s="93" t="s">
        <v>111</v>
      </c>
      <c r="J371" s="93" t="s">
        <v>7105</v>
      </c>
      <c r="K371" s="93" t="s">
        <v>111</v>
      </c>
      <c r="L371" s="93" t="s">
        <v>111</v>
      </c>
      <c r="M371" s="93" t="s">
        <v>111</v>
      </c>
      <c r="N371" s="93" t="s">
        <v>111</v>
      </c>
      <c r="O371" s="93" t="s">
        <v>111</v>
      </c>
      <c r="P371" s="93" t="s">
        <v>111</v>
      </c>
      <c r="Q371" s="93" t="s">
        <v>228</v>
      </c>
      <c r="R371" s="93" t="s">
        <v>111</v>
      </c>
      <c r="S371" s="93" t="s">
        <v>115</v>
      </c>
      <c r="T371" s="93" t="s">
        <v>116</v>
      </c>
      <c r="U371" s="94">
        <v>44610.120138888888</v>
      </c>
      <c r="V371" s="93" t="s">
        <v>7336</v>
      </c>
      <c r="W371" s="93" t="s">
        <v>24</v>
      </c>
    </row>
    <row r="372" spans="1:23" x14ac:dyDescent="0.15">
      <c r="A372" s="93" t="s">
        <v>1068</v>
      </c>
      <c r="B372" s="93" t="s">
        <v>1069</v>
      </c>
      <c r="C372" s="93">
        <v>33</v>
      </c>
      <c r="D372" s="93" t="s">
        <v>24</v>
      </c>
      <c r="E372" s="93" t="s">
        <v>24</v>
      </c>
      <c r="F372" s="93" t="s">
        <v>7</v>
      </c>
      <c r="G372" s="93" t="s">
        <v>7185</v>
      </c>
      <c r="H372" s="93" t="s">
        <v>400</v>
      </c>
      <c r="I372" s="93" t="s">
        <v>111</v>
      </c>
      <c r="J372" s="93" t="s">
        <v>118</v>
      </c>
      <c r="K372" s="93">
        <v>3</v>
      </c>
      <c r="L372" s="93" t="s">
        <v>111</v>
      </c>
      <c r="M372" s="93" t="s">
        <v>111</v>
      </c>
      <c r="N372" s="93" t="s">
        <v>111</v>
      </c>
      <c r="O372" s="93" t="s">
        <v>111</v>
      </c>
      <c r="P372" s="93" t="s">
        <v>111</v>
      </c>
      <c r="Q372" s="93" t="s">
        <v>228</v>
      </c>
      <c r="R372" s="93" t="s">
        <v>2</v>
      </c>
      <c r="S372" s="93" t="s">
        <v>115</v>
      </c>
      <c r="T372" s="93" t="s">
        <v>116</v>
      </c>
      <c r="U372" s="94">
        <v>44610.06527777778</v>
      </c>
      <c r="V372" s="93" t="s">
        <v>7336</v>
      </c>
      <c r="W372" s="93" t="s">
        <v>24</v>
      </c>
    </row>
    <row r="373" spans="1:23" x14ac:dyDescent="0.15">
      <c r="A373" s="93" t="s">
        <v>1070</v>
      </c>
      <c r="B373" s="93" t="s">
        <v>3843</v>
      </c>
      <c r="C373" s="93">
        <v>85</v>
      </c>
      <c r="D373" s="93" t="s">
        <v>24</v>
      </c>
      <c r="E373" s="93" t="s">
        <v>24</v>
      </c>
      <c r="F373" s="93" t="s">
        <v>7</v>
      </c>
      <c r="G373" s="93" t="s">
        <v>7185</v>
      </c>
      <c r="H373" s="93" t="s">
        <v>400</v>
      </c>
      <c r="I373" s="93" t="s">
        <v>111</v>
      </c>
      <c r="J373" s="93" t="s">
        <v>118</v>
      </c>
      <c r="K373" s="93">
        <v>3</v>
      </c>
      <c r="L373" s="93" t="s">
        <v>111</v>
      </c>
      <c r="M373" s="93" t="s">
        <v>111</v>
      </c>
      <c r="N373" s="93" t="s">
        <v>111</v>
      </c>
      <c r="O373" s="93" t="s">
        <v>111</v>
      </c>
      <c r="P373" s="93" t="s">
        <v>111</v>
      </c>
      <c r="Q373" s="93" t="s">
        <v>228</v>
      </c>
      <c r="R373" s="93" t="s">
        <v>2</v>
      </c>
      <c r="S373" s="93" t="s">
        <v>115</v>
      </c>
      <c r="T373" s="93" t="s">
        <v>116</v>
      </c>
      <c r="U373" s="94">
        <v>44610.073611111111</v>
      </c>
      <c r="V373" s="93" t="s">
        <v>7336</v>
      </c>
      <c r="W373" s="93" t="s">
        <v>24</v>
      </c>
    </row>
    <row r="374" spans="1:23" x14ac:dyDescent="0.15">
      <c r="A374" s="93" t="s">
        <v>1071</v>
      </c>
      <c r="B374" s="93" t="s">
        <v>3844</v>
      </c>
      <c r="C374" s="93">
        <v>132</v>
      </c>
      <c r="D374" s="93" t="s">
        <v>24</v>
      </c>
      <c r="E374" s="93" t="s">
        <v>24</v>
      </c>
      <c r="F374" s="93" t="s">
        <v>7</v>
      </c>
      <c r="G374" s="93" t="s">
        <v>7185</v>
      </c>
      <c r="H374" s="93" t="s">
        <v>400</v>
      </c>
      <c r="I374" s="93" t="s">
        <v>111</v>
      </c>
      <c r="J374" s="93" t="s">
        <v>118</v>
      </c>
      <c r="K374" s="93">
        <v>3</v>
      </c>
      <c r="L374" s="93" t="s">
        <v>111</v>
      </c>
      <c r="M374" s="93" t="s">
        <v>111</v>
      </c>
      <c r="N374" s="93" t="s">
        <v>111</v>
      </c>
      <c r="O374" s="93" t="s">
        <v>111</v>
      </c>
      <c r="P374" s="93" t="s">
        <v>111</v>
      </c>
      <c r="Q374" s="93" t="s">
        <v>228</v>
      </c>
      <c r="R374" s="93" t="s">
        <v>2</v>
      </c>
      <c r="S374" s="93" t="s">
        <v>115</v>
      </c>
      <c r="T374" s="93" t="s">
        <v>116</v>
      </c>
      <c r="U374" s="94">
        <v>44610.106249999997</v>
      </c>
      <c r="V374" s="93" t="s">
        <v>7336</v>
      </c>
      <c r="W374" s="93" t="s">
        <v>24</v>
      </c>
    </row>
    <row r="375" spans="1:23" x14ac:dyDescent="0.15">
      <c r="A375" s="93" t="s">
        <v>964</v>
      </c>
      <c r="B375" s="93" t="s">
        <v>7357</v>
      </c>
      <c r="C375" s="93">
        <v>11</v>
      </c>
      <c r="D375" s="93" t="s">
        <v>24</v>
      </c>
      <c r="E375" s="93" t="s">
        <v>24</v>
      </c>
      <c r="F375" s="93" t="s">
        <v>7</v>
      </c>
      <c r="G375" s="93" t="s">
        <v>7185</v>
      </c>
      <c r="H375" s="93" t="s">
        <v>400</v>
      </c>
      <c r="I375" s="93" t="s">
        <v>111</v>
      </c>
      <c r="J375" s="93" t="s">
        <v>7105</v>
      </c>
      <c r="K375" s="93" t="s">
        <v>111</v>
      </c>
      <c r="L375" s="93" t="s">
        <v>111</v>
      </c>
      <c r="M375" s="93" t="s">
        <v>111</v>
      </c>
      <c r="N375" s="93" t="s">
        <v>111</v>
      </c>
      <c r="O375" s="93" t="s">
        <v>111</v>
      </c>
      <c r="P375" s="93" t="s">
        <v>111</v>
      </c>
      <c r="Q375" s="93" t="s">
        <v>228</v>
      </c>
      <c r="R375" s="93" t="s">
        <v>2</v>
      </c>
      <c r="S375" s="93" t="s">
        <v>115</v>
      </c>
      <c r="T375" s="93" t="s">
        <v>116</v>
      </c>
      <c r="U375" s="94">
        <v>44610.070138888892</v>
      </c>
      <c r="V375" s="93" t="s">
        <v>7072</v>
      </c>
      <c r="W375" s="93" t="s">
        <v>24</v>
      </c>
    </row>
    <row r="376" spans="1:23" x14ac:dyDescent="0.15">
      <c r="A376" s="93" t="s">
        <v>965</v>
      </c>
      <c r="B376" s="93" t="s">
        <v>7358</v>
      </c>
      <c r="C376" s="93">
        <v>29</v>
      </c>
      <c r="D376" s="93" t="s">
        <v>24</v>
      </c>
      <c r="E376" s="93" t="s">
        <v>24</v>
      </c>
      <c r="F376" s="93" t="s">
        <v>7</v>
      </c>
      <c r="G376" s="93" t="s">
        <v>7185</v>
      </c>
      <c r="H376" s="93" t="s">
        <v>400</v>
      </c>
      <c r="I376" s="93" t="s">
        <v>111</v>
      </c>
      <c r="J376" s="93" t="s">
        <v>7105</v>
      </c>
      <c r="K376" s="93" t="s">
        <v>111</v>
      </c>
      <c r="L376" s="93" t="s">
        <v>111</v>
      </c>
      <c r="M376" s="93" t="s">
        <v>111</v>
      </c>
      <c r="N376" s="93" t="s">
        <v>111</v>
      </c>
      <c r="O376" s="93" t="s">
        <v>111</v>
      </c>
      <c r="P376" s="93" t="s">
        <v>111</v>
      </c>
      <c r="Q376" s="93" t="s">
        <v>228</v>
      </c>
      <c r="R376" s="93" t="s">
        <v>2</v>
      </c>
      <c r="S376" s="93" t="s">
        <v>115</v>
      </c>
      <c r="T376" s="93" t="s">
        <v>116</v>
      </c>
      <c r="U376" s="94">
        <v>44610.104861111111</v>
      </c>
      <c r="V376" s="93" t="s">
        <v>7072</v>
      </c>
      <c r="W376" s="93" t="s">
        <v>24</v>
      </c>
    </row>
    <row r="377" spans="1:23" x14ac:dyDescent="0.15">
      <c r="A377" s="93" t="s">
        <v>966</v>
      </c>
      <c r="B377" s="93" t="s">
        <v>7359</v>
      </c>
      <c r="C377" s="93">
        <v>44</v>
      </c>
      <c r="D377" s="93" t="s">
        <v>24</v>
      </c>
      <c r="E377" s="93" t="s">
        <v>24</v>
      </c>
      <c r="F377" s="93" t="s">
        <v>7</v>
      </c>
      <c r="G377" s="93" t="s">
        <v>7185</v>
      </c>
      <c r="H377" s="93" t="s">
        <v>400</v>
      </c>
      <c r="I377" s="93" t="s">
        <v>111</v>
      </c>
      <c r="J377" s="93" t="s">
        <v>7105</v>
      </c>
      <c r="K377" s="93" t="s">
        <v>111</v>
      </c>
      <c r="L377" s="93" t="s">
        <v>111</v>
      </c>
      <c r="M377" s="93" t="s">
        <v>111</v>
      </c>
      <c r="N377" s="93" t="s">
        <v>111</v>
      </c>
      <c r="O377" s="93" t="s">
        <v>111</v>
      </c>
      <c r="P377" s="93" t="s">
        <v>111</v>
      </c>
      <c r="Q377" s="93" t="s">
        <v>228</v>
      </c>
      <c r="R377" s="93" t="s">
        <v>2</v>
      </c>
      <c r="S377" s="93" t="s">
        <v>115</v>
      </c>
      <c r="T377" s="93" t="s">
        <v>116</v>
      </c>
      <c r="U377" s="94">
        <v>44610.109722222223</v>
      </c>
      <c r="V377" s="93" t="s">
        <v>7072</v>
      </c>
      <c r="W377" s="93" t="s">
        <v>24</v>
      </c>
    </row>
    <row r="378" spans="1:23" x14ac:dyDescent="0.15">
      <c r="A378" s="93" t="s">
        <v>967</v>
      </c>
      <c r="B378" s="93" t="s">
        <v>7360</v>
      </c>
      <c r="C378" s="93">
        <v>15</v>
      </c>
      <c r="D378" s="93" t="s">
        <v>24</v>
      </c>
      <c r="E378" s="93" t="s">
        <v>24</v>
      </c>
      <c r="F378" s="93" t="s">
        <v>7</v>
      </c>
      <c r="G378" s="93" t="s">
        <v>7185</v>
      </c>
      <c r="H378" s="93" t="s">
        <v>400</v>
      </c>
      <c r="I378" s="93" t="s">
        <v>111</v>
      </c>
      <c r="J378" s="93" t="s">
        <v>7105</v>
      </c>
      <c r="K378" s="93" t="s">
        <v>111</v>
      </c>
      <c r="L378" s="93" t="s">
        <v>111</v>
      </c>
      <c r="M378" s="93" t="s">
        <v>111</v>
      </c>
      <c r="N378" s="93" t="s">
        <v>111</v>
      </c>
      <c r="O378" s="93" t="s">
        <v>111</v>
      </c>
      <c r="P378" s="93" t="s">
        <v>111</v>
      </c>
      <c r="Q378" s="93" t="s">
        <v>228</v>
      </c>
      <c r="R378" s="93" t="s">
        <v>2</v>
      </c>
      <c r="S378" s="93" t="s">
        <v>115</v>
      </c>
      <c r="T378" s="93" t="s">
        <v>116</v>
      </c>
      <c r="U378" s="94">
        <v>44610.105555555558</v>
      </c>
      <c r="V378" s="93" t="s">
        <v>7072</v>
      </c>
      <c r="W378" s="93" t="s">
        <v>24</v>
      </c>
    </row>
    <row r="379" spans="1:23" x14ac:dyDescent="0.15">
      <c r="A379" s="93" t="s">
        <v>968</v>
      </c>
      <c r="B379" s="93" t="s">
        <v>7361</v>
      </c>
      <c r="C379" s="93">
        <v>39</v>
      </c>
      <c r="D379" s="93" t="s">
        <v>24</v>
      </c>
      <c r="E379" s="93" t="s">
        <v>24</v>
      </c>
      <c r="F379" s="93" t="s">
        <v>7</v>
      </c>
      <c r="G379" s="93" t="s">
        <v>7185</v>
      </c>
      <c r="H379" s="93" t="s">
        <v>400</v>
      </c>
      <c r="I379" s="93" t="s">
        <v>111</v>
      </c>
      <c r="J379" s="93" t="s">
        <v>7105</v>
      </c>
      <c r="K379" s="93" t="s">
        <v>111</v>
      </c>
      <c r="L379" s="93" t="s">
        <v>111</v>
      </c>
      <c r="M379" s="93" t="s">
        <v>111</v>
      </c>
      <c r="N379" s="93" t="s">
        <v>111</v>
      </c>
      <c r="O379" s="93" t="s">
        <v>111</v>
      </c>
      <c r="P379" s="93" t="s">
        <v>111</v>
      </c>
      <c r="Q379" s="93" t="s">
        <v>228</v>
      </c>
      <c r="R379" s="93" t="s">
        <v>2</v>
      </c>
      <c r="S379" s="93" t="s">
        <v>115</v>
      </c>
      <c r="T379" s="93" t="s">
        <v>116</v>
      </c>
      <c r="U379" s="94">
        <v>44610.095138888886</v>
      </c>
      <c r="V379" s="93" t="s">
        <v>7072</v>
      </c>
      <c r="W379" s="93" t="s">
        <v>24</v>
      </c>
    </row>
    <row r="380" spans="1:23" x14ac:dyDescent="0.15">
      <c r="A380" s="93" t="s">
        <v>969</v>
      </c>
      <c r="B380" s="93" t="s">
        <v>7362</v>
      </c>
      <c r="C380" s="93">
        <v>60</v>
      </c>
      <c r="D380" s="93" t="s">
        <v>24</v>
      </c>
      <c r="E380" s="93" t="s">
        <v>24</v>
      </c>
      <c r="F380" s="93" t="s">
        <v>7</v>
      </c>
      <c r="G380" s="93" t="s">
        <v>7185</v>
      </c>
      <c r="H380" s="93" t="s">
        <v>400</v>
      </c>
      <c r="I380" s="93" t="s">
        <v>111</v>
      </c>
      <c r="J380" s="93" t="s">
        <v>7105</v>
      </c>
      <c r="K380" s="93" t="s">
        <v>111</v>
      </c>
      <c r="L380" s="93" t="s">
        <v>111</v>
      </c>
      <c r="M380" s="93" t="s">
        <v>111</v>
      </c>
      <c r="N380" s="93" t="s">
        <v>111</v>
      </c>
      <c r="O380" s="93" t="s">
        <v>111</v>
      </c>
      <c r="P380" s="93" t="s">
        <v>111</v>
      </c>
      <c r="Q380" s="93" t="s">
        <v>228</v>
      </c>
      <c r="R380" s="93" t="s">
        <v>2</v>
      </c>
      <c r="S380" s="93" t="s">
        <v>115</v>
      </c>
      <c r="T380" s="93" t="s">
        <v>116</v>
      </c>
      <c r="U380" s="94">
        <v>44610.095138888886</v>
      </c>
      <c r="V380" s="93" t="s">
        <v>7072</v>
      </c>
      <c r="W380" s="93" t="s">
        <v>24</v>
      </c>
    </row>
    <row r="381" spans="1:23" x14ac:dyDescent="0.15">
      <c r="A381" s="93" t="s">
        <v>970</v>
      </c>
      <c r="B381" s="93" t="s">
        <v>7363</v>
      </c>
      <c r="C381" s="93">
        <v>20</v>
      </c>
      <c r="D381" s="93" t="s">
        <v>24</v>
      </c>
      <c r="E381" s="93" t="s">
        <v>24</v>
      </c>
      <c r="F381" s="93" t="s">
        <v>7</v>
      </c>
      <c r="G381" s="93" t="s">
        <v>7185</v>
      </c>
      <c r="H381" s="93" t="s">
        <v>400</v>
      </c>
      <c r="I381" s="93" t="s">
        <v>111</v>
      </c>
      <c r="J381" s="93" t="s">
        <v>7105</v>
      </c>
      <c r="K381" s="93" t="s">
        <v>111</v>
      </c>
      <c r="L381" s="93" t="s">
        <v>111</v>
      </c>
      <c r="M381" s="93" t="s">
        <v>111</v>
      </c>
      <c r="N381" s="93" t="s">
        <v>111</v>
      </c>
      <c r="O381" s="93" t="s">
        <v>111</v>
      </c>
      <c r="P381" s="93" t="s">
        <v>111</v>
      </c>
      <c r="Q381" s="93" t="s">
        <v>228</v>
      </c>
      <c r="R381" s="93" t="s">
        <v>2</v>
      </c>
      <c r="S381" s="93" t="s">
        <v>115</v>
      </c>
      <c r="T381" s="93" t="s">
        <v>116</v>
      </c>
      <c r="U381" s="94">
        <v>44610.095138888886</v>
      </c>
      <c r="V381" s="93" t="s">
        <v>7072</v>
      </c>
      <c r="W381" s="93" t="s">
        <v>24</v>
      </c>
    </row>
    <row r="382" spans="1:23" x14ac:dyDescent="0.15">
      <c r="A382" s="93" t="s">
        <v>971</v>
      </c>
      <c r="B382" s="93" t="s">
        <v>7364</v>
      </c>
      <c r="C382" s="93">
        <v>51</v>
      </c>
      <c r="D382" s="93" t="s">
        <v>24</v>
      </c>
      <c r="E382" s="93" t="s">
        <v>24</v>
      </c>
      <c r="F382" s="93" t="s">
        <v>7</v>
      </c>
      <c r="G382" s="93" t="s">
        <v>7185</v>
      </c>
      <c r="H382" s="93" t="s">
        <v>400</v>
      </c>
      <c r="I382" s="93" t="s">
        <v>111</v>
      </c>
      <c r="J382" s="93" t="s">
        <v>7105</v>
      </c>
      <c r="K382" s="93" t="s">
        <v>111</v>
      </c>
      <c r="L382" s="93" t="s">
        <v>111</v>
      </c>
      <c r="M382" s="93" t="s">
        <v>111</v>
      </c>
      <c r="N382" s="93" t="s">
        <v>111</v>
      </c>
      <c r="O382" s="93" t="s">
        <v>111</v>
      </c>
      <c r="P382" s="93" t="s">
        <v>111</v>
      </c>
      <c r="Q382" s="93" t="s">
        <v>228</v>
      </c>
      <c r="R382" s="93" t="s">
        <v>2</v>
      </c>
      <c r="S382" s="93" t="s">
        <v>115</v>
      </c>
      <c r="T382" s="93" t="s">
        <v>116</v>
      </c>
      <c r="U382" s="94">
        <v>44610.061805555553</v>
      </c>
      <c r="V382" s="93" t="s">
        <v>7072</v>
      </c>
      <c r="W382" s="93" t="s">
        <v>24</v>
      </c>
    </row>
    <row r="383" spans="1:23" x14ac:dyDescent="0.15">
      <c r="A383" s="93" t="s">
        <v>972</v>
      </c>
      <c r="B383" s="93" t="s">
        <v>7365</v>
      </c>
      <c r="C383" s="93">
        <v>80</v>
      </c>
      <c r="D383" s="93" t="s">
        <v>24</v>
      </c>
      <c r="E383" s="93" t="s">
        <v>24</v>
      </c>
      <c r="F383" s="93" t="s">
        <v>7</v>
      </c>
      <c r="G383" s="93" t="s">
        <v>7185</v>
      </c>
      <c r="H383" s="93" t="s">
        <v>400</v>
      </c>
      <c r="I383" s="93" t="s">
        <v>111</v>
      </c>
      <c r="J383" s="93" t="s">
        <v>7105</v>
      </c>
      <c r="K383" s="93" t="s">
        <v>111</v>
      </c>
      <c r="L383" s="93" t="s">
        <v>111</v>
      </c>
      <c r="M383" s="93" t="s">
        <v>111</v>
      </c>
      <c r="N383" s="93" t="s">
        <v>111</v>
      </c>
      <c r="O383" s="93" t="s">
        <v>111</v>
      </c>
      <c r="P383" s="93" t="s">
        <v>111</v>
      </c>
      <c r="Q383" s="93" t="s">
        <v>228</v>
      </c>
      <c r="R383" s="93" t="s">
        <v>2</v>
      </c>
      <c r="S383" s="93" t="s">
        <v>115</v>
      </c>
      <c r="T383" s="93" t="s">
        <v>116</v>
      </c>
      <c r="U383" s="94">
        <v>44610.069444444445</v>
      </c>
      <c r="V383" s="93" t="s">
        <v>7072</v>
      </c>
      <c r="W383" s="93" t="s">
        <v>24</v>
      </c>
    </row>
    <row r="384" spans="1:23" x14ac:dyDescent="0.15">
      <c r="A384" s="93" t="s">
        <v>973</v>
      </c>
      <c r="B384" s="93" t="s">
        <v>7366</v>
      </c>
      <c r="C384" s="93">
        <v>28</v>
      </c>
      <c r="D384" s="93" t="s">
        <v>24</v>
      </c>
      <c r="E384" s="93" t="s">
        <v>24</v>
      </c>
      <c r="F384" s="93" t="s">
        <v>7</v>
      </c>
      <c r="G384" s="93" t="s">
        <v>7185</v>
      </c>
      <c r="H384" s="93" t="s">
        <v>400</v>
      </c>
      <c r="I384" s="93" t="s">
        <v>111</v>
      </c>
      <c r="J384" s="93" t="s">
        <v>7105</v>
      </c>
      <c r="K384" s="93" t="s">
        <v>111</v>
      </c>
      <c r="L384" s="93" t="s">
        <v>111</v>
      </c>
      <c r="M384" s="93" t="s">
        <v>111</v>
      </c>
      <c r="N384" s="93" t="s">
        <v>111</v>
      </c>
      <c r="O384" s="93" t="s">
        <v>111</v>
      </c>
      <c r="P384" s="93" t="s">
        <v>111</v>
      </c>
      <c r="Q384" s="93" t="s">
        <v>228</v>
      </c>
      <c r="R384" s="93" t="s">
        <v>2</v>
      </c>
      <c r="S384" s="93" t="s">
        <v>115</v>
      </c>
      <c r="T384" s="93" t="s">
        <v>116</v>
      </c>
      <c r="U384" s="94">
        <v>44610.109722222223</v>
      </c>
      <c r="V384" s="93" t="s">
        <v>7072</v>
      </c>
      <c r="W384" s="93" t="s">
        <v>24</v>
      </c>
    </row>
    <row r="385" spans="1:23" x14ac:dyDescent="0.15">
      <c r="A385" s="93" t="s">
        <v>974</v>
      </c>
      <c r="B385" s="93" t="s">
        <v>7367</v>
      </c>
      <c r="C385" s="93">
        <v>72</v>
      </c>
      <c r="D385" s="93" t="s">
        <v>24</v>
      </c>
      <c r="E385" s="93" t="s">
        <v>24</v>
      </c>
      <c r="F385" s="93" t="s">
        <v>7</v>
      </c>
      <c r="G385" s="93" t="s">
        <v>7185</v>
      </c>
      <c r="H385" s="93" t="s">
        <v>400</v>
      </c>
      <c r="I385" s="93" t="s">
        <v>111</v>
      </c>
      <c r="J385" s="93" t="s">
        <v>7105</v>
      </c>
      <c r="K385" s="93" t="s">
        <v>111</v>
      </c>
      <c r="L385" s="93" t="s">
        <v>111</v>
      </c>
      <c r="M385" s="93" t="s">
        <v>111</v>
      </c>
      <c r="N385" s="93" t="s">
        <v>111</v>
      </c>
      <c r="O385" s="93" t="s">
        <v>111</v>
      </c>
      <c r="P385" s="93" t="s">
        <v>111</v>
      </c>
      <c r="Q385" s="93" t="s">
        <v>228</v>
      </c>
      <c r="R385" s="93" t="s">
        <v>2</v>
      </c>
      <c r="S385" s="93" t="s">
        <v>115</v>
      </c>
      <c r="T385" s="93" t="s">
        <v>116</v>
      </c>
      <c r="U385" s="94">
        <v>44610.087500000001</v>
      </c>
      <c r="V385" s="93" t="s">
        <v>7072</v>
      </c>
      <c r="W385" s="93" t="s">
        <v>24</v>
      </c>
    </row>
    <row r="386" spans="1:23" x14ac:dyDescent="0.15">
      <c r="A386" s="93" t="s">
        <v>975</v>
      </c>
      <c r="B386" s="93" t="s">
        <v>7368</v>
      </c>
      <c r="C386" s="93">
        <v>112</v>
      </c>
      <c r="D386" s="93" t="s">
        <v>24</v>
      </c>
      <c r="E386" s="93" t="s">
        <v>24</v>
      </c>
      <c r="F386" s="93" t="s">
        <v>7</v>
      </c>
      <c r="G386" s="93" t="s">
        <v>7185</v>
      </c>
      <c r="H386" s="93" t="s">
        <v>400</v>
      </c>
      <c r="I386" s="93" t="s">
        <v>111</v>
      </c>
      <c r="J386" s="93" t="s">
        <v>7105</v>
      </c>
      <c r="K386" s="93" t="s">
        <v>111</v>
      </c>
      <c r="L386" s="93" t="s">
        <v>111</v>
      </c>
      <c r="M386" s="93" t="s">
        <v>111</v>
      </c>
      <c r="N386" s="93" t="s">
        <v>111</v>
      </c>
      <c r="O386" s="93" t="s">
        <v>111</v>
      </c>
      <c r="P386" s="93" t="s">
        <v>111</v>
      </c>
      <c r="Q386" s="93" t="s">
        <v>228</v>
      </c>
      <c r="R386" s="93" t="s">
        <v>2</v>
      </c>
      <c r="S386" s="93" t="s">
        <v>115</v>
      </c>
      <c r="T386" s="93" t="s">
        <v>116</v>
      </c>
      <c r="U386" s="94">
        <v>44610.105555555558</v>
      </c>
      <c r="V386" s="93" t="s">
        <v>7072</v>
      </c>
      <c r="W386" s="93" t="s">
        <v>24</v>
      </c>
    </row>
    <row r="387" spans="1:23" x14ac:dyDescent="0.15">
      <c r="A387" s="93" t="s">
        <v>976</v>
      </c>
      <c r="B387" s="93" t="s">
        <v>7369</v>
      </c>
      <c r="C387" s="93">
        <v>22</v>
      </c>
      <c r="D387" s="93" t="s">
        <v>24</v>
      </c>
      <c r="E387" s="93" t="s">
        <v>24</v>
      </c>
      <c r="F387" s="93" t="s">
        <v>7</v>
      </c>
      <c r="G387" s="93" t="s">
        <v>7185</v>
      </c>
      <c r="H387" s="93" t="s">
        <v>400</v>
      </c>
      <c r="I387" s="93" t="s">
        <v>111</v>
      </c>
      <c r="J387" s="93" t="s">
        <v>7105</v>
      </c>
      <c r="K387" s="93" t="s">
        <v>111</v>
      </c>
      <c r="L387" s="93" t="s">
        <v>111</v>
      </c>
      <c r="M387" s="93" t="s">
        <v>111</v>
      </c>
      <c r="N387" s="93" t="s">
        <v>111</v>
      </c>
      <c r="O387" s="93" t="s">
        <v>111</v>
      </c>
      <c r="P387" s="93" t="s">
        <v>111</v>
      </c>
      <c r="Q387" s="93" t="s">
        <v>228</v>
      </c>
      <c r="R387" s="93" t="s">
        <v>2</v>
      </c>
      <c r="S387" s="93" t="s">
        <v>115</v>
      </c>
      <c r="T387" s="93" t="s">
        <v>116</v>
      </c>
      <c r="U387" s="94">
        <v>44610.127083333333</v>
      </c>
      <c r="V387" s="93" t="s">
        <v>7072</v>
      </c>
      <c r="W387" s="93" t="s">
        <v>24</v>
      </c>
    </row>
    <row r="388" spans="1:23" x14ac:dyDescent="0.15">
      <c r="A388" s="93" t="s">
        <v>977</v>
      </c>
      <c r="B388" s="93" t="s">
        <v>7370</v>
      </c>
      <c r="C388" s="93">
        <v>57</v>
      </c>
      <c r="D388" s="93" t="s">
        <v>24</v>
      </c>
      <c r="E388" s="93" t="s">
        <v>24</v>
      </c>
      <c r="F388" s="93" t="s">
        <v>7</v>
      </c>
      <c r="G388" s="93" t="s">
        <v>7185</v>
      </c>
      <c r="H388" s="93" t="s">
        <v>400</v>
      </c>
      <c r="I388" s="93" t="s">
        <v>111</v>
      </c>
      <c r="J388" s="93" t="s">
        <v>7105</v>
      </c>
      <c r="K388" s="93" t="s">
        <v>111</v>
      </c>
      <c r="L388" s="93" t="s">
        <v>111</v>
      </c>
      <c r="M388" s="93" t="s">
        <v>111</v>
      </c>
      <c r="N388" s="93" t="s">
        <v>111</v>
      </c>
      <c r="O388" s="93" t="s">
        <v>111</v>
      </c>
      <c r="P388" s="93" t="s">
        <v>111</v>
      </c>
      <c r="Q388" s="93" t="s">
        <v>228</v>
      </c>
      <c r="R388" s="93" t="s">
        <v>2</v>
      </c>
      <c r="S388" s="93" t="s">
        <v>115</v>
      </c>
      <c r="T388" s="93" t="s">
        <v>116</v>
      </c>
      <c r="U388" s="94">
        <v>44610.069444444445</v>
      </c>
      <c r="V388" s="93" t="s">
        <v>7072</v>
      </c>
      <c r="W388" s="93" t="s">
        <v>24</v>
      </c>
    </row>
    <row r="389" spans="1:23" x14ac:dyDescent="0.15">
      <c r="A389" s="93" t="s">
        <v>978</v>
      </c>
      <c r="B389" s="93" t="s">
        <v>7371</v>
      </c>
      <c r="C389" s="93">
        <v>88</v>
      </c>
      <c r="D389" s="93" t="s">
        <v>24</v>
      </c>
      <c r="E389" s="93" t="s">
        <v>24</v>
      </c>
      <c r="F389" s="93" t="s">
        <v>7</v>
      </c>
      <c r="G389" s="93" t="s">
        <v>7185</v>
      </c>
      <c r="H389" s="93" t="s">
        <v>400</v>
      </c>
      <c r="I389" s="93" t="s">
        <v>111</v>
      </c>
      <c r="J389" s="93" t="s">
        <v>7105</v>
      </c>
      <c r="K389" s="93" t="s">
        <v>111</v>
      </c>
      <c r="L389" s="93" t="s">
        <v>111</v>
      </c>
      <c r="M389" s="93" t="s">
        <v>111</v>
      </c>
      <c r="N389" s="93" t="s">
        <v>111</v>
      </c>
      <c r="O389" s="93" t="s">
        <v>111</v>
      </c>
      <c r="P389" s="93" t="s">
        <v>111</v>
      </c>
      <c r="Q389" s="93" t="s">
        <v>228</v>
      </c>
      <c r="R389" s="93" t="s">
        <v>2</v>
      </c>
      <c r="S389" s="93" t="s">
        <v>115</v>
      </c>
      <c r="T389" s="93" t="s">
        <v>116</v>
      </c>
      <c r="U389" s="94">
        <v>44610.061111111114</v>
      </c>
      <c r="V389" s="93" t="s">
        <v>7072</v>
      </c>
      <c r="W389" s="93" t="s">
        <v>24</v>
      </c>
    </row>
    <row r="390" spans="1:23" x14ac:dyDescent="0.15">
      <c r="A390" s="93" t="s">
        <v>979</v>
      </c>
      <c r="B390" s="93" t="s">
        <v>7372</v>
      </c>
      <c r="C390" s="93">
        <v>31</v>
      </c>
      <c r="D390" s="93" t="s">
        <v>24</v>
      </c>
      <c r="E390" s="93" t="s">
        <v>24</v>
      </c>
      <c r="F390" s="93" t="s">
        <v>7</v>
      </c>
      <c r="G390" s="93" t="s">
        <v>7185</v>
      </c>
      <c r="H390" s="93" t="s">
        <v>400</v>
      </c>
      <c r="I390" s="93" t="s">
        <v>111</v>
      </c>
      <c r="J390" s="93" t="s">
        <v>7105</v>
      </c>
      <c r="K390" s="93" t="s">
        <v>111</v>
      </c>
      <c r="L390" s="93" t="s">
        <v>111</v>
      </c>
      <c r="M390" s="93" t="s">
        <v>111</v>
      </c>
      <c r="N390" s="93" t="s">
        <v>111</v>
      </c>
      <c r="O390" s="93" t="s">
        <v>111</v>
      </c>
      <c r="P390" s="93" t="s">
        <v>111</v>
      </c>
      <c r="Q390" s="93" t="s">
        <v>228</v>
      </c>
      <c r="R390" s="93" t="s">
        <v>2</v>
      </c>
      <c r="S390" s="93" t="s">
        <v>115</v>
      </c>
      <c r="T390" s="93" t="s">
        <v>116</v>
      </c>
      <c r="U390" s="94">
        <v>44610.070138888892</v>
      </c>
      <c r="V390" s="93" t="s">
        <v>7072</v>
      </c>
      <c r="W390" s="93" t="s">
        <v>24</v>
      </c>
    </row>
    <row r="391" spans="1:23" x14ac:dyDescent="0.15">
      <c r="A391" s="93" t="s">
        <v>980</v>
      </c>
      <c r="B391" s="93" t="s">
        <v>7373</v>
      </c>
      <c r="C391" s="93">
        <v>80</v>
      </c>
      <c r="D391" s="93" t="s">
        <v>24</v>
      </c>
      <c r="E391" s="93" t="s">
        <v>24</v>
      </c>
      <c r="F391" s="93" t="s">
        <v>7</v>
      </c>
      <c r="G391" s="93" t="s">
        <v>7185</v>
      </c>
      <c r="H391" s="93" t="s">
        <v>400</v>
      </c>
      <c r="I391" s="93" t="s">
        <v>111</v>
      </c>
      <c r="J391" s="93" t="s">
        <v>7105</v>
      </c>
      <c r="K391" s="93" t="s">
        <v>111</v>
      </c>
      <c r="L391" s="93" t="s">
        <v>111</v>
      </c>
      <c r="M391" s="93" t="s">
        <v>111</v>
      </c>
      <c r="N391" s="93" t="s">
        <v>111</v>
      </c>
      <c r="O391" s="93" t="s">
        <v>111</v>
      </c>
      <c r="P391" s="93" t="s">
        <v>111</v>
      </c>
      <c r="Q391" s="93" t="s">
        <v>228</v>
      </c>
      <c r="R391" s="93" t="s">
        <v>2</v>
      </c>
      <c r="S391" s="93" t="s">
        <v>115</v>
      </c>
      <c r="T391" s="93" t="s">
        <v>116</v>
      </c>
      <c r="U391" s="94">
        <v>44610.095138888886</v>
      </c>
      <c r="V391" s="93" t="s">
        <v>7072</v>
      </c>
      <c r="W391" s="93" t="s">
        <v>24</v>
      </c>
    </row>
    <row r="392" spans="1:23" x14ac:dyDescent="0.15">
      <c r="A392" s="93" t="s">
        <v>981</v>
      </c>
      <c r="B392" s="93" t="s">
        <v>7374</v>
      </c>
      <c r="C392" s="93">
        <v>124</v>
      </c>
      <c r="D392" s="93" t="s">
        <v>24</v>
      </c>
      <c r="E392" s="93" t="s">
        <v>24</v>
      </c>
      <c r="F392" s="93" t="s">
        <v>7</v>
      </c>
      <c r="G392" s="93" t="s">
        <v>7185</v>
      </c>
      <c r="H392" s="93" t="s">
        <v>400</v>
      </c>
      <c r="I392" s="93" t="s">
        <v>111</v>
      </c>
      <c r="J392" s="93" t="s">
        <v>7105</v>
      </c>
      <c r="K392" s="93" t="s">
        <v>111</v>
      </c>
      <c r="L392" s="93" t="s">
        <v>111</v>
      </c>
      <c r="M392" s="93" t="s">
        <v>111</v>
      </c>
      <c r="N392" s="93" t="s">
        <v>111</v>
      </c>
      <c r="O392" s="93" t="s">
        <v>111</v>
      </c>
      <c r="P392" s="93" t="s">
        <v>111</v>
      </c>
      <c r="Q392" s="93" t="s">
        <v>228</v>
      </c>
      <c r="R392" s="93" t="s">
        <v>2</v>
      </c>
      <c r="S392" s="93" t="s">
        <v>115</v>
      </c>
      <c r="T392" s="93" t="s">
        <v>116</v>
      </c>
      <c r="U392" s="94">
        <v>44610.105555555558</v>
      </c>
      <c r="V392" s="93" t="s">
        <v>7072</v>
      </c>
      <c r="W392" s="93" t="s">
        <v>24</v>
      </c>
    </row>
    <row r="393" spans="1:23" x14ac:dyDescent="0.15">
      <c r="A393" s="93" t="s">
        <v>5994</v>
      </c>
      <c r="B393" s="93" t="s">
        <v>7375</v>
      </c>
      <c r="C393" s="93">
        <v>65</v>
      </c>
      <c r="D393" s="93" t="s">
        <v>24</v>
      </c>
      <c r="E393" s="93" t="s">
        <v>24</v>
      </c>
      <c r="F393" s="93" t="s">
        <v>7</v>
      </c>
      <c r="G393" s="93" t="s">
        <v>7185</v>
      </c>
      <c r="H393" s="93" t="s">
        <v>400</v>
      </c>
      <c r="I393" s="93" t="s">
        <v>111</v>
      </c>
      <c r="J393" s="93" t="s">
        <v>7105</v>
      </c>
      <c r="K393" s="93" t="s">
        <v>111</v>
      </c>
      <c r="L393" s="93" t="s">
        <v>111</v>
      </c>
      <c r="M393" s="93" t="s">
        <v>111</v>
      </c>
      <c r="N393" s="93" t="s">
        <v>111</v>
      </c>
      <c r="O393" s="93" t="s">
        <v>111</v>
      </c>
      <c r="P393" s="93" t="s">
        <v>111</v>
      </c>
      <c r="Q393" s="93" t="s">
        <v>228</v>
      </c>
      <c r="R393" s="93" t="s">
        <v>2</v>
      </c>
      <c r="S393" s="93" t="s">
        <v>115</v>
      </c>
      <c r="T393" s="93" t="s">
        <v>116</v>
      </c>
      <c r="U393" s="94">
        <v>44610.055555555555</v>
      </c>
      <c r="V393" s="93" t="s">
        <v>7072</v>
      </c>
      <c r="W393" s="93" t="s">
        <v>24</v>
      </c>
    </row>
    <row r="394" spans="1:23" x14ac:dyDescent="0.15">
      <c r="A394" s="93" t="s">
        <v>982</v>
      </c>
      <c r="B394" s="93" t="s">
        <v>7376</v>
      </c>
      <c r="C394" s="93">
        <v>166</v>
      </c>
      <c r="D394" s="93" t="s">
        <v>24</v>
      </c>
      <c r="E394" s="93" t="s">
        <v>24</v>
      </c>
      <c r="F394" s="93" t="s">
        <v>7</v>
      </c>
      <c r="G394" s="93" t="s">
        <v>7185</v>
      </c>
      <c r="H394" s="93" t="s">
        <v>400</v>
      </c>
      <c r="I394" s="93" t="s">
        <v>111</v>
      </c>
      <c r="J394" s="93" t="s">
        <v>7105</v>
      </c>
      <c r="K394" s="93" t="s">
        <v>111</v>
      </c>
      <c r="L394" s="93" t="s">
        <v>111</v>
      </c>
      <c r="M394" s="93" t="s">
        <v>111</v>
      </c>
      <c r="N394" s="93" t="s">
        <v>111</v>
      </c>
      <c r="O394" s="93" t="s">
        <v>111</v>
      </c>
      <c r="P394" s="93" t="s">
        <v>111</v>
      </c>
      <c r="Q394" s="93" t="s">
        <v>228</v>
      </c>
      <c r="R394" s="93" t="s">
        <v>2</v>
      </c>
      <c r="S394" s="93" t="s">
        <v>115</v>
      </c>
      <c r="T394" s="93" t="s">
        <v>116</v>
      </c>
      <c r="U394" s="94">
        <v>44610.105555555558</v>
      </c>
      <c r="V394" s="93" t="s">
        <v>7072</v>
      </c>
      <c r="W394" s="93" t="s">
        <v>24</v>
      </c>
    </row>
    <row r="395" spans="1:23" x14ac:dyDescent="0.15">
      <c r="A395" s="93" t="s">
        <v>983</v>
      </c>
      <c r="B395" s="93" t="s">
        <v>7377</v>
      </c>
      <c r="C395" s="93">
        <v>260</v>
      </c>
      <c r="D395" s="93" t="s">
        <v>24</v>
      </c>
      <c r="E395" s="93" t="s">
        <v>24</v>
      </c>
      <c r="F395" s="93" t="s">
        <v>7</v>
      </c>
      <c r="G395" s="93" t="s">
        <v>7185</v>
      </c>
      <c r="H395" s="93" t="s">
        <v>400</v>
      </c>
      <c r="I395" s="93" t="s">
        <v>111</v>
      </c>
      <c r="J395" s="93" t="s">
        <v>7105</v>
      </c>
      <c r="K395" s="93" t="s">
        <v>111</v>
      </c>
      <c r="L395" s="93" t="s">
        <v>111</v>
      </c>
      <c r="M395" s="93" t="s">
        <v>111</v>
      </c>
      <c r="N395" s="93" t="s">
        <v>111</v>
      </c>
      <c r="O395" s="93" t="s">
        <v>111</v>
      </c>
      <c r="P395" s="93" t="s">
        <v>111</v>
      </c>
      <c r="Q395" s="93" t="s">
        <v>228</v>
      </c>
      <c r="R395" s="93" t="s">
        <v>2</v>
      </c>
      <c r="S395" s="93" t="s">
        <v>115</v>
      </c>
      <c r="T395" s="93" t="s">
        <v>116</v>
      </c>
      <c r="U395" s="94">
        <v>44610.11041666667</v>
      </c>
      <c r="V395" s="93" t="s">
        <v>7072</v>
      </c>
      <c r="W395" s="93" t="s">
        <v>24</v>
      </c>
    </row>
    <row r="396" spans="1:23" x14ac:dyDescent="0.15">
      <c r="A396" s="93" t="s">
        <v>984</v>
      </c>
      <c r="B396" s="93" t="s">
        <v>7378</v>
      </c>
      <c r="C396" s="93">
        <v>39</v>
      </c>
      <c r="D396" s="93" t="s">
        <v>24</v>
      </c>
      <c r="E396" s="93" t="s">
        <v>24</v>
      </c>
      <c r="F396" s="93" t="s">
        <v>7</v>
      </c>
      <c r="G396" s="93" t="s">
        <v>7185</v>
      </c>
      <c r="H396" s="93" t="s">
        <v>400</v>
      </c>
      <c r="I396" s="93" t="s">
        <v>111</v>
      </c>
      <c r="J396" s="93" t="s">
        <v>7105</v>
      </c>
      <c r="K396" s="93" t="s">
        <v>111</v>
      </c>
      <c r="L396" s="93" t="s">
        <v>111</v>
      </c>
      <c r="M396" s="93" t="s">
        <v>111</v>
      </c>
      <c r="N396" s="93" t="s">
        <v>111</v>
      </c>
      <c r="O396" s="93" t="s">
        <v>111</v>
      </c>
      <c r="P396" s="93" t="s">
        <v>111</v>
      </c>
      <c r="Q396" s="93" t="s">
        <v>228</v>
      </c>
      <c r="R396" s="93" t="s">
        <v>2</v>
      </c>
      <c r="S396" s="93" t="s">
        <v>115</v>
      </c>
      <c r="T396" s="93" t="s">
        <v>116</v>
      </c>
      <c r="U396" s="94">
        <v>44610.055555555555</v>
      </c>
      <c r="V396" s="93" t="s">
        <v>7072</v>
      </c>
      <c r="W396" s="93" t="s">
        <v>24</v>
      </c>
    </row>
    <row r="397" spans="1:23" x14ac:dyDescent="0.15">
      <c r="A397" s="93" t="s">
        <v>985</v>
      </c>
      <c r="B397" s="93" t="s">
        <v>7379</v>
      </c>
      <c r="C397" s="93">
        <v>100</v>
      </c>
      <c r="D397" s="93" t="s">
        <v>24</v>
      </c>
      <c r="E397" s="93" t="s">
        <v>24</v>
      </c>
      <c r="F397" s="93" t="s">
        <v>7</v>
      </c>
      <c r="G397" s="93" t="s">
        <v>7185</v>
      </c>
      <c r="H397" s="93" t="s">
        <v>400</v>
      </c>
      <c r="I397" s="93" t="s">
        <v>111</v>
      </c>
      <c r="J397" s="93" t="s">
        <v>7105</v>
      </c>
      <c r="K397" s="93" t="s">
        <v>111</v>
      </c>
      <c r="L397" s="93" t="s">
        <v>111</v>
      </c>
      <c r="M397" s="93" t="s">
        <v>111</v>
      </c>
      <c r="N397" s="93" t="s">
        <v>111</v>
      </c>
      <c r="O397" s="93" t="s">
        <v>111</v>
      </c>
      <c r="P397" s="93" t="s">
        <v>111</v>
      </c>
      <c r="Q397" s="93" t="s">
        <v>228</v>
      </c>
      <c r="R397" s="93" t="s">
        <v>2</v>
      </c>
      <c r="S397" s="93" t="s">
        <v>115</v>
      </c>
      <c r="T397" s="93" t="s">
        <v>116</v>
      </c>
      <c r="U397" s="94">
        <v>44610.056250000001</v>
      </c>
      <c r="V397" s="93" t="s">
        <v>7072</v>
      </c>
      <c r="W397" s="93" t="s">
        <v>24</v>
      </c>
    </row>
    <row r="398" spans="1:23" x14ac:dyDescent="0.15">
      <c r="A398" s="93" t="s">
        <v>986</v>
      </c>
      <c r="B398" s="93" t="s">
        <v>7380</v>
      </c>
      <c r="C398" s="93">
        <v>156</v>
      </c>
      <c r="D398" s="93" t="s">
        <v>24</v>
      </c>
      <c r="E398" s="93" t="s">
        <v>24</v>
      </c>
      <c r="F398" s="93" t="s">
        <v>7</v>
      </c>
      <c r="G398" s="93" t="s">
        <v>7185</v>
      </c>
      <c r="H398" s="93" t="s">
        <v>400</v>
      </c>
      <c r="I398" s="93" t="s">
        <v>111</v>
      </c>
      <c r="J398" s="93" t="s">
        <v>7105</v>
      </c>
      <c r="K398" s="93" t="s">
        <v>111</v>
      </c>
      <c r="L398" s="93" t="s">
        <v>111</v>
      </c>
      <c r="M398" s="93" t="s">
        <v>111</v>
      </c>
      <c r="N398" s="93" t="s">
        <v>111</v>
      </c>
      <c r="O398" s="93" t="s">
        <v>111</v>
      </c>
      <c r="P398" s="93" t="s">
        <v>111</v>
      </c>
      <c r="Q398" s="93" t="s">
        <v>228</v>
      </c>
      <c r="R398" s="93" t="s">
        <v>2</v>
      </c>
      <c r="S398" s="93" t="s">
        <v>115</v>
      </c>
      <c r="T398" s="93" t="s">
        <v>116</v>
      </c>
      <c r="U398" s="94">
        <v>44610.088194444441</v>
      </c>
      <c r="V398" s="93" t="s">
        <v>7072</v>
      </c>
      <c r="W398" s="93" t="s">
        <v>24</v>
      </c>
    </row>
    <row r="399" spans="1:23" x14ac:dyDescent="0.15">
      <c r="A399" s="93" t="s">
        <v>987</v>
      </c>
      <c r="B399" s="93" t="s">
        <v>7381</v>
      </c>
      <c r="C399" s="93">
        <v>57</v>
      </c>
      <c r="D399" s="93" t="s">
        <v>24</v>
      </c>
      <c r="E399" s="93" t="s">
        <v>24</v>
      </c>
      <c r="F399" s="93" t="s">
        <v>7</v>
      </c>
      <c r="G399" s="93" t="s">
        <v>7185</v>
      </c>
      <c r="H399" s="93" t="s">
        <v>400</v>
      </c>
      <c r="I399" s="93" t="s">
        <v>111</v>
      </c>
      <c r="J399" s="93" t="s">
        <v>7105</v>
      </c>
      <c r="K399" s="93" t="s">
        <v>111</v>
      </c>
      <c r="L399" s="93" t="s">
        <v>111</v>
      </c>
      <c r="M399" s="93" t="s">
        <v>111</v>
      </c>
      <c r="N399" s="93" t="s">
        <v>111</v>
      </c>
      <c r="O399" s="93" t="s">
        <v>111</v>
      </c>
      <c r="P399" s="93" t="s">
        <v>111</v>
      </c>
      <c r="Q399" s="93" t="s">
        <v>228</v>
      </c>
      <c r="R399" s="93" t="s">
        <v>2</v>
      </c>
      <c r="S399" s="93" t="s">
        <v>115</v>
      </c>
      <c r="T399" s="93" t="s">
        <v>116</v>
      </c>
      <c r="U399" s="94">
        <v>44610.056250000001</v>
      </c>
      <c r="V399" s="93" t="s">
        <v>7072</v>
      </c>
      <c r="W399" s="93" t="s">
        <v>24</v>
      </c>
    </row>
    <row r="400" spans="1:23" x14ac:dyDescent="0.15">
      <c r="A400" s="93" t="s">
        <v>988</v>
      </c>
      <c r="B400" s="93" t="s">
        <v>7382</v>
      </c>
      <c r="C400" s="93">
        <v>146</v>
      </c>
      <c r="D400" s="93" t="s">
        <v>24</v>
      </c>
      <c r="E400" s="93" t="s">
        <v>24</v>
      </c>
      <c r="F400" s="93" t="s">
        <v>7</v>
      </c>
      <c r="G400" s="93" t="s">
        <v>7185</v>
      </c>
      <c r="H400" s="93" t="s">
        <v>400</v>
      </c>
      <c r="I400" s="93" t="s">
        <v>111</v>
      </c>
      <c r="J400" s="93" t="s">
        <v>7105</v>
      </c>
      <c r="K400" s="93" t="s">
        <v>111</v>
      </c>
      <c r="L400" s="93" t="s">
        <v>111</v>
      </c>
      <c r="M400" s="93" t="s">
        <v>111</v>
      </c>
      <c r="N400" s="93" t="s">
        <v>111</v>
      </c>
      <c r="O400" s="93" t="s">
        <v>111</v>
      </c>
      <c r="P400" s="93" t="s">
        <v>111</v>
      </c>
      <c r="Q400" s="93" t="s">
        <v>228</v>
      </c>
      <c r="R400" s="93" t="s">
        <v>2</v>
      </c>
      <c r="S400" s="93" t="s">
        <v>115</v>
      </c>
      <c r="T400" s="93" t="s">
        <v>116</v>
      </c>
      <c r="U400" s="94">
        <v>44610.12777777778</v>
      </c>
      <c r="V400" s="93" t="s">
        <v>7072</v>
      </c>
      <c r="W400" s="93" t="s">
        <v>24</v>
      </c>
    </row>
    <row r="401" spans="1:23" x14ac:dyDescent="0.15">
      <c r="A401" s="93" t="s">
        <v>989</v>
      </c>
      <c r="B401" s="93" t="s">
        <v>7383</v>
      </c>
      <c r="C401" s="93">
        <v>228</v>
      </c>
      <c r="D401" s="93" t="s">
        <v>24</v>
      </c>
      <c r="E401" s="93" t="s">
        <v>24</v>
      </c>
      <c r="F401" s="93" t="s">
        <v>7</v>
      </c>
      <c r="G401" s="93" t="s">
        <v>7185</v>
      </c>
      <c r="H401" s="93" t="s">
        <v>400</v>
      </c>
      <c r="I401" s="93" t="s">
        <v>111</v>
      </c>
      <c r="J401" s="93" t="s">
        <v>7105</v>
      </c>
      <c r="K401" s="93" t="s">
        <v>111</v>
      </c>
      <c r="L401" s="93" t="s">
        <v>111</v>
      </c>
      <c r="M401" s="93" t="s">
        <v>111</v>
      </c>
      <c r="N401" s="93" t="s">
        <v>111</v>
      </c>
      <c r="O401" s="93" t="s">
        <v>111</v>
      </c>
      <c r="P401" s="93" t="s">
        <v>111</v>
      </c>
      <c r="Q401" s="93" t="s">
        <v>228</v>
      </c>
      <c r="R401" s="93" t="s">
        <v>2</v>
      </c>
      <c r="S401" s="93" t="s">
        <v>115</v>
      </c>
      <c r="T401" s="93" t="s">
        <v>116</v>
      </c>
      <c r="U401" s="94">
        <v>44610.061805555553</v>
      </c>
      <c r="V401" s="93" t="s">
        <v>7072</v>
      </c>
      <c r="W401" s="93" t="s">
        <v>24</v>
      </c>
    </row>
    <row r="402" spans="1:23" x14ac:dyDescent="0.15">
      <c r="A402" s="93" t="s">
        <v>990</v>
      </c>
      <c r="B402" s="93" t="s">
        <v>7384</v>
      </c>
      <c r="C402" s="93">
        <v>57</v>
      </c>
      <c r="D402" s="93" t="s">
        <v>24</v>
      </c>
      <c r="E402" s="93" t="s">
        <v>24</v>
      </c>
      <c r="F402" s="93" t="s">
        <v>7</v>
      </c>
      <c r="G402" s="93" t="s">
        <v>7185</v>
      </c>
      <c r="H402" s="93" t="s">
        <v>400</v>
      </c>
      <c r="I402" s="93" t="s">
        <v>111</v>
      </c>
      <c r="J402" s="93" t="s">
        <v>7105</v>
      </c>
      <c r="K402" s="93" t="s">
        <v>111</v>
      </c>
      <c r="L402" s="93" t="s">
        <v>111</v>
      </c>
      <c r="M402" s="93" t="s">
        <v>111</v>
      </c>
      <c r="N402" s="93" t="s">
        <v>111</v>
      </c>
      <c r="O402" s="93" t="s">
        <v>111</v>
      </c>
      <c r="P402" s="93" t="s">
        <v>111</v>
      </c>
      <c r="Q402" s="93" t="s">
        <v>228</v>
      </c>
      <c r="R402" s="93" t="s">
        <v>2</v>
      </c>
      <c r="S402" s="93" t="s">
        <v>115</v>
      </c>
      <c r="T402" s="93" t="s">
        <v>116</v>
      </c>
      <c r="U402" s="94">
        <v>44610.056250000001</v>
      </c>
      <c r="V402" s="93" t="s">
        <v>7072</v>
      </c>
      <c r="W402" s="93" t="s">
        <v>24</v>
      </c>
    </row>
    <row r="403" spans="1:23" x14ac:dyDescent="0.15">
      <c r="A403" s="93" t="s">
        <v>991</v>
      </c>
      <c r="B403" s="93" t="s">
        <v>7385</v>
      </c>
      <c r="C403" s="93">
        <v>146</v>
      </c>
      <c r="D403" s="93" t="s">
        <v>24</v>
      </c>
      <c r="E403" s="93" t="s">
        <v>24</v>
      </c>
      <c r="F403" s="93" t="s">
        <v>7</v>
      </c>
      <c r="G403" s="93" t="s">
        <v>7185</v>
      </c>
      <c r="H403" s="93" t="s">
        <v>400</v>
      </c>
      <c r="I403" s="93" t="s">
        <v>111</v>
      </c>
      <c r="J403" s="93" t="s">
        <v>7105</v>
      </c>
      <c r="K403" s="93" t="s">
        <v>111</v>
      </c>
      <c r="L403" s="93" t="s">
        <v>111</v>
      </c>
      <c r="M403" s="93" t="s">
        <v>111</v>
      </c>
      <c r="N403" s="93" t="s">
        <v>111</v>
      </c>
      <c r="O403" s="93" t="s">
        <v>111</v>
      </c>
      <c r="P403" s="93" t="s">
        <v>111</v>
      </c>
      <c r="Q403" s="93" t="s">
        <v>228</v>
      </c>
      <c r="R403" s="93" t="s">
        <v>2</v>
      </c>
      <c r="S403" s="93" t="s">
        <v>115</v>
      </c>
      <c r="T403" s="93" t="s">
        <v>116</v>
      </c>
      <c r="U403" s="94">
        <v>44610.056250000001</v>
      </c>
      <c r="V403" s="93" t="s">
        <v>7072</v>
      </c>
      <c r="W403" s="93" t="s">
        <v>24</v>
      </c>
    </row>
    <row r="404" spans="1:23" x14ac:dyDescent="0.15">
      <c r="A404" s="93" t="s">
        <v>992</v>
      </c>
      <c r="B404" s="93" t="s">
        <v>7386</v>
      </c>
      <c r="C404" s="93">
        <v>228</v>
      </c>
      <c r="D404" s="93" t="s">
        <v>24</v>
      </c>
      <c r="E404" s="93" t="s">
        <v>24</v>
      </c>
      <c r="F404" s="93" t="s">
        <v>7</v>
      </c>
      <c r="G404" s="93" t="s">
        <v>7185</v>
      </c>
      <c r="H404" s="93" t="s">
        <v>400</v>
      </c>
      <c r="I404" s="93" t="s">
        <v>111</v>
      </c>
      <c r="J404" s="93" t="s">
        <v>7105</v>
      </c>
      <c r="K404" s="93" t="s">
        <v>111</v>
      </c>
      <c r="L404" s="93" t="s">
        <v>111</v>
      </c>
      <c r="M404" s="93" t="s">
        <v>111</v>
      </c>
      <c r="N404" s="93" t="s">
        <v>111</v>
      </c>
      <c r="O404" s="93" t="s">
        <v>111</v>
      </c>
      <c r="P404" s="93" t="s">
        <v>111</v>
      </c>
      <c r="Q404" s="93" t="s">
        <v>228</v>
      </c>
      <c r="R404" s="93" t="s">
        <v>2</v>
      </c>
      <c r="S404" s="93" t="s">
        <v>115</v>
      </c>
      <c r="T404" s="93" t="s">
        <v>116</v>
      </c>
      <c r="U404" s="94">
        <v>44610.12777777778</v>
      </c>
      <c r="V404" s="93" t="s">
        <v>7072</v>
      </c>
      <c r="W404" s="93" t="s">
        <v>24</v>
      </c>
    </row>
    <row r="405" spans="1:23" x14ac:dyDescent="0.15">
      <c r="A405" s="93" t="s">
        <v>993</v>
      </c>
      <c r="B405" s="93" t="s">
        <v>7387</v>
      </c>
      <c r="C405" s="93">
        <v>78</v>
      </c>
      <c r="D405" s="93" t="s">
        <v>24</v>
      </c>
      <c r="E405" s="93" t="s">
        <v>24</v>
      </c>
      <c r="F405" s="93" t="s">
        <v>7</v>
      </c>
      <c r="G405" s="93" t="s">
        <v>7185</v>
      </c>
      <c r="H405" s="93" t="s">
        <v>400</v>
      </c>
      <c r="I405" s="93" t="s">
        <v>111</v>
      </c>
      <c r="J405" s="93" t="s">
        <v>7105</v>
      </c>
      <c r="K405" s="93" t="s">
        <v>111</v>
      </c>
      <c r="L405" s="93" t="s">
        <v>111</v>
      </c>
      <c r="M405" s="93" t="s">
        <v>111</v>
      </c>
      <c r="N405" s="93" t="s">
        <v>111</v>
      </c>
      <c r="O405" s="93" t="s">
        <v>111</v>
      </c>
      <c r="P405" s="93" t="s">
        <v>111</v>
      </c>
      <c r="Q405" s="93" t="s">
        <v>228</v>
      </c>
      <c r="R405" s="93" t="s">
        <v>2</v>
      </c>
      <c r="S405" s="93" t="s">
        <v>115</v>
      </c>
      <c r="T405" s="93" t="s">
        <v>116</v>
      </c>
      <c r="U405" s="94">
        <v>44610.074999999997</v>
      </c>
      <c r="V405" s="93" t="s">
        <v>7072</v>
      </c>
      <c r="W405" s="93" t="s">
        <v>24</v>
      </c>
    </row>
    <row r="406" spans="1:23" x14ac:dyDescent="0.15">
      <c r="A406" s="93" t="s">
        <v>994</v>
      </c>
      <c r="B406" s="93" t="s">
        <v>7388</v>
      </c>
      <c r="C406" s="93">
        <v>199</v>
      </c>
      <c r="D406" s="93" t="s">
        <v>24</v>
      </c>
      <c r="E406" s="93" t="s">
        <v>24</v>
      </c>
      <c r="F406" s="93" t="s">
        <v>7</v>
      </c>
      <c r="G406" s="93" t="s">
        <v>7185</v>
      </c>
      <c r="H406" s="93" t="s">
        <v>400</v>
      </c>
      <c r="I406" s="93" t="s">
        <v>111</v>
      </c>
      <c r="J406" s="93" t="s">
        <v>7105</v>
      </c>
      <c r="K406" s="93" t="s">
        <v>111</v>
      </c>
      <c r="L406" s="93" t="s">
        <v>111</v>
      </c>
      <c r="M406" s="93" t="s">
        <v>111</v>
      </c>
      <c r="N406" s="93" t="s">
        <v>111</v>
      </c>
      <c r="O406" s="93" t="s">
        <v>111</v>
      </c>
      <c r="P406" s="93" t="s">
        <v>111</v>
      </c>
      <c r="Q406" s="93" t="s">
        <v>228</v>
      </c>
      <c r="R406" s="93" t="s">
        <v>2</v>
      </c>
      <c r="S406" s="93" t="s">
        <v>115</v>
      </c>
      <c r="T406" s="93" t="s">
        <v>116</v>
      </c>
      <c r="U406" s="94">
        <v>44610.070138888892</v>
      </c>
      <c r="V406" s="93" t="s">
        <v>7072</v>
      </c>
      <c r="W406" s="93" t="s">
        <v>24</v>
      </c>
    </row>
    <row r="407" spans="1:23" x14ac:dyDescent="0.15">
      <c r="A407" s="93" t="s">
        <v>995</v>
      </c>
      <c r="B407" s="93" t="s">
        <v>7389</v>
      </c>
      <c r="C407" s="93">
        <v>312</v>
      </c>
      <c r="D407" s="93" t="s">
        <v>24</v>
      </c>
      <c r="E407" s="93" t="s">
        <v>24</v>
      </c>
      <c r="F407" s="93" t="s">
        <v>7</v>
      </c>
      <c r="G407" s="93" t="s">
        <v>7185</v>
      </c>
      <c r="H407" s="93" t="s">
        <v>400</v>
      </c>
      <c r="I407" s="93" t="s">
        <v>111</v>
      </c>
      <c r="J407" s="93" t="s">
        <v>7105</v>
      </c>
      <c r="K407" s="93" t="s">
        <v>111</v>
      </c>
      <c r="L407" s="93" t="s">
        <v>111</v>
      </c>
      <c r="M407" s="93" t="s">
        <v>111</v>
      </c>
      <c r="N407" s="93" t="s">
        <v>111</v>
      </c>
      <c r="O407" s="93" t="s">
        <v>111</v>
      </c>
      <c r="P407" s="93" t="s">
        <v>111</v>
      </c>
      <c r="Q407" s="93" t="s">
        <v>228</v>
      </c>
      <c r="R407" s="93" t="s">
        <v>2</v>
      </c>
      <c r="S407" s="93" t="s">
        <v>115</v>
      </c>
      <c r="T407" s="93" t="s">
        <v>116</v>
      </c>
      <c r="U407" s="94">
        <v>44610.095138888886</v>
      </c>
      <c r="V407" s="93" t="s">
        <v>7072</v>
      </c>
      <c r="W407" s="93" t="s">
        <v>24</v>
      </c>
    </row>
    <row r="408" spans="1:23" x14ac:dyDescent="0.15">
      <c r="A408" s="93" t="s">
        <v>996</v>
      </c>
      <c r="B408" s="93" t="s">
        <v>7390</v>
      </c>
      <c r="C408" s="93">
        <v>70</v>
      </c>
      <c r="D408" s="93" t="s">
        <v>24</v>
      </c>
      <c r="E408" s="93" t="s">
        <v>24</v>
      </c>
      <c r="F408" s="93" t="s">
        <v>7</v>
      </c>
      <c r="G408" s="93" t="s">
        <v>7185</v>
      </c>
      <c r="H408" s="93" t="s">
        <v>400</v>
      </c>
      <c r="I408" s="93" t="s">
        <v>111</v>
      </c>
      <c r="J408" s="93" t="s">
        <v>7105</v>
      </c>
      <c r="K408" s="93" t="s">
        <v>111</v>
      </c>
      <c r="L408" s="93" t="s">
        <v>111</v>
      </c>
      <c r="M408" s="93" t="s">
        <v>111</v>
      </c>
      <c r="N408" s="93" t="s">
        <v>111</v>
      </c>
      <c r="O408" s="93" t="s">
        <v>111</v>
      </c>
      <c r="P408" s="93" t="s">
        <v>111</v>
      </c>
      <c r="Q408" s="93" t="s">
        <v>228</v>
      </c>
      <c r="R408" s="93" t="s">
        <v>2</v>
      </c>
      <c r="S408" s="93" t="s">
        <v>115</v>
      </c>
      <c r="T408" s="93" t="s">
        <v>116</v>
      </c>
      <c r="U408" s="94">
        <v>44610.12777777778</v>
      </c>
      <c r="V408" s="93" t="s">
        <v>7072</v>
      </c>
      <c r="W408" s="93" t="s">
        <v>24</v>
      </c>
    </row>
    <row r="409" spans="1:23" x14ac:dyDescent="0.15">
      <c r="A409" s="93" t="s">
        <v>997</v>
      </c>
      <c r="B409" s="93" t="s">
        <v>7391</v>
      </c>
      <c r="C409" s="93">
        <v>179</v>
      </c>
      <c r="D409" s="93" t="s">
        <v>24</v>
      </c>
      <c r="E409" s="93" t="s">
        <v>24</v>
      </c>
      <c r="F409" s="93" t="s">
        <v>7</v>
      </c>
      <c r="G409" s="93" t="s">
        <v>7185</v>
      </c>
      <c r="H409" s="93" t="s">
        <v>400</v>
      </c>
      <c r="I409" s="93" t="s">
        <v>111</v>
      </c>
      <c r="J409" s="93" t="s">
        <v>7105</v>
      </c>
      <c r="K409" s="93" t="s">
        <v>111</v>
      </c>
      <c r="L409" s="93" t="s">
        <v>111</v>
      </c>
      <c r="M409" s="93" t="s">
        <v>111</v>
      </c>
      <c r="N409" s="93" t="s">
        <v>111</v>
      </c>
      <c r="O409" s="93" t="s">
        <v>111</v>
      </c>
      <c r="P409" s="93" t="s">
        <v>111</v>
      </c>
      <c r="Q409" s="93" t="s">
        <v>228</v>
      </c>
      <c r="R409" s="93" t="s">
        <v>2</v>
      </c>
      <c r="S409" s="93" t="s">
        <v>115</v>
      </c>
      <c r="T409" s="93" t="s">
        <v>116</v>
      </c>
      <c r="U409" s="94">
        <v>44610.077777777777</v>
      </c>
      <c r="V409" s="93" t="s">
        <v>7072</v>
      </c>
      <c r="W409" s="93" t="s">
        <v>24</v>
      </c>
    </row>
    <row r="410" spans="1:23" x14ac:dyDescent="0.15">
      <c r="A410" s="93" t="s">
        <v>998</v>
      </c>
      <c r="B410" s="93" t="s">
        <v>7392</v>
      </c>
      <c r="C410" s="93">
        <v>280</v>
      </c>
      <c r="D410" s="93" t="s">
        <v>24</v>
      </c>
      <c r="E410" s="93" t="s">
        <v>24</v>
      </c>
      <c r="F410" s="93" t="s">
        <v>7</v>
      </c>
      <c r="G410" s="93" t="s">
        <v>7185</v>
      </c>
      <c r="H410" s="93" t="s">
        <v>400</v>
      </c>
      <c r="I410" s="93" t="s">
        <v>111</v>
      </c>
      <c r="J410" s="93" t="s">
        <v>7105</v>
      </c>
      <c r="K410" s="93" t="s">
        <v>111</v>
      </c>
      <c r="L410" s="93" t="s">
        <v>111</v>
      </c>
      <c r="M410" s="93" t="s">
        <v>111</v>
      </c>
      <c r="N410" s="93" t="s">
        <v>111</v>
      </c>
      <c r="O410" s="93" t="s">
        <v>111</v>
      </c>
      <c r="P410" s="93" t="s">
        <v>111</v>
      </c>
      <c r="Q410" s="93" t="s">
        <v>228</v>
      </c>
      <c r="R410" s="93" t="s">
        <v>2</v>
      </c>
      <c r="S410" s="93" t="s">
        <v>115</v>
      </c>
      <c r="T410" s="93" t="s">
        <v>116</v>
      </c>
      <c r="U410" s="94">
        <v>44610.128472222219</v>
      </c>
      <c r="V410" s="93" t="s">
        <v>7072</v>
      </c>
      <c r="W410" s="93" t="s">
        <v>24</v>
      </c>
    </row>
    <row r="411" spans="1:23" x14ac:dyDescent="0.15">
      <c r="A411" s="93" t="s">
        <v>858</v>
      </c>
      <c r="B411" s="93" t="s">
        <v>859</v>
      </c>
      <c r="C411" s="93">
        <v>208</v>
      </c>
      <c r="D411" s="93" t="s">
        <v>24</v>
      </c>
      <c r="E411" s="93" t="s">
        <v>24</v>
      </c>
      <c r="F411" s="93" t="s">
        <v>7</v>
      </c>
      <c r="G411" s="93" t="s">
        <v>7185</v>
      </c>
      <c r="H411" s="93" t="s">
        <v>400</v>
      </c>
      <c r="I411" s="93" t="s">
        <v>111</v>
      </c>
      <c r="J411" s="93" t="s">
        <v>118</v>
      </c>
      <c r="K411" s="93">
        <v>3</v>
      </c>
      <c r="L411" s="93" t="s">
        <v>111</v>
      </c>
      <c r="M411" s="93" t="s">
        <v>111</v>
      </c>
      <c r="N411" s="93" t="s">
        <v>111</v>
      </c>
      <c r="O411" s="93" t="s">
        <v>111</v>
      </c>
      <c r="P411" s="93" t="s">
        <v>111</v>
      </c>
      <c r="Q411" s="93" t="s">
        <v>228</v>
      </c>
      <c r="R411" s="93" t="s">
        <v>2</v>
      </c>
      <c r="S411" s="93" t="s">
        <v>115</v>
      </c>
      <c r="T411" s="93" t="s">
        <v>116</v>
      </c>
      <c r="U411" s="94">
        <v>44610.09097222222</v>
      </c>
      <c r="V411" s="93" t="s">
        <v>402</v>
      </c>
      <c r="W411" s="93" t="s">
        <v>24</v>
      </c>
    </row>
    <row r="412" spans="1:23" x14ac:dyDescent="0.15">
      <c r="A412" s="93" t="s">
        <v>421</v>
      </c>
      <c r="B412" s="93" t="s">
        <v>422</v>
      </c>
      <c r="C412" s="93">
        <v>19</v>
      </c>
      <c r="D412" s="93" t="s">
        <v>24</v>
      </c>
      <c r="E412" s="93" t="s">
        <v>24</v>
      </c>
      <c r="F412" s="93" t="s">
        <v>7</v>
      </c>
      <c r="G412" s="93" t="s">
        <v>7185</v>
      </c>
      <c r="H412" s="93" t="s">
        <v>118</v>
      </c>
      <c r="I412" s="93" t="s">
        <v>111</v>
      </c>
      <c r="J412" s="93" t="s">
        <v>7105</v>
      </c>
      <c r="K412" s="93" t="s">
        <v>111</v>
      </c>
      <c r="L412" s="93" t="s">
        <v>111</v>
      </c>
      <c r="M412" s="93" t="s">
        <v>111</v>
      </c>
      <c r="N412" s="93" t="s">
        <v>111</v>
      </c>
      <c r="O412" s="93" t="s">
        <v>111</v>
      </c>
      <c r="P412" s="93" t="s">
        <v>111</v>
      </c>
      <c r="Q412" s="93" t="s">
        <v>111</v>
      </c>
      <c r="R412" s="93" t="s">
        <v>2</v>
      </c>
      <c r="S412" s="93" t="s">
        <v>111</v>
      </c>
      <c r="T412" s="93" t="s">
        <v>116</v>
      </c>
      <c r="U412" s="94">
        <v>44596.578472222223</v>
      </c>
      <c r="V412" s="93" t="s">
        <v>7072</v>
      </c>
      <c r="W412" s="93" t="s">
        <v>24</v>
      </c>
    </row>
    <row r="413" spans="1:23" x14ac:dyDescent="0.15">
      <c r="A413" s="93" t="s">
        <v>423</v>
      </c>
      <c r="B413" s="93" t="s">
        <v>424</v>
      </c>
      <c r="C413" s="93">
        <v>49</v>
      </c>
      <c r="D413" s="93" t="s">
        <v>24</v>
      </c>
      <c r="E413" s="93" t="s">
        <v>24</v>
      </c>
      <c r="F413" s="93" t="s">
        <v>7</v>
      </c>
      <c r="G413" s="93" t="s">
        <v>7185</v>
      </c>
      <c r="H413" s="93" t="s">
        <v>118</v>
      </c>
      <c r="I413" s="93" t="s">
        <v>111</v>
      </c>
      <c r="J413" s="93" t="s">
        <v>7105</v>
      </c>
      <c r="K413" s="93" t="s">
        <v>111</v>
      </c>
      <c r="L413" s="93" t="s">
        <v>111</v>
      </c>
      <c r="M413" s="93" t="s">
        <v>111</v>
      </c>
      <c r="N413" s="93" t="s">
        <v>111</v>
      </c>
      <c r="O413" s="93" t="s">
        <v>111</v>
      </c>
      <c r="P413" s="93" t="s">
        <v>111</v>
      </c>
      <c r="Q413" s="93" t="s">
        <v>111</v>
      </c>
      <c r="R413" s="93" t="s">
        <v>2</v>
      </c>
      <c r="S413" s="93" t="s">
        <v>111</v>
      </c>
      <c r="T413" s="93" t="s">
        <v>116</v>
      </c>
      <c r="U413" s="94">
        <v>44596.609722222223</v>
      </c>
      <c r="V413" s="93" t="s">
        <v>7072</v>
      </c>
      <c r="W413" s="93" t="s">
        <v>24</v>
      </c>
    </row>
    <row r="414" spans="1:23" x14ac:dyDescent="0.15">
      <c r="A414" s="93" t="s">
        <v>425</v>
      </c>
      <c r="B414" s="93" t="s">
        <v>426</v>
      </c>
      <c r="C414" s="93">
        <v>76</v>
      </c>
      <c r="D414" s="93" t="s">
        <v>24</v>
      </c>
      <c r="E414" s="93" t="s">
        <v>24</v>
      </c>
      <c r="F414" s="93" t="s">
        <v>7</v>
      </c>
      <c r="G414" s="93" t="s">
        <v>7185</v>
      </c>
      <c r="H414" s="93" t="s">
        <v>118</v>
      </c>
      <c r="I414" s="93" t="s">
        <v>111</v>
      </c>
      <c r="J414" s="93" t="s">
        <v>7105</v>
      </c>
      <c r="K414" s="93" t="s">
        <v>111</v>
      </c>
      <c r="L414" s="93" t="s">
        <v>111</v>
      </c>
      <c r="M414" s="93" t="s">
        <v>111</v>
      </c>
      <c r="N414" s="93" t="s">
        <v>111</v>
      </c>
      <c r="O414" s="93" t="s">
        <v>111</v>
      </c>
      <c r="P414" s="93" t="s">
        <v>111</v>
      </c>
      <c r="Q414" s="93" t="s">
        <v>111</v>
      </c>
      <c r="R414" s="93" t="s">
        <v>2</v>
      </c>
      <c r="S414" s="93" t="s">
        <v>111</v>
      </c>
      <c r="T414" s="93" t="s">
        <v>116</v>
      </c>
      <c r="U414" s="94">
        <v>44596.570833333331</v>
      </c>
      <c r="V414" s="93" t="s">
        <v>7072</v>
      </c>
      <c r="W414" s="93" t="s">
        <v>24</v>
      </c>
    </row>
    <row r="415" spans="1:23" x14ac:dyDescent="0.15">
      <c r="A415" s="93" t="s">
        <v>427</v>
      </c>
      <c r="B415" s="93" t="s">
        <v>428</v>
      </c>
      <c r="C415" s="93">
        <v>95</v>
      </c>
      <c r="D415" s="93" t="s">
        <v>24</v>
      </c>
      <c r="E415" s="93" t="s">
        <v>24</v>
      </c>
      <c r="F415" s="93" t="s">
        <v>7</v>
      </c>
      <c r="G415" s="93" t="s">
        <v>7185</v>
      </c>
      <c r="H415" s="93" t="s">
        <v>118</v>
      </c>
      <c r="I415" s="93" t="s">
        <v>111</v>
      </c>
      <c r="J415" s="93" t="s">
        <v>7105</v>
      </c>
      <c r="K415" s="93" t="s">
        <v>111</v>
      </c>
      <c r="L415" s="93" t="s">
        <v>111</v>
      </c>
      <c r="M415" s="93" t="s">
        <v>111</v>
      </c>
      <c r="N415" s="93" t="s">
        <v>111</v>
      </c>
      <c r="O415" s="93" t="s">
        <v>111</v>
      </c>
      <c r="P415" s="93" t="s">
        <v>111</v>
      </c>
      <c r="Q415" s="93" t="s">
        <v>111</v>
      </c>
      <c r="R415" s="93" t="s">
        <v>2</v>
      </c>
      <c r="S415" s="93" t="s">
        <v>111</v>
      </c>
      <c r="T415" s="93" t="s">
        <v>116</v>
      </c>
      <c r="U415" s="94">
        <v>44596.601388888892</v>
      </c>
      <c r="V415" s="93" t="s">
        <v>7072</v>
      </c>
      <c r="W415" s="93" t="s">
        <v>24</v>
      </c>
    </row>
    <row r="416" spans="1:23" x14ac:dyDescent="0.15">
      <c r="A416" s="93" t="s">
        <v>429</v>
      </c>
      <c r="B416" s="93" t="s">
        <v>430</v>
      </c>
      <c r="C416" s="93">
        <v>243</v>
      </c>
      <c r="D416" s="93" t="s">
        <v>24</v>
      </c>
      <c r="E416" s="93" t="s">
        <v>24</v>
      </c>
      <c r="F416" s="93" t="s">
        <v>7</v>
      </c>
      <c r="G416" s="93" t="s">
        <v>7185</v>
      </c>
      <c r="H416" s="93" t="s">
        <v>118</v>
      </c>
      <c r="I416" s="93" t="s">
        <v>111</v>
      </c>
      <c r="J416" s="93" t="s">
        <v>7105</v>
      </c>
      <c r="K416" s="93" t="s">
        <v>111</v>
      </c>
      <c r="L416" s="93" t="s">
        <v>111</v>
      </c>
      <c r="M416" s="93" t="s">
        <v>111</v>
      </c>
      <c r="N416" s="93" t="s">
        <v>111</v>
      </c>
      <c r="O416" s="93" t="s">
        <v>111</v>
      </c>
      <c r="P416" s="93" t="s">
        <v>111</v>
      </c>
      <c r="Q416" s="93" t="s">
        <v>111</v>
      </c>
      <c r="R416" s="93" t="s">
        <v>2</v>
      </c>
      <c r="S416" s="93" t="s">
        <v>111</v>
      </c>
      <c r="T416" s="93" t="s">
        <v>116</v>
      </c>
      <c r="U416" s="94">
        <v>44596.556944444441</v>
      </c>
      <c r="V416" s="93" t="s">
        <v>7072</v>
      </c>
      <c r="W416" s="93" t="s">
        <v>24</v>
      </c>
    </row>
    <row r="417" spans="1:23" x14ac:dyDescent="0.15">
      <c r="A417" s="93" t="s">
        <v>431</v>
      </c>
      <c r="B417" s="93" t="s">
        <v>432</v>
      </c>
      <c r="C417" s="93">
        <v>380</v>
      </c>
      <c r="D417" s="93" t="s">
        <v>24</v>
      </c>
      <c r="E417" s="93" t="s">
        <v>24</v>
      </c>
      <c r="F417" s="93" t="s">
        <v>7</v>
      </c>
      <c r="G417" s="93" t="s">
        <v>7185</v>
      </c>
      <c r="H417" s="93" t="s">
        <v>118</v>
      </c>
      <c r="I417" s="93" t="s">
        <v>111</v>
      </c>
      <c r="J417" s="93" t="s">
        <v>7105</v>
      </c>
      <c r="K417" s="93" t="s">
        <v>111</v>
      </c>
      <c r="L417" s="93" t="s">
        <v>111</v>
      </c>
      <c r="M417" s="93" t="s">
        <v>111</v>
      </c>
      <c r="N417" s="93" t="s">
        <v>111</v>
      </c>
      <c r="O417" s="93" t="s">
        <v>111</v>
      </c>
      <c r="P417" s="93" t="s">
        <v>111</v>
      </c>
      <c r="Q417" s="93" t="s">
        <v>111</v>
      </c>
      <c r="R417" s="93" t="s">
        <v>2</v>
      </c>
      <c r="S417" s="93" t="s">
        <v>111</v>
      </c>
      <c r="T417" s="93" t="s">
        <v>116</v>
      </c>
      <c r="U417" s="94">
        <v>44596.609722222223</v>
      </c>
      <c r="V417" s="93" t="s">
        <v>7072</v>
      </c>
      <c r="W417" s="93" t="s">
        <v>24</v>
      </c>
    </row>
    <row r="418" spans="1:23" x14ac:dyDescent="0.15">
      <c r="A418" s="93" t="s">
        <v>433</v>
      </c>
      <c r="B418" s="93" t="s">
        <v>434</v>
      </c>
      <c r="C418" s="93">
        <v>30</v>
      </c>
      <c r="D418" s="93" t="s">
        <v>24</v>
      </c>
      <c r="E418" s="93" t="s">
        <v>24</v>
      </c>
      <c r="F418" s="93" t="s">
        <v>7</v>
      </c>
      <c r="G418" s="93" t="s">
        <v>7185</v>
      </c>
      <c r="H418" s="93" t="s">
        <v>118</v>
      </c>
      <c r="I418" s="93" t="s">
        <v>111</v>
      </c>
      <c r="J418" s="93" t="s">
        <v>118</v>
      </c>
      <c r="K418" s="93">
        <v>3</v>
      </c>
      <c r="L418" s="93" t="s">
        <v>111</v>
      </c>
      <c r="M418" s="93" t="s">
        <v>111</v>
      </c>
      <c r="N418" s="93" t="s">
        <v>111</v>
      </c>
      <c r="O418" s="93" t="s">
        <v>111</v>
      </c>
      <c r="P418" s="93" t="s">
        <v>111</v>
      </c>
      <c r="Q418" s="93" t="s">
        <v>111</v>
      </c>
      <c r="R418" s="93" t="s">
        <v>2</v>
      </c>
      <c r="S418" s="93" t="s">
        <v>111</v>
      </c>
      <c r="T418" s="93" t="s">
        <v>116</v>
      </c>
      <c r="U418" s="94">
        <v>44596.571527777778</v>
      </c>
      <c r="V418" s="93" t="s">
        <v>7072</v>
      </c>
      <c r="W418" s="93" t="s">
        <v>24</v>
      </c>
    </row>
    <row r="419" spans="1:23" x14ac:dyDescent="0.15">
      <c r="A419" s="93" t="s">
        <v>435</v>
      </c>
      <c r="B419" s="93" t="s">
        <v>436</v>
      </c>
      <c r="C419" s="93">
        <v>77</v>
      </c>
      <c r="D419" s="93" t="s">
        <v>24</v>
      </c>
      <c r="E419" s="93" t="s">
        <v>24</v>
      </c>
      <c r="F419" s="93" t="s">
        <v>7</v>
      </c>
      <c r="G419" s="93" t="s">
        <v>7185</v>
      </c>
      <c r="H419" s="93" t="s">
        <v>118</v>
      </c>
      <c r="I419" s="93" t="s">
        <v>111</v>
      </c>
      <c r="J419" s="93" t="s">
        <v>7105</v>
      </c>
      <c r="K419" s="93" t="s">
        <v>111</v>
      </c>
      <c r="L419" s="93" t="s">
        <v>111</v>
      </c>
      <c r="M419" s="93" t="s">
        <v>111</v>
      </c>
      <c r="N419" s="93" t="s">
        <v>111</v>
      </c>
      <c r="O419" s="93" t="s">
        <v>111</v>
      </c>
      <c r="P419" s="93" t="s">
        <v>111</v>
      </c>
      <c r="Q419" s="93" t="s">
        <v>111</v>
      </c>
      <c r="R419" s="93" t="s">
        <v>2</v>
      </c>
      <c r="S419" s="93" t="s">
        <v>111</v>
      </c>
      <c r="T419" s="93" t="s">
        <v>116</v>
      </c>
      <c r="U419" s="94">
        <v>44596.566666666666</v>
      </c>
      <c r="V419" s="93" t="s">
        <v>7072</v>
      </c>
      <c r="W419" s="93" t="s">
        <v>24</v>
      </c>
    </row>
    <row r="420" spans="1:23" x14ac:dyDescent="0.15">
      <c r="A420" s="93" t="s">
        <v>437</v>
      </c>
      <c r="B420" s="93" t="s">
        <v>438</v>
      </c>
      <c r="C420" s="93">
        <v>120</v>
      </c>
      <c r="D420" s="93" t="s">
        <v>24</v>
      </c>
      <c r="E420" s="93" t="s">
        <v>24</v>
      </c>
      <c r="F420" s="93" t="s">
        <v>7</v>
      </c>
      <c r="G420" s="93" t="s">
        <v>7185</v>
      </c>
      <c r="H420" s="93" t="s">
        <v>118</v>
      </c>
      <c r="I420" s="93" t="s">
        <v>111</v>
      </c>
      <c r="J420" s="93" t="s">
        <v>7105</v>
      </c>
      <c r="K420" s="93" t="s">
        <v>111</v>
      </c>
      <c r="L420" s="93" t="s">
        <v>111</v>
      </c>
      <c r="M420" s="93" t="s">
        <v>111</v>
      </c>
      <c r="N420" s="93" t="s">
        <v>111</v>
      </c>
      <c r="O420" s="93" t="s">
        <v>111</v>
      </c>
      <c r="P420" s="93" t="s">
        <v>111</v>
      </c>
      <c r="Q420" s="93" t="s">
        <v>111</v>
      </c>
      <c r="R420" s="93" t="s">
        <v>2</v>
      </c>
      <c r="S420" s="93" t="s">
        <v>111</v>
      </c>
      <c r="T420" s="93" t="s">
        <v>116</v>
      </c>
      <c r="U420" s="94">
        <v>44596.5625</v>
      </c>
      <c r="V420" s="93" t="s">
        <v>7072</v>
      </c>
      <c r="W420" s="93" t="s">
        <v>24</v>
      </c>
    </row>
    <row r="421" spans="1:23" x14ac:dyDescent="0.15">
      <c r="A421" s="93" t="s">
        <v>439</v>
      </c>
      <c r="B421" s="93" t="s">
        <v>440</v>
      </c>
      <c r="C421" s="93">
        <v>56</v>
      </c>
      <c r="D421" s="93" t="s">
        <v>24</v>
      </c>
      <c r="E421" s="93" t="s">
        <v>24</v>
      </c>
      <c r="F421" s="93" t="s">
        <v>7</v>
      </c>
      <c r="G421" s="93" t="s">
        <v>7185</v>
      </c>
      <c r="H421" s="93" t="s">
        <v>118</v>
      </c>
      <c r="I421" s="93" t="s">
        <v>111</v>
      </c>
      <c r="J421" s="93" t="s">
        <v>7105</v>
      </c>
      <c r="K421" s="93" t="s">
        <v>111</v>
      </c>
      <c r="L421" s="93" t="s">
        <v>111</v>
      </c>
      <c r="M421" s="93" t="s">
        <v>111</v>
      </c>
      <c r="N421" s="93" t="s">
        <v>111</v>
      </c>
      <c r="O421" s="93" t="s">
        <v>111</v>
      </c>
      <c r="P421" s="93" t="s">
        <v>111</v>
      </c>
      <c r="Q421" s="93" t="s">
        <v>111</v>
      </c>
      <c r="R421" s="93" t="s">
        <v>2</v>
      </c>
      <c r="S421" s="93" t="s">
        <v>111</v>
      </c>
      <c r="T421" s="93" t="s">
        <v>116</v>
      </c>
      <c r="U421" s="94">
        <v>44596.566666666666</v>
      </c>
      <c r="V421" s="93" t="s">
        <v>7072</v>
      </c>
      <c r="W421" s="93" t="s">
        <v>24</v>
      </c>
    </row>
    <row r="422" spans="1:23" x14ac:dyDescent="0.15">
      <c r="A422" s="93" t="s">
        <v>441</v>
      </c>
      <c r="B422" s="93" t="s">
        <v>442</v>
      </c>
      <c r="C422" s="93">
        <v>143</v>
      </c>
      <c r="D422" s="93" t="s">
        <v>24</v>
      </c>
      <c r="E422" s="93" t="s">
        <v>24</v>
      </c>
      <c r="F422" s="93" t="s">
        <v>7</v>
      </c>
      <c r="G422" s="93" t="s">
        <v>7185</v>
      </c>
      <c r="H422" s="93" t="s">
        <v>118</v>
      </c>
      <c r="I422" s="93" t="s">
        <v>111</v>
      </c>
      <c r="J422" s="93" t="s">
        <v>118</v>
      </c>
      <c r="K422" s="93">
        <v>3</v>
      </c>
      <c r="L422" s="93" t="s">
        <v>111</v>
      </c>
      <c r="M422" s="93" t="s">
        <v>111</v>
      </c>
      <c r="N422" s="93" t="s">
        <v>111</v>
      </c>
      <c r="O422" s="93" t="s">
        <v>111</v>
      </c>
      <c r="P422" s="93" t="s">
        <v>111</v>
      </c>
      <c r="Q422" s="93" t="s">
        <v>228</v>
      </c>
      <c r="R422" s="93" t="s">
        <v>2</v>
      </c>
      <c r="S422" s="93" t="s">
        <v>115</v>
      </c>
      <c r="T422" s="93" t="s">
        <v>116</v>
      </c>
      <c r="U422" s="94">
        <v>44596.575694444444</v>
      </c>
      <c r="V422" s="93" t="s">
        <v>7072</v>
      </c>
      <c r="W422" s="93" t="s">
        <v>24</v>
      </c>
    </row>
    <row r="423" spans="1:23" x14ac:dyDescent="0.15">
      <c r="A423" s="93" t="s">
        <v>443</v>
      </c>
      <c r="B423" s="93" t="s">
        <v>444</v>
      </c>
      <c r="C423" s="93">
        <v>224</v>
      </c>
      <c r="D423" s="93" t="s">
        <v>24</v>
      </c>
      <c r="E423" s="93" t="s">
        <v>24</v>
      </c>
      <c r="F423" s="93" t="s">
        <v>7</v>
      </c>
      <c r="G423" s="93" t="s">
        <v>7185</v>
      </c>
      <c r="H423" s="93" t="s">
        <v>118</v>
      </c>
      <c r="I423" s="93" t="s">
        <v>111</v>
      </c>
      <c r="J423" s="93" t="s">
        <v>7105</v>
      </c>
      <c r="K423" s="93" t="s">
        <v>111</v>
      </c>
      <c r="L423" s="93" t="s">
        <v>111</v>
      </c>
      <c r="M423" s="93" t="s">
        <v>111</v>
      </c>
      <c r="N423" s="93" t="s">
        <v>111</v>
      </c>
      <c r="O423" s="93" t="s">
        <v>111</v>
      </c>
      <c r="P423" s="93" t="s">
        <v>111</v>
      </c>
      <c r="Q423" s="93" t="s">
        <v>111</v>
      </c>
      <c r="R423" s="93" t="s">
        <v>2</v>
      </c>
      <c r="S423" s="93" t="s">
        <v>111</v>
      </c>
      <c r="T423" s="93" t="s">
        <v>116</v>
      </c>
      <c r="U423" s="94">
        <v>44596.584027777775</v>
      </c>
      <c r="V423" s="93" t="s">
        <v>7072</v>
      </c>
      <c r="W423" s="93" t="s">
        <v>24</v>
      </c>
    </row>
    <row r="424" spans="1:23" x14ac:dyDescent="0.15">
      <c r="A424" s="93" t="s">
        <v>445</v>
      </c>
      <c r="B424" s="93" t="s">
        <v>446</v>
      </c>
      <c r="C424" s="93">
        <v>69</v>
      </c>
      <c r="D424" s="93" t="s">
        <v>24</v>
      </c>
      <c r="E424" s="93" t="s">
        <v>24</v>
      </c>
      <c r="F424" s="93" t="s">
        <v>7</v>
      </c>
      <c r="G424" s="93" t="s">
        <v>7185</v>
      </c>
      <c r="H424" s="93" t="s">
        <v>118</v>
      </c>
      <c r="I424" s="93" t="s">
        <v>111</v>
      </c>
      <c r="J424" s="93" t="s">
        <v>118</v>
      </c>
      <c r="K424" s="93">
        <v>3</v>
      </c>
      <c r="L424" s="93" t="s">
        <v>111</v>
      </c>
      <c r="M424" s="93" t="s">
        <v>111</v>
      </c>
      <c r="N424" s="93" t="s">
        <v>111</v>
      </c>
      <c r="O424" s="93" t="s">
        <v>111</v>
      </c>
      <c r="P424" s="93" t="s">
        <v>111</v>
      </c>
      <c r="Q424" s="93" t="s">
        <v>111</v>
      </c>
      <c r="R424" s="93" t="s">
        <v>2</v>
      </c>
      <c r="S424" s="93" t="s">
        <v>111</v>
      </c>
      <c r="T424" s="93" t="s">
        <v>116</v>
      </c>
      <c r="U424" s="94">
        <v>44596.61041666667</v>
      </c>
      <c r="V424" s="93" t="s">
        <v>7072</v>
      </c>
      <c r="W424" s="93" t="s">
        <v>24</v>
      </c>
    </row>
    <row r="425" spans="1:23" x14ac:dyDescent="0.15">
      <c r="A425" s="93" t="s">
        <v>447</v>
      </c>
      <c r="B425" s="93" t="s">
        <v>448</v>
      </c>
      <c r="C425" s="93">
        <v>176</v>
      </c>
      <c r="D425" s="93" t="s">
        <v>24</v>
      </c>
      <c r="E425" s="93" t="s">
        <v>24</v>
      </c>
      <c r="F425" s="93" t="s">
        <v>7</v>
      </c>
      <c r="G425" s="93" t="s">
        <v>7185</v>
      </c>
      <c r="H425" s="93" t="s">
        <v>118</v>
      </c>
      <c r="I425" s="93" t="s">
        <v>111</v>
      </c>
      <c r="J425" s="93" t="s">
        <v>7105</v>
      </c>
      <c r="K425" s="93" t="s">
        <v>111</v>
      </c>
      <c r="L425" s="93" t="s">
        <v>111</v>
      </c>
      <c r="M425" s="93" t="s">
        <v>111</v>
      </c>
      <c r="N425" s="93" t="s">
        <v>111</v>
      </c>
      <c r="O425" s="93" t="s">
        <v>111</v>
      </c>
      <c r="P425" s="93" t="s">
        <v>111</v>
      </c>
      <c r="Q425" s="93" t="s">
        <v>111</v>
      </c>
      <c r="R425" s="93" t="s">
        <v>2</v>
      </c>
      <c r="S425" s="93" t="s">
        <v>111</v>
      </c>
      <c r="T425" s="93" t="s">
        <v>116</v>
      </c>
      <c r="U425" s="94">
        <v>44596.57916666667</v>
      </c>
      <c r="V425" s="93" t="s">
        <v>7072</v>
      </c>
      <c r="W425" s="93" t="s">
        <v>24</v>
      </c>
    </row>
    <row r="426" spans="1:23" x14ac:dyDescent="0.15">
      <c r="A426" s="93" t="s">
        <v>449</v>
      </c>
      <c r="B426" s="93" t="s">
        <v>450</v>
      </c>
      <c r="C426" s="93">
        <v>276</v>
      </c>
      <c r="D426" s="93" t="s">
        <v>24</v>
      </c>
      <c r="E426" s="93" t="s">
        <v>24</v>
      </c>
      <c r="F426" s="93" t="s">
        <v>7</v>
      </c>
      <c r="G426" s="93" t="s">
        <v>7185</v>
      </c>
      <c r="H426" s="93" t="s">
        <v>118</v>
      </c>
      <c r="I426" s="93" t="s">
        <v>111</v>
      </c>
      <c r="J426" s="93" t="s">
        <v>7105</v>
      </c>
      <c r="K426" s="93" t="s">
        <v>111</v>
      </c>
      <c r="L426" s="93" t="s">
        <v>111</v>
      </c>
      <c r="M426" s="93" t="s">
        <v>111</v>
      </c>
      <c r="N426" s="93" t="s">
        <v>111</v>
      </c>
      <c r="O426" s="93" t="s">
        <v>111</v>
      </c>
      <c r="P426" s="93" t="s">
        <v>111</v>
      </c>
      <c r="Q426" s="93" t="s">
        <v>111</v>
      </c>
      <c r="R426" s="93" t="s">
        <v>2</v>
      </c>
      <c r="S426" s="93" t="s">
        <v>111</v>
      </c>
      <c r="T426" s="93" t="s">
        <v>116</v>
      </c>
      <c r="U426" s="94">
        <v>44596.61041666667</v>
      </c>
      <c r="V426" s="93" t="s">
        <v>7072</v>
      </c>
      <c r="W426" s="93" t="s">
        <v>24</v>
      </c>
    </row>
    <row r="427" spans="1:23" x14ac:dyDescent="0.15">
      <c r="A427" s="93" t="s">
        <v>224</v>
      </c>
      <c r="B427" s="93" t="s">
        <v>860</v>
      </c>
      <c r="C427" s="93">
        <v>32</v>
      </c>
      <c r="D427" s="93" t="s">
        <v>24</v>
      </c>
      <c r="E427" s="93" t="s">
        <v>24</v>
      </c>
      <c r="F427" s="93" t="s">
        <v>7</v>
      </c>
      <c r="G427" s="93" t="s">
        <v>7185</v>
      </c>
      <c r="H427" s="93" t="s">
        <v>400</v>
      </c>
      <c r="I427" s="93" t="s">
        <v>111</v>
      </c>
      <c r="J427" s="93" t="s">
        <v>7105</v>
      </c>
      <c r="K427" s="93" t="s">
        <v>111</v>
      </c>
      <c r="L427" s="93" t="s">
        <v>111</v>
      </c>
      <c r="M427" s="93" t="s">
        <v>111</v>
      </c>
      <c r="N427" s="93" t="s">
        <v>111</v>
      </c>
      <c r="O427" s="93" t="s">
        <v>111</v>
      </c>
      <c r="P427" s="93" t="s">
        <v>111</v>
      </c>
      <c r="Q427" s="93" t="s">
        <v>111</v>
      </c>
      <c r="R427" s="93" t="s">
        <v>2</v>
      </c>
      <c r="S427" s="93" t="s">
        <v>111</v>
      </c>
      <c r="T427" s="93" t="s">
        <v>116</v>
      </c>
      <c r="U427" s="94">
        <v>44596.574999999997</v>
      </c>
      <c r="V427" s="93" t="s">
        <v>7072</v>
      </c>
      <c r="W427" s="93" t="s">
        <v>24</v>
      </c>
    </row>
    <row r="428" spans="1:23" x14ac:dyDescent="0.15">
      <c r="A428" s="93" t="s">
        <v>225</v>
      </c>
      <c r="B428" s="93" t="s">
        <v>861</v>
      </c>
      <c r="C428" s="93">
        <v>82</v>
      </c>
      <c r="D428" s="93" t="s">
        <v>24</v>
      </c>
      <c r="E428" s="93" t="s">
        <v>24</v>
      </c>
      <c r="F428" s="93" t="s">
        <v>7</v>
      </c>
      <c r="G428" s="93" t="s">
        <v>7185</v>
      </c>
      <c r="H428" s="93" t="s">
        <v>400</v>
      </c>
      <c r="I428" s="93" t="s">
        <v>111</v>
      </c>
      <c r="J428" s="93" t="s">
        <v>7105</v>
      </c>
      <c r="K428" s="93" t="s">
        <v>111</v>
      </c>
      <c r="L428" s="93" t="s">
        <v>111</v>
      </c>
      <c r="M428" s="93" t="s">
        <v>111</v>
      </c>
      <c r="N428" s="93" t="s">
        <v>111</v>
      </c>
      <c r="O428" s="93" t="s">
        <v>111</v>
      </c>
      <c r="P428" s="93" t="s">
        <v>111</v>
      </c>
      <c r="Q428" s="93" t="s">
        <v>111</v>
      </c>
      <c r="R428" s="93" t="s">
        <v>2</v>
      </c>
      <c r="S428" s="93" t="s">
        <v>111</v>
      </c>
      <c r="T428" s="93" t="s">
        <v>116</v>
      </c>
      <c r="U428" s="94">
        <v>44596.602083333331</v>
      </c>
      <c r="V428" s="93" t="s">
        <v>7072</v>
      </c>
      <c r="W428" s="93" t="s">
        <v>24</v>
      </c>
    </row>
    <row r="429" spans="1:23" x14ac:dyDescent="0.15">
      <c r="A429" s="93" t="s">
        <v>226</v>
      </c>
      <c r="B429" s="93" t="s">
        <v>862</v>
      </c>
      <c r="C429" s="93">
        <v>128</v>
      </c>
      <c r="D429" s="93" t="s">
        <v>24</v>
      </c>
      <c r="E429" s="93" t="s">
        <v>24</v>
      </c>
      <c r="F429" s="93" t="s">
        <v>7</v>
      </c>
      <c r="G429" s="93" t="s">
        <v>7185</v>
      </c>
      <c r="H429" s="93" t="s">
        <v>400</v>
      </c>
      <c r="I429" s="93" t="s">
        <v>111</v>
      </c>
      <c r="J429" s="93" t="s">
        <v>7105</v>
      </c>
      <c r="K429" s="93" t="s">
        <v>111</v>
      </c>
      <c r="L429" s="93" t="s">
        <v>111</v>
      </c>
      <c r="M429" s="93" t="s">
        <v>111</v>
      </c>
      <c r="N429" s="93" t="s">
        <v>111</v>
      </c>
      <c r="O429" s="93" t="s">
        <v>111</v>
      </c>
      <c r="P429" s="93" t="s">
        <v>111</v>
      </c>
      <c r="Q429" s="93" t="s">
        <v>111</v>
      </c>
      <c r="R429" s="93" t="s">
        <v>2</v>
      </c>
      <c r="S429" s="93" t="s">
        <v>111</v>
      </c>
      <c r="T429" s="93" t="s">
        <v>116</v>
      </c>
      <c r="U429" s="94">
        <v>44596.613194444442</v>
      </c>
      <c r="V429" s="93" t="s">
        <v>7072</v>
      </c>
      <c r="W429" s="93" t="s">
        <v>24</v>
      </c>
    </row>
    <row r="430" spans="1:23" x14ac:dyDescent="0.15">
      <c r="A430" s="93" t="s">
        <v>7393</v>
      </c>
      <c r="B430" s="93" t="s">
        <v>7394</v>
      </c>
      <c r="C430" s="93">
        <v>39</v>
      </c>
      <c r="D430" s="93" t="s">
        <v>24</v>
      </c>
      <c r="E430" s="93" t="s">
        <v>24</v>
      </c>
      <c r="F430" s="93" t="s">
        <v>7</v>
      </c>
      <c r="G430" s="93" t="s">
        <v>7185</v>
      </c>
      <c r="H430" s="93" t="s">
        <v>400</v>
      </c>
      <c r="I430" s="93" t="s">
        <v>111</v>
      </c>
      <c r="J430" s="93" t="s">
        <v>118</v>
      </c>
      <c r="K430" s="93">
        <v>3</v>
      </c>
      <c r="L430" s="93" t="s">
        <v>111</v>
      </c>
      <c r="M430" s="93" t="s">
        <v>111</v>
      </c>
      <c r="N430" s="93" t="s">
        <v>111</v>
      </c>
      <c r="O430" s="93" t="s">
        <v>111</v>
      </c>
      <c r="P430" s="93" t="s">
        <v>111</v>
      </c>
      <c r="Q430" s="93" t="s">
        <v>228</v>
      </c>
      <c r="R430" s="93" t="s">
        <v>2</v>
      </c>
      <c r="S430" s="93" t="s">
        <v>115</v>
      </c>
      <c r="T430" s="93" t="s">
        <v>116</v>
      </c>
      <c r="U430" s="94">
        <v>44602.407638888886</v>
      </c>
      <c r="V430" s="93" t="s">
        <v>402</v>
      </c>
      <c r="W430" s="93" t="s">
        <v>24</v>
      </c>
    </row>
    <row r="431" spans="1:23" x14ac:dyDescent="0.15">
      <c r="A431" s="93" t="s">
        <v>7395</v>
      </c>
      <c r="B431" s="93" t="s">
        <v>7396</v>
      </c>
      <c r="C431" s="93">
        <v>100</v>
      </c>
      <c r="D431" s="93" t="s">
        <v>24</v>
      </c>
      <c r="E431" s="93" t="s">
        <v>24</v>
      </c>
      <c r="F431" s="93" t="s">
        <v>7</v>
      </c>
      <c r="G431" s="93" t="s">
        <v>7185</v>
      </c>
      <c r="H431" s="93" t="s">
        <v>400</v>
      </c>
      <c r="I431" s="93" t="s">
        <v>111</v>
      </c>
      <c r="J431" s="93" t="s">
        <v>118</v>
      </c>
      <c r="K431" s="93">
        <v>3</v>
      </c>
      <c r="L431" s="93" t="s">
        <v>111</v>
      </c>
      <c r="M431" s="93" t="s">
        <v>111</v>
      </c>
      <c r="N431" s="93" t="s">
        <v>111</v>
      </c>
      <c r="O431" s="93" t="s">
        <v>111</v>
      </c>
      <c r="P431" s="93" t="s">
        <v>111</v>
      </c>
      <c r="Q431" s="93" t="s">
        <v>228</v>
      </c>
      <c r="R431" s="93" t="s">
        <v>2</v>
      </c>
      <c r="S431" s="93" t="s">
        <v>111</v>
      </c>
      <c r="T431" s="93" t="s">
        <v>116</v>
      </c>
      <c r="U431" s="94">
        <v>44602.407638888886</v>
      </c>
      <c r="V431" s="93" t="s">
        <v>402</v>
      </c>
      <c r="W431" s="93" t="s">
        <v>24</v>
      </c>
    </row>
    <row r="432" spans="1:23" x14ac:dyDescent="0.15">
      <c r="A432" s="93" t="s">
        <v>7397</v>
      </c>
      <c r="B432" s="93" t="s">
        <v>7398</v>
      </c>
      <c r="C432" s="93">
        <v>156</v>
      </c>
      <c r="D432" s="93" t="s">
        <v>24</v>
      </c>
      <c r="E432" s="93" t="s">
        <v>24</v>
      </c>
      <c r="F432" s="93" t="s">
        <v>7</v>
      </c>
      <c r="G432" s="93" t="s">
        <v>7185</v>
      </c>
      <c r="H432" s="93" t="s">
        <v>400</v>
      </c>
      <c r="I432" s="93" t="s">
        <v>111</v>
      </c>
      <c r="J432" s="93" t="s">
        <v>118</v>
      </c>
      <c r="K432" s="93">
        <v>3</v>
      </c>
      <c r="L432" s="93" t="s">
        <v>111</v>
      </c>
      <c r="M432" s="93" t="s">
        <v>111</v>
      </c>
      <c r="N432" s="93" t="s">
        <v>111</v>
      </c>
      <c r="O432" s="93" t="s">
        <v>111</v>
      </c>
      <c r="P432" s="93" t="s">
        <v>111</v>
      </c>
      <c r="Q432" s="93" t="s">
        <v>228</v>
      </c>
      <c r="R432" s="93" t="s">
        <v>2</v>
      </c>
      <c r="S432" s="93" t="s">
        <v>115</v>
      </c>
      <c r="T432" s="93" t="s">
        <v>116</v>
      </c>
      <c r="U432" s="94">
        <v>44602.407638888886</v>
      </c>
      <c r="V432" s="93" t="s">
        <v>402</v>
      </c>
      <c r="W432" s="93" t="s">
        <v>24</v>
      </c>
    </row>
    <row r="433" spans="1:23" x14ac:dyDescent="0.15">
      <c r="A433" s="93" t="s">
        <v>451</v>
      </c>
      <c r="B433" s="93" t="s">
        <v>452</v>
      </c>
      <c r="C433" s="93">
        <v>61</v>
      </c>
      <c r="D433" s="93" t="s">
        <v>24</v>
      </c>
      <c r="E433" s="93" t="s">
        <v>24</v>
      </c>
      <c r="F433" s="93" t="s">
        <v>7</v>
      </c>
      <c r="G433" s="93" t="s">
        <v>7185</v>
      </c>
      <c r="H433" s="93" t="s">
        <v>118</v>
      </c>
      <c r="I433" s="93" t="s">
        <v>111</v>
      </c>
      <c r="J433" s="93" t="s">
        <v>7105</v>
      </c>
      <c r="K433" s="93" t="s">
        <v>111</v>
      </c>
      <c r="L433" s="93" t="s">
        <v>111</v>
      </c>
      <c r="M433" s="93" t="s">
        <v>111</v>
      </c>
      <c r="N433" s="93" t="s">
        <v>111</v>
      </c>
      <c r="O433" s="93" t="s">
        <v>111</v>
      </c>
      <c r="P433" s="93" t="s">
        <v>111</v>
      </c>
      <c r="Q433" s="93" t="s">
        <v>111</v>
      </c>
      <c r="R433" s="93" t="s">
        <v>2</v>
      </c>
      <c r="S433" s="93" t="s">
        <v>111</v>
      </c>
      <c r="T433" s="93" t="s">
        <v>116</v>
      </c>
      <c r="U433" s="94">
        <v>44596.574999999997</v>
      </c>
      <c r="V433" s="93" t="s">
        <v>7072</v>
      </c>
      <c r="W433" s="93" t="s">
        <v>24</v>
      </c>
    </row>
    <row r="434" spans="1:23" x14ac:dyDescent="0.15">
      <c r="A434" s="93" t="s">
        <v>453</v>
      </c>
      <c r="B434" s="93" t="s">
        <v>454</v>
      </c>
      <c r="C434" s="93">
        <v>156</v>
      </c>
      <c r="D434" s="93" t="s">
        <v>24</v>
      </c>
      <c r="E434" s="93" t="s">
        <v>24</v>
      </c>
      <c r="F434" s="93" t="s">
        <v>7</v>
      </c>
      <c r="G434" s="93" t="s">
        <v>7185</v>
      </c>
      <c r="H434" s="93" t="s">
        <v>118</v>
      </c>
      <c r="I434" s="93" t="s">
        <v>111</v>
      </c>
      <c r="J434" s="93" t="s">
        <v>7105</v>
      </c>
      <c r="K434" s="93" t="s">
        <v>111</v>
      </c>
      <c r="L434" s="93" t="s">
        <v>111</v>
      </c>
      <c r="M434" s="93" t="s">
        <v>111</v>
      </c>
      <c r="N434" s="93" t="s">
        <v>111</v>
      </c>
      <c r="O434" s="93" t="s">
        <v>111</v>
      </c>
      <c r="P434" s="93" t="s">
        <v>111</v>
      </c>
      <c r="Q434" s="93" t="s">
        <v>111</v>
      </c>
      <c r="R434" s="93" t="s">
        <v>2</v>
      </c>
      <c r="S434" s="93" t="s">
        <v>111</v>
      </c>
      <c r="T434" s="93" t="s">
        <v>116</v>
      </c>
      <c r="U434" s="94">
        <v>44596.602083333331</v>
      </c>
      <c r="V434" s="93" t="s">
        <v>7072</v>
      </c>
      <c r="W434" s="93" t="s">
        <v>24</v>
      </c>
    </row>
    <row r="435" spans="1:23" x14ac:dyDescent="0.15">
      <c r="A435" s="93" t="s">
        <v>455</v>
      </c>
      <c r="B435" s="93" t="s">
        <v>456</v>
      </c>
      <c r="C435" s="93">
        <v>244</v>
      </c>
      <c r="D435" s="93" t="s">
        <v>24</v>
      </c>
      <c r="E435" s="93" t="s">
        <v>24</v>
      </c>
      <c r="F435" s="93" t="s">
        <v>7</v>
      </c>
      <c r="G435" s="93" t="s">
        <v>7185</v>
      </c>
      <c r="H435" s="93" t="s">
        <v>118</v>
      </c>
      <c r="I435" s="93" t="s">
        <v>111</v>
      </c>
      <c r="J435" s="93" t="s">
        <v>7105</v>
      </c>
      <c r="K435" s="93" t="s">
        <v>111</v>
      </c>
      <c r="L435" s="93" t="s">
        <v>111</v>
      </c>
      <c r="M435" s="93" t="s">
        <v>111</v>
      </c>
      <c r="N435" s="93" t="s">
        <v>111</v>
      </c>
      <c r="O435" s="93" t="s">
        <v>111</v>
      </c>
      <c r="P435" s="93" t="s">
        <v>111</v>
      </c>
      <c r="Q435" s="93" t="s">
        <v>111</v>
      </c>
      <c r="R435" s="93" t="s">
        <v>2</v>
      </c>
      <c r="S435" s="93" t="s">
        <v>111</v>
      </c>
      <c r="T435" s="93" t="s">
        <v>116</v>
      </c>
      <c r="U435" s="94">
        <v>44596.561805555553</v>
      </c>
      <c r="V435" s="93" t="s">
        <v>7072</v>
      </c>
      <c r="W435" s="93" t="s">
        <v>24</v>
      </c>
    </row>
    <row r="436" spans="1:23" x14ac:dyDescent="0.15">
      <c r="A436" s="93" t="s">
        <v>21</v>
      </c>
      <c r="B436" s="93" t="s">
        <v>13</v>
      </c>
      <c r="C436" s="93">
        <v>16</v>
      </c>
      <c r="D436" s="93" t="s">
        <v>24</v>
      </c>
      <c r="E436" s="93" t="s">
        <v>24</v>
      </c>
      <c r="F436" s="93" t="s">
        <v>7</v>
      </c>
      <c r="G436" s="93" t="s">
        <v>7185</v>
      </c>
      <c r="H436" s="93" t="s">
        <v>400</v>
      </c>
      <c r="I436" s="93" t="s">
        <v>111</v>
      </c>
      <c r="J436" s="93" t="s">
        <v>7105</v>
      </c>
      <c r="K436" s="93" t="s">
        <v>111</v>
      </c>
      <c r="L436" s="93" t="s">
        <v>111</v>
      </c>
      <c r="M436" s="93" t="s">
        <v>111</v>
      </c>
      <c r="N436" s="93" t="s">
        <v>111</v>
      </c>
      <c r="O436" s="93" t="s">
        <v>111</v>
      </c>
      <c r="P436" s="93" t="s">
        <v>111</v>
      </c>
      <c r="Q436" s="93" t="s">
        <v>111</v>
      </c>
      <c r="R436" s="93" t="s">
        <v>2</v>
      </c>
      <c r="S436" s="93" t="s">
        <v>111</v>
      </c>
      <c r="T436" s="93" t="s">
        <v>116</v>
      </c>
      <c r="U436" s="94">
        <v>44596.602083333331</v>
      </c>
      <c r="V436" s="93" t="s">
        <v>7072</v>
      </c>
      <c r="W436" s="93" t="s">
        <v>24</v>
      </c>
    </row>
    <row r="437" spans="1:23" x14ac:dyDescent="0.15">
      <c r="A437" s="93" t="s">
        <v>22</v>
      </c>
      <c r="B437" s="93" t="s">
        <v>14</v>
      </c>
      <c r="C437" s="93">
        <v>41</v>
      </c>
      <c r="D437" s="93" t="s">
        <v>24</v>
      </c>
      <c r="E437" s="93" t="s">
        <v>24</v>
      </c>
      <c r="F437" s="93" t="s">
        <v>7</v>
      </c>
      <c r="G437" s="93" t="s">
        <v>7185</v>
      </c>
      <c r="H437" s="93" t="s">
        <v>400</v>
      </c>
      <c r="I437" s="93" t="s">
        <v>111</v>
      </c>
      <c r="J437" s="93" t="s">
        <v>7105</v>
      </c>
      <c r="K437" s="93" t="s">
        <v>111</v>
      </c>
      <c r="L437" s="93" t="s">
        <v>111</v>
      </c>
      <c r="M437" s="93" t="s">
        <v>111</v>
      </c>
      <c r="N437" s="93" t="s">
        <v>111</v>
      </c>
      <c r="O437" s="93" t="s">
        <v>111</v>
      </c>
      <c r="P437" s="93" t="s">
        <v>111</v>
      </c>
      <c r="Q437" s="93" t="s">
        <v>111</v>
      </c>
      <c r="R437" s="93" t="s">
        <v>2</v>
      </c>
      <c r="S437" s="93" t="s">
        <v>111</v>
      </c>
      <c r="T437" s="93" t="s">
        <v>116</v>
      </c>
      <c r="U437" s="94">
        <v>44596.613194444442</v>
      </c>
      <c r="V437" s="93" t="s">
        <v>7072</v>
      </c>
      <c r="W437" s="93" t="s">
        <v>24</v>
      </c>
    </row>
    <row r="438" spans="1:23" x14ac:dyDescent="0.15">
      <c r="A438" s="93" t="s">
        <v>23</v>
      </c>
      <c r="B438" s="93" t="s">
        <v>15</v>
      </c>
      <c r="C438" s="93">
        <v>64</v>
      </c>
      <c r="D438" s="93" t="s">
        <v>24</v>
      </c>
      <c r="E438" s="93" t="s">
        <v>24</v>
      </c>
      <c r="F438" s="93" t="s">
        <v>126</v>
      </c>
      <c r="G438" s="93" t="s">
        <v>7185</v>
      </c>
      <c r="H438" s="93" t="s">
        <v>400</v>
      </c>
      <c r="I438" s="93" t="s">
        <v>111</v>
      </c>
      <c r="J438" s="93" t="s">
        <v>7105</v>
      </c>
      <c r="K438" s="93" t="s">
        <v>111</v>
      </c>
      <c r="L438" s="93" t="s">
        <v>111</v>
      </c>
      <c r="M438" s="93" t="s">
        <v>111</v>
      </c>
      <c r="N438" s="93" t="s">
        <v>111</v>
      </c>
      <c r="O438" s="93" t="s">
        <v>111</v>
      </c>
      <c r="P438" s="93" t="s">
        <v>111</v>
      </c>
      <c r="Q438" s="93" t="s">
        <v>111</v>
      </c>
      <c r="R438" s="93" t="s">
        <v>2</v>
      </c>
      <c r="S438" s="93" t="s">
        <v>111</v>
      </c>
      <c r="T438" s="93" t="s">
        <v>116</v>
      </c>
      <c r="U438" s="94">
        <v>44596.583333333336</v>
      </c>
      <c r="V438" s="93" t="s">
        <v>7072</v>
      </c>
      <c r="W438" s="93" t="s">
        <v>24</v>
      </c>
    </row>
    <row r="439" spans="1:23" x14ac:dyDescent="0.15">
      <c r="A439" s="93" t="s">
        <v>457</v>
      </c>
      <c r="B439" s="93" t="s">
        <v>458</v>
      </c>
      <c r="C439" s="93">
        <v>17</v>
      </c>
      <c r="D439" s="93" t="s">
        <v>24</v>
      </c>
      <c r="E439" s="93" t="s">
        <v>24</v>
      </c>
      <c r="F439" s="93" t="s">
        <v>7</v>
      </c>
      <c r="G439" s="93" t="s">
        <v>7185</v>
      </c>
      <c r="H439" s="93" t="s">
        <v>400</v>
      </c>
      <c r="I439" s="93" t="s">
        <v>111</v>
      </c>
      <c r="J439" s="93" t="s">
        <v>7105</v>
      </c>
      <c r="K439" s="93" t="s">
        <v>111</v>
      </c>
      <c r="L439" s="93" t="s">
        <v>111</v>
      </c>
      <c r="M439" s="93" t="s">
        <v>111</v>
      </c>
      <c r="N439" s="93" t="s">
        <v>111</v>
      </c>
      <c r="O439" s="93" t="s">
        <v>111</v>
      </c>
      <c r="P439" s="93" t="s">
        <v>111</v>
      </c>
      <c r="Q439" s="93" t="s">
        <v>111</v>
      </c>
      <c r="R439" s="93" t="s">
        <v>2</v>
      </c>
      <c r="S439" s="93" t="s">
        <v>111</v>
      </c>
      <c r="T439" s="93" t="s">
        <v>116</v>
      </c>
      <c r="U439" s="94">
        <v>44596.574999999997</v>
      </c>
      <c r="V439" s="93" t="s">
        <v>7072</v>
      </c>
      <c r="W439" s="93" t="s">
        <v>24</v>
      </c>
    </row>
    <row r="440" spans="1:23" x14ac:dyDescent="0.15">
      <c r="A440" s="93" t="s">
        <v>459</v>
      </c>
      <c r="B440" s="93" t="s">
        <v>460</v>
      </c>
      <c r="C440" s="93">
        <v>44</v>
      </c>
      <c r="D440" s="93" t="s">
        <v>24</v>
      </c>
      <c r="E440" s="93" t="s">
        <v>24</v>
      </c>
      <c r="F440" s="93" t="s">
        <v>7</v>
      </c>
      <c r="G440" s="93" t="s">
        <v>7185</v>
      </c>
      <c r="H440" s="93" t="s">
        <v>400</v>
      </c>
      <c r="I440" s="93" t="s">
        <v>111</v>
      </c>
      <c r="J440" s="93" t="s">
        <v>7105</v>
      </c>
      <c r="K440" s="93" t="s">
        <v>111</v>
      </c>
      <c r="L440" s="93" t="s">
        <v>111</v>
      </c>
      <c r="M440" s="93" t="s">
        <v>111</v>
      </c>
      <c r="N440" s="93" t="s">
        <v>111</v>
      </c>
      <c r="O440" s="93" t="s">
        <v>111</v>
      </c>
      <c r="P440" s="93" t="s">
        <v>111</v>
      </c>
      <c r="Q440" s="93" t="s">
        <v>111</v>
      </c>
      <c r="R440" s="93" t="s">
        <v>2</v>
      </c>
      <c r="S440" s="93" t="s">
        <v>111</v>
      </c>
      <c r="T440" s="93" t="s">
        <v>116</v>
      </c>
      <c r="U440" s="94">
        <v>44596.574999999997</v>
      </c>
      <c r="V440" s="93" t="s">
        <v>7072</v>
      </c>
      <c r="W440" s="93" t="s">
        <v>24</v>
      </c>
    </row>
    <row r="441" spans="1:23" x14ac:dyDescent="0.15">
      <c r="A441" s="93" t="s">
        <v>461</v>
      </c>
      <c r="B441" s="93" t="s">
        <v>462</v>
      </c>
      <c r="C441" s="93">
        <v>68</v>
      </c>
      <c r="D441" s="93" t="s">
        <v>24</v>
      </c>
      <c r="E441" s="93" t="s">
        <v>24</v>
      </c>
      <c r="F441" s="93" t="s">
        <v>7</v>
      </c>
      <c r="G441" s="93" t="s">
        <v>7185</v>
      </c>
      <c r="H441" s="93" t="s">
        <v>400</v>
      </c>
      <c r="I441" s="93" t="s">
        <v>111</v>
      </c>
      <c r="J441" s="93" t="s">
        <v>7105</v>
      </c>
      <c r="K441" s="93" t="s">
        <v>111</v>
      </c>
      <c r="L441" s="93" t="s">
        <v>111</v>
      </c>
      <c r="M441" s="93" t="s">
        <v>111</v>
      </c>
      <c r="N441" s="93" t="s">
        <v>111</v>
      </c>
      <c r="O441" s="93" t="s">
        <v>111</v>
      </c>
      <c r="P441" s="93" t="s">
        <v>111</v>
      </c>
      <c r="Q441" s="93" t="s">
        <v>111</v>
      </c>
      <c r="R441" s="93" t="s">
        <v>2</v>
      </c>
      <c r="S441" s="93" t="s">
        <v>111</v>
      </c>
      <c r="T441" s="93" t="s">
        <v>116</v>
      </c>
      <c r="U441" s="94">
        <v>44596.565972222219</v>
      </c>
      <c r="V441" s="93" t="s">
        <v>7072</v>
      </c>
      <c r="W441" s="93" t="s">
        <v>24</v>
      </c>
    </row>
    <row r="442" spans="1:23" x14ac:dyDescent="0.15">
      <c r="A442" s="93" t="s">
        <v>463</v>
      </c>
      <c r="B442" s="93" t="s">
        <v>27</v>
      </c>
      <c r="C442" s="93">
        <v>25.53</v>
      </c>
      <c r="D442" s="93" t="s">
        <v>24</v>
      </c>
      <c r="E442" s="93" t="s">
        <v>24</v>
      </c>
      <c r="F442" s="93" t="s">
        <v>7</v>
      </c>
      <c r="G442" s="93" t="s">
        <v>7185</v>
      </c>
      <c r="H442" s="93" t="s">
        <v>400</v>
      </c>
      <c r="I442" s="93" t="s">
        <v>111</v>
      </c>
      <c r="J442" s="93" t="s">
        <v>7105</v>
      </c>
      <c r="K442" s="93" t="s">
        <v>111</v>
      </c>
      <c r="L442" s="93" t="s">
        <v>111</v>
      </c>
      <c r="M442" s="93" t="s">
        <v>111</v>
      </c>
      <c r="N442" s="93" t="s">
        <v>111</v>
      </c>
      <c r="O442" s="93" t="s">
        <v>111</v>
      </c>
      <c r="P442" s="93" t="s">
        <v>111</v>
      </c>
      <c r="Q442" s="93" t="s">
        <v>111</v>
      </c>
      <c r="R442" s="93" t="s">
        <v>2</v>
      </c>
      <c r="S442" s="93" t="s">
        <v>111</v>
      </c>
      <c r="T442" s="93" t="s">
        <v>116</v>
      </c>
      <c r="U442" s="94">
        <v>44596.606249999997</v>
      </c>
      <c r="V442" s="93" t="s">
        <v>7072</v>
      </c>
      <c r="W442" s="93" t="s">
        <v>24</v>
      </c>
    </row>
    <row r="443" spans="1:23" x14ac:dyDescent="0.15">
      <c r="A443" s="93" t="s">
        <v>464</v>
      </c>
      <c r="B443" s="93" t="s">
        <v>28</v>
      </c>
      <c r="C443" s="93">
        <v>65.55</v>
      </c>
      <c r="D443" s="93" t="s">
        <v>24</v>
      </c>
      <c r="E443" s="93" t="s">
        <v>24</v>
      </c>
      <c r="F443" s="93" t="s">
        <v>7</v>
      </c>
      <c r="G443" s="93" t="s">
        <v>7185</v>
      </c>
      <c r="H443" s="93" t="s">
        <v>400</v>
      </c>
      <c r="I443" s="93" t="s">
        <v>111</v>
      </c>
      <c r="J443" s="93" t="s">
        <v>7105</v>
      </c>
      <c r="K443" s="93" t="s">
        <v>111</v>
      </c>
      <c r="L443" s="93" t="s">
        <v>111</v>
      </c>
      <c r="M443" s="93" t="s">
        <v>111</v>
      </c>
      <c r="N443" s="93" t="s">
        <v>111</v>
      </c>
      <c r="O443" s="93" t="s">
        <v>111</v>
      </c>
      <c r="P443" s="93" t="s">
        <v>111</v>
      </c>
      <c r="Q443" s="93" t="s">
        <v>111</v>
      </c>
      <c r="R443" s="93" t="s">
        <v>2</v>
      </c>
      <c r="S443" s="93" t="s">
        <v>111</v>
      </c>
      <c r="T443" s="93" t="s">
        <v>116</v>
      </c>
      <c r="U443" s="94">
        <v>44596.583333333336</v>
      </c>
      <c r="V443" s="93" t="s">
        <v>7072</v>
      </c>
      <c r="W443" s="93" t="s">
        <v>24</v>
      </c>
    </row>
    <row r="444" spans="1:23" x14ac:dyDescent="0.15">
      <c r="A444" s="93" t="s">
        <v>465</v>
      </c>
      <c r="B444" s="93" t="s">
        <v>29</v>
      </c>
      <c r="C444" s="93">
        <v>102.12</v>
      </c>
      <c r="D444" s="93" t="s">
        <v>24</v>
      </c>
      <c r="E444" s="93" t="s">
        <v>24</v>
      </c>
      <c r="F444" s="93" t="s">
        <v>7</v>
      </c>
      <c r="G444" s="93" t="s">
        <v>7185</v>
      </c>
      <c r="H444" s="93" t="s">
        <v>400</v>
      </c>
      <c r="I444" s="93" t="s">
        <v>111</v>
      </c>
      <c r="J444" s="93" t="s">
        <v>7105</v>
      </c>
      <c r="K444" s="93" t="s">
        <v>111</v>
      </c>
      <c r="L444" s="93" t="s">
        <v>111</v>
      </c>
      <c r="M444" s="93" t="s">
        <v>111</v>
      </c>
      <c r="N444" s="93" t="s">
        <v>111</v>
      </c>
      <c r="O444" s="93" t="s">
        <v>111</v>
      </c>
      <c r="P444" s="93" t="s">
        <v>111</v>
      </c>
      <c r="Q444" s="93" t="s">
        <v>111</v>
      </c>
      <c r="R444" s="93" t="s">
        <v>2</v>
      </c>
      <c r="S444" s="93" t="s">
        <v>111</v>
      </c>
      <c r="T444" s="93" t="s">
        <v>116</v>
      </c>
      <c r="U444" s="94">
        <v>44596.609722222223</v>
      </c>
      <c r="V444" s="93" t="s">
        <v>7072</v>
      </c>
      <c r="W444" s="93" t="s">
        <v>24</v>
      </c>
    </row>
    <row r="445" spans="1:23" x14ac:dyDescent="0.15">
      <c r="A445" s="93" t="s">
        <v>84</v>
      </c>
      <c r="B445" s="93" t="s">
        <v>227</v>
      </c>
      <c r="C445" s="93">
        <v>17</v>
      </c>
      <c r="D445" s="93" t="s">
        <v>24</v>
      </c>
      <c r="E445" s="93" t="s">
        <v>24</v>
      </c>
      <c r="F445" s="93" t="s">
        <v>7</v>
      </c>
      <c r="G445" s="93" t="s">
        <v>7185</v>
      </c>
      <c r="H445" s="93" t="s">
        <v>400</v>
      </c>
      <c r="I445" s="93" t="s">
        <v>111</v>
      </c>
      <c r="J445" s="93" t="s">
        <v>118</v>
      </c>
      <c r="K445" s="93">
        <v>3</v>
      </c>
      <c r="L445" s="93" t="s">
        <v>111</v>
      </c>
      <c r="M445" s="93" t="s">
        <v>111</v>
      </c>
      <c r="N445" s="93" t="s">
        <v>111</v>
      </c>
      <c r="O445" s="93" t="s">
        <v>111</v>
      </c>
      <c r="P445" s="93" t="s">
        <v>111</v>
      </c>
      <c r="Q445" s="93" t="s">
        <v>228</v>
      </c>
      <c r="R445" s="93" t="s">
        <v>2</v>
      </c>
      <c r="S445" s="93" t="s">
        <v>115</v>
      </c>
      <c r="T445" s="93" t="s">
        <v>116</v>
      </c>
      <c r="U445" s="94">
        <v>44610.058333333334</v>
      </c>
      <c r="V445" s="93" t="s">
        <v>7336</v>
      </c>
      <c r="W445" s="93" t="s">
        <v>24</v>
      </c>
    </row>
    <row r="446" spans="1:23" x14ac:dyDescent="0.15">
      <c r="A446" s="93" t="s">
        <v>85</v>
      </c>
      <c r="B446" s="93" t="s">
        <v>229</v>
      </c>
      <c r="C446" s="93">
        <v>44</v>
      </c>
      <c r="D446" s="93" t="s">
        <v>24</v>
      </c>
      <c r="E446" s="93" t="s">
        <v>24</v>
      </c>
      <c r="F446" s="93" t="s">
        <v>7</v>
      </c>
      <c r="G446" s="93" t="s">
        <v>7185</v>
      </c>
      <c r="H446" s="93" t="s">
        <v>400</v>
      </c>
      <c r="I446" s="93" t="s">
        <v>111</v>
      </c>
      <c r="J446" s="93" t="s">
        <v>118</v>
      </c>
      <c r="K446" s="93">
        <v>3</v>
      </c>
      <c r="L446" s="93" t="s">
        <v>111</v>
      </c>
      <c r="M446" s="93" t="s">
        <v>111</v>
      </c>
      <c r="N446" s="93" t="s">
        <v>111</v>
      </c>
      <c r="O446" s="93" t="s">
        <v>111</v>
      </c>
      <c r="P446" s="93" t="s">
        <v>111</v>
      </c>
      <c r="Q446" s="93" t="s">
        <v>228</v>
      </c>
      <c r="R446" s="93" t="s">
        <v>2</v>
      </c>
      <c r="S446" s="93" t="s">
        <v>115</v>
      </c>
      <c r="T446" s="93" t="s">
        <v>116</v>
      </c>
      <c r="U446" s="94">
        <v>44610.082638888889</v>
      </c>
      <c r="V446" s="93" t="s">
        <v>7336</v>
      </c>
      <c r="W446" s="93" t="s">
        <v>24</v>
      </c>
    </row>
    <row r="447" spans="1:23" x14ac:dyDescent="0.15">
      <c r="A447" s="93" t="s">
        <v>86</v>
      </c>
      <c r="B447" s="93" t="s">
        <v>230</v>
      </c>
      <c r="C447" s="93">
        <v>68</v>
      </c>
      <c r="D447" s="93" t="s">
        <v>24</v>
      </c>
      <c r="E447" s="93" t="s">
        <v>24</v>
      </c>
      <c r="F447" s="93" t="s">
        <v>7</v>
      </c>
      <c r="G447" s="93" t="s">
        <v>7185</v>
      </c>
      <c r="H447" s="93" t="s">
        <v>400</v>
      </c>
      <c r="I447" s="93" t="s">
        <v>111</v>
      </c>
      <c r="J447" s="93" t="s">
        <v>118</v>
      </c>
      <c r="K447" s="93">
        <v>3</v>
      </c>
      <c r="L447" s="93" t="s">
        <v>111</v>
      </c>
      <c r="M447" s="93" t="s">
        <v>111</v>
      </c>
      <c r="N447" s="93" t="s">
        <v>111</v>
      </c>
      <c r="O447" s="93" t="s">
        <v>111</v>
      </c>
      <c r="P447" s="93" t="s">
        <v>111</v>
      </c>
      <c r="Q447" s="93" t="s">
        <v>228</v>
      </c>
      <c r="R447" s="93" t="s">
        <v>2</v>
      </c>
      <c r="S447" s="93" t="s">
        <v>115</v>
      </c>
      <c r="T447" s="93" t="s">
        <v>116</v>
      </c>
      <c r="U447" s="94">
        <v>44610.128472222219</v>
      </c>
      <c r="V447" s="93" t="s">
        <v>7336</v>
      </c>
      <c r="W447" s="93" t="s">
        <v>24</v>
      </c>
    </row>
    <row r="448" spans="1:23" x14ac:dyDescent="0.15">
      <c r="A448" s="93" t="s">
        <v>6454</v>
      </c>
      <c r="B448" s="93" t="s">
        <v>6455</v>
      </c>
      <c r="C448" s="93">
        <v>28</v>
      </c>
      <c r="D448" s="93" t="s">
        <v>24</v>
      </c>
      <c r="E448" s="93" t="s">
        <v>24</v>
      </c>
      <c r="F448" s="93" t="s">
        <v>7</v>
      </c>
      <c r="G448" s="93" t="s">
        <v>7185</v>
      </c>
      <c r="H448" s="93" t="s">
        <v>400</v>
      </c>
      <c r="I448" s="93" t="s">
        <v>111</v>
      </c>
      <c r="J448" s="93" t="s">
        <v>118</v>
      </c>
      <c r="K448" s="93">
        <v>3</v>
      </c>
      <c r="L448" s="93" t="s">
        <v>111</v>
      </c>
      <c r="M448" s="93" t="s">
        <v>111</v>
      </c>
      <c r="N448" s="93" t="s">
        <v>111</v>
      </c>
      <c r="O448" s="93" t="s">
        <v>111</v>
      </c>
      <c r="P448" s="93" t="s">
        <v>111</v>
      </c>
      <c r="Q448" s="93" t="s">
        <v>228</v>
      </c>
      <c r="R448" s="93" t="s">
        <v>2</v>
      </c>
      <c r="S448" s="93" t="s">
        <v>115</v>
      </c>
      <c r="T448" s="93" t="s">
        <v>116</v>
      </c>
      <c r="U448" s="94">
        <v>44596.572222222225</v>
      </c>
      <c r="V448" s="93" t="s">
        <v>7336</v>
      </c>
      <c r="W448" s="93" t="s">
        <v>24</v>
      </c>
    </row>
    <row r="449" spans="1:23" x14ac:dyDescent="0.15">
      <c r="A449" s="93" t="s">
        <v>6456</v>
      </c>
      <c r="B449" s="93" t="s">
        <v>6457</v>
      </c>
      <c r="C449" s="93">
        <v>72</v>
      </c>
      <c r="D449" s="93" t="s">
        <v>24</v>
      </c>
      <c r="E449" s="93" t="s">
        <v>24</v>
      </c>
      <c r="F449" s="93" t="s">
        <v>7</v>
      </c>
      <c r="G449" s="93" t="s">
        <v>7185</v>
      </c>
      <c r="H449" s="93" t="s">
        <v>400</v>
      </c>
      <c r="I449" s="93" t="s">
        <v>111</v>
      </c>
      <c r="J449" s="93" t="s">
        <v>118</v>
      </c>
      <c r="K449" s="93">
        <v>3</v>
      </c>
      <c r="L449" s="93" t="s">
        <v>111</v>
      </c>
      <c r="M449" s="93" t="s">
        <v>111</v>
      </c>
      <c r="N449" s="93" t="s">
        <v>111</v>
      </c>
      <c r="O449" s="93" t="s">
        <v>111</v>
      </c>
      <c r="P449" s="93" t="s">
        <v>111</v>
      </c>
      <c r="Q449" s="93" t="s">
        <v>228</v>
      </c>
      <c r="R449" s="93" t="s">
        <v>2</v>
      </c>
      <c r="S449" s="93" t="s">
        <v>115</v>
      </c>
      <c r="T449" s="93" t="s">
        <v>116</v>
      </c>
      <c r="U449" s="94">
        <v>44602.407638888886</v>
      </c>
      <c r="V449" s="93" t="s">
        <v>7336</v>
      </c>
      <c r="W449" s="93" t="s">
        <v>24</v>
      </c>
    </row>
    <row r="450" spans="1:23" x14ac:dyDescent="0.15">
      <c r="A450" s="93" t="s">
        <v>6458</v>
      </c>
      <c r="B450" s="93" t="s">
        <v>6459</v>
      </c>
      <c r="C450" s="93">
        <v>112</v>
      </c>
      <c r="D450" s="93" t="s">
        <v>24</v>
      </c>
      <c r="E450" s="93" t="s">
        <v>24</v>
      </c>
      <c r="F450" s="93" t="s">
        <v>7</v>
      </c>
      <c r="G450" s="93" t="s">
        <v>7185</v>
      </c>
      <c r="H450" s="93" t="s">
        <v>400</v>
      </c>
      <c r="I450" s="93" t="s">
        <v>111</v>
      </c>
      <c r="J450" s="93" t="s">
        <v>118</v>
      </c>
      <c r="K450" s="93">
        <v>3</v>
      </c>
      <c r="L450" s="93" t="s">
        <v>111</v>
      </c>
      <c r="M450" s="93" t="s">
        <v>111</v>
      </c>
      <c r="N450" s="93" t="s">
        <v>111</v>
      </c>
      <c r="O450" s="93" t="s">
        <v>111</v>
      </c>
      <c r="P450" s="93" t="s">
        <v>111</v>
      </c>
      <c r="Q450" s="93" t="s">
        <v>228</v>
      </c>
      <c r="R450" s="93" t="s">
        <v>2</v>
      </c>
      <c r="S450" s="93" t="s">
        <v>115</v>
      </c>
      <c r="T450" s="93" t="s">
        <v>116</v>
      </c>
      <c r="U450" s="94">
        <v>44596.567361111112</v>
      </c>
      <c r="V450" s="93" t="s">
        <v>7336</v>
      </c>
      <c r="W450" s="93" t="s">
        <v>24</v>
      </c>
    </row>
    <row r="451" spans="1:23" x14ac:dyDescent="0.15">
      <c r="A451" s="93" t="s">
        <v>59</v>
      </c>
      <c r="B451" s="93" t="s">
        <v>60</v>
      </c>
      <c r="C451" s="93">
        <v>47</v>
      </c>
      <c r="D451" s="93" t="s">
        <v>24</v>
      </c>
      <c r="E451" s="93" t="s">
        <v>24</v>
      </c>
      <c r="F451" s="93" t="s">
        <v>7</v>
      </c>
      <c r="G451" s="93" t="s">
        <v>7185</v>
      </c>
      <c r="H451" s="93" t="s">
        <v>400</v>
      </c>
      <c r="I451" s="93" t="s">
        <v>111</v>
      </c>
      <c r="J451" s="93" t="s">
        <v>118</v>
      </c>
      <c r="K451" s="93">
        <v>3</v>
      </c>
      <c r="L451" s="93" t="s">
        <v>111</v>
      </c>
      <c r="M451" s="93" t="s">
        <v>111</v>
      </c>
      <c r="N451" s="93" t="s">
        <v>111</v>
      </c>
      <c r="O451" s="93" t="s">
        <v>111</v>
      </c>
      <c r="P451" s="93" t="s">
        <v>111</v>
      </c>
      <c r="Q451" s="93" t="s">
        <v>228</v>
      </c>
      <c r="R451" s="93" t="s">
        <v>2</v>
      </c>
      <c r="S451" s="93" t="s">
        <v>115</v>
      </c>
      <c r="T451" s="93" t="s">
        <v>116</v>
      </c>
      <c r="U451" s="94">
        <v>44610.105555555558</v>
      </c>
      <c r="V451" s="93" t="s">
        <v>7336</v>
      </c>
      <c r="W451" s="93" t="s">
        <v>24</v>
      </c>
    </row>
    <row r="452" spans="1:23" x14ac:dyDescent="0.15">
      <c r="A452" s="93" t="s">
        <v>61</v>
      </c>
      <c r="B452" s="93" t="s">
        <v>62</v>
      </c>
      <c r="C452" s="93">
        <v>120</v>
      </c>
      <c r="D452" s="93" t="s">
        <v>24</v>
      </c>
      <c r="E452" s="93" t="s">
        <v>24</v>
      </c>
      <c r="F452" s="93" t="s">
        <v>7</v>
      </c>
      <c r="G452" s="93" t="s">
        <v>7185</v>
      </c>
      <c r="H452" s="93" t="s">
        <v>400</v>
      </c>
      <c r="I452" s="93" t="s">
        <v>111</v>
      </c>
      <c r="J452" s="93" t="s">
        <v>118</v>
      </c>
      <c r="K452" s="93">
        <v>3</v>
      </c>
      <c r="L452" s="93" t="s">
        <v>111</v>
      </c>
      <c r="M452" s="93" t="s">
        <v>111</v>
      </c>
      <c r="N452" s="93" t="s">
        <v>111</v>
      </c>
      <c r="O452" s="93" t="s">
        <v>111</v>
      </c>
      <c r="P452" s="93" t="s">
        <v>111</v>
      </c>
      <c r="Q452" s="93" t="s">
        <v>228</v>
      </c>
      <c r="R452" s="93" t="s">
        <v>2</v>
      </c>
      <c r="S452" s="93" t="s">
        <v>115</v>
      </c>
      <c r="T452" s="93" t="s">
        <v>116</v>
      </c>
      <c r="U452" s="94">
        <v>44610.128472222219</v>
      </c>
      <c r="V452" s="93" t="s">
        <v>7336</v>
      </c>
      <c r="W452" s="93" t="s">
        <v>24</v>
      </c>
    </row>
    <row r="453" spans="1:23" x14ac:dyDescent="0.15">
      <c r="A453" s="93" t="s">
        <v>63</v>
      </c>
      <c r="B453" s="93" t="s">
        <v>64</v>
      </c>
      <c r="C453" s="93">
        <v>188</v>
      </c>
      <c r="D453" s="93" t="s">
        <v>24</v>
      </c>
      <c r="E453" s="93" t="s">
        <v>24</v>
      </c>
      <c r="F453" s="93" t="s">
        <v>7</v>
      </c>
      <c r="G453" s="93" t="s">
        <v>7185</v>
      </c>
      <c r="H453" s="93" t="s">
        <v>400</v>
      </c>
      <c r="I453" s="93" t="s">
        <v>111</v>
      </c>
      <c r="J453" s="93" t="s">
        <v>118</v>
      </c>
      <c r="K453" s="93">
        <v>3</v>
      </c>
      <c r="L453" s="93" t="s">
        <v>111</v>
      </c>
      <c r="M453" s="93" t="s">
        <v>111</v>
      </c>
      <c r="N453" s="93" t="s">
        <v>111</v>
      </c>
      <c r="O453" s="93" t="s">
        <v>111</v>
      </c>
      <c r="P453" s="93" t="s">
        <v>111</v>
      </c>
      <c r="Q453" s="93" t="s">
        <v>228</v>
      </c>
      <c r="R453" s="93" t="s">
        <v>2</v>
      </c>
      <c r="S453" s="93" t="s">
        <v>115</v>
      </c>
      <c r="T453" s="93" t="s">
        <v>116</v>
      </c>
      <c r="U453" s="94">
        <v>44610.058333333334</v>
      </c>
      <c r="V453" s="93" t="s">
        <v>7336</v>
      </c>
      <c r="W453" s="93" t="s">
        <v>24</v>
      </c>
    </row>
    <row r="454" spans="1:23" x14ac:dyDescent="0.15">
      <c r="A454" s="93" t="s">
        <v>7399</v>
      </c>
      <c r="B454" s="93" t="s">
        <v>7400</v>
      </c>
      <c r="C454" s="93">
        <v>180</v>
      </c>
      <c r="D454" s="93" t="s">
        <v>24</v>
      </c>
      <c r="E454" s="93" t="s">
        <v>24</v>
      </c>
      <c r="F454" s="93" t="s">
        <v>7070</v>
      </c>
      <c r="G454" s="93" t="s">
        <v>7185</v>
      </c>
      <c r="H454" s="93" t="s">
        <v>400</v>
      </c>
      <c r="I454" s="93" t="s">
        <v>111</v>
      </c>
      <c r="J454" s="93" t="s">
        <v>7105</v>
      </c>
      <c r="K454" s="93" t="s">
        <v>111</v>
      </c>
      <c r="L454" s="93" t="s">
        <v>111</v>
      </c>
      <c r="M454" s="93" t="s">
        <v>111</v>
      </c>
      <c r="N454" s="93" t="s">
        <v>111</v>
      </c>
      <c r="O454" s="93" t="s">
        <v>111</v>
      </c>
      <c r="P454" s="93" t="s">
        <v>111</v>
      </c>
      <c r="Q454" s="93" t="s">
        <v>228</v>
      </c>
      <c r="R454" s="93" t="s">
        <v>111</v>
      </c>
      <c r="S454" s="93" t="s">
        <v>115</v>
      </c>
      <c r="T454" s="93" t="s">
        <v>116</v>
      </c>
      <c r="U454" s="94">
        <v>44638.552777777775</v>
      </c>
      <c r="V454" s="93" t="s">
        <v>402</v>
      </c>
      <c r="W454" s="93" t="s">
        <v>24</v>
      </c>
    </row>
    <row r="455" spans="1:23" x14ac:dyDescent="0.15">
      <c r="A455" s="93" t="s">
        <v>7401</v>
      </c>
      <c r="B455" s="93" t="s">
        <v>7402</v>
      </c>
      <c r="C455" s="93">
        <v>459</v>
      </c>
      <c r="D455" s="93" t="s">
        <v>24</v>
      </c>
      <c r="E455" s="93" t="s">
        <v>24</v>
      </c>
      <c r="F455" s="93" t="s">
        <v>7070</v>
      </c>
      <c r="G455" s="93" t="s">
        <v>7185</v>
      </c>
      <c r="H455" s="93" t="s">
        <v>400</v>
      </c>
      <c r="I455" s="93" t="s">
        <v>111</v>
      </c>
      <c r="J455" s="93" t="s">
        <v>7105</v>
      </c>
      <c r="K455" s="93" t="s">
        <v>111</v>
      </c>
      <c r="L455" s="93" t="s">
        <v>111</v>
      </c>
      <c r="M455" s="93" t="s">
        <v>111</v>
      </c>
      <c r="N455" s="93" t="s">
        <v>111</v>
      </c>
      <c r="O455" s="93" t="s">
        <v>111</v>
      </c>
      <c r="P455" s="93" t="s">
        <v>111</v>
      </c>
      <c r="Q455" s="93" t="s">
        <v>228</v>
      </c>
      <c r="R455" s="93" t="s">
        <v>111</v>
      </c>
      <c r="S455" s="93" t="s">
        <v>115</v>
      </c>
      <c r="T455" s="93" t="s">
        <v>116</v>
      </c>
      <c r="U455" s="94">
        <v>44638.552777777775</v>
      </c>
      <c r="V455" s="93" t="s">
        <v>402</v>
      </c>
      <c r="W455" s="93" t="s">
        <v>24</v>
      </c>
    </row>
    <row r="456" spans="1:23" x14ac:dyDescent="0.15">
      <c r="A456" s="93" t="s">
        <v>7403</v>
      </c>
      <c r="B456" s="93" t="s">
        <v>7404</v>
      </c>
      <c r="C456" s="93">
        <v>720</v>
      </c>
      <c r="D456" s="93" t="s">
        <v>24</v>
      </c>
      <c r="E456" s="93" t="s">
        <v>24</v>
      </c>
      <c r="F456" s="93" t="s">
        <v>7070</v>
      </c>
      <c r="G456" s="93" t="s">
        <v>7185</v>
      </c>
      <c r="H456" s="93" t="s">
        <v>400</v>
      </c>
      <c r="I456" s="93" t="s">
        <v>111</v>
      </c>
      <c r="J456" s="93" t="s">
        <v>7105</v>
      </c>
      <c r="K456" s="93" t="s">
        <v>111</v>
      </c>
      <c r="L456" s="93" t="s">
        <v>111</v>
      </c>
      <c r="M456" s="93" t="s">
        <v>111</v>
      </c>
      <c r="N456" s="93" t="s">
        <v>111</v>
      </c>
      <c r="O456" s="93" t="s">
        <v>111</v>
      </c>
      <c r="P456" s="93" t="s">
        <v>111</v>
      </c>
      <c r="Q456" s="93" t="s">
        <v>228</v>
      </c>
      <c r="R456" s="93" t="s">
        <v>111</v>
      </c>
      <c r="S456" s="93" t="s">
        <v>115</v>
      </c>
      <c r="T456" s="93" t="s">
        <v>116</v>
      </c>
      <c r="U456" s="94">
        <v>44638.552777777775</v>
      </c>
      <c r="V456" s="93" t="s">
        <v>402</v>
      </c>
      <c r="W456" s="93" t="s">
        <v>24</v>
      </c>
    </row>
    <row r="457" spans="1:23" x14ac:dyDescent="0.15">
      <c r="A457" s="93" t="s">
        <v>7405</v>
      </c>
      <c r="B457" s="93" t="s">
        <v>7406</v>
      </c>
      <c r="C457" s="93">
        <v>12</v>
      </c>
      <c r="D457" s="93" t="s">
        <v>24</v>
      </c>
      <c r="E457" s="93" t="s">
        <v>24</v>
      </c>
      <c r="F457" s="93" t="s">
        <v>7070</v>
      </c>
      <c r="G457" s="93" t="s">
        <v>7185</v>
      </c>
      <c r="H457" s="93" t="s">
        <v>400</v>
      </c>
      <c r="I457" s="93" t="s">
        <v>111</v>
      </c>
      <c r="J457" s="93" t="s">
        <v>7105</v>
      </c>
      <c r="K457" s="93" t="s">
        <v>111</v>
      </c>
      <c r="L457" s="93" t="s">
        <v>111</v>
      </c>
      <c r="M457" s="93" t="s">
        <v>111</v>
      </c>
      <c r="N457" s="93" t="s">
        <v>111</v>
      </c>
      <c r="O457" s="93" t="s">
        <v>111</v>
      </c>
      <c r="P457" s="93" t="s">
        <v>111</v>
      </c>
      <c r="Q457" s="93" t="s">
        <v>228</v>
      </c>
      <c r="R457" s="93" t="s">
        <v>111</v>
      </c>
      <c r="S457" s="93" t="s">
        <v>115</v>
      </c>
      <c r="T457" s="93" t="s">
        <v>116</v>
      </c>
      <c r="U457" s="94">
        <v>44638.552777777775</v>
      </c>
      <c r="V457" s="93" t="s">
        <v>402</v>
      </c>
      <c r="W457" s="93" t="s">
        <v>24</v>
      </c>
    </row>
    <row r="458" spans="1:23" x14ac:dyDescent="0.15">
      <c r="A458" s="93" t="s">
        <v>7407</v>
      </c>
      <c r="B458" s="93" t="s">
        <v>7408</v>
      </c>
      <c r="C458" s="93">
        <v>30</v>
      </c>
      <c r="D458" s="93" t="s">
        <v>24</v>
      </c>
      <c r="E458" s="93" t="s">
        <v>24</v>
      </c>
      <c r="F458" s="93" t="s">
        <v>7070</v>
      </c>
      <c r="G458" s="93" t="s">
        <v>7185</v>
      </c>
      <c r="H458" s="93" t="s">
        <v>400</v>
      </c>
      <c r="I458" s="93" t="s">
        <v>111</v>
      </c>
      <c r="J458" s="93" t="s">
        <v>7105</v>
      </c>
      <c r="K458" s="93" t="s">
        <v>111</v>
      </c>
      <c r="L458" s="93" t="s">
        <v>111</v>
      </c>
      <c r="M458" s="93" t="s">
        <v>111</v>
      </c>
      <c r="N458" s="93" t="s">
        <v>111</v>
      </c>
      <c r="O458" s="93" t="s">
        <v>111</v>
      </c>
      <c r="P458" s="93" t="s">
        <v>111</v>
      </c>
      <c r="Q458" s="93" t="s">
        <v>228</v>
      </c>
      <c r="R458" s="93" t="s">
        <v>111</v>
      </c>
      <c r="S458" s="93" t="s">
        <v>115</v>
      </c>
      <c r="T458" s="93" t="s">
        <v>116</v>
      </c>
      <c r="U458" s="94">
        <v>44638.552777777775</v>
      </c>
      <c r="V458" s="93" t="s">
        <v>402</v>
      </c>
      <c r="W458" s="93" t="s">
        <v>24</v>
      </c>
    </row>
    <row r="459" spans="1:23" x14ac:dyDescent="0.15">
      <c r="A459" s="93" t="s">
        <v>7409</v>
      </c>
      <c r="B459" s="93" t="s">
        <v>7410</v>
      </c>
      <c r="C459" s="93">
        <v>47</v>
      </c>
      <c r="D459" s="93" t="s">
        <v>24</v>
      </c>
      <c r="E459" s="93" t="s">
        <v>24</v>
      </c>
      <c r="F459" s="93" t="s">
        <v>7070</v>
      </c>
      <c r="G459" s="93" t="s">
        <v>7185</v>
      </c>
      <c r="H459" s="93" t="s">
        <v>400</v>
      </c>
      <c r="I459" s="93" t="s">
        <v>111</v>
      </c>
      <c r="J459" s="93" t="s">
        <v>7105</v>
      </c>
      <c r="K459" s="93" t="s">
        <v>111</v>
      </c>
      <c r="L459" s="93" t="s">
        <v>111</v>
      </c>
      <c r="M459" s="93" t="s">
        <v>111</v>
      </c>
      <c r="N459" s="93" t="s">
        <v>111</v>
      </c>
      <c r="O459" s="93" t="s">
        <v>111</v>
      </c>
      <c r="P459" s="93" t="s">
        <v>111</v>
      </c>
      <c r="Q459" s="93" t="s">
        <v>228</v>
      </c>
      <c r="R459" s="93" t="s">
        <v>111</v>
      </c>
      <c r="S459" s="93" t="s">
        <v>115</v>
      </c>
      <c r="T459" s="93" t="s">
        <v>116</v>
      </c>
      <c r="U459" s="94">
        <v>44638.552777777775</v>
      </c>
      <c r="V459" s="93" t="s">
        <v>402</v>
      </c>
      <c r="W459" s="93" t="s">
        <v>24</v>
      </c>
    </row>
    <row r="460" spans="1:23" x14ac:dyDescent="0.15">
      <c r="A460" s="93" t="s">
        <v>6041</v>
      </c>
      <c r="B460" s="93" t="s">
        <v>7411</v>
      </c>
      <c r="C460" s="93">
        <v>5</v>
      </c>
      <c r="D460" s="93" t="s">
        <v>24</v>
      </c>
      <c r="E460" s="93" t="s">
        <v>24</v>
      </c>
      <c r="F460" s="93" t="s">
        <v>7</v>
      </c>
      <c r="G460" s="93" t="s">
        <v>7185</v>
      </c>
      <c r="H460" s="93" t="s">
        <v>400</v>
      </c>
      <c r="I460" s="93" t="s">
        <v>111</v>
      </c>
      <c r="J460" s="93" t="s">
        <v>7105</v>
      </c>
      <c r="K460" s="93" t="s">
        <v>111</v>
      </c>
      <c r="L460" s="93" t="s">
        <v>111</v>
      </c>
      <c r="M460" s="93" t="s">
        <v>111</v>
      </c>
      <c r="N460" s="93" t="s">
        <v>111</v>
      </c>
      <c r="O460" s="93" t="s">
        <v>111</v>
      </c>
      <c r="P460" s="93" t="s">
        <v>111</v>
      </c>
      <c r="Q460" s="93" t="s">
        <v>228</v>
      </c>
      <c r="R460" s="93" t="s">
        <v>111</v>
      </c>
      <c r="S460" s="93" t="s">
        <v>115</v>
      </c>
      <c r="T460" s="93" t="s">
        <v>116</v>
      </c>
      <c r="U460" s="94">
        <v>44610.09652777778</v>
      </c>
      <c r="V460" s="93" t="s">
        <v>7336</v>
      </c>
      <c r="W460" s="93" t="s">
        <v>24</v>
      </c>
    </row>
    <row r="461" spans="1:23" x14ac:dyDescent="0.15">
      <c r="A461" s="93" t="s">
        <v>6042</v>
      </c>
      <c r="B461" s="93" t="s">
        <v>7412</v>
      </c>
      <c r="C461" s="93">
        <v>13</v>
      </c>
      <c r="D461" s="93" t="s">
        <v>24</v>
      </c>
      <c r="E461" s="93" t="s">
        <v>24</v>
      </c>
      <c r="F461" s="93" t="s">
        <v>7</v>
      </c>
      <c r="G461" s="93" t="s">
        <v>7185</v>
      </c>
      <c r="H461" s="93" t="s">
        <v>400</v>
      </c>
      <c r="I461" s="93" t="s">
        <v>111</v>
      </c>
      <c r="J461" s="93" t="s">
        <v>7105</v>
      </c>
      <c r="K461" s="93" t="s">
        <v>111</v>
      </c>
      <c r="L461" s="93" t="s">
        <v>111</v>
      </c>
      <c r="M461" s="93" t="s">
        <v>111</v>
      </c>
      <c r="N461" s="93" t="s">
        <v>111</v>
      </c>
      <c r="O461" s="93" t="s">
        <v>111</v>
      </c>
      <c r="P461" s="93" t="s">
        <v>111</v>
      </c>
      <c r="Q461" s="93" t="s">
        <v>228</v>
      </c>
      <c r="R461" s="93" t="s">
        <v>111</v>
      </c>
      <c r="S461" s="93" t="s">
        <v>115</v>
      </c>
      <c r="T461" s="93" t="s">
        <v>116</v>
      </c>
      <c r="U461" s="94">
        <v>44610.118055555555</v>
      </c>
      <c r="V461" s="93" t="s">
        <v>7336</v>
      </c>
      <c r="W461" s="93" t="s">
        <v>24</v>
      </c>
    </row>
    <row r="462" spans="1:23" x14ac:dyDescent="0.15">
      <c r="A462" s="93" t="s">
        <v>6043</v>
      </c>
      <c r="B462" s="93" t="s">
        <v>7413</v>
      </c>
      <c r="C462" s="93">
        <v>20</v>
      </c>
      <c r="D462" s="93" t="s">
        <v>24</v>
      </c>
      <c r="E462" s="93" t="s">
        <v>24</v>
      </c>
      <c r="F462" s="93" t="s">
        <v>7</v>
      </c>
      <c r="G462" s="93" t="s">
        <v>7185</v>
      </c>
      <c r="H462" s="93" t="s">
        <v>400</v>
      </c>
      <c r="I462" s="93" t="s">
        <v>111</v>
      </c>
      <c r="J462" s="93" t="s">
        <v>7105</v>
      </c>
      <c r="K462" s="93" t="s">
        <v>111</v>
      </c>
      <c r="L462" s="93" t="s">
        <v>111</v>
      </c>
      <c r="M462" s="93" t="s">
        <v>111</v>
      </c>
      <c r="N462" s="93" t="s">
        <v>111</v>
      </c>
      <c r="O462" s="93" t="s">
        <v>111</v>
      </c>
      <c r="P462" s="93" t="s">
        <v>111</v>
      </c>
      <c r="Q462" s="93" t="s">
        <v>228</v>
      </c>
      <c r="R462" s="93" t="s">
        <v>111</v>
      </c>
      <c r="S462" s="93" t="s">
        <v>115</v>
      </c>
      <c r="T462" s="93" t="s">
        <v>116</v>
      </c>
      <c r="U462" s="94">
        <v>44610.111805555556</v>
      </c>
      <c r="V462" s="93" t="s">
        <v>7336</v>
      </c>
      <c r="W462" s="93" t="s">
        <v>24</v>
      </c>
    </row>
    <row r="463" spans="1:23" x14ac:dyDescent="0.15">
      <c r="A463" s="93" t="s">
        <v>6044</v>
      </c>
      <c r="B463" s="93" t="s">
        <v>7414</v>
      </c>
      <c r="C463" s="93">
        <v>4</v>
      </c>
      <c r="D463" s="93" t="s">
        <v>24</v>
      </c>
      <c r="E463" s="93" t="s">
        <v>24</v>
      </c>
      <c r="F463" s="93" t="s">
        <v>7</v>
      </c>
      <c r="G463" s="93" t="s">
        <v>7185</v>
      </c>
      <c r="H463" s="93" t="s">
        <v>400</v>
      </c>
      <c r="I463" s="93" t="s">
        <v>111</v>
      </c>
      <c r="J463" s="93" t="s">
        <v>7105</v>
      </c>
      <c r="K463" s="93" t="s">
        <v>111</v>
      </c>
      <c r="L463" s="93" t="s">
        <v>111</v>
      </c>
      <c r="M463" s="93" t="s">
        <v>111</v>
      </c>
      <c r="N463" s="93" t="s">
        <v>111</v>
      </c>
      <c r="O463" s="93" t="s">
        <v>111</v>
      </c>
      <c r="P463" s="93" t="s">
        <v>111</v>
      </c>
      <c r="Q463" s="93" t="s">
        <v>228</v>
      </c>
      <c r="R463" s="93" t="s">
        <v>111</v>
      </c>
      <c r="S463" s="93" t="s">
        <v>115</v>
      </c>
      <c r="T463" s="93" t="s">
        <v>116</v>
      </c>
      <c r="U463" s="94">
        <v>44610.089583333334</v>
      </c>
      <c r="V463" s="93" t="s">
        <v>7336</v>
      </c>
      <c r="W463" s="93" t="s">
        <v>24</v>
      </c>
    </row>
    <row r="464" spans="1:23" x14ac:dyDescent="0.15">
      <c r="A464" s="93" t="s">
        <v>6045</v>
      </c>
      <c r="B464" s="93" t="s">
        <v>7415</v>
      </c>
      <c r="C464" s="93">
        <v>11</v>
      </c>
      <c r="D464" s="93" t="s">
        <v>24</v>
      </c>
      <c r="E464" s="93" t="s">
        <v>24</v>
      </c>
      <c r="F464" s="93" t="s">
        <v>7</v>
      </c>
      <c r="G464" s="93" t="s">
        <v>7185</v>
      </c>
      <c r="H464" s="93" t="s">
        <v>400</v>
      </c>
      <c r="I464" s="93" t="s">
        <v>111</v>
      </c>
      <c r="J464" s="93" t="s">
        <v>7105</v>
      </c>
      <c r="K464" s="93" t="s">
        <v>111</v>
      </c>
      <c r="L464" s="93" t="s">
        <v>111</v>
      </c>
      <c r="M464" s="93" t="s">
        <v>111</v>
      </c>
      <c r="N464" s="93" t="s">
        <v>111</v>
      </c>
      <c r="O464" s="93" t="s">
        <v>111</v>
      </c>
      <c r="P464" s="93" t="s">
        <v>111</v>
      </c>
      <c r="Q464" s="93" t="s">
        <v>228</v>
      </c>
      <c r="R464" s="93" t="s">
        <v>111</v>
      </c>
      <c r="S464" s="93" t="s">
        <v>115</v>
      </c>
      <c r="T464" s="93" t="s">
        <v>116</v>
      </c>
      <c r="U464" s="94">
        <v>44610.09652777778</v>
      </c>
      <c r="V464" s="93" t="s">
        <v>7336</v>
      </c>
      <c r="W464" s="93" t="s">
        <v>24</v>
      </c>
    </row>
    <row r="465" spans="1:23" x14ac:dyDescent="0.15">
      <c r="A465" s="93" t="s">
        <v>6046</v>
      </c>
      <c r="B465" s="93" t="s">
        <v>7416</v>
      </c>
      <c r="C465" s="93">
        <v>16</v>
      </c>
      <c r="D465" s="93" t="s">
        <v>24</v>
      </c>
      <c r="E465" s="93" t="s">
        <v>24</v>
      </c>
      <c r="F465" s="93" t="s">
        <v>7</v>
      </c>
      <c r="G465" s="93" t="s">
        <v>7185</v>
      </c>
      <c r="H465" s="93" t="s">
        <v>400</v>
      </c>
      <c r="I465" s="93" t="s">
        <v>111</v>
      </c>
      <c r="J465" s="93" t="s">
        <v>7105</v>
      </c>
      <c r="K465" s="93" t="s">
        <v>111</v>
      </c>
      <c r="L465" s="93" t="s">
        <v>111</v>
      </c>
      <c r="M465" s="93" t="s">
        <v>111</v>
      </c>
      <c r="N465" s="93" t="s">
        <v>111</v>
      </c>
      <c r="O465" s="93" t="s">
        <v>111</v>
      </c>
      <c r="P465" s="93" t="s">
        <v>111</v>
      </c>
      <c r="Q465" s="93" t="s">
        <v>228</v>
      </c>
      <c r="R465" s="93" t="s">
        <v>111</v>
      </c>
      <c r="S465" s="93" t="s">
        <v>115</v>
      </c>
      <c r="T465" s="93" t="s">
        <v>116</v>
      </c>
      <c r="U465" s="94">
        <v>44610.079861111109</v>
      </c>
      <c r="V465" s="93" t="s">
        <v>7336</v>
      </c>
      <c r="W465" s="93" t="s">
        <v>24</v>
      </c>
    </row>
    <row r="466" spans="1:23" x14ac:dyDescent="0.15">
      <c r="A466" s="93" t="s">
        <v>6047</v>
      </c>
      <c r="B466" s="93" t="s">
        <v>7417</v>
      </c>
      <c r="C466" s="93">
        <v>6</v>
      </c>
      <c r="D466" s="93" t="s">
        <v>24</v>
      </c>
      <c r="E466" s="93" t="s">
        <v>24</v>
      </c>
      <c r="F466" s="93" t="s">
        <v>7</v>
      </c>
      <c r="G466" s="93" t="s">
        <v>7185</v>
      </c>
      <c r="H466" s="93" t="s">
        <v>400</v>
      </c>
      <c r="I466" s="93" t="s">
        <v>111</v>
      </c>
      <c r="J466" s="93" t="s">
        <v>7105</v>
      </c>
      <c r="K466" s="93" t="s">
        <v>111</v>
      </c>
      <c r="L466" s="93" t="s">
        <v>111</v>
      </c>
      <c r="M466" s="93" t="s">
        <v>111</v>
      </c>
      <c r="N466" s="93" t="s">
        <v>111</v>
      </c>
      <c r="O466" s="93" t="s">
        <v>111</v>
      </c>
      <c r="P466" s="93" t="s">
        <v>111</v>
      </c>
      <c r="Q466" s="93" t="s">
        <v>228</v>
      </c>
      <c r="R466" s="93" t="s">
        <v>111</v>
      </c>
      <c r="S466" s="93" t="s">
        <v>115</v>
      </c>
      <c r="T466" s="93" t="s">
        <v>116</v>
      </c>
      <c r="U466" s="94">
        <v>44610.056250000001</v>
      </c>
      <c r="V466" s="93" t="s">
        <v>7336</v>
      </c>
      <c r="W466" s="93" t="s">
        <v>24</v>
      </c>
    </row>
    <row r="467" spans="1:23" x14ac:dyDescent="0.15">
      <c r="A467" s="93" t="s">
        <v>6048</v>
      </c>
      <c r="B467" s="93" t="s">
        <v>7418</v>
      </c>
      <c r="C467" s="93">
        <v>16</v>
      </c>
      <c r="D467" s="93" t="s">
        <v>24</v>
      </c>
      <c r="E467" s="93" t="s">
        <v>24</v>
      </c>
      <c r="F467" s="93" t="s">
        <v>7</v>
      </c>
      <c r="G467" s="93" t="s">
        <v>7185</v>
      </c>
      <c r="H467" s="93" t="s">
        <v>400</v>
      </c>
      <c r="I467" s="93" t="s">
        <v>111</v>
      </c>
      <c r="J467" s="93" t="s">
        <v>7105</v>
      </c>
      <c r="K467" s="93" t="s">
        <v>111</v>
      </c>
      <c r="L467" s="93" t="s">
        <v>111</v>
      </c>
      <c r="M467" s="93" t="s">
        <v>111</v>
      </c>
      <c r="N467" s="93" t="s">
        <v>111</v>
      </c>
      <c r="O467" s="93" t="s">
        <v>111</v>
      </c>
      <c r="P467" s="93" t="s">
        <v>111</v>
      </c>
      <c r="Q467" s="93" t="s">
        <v>228</v>
      </c>
      <c r="R467" s="93" t="s">
        <v>111</v>
      </c>
      <c r="S467" s="93" t="s">
        <v>115</v>
      </c>
      <c r="T467" s="93" t="s">
        <v>116</v>
      </c>
      <c r="U467" s="94">
        <v>44610.081250000003</v>
      </c>
      <c r="V467" s="93" t="s">
        <v>7336</v>
      </c>
      <c r="W467" s="93" t="s">
        <v>24</v>
      </c>
    </row>
    <row r="468" spans="1:23" x14ac:dyDescent="0.15">
      <c r="A468" s="93" t="s">
        <v>6049</v>
      </c>
      <c r="B468" s="93" t="s">
        <v>7419</v>
      </c>
      <c r="C468" s="93">
        <v>24</v>
      </c>
      <c r="D468" s="93" t="s">
        <v>24</v>
      </c>
      <c r="E468" s="93" t="s">
        <v>24</v>
      </c>
      <c r="F468" s="93" t="s">
        <v>7</v>
      </c>
      <c r="G468" s="93" t="s">
        <v>7185</v>
      </c>
      <c r="H468" s="93" t="s">
        <v>400</v>
      </c>
      <c r="I468" s="93" t="s">
        <v>111</v>
      </c>
      <c r="J468" s="93" t="s">
        <v>7105</v>
      </c>
      <c r="K468" s="93" t="s">
        <v>111</v>
      </c>
      <c r="L468" s="93" t="s">
        <v>111</v>
      </c>
      <c r="M468" s="93" t="s">
        <v>111</v>
      </c>
      <c r="N468" s="93" t="s">
        <v>111</v>
      </c>
      <c r="O468" s="93" t="s">
        <v>111</v>
      </c>
      <c r="P468" s="93" t="s">
        <v>111</v>
      </c>
      <c r="Q468" s="93" t="s">
        <v>228</v>
      </c>
      <c r="R468" s="93" t="s">
        <v>111</v>
      </c>
      <c r="S468" s="93" t="s">
        <v>115</v>
      </c>
      <c r="T468" s="93" t="s">
        <v>116</v>
      </c>
      <c r="U468" s="94">
        <v>44610.113194444442</v>
      </c>
      <c r="V468" s="93" t="s">
        <v>7336</v>
      </c>
      <c r="W468" s="93" t="s">
        <v>24</v>
      </c>
    </row>
    <row r="469" spans="1:23" x14ac:dyDescent="0.15">
      <c r="A469" s="93" t="s">
        <v>6053</v>
      </c>
      <c r="B469" s="93" t="s">
        <v>6505</v>
      </c>
      <c r="C469" s="93">
        <v>10</v>
      </c>
      <c r="D469" s="93" t="s">
        <v>24</v>
      </c>
      <c r="E469" s="93" t="s">
        <v>24</v>
      </c>
      <c r="F469" s="93" t="s">
        <v>7</v>
      </c>
      <c r="G469" s="93" t="s">
        <v>7185</v>
      </c>
      <c r="H469" s="93" t="s">
        <v>400</v>
      </c>
      <c r="I469" s="93" t="s">
        <v>111</v>
      </c>
      <c r="J469" s="93" t="s">
        <v>7105</v>
      </c>
      <c r="K469" s="93" t="s">
        <v>111</v>
      </c>
      <c r="L469" s="93" t="s">
        <v>111</v>
      </c>
      <c r="M469" s="93" t="s">
        <v>111</v>
      </c>
      <c r="N469" s="93" t="s">
        <v>111</v>
      </c>
      <c r="O469" s="93" t="s">
        <v>111</v>
      </c>
      <c r="P469" s="93" t="s">
        <v>111</v>
      </c>
      <c r="Q469" s="93" t="s">
        <v>228</v>
      </c>
      <c r="R469" s="93" t="s">
        <v>111</v>
      </c>
      <c r="S469" s="93" t="s">
        <v>115</v>
      </c>
      <c r="T469" s="93" t="s">
        <v>116</v>
      </c>
      <c r="U469" s="94">
        <v>44610.063888888886</v>
      </c>
      <c r="V469" s="93" t="s">
        <v>7336</v>
      </c>
      <c r="W469" s="93" t="s">
        <v>24</v>
      </c>
    </row>
    <row r="470" spans="1:23" x14ac:dyDescent="0.15">
      <c r="A470" s="93" t="s">
        <v>6054</v>
      </c>
      <c r="B470" s="93" t="s">
        <v>7420</v>
      </c>
      <c r="C470" s="93">
        <v>26</v>
      </c>
      <c r="D470" s="93" t="s">
        <v>24</v>
      </c>
      <c r="E470" s="93" t="s">
        <v>24</v>
      </c>
      <c r="F470" s="93" t="s">
        <v>7</v>
      </c>
      <c r="G470" s="93" t="s">
        <v>7185</v>
      </c>
      <c r="H470" s="93" t="s">
        <v>400</v>
      </c>
      <c r="I470" s="93" t="s">
        <v>111</v>
      </c>
      <c r="J470" s="93" t="s">
        <v>7105</v>
      </c>
      <c r="K470" s="93" t="s">
        <v>111</v>
      </c>
      <c r="L470" s="93" t="s">
        <v>111</v>
      </c>
      <c r="M470" s="93" t="s">
        <v>111</v>
      </c>
      <c r="N470" s="93" t="s">
        <v>111</v>
      </c>
      <c r="O470" s="93" t="s">
        <v>111</v>
      </c>
      <c r="P470" s="93" t="s">
        <v>111</v>
      </c>
      <c r="Q470" s="93" t="s">
        <v>228</v>
      </c>
      <c r="R470" s="93" t="s">
        <v>111</v>
      </c>
      <c r="S470" s="93" t="s">
        <v>115</v>
      </c>
      <c r="T470" s="93" t="s">
        <v>116</v>
      </c>
      <c r="U470" s="94">
        <v>44610.079861111109</v>
      </c>
      <c r="V470" s="93" t="s">
        <v>7336</v>
      </c>
      <c r="W470" s="93" t="s">
        <v>24</v>
      </c>
    </row>
    <row r="471" spans="1:23" x14ac:dyDescent="0.15">
      <c r="A471" s="93" t="s">
        <v>6055</v>
      </c>
      <c r="B471" s="93" t="s">
        <v>7421</v>
      </c>
      <c r="C471" s="93">
        <v>40</v>
      </c>
      <c r="D471" s="93" t="s">
        <v>24</v>
      </c>
      <c r="E471" s="93" t="s">
        <v>24</v>
      </c>
      <c r="F471" s="93" t="s">
        <v>7</v>
      </c>
      <c r="G471" s="93" t="s">
        <v>7185</v>
      </c>
      <c r="H471" s="93" t="s">
        <v>400</v>
      </c>
      <c r="I471" s="93" t="s">
        <v>111</v>
      </c>
      <c r="J471" s="93" t="s">
        <v>7105</v>
      </c>
      <c r="K471" s="93" t="s">
        <v>111</v>
      </c>
      <c r="L471" s="93" t="s">
        <v>111</v>
      </c>
      <c r="M471" s="93" t="s">
        <v>111</v>
      </c>
      <c r="N471" s="93" t="s">
        <v>111</v>
      </c>
      <c r="O471" s="93" t="s">
        <v>111</v>
      </c>
      <c r="P471" s="93" t="s">
        <v>111</v>
      </c>
      <c r="Q471" s="93" t="s">
        <v>228</v>
      </c>
      <c r="R471" s="93" t="s">
        <v>111</v>
      </c>
      <c r="S471" s="93" t="s">
        <v>115</v>
      </c>
      <c r="T471" s="93" t="s">
        <v>116</v>
      </c>
      <c r="U471" s="94">
        <v>44610.120138888888</v>
      </c>
      <c r="V471" s="93" t="s">
        <v>7336</v>
      </c>
      <c r="W471" s="93" t="s">
        <v>24</v>
      </c>
    </row>
    <row r="472" spans="1:23" x14ac:dyDescent="0.15">
      <c r="A472" s="93" t="s">
        <v>6056</v>
      </c>
      <c r="B472" s="93" t="s">
        <v>6508</v>
      </c>
      <c r="C472" s="93">
        <v>10</v>
      </c>
      <c r="D472" s="93" t="s">
        <v>24</v>
      </c>
      <c r="E472" s="93" t="s">
        <v>24</v>
      </c>
      <c r="F472" s="93" t="s">
        <v>7</v>
      </c>
      <c r="G472" s="93" t="s">
        <v>7185</v>
      </c>
      <c r="H472" s="93" t="s">
        <v>400</v>
      </c>
      <c r="I472" s="93" t="s">
        <v>111</v>
      </c>
      <c r="J472" s="93" t="s">
        <v>7105</v>
      </c>
      <c r="K472" s="93" t="s">
        <v>111</v>
      </c>
      <c r="L472" s="93" t="s">
        <v>111</v>
      </c>
      <c r="M472" s="93" t="s">
        <v>111</v>
      </c>
      <c r="N472" s="93" t="s">
        <v>111</v>
      </c>
      <c r="O472" s="93" t="s">
        <v>111</v>
      </c>
      <c r="P472" s="93" t="s">
        <v>111</v>
      </c>
      <c r="Q472" s="93" t="s">
        <v>228</v>
      </c>
      <c r="R472" s="93" t="s">
        <v>111</v>
      </c>
      <c r="S472" s="93" t="s">
        <v>115</v>
      </c>
      <c r="T472" s="93" t="s">
        <v>116</v>
      </c>
      <c r="U472" s="94">
        <v>44610.097222222219</v>
      </c>
      <c r="V472" s="93" t="s">
        <v>7336</v>
      </c>
      <c r="W472" s="93" t="s">
        <v>24</v>
      </c>
    </row>
    <row r="473" spans="1:23" x14ac:dyDescent="0.15">
      <c r="A473" s="93" t="s">
        <v>6057</v>
      </c>
      <c r="B473" s="93" t="s">
        <v>7422</v>
      </c>
      <c r="C473" s="93">
        <v>26</v>
      </c>
      <c r="D473" s="93" t="s">
        <v>24</v>
      </c>
      <c r="E473" s="93" t="s">
        <v>24</v>
      </c>
      <c r="F473" s="93" t="s">
        <v>7</v>
      </c>
      <c r="G473" s="93" t="s">
        <v>7185</v>
      </c>
      <c r="H473" s="93" t="s">
        <v>400</v>
      </c>
      <c r="I473" s="93" t="s">
        <v>111</v>
      </c>
      <c r="J473" s="93" t="s">
        <v>7105</v>
      </c>
      <c r="K473" s="93" t="s">
        <v>111</v>
      </c>
      <c r="L473" s="93" t="s">
        <v>111</v>
      </c>
      <c r="M473" s="93" t="s">
        <v>111</v>
      </c>
      <c r="N473" s="93" t="s">
        <v>111</v>
      </c>
      <c r="O473" s="93" t="s">
        <v>111</v>
      </c>
      <c r="P473" s="93" t="s">
        <v>111</v>
      </c>
      <c r="Q473" s="93" t="s">
        <v>228</v>
      </c>
      <c r="R473" s="93" t="s">
        <v>111</v>
      </c>
      <c r="S473" s="93" t="s">
        <v>115</v>
      </c>
      <c r="T473" s="93" t="s">
        <v>116</v>
      </c>
      <c r="U473" s="94">
        <v>44610.081250000003</v>
      </c>
      <c r="V473" s="93" t="s">
        <v>7336</v>
      </c>
      <c r="W473" s="93" t="s">
        <v>24</v>
      </c>
    </row>
    <row r="474" spans="1:23" x14ac:dyDescent="0.15">
      <c r="A474" s="93" t="s">
        <v>6058</v>
      </c>
      <c r="B474" s="93" t="s">
        <v>7423</v>
      </c>
      <c r="C474" s="93">
        <v>40</v>
      </c>
      <c r="D474" s="93" t="s">
        <v>24</v>
      </c>
      <c r="E474" s="93" t="s">
        <v>24</v>
      </c>
      <c r="F474" s="93" t="s">
        <v>7</v>
      </c>
      <c r="G474" s="93" t="s">
        <v>7185</v>
      </c>
      <c r="H474" s="93" t="s">
        <v>400</v>
      </c>
      <c r="I474" s="93" t="s">
        <v>111</v>
      </c>
      <c r="J474" s="93" t="s">
        <v>7105</v>
      </c>
      <c r="K474" s="93" t="s">
        <v>111</v>
      </c>
      <c r="L474" s="93" t="s">
        <v>111</v>
      </c>
      <c r="M474" s="93" t="s">
        <v>111</v>
      </c>
      <c r="N474" s="93" t="s">
        <v>111</v>
      </c>
      <c r="O474" s="93" t="s">
        <v>111</v>
      </c>
      <c r="P474" s="93" t="s">
        <v>111</v>
      </c>
      <c r="Q474" s="93" t="s">
        <v>228</v>
      </c>
      <c r="R474" s="93" t="s">
        <v>111</v>
      </c>
      <c r="S474" s="93" t="s">
        <v>115</v>
      </c>
      <c r="T474" s="93" t="s">
        <v>116</v>
      </c>
      <c r="U474" s="94">
        <v>44610.056944444441</v>
      </c>
      <c r="V474" s="93" t="s">
        <v>7336</v>
      </c>
      <c r="W474" s="93" t="s">
        <v>24</v>
      </c>
    </row>
    <row r="475" spans="1:23" x14ac:dyDescent="0.15">
      <c r="A475" s="93" t="s">
        <v>6059</v>
      </c>
      <c r="B475" s="93" t="s">
        <v>6511</v>
      </c>
      <c r="C475" s="93">
        <v>10</v>
      </c>
      <c r="D475" s="93" t="s">
        <v>24</v>
      </c>
      <c r="E475" s="93" t="s">
        <v>24</v>
      </c>
      <c r="F475" s="93" t="s">
        <v>7</v>
      </c>
      <c r="G475" s="93" t="s">
        <v>7185</v>
      </c>
      <c r="H475" s="93" t="s">
        <v>400</v>
      </c>
      <c r="I475" s="93" t="s">
        <v>111</v>
      </c>
      <c r="J475" s="93" t="s">
        <v>7105</v>
      </c>
      <c r="K475" s="93" t="s">
        <v>111</v>
      </c>
      <c r="L475" s="93" t="s">
        <v>111</v>
      </c>
      <c r="M475" s="93" t="s">
        <v>111</v>
      </c>
      <c r="N475" s="93" t="s">
        <v>111</v>
      </c>
      <c r="O475" s="93" t="s">
        <v>111</v>
      </c>
      <c r="P475" s="93" t="s">
        <v>111</v>
      </c>
      <c r="Q475" s="93" t="s">
        <v>228</v>
      </c>
      <c r="R475" s="93" t="s">
        <v>111</v>
      </c>
      <c r="S475" s="93" t="s">
        <v>115</v>
      </c>
      <c r="T475" s="93" t="s">
        <v>116</v>
      </c>
      <c r="U475" s="94">
        <v>44610.111805555556</v>
      </c>
      <c r="V475" s="93" t="s">
        <v>7336</v>
      </c>
      <c r="W475" s="93" t="s">
        <v>24</v>
      </c>
    </row>
    <row r="476" spans="1:23" x14ac:dyDescent="0.15">
      <c r="A476" s="93" t="s">
        <v>6060</v>
      </c>
      <c r="B476" s="93" t="s">
        <v>7424</v>
      </c>
      <c r="C476" s="93">
        <v>26</v>
      </c>
      <c r="D476" s="93" t="s">
        <v>24</v>
      </c>
      <c r="E476" s="93" t="s">
        <v>24</v>
      </c>
      <c r="F476" s="93" t="s">
        <v>7</v>
      </c>
      <c r="G476" s="93" t="s">
        <v>7185</v>
      </c>
      <c r="H476" s="93" t="s">
        <v>400</v>
      </c>
      <c r="I476" s="93" t="s">
        <v>111</v>
      </c>
      <c r="J476" s="93" t="s">
        <v>7105</v>
      </c>
      <c r="K476" s="93" t="s">
        <v>111</v>
      </c>
      <c r="L476" s="93" t="s">
        <v>111</v>
      </c>
      <c r="M476" s="93" t="s">
        <v>111</v>
      </c>
      <c r="N476" s="93" t="s">
        <v>111</v>
      </c>
      <c r="O476" s="93" t="s">
        <v>111</v>
      </c>
      <c r="P476" s="93" t="s">
        <v>111</v>
      </c>
      <c r="Q476" s="93" t="s">
        <v>228</v>
      </c>
      <c r="R476" s="93" t="s">
        <v>111</v>
      </c>
      <c r="S476" s="93" t="s">
        <v>115</v>
      </c>
      <c r="T476" s="93" t="s">
        <v>116</v>
      </c>
      <c r="U476" s="94">
        <v>44610.097222222219</v>
      </c>
      <c r="V476" s="93" t="s">
        <v>7336</v>
      </c>
      <c r="W476" s="93" t="s">
        <v>24</v>
      </c>
    </row>
    <row r="477" spans="1:23" x14ac:dyDescent="0.15">
      <c r="A477" s="93" t="s">
        <v>6061</v>
      </c>
      <c r="B477" s="93" t="s">
        <v>7425</v>
      </c>
      <c r="C477" s="93">
        <v>40</v>
      </c>
      <c r="D477" s="93" t="s">
        <v>24</v>
      </c>
      <c r="E477" s="93" t="s">
        <v>24</v>
      </c>
      <c r="F477" s="93" t="s">
        <v>7</v>
      </c>
      <c r="G477" s="93" t="s">
        <v>7185</v>
      </c>
      <c r="H477" s="93" t="s">
        <v>400</v>
      </c>
      <c r="I477" s="93" t="s">
        <v>111</v>
      </c>
      <c r="J477" s="93" t="s">
        <v>7105</v>
      </c>
      <c r="K477" s="93" t="s">
        <v>111</v>
      </c>
      <c r="L477" s="93" t="s">
        <v>111</v>
      </c>
      <c r="M477" s="93" t="s">
        <v>111</v>
      </c>
      <c r="N477" s="93" t="s">
        <v>111</v>
      </c>
      <c r="O477" s="93" t="s">
        <v>111</v>
      </c>
      <c r="P477" s="93" t="s">
        <v>111</v>
      </c>
      <c r="Q477" s="93" t="s">
        <v>228</v>
      </c>
      <c r="R477" s="93" t="s">
        <v>111</v>
      </c>
      <c r="S477" s="93" t="s">
        <v>115</v>
      </c>
      <c r="T477" s="93" t="s">
        <v>116</v>
      </c>
      <c r="U477" s="94">
        <v>44610.118055555555</v>
      </c>
      <c r="V477" s="93" t="s">
        <v>7336</v>
      </c>
      <c r="W477" s="93" t="s">
        <v>24</v>
      </c>
    </row>
    <row r="478" spans="1:23" x14ac:dyDescent="0.15">
      <c r="A478" s="93" t="s">
        <v>6062</v>
      </c>
      <c r="B478" s="93" t="s">
        <v>6514</v>
      </c>
      <c r="C478" s="93">
        <v>7</v>
      </c>
      <c r="D478" s="93" t="s">
        <v>24</v>
      </c>
      <c r="E478" s="93" t="s">
        <v>24</v>
      </c>
      <c r="F478" s="93" t="s">
        <v>7</v>
      </c>
      <c r="G478" s="93" t="s">
        <v>7185</v>
      </c>
      <c r="H478" s="93" t="s">
        <v>400</v>
      </c>
      <c r="I478" s="93" t="s">
        <v>111</v>
      </c>
      <c r="J478" s="93" t="s">
        <v>7105</v>
      </c>
      <c r="K478" s="93" t="s">
        <v>111</v>
      </c>
      <c r="L478" s="93" t="s">
        <v>111</v>
      </c>
      <c r="M478" s="93" t="s">
        <v>111</v>
      </c>
      <c r="N478" s="93" t="s">
        <v>111</v>
      </c>
      <c r="O478" s="93" t="s">
        <v>111</v>
      </c>
      <c r="P478" s="93" t="s">
        <v>111</v>
      </c>
      <c r="Q478" s="93" t="s">
        <v>228</v>
      </c>
      <c r="R478" s="93" t="s">
        <v>111</v>
      </c>
      <c r="S478" s="93" t="s">
        <v>115</v>
      </c>
      <c r="T478" s="93" t="s">
        <v>116</v>
      </c>
      <c r="U478" s="94">
        <v>44610.056944444441</v>
      </c>
      <c r="V478" s="93" t="s">
        <v>7336</v>
      </c>
      <c r="W478" s="93" t="s">
        <v>24</v>
      </c>
    </row>
    <row r="479" spans="1:23" x14ac:dyDescent="0.15">
      <c r="A479" s="93" t="s">
        <v>6063</v>
      </c>
      <c r="B479" s="93" t="s">
        <v>7426</v>
      </c>
      <c r="C479" s="93">
        <v>18</v>
      </c>
      <c r="D479" s="93" t="s">
        <v>24</v>
      </c>
      <c r="E479" s="93" t="s">
        <v>24</v>
      </c>
      <c r="F479" s="93" t="s">
        <v>7</v>
      </c>
      <c r="G479" s="93" t="s">
        <v>7185</v>
      </c>
      <c r="H479" s="93" t="s">
        <v>400</v>
      </c>
      <c r="I479" s="93" t="s">
        <v>111</v>
      </c>
      <c r="J479" s="93" t="s">
        <v>7105</v>
      </c>
      <c r="K479" s="93" t="s">
        <v>111</v>
      </c>
      <c r="L479" s="93" t="s">
        <v>111</v>
      </c>
      <c r="M479" s="93" t="s">
        <v>111</v>
      </c>
      <c r="N479" s="93" t="s">
        <v>111</v>
      </c>
      <c r="O479" s="93" t="s">
        <v>111</v>
      </c>
      <c r="P479" s="93" t="s">
        <v>111</v>
      </c>
      <c r="Q479" s="93" t="s">
        <v>228</v>
      </c>
      <c r="R479" s="93" t="s">
        <v>111</v>
      </c>
      <c r="S479" s="93" t="s">
        <v>115</v>
      </c>
      <c r="T479" s="93" t="s">
        <v>116</v>
      </c>
      <c r="U479" s="94">
        <v>44610.089583333334</v>
      </c>
      <c r="V479" s="93" t="s">
        <v>7336</v>
      </c>
      <c r="W479" s="93" t="s">
        <v>24</v>
      </c>
    </row>
    <row r="480" spans="1:23" x14ac:dyDescent="0.15">
      <c r="A480" s="93" t="s">
        <v>6064</v>
      </c>
      <c r="B480" s="93" t="s">
        <v>7427</v>
      </c>
      <c r="C480" s="93">
        <v>28</v>
      </c>
      <c r="D480" s="93" t="s">
        <v>24</v>
      </c>
      <c r="E480" s="93" t="s">
        <v>24</v>
      </c>
      <c r="F480" s="93" t="s">
        <v>7</v>
      </c>
      <c r="G480" s="93" t="s">
        <v>7185</v>
      </c>
      <c r="H480" s="93" t="s">
        <v>400</v>
      </c>
      <c r="I480" s="93" t="s">
        <v>111</v>
      </c>
      <c r="J480" s="93" t="s">
        <v>7105</v>
      </c>
      <c r="K480" s="93" t="s">
        <v>111</v>
      </c>
      <c r="L480" s="93" t="s">
        <v>111</v>
      </c>
      <c r="M480" s="93" t="s">
        <v>111</v>
      </c>
      <c r="N480" s="93" t="s">
        <v>111</v>
      </c>
      <c r="O480" s="93" t="s">
        <v>111</v>
      </c>
      <c r="P480" s="93" t="s">
        <v>111</v>
      </c>
      <c r="Q480" s="93" t="s">
        <v>228</v>
      </c>
      <c r="R480" s="93" t="s">
        <v>111</v>
      </c>
      <c r="S480" s="93" t="s">
        <v>115</v>
      </c>
      <c r="T480" s="93" t="s">
        <v>116</v>
      </c>
      <c r="U480" s="94">
        <v>44610.097222222219</v>
      </c>
      <c r="V480" s="93" t="s">
        <v>7336</v>
      </c>
      <c r="W480" s="93" t="s">
        <v>24</v>
      </c>
    </row>
    <row r="481" spans="1:23" x14ac:dyDescent="0.15">
      <c r="A481" s="93" t="s">
        <v>6065</v>
      </c>
      <c r="B481" s="93" t="s">
        <v>6517</v>
      </c>
      <c r="C481" s="93">
        <v>10</v>
      </c>
      <c r="D481" s="93" t="s">
        <v>24</v>
      </c>
      <c r="E481" s="93" t="s">
        <v>24</v>
      </c>
      <c r="F481" s="93" t="s">
        <v>7</v>
      </c>
      <c r="G481" s="93" t="s">
        <v>7185</v>
      </c>
      <c r="H481" s="93" t="s">
        <v>400</v>
      </c>
      <c r="I481" s="93" t="s">
        <v>111</v>
      </c>
      <c r="J481" s="93" t="s">
        <v>7105</v>
      </c>
      <c r="K481" s="93" t="s">
        <v>111</v>
      </c>
      <c r="L481" s="93" t="s">
        <v>111</v>
      </c>
      <c r="M481" s="93" t="s">
        <v>111</v>
      </c>
      <c r="N481" s="93" t="s">
        <v>111</v>
      </c>
      <c r="O481" s="93" t="s">
        <v>111</v>
      </c>
      <c r="P481" s="93" t="s">
        <v>111</v>
      </c>
      <c r="Q481" s="93" t="s">
        <v>228</v>
      </c>
      <c r="R481" s="93" t="s">
        <v>111</v>
      </c>
      <c r="S481" s="93" t="s">
        <v>115</v>
      </c>
      <c r="T481" s="93" t="s">
        <v>116</v>
      </c>
      <c r="U481" s="94">
        <v>44610.081250000003</v>
      </c>
      <c r="V481" s="93" t="s">
        <v>7336</v>
      </c>
      <c r="W481" s="93" t="s">
        <v>24</v>
      </c>
    </row>
    <row r="482" spans="1:23" x14ac:dyDescent="0.15">
      <c r="A482" s="93" t="s">
        <v>6066</v>
      </c>
      <c r="B482" s="93" t="s">
        <v>7428</v>
      </c>
      <c r="C482" s="93">
        <v>26</v>
      </c>
      <c r="D482" s="93" t="s">
        <v>24</v>
      </c>
      <c r="E482" s="93" t="s">
        <v>24</v>
      </c>
      <c r="F482" s="93" t="s">
        <v>7</v>
      </c>
      <c r="G482" s="93" t="s">
        <v>7185</v>
      </c>
      <c r="H482" s="93" t="s">
        <v>400</v>
      </c>
      <c r="I482" s="93" t="s">
        <v>111</v>
      </c>
      <c r="J482" s="93" t="s">
        <v>7105</v>
      </c>
      <c r="K482" s="93" t="s">
        <v>111</v>
      </c>
      <c r="L482" s="93" t="s">
        <v>111</v>
      </c>
      <c r="M482" s="93" t="s">
        <v>111</v>
      </c>
      <c r="N482" s="93" t="s">
        <v>111</v>
      </c>
      <c r="O482" s="93" t="s">
        <v>111</v>
      </c>
      <c r="P482" s="93" t="s">
        <v>111</v>
      </c>
      <c r="Q482" s="93" t="s">
        <v>228</v>
      </c>
      <c r="R482" s="93" t="s">
        <v>111</v>
      </c>
      <c r="S482" s="93" t="s">
        <v>115</v>
      </c>
      <c r="T482" s="93" t="s">
        <v>116</v>
      </c>
      <c r="U482" s="94">
        <v>44610.063888888886</v>
      </c>
      <c r="V482" s="93" t="s">
        <v>7336</v>
      </c>
      <c r="W482" s="93" t="s">
        <v>24</v>
      </c>
    </row>
    <row r="483" spans="1:23" x14ac:dyDescent="0.15">
      <c r="A483" s="93" t="s">
        <v>6067</v>
      </c>
      <c r="B483" s="93" t="s">
        <v>7429</v>
      </c>
      <c r="C483" s="93">
        <v>40</v>
      </c>
      <c r="D483" s="93" t="s">
        <v>24</v>
      </c>
      <c r="E483" s="93" t="s">
        <v>24</v>
      </c>
      <c r="F483" s="93" t="s">
        <v>7</v>
      </c>
      <c r="G483" s="93" t="s">
        <v>7185</v>
      </c>
      <c r="H483" s="93" t="s">
        <v>400</v>
      </c>
      <c r="I483" s="93" t="s">
        <v>111</v>
      </c>
      <c r="J483" s="93" t="s">
        <v>7105</v>
      </c>
      <c r="K483" s="93" t="s">
        <v>111</v>
      </c>
      <c r="L483" s="93" t="s">
        <v>111</v>
      </c>
      <c r="M483" s="93" t="s">
        <v>111</v>
      </c>
      <c r="N483" s="93" t="s">
        <v>111</v>
      </c>
      <c r="O483" s="93" t="s">
        <v>111</v>
      </c>
      <c r="P483" s="93" t="s">
        <v>111</v>
      </c>
      <c r="Q483" s="93" t="s">
        <v>228</v>
      </c>
      <c r="R483" s="93" t="s">
        <v>111</v>
      </c>
      <c r="S483" s="93" t="s">
        <v>115</v>
      </c>
      <c r="T483" s="93" t="s">
        <v>116</v>
      </c>
      <c r="U483" s="94">
        <v>44610.120138888888</v>
      </c>
      <c r="V483" s="93" t="s">
        <v>7336</v>
      </c>
      <c r="W483" s="93" t="s">
        <v>24</v>
      </c>
    </row>
    <row r="484" spans="1:23" x14ac:dyDescent="0.15">
      <c r="A484" s="93" t="s">
        <v>6050</v>
      </c>
      <c r="B484" s="93" t="s">
        <v>6502</v>
      </c>
      <c r="C484" s="93">
        <v>8</v>
      </c>
      <c r="D484" s="93" t="s">
        <v>24</v>
      </c>
      <c r="E484" s="93" t="s">
        <v>24</v>
      </c>
      <c r="F484" s="93" t="s">
        <v>7</v>
      </c>
      <c r="G484" s="93" t="s">
        <v>7185</v>
      </c>
      <c r="H484" s="93" t="s">
        <v>400</v>
      </c>
      <c r="I484" s="93" t="s">
        <v>111</v>
      </c>
      <c r="J484" s="93" t="s">
        <v>7105</v>
      </c>
      <c r="K484" s="93" t="s">
        <v>111</v>
      </c>
      <c r="L484" s="93" t="s">
        <v>111</v>
      </c>
      <c r="M484" s="93" t="s">
        <v>111</v>
      </c>
      <c r="N484" s="93" t="s">
        <v>111</v>
      </c>
      <c r="O484" s="93" t="s">
        <v>111</v>
      </c>
      <c r="P484" s="93" t="s">
        <v>111</v>
      </c>
      <c r="Q484" s="93" t="s">
        <v>228</v>
      </c>
      <c r="R484" s="93" t="s">
        <v>111</v>
      </c>
      <c r="S484" s="93" t="s">
        <v>115</v>
      </c>
      <c r="T484" s="93" t="s">
        <v>116</v>
      </c>
      <c r="U484" s="94">
        <v>44610.089583333334</v>
      </c>
      <c r="V484" s="93" t="s">
        <v>7336</v>
      </c>
      <c r="W484" s="93" t="s">
        <v>24</v>
      </c>
    </row>
    <row r="485" spans="1:23" x14ac:dyDescent="0.15">
      <c r="A485" s="93" t="s">
        <v>6051</v>
      </c>
      <c r="B485" s="93" t="s">
        <v>7430</v>
      </c>
      <c r="C485" s="93">
        <v>21</v>
      </c>
      <c r="D485" s="93" t="s">
        <v>24</v>
      </c>
      <c r="E485" s="93" t="s">
        <v>24</v>
      </c>
      <c r="F485" s="93" t="s">
        <v>7</v>
      </c>
      <c r="G485" s="93" t="s">
        <v>7185</v>
      </c>
      <c r="H485" s="93" t="s">
        <v>400</v>
      </c>
      <c r="I485" s="93" t="s">
        <v>111</v>
      </c>
      <c r="J485" s="93" t="s">
        <v>7105</v>
      </c>
      <c r="K485" s="93" t="s">
        <v>111</v>
      </c>
      <c r="L485" s="93" t="s">
        <v>111</v>
      </c>
      <c r="M485" s="93" t="s">
        <v>111</v>
      </c>
      <c r="N485" s="93" t="s">
        <v>111</v>
      </c>
      <c r="O485" s="93" t="s">
        <v>111</v>
      </c>
      <c r="P485" s="93" t="s">
        <v>111</v>
      </c>
      <c r="Q485" s="93" t="s">
        <v>228</v>
      </c>
      <c r="R485" s="93" t="s">
        <v>111</v>
      </c>
      <c r="S485" s="93" t="s">
        <v>115</v>
      </c>
      <c r="T485" s="93" t="s">
        <v>116</v>
      </c>
      <c r="U485" s="94">
        <v>44610.081944444442</v>
      </c>
      <c r="V485" s="93" t="s">
        <v>7336</v>
      </c>
      <c r="W485" s="93" t="s">
        <v>24</v>
      </c>
    </row>
    <row r="486" spans="1:23" x14ac:dyDescent="0.15">
      <c r="A486" s="93" t="s">
        <v>6052</v>
      </c>
      <c r="B486" s="93" t="s">
        <v>7431</v>
      </c>
      <c r="C486" s="93">
        <v>32</v>
      </c>
      <c r="D486" s="93" t="s">
        <v>24</v>
      </c>
      <c r="E486" s="93" t="s">
        <v>24</v>
      </c>
      <c r="F486" s="93" t="s">
        <v>7</v>
      </c>
      <c r="G486" s="93" t="s">
        <v>7185</v>
      </c>
      <c r="H486" s="93" t="s">
        <v>400</v>
      </c>
      <c r="I486" s="93" t="s">
        <v>111</v>
      </c>
      <c r="J486" s="93" t="s">
        <v>7105</v>
      </c>
      <c r="K486" s="93" t="s">
        <v>111</v>
      </c>
      <c r="L486" s="93" t="s">
        <v>111</v>
      </c>
      <c r="M486" s="93" t="s">
        <v>111</v>
      </c>
      <c r="N486" s="93" t="s">
        <v>111</v>
      </c>
      <c r="O486" s="93" t="s">
        <v>111</v>
      </c>
      <c r="P486" s="93" t="s">
        <v>111</v>
      </c>
      <c r="Q486" s="93" t="s">
        <v>228</v>
      </c>
      <c r="R486" s="93" t="s">
        <v>111</v>
      </c>
      <c r="S486" s="93" t="s">
        <v>115</v>
      </c>
      <c r="T486" s="93" t="s">
        <v>116</v>
      </c>
      <c r="U486" s="94">
        <v>44610.079861111109</v>
      </c>
      <c r="V486" s="93" t="s">
        <v>7336</v>
      </c>
      <c r="W486" s="93" t="s">
        <v>24</v>
      </c>
    </row>
    <row r="487" spans="1:23" x14ac:dyDescent="0.15">
      <c r="A487" s="93" t="s">
        <v>6068</v>
      </c>
      <c r="B487" s="93" t="s">
        <v>6520</v>
      </c>
      <c r="C487" s="93">
        <v>15</v>
      </c>
      <c r="D487" s="93" t="s">
        <v>24</v>
      </c>
      <c r="E487" s="93" t="s">
        <v>24</v>
      </c>
      <c r="F487" s="93" t="s">
        <v>7</v>
      </c>
      <c r="G487" s="93" t="s">
        <v>7185</v>
      </c>
      <c r="H487" s="93" t="s">
        <v>400</v>
      </c>
      <c r="I487" s="93" t="s">
        <v>111</v>
      </c>
      <c r="J487" s="93" t="s">
        <v>7105</v>
      </c>
      <c r="K487" s="93" t="s">
        <v>111</v>
      </c>
      <c r="L487" s="93" t="s">
        <v>111</v>
      </c>
      <c r="M487" s="93" t="s">
        <v>111</v>
      </c>
      <c r="N487" s="93" t="s">
        <v>111</v>
      </c>
      <c r="O487" s="93" t="s">
        <v>111</v>
      </c>
      <c r="P487" s="93" t="s">
        <v>111</v>
      </c>
      <c r="Q487" s="93" t="s">
        <v>228</v>
      </c>
      <c r="R487" s="93" t="s">
        <v>111</v>
      </c>
      <c r="S487" s="93" t="s">
        <v>115</v>
      </c>
      <c r="T487" s="93" t="s">
        <v>116</v>
      </c>
      <c r="U487" s="94">
        <v>44610.057638888888</v>
      </c>
      <c r="V487" s="93" t="s">
        <v>7336</v>
      </c>
      <c r="W487" s="93" t="s">
        <v>24</v>
      </c>
    </row>
    <row r="488" spans="1:23" x14ac:dyDescent="0.15">
      <c r="A488" s="93" t="s">
        <v>6069</v>
      </c>
      <c r="B488" s="93" t="s">
        <v>7432</v>
      </c>
      <c r="C488" s="93">
        <v>39</v>
      </c>
      <c r="D488" s="93" t="s">
        <v>24</v>
      </c>
      <c r="E488" s="93" t="s">
        <v>24</v>
      </c>
      <c r="F488" s="93" t="s">
        <v>7</v>
      </c>
      <c r="G488" s="93" t="s">
        <v>7185</v>
      </c>
      <c r="H488" s="93" t="s">
        <v>400</v>
      </c>
      <c r="I488" s="93" t="s">
        <v>111</v>
      </c>
      <c r="J488" s="93" t="s">
        <v>7105</v>
      </c>
      <c r="K488" s="93" t="s">
        <v>111</v>
      </c>
      <c r="L488" s="93" t="s">
        <v>111</v>
      </c>
      <c r="M488" s="93" t="s">
        <v>111</v>
      </c>
      <c r="N488" s="93" t="s">
        <v>111</v>
      </c>
      <c r="O488" s="93" t="s">
        <v>111</v>
      </c>
      <c r="P488" s="93" t="s">
        <v>111</v>
      </c>
      <c r="Q488" s="93" t="s">
        <v>228</v>
      </c>
      <c r="R488" s="93" t="s">
        <v>111</v>
      </c>
      <c r="S488" s="93" t="s">
        <v>115</v>
      </c>
      <c r="T488" s="93" t="s">
        <v>116</v>
      </c>
      <c r="U488" s="94">
        <v>44610.112500000003</v>
      </c>
      <c r="V488" s="93" t="s">
        <v>7336</v>
      </c>
      <c r="W488" s="93" t="s">
        <v>24</v>
      </c>
    </row>
    <row r="489" spans="1:23" x14ac:dyDescent="0.15">
      <c r="A489" s="93" t="s">
        <v>6070</v>
      </c>
      <c r="B489" s="93" t="s">
        <v>7433</v>
      </c>
      <c r="C489" s="93">
        <v>60</v>
      </c>
      <c r="D489" s="93" t="s">
        <v>24</v>
      </c>
      <c r="E489" s="93" t="s">
        <v>24</v>
      </c>
      <c r="F489" s="93" t="s">
        <v>7</v>
      </c>
      <c r="G489" s="93" t="s">
        <v>7185</v>
      </c>
      <c r="H489" s="93" t="s">
        <v>400</v>
      </c>
      <c r="I489" s="93" t="s">
        <v>111</v>
      </c>
      <c r="J489" s="93" t="s">
        <v>7105</v>
      </c>
      <c r="K489" s="93" t="s">
        <v>111</v>
      </c>
      <c r="L489" s="93" t="s">
        <v>111</v>
      </c>
      <c r="M489" s="93" t="s">
        <v>111</v>
      </c>
      <c r="N489" s="93" t="s">
        <v>111</v>
      </c>
      <c r="O489" s="93" t="s">
        <v>111</v>
      </c>
      <c r="P489" s="93" t="s">
        <v>111</v>
      </c>
      <c r="Q489" s="93" t="s">
        <v>228</v>
      </c>
      <c r="R489" s="93" t="s">
        <v>111</v>
      </c>
      <c r="S489" s="93" t="s">
        <v>115</v>
      </c>
      <c r="T489" s="93" t="s">
        <v>116</v>
      </c>
      <c r="U489" s="94">
        <v>44610.089583333334</v>
      </c>
      <c r="V489" s="93" t="s">
        <v>7336</v>
      </c>
      <c r="W489" s="93" t="s">
        <v>24</v>
      </c>
    </row>
    <row r="490" spans="1:23" x14ac:dyDescent="0.15">
      <c r="A490" s="93" t="s">
        <v>6209</v>
      </c>
      <c r="B490" s="93" t="s">
        <v>7434</v>
      </c>
      <c r="C490" s="93">
        <v>5</v>
      </c>
      <c r="D490" s="93" t="s">
        <v>24</v>
      </c>
      <c r="E490" s="93" t="s">
        <v>24</v>
      </c>
      <c r="F490" s="93" t="s">
        <v>7</v>
      </c>
      <c r="G490" s="93" t="s">
        <v>7185</v>
      </c>
      <c r="H490" s="93" t="s">
        <v>400</v>
      </c>
      <c r="I490" s="93" t="s">
        <v>111</v>
      </c>
      <c r="J490" s="93" t="s">
        <v>7105</v>
      </c>
      <c r="K490" s="93" t="s">
        <v>111</v>
      </c>
      <c r="L490" s="93" t="s">
        <v>111</v>
      </c>
      <c r="M490" s="93" t="s">
        <v>111</v>
      </c>
      <c r="N490" s="93" t="s">
        <v>111</v>
      </c>
      <c r="O490" s="93" t="s">
        <v>111</v>
      </c>
      <c r="P490" s="93" t="s">
        <v>111</v>
      </c>
      <c r="Q490" s="93" t="s">
        <v>228</v>
      </c>
      <c r="R490" s="93" t="s">
        <v>111</v>
      </c>
      <c r="S490" s="93" t="s">
        <v>115</v>
      </c>
      <c r="T490" s="93" t="s">
        <v>116</v>
      </c>
      <c r="U490" s="94">
        <v>44610.072916666664</v>
      </c>
      <c r="V490" s="93" t="s">
        <v>7336</v>
      </c>
      <c r="W490" s="93" t="s">
        <v>24</v>
      </c>
    </row>
    <row r="491" spans="1:23" x14ac:dyDescent="0.15">
      <c r="A491" s="93" t="s">
        <v>6210</v>
      </c>
      <c r="B491" s="93" t="s">
        <v>7435</v>
      </c>
      <c r="C491" s="93">
        <v>13</v>
      </c>
      <c r="D491" s="93" t="s">
        <v>24</v>
      </c>
      <c r="E491" s="93" t="s">
        <v>24</v>
      </c>
      <c r="F491" s="93" t="s">
        <v>7</v>
      </c>
      <c r="G491" s="93" t="s">
        <v>7185</v>
      </c>
      <c r="H491" s="93" t="s">
        <v>400</v>
      </c>
      <c r="I491" s="93" t="s">
        <v>111</v>
      </c>
      <c r="J491" s="93" t="s">
        <v>7105</v>
      </c>
      <c r="K491" s="93" t="s">
        <v>111</v>
      </c>
      <c r="L491" s="93" t="s">
        <v>111</v>
      </c>
      <c r="M491" s="93" t="s">
        <v>111</v>
      </c>
      <c r="N491" s="93" t="s">
        <v>111</v>
      </c>
      <c r="O491" s="93" t="s">
        <v>111</v>
      </c>
      <c r="P491" s="93" t="s">
        <v>111</v>
      </c>
      <c r="Q491" s="93" t="s">
        <v>228</v>
      </c>
      <c r="R491" s="93" t="s">
        <v>111</v>
      </c>
      <c r="S491" s="93" t="s">
        <v>115</v>
      </c>
      <c r="T491" s="93" t="s">
        <v>116</v>
      </c>
      <c r="U491" s="94">
        <v>44610.120833333334</v>
      </c>
      <c r="V491" s="93" t="s">
        <v>7336</v>
      </c>
      <c r="W491" s="93" t="s">
        <v>24</v>
      </c>
    </row>
    <row r="492" spans="1:23" x14ac:dyDescent="0.15">
      <c r="A492" s="93" t="s">
        <v>6211</v>
      </c>
      <c r="B492" s="93" t="s">
        <v>7436</v>
      </c>
      <c r="C492" s="93">
        <v>20</v>
      </c>
      <c r="D492" s="93" t="s">
        <v>24</v>
      </c>
      <c r="E492" s="93" t="s">
        <v>24</v>
      </c>
      <c r="F492" s="93" t="s">
        <v>7</v>
      </c>
      <c r="G492" s="93" t="s">
        <v>7185</v>
      </c>
      <c r="H492" s="93" t="s">
        <v>400</v>
      </c>
      <c r="I492" s="93" t="s">
        <v>111</v>
      </c>
      <c r="J492" s="93" t="s">
        <v>7105</v>
      </c>
      <c r="K492" s="93" t="s">
        <v>111</v>
      </c>
      <c r="L492" s="93" t="s">
        <v>111</v>
      </c>
      <c r="M492" s="93" t="s">
        <v>111</v>
      </c>
      <c r="N492" s="93" t="s">
        <v>111</v>
      </c>
      <c r="O492" s="93" t="s">
        <v>111</v>
      </c>
      <c r="P492" s="93" t="s">
        <v>111</v>
      </c>
      <c r="Q492" s="93" t="s">
        <v>228</v>
      </c>
      <c r="R492" s="93" t="s">
        <v>111</v>
      </c>
      <c r="S492" s="93" t="s">
        <v>115</v>
      </c>
      <c r="T492" s="93" t="s">
        <v>116</v>
      </c>
      <c r="U492" s="94">
        <v>44610.081944444442</v>
      </c>
      <c r="V492" s="93" t="s">
        <v>7336</v>
      </c>
      <c r="W492" s="93" t="s">
        <v>24</v>
      </c>
    </row>
    <row r="493" spans="1:23" x14ac:dyDescent="0.15">
      <c r="A493" s="93" t="s">
        <v>6206</v>
      </c>
      <c r="B493" s="93" t="s">
        <v>7437</v>
      </c>
      <c r="C493" s="93">
        <v>12</v>
      </c>
      <c r="D493" s="93" t="s">
        <v>24</v>
      </c>
      <c r="E493" s="93" t="s">
        <v>24</v>
      </c>
      <c r="F493" s="93" t="s">
        <v>7</v>
      </c>
      <c r="G493" s="93" t="s">
        <v>7185</v>
      </c>
      <c r="H493" s="93" t="s">
        <v>400</v>
      </c>
      <c r="I493" s="93" t="s">
        <v>111</v>
      </c>
      <c r="J493" s="93" t="s">
        <v>7105</v>
      </c>
      <c r="K493" s="93" t="s">
        <v>111</v>
      </c>
      <c r="L493" s="93" t="s">
        <v>111</v>
      </c>
      <c r="M493" s="93" t="s">
        <v>111</v>
      </c>
      <c r="N493" s="93" t="s">
        <v>111</v>
      </c>
      <c r="O493" s="93" t="s">
        <v>111</v>
      </c>
      <c r="P493" s="93" t="s">
        <v>111</v>
      </c>
      <c r="Q493" s="93" t="s">
        <v>228</v>
      </c>
      <c r="R493" s="93" t="s">
        <v>111</v>
      </c>
      <c r="S493" s="93" t="s">
        <v>115</v>
      </c>
      <c r="T493" s="93" t="s">
        <v>116</v>
      </c>
      <c r="U493" s="94">
        <v>44610.064583333333</v>
      </c>
      <c r="V493" s="93" t="s">
        <v>7336</v>
      </c>
      <c r="W493" s="93" t="s">
        <v>24</v>
      </c>
    </row>
    <row r="494" spans="1:23" x14ac:dyDescent="0.15">
      <c r="A494" s="93" t="s">
        <v>6207</v>
      </c>
      <c r="B494" s="93" t="s">
        <v>7438</v>
      </c>
      <c r="C494" s="93">
        <v>31</v>
      </c>
      <c r="D494" s="93" t="s">
        <v>24</v>
      </c>
      <c r="E494" s="93" t="s">
        <v>24</v>
      </c>
      <c r="F494" s="93" t="s">
        <v>7</v>
      </c>
      <c r="G494" s="93" t="s">
        <v>7185</v>
      </c>
      <c r="H494" s="93" t="s">
        <v>400</v>
      </c>
      <c r="I494" s="93" t="s">
        <v>111</v>
      </c>
      <c r="J494" s="93" t="s">
        <v>7105</v>
      </c>
      <c r="K494" s="93" t="s">
        <v>111</v>
      </c>
      <c r="L494" s="93" t="s">
        <v>111</v>
      </c>
      <c r="M494" s="93" t="s">
        <v>111</v>
      </c>
      <c r="N494" s="93" t="s">
        <v>111</v>
      </c>
      <c r="O494" s="93" t="s">
        <v>111</v>
      </c>
      <c r="P494" s="93" t="s">
        <v>111</v>
      </c>
      <c r="Q494" s="93" t="s">
        <v>228</v>
      </c>
      <c r="R494" s="93" t="s">
        <v>111</v>
      </c>
      <c r="S494" s="93" t="s">
        <v>115</v>
      </c>
      <c r="T494" s="93" t="s">
        <v>116</v>
      </c>
      <c r="U494" s="94">
        <v>44610.072916666664</v>
      </c>
      <c r="V494" s="93" t="s">
        <v>7336</v>
      </c>
      <c r="W494" s="93" t="s">
        <v>24</v>
      </c>
    </row>
    <row r="495" spans="1:23" x14ac:dyDescent="0.15">
      <c r="A495" s="93" t="s">
        <v>6208</v>
      </c>
      <c r="B495" s="93" t="s">
        <v>7439</v>
      </c>
      <c r="C495" s="93">
        <v>48</v>
      </c>
      <c r="D495" s="93" t="s">
        <v>24</v>
      </c>
      <c r="E495" s="93" t="s">
        <v>24</v>
      </c>
      <c r="F495" s="93" t="s">
        <v>7</v>
      </c>
      <c r="G495" s="93" t="s">
        <v>7185</v>
      </c>
      <c r="H495" s="93" t="s">
        <v>400</v>
      </c>
      <c r="I495" s="93" t="s">
        <v>111</v>
      </c>
      <c r="J495" s="93" t="s">
        <v>7105</v>
      </c>
      <c r="K495" s="93" t="s">
        <v>111</v>
      </c>
      <c r="L495" s="93" t="s">
        <v>111</v>
      </c>
      <c r="M495" s="93" t="s">
        <v>111</v>
      </c>
      <c r="N495" s="93" t="s">
        <v>111</v>
      </c>
      <c r="O495" s="93" t="s">
        <v>111</v>
      </c>
      <c r="P495" s="93" t="s">
        <v>111</v>
      </c>
      <c r="Q495" s="93" t="s">
        <v>228</v>
      </c>
      <c r="R495" s="93" t="s">
        <v>111</v>
      </c>
      <c r="S495" s="93" t="s">
        <v>115</v>
      </c>
      <c r="T495" s="93" t="s">
        <v>116</v>
      </c>
      <c r="U495" s="94">
        <v>44610.120833333334</v>
      </c>
      <c r="V495" s="93" t="s">
        <v>7336</v>
      </c>
      <c r="W495" s="93" t="s">
        <v>24</v>
      </c>
    </row>
    <row r="496" spans="1:23" x14ac:dyDescent="0.15">
      <c r="A496" s="93" t="s">
        <v>6203</v>
      </c>
      <c r="B496" s="93" t="s">
        <v>7440</v>
      </c>
      <c r="C496" s="93">
        <v>24</v>
      </c>
      <c r="D496" s="93" t="s">
        <v>24</v>
      </c>
      <c r="E496" s="93" t="s">
        <v>24</v>
      </c>
      <c r="F496" s="93" t="s">
        <v>7</v>
      </c>
      <c r="G496" s="93" t="s">
        <v>7185</v>
      </c>
      <c r="H496" s="93" t="s">
        <v>400</v>
      </c>
      <c r="I496" s="93" t="s">
        <v>111</v>
      </c>
      <c r="J496" s="93" t="s">
        <v>7105</v>
      </c>
      <c r="K496" s="93" t="s">
        <v>111</v>
      </c>
      <c r="L496" s="93" t="s">
        <v>111</v>
      </c>
      <c r="M496" s="93" t="s">
        <v>111</v>
      </c>
      <c r="N496" s="93" t="s">
        <v>111</v>
      </c>
      <c r="O496" s="93" t="s">
        <v>111</v>
      </c>
      <c r="P496" s="93" t="s">
        <v>111</v>
      </c>
      <c r="Q496" s="93" t="s">
        <v>228</v>
      </c>
      <c r="R496" s="93" t="s">
        <v>111</v>
      </c>
      <c r="S496" s="93" t="s">
        <v>115</v>
      </c>
      <c r="T496" s="93" t="s">
        <v>116</v>
      </c>
      <c r="U496" s="94">
        <v>44610.113888888889</v>
      </c>
      <c r="V496" s="93" t="s">
        <v>7336</v>
      </c>
      <c r="W496" s="93" t="s">
        <v>24</v>
      </c>
    </row>
    <row r="497" spans="1:23" x14ac:dyDescent="0.15">
      <c r="A497" s="93" t="s">
        <v>6204</v>
      </c>
      <c r="B497" s="93" t="s">
        <v>7441</v>
      </c>
      <c r="C497" s="93">
        <v>62</v>
      </c>
      <c r="D497" s="93" t="s">
        <v>24</v>
      </c>
      <c r="E497" s="93" t="s">
        <v>24</v>
      </c>
      <c r="F497" s="93" t="s">
        <v>7</v>
      </c>
      <c r="G497" s="93" t="s">
        <v>7185</v>
      </c>
      <c r="H497" s="93" t="s">
        <v>400</v>
      </c>
      <c r="I497" s="93" t="s">
        <v>111</v>
      </c>
      <c r="J497" s="93" t="s">
        <v>7105</v>
      </c>
      <c r="K497" s="93" t="s">
        <v>111</v>
      </c>
      <c r="L497" s="93" t="s">
        <v>111</v>
      </c>
      <c r="M497" s="93" t="s">
        <v>111</v>
      </c>
      <c r="N497" s="93" t="s">
        <v>111</v>
      </c>
      <c r="O497" s="93" t="s">
        <v>111</v>
      </c>
      <c r="P497" s="93" t="s">
        <v>111</v>
      </c>
      <c r="Q497" s="93" t="s">
        <v>228</v>
      </c>
      <c r="R497" s="93" t="s">
        <v>111</v>
      </c>
      <c r="S497" s="93" t="s">
        <v>115</v>
      </c>
      <c r="T497" s="93" t="s">
        <v>116</v>
      </c>
      <c r="U497" s="94">
        <v>44610.058333333334</v>
      </c>
      <c r="V497" s="93" t="s">
        <v>7336</v>
      </c>
      <c r="W497" s="93" t="s">
        <v>24</v>
      </c>
    </row>
    <row r="498" spans="1:23" x14ac:dyDescent="0.15">
      <c r="A498" s="93" t="s">
        <v>6205</v>
      </c>
      <c r="B498" s="93" t="s">
        <v>7442</v>
      </c>
      <c r="C498" s="93">
        <v>96</v>
      </c>
      <c r="D498" s="93" t="s">
        <v>24</v>
      </c>
      <c r="E498" s="93" t="s">
        <v>24</v>
      </c>
      <c r="F498" s="93" t="s">
        <v>7</v>
      </c>
      <c r="G498" s="93" t="s">
        <v>7185</v>
      </c>
      <c r="H498" s="93" t="s">
        <v>400</v>
      </c>
      <c r="I498" s="93" t="s">
        <v>111</v>
      </c>
      <c r="J498" s="93" t="s">
        <v>7105</v>
      </c>
      <c r="K498" s="93" t="s">
        <v>111</v>
      </c>
      <c r="L498" s="93" t="s">
        <v>111</v>
      </c>
      <c r="M498" s="93" t="s">
        <v>111</v>
      </c>
      <c r="N498" s="93" t="s">
        <v>111</v>
      </c>
      <c r="O498" s="93" t="s">
        <v>111</v>
      </c>
      <c r="P498" s="93" t="s">
        <v>111</v>
      </c>
      <c r="Q498" s="93" t="s">
        <v>228</v>
      </c>
      <c r="R498" s="93" t="s">
        <v>111</v>
      </c>
      <c r="S498" s="93" t="s">
        <v>115</v>
      </c>
      <c r="T498" s="93" t="s">
        <v>116</v>
      </c>
      <c r="U498" s="94">
        <v>44610.064583333333</v>
      </c>
      <c r="V498" s="93" t="s">
        <v>7336</v>
      </c>
      <c r="W498" s="93" t="s">
        <v>24</v>
      </c>
    </row>
    <row r="499" spans="1:23" x14ac:dyDescent="0.15">
      <c r="A499" s="93" t="s">
        <v>7443</v>
      </c>
      <c r="B499" s="93" t="s">
        <v>7444</v>
      </c>
      <c r="C499" s="93">
        <v>18</v>
      </c>
      <c r="D499" s="93" t="s">
        <v>24</v>
      </c>
      <c r="E499" s="93" t="s">
        <v>24</v>
      </c>
      <c r="F499" s="93" t="s">
        <v>7</v>
      </c>
      <c r="G499" s="93" t="s">
        <v>7185</v>
      </c>
      <c r="H499" s="93" t="s">
        <v>400</v>
      </c>
      <c r="I499" s="93" t="s">
        <v>111</v>
      </c>
      <c r="J499" s="93" t="s">
        <v>118</v>
      </c>
      <c r="K499" s="93">
        <v>3</v>
      </c>
      <c r="L499" s="93" t="s">
        <v>111</v>
      </c>
      <c r="M499" s="93" t="s">
        <v>111</v>
      </c>
      <c r="N499" s="93" t="s">
        <v>111</v>
      </c>
      <c r="O499" s="93" t="s">
        <v>111</v>
      </c>
      <c r="P499" s="93" t="s">
        <v>111</v>
      </c>
      <c r="Q499" s="93" t="s">
        <v>228</v>
      </c>
      <c r="R499" s="93" t="s">
        <v>2</v>
      </c>
      <c r="S499" s="93" t="s">
        <v>115</v>
      </c>
      <c r="T499" s="93" t="s">
        <v>116</v>
      </c>
      <c r="U499" s="94">
        <v>44602.407638888886</v>
      </c>
      <c r="V499" s="93" t="s">
        <v>402</v>
      </c>
      <c r="W499" s="93" t="s">
        <v>24</v>
      </c>
    </row>
    <row r="500" spans="1:23" x14ac:dyDescent="0.15">
      <c r="A500" s="93" t="s">
        <v>7445</v>
      </c>
      <c r="B500" s="93" t="s">
        <v>7444</v>
      </c>
      <c r="C500" s="93">
        <v>46</v>
      </c>
      <c r="D500" s="93" t="s">
        <v>24</v>
      </c>
      <c r="E500" s="93" t="s">
        <v>24</v>
      </c>
      <c r="F500" s="93" t="s">
        <v>7</v>
      </c>
      <c r="G500" s="93" t="s">
        <v>7185</v>
      </c>
      <c r="H500" s="93" t="s">
        <v>400</v>
      </c>
      <c r="I500" s="93" t="s">
        <v>111</v>
      </c>
      <c r="J500" s="93" t="s">
        <v>118</v>
      </c>
      <c r="K500" s="93">
        <v>3</v>
      </c>
      <c r="L500" s="93" t="s">
        <v>111</v>
      </c>
      <c r="M500" s="93" t="s">
        <v>111</v>
      </c>
      <c r="N500" s="93" t="s">
        <v>111</v>
      </c>
      <c r="O500" s="93" t="s">
        <v>111</v>
      </c>
      <c r="P500" s="93" t="s">
        <v>111</v>
      </c>
      <c r="Q500" s="93" t="s">
        <v>228</v>
      </c>
      <c r="R500" s="93" t="s">
        <v>2</v>
      </c>
      <c r="S500" s="93" t="s">
        <v>115</v>
      </c>
      <c r="T500" s="93" t="s">
        <v>116</v>
      </c>
      <c r="U500" s="94">
        <v>44602.407638888886</v>
      </c>
      <c r="V500" s="93" t="s">
        <v>402</v>
      </c>
      <c r="W500" s="93" t="s">
        <v>24</v>
      </c>
    </row>
    <row r="501" spans="1:23" x14ac:dyDescent="0.15">
      <c r="A501" s="93" t="s">
        <v>7446</v>
      </c>
      <c r="B501" s="93" t="s">
        <v>7447</v>
      </c>
      <c r="C501" s="93">
        <v>72</v>
      </c>
      <c r="D501" s="93" t="s">
        <v>24</v>
      </c>
      <c r="E501" s="93" t="s">
        <v>24</v>
      </c>
      <c r="F501" s="93" t="s">
        <v>7</v>
      </c>
      <c r="G501" s="93" t="s">
        <v>7185</v>
      </c>
      <c r="H501" s="93" t="s">
        <v>400</v>
      </c>
      <c r="I501" s="93" t="s">
        <v>111</v>
      </c>
      <c r="J501" s="93" t="s">
        <v>118</v>
      </c>
      <c r="K501" s="93">
        <v>3</v>
      </c>
      <c r="L501" s="93" t="s">
        <v>111</v>
      </c>
      <c r="M501" s="93" t="s">
        <v>111</v>
      </c>
      <c r="N501" s="93" t="s">
        <v>111</v>
      </c>
      <c r="O501" s="93" t="s">
        <v>111</v>
      </c>
      <c r="P501" s="93" t="s">
        <v>111</v>
      </c>
      <c r="Q501" s="93" t="s">
        <v>228</v>
      </c>
      <c r="R501" s="93" t="s">
        <v>2</v>
      </c>
      <c r="S501" s="93" t="s">
        <v>115</v>
      </c>
      <c r="T501" s="93" t="s">
        <v>116</v>
      </c>
      <c r="U501" s="94">
        <v>44602.407638888886</v>
      </c>
      <c r="V501" s="93" t="s">
        <v>402</v>
      </c>
      <c r="W501" s="93" t="s">
        <v>24</v>
      </c>
    </row>
    <row r="502" spans="1:23" x14ac:dyDescent="0.15">
      <c r="A502" s="93" t="s">
        <v>6074</v>
      </c>
      <c r="B502" s="93" t="s">
        <v>6526</v>
      </c>
      <c r="C502" s="93">
        <v>8</v>
      </c>
      <c r="D502" s="93" t="s">
        <v>24</v>
      </c>
      <c r="E502" s="93" t="s">
        <v>24</v>
      </c>
      <c r="F502" s="93" t="s">
        <v>7</v>
      </c>
      <c r="G502" s="93" t="s">
        <v>7185</v>
      </c>
      <c r="H502" s="93" t="s">
        <v>400</v>
      </c>
      <c r="I502" s="93" t="s">
        <v>111</v>
      </c>
      <c r="J502" s="93" t="s">
        <v>7105</v>
      </c>
      <c r="K502" s="93" t="s">
        <v>111</v>
      </c>
      <c r="L502" s="93" t="s">
        <v>111</v>
      </c>
      <c r="M502" s="93" t="s">
        <v>111</v>
      </c>
      <c r="N502" s="93" t="s">
        <v>111</v>
      </c>
      <c r="O502" s="93" t="s">
        <v>111</v>
      </c>
      <c r="P502" s="93" t="s">
        <v>111</v>
      </c>
      <c r="Q502" s="93" t="s">
        <v>228</v>
      </c>
      <c r="R502" s="93" t="s">
        <v>111</v>
      </c>
      <c r="S502" s="93" t="s">
        <v>115</v>
      </c>
      <c r="T502" s="93" t="s">
        <v>116</v>
      </c>
      <c r="U502" s="94">
        <v>44610.097222222219</v>
      </c>
      <c r="V502" s="93" t="s">
        <v>7336</v>
      </c>
      <c r="W502" s="93" t="s">
        <v>24</v>
      </c>
    </row>
    <row r="503" spans="1:23" x14ac:dyDescent="0.15">
      <c r="A503" s="93" t="s">
        <v>6075</v>
      </c>
      <c r="B503" s="93" t="s">
        <v>7448</v>
      </c>
      <c r="C503" s="93">
        <v>21</v>
      </c>
      <c r="D503" s="93" t="s">
        <v>24</v>
      </c>
      <c r="E503" s="93" t="s">
        <v>24</v>
      </c>
      <c r="F503" s="93" t="s">
        <v>7</v>
      </c>
      <c r="G503" s="93" t="s">
        <v>7185</v>
      </c>
      <c r="H503" s="93" t="s">
        <v>400</v>
      </c>
      <c r="I503" s="93" t="s">
        <v>111</v>
      </c>
      <c r="J503" s="93" t="s">
        <v>7105</v>
      </c>
      <c r="K503" s="93" t="s">
        <v>111</v>
      </c>
      <c r="L503" s="93" t="s">
        <v>111</v>
      </c>
      <c r="M503" s="93" t="s">
        <v>111</v>
      </c>
      <c r="N503" s="93" t="s">
        <v>111</v>
      </c>
      <c r="O503" s="93" t="s">
        <v>111</v>
      </c>
      <c r="P503" s="93" t="s">
        <v>111</v>
      </c>
      <c r="Q503" s="93" t="s">
        <v>228</v>
      </c>
      <c r="R503" s="93" t="s">
        <v>111</v>
      </c>
      <c r="S503" s="93" t="s">
        <v>115</v>
      </c>
      <c r="T503" s="93" t="s">
        <v>116</v>
      </c>
      <c r="U503" s="94">
        <v>44610.079861111109</v>
      </c>
      <c r="V503" s="93" t="s">
        <v>7336</v>
      </c>
      <c r="W503" s="93" t="s">
        <v>24</v>
      </c>
    </row>
    <row r="504" spans="1:23" x14ac:dyDescent="0.15">
      <c r="A504" s="93" t="s">
        <v>6076</v>
      </c>
      <c r="B504" s="93" t="s">
        <v>7449</v>
      </c>
      <c r="C504" s="93">
        <v>32</v>
      </c>
      <c r="D504" s="93" t="s">
        <v>24</v>
      </c>
      <c r="E504" s="93" t="s">
        <v>24</v>
      </c>
      <c r="F504" s="93" t="s">
        <v>7</v>
      </c>
      <c r="G504" s="93" t="s">
        <v>7185</v>
      </c>
      <c r="H504" s="93" t="s">
        <v>400</v>
      </c>
      <c r="I504" s="93" t="s">
        <v>111</v>
      </c>
      <c r="J504" s="93" t="s">
        <v>7105</v>
      </c>
      <c r="K504" s="93" t="s">
        <v>111</v>
      </c>
      <c r="L504" s="93" t="s">
        <v>111</v>
      </c>
      <c r="M504" s="93" t="s">
        <v>111</v>
      </c>
      <c r="N504" s="93" t="s">
        <v>111</v>
      </c>
      <c r="O504" s="93" t="s">
        <v>111</v>
      </c>
      <c r="P504" s="93" t="s">
        <v>111</v>
      </c>
      <c r="Q504" s="93" t="s">
        <v>228</v>
      </c>
      <c r="R504" s="93" t="s">
        <v>111</v>
      </c>
      <c r="S504" s="93" t="s">
        <v>115</v>
      </c>
      <c r="T504" s="93" t="s">
        <v>116</v>
      </c>
      <c r="U504" s="94">
        <v>44609.256944444445</v>
      </c>
      <c r="V504" s="93" t="s">
        <v>7336</v>
      </c>
      <c r="W504" s="93" t="s">
        <v>24</v>
      </c>
    </row>
    <row r="505" spans="1:23" x14ac:dyDescent="0.15">
      <c r="A505" s="93" t="s">
        <v>6529</v>
      </c>
      <c r="B505" s="93" t="s">
        <v>6530</v>
      </c>
      <c r="C505" s="93">
        <v>13</v>
      </c>
      <c r="D505" s="93" t="s">
        <v>24</v>
      </c>
      <c r="E505" s="93" t="s">
        <v>24</v>
      </c>
      <c r="F505" s="93" t="s">
        <v>7</v>
      </c>
      <c r="G505" s="93" t="s">
        <v>7185</v>
      </c>
      <c r="H505" s="93" t="s">
        <v>400</v>
      </c>
      <c r="I505" s="93" t="s">
        <v>111</v>
      </c>
      <c r="J505" s="93" t="s">
        <v>118</v>
      </c>
      <c r="K505" s="93">
        <v>3</v>
      </c>
      <c r="L505" s="93" t="s">
        <v>111</v>
      </c>
      <c r="M505" s="93" t="s">
        <v>111</v>
      </c>
      <c r="N505" s="93" t="s">
        <v>111</v>
      </c>
      <c r="O505" s="93" t="s">
        <v>111</v>
      </c>
      <c r="P505" s="93" t="s">
        <v>111</v>
      </c>
      <c r="Q505" s="93" t="s">
        <v>228</v>
      </c>
      <c r="R505" s="93" t="s">
        <v>2</v>
      </c>
      <c r="S505" s="93" t="s">
        <v>115</v>
      </c>
      <c r="T505" s="93" t="s">
        <v>116</v>
      </c>
      <c r="U505" s="94">
        <v>44596.558333333334</v>
      </c>
      <c r="V505" s="93" t="s">
        <v>7336</v>
      </c>
      <c r="W505" s="93" t="s">
        <v>24</v>
      </c>
    </row>
    <row r="506" spans="1:23" x14ac:dyDescent="0.15">
      <c r="A506" s="93" t="s">
        <v>6531</v>
      </c>
      <c r="B506" s="93" t="s">
        <v>6532</v>
      </c>
      <c r="C506" s="93">
        <v>34</v>
      </c>
      <c r="D506" s="93" t="s">
        <v>24</v>
      </c>
      <c r="E506" s="93" t="s">
        <v>24</v>
      </c>
      <c r="F506" s="93" t="s">
        <v>7</v>
      </c>
      <c r="G506" s="93" t="s">
        <v>7185</v>
      </c>
      <c r="H506" s="93" t="s">
        <v>400</v>
      </c>
      <c r="I506" s="93" t="s">
        <v>111</v>
      </c>
      <c r="J506" s="93" t="s">
        <v>118</v>
      </c>
      <c r="K506" s="93">
        <v>3</v>
      </c>
      <c r="L506" s="93" t="s">
        <v>111</v>
      </c>
      <c r="M506" s="93" t="s">
        <v>111</v>
      </c>
      <c r="N506" s="93" t="s">
        <v>111</v>
      </c>
      <c r="O506" s="93" t="s">
        <v>111</v>
      </c>
      <c r="P506" s="93" t="s">
        <v>111</v>
      </c>
      <c r="Q506" s="93" t="s">
        <v>228</v>
      </c>
      <c r="R506" s="93" t="s">
        <v>2</v>
      </c>
      <c r="S506" s="93" t="s">
        <v>115</v>
      </c>
      <c r="T506" s="93" t="s">
        <v>116</v>
      </c>
      <c r="U506" s="94">
        <v>44596.563194444447</v>
      </c>
      <c r="V506" s="93" t="s">
        <v>7336</v>
      </c>
      <c r="W506" s="93" t="s">
        <v>24</v>
      </c>
    </row>
    <row r="507" spans="1:23" x14ac:dyDescent="0.15">
      <c r="A507" s="93" t="s">
        <v>6533</v>
      </c>
      <c r="B507" s="93" t="s">
        <v>6534</v>
      </c>
      <c r="C507" s="93">
        <v>52</v>
      </c>
      <c r="D507" s="93" t="s">
        <v>24</v>
      </c>
      <c r="E507" s="93" t="s">
        <v>24</v>
      </c>
      <c r="F507" s="93" t="s">
        <v>7</v>
      </c>
      <c r="G507" s="93" t="s">
        <v>7185</v>
      </c>
      <c r="H507" s="93" t="s">
        <v>400</v>
      </c>
      <c r="I507" s="93" t="s">
        <v>111</v>
      </c>
      <c r="J507" s="93" t="s">
        <v>118</v>
      </c>
      <c r="K507" s="93">
        <v>3</v>
      </c>
      <c r="L507" s="93" t="s">
        <v>111</v>
      </c>
      <c r="M507" s="93" t="s">
        <v>111</v>
      </c>
      <c r="N507" s="93" t="s">
        <v>111</v>
      </c>
      <c r="O507" s="93" t="s">
        <v>111</v>
      </c>
      <c r="P507" s="93" t="s">
        <v>111</v>
      </c>
      <c r="Q507" s="93" t="s">
        <v>228</v>
      </c>
      <c r="R507" s="93" t="s">
        <v>2</v>
      </c>
      <c r="S507" s="93" t="s">
        <v>115</v>
      </c>
      <c r="T507" s="93" t="s">
        <v>116</v>
      </c>
      <c r="U507" s="94">
        <v>44596.599305555559</v>
      </c>
      <c r="V507" s="93" t="s">
        <v>7336</v>
      </c>
      <c r="W507" s="93" t="s">
        <v>24</v>
      </c>
    </row>
    <row r="508" spans="1:23" x14ac:dyDescent="0.15">
      <c r="A508" s="93" t="s">
        <v>6071</v>
      </c>
      <c r="B508" s="93" t="s">
        <v>6523</v>
      </c>
      <c r="C508" s="93">
        <v>22</v>
      </c>
      <c r="D508" s="93" t="s">
        <v>24</v>
      </c>
      <c r="E508" s="93" t="s">
        <v>24</v>
      </c>
      <c r="F508" s="93" t="s">
        <v>7</v>
      </c>
      <c r="G508" s="93" t="s">
        <v>7185</v>
      </c>
      <c r="H508" s="93" t="s">
        <v>400</v>
      </c>
      <c r="I508" s="93" t="s">
        <v>111</v>
      </c>
      <c r="J508" s="93" t="s">
        <v>7105</v>
      </c>
      <c r="K508" s="93" t="s">
        <v>111</v>
      </c>
      <c r="L508" s="93" t="s">
        <v>111</v>
      </c>
      <c r="M508" s="93" t="s">
        <v>111</v>
      </c>
      <c r="N508" s="93" t="s">
        <v>111</v>
      </c>
      <c r="O508" s="93" t="s">
        <v>111</v>
      </c>
      <c r="P508" s="93" t="s">
        <v>111</v>
      </c>
      <c r="Q508" s="93" t="s">
        <v>228</v>
      </c>
      <c r="R508" s="93" t="s">
        <v>111</v>
      </c>
      <c r="S508" s="93" t="s">
        <v>115</v>
      </c>
      <c r="T508" s="93" t="s">
        <v>116</v>
      </c>
      <c r="U508" s="94">
        <v>44610.112500000003</v>
      </c>
      <c r="V508" s="93" t="s">
        <v>7336</v>
      </c>
      <c r="W508" s="93" t="s">
        <v>24</v>
      </c>
    </row>
    <row r="509" spans="1:23" x14ac:dyDescent="0.15">
      <c r="A509" s="93" t="s">
        <v>6072</v>
      </c>
      <c r="B509" s="93" t="s">
        <v>7450</v>
      </c>
      <c r="C509" s="93">
        <v>57</v>
      </c>
      <c r="D509" s="93" t="s">
        <v>24</v>
      </c>
      <c r="E509" s="93" t="s">
        <v>24</v>
      </c>
      <c r="F509" s="93" t="s">
        <v>7</v>
      </c>
      <c r="G509" s="93" t="s">
        <v>7185</v>
      </c>
      <c r="H509" s="93" t="s">
        <v>400</v>
      </c>
      <c r="I509" s="93" t="s">
        <v>111</v>
      </c>
      <c r="J509" s="93" t="s">
        <v>7105</v>
      </c>
      <c r="K509" s="93" t="s">
        <v>111</v>
      </c>
      <c r="L509" s="93" t="s">
        <v>111</v>
      </c>
      <c r="M509" s="93" t="s">
        <v>111</v>
      </c>
      <c r="N509" s="93" t="s">
        <v>111</v>
      </c>
      <c r="O509" s="93" t="s">
        <v>111</v>
      </c>
      <c r="P509" s="93" t="s">
        <v>111</v>
      </c>
      <c r="Q509" s="93" t="s">
        <v>228</v>
      </c>
      <c r="R509" s="93" t="s">
        <v>111</v>
      </c>
      <c r="S509" s="93" t="s">
        <v>115</v>
      </c>
      <c r="T509" s="93" t="s">
        <v>116</v>
      </c>
      <c r="U509" s="94">
        <v>44610.070833333331</v>
      </c>
      <c r="V509" s="93" t="s">
        <v>7336</v>
      </c>
      <c r="W509" s="93" t="s">
        <v>24</v>
      </c>
    </row>
    <row r="510" spans="1:23" x14ac:dyDescent="0.15">
      <c r="A510" s="93" t="s">
        <v>6073</v>
      </c>
      <c r="B510" s="93" t="s">
        <v>7451</v>
      </c>
      <c r="C510" s="93">
        <v>88</v>
      </c>
      <c r="D510" s="93" t="s">
        <v>24</v>
      </c>
      <c r="E510" s="93" t="s">
        <v>24</v>
      </c>
      <c r="F510" s="93" t="s">
        <v>7</v>
      </c>
      <c r="G510" s="93" t="s">
        <v>7185</v>
      </c>
      <c r="H510" s="93" t="s">
        <v>400</v>
      </c>
      <c r="I510" s="93" t="s">
        <v>111</v>
      </c>
      <c r="J510" s="93" t="s">
        <v>7105</v>
      </c>
      <c r="K510" s="93" t="s">
        <v>111</v>
      </c>
      <c r="L510" s="93" t="s">
        <v>111</v>
      </c>
      <c r="M510" s="93" t="s">
        <v>111</v>
      </c>
      <c r="N510" s="93" t="s">
        <v>111</v>
      </c>
      <c r="O510" s="93" t="s">
        <v>111</v>
      </c>
      <c r="P510" s="93" t="s">
        <v>111</v>
      </c>
      <c r="Q510" s="93" t="s">
        <v>228</v>
      </c>
      <c r="R510" s="93" t="s">
        <v>111</v>
      </c>
      <c r="S510" s="93" t="s">
        <v>115</v>
      </c>
      <c r="T510" s="93" t="s">
        <v>116</v>
      </c>
      <c r="U510" s="94">
        <v>44609.256249999999</v>
      </c>
      <c r="V510" s="93" t="s">
        <v>7336</v>
      </c>
      <c r="W510" s="93" t="s">
        <v>24</v>
      </c>
    </row>
    <row r="511" spans="1:23" x14ac:dyDescent="0.15">
      <c r="A511" s="93" t="s">
        <v>7452</v>
      </c>
      <c r="B511" s="93" t="s">
        <v>819</v>
      </c>
      <c r="C511" s="93">
        <v>124.95</v>
      </c>
      <c r="D511" s="93" t="s">
        <v>24</v>
      </c>
      <c r="E511" s="93" t="s">
        <v>24</v>
      </c>
      <c r="F511" s="93" t="s">
        <v>7</v>
      </c>
      <c r="G511" s="93" t="s">
        <v>7185</v>
      </c>
      <c r="H511" s="93" t="s">
        <v>400</v>
      </c>
      <c r="I511" s="93" t="s">
        <v>111</v>
      </c>
      <c r="J511" s="93" t="s">
        <v>7105</v>
      </c>
      <c r="K511" s="93" t="s">
        <v>111</v>
      </c>
      <c r="L511" s="93" t="s">
        <v>111</v>
      </c>
      <c r="M511" s="93" t="s">
        <v>111</v>
      </c>
      <c r="N511" s="93" t="s">
        <v>111</v>
      </c>
      <c r="O511" s="93" t="s">
        <v>111</v>
      </c>
      <c r="P511" s="93" t="s">
        <v>111</v>
      </c>
      <c r="Q511" s="93" t="s">
        <v>111</v>
      </c>
      <c r="R511" s="93" t="s">
        <v>2</v>
      </c>
      <c r="S511" s="93" t="s">
        <v>111</v>
      </c>
      <c r="T511" s="93" t="s">
        <v>116</v>
      </c>
      <c r="U511" s="94">
        <v>44596.5625</v>
      </c>
      <c r="V511" s="93" t="s">
        <v>402</v>
      </c>
      <c r="W511" s="93" t="s">
        <v>24</v>
      </c>
    </row>
    <row r="512" spans="1:23" x14ac:dyDescent="0.15">
      <c r="A512" s="93" t="s">
        <v>7453</v>
      </c>
      <c r="B512" s="93" t="s">
        <v>820</v>
      </c>
      <c r="C512" s="93">
        <v>249.9</v>
      </c>
      <c r="D512" s="93" t="s">
        <v>24</v>
      </c>
      <c r="E512" s="93" t="s">
        <v>24</v>
      </c>
      <c r="F512" s="93" t="s">
        <v>7</v>
      </c>
      <c r="G512" s="93" t="s">
        <v>7185</v>
      </c>
      <c r="H512" s="93" t="s">
        <v>400</v>
      </c>
      <c r="I512" s="93" t="s">
        <v>111</v>
      </c>
      <c r="J512" s="93" t="s">
        <v>7105</v>
      </c>
      <c r="K512" s="93" t="s">
        <v>111</v>
      </c>
      <c r="L512" s="93" t="s">
        <v>111</v>
      </c>
      <c r="M512" s="93" t="s">
        <v>111</v>
      </c>
      <c r="N512" s="93" t="s">
        <v>111</v>
      </c>
      <c r="O512" s="93" t="s">
        <v>111</v>
      </c>
      <c r="P512" s="93" t="s">
        <v>111</v>
      </c>
      <c r="Q512" s="93" t="s">
        <v>111</v>
      </c>
      <c r="R512" s="93" t="s">
        <v>2</v>
      </c>
      <c r="S512" s="93" t="s">
        <v>111</v>
      </c>
      <c r="T512" s="93" t="s">
        <v>116</v>
      </c>
      <c r="U512" s="94">
        <v>44596.613888888889</v>
      </c>
      <c r="V512" s="93" t="s">
        <v>402</v>
      </c>
      <c r="W512" s="93" t="s">
        <v>24</v>
      </c>
    </row>
    <row r="513" spans="1:23" x14ac:dyDescent="0.15">
      <c r="A513" s="93" t="s">
        <v>7454</v>
      </c>
      <c r="B513" s="93" t="s">
        <v>822</v>
      </c>
      <c r="C513" s="93">
        <v>290.7</v>
      </c>
      <c r="D513" s="93" t="s">
        <v>24</v>
      </c>
      <c r="E513" s="93" t="s">
        <v>24</v>
      </c>
      <c r="F513" s="93" t="s">
        <v>7</v>
      </c>
      <c r="G513" s="93" t="s">
        <v>7185</v>
      </c>
      <c r="H513" s="93" t="s">
        <v>400</v>
      </c>
      <c r="I513" s="93" t="s">
        <v>111</v>
      </c>
      <c r="J513" s="93" t="s">
        <v>7105</v>
      </c>
      <c r="K513" s="93" t="s">
        <v>111</v>
      </c>
      <c r="L513" s="93" t="s">
        <v>111</v>
      </c>
      <c r="M513" s="93" t="s">
        <v>111</v>
      </c>
      <c r="N513" s="93" t="s">
        <v>111</v>
      </c>
      <c r="O513" s="93" t="s">
        <v>111</v>
      </c>
      <c r="P513" s="93" t="s">
        <v>111</v>
      </c>
      <c r="Q513" s="93" t="s">
        <v>111</v>
      </c>
      <c r="R513" s="93" t="s">
        <v>2</v>
      </c>
      <c r="S513" s="93" t="s">
        <v>111</v>
      </c>
      <c r="T513" s="93" t="s">
        <v>116</v>
      </c>
      <c r="U513" s="94">
        <v>44596.606944444444</v>
      </c>
      <c r="V513" s="93" t="s">
        <v>402</v>
      </c>
      <c r="W513" s="93" t="s">
        <v>24</v>
      </c>
    </row>
    <row r="514" spans="1:23" x14ac:dyDescent="0.15">
      <c r="A514" s="93" t="s">
        <v>7455</v>
      </c>
      <c r="B514" s="93" t="s">
        <v>809</v>
      </c>
      <c r="C514" s="93">
        <v>68</v>
      </c>
      <c r="D514" s="93" t="s">
        <v>24</v>
      </c>
      <c r="E514" s="93" t="s">
        <v>24</v>
      </c>
      <c r="F514" s="93" t="s">
        <v>7</v>
      </c>
      <c r="G514" s="93" t="s">
        <v>7185</v>
      </c>
      <c r="H514" s="93" t="s">
        <v>400</v>
      </c>
      <c r="I514" s="93" t="s">
        <v>111</v>
      </c>
      <c r="J514" s="93" t="s">
        <v>7105</v>
      </c>
      <c r="K514" s="93" t="s">
        <v>111</v>
      </c>
      <c r="L514" s="93" t="s">
        <v>111</v>
      </c>
      <c r="M514" s="93" t="s">
        <v>111</v>
      </c>
      <c r="N514" s="93" t="s">
        <v>111</v>
      </c>
      <c r="O514" s="93" t="s">
        <v>111</v>
      </c>
      <c r="P514" s="93" t="s">
        <v>111</v>
      </c>
      <c r="Q514" s="93" t="s">
        <v>111</v>
      </c>
      <c r="R514" s="93" t="s">
        <v>2</v>
      </c>
      <c r="S514" s="93" t="s">
        <v>111</v>
      </c>
      <c r="T514" s="93" t="s">
        <v>116</v>
      </c>
      <c r="U514" s="94">
        <v>44596.57916666667</v>
      </c>
      <c r="V514" s="93" t="s">
        <v>402</v>
      </c>
      <c r="W514" s="93" t="s">
        <v>24</v>
      </c>
    </row>
    <row r="515" spans="1:23" x14ac:dyDescent="0.15">
      <c r="A515" s="93" t="s">
        <v>7456</v>
      </c>
      <c r="B515" s="93" t="s">
        <v>826</v>
      </c>
      <c r="C515" s="93">
        <v>173.4</v>
      </c>
      <c r="D515" s="93" t="s">
        <v>24</v>
      </c>
      <c r="E515" s="93" t="s">
        <v>24</v>
      </c>
      <c r="F515" s="93" t="s">
        <v>7</v>
      </c>
      <c r="G515" s="93" t="s">
        <v>7185</v>
      </c>
      <c r="H515" s="93" t="s">
        <v>400</v>
      </c>
      <c r="I515" s="93" t="s">
        <v>111</v>
      </c>
      <c r="J515" s="93" t="s">
        <v>7105</v>
      </c>
      <c r="K515" s="93" t="s">
        <v>111</v>
      </c>
      <c r="L515" s="93" t="s">
        <v>111</v>
      </c>
      <c r="M515" s="93" t="s">
        <v>111</v>
      </c>
      <c r="N515" s="93" t="s">
        <v>111</v>
      </c>
      <c r="O515" s="93" t="s">
        <v>111</v>
      </c>
      <c r="P515" s="93" t="s">
        <v>111</v>
      </c>
      <c r="Q515" s="93" t="s">
        <v>111</v>
      </c>
      <c r="R515" s="93" t="s">
        <v>2</v>
      </c>
      <c r="S515" s="93" t="s">
        <v>111</v>
      </c>
      <c r="T515" s="93" t="s">
        <v>116</v>
      </c>
      <c r="U515" s="94">
        <v>44596.57916666667</v>
      </c>
      <c r="V515" s="93" t="s">
        <v>402</v>
      </c>
      <c r="W515" s="93" t="s">
        <v>24</v>
      </c>
    </row>
    <row r="516" spans="1:23" x14ac:dyDescent="0.15">
      <c r="A516" s="93" t="s">
        <v>7457</v>
      </c>
      <c r="B516" s="93" t="s">
        <v>810</v>
      </c>
      <c r="C516" s="93">
        <v>88</v>
      </c>
      <c r="D516" s="93" t="s">
        <v>24</v>
      </c>
      <c r="E516" s="93" t="s">
        <v>24</v>
      </c>
      <c r="F516" s="93" t="s">
        <v>7</v>
      </c>
      <c r="G516" s="93" t="s">
        <v>7185</v>
      </c>
      <c r="H516" s="93" t="s">
        <v>400</v>
      </c>
      <c r="I516" s="93" t="s">
        <v>111</v>
      </c>
      <c r="J516" s="93" t="s">
        <v>7105</v>
      </c>
      <c r="K516" s="93" t="s">
        <v>111</v>
      </c>
      <c r="L516" s="93" t="s">
        <v>111</v>
      </c>
      <c r="M516" s="93" t="s">
        <v>111</v>
      </c>
      <c r="N516" s="93" t="s">
        <v>111</v>
      </c>
      <c r="O516" s="93" t="s">
        <v>111</v>
      </c>
      <c r="P516" s="93" t="s">
        <v>111</v>
      </c>
      <c r="Q516" s="93" t="s">
        <v>111</v>
      </c>
      <c r="R516" s="93" t="s">
        <v>2</v>
      </c>
      <c r="S516" s="93" t="s">
        <v>111</v>
      </c>
      <c r="T516" s="93" t="s">
        <v>116</v>
      </c>
      <c r="U516" s="94">
        <v>44596.606249999997</v>
      </c>
      <c r="V516" s="93" t="s">
        <v>402</v>
      </c>
      <c r="W516" s="93" t="s">
        <v>24</v>
      </c>
    </row>
    <row r="517" spans="1:23" x14ac:dyDescent="0.15">
      <c r="A517" s="93" t="s">
        <v>7458</v>
      </c>
      <c r="B517" s="93" t="s">
        <v>828</v>
      </c>
      <c r="C517" s="93">
        <v>224.4</v>
      </c>
      <c r="D517" s="93" t="s">
        <v>24</v>
      </c>
      <c r="E517" s="93" t="s">
        <v>24</v>
      </c>
      <c r="F517" s="93" t="s">
        <v>7</v>
      </c>
      <c r="G517" s="93" t="s">
        <v>7185</v>
      </c>
      <c r="H517" s="93" t="s">
        <v>400</v>
      </c>
      <c r="I517" s="93" t="s">
        <v>111</v>
      </c>
      <c r="J517" s="93" t="s">
        <v>7105</v>
      </c>
      <c r="K517" s="93" t="s">
        <v>111</v>
      </c>
      <c r="L517" s="93" t="s">
        <v>111</v>
      </c>
      <c r="M517" s="93" t="s">
        <v>111</v>
      </c>
      <c r="N517" s="93" t="s">
        <v>111</v>
      </c>
      <c r="O517" s="93" t="s">
        <v>111</v>
      </c>
      <c r="P517" s="93" t="s">
        <v>111</v>
      </c>
      <c r="Q517" s="93" t="s">
        <v>111</v>
      </c>
      <c r="R517" s="93" t="s">
        <v>2</v>
      </c>
      <c r="S517" s="93" t="s">
        <v>111</v>
      </c>
      <c r="T517" s="93" t="s">
        <v>116</v>
      </c>
      <c r="U517" s="94">
        <v>44596.584027777775</v>
      </c>
      <c r="V517" s="93" t="s">
        <v>402</v>
      </c>
      <c r="W517" s="93" t="s">
        <v>24</v>
      </c>
    </row>
    <row r="518" spans="1:23" x14ac:dyDescent="0.15">
      <c r="A518" s="93" t="s">
        <v>7459</v>
      </c>
      <c r="B518" s="93" t="s">
        <v>830</v>
      </c>
      <c r="C518" s="93">
        <v>165.75</v>
      </c>
      <c r="D518" s="93" t="s">
        <v>24</v>
      </c>
      <c r="E518" s="93" t="s">
        <v>24</v>
      </c>
      <c r="F518" s="93" t="s">
        <v>7</v>
      </c>
      <c r="G518" s="93" t="s">
        <v>7185</v>
      </c>
      <c r="H518" s="93" t="s">
        <v>400</v>
      </c>
      <c r="I518" s="93" t="s">
        <v>111</v>
      </c>
      <c r="J518" s="93" t="s">
        <v>7105</v>
      </c>
      <c r="K518" s="93" t="s">
        <v>111</v>
      </c>
      <c r="L518" s="93" t="s">
        <v>111</v>
      </c>
      <c r="M518" s="93" t="s">
        <v>111</v>
      </c>
      <c r="N518" s="93" t="s">
        <v>111</v>
      </c>
      <c r="O518" s="93" t="s">
        <v>111</v>
      </c>
      <c r="P518" s="93" t="s">
        <v>111</v>
      </c>
      <c r="Q518" s="93" t="s">
        <v>111</v>
      </c>
      <c r="R518" s="93" t="s">
        <v>2</v>
      </c>
      <c r="S518" s="93" t="s">
        <v>111</v>
      </c>
      <c r="T518" s="93" t="s">
        <v>116</v>
      </c>
      <c r="U518" s="94">
        <v>44596.57916666667</v>
      </c>
      <c r="V518" s="93" t="s">
        <v>402</v>
      </c>
      <c r="W518" s="93" t="s">
        <v>24</v>
      </c>
    </row>
    <row r="519" spans="1:23" x14ac:dyDescent="0.15">
      <c r="A519" s="93" t="s">
        <v>7460</v>
      </c>
      <c r="B519" s="93" t="s">
        <v>832</v>
      </c>
      <c r="C519" s="93">
        <v>283.05</v>
      </c>
      <c r="D519" s="93" t="s">
        <v>24</v>
      </c>
      <c r="E519" s="93" t="s">
        <v>24</v>
      </c>
      <c r="F519" s="93" t="s">
        <v>7</v>
      </c>
      <c r="G519" s="93" t="s">
        <v>7185</v>
      </c>
      <c r="H519" s="93" t="s">
        <v>400</v>
      </c>
      <c r="I519" s="93" t="s">
        <v>111</v>
      </c>
      <c r="J519" s="93" t="s">
        <v>7105</v>
      </c>
      <c r="K519" s="93" t="s">
        <v>111</v>
      </c>
      <c r="L519" s="93" t="s">
        <v>111</v>
      </c>
      <c r="M519" s="93" t="s">
        <v>111</v>
      </c>
      <c r="N519" s="93" t="s">
        <v>111</v>
      </c>
      <c r="O519" s="93" t="s">
        <v>111</v>
      </c>
      <c r="P519" s="93" t="s">
        <v>111</v>
      </c>
      <c r="Q519" s="93" t="s">
        <v>111</v>
      </c>
      <c r="R519" s="93" t="s">
        <v>2</v>
      </c>
      <c r="S519" s="93" t="s">
        <v>111</v>
      </c>
      <c r="T519" s="93" t="s">
        <v>116</v>
      </c>
      <c r="U519" s="94">
        <v>44596.571527777778</v>
      </c>
      <c r="V519" s="93" t="s">
        <v>402</v>
      </c>
      <c r="W519" s="93" t="s">
        <v>24</v>
      </c>
    </row>
    <row r="520" spans="1:23" x14ac:dyDescent="0.15">
      <c r="A520" s="93" t="s">
        <v>7461</v>
      </c>
      <c r="B520" s="93" t="s">
        <v>834</v>
      </c>
      <c r="C520" s="93">
        <v>290.7</v>
      </c>
      <c r="D520" s="93" t="s">
        <v>24</v>
      </c>
      <c r="E520" s="93" t="s">
        <v>24</v>
      </c>
      <c r="F520" s="93" t="s">
        <v>7</v>
      </c>
      <c r="G520" s="93" t="s">
        <v>7185</v>
      </c>
      <c r="H520" s="93" t="s">
        <v>400</v>
      </c>
      <c r="I520" s="93" t="s">
        <v>111</v>
      </c>
      <c r="J520" s="93" t="s">
        <v>7105</v>
      </c>
      <c r="K520" s="93" t="s">
        <v>111</v>
      </c>
      <c r="L520" s="93" t="s">
        <v>111</v>
      </c>
      <c r="M520" s="93" t="s">
        <v>111</v>
      </c>
      <c r="N520" s="93" t="s">
        <v>111</v>
      </c>
      <c r="O520" s="93" t="s">
        <v>111</v>
      </c>
      <c r="P520" s="93" t="s">
        <v>111</v>
      </c>
      <c r="Q520" s="93" t="s">
        <v>111</v>
      </c>
      <c r="R520" s="93" t="s">
        <v>2</v>
      </c>
      <c r="S520" s="93" t="s">
        <v>111</v>
      </c>
      <c r="T520" s="93" t="s">
        <v>116</v>
      </c>
      <c r="U520" s="94">
        <v>44596.557638888888</v>
      </c>
      <c r="V520" s="93" t="s">
        <v>402</v>
      </c>
      <c r="W520" s="93" t="s">
        <v>24</v>
      </c>
    </row>
    <row r="521" spans="1:23" x14ac:dyDescent="0.15">
      <c r="A521" s="93" t="s">
        <v>7462</v>
      </c>
      <c r="B521" s="93" t="s">
        <v>836</v>
      </c>
      <c r="C521" s="93">
        <v>326.39999999999998</v>
      </c>
      <c r="D521" s="93" t="s">
        <v>24</v>
      </c>
      <c r="E521" s="93" t="s">
        <v>24</v>
      </c>
      <c r="F521" s="93" t="s">
        <v>7</v>
      </c>
      <c r="G521" s="93" t="s">
        <v>7185</v>
      </c>
      <c r="H521" s="93" t="s">
        <v>400</v>
      </c>
      <c r="I521" s="93" t="s">
        <v>111</v>
      </c>
      <c r="J521" s="93" t="s">
        <v>7105</v>
      </c>
      <c r="K521" s="93" t="s">
        <v>111</v>
      </c>
      <c r="L521" s="93" t="s">
        <v>111</v>
      </c>
      <c r="M521" s="93" t="s">
        <v>111</v>
      </c>
      <c r="N521" s="93" t="s">
        <v>111</v>
      </c>
      <c r="O521" s="93" t="s">
        <v>111</v>
      </c>
      <c r="P521" s="93" t="s">
        <v>111</v>
      </c>
      <c r="Q521" s="93" t="s">
        <v>111</v>
      </c>
      <c r="R521" s="93" t="s">
        <v>2</v>
      </c>
      <c r="S521" s="93" t="s">
        <v>111</v>
      </c>
      <c r="T521" s="93" t="s">
        <v>116</v>
      </c>
      <c r="U521" s="94">
        <v>44596.571527777778</v>
      </c>
      <c r="V521" s="93" t="s">
        <v>402</v>
      </c>
      <c r="W521" s="93" t="s">
        <v>24</v>
      </c>
    </row>
    <row r="522" spans="1:23" x14ac:dyDescent="0.15">
      <c r="A522" s="93" t="s">
        <v>7463</v>
      </c>
      <c r="B522" s="93" t="s">
        <v>838</v>
      </c>
      <c r="C522" s="93">
        <v>550.79999999999995</v>
      </c>
      <c r="D522" s="93" t="s">
        <v>24</v>
      </c>
      <c r="E522" s="93" t="s">
        <v>24</v>
      </c>
      <c r="F522" s="93" t="s">
        <v>7</v>
      </c>
      <c r="G522" s="93" t="s">
        <v>7185</v>
      </c>
      <c r="H522" s="93" t="s">
        <v>400</v>
      </c>
      <c r="I522" s="93" t="s">
        <v>111</v>
      </c>
      <c r="J522" s="93" t="s">
        <v>7105</v>
      </c>
      <c r="K522" s="93" t="s">
        <v>111</v>
      </c>
      <c r="L522" s="93" t="s">
        <v>111</v>
      </c>
      <c r="M522" s="93" t="s">
        <v>111</v>
      </c>
      <c r="N522" s="93" t="s">
        <v>111</v>
      </c>
      <c r="O522" s="93" t="s">
        <v>111</v>
      </c>
      <c r="P522" s="93" t="s">
        <v>111</v>
      </c>
      <c r="Q522" s="93" t="s">
        <v>111</v>
      </c>
      <c r="R522" s="93" t="s">
        <v>2</v>
      </c>
      <c r="S522" s="93" t="s">
        <v>111</v>
      </c>
      <c r="T522" s="93" t="s">
        <v>116</v>
      </c>
      <c r="U522" s="94">
        <v>44596.566666666666</v>
      </c>
      <c r="V522" s="93" t="s">
        <v>402</v>
      </c>
      <c r="W522" s="93" t="s">
        <v>24</v>
      </c>
    </row>
    <row r="523" spans="1:23" x14ac:dyDescent="0.15">
      <c r="A523" s="93" t="s">
        <v>7464</v>
      </c>
      <c r="B523" s="93" t="s">
        <v>840</v>
      </c>
      <c r="C523" s="93">
        <v>58.65</v>
      </c>
      <c r="D523" s="93" t="s">
        <v>24</v>
      </c>
      <c r="E523" s="93" t="s">
        <v>24</v>
      </c>
      <c r="F523" s="93" t="s">
        <v>7</v>
      </c>
      <c r="G523" s="93" t="s">
        <v>7185</v>
      </c>
      <c r="H523" s="93" t="s">
        <v>400</v>
      </c>
      <c r="I523" s="93" t="s">
        <v>111</v>
      </c>
      <c r="J523" s="93" t="s">
        <v>7105</v>
      </c>
      <c r="K523" s="93" t="s">
        <v>111</v>
      </c>
      <c r="L523" s="93" t="s">
        <v>111</v>
      </c>
      <c r="M523" s="93" t="s">
        <v>111</v>
      </c>
      <c r="N523" s="93" t="s">
        <v>111</v>
      </c>
      <c r="O523" s="93" t="s">
        <v>111</v>
      </c>
      <c r="P523" s="93" t="s">
        <v>111</v>
      </c>
      <c r="Q523" s="93" t="s">
        <v>111</v>
      </c>
      <c r="R523" s="93" t="s">
        <v>2</v>
      </c>
      <c r="S523" s="93" t="s">
        <v>111</v>
      </c>
      <c r="T523" s="93" t="s">
        <v>116</v>
      </c>
      <c r="U523" s="94">
        <v>44596.584722222222</v>
      </c>
      <c r="V523" s="93" t="s">
        <v>402</v>
      </c>
      <c r="W523" s="93" t="s">
        <v>24</v>
      </c>
    </row>
    <row r="524" spans="1:23" x14ac:dyDescent="0.15">
      <c r="A524" s="93" t="s">
        <v>7465</v>
      </c>
      <c r="B524" s="93" t="s">
        <v>842</v>
      </c>
      <c r="C524" s="93">
        <v>132.6</v>
      </c>
      <c r="D524" s="93" t="s">
        <v>24</v>
      </c>
      <c r="E524" s="93" t="s">
        <v>24</v>
      </c>
      <c r="F524" s="93" t="s">
        <v>7</v>
      </c>
      <c r="G524" s="93" t="s">
        <v>7185</v>
      </c>
      <c r="H524" s="93" t="s">
        <v>400</v>
      </c>
      <c r="I524" s="93" t="s">
        <v>111</v>
      </c>
      <c r="J524" s="93" t="s">
        <v>7105</v>
      </c>
      <c r="K524" s="93" t="s">
        <v>111</v>
      </c>
      <c r="L524" s="93" t="s">
        <v>111</v>
      </c>
      <c r="M524" s="93" t="s">
        <v>111</v>
      </c>
      <c r="N524" s="93" t="s">
        <v>111</v>
      </c>
      <c r="O524" s="93" t="s">
        <v>111</v>
      </c>
      <c r="P524" s="93" t="s">
        <v>111</v>
      </c>
      <c r="Q524" s="93" t="s">
        <v>111</v>
      </c>
      <c r="R524" s="93" t="s">
        <v>2</v>
      </c>
      <c r="S524" s="93" t="s">
        <v>111</v>
      </c>
      <c r="T524" s="93" t="s">
        <v>116</v>
      </c>
      <c r="U524" s="94">
        <v>44596.57916666667</v>
      </c>
      <c r="V524" s="93" t="s">
        <v>402</v>
      </c>
      <c r="W524" s="93" t="s">
        <v>24</v>
      </c>
    </row>
    <row r="525" spans="1:23" x14ac:dyDescent="0.15">
      <c r="A525" s="93" t="s">
        <v>7466</v>
      </c>
      <c r="B525" s="93" t="s">
        <v>844</v>
      </c>
      <c r="C525" s="93">
        <v>640.04999999999995</v>
      </c>
      <c r="D525" s="93" t="s">
        <v>24</v>
      </c>
      <c r="E525" s="93" t="s">
        <v>24</v>
      </c>
      <c r="F525" s="93" t="s">
        <v>7</v>
      </c>
      <c r="G525" s="93" t="s">
        <v>7185</v>
      </c>
      <c r="H525" s="93" t="s">
        <v>400</v>
      </c>
      <c r="I525" s="93" t="s">
        <v>111</v>
      </c>
      <c r="J525" s="93" t="s">
        <v>7105</v>
      </c>
      <c r="K525" s="93" t="s">
        <v>111</v>
      </c>
      <c r="L525" s="93" t="s">
        <v>111</v>
      </c>
      <c r="M525" s="93" t="s">
        <v>111</v>
      </c>
      <c r="N525" s="93" t="s">
        <v>111</v>
      </c>
      <c r="O525" s="93" t="s">
        <v>111</v>
      </c>
      <c r="P525" s="93" t="s">
        <v>111</v>
      </c>
      <c r="Q525" s="93" t="s">
        <v>111</v>
      </c>
      <c r="R525" s="93" t="s">
        <v>2</v>
      </c>
      <c r="S525" s="93" t="s">
        <v>111</v>
      </c>
      <c r="T525" s="93" t="s">
        <v>116</v>
      </c>
      <c r="U525" s="94">
        <v>44596.613888888889</v>
      </c>
      <c r="V525" s="93" t="s">
        <v>402</v>
      </c>
      <c r="W525" s="93" t="s">
        <v>24</v>
      </c>
    </row>
    <row r="526" spans="1:23" x14ac:dyDescent="0.15">
      <c r="A526" s="93" t="s">
        <v>7467</v>
      </c>
      <c r="B526" s="93" t="s">
        <v>223</v>
      </c>
      <c r="C526" s="93">
        <v>772.65</v>
      </c>
      <c r="D526" s="93" t="s">
        <v>24</v>
      </c>
      <c r="E526" s="93" t="s">
        <v>24</v>
      </c>
      <c r="F526" s="93" t="s">
        <v>7</v>
      </c>
      <c r="G526" s="93" t="s">
        <v>7185</v>
      </c>
      <c r="H526" s="93" t="s">
        <v>400</v>
      </c>
      <c r="I526" s="93" t="s">
        <v>111</v>
      </c>
      <c r="J526" s="93" t="s">
        <v>7105</v>
      </c>
      <c r="K526" s="93" t="s">
        <v>111</v>
      </c>
      <c r="L526" s="93" t="s">
        <v>111</v>
      </c>
      <c r="M526" s="93" t="s">
        <v>111</v>
      </c>
      <c r="N526" s="93" t="s">
        <v>111</v>
      </c>
      <c r="O526" s="93" t="s">
        <v>111</v>
      </c>
      <c r="P526" s="93" t="s">
        <v>111</v>
      </c>
      <c r="Q526" s="93" t="s">
        <v>111</v>
      </c>
      <c r="R526" s="93" t="s">
        <v>2</v>
      </c>
      <c r="S526" s="93" t="s">
        <v>111</v>
      </c>
      <c r="T526" s="93" t="s">
        <v>116</v>
      </c>
      <c r="U526" s="94">
        <v>44596.584722222222</v>
      </c>
      <c r="V526" s="93" t="s">
        <v>402</v>
      </c>
      <c r="W526" s="93" t="s">
        <v>24</v>
      </c>
    </row>
    <row r="527" spans="1:23" x14ac:dyDescent="0.15">
      <c r="A527" s="93" t="s">
        <v>7468</v>
      </c>
      <c r="B527" s="93" t="s">
        <v>848</v>
      </c>
      <c r="C527" s="93">
        <v>1071</v>
      </c>
      <c r="D527" s="93" t="s">
        <v>24</v>
      </c>
      <c r="E527" s="93" t="s">
        <v>24</v>
      </c>
      <c r="F527" s="93" t="s">
        <v>7</v>
      </c>
      <c r="G527" s="93" t="s">
        <v>7185</v>
      </c>
      <c r="H527" s="93" t="s">
        <v>400</v>
      </c>
      <c r="I527" s="93" t="s">
        <v>111</v>
      </c>
      <c r="J527" s="93" t="s">
        <v>7105</v>
      </c>
      <c r="K527" s="93" t="s">
        <v>111</v>
      </c>
      <c r="L527" s="93" t="s">
        <v>111</v>
      </c>
      <c r="M527" s="93" t="s">
        <v>111</v>
      </c>
      <c r="N527" s="93" t="s">
        <v>111</v>
      </c>
      <c r="O527" s="93" t="s">
        <v>111</v>
      </c>
      <c r="P527" s="93" t="s">
        <v>111</v>
      </c>
      <c r="Q527" s="93" t="s">
        <v>111</v>
      </c>
      <c r="R527" s="93" t="s">
        <v>2</v>
      </c>
      <c r="S527" s="93" t="s">
        <v>111</v>
      </c>
      <c r="T527" s="93" t="s">
        <v>116</v>
      </c>
      <c r="U527" s="94">
        <v>44596.5625</v>
      </c>
      <c r="V527" s="93" t="s">
        <v>402</v>
      </c>
      <c r="W527" s="93" t="s">
        <v>24</v>
      </c>
    </row>
    <row r="528" spans="1:23" x14ac:dyDescent="0.15">
      <c r="A528" s="93" t="s">
        <v>7469</v>
      </c>
      <c r="B528" s="93" t="s">
        <v>857</v>
      </c>
      <c r="C528" s="93">
        <v>535.5</v>
      </c>
      <c r="D528" s="93" t="s">
        <v>24</v>
      </c>
      <c r="E528" s="93" t="s">
        <v>24</v>
      </c>
      <c r="F528" s="93" t="s">
        <v>7</v>
      </c>
      <c r="G528" s="93" t="s">
        <v>7185</v>
      </c>
      <c r="H528" s="93" t="s">
        <v>400</v>
      </c>
      <c r="I528" s="93" t="s">
        <v>111</v>
      </c>
      <c r="J528" s="93" t="s">
        <v>7105</v>
      </c>
      <c r="K528" s="93" t="s">
        <v>111</v>
      </c>
      <c r="L528" s="93" t="s">
        <v>111</v>
      </c>
      <c r="M528" s="93" t="s">
        <v>111</v>
      </c>
      <c r="N528" s="93" t="s">
        <v>111</v>
      </c>
      <c r="O528" s="93" t="s">
        <v>111</v>
      </c>
      <c r="P528" s="93" t="s">
        <v>111</v>
      </c>
      <c r="Q528" s="93" t="s">
        <v>111</v>
      </c>
      <c r="R528" s="93" t="s">
        <v>2</v>
      </c>
      <c r="S528" s="93" t="s">
        <v>111</v>
      </c>
      <c r="T528" s="93" t="s">
        <v>116</v>
      </c>
      <c r="U528" s="94">
        <v>44596.611111111109</v>
      </c>
      <c r="V528" s="93" t="s">
        <v>402</v>
      </c>
      <c r="W528" s="93" t="s">
        <v>24</v>
      </c>
    </row>
    <row r="529" spans="1:23" x14ac:dyDescent="0.15">
      <c r="A529" s="93" t="s">
        <v>231</v>
      </c>
      <c r="B529" s="93" t="s">
        <v>363</v>
      </c>
      <c r="C529" s="93">
        <v>13</v>
      </c>
      <c r="D529" s="93" t="s">
        <v>24</v>
      </c>
      <c r="E529" s="93" t="s">
        <v>24</v>
      </c>
      <c r="F529" s="93" t="s">
        <v>126</v>
      </c>
      <c r="G529" s="93" t="s">
        <v>7183</v>
      </c>
      <c r="H529" s="93" t="s">
        <v>400</v>
      </c>
      <c r="I529" s="93" t="s">
        <v>111</v>
      </c>
      <c r="J529" s="93" t="s">
        <v>7105</v>
      </c>
      <c r="K529" s="93" t="s">
        <v>111</v>
      </c>
      <c r="L529" s="93" t="s">
        <v>111</v>
      </c>
      <c r="M529" s="93" t="s">
        <v>111</v>
      </c>
      <c r="N529" s="93" t="s">
        <v>111</v>
      </c>
      <c r="O529" s="93" t="s">
        <v>111</v>
      </c>
      <c r="P529" s="93" t="s">
        <v>111</v>
      </c>
      <c r="Q529" s="93" t="s">
        <v>111</v>
      </c>
      <c r="R529" s="93" t="s">
        <v>2</v>
      </c>
      <c r="S529" s="93" t="s">
        <v>111</v>
      </c>
      <c r="T529" s="93" t="s">
        <v>116</v>
      </c>
      <c r="U529" s="94">
        <v>44610.061111111114</v>
      </c>
      <c r="V529" s="93" t="s">
        <v>7072</v>
      </c>
      <c r="W529" s="93" t="s">
        <v>24</v>
      </c>
    </row>
    <row r="530" spans="1:23" x14ac:dyDescent="0.15">
      <c r="A530" s="93" t="s">
        <v>232</v>
      </c>
      <c r="B530" s="93" t="s">
        <v>365</v>
      </c>
      <c r="C530" s="93">
        <v>66</v>
      </c>
      <c r="D530" s="93" t="s">
        <v>24</v>
      </c>
      <c r="E530" s="93" t="s">
        <v>24</v>
      </c>
      <c r="F530" s="93" t="s">
        <v>126</v>
      </c>
      <c r="G530" s="93" t="s">
        <v>7183</v>
      </c>
      <c r="H530" s="93" t="s">
        <v>400</v>
      </c>
      <c r="I530" s="93" t="s">
        <v>111</v>
      </c>
      <c r="J530" s="93" t="s">
        <v>7105</v>
      </c>
      <c r="K530" s="93" t="s">
        <v>111</v>
      </c>
      <c r="L530" s="93" t="s">
        <v>111</v>
      </c>
      <c r="M530" s="93" t="s">
        <v>111</v>
      </c>
      <c r="N530" s="93" t="s">
        <v>111</v>
      </c>
      <c r="O530" s="93" t="s">
        <v>111</v>
      </c>
      <c r="P530" s="93" t="s">
        <v>111</v>
      </c>
      <c r="Q530" s="93" t="s">
        <v>111</v>
      </c>
      <c r="R530" s="93" t="s">
        <v>2</v>
      </c>
      <c r="S530" s="93" t="s">
        <v>111</v>
      </c>
      <c r="T530" s="93" t="s">
        <v>116</v>
      </c>
      <c r="U530" s="94">
        <v>44610.127083333333</v>
      </c>
      <c r="V530" s="93" t="s">
        <v>7072</v>
      </c>
      <c r="W530" s="93" t="s">
        <v>24</v>
      </c>
    </row>
    <row r="531" spans="1:23" x14ac:dyDescent="0.15">
      <c r="A531" s="93" t="s">
        <v>233</v>
      </c>
      <c r="B531" s="93" t="s">
        <v>367</v>
      </c>
      <c r="C531" s="93">
        <v>21</v>
      </c>
      <c r="D531" s="93" t="s">
        <v>24</v>
      </c>
      <c r="E531" s="93" t="s">
        <v>24</v>
      </c>
      <c r="F531" s="93" t="s">
        <v>126</v>
      </c>
      <c r="G531" s="93" t="s">
        <v>7183</v>
      </c>
      <c r="H531" s="93" t="s">
        <v>400</v>
      </c>
      <c r="I531" s="93" t="s">
        <v>111</v>
      </c>
      <c r="J531" s="93" t="s">
        <v>7105</v>
      </c>
      <c r="K531" s="93" t="s">
        <v>111</v>
      </c>
      <c r="L531" s="93" t="s">
        <v>111</v>
      </c>
      <c r="M531" s="93" t="s">
        <v>111</v>
      </c>
      <c r="N531" s="93" t="s">
        <v>111</v>
      </c>
      <c r="O531" s="93" t="s">
        <v>111</v>
      </c>
      <c r="P531" s="93" t="s">
        <v>111</v>
      </c>
      <c r="Q531" s="93" t="s">
        <v>111</v>
      </c>
      <c r="R531" s="93" t="s">
        <v>2</v>
      </c>
      <c r="S531" s="93" t="s">
        <v>111</v>
      </c>
      <c r="T531" s="93" t="s">
        <v>116</v>
      </c>
      <c r="U531" s="94">
        <v>44610.126388888886</v>
      </c>
      <c r="V531" s="93" t="s">
        <v>7072</v>
      </c>
      <c r="W531" s="93" t="s">
        <v>24</v>
      </c>
    </row>
    <row r="532" spans="1:23" x14ac:dyDescent="0.15">
      <c r="A532" s="93" t="s">
        <v>234</v>
      </c>
      <c r="B532" s="93" t="s">
        <v>370</v>
      </c>
      <c r="C532" s="93">
        <v>39</v>
      </c>
      <c r="D532" s="93" t="s">
        <v>24</v>
      </c>
      <c r="E532" s="93" t="s">
        <v>24</v>
      </c>
      <c r="F532" s="93" t="s">
        <v>126</v>
      </c>
      <c r="G532" s="93" t="s">
        <v>7183</v>
      </c>
      <c r="H532" s="93" t="s">
        <v>400</v>
      </c>
      <c r="I532" s="93" t="s">
        <v>111</v>
      </c>
      <c r="J532" s="93" t="s">
        <v>7105</v>
      </c>
      <c r="K532" s="93" t="s">
        <v>111</v>
      </c>
      <c r="L532" s="93" t="s">
        <v>111</v>
      </c>
      <c r="M532" s="93" t="s">
        <v>111</v>
      </c>
      <c r="N532" s="93" t="s">
        <v>111</v>
      </c>
      <c r="O532" s="93" t="s">
        <v>111</v>
      </c>
      <c r="P532" s="93" t="s">
        <v>111</v>
      </c>
      <c r="Q532" s="93" t="s">
        <v>111</v>
      </c>
      <c r="R532" s="93" t="s">
        <v>2</v>
      </c>
      <c r="S532" s="93" t="s">
        <v>111</v>
      </c>
      <c r="T532" s="93" t="s">
        <v>116</v>
      </c>
      <c r="U532" s="94">
        <v>44610.104166666664</v>
      </c>
      <c r="V532" s="93" t="s">
        <v>7072</v>
      </c>
      <c r="W532" s="93" t="s">
        <v>24</v>
      </c>
    </row>
    <row r="533" spans="1:23" x14ac:dyDescent="0.15">
      <c r="A533" s="93" t="s">
        <v>235</v>
      </c>
      <c r="B533" s="93" t="s">
        <v>373</v>
      </c>
      <c r="C533" s="93">
        <v>48</v>
      </c>
      <c r="D533" s="93" t="s">
        <v>24</v>
      </c>
      <c r="E533" s="93" t="s">
        <v>24</v>
      </c>
      <c r="F533" s="93" t="s">
        <v>126</v>
      </c>
      <c r="G533" s="93" t="s">
        <v>7183</v>
      </c>
      <c r="H533" s="93" t="s">
        <v>400</v>
      </c>
      <c r="I533" s="93" t="s">
        <v>111</v>
      </c>
      <c r="J533" s="93" t="s">
        <v>7105</v>
      </c>
      <c r="K533" s="93" t="s">
        <v>111</v>
      </c>
      <c r="L533" s="93" t="s">
        <v>111</v>
      </c>
      <c r="M533" s="93" t="s">
        <v>111</v>
      </c>
      <c r="N533" s="93" t="s">
        <v>111</v>
      </c>
      <c r="O533" s="93" t="s">
        <v>111</v>
      </c>
      <c r="P533" s="93" t="s">
        <v>111</v>
      </c>
      <c r="Q533" s="93" t="s">
        <v>111</v>
      </c>
      <c r="R533" s="93" t="s">
        <v>2</v>
      </c>
      <c r="S533" s="93" t="s">
        <v>111</v>
      </c>
      <c r="T533" s="93" t="s">
        <v>116</v>
      </c>
      <c r="U533" s="94">
        <v>44610.115972222222</v>
      </c>
      <c r="V533" s="93" t="s">
        <v>7072</v>
      </c>
      <c r="W533" s="93" t="s">
        <v>24</v>
      </c>
    </row>
    <row r="534" spans="1:23" x14ac:dyDescent="0.15">
      <c r="A534" s="93" t="s">
        <v>236</v>
      </c>
      <c r="B534" s="93" t="s">
        <v>375</v>
      </c>
      <c r="C534" s="93">
        <v>42</v>
      </c>
      <c r="D534" s="93" t="s">
        <v>24</v>
      </c>
      <c r="E534" s="93" t="s">
        <v>24</v>
      </c>
      <c r="F534" s="93" t="s">
        <v>126</v>
      </c>
      <c r="G534" s="93" t="s">
        <v>7183</v>
      </c>
      <c r="H534" s="93" t="s">
        <v>400</v>
      </c>
      <c r="I534" s="93" t="s">
        <v>111</v>
      </c>
      <c r="J534" s="93" t="s">
        <v>7105</v>
      </c>
      <c r="K534" s="93" t="s">
        <v>111</v>
      </c>
      <c r="L534" s="93" t="s">
        <v>111</v>
      </c>
      <c r="M534" s="93" t="s">
        <v>111</v>
      </c>
      <c r="N534" s="93" t="s">
        <v>111</v>
      </c>
      <c r="O534" s="93" t="s">
        <v>111</v>
      </c>
      <c r="P534" s="93" t="s">
        <v>111</v>
      </c>
      <c r="Q534" s="93" t="s">
        <v>111</v>
      </c>
      <c r="R534" s="93" t="s">
        <v>2</v>
      </c>
      <c r="S534" s="93" t="s">
        <v>111</v>
      </c>
      <c r="T534" s="93" t="s">
        <v>116</v>
      </c>
      <c r="U534" s="94">
        <v>44610.087500000001</v>
      </c>
      <c r="V534" s="93" t="s">
        <v>7072</v>
      </c>
      <c r="W534" s="93" t="s">
        <v>24</v>
      </c>
    </row>
    <row r="535" spans="1:23" x14ac:dyDescent="0.15">
      <c r="A535" s="93" t="s">
        <v>237</v>
      </c>
      <c r="B535" s="93" t="s">
        <v>804</v>
      </c>
      <c r="C535" s="93">
        <v>33.81</v>
      </c>
      <c r="D535" s="93" t="s">
        <v>24</v>
      </c>
      <c r="E535" s="93" t="s">
        <v>24</v>
      </c>
      <c r="F535" s="93" t="s">
        <v>126</v>
      </c>
      <c r="G535" s="93" t="s">
        <v>7183</v>
      </c>
      <c r="H535" s="93" t="s">
        <v>400</v>
      </c>
      <c r="I535" s="93" t="s">
        <v>111</v>
      </c>
      <c r="J535" s="93" t="s">
        <v>7105</v>
      </c>
      <c r="K535" s="93" t="s">
        <v>111</v>
      </c>
      <c r="L535" s="93" t="s">
        <v>111</v>
      </c>
      <c r="M535" s="93" t="s">
        <v>111</v>
      </c>
      <c r="N535" s="93" t="s">
        <v>111</v>
      </c>
      <c r="O535" s="93" t="s">
        <v>111</v>
      </c>
      <c r="P535" s="93" t="s">
        <v>111</v>
      </c>
      <c r="Q535" s="93" t="s">
        <v>111</v>
      </c>
      <c r="R535" s="93" t="s">
        <v>2</v>
      </c>
      <c r="S535" s="93" t="s">
        <v>111</v>
      </c>
      <c r="T535" s="93" t="s">
        <v>116</v>
      </c>
      <c r="U535" s="94">
        <v>44610.102777777778</v>
      </c>
      <c r="V535" s="93" t="s">
        <v>7072</v>
      </c>
      <c r="W535" s="93" t="s">
        <v>24</v>
      </c>
    </row>
    <row r="536" spans="1:23" x14ac:dyDescent="0.15">
      <c r="A536" s="93" t="s">
        <v>238</v>
      </c>
      <c r="B536" s="93" t="s">
        <v>805</v>
      </c>
      <c r="C536" s="93">
        <v>67.62</v>
      </c>
      <c r="D536" s="93" t="s">
        <v>24</v>
      </c>
      <c r="E536" s="93" t="s">
        <v>24</v>
      </c>
      <c r="F536" s="93" t="s">
        <v>126</v>
      </c>
      <c r="G536" s="93" t="s">
        <v>7183</v>
      </c>
      <c r="H536" s="93" t="s">
        <v>400</v>
      </c>
      <c r="I536" s="93" t="s">
        <v>111</v>
      </c>
      <c r="J536" s="93" t="s">
        <v>7105</v>
      </c>
      <c r="K536" s="93" t="s">
        <v>111</v>
      </c>
      <c r="L536" s="93" t="s">
        <v>111</v>
      </c>
      <c r="M536" s="93" t="s">
        <v>111</v>
      </c>
      <c r="N536" s="93" t="s">
        <v>111</v>
      </c>
      <c r="O536" s="93" t="s">
        <v>111</v>
      </c>
      <c r="P536" s="93" t="s">
        <v>111</v>
      </c>
      <c r="Q536" s="93" t="s">
        <v>111</v>
      </c>
      <c r="R536" s="93" t="s">
        <v>2</v>
      </c>
      <c r="S536" s="93" t="s">
        <v>111</v>
      </c>
      <c r="T536" s="93" t="s">
        <v>116</v>
      </c>
      <c r="U536" s="94">
        <v>44610.086111111108</v>
      </c>
      <c r="V536" s="93" t="s">
        <v>7072</v>
      </c>
      <c r="W536" s="93" t="s">
        <v>24</v>
      </c>
    </row>
    <row r="537" spans="1:23" x14ac:dyDescent="0.15">
      <c r="A537" s="93" t="s">
        <v>239</v>
      </c>
      <c r="B537" s="93" t="s">
        <v>806</v>
      </c>
      <c r="C537" s="93">
        <v>78.66</v>
      </c>
      <c r="D537" s="93" t="s">
        <v>24</v>
      </c>
      <c r="E537" s="93" t="s">
        <v>24</v>
      </c>
      <c r="F537" s="93" t="s">
        <v>126</v>
      </c>
      <c r="G537" s="93" t="s">
        <v>7183</v>
      </c>
      <c r="H537" s="93" t="s">
        <v>400</v>
      </c>
      <c r="I537" s="93" t="s">
        <v>111</v>
      </c>
      <c r="J537" s="93" t="s">
        <v>7105</v>
      </c>
      <c r="K537" s="93" t="s">
        <v>111</v>
      </c>
      <c r="L537" s="93" t="s">
        <v>111</v>
      </c>
      <c r="M537" s="93" t="s">
        <v>111</v>
      </c>
      <c r="N537" s="93" t="s">
        <v>111</v>
      </c>
      <c r="O537" s="93" t="s">
        <v>111</v>
      </c>
      <c r="P537" s="93" t="s">
        <v>111</v>
      </c>
      <c r="Q537" s="93" t="s">
        <v>111</v>
      </c>
      <c r="R537" s="93" t="s">
        <v>2</v>
      </c>
      <c r="S537" s="93" t="s">
        <v>111</v>
      </c>
      <c r="T537" s="93" t="s">
        <v>116</v>
      </c>
      <c r="U537" s="94">
        <v>44610.055555555555</v>
      </c>
      <c r="V537" s="93" t="s">
        <v>7072</v>
      </c>
      <c r="W537" s="93" t="s">
        <v>24</v>
      </c>
    </row>
    <row r="538" spans="1:23" x14ac:dyDescent="0.15">
      <c r="A538" s="93" t="s">
        <v>240</v>
      </c>
      <c r="B538" s="93" t="s">
        <v>863</v>
      </c>
      <c r="C538" s="93">
        <v>480</v>
      </c>
      <c r="D538" s="93" t="s">
        <v>24</v>
      </c>
      <c r="E538" s="93" t="s">
        <v>24</v>
      </c>
      <c r="F538" s="93" t="s">
        <v>126</v>
      </c>
      <c r="G538" s="93" t="s">
        <v>7183</v>
      </c>
      <c r="H538" s="93" t="s">
        <v>400</v>
      </c>
      <c r="I538" s="93" t="s">
        <v>111</v>
      </c>
      <c r="J538" s="93" t="s">
        <v>7105</v>
      </c>
      <c r="K538" s="93" t="s">
        <v>111</v>
      </c>
      <c r="L538" s="93" t="s">
        <v>111</v>
      </c>
      <c r="M538" s="93" t="s">
        <v>111</v>
      </c>
      <c r="N538" s="93" t="s">
        <v>111</v>
      </c>
      <c r="O538" s="93" t="s">
        <v>111</v>
      </c>
      <c r="P538" s="93" t="s">
        <v>111</v>
      </c>
      <c r="Q538" s="93" t="s">
        <v>111</v>
      </c>
      <c r="R538" s="93" t="s">
        <v>2</v>
      </c>
      <c r="S538" s="93" t="s">
        <v>111</v>
      </c>
      <c r="T538" s="93" t="s">
        <v>116</v>
      </c>
      <c r="U538" s="94">
        <v>44610.084027777775</v>
      </c>
      <c r="V538" s="93" t="s">
        <v>7072</v>
      </c>
      <c r="W538" s="93" t="s">
        <v>24</v>
      </c>
    </row>
    <row r="539" spans="1:23" x14ac:dyDescent="0.15">
      <c r="A539" s="93" t="s">
        <v>241</v>
      </c>
      <c r="B539" s="93" t="s">
        <v>864</v>
      </c>
      <c r="C539" s="93">
        <v>2400</v>
      </c>
      <c r="D539" s="93" t="s">
        <v>24</v>
      </c>
      <c r="E539" s="93" t="s">
        <v>24</v>
      </c>
      <c r="F539" s="93" t="s">
        <v>126</v>
      </c>
      <c r="G539" s="93" t="s">
        <v>7183</v>
      </c>
      <c r="H539" s="93" t="s">
        <v>400</v>
      </c>
      <c r="I539" s="93" t="s">
        <v>111</v>
      </c>
      <c r="J539" s="93" t="s">
        <v>7105</v>
      </c>
      <c r="K539" s="93" t="s">
        <v>111</v>
      </c>
      <c r="L539" s="93" t="s">
        <v>111</v>
      </c>
      <c r="M539" s="93" t="s">
        <v>111</v>
      </c>
      <c r="N539" s="93" t="s">
        <v>111</v>
      </c>
      <c r="O539" s="93" t="s">
        <v>111</v>
      </c>
      <c r="P539" s="93" t="s">
        <v>111</v>
      </c>
      <c r="Q539" s="93" t="s">
        <v>111</v>
      </c>
      <c r="R539" s="93" t="s">
        <v>2</v>
      </c>
      <c r="S539" s="93" t="s">
        <v>111</v>
      </c>
      <c r="T539" s="93" t="s">
        <v>116</v>
      </c>
      <c r="U539" s="94">
        <v>44610.05972222222</v>
      </c>
      <c r="V539" s="93" t="s">
        <v>7072</v>
      </c>
      <c r="W539" s="93" t="s">
        <v>24</v>
      </c>
    </row>
    <row r="540" spans="1:23" x14ac:dyDescent="0.15">
      <c r="A540" s="93" t="s">
        <v>242</v>
      </c>
      <c r="B540" s="93" t="s">
        <v>865</v>
      </c>
      <c r="C540" s="93">
        <v>180</v>
      </c>
      <c r="D540" s="93" t="s">
        <v>24</v>
      </c>
      <c r="E540" s="93" t="s">
        <v>24</v>
      </c>
      <c r="F540" s="93" t="s">
        <v>126</v>
      </c>
      <c r="G540" s="93" t="s">
        <v>7183</v>
      </c>
      <c r="H540" s="93" t="s">
        <v>400</v>
      </c>
      <c r="I540" s="93" t="s">
        <v>111</v>
      </c>
      <c r="J540" s="93" t="s">
        <v>7105</v>
      </c>
      <c r="K540" s="93" t="s">
        <v>111</v>
      </c>
      <c r="L540" s="93" t="s">
        <v>111</v>
      </c>
      <c r="M540" s="93" t="s">
        <v>111</v>
      </c>
      <c r="N540" s="93" t="s">
        <v>111</v>
      </c>
      <c r="O540" s="93" t="s">
        <v>111</v>
      </c>
      <c r="P540" s="93" t="s">
        <v>111</v>
      </c>
      <c r="Q540" s="93" t="s">
        <v>111</v>
      </c>
      <c r="R540" s="93" t="s">
        <v>2</v>
      </c>
      <c r="S540" s="93" t="s">
        <v>111</v>
      </c>
      <c r="T540" s="93" t="s">
        <v>116</v>
      </c>
      <c r="U540" s="94">
        <v>44610.084027777775</v>
      </c>
      <c r="V540" s="93" t="s">
        <v>7072</v>
      </c>
      <c r="W540" s="93" t="s">
        <v>24</v>
      </c>
    </row>
    <row r="541" spans="1:23" x14ac:dyDescent="0.15">
      <c r="A541" s="93" t="s">
        <v>243</v>
      </c>
      <c r="B541" s="93" t="s">
        <v>866</v>
      </c>
      <c r="C541" s="93">
        <v>840</v>
      </c>
      <c r="D541" s="93" t="s">
        <v>24</v>
      </c>
      <c r="E541" s="93" t="s">
        <v>24</v>
      </c>
      <c r="F541" s="93" t="s">
        <v>126</v>
      </c>
      <c r="G541" s="93" t="s">
        <v>7183</v>
      </c>
      <c r="H541" s="93" t="s">
        <v>400</v>
      </c>
      <c r="I541" s="93" t="s">
        <v>111</v>
      </c>
      <c r="J541" s="93" t="s">
        <v>7105</v>
      </c>
      <c r="K541" s="93" t="s">
        <v>111</v>
      </c>
      <c r="L541" s="93" t="s">
        <v>111</v>
      </c>
      <c r="M541" s="93" t="s">
        <v>111</v>
      </c>
      <c r="N541" s="93" t="s">
        <v>111</v>
      </c>
      <c r="O541" s="93" t="s">
        <v>111</v>
      </c>
      <c r="P541" s="93" t="s">
        <v>111</v>
      </c>
      <c r="Q541" s="93" t="s">
        <v>111</v>
      </c>
      <c r="R541" s="93" t="s">
        <v>2</v>
      </c>
      <c r="S541" s="93" t="s">
        <v>111</v>
      </c>
      <c r="T541" s="93" t="s">
        <v>116</v>
      </c>
      <c r="U541" s="94">
        <v>44610.05972222222</v>
      </c>
      <c r="V541" s="93" t="s">
        <v>7072</v>
      </c>
      <c r="W541" s="93" t="s">
        <v>24</v>
      </c>
    </row>
    <row r="542" spans="1:23" x14ac:dyDescent="0.15">
      <c r="A542" s="93" t="s">
        <v>244</v>
      </c>
      <c r="B542" s="93" t="s">
        <v>867</v>
      </c>
      <c r="C542" s="93">
        <v>3600</v>
      </c>
      <c r="D542" s="93" t="s">
        <v>24</v>
      </c>
      <c r="E542" s="93" t="s">
        <v>24</v>
      </c>
      <c r="F542" s="93" t="s">
        <v>126</v>
      </c>
      <c r="G542" s="93" t="s">
        <v>7183</v>
      </c>
      <c r="H542" s="93" t="s">
        <v>400</v>
      </c>
      <c r="I542" s="93" t="s">
        <v>111</v>
      </c>
      <c r="J542" s="93" t="s">
        <v>7105</v>
      </c>
      <c r="K542" s="93" t="s">
        <v>111</v>
      </c>
      <c r="L542" s="93" t="s">
        <v>111</v>
      </c>
      <c r="M542" s="93" t="s">
        <v>111</v>
      </c>
      <c r="N542" s="93" t="s">
        <v>111</v>
      </c>
      <c r="O542" s="93" t="s">
        <v>111</v>
      </c>
      <c r="P542" s="93" t="s">
        <v>111</v>
      </c>
      <c r="Q542" s="93" t="s">
        <v>111</v>
      </c>
      <c r="R542" s="93" t="s">
        <v>2</v>
      </c>
      <c r="S542" s="93" t="s">
        <v>111</v>
      </c>
      <c r="T542" s="93" t="s">
        <v>116</v>
      </c>
      <c r="U542" s="94">
        <v>44610.122916666667</v>
      </c>
      <c r="V542" s="93" t="s">
        <v>7072</v>
      </c>
      <c r="W542" s="93" t="s">
        <v>24</v>
      </c>
    </row>
    <row r="543" spans="1:23" x14ac:dyDescent="0.15">
      <c r="A543" s="93" t="s">
        <v>245</v>
      </c>
      <c r="B543" s="93" t="s">
        <v>868</v>
      </c>
      <c r="C543" s="93">
        <v>222</v>
      </c>
      <c r="D543" s="93" t="s">
        <v>24</v>
      </c>
      <c r="E543" s="93" t="s">
        <v>24</v>
      </c>
      <c r="F543" s="93" t="s">
        <v>126</v>
      </c>
      <c r="G543" s="93" t="s">
        <v>7183</v>
      </c>
      <c r="H543" s="93" t="s">
        <v>400</v>
      </c>
      <c r="I543" s="93" t="s">
        <v>111</v>
      </c>
      <c r="J543" s="93" t="s">
        <v>7105</v>
      </c>
      <c r="K543" s="93" t="s">
        <v>111</v>
      </c>
      <c r="L543" s="93" t="s">
        <v>111</v>
      </c>
      <c r="M543" s="93" t="s">
        <v>111</v>
      </c>
      <c r="N543" s="93" t="s">
        <v>111</v>
      </c>
      <c r="O543" s="93" t="s">
        <v>111</v>
      </c>
      <c r="P543" s="93" t="s">
        <v>111</v>
      </c>
      <c r="Q543" s="93" t="s">
        <v>111</v>
      </c>
      <c r="R543" s="93" t="s">
        <v>2</v>
      </c>
      <c r="S543" s="93" t="s">
        <v>111</v>
      </c>
      <c r="T543" s="93" t="s">
        <v>116</v>
      </c>
      <c r="U543" s="94">
        <v>44610.059027777781</v>
      </c>
      <c r="V543" s="93" t="s">
        <v>7072</v>
      </c>
      <c r="W543" s="93" t="s">
        <v>24</v>
      </c>
    </row>
    <row r="544" spans="1:23" x14ac:dyDescent="0.15">
      <c r="A544" s="93" t="s">
        <v>246</v>
      </c>
      <c r="B544" s="93" t="s">
        <v>869</v>
      </c>
      <c r="C544" s="93">
        <v>1080</v>
      </c>
      <c r="D544" s="93" t="s">
        <v>24</v>
      </c>
      <c r="E544" s="93" t="s">
        <v>24</v>
      </c>
      <c r="F544" s="93" t="s">
        <v>126</v>
      </c>
      <c r="G544" s="93" t="s">
        <v>7183</v>
      </c>
      <c r="H544" s="93" t="s">
        <v>400</v>
      </c>
      <c r="I544" s="93" t="s">
        <v>111</v>
      </c>
      <c r="J544" s="93" t="s">
        <v>7105</v>
      </c>
      <c r="K544" s="93" t="s">
        <v>111</v>
      </c>
      <c r="L544" s="93" t="s">
        <v>111</v>
      </c>
      <c r="M544" s="93" t="s">
        <v>111</v>
      </c>
      <c r="N544" s="93" t="s">
        <v>111</v>
      </c>
      <c r="O544" s="93" t="s">
        <v>111</v>
      </c>
      <c r="P544" s="93" t="s">
        <v>111</v>
      </c>
      <c r="Q544" s="93" t="s">
        <v>111</v>
      </c>
      <c r="R544" s="93" t="s">
        <v>2</v>
      </c>
      <c r="S544" s="93" t="s">
        <v>111</v>
      </c>
      <c r="T544" s="93" t="s">
        <v>116</v>
      </c>
      <c r="U544" s="94">
        <v>44610.122916666667</v>
      </c>
      <c r="V544" s="93" t="s">
        <v>7072</v>
      </c>
      <c r="W544" s="93" t="s">
        <v>24</v>
      </c>
    </row>
    <row r="545" spans="1:23" x14ac:dyDescent="0.15">
      <c r="A545" s="93" t="s">
        <v>247</v>
      </c>
      <c r="B545" s="93" t="s">
        <v>870</v>
      </c>
      <c r="C545" s="93">
        <v>4560</v>
      </c>
      <c r="D545" s="93" t="s">
        <v>24</v>
      </c>
      <c r="E545" s="93" t="s">
        <v>24</v>
      </c>
      <c r="F545" s="93" t="s">
        <v>126</v>
      </c>
      <c r="G545" s="93" t="s">
        <v>7183</v>
      </c>
      <c r="H545" s="93" t="s">
        <v>400</v>
      </c>
      <c r="I545" s="93" t="s">
        <v>111</v>
      </c>
      <c r="J545" s="93" t="s">
        <v>7105</v>
      </c>
      <c r="K545" s="93" t="s">
        <v>111</v>
      </c>
      <c r="L545" s="93" t="s">
        <v>111</v>
      </c>
      <c r="M545" s="93" t="s">
        <v>111</v>
      </c>
      <c r="N545" s="93" t="s">
        <v>111</v>
      </c>
      <c r="O545" s="93" t="s">
        <v>111</v>
      </c>
      <c r="P545" s="93" t="s">
        <v>111</v>
      </c>
      <c r="Q545" s="93" t="s">
        <v>111</v>
      </c>
      <c r="R545" s="93" t="s">
        <v>2</v>
      </c>
      <c r="S545" s="93" t="s">
        <v>111</v>
      </c>
      <c r="T545" s="93" t="s">
        <v>116</v>
      </c>
      <c r="U545" s="94">
        <v>44610.084722222222</v>
      </c>
      <c r="V545" s="93" t="s">
        <v>7072</v>
      </c>
      <c r="W545" s="93" t="s">
        <v>24</v>
      </c>
    </row>
    <row r="546" spans="1:23" x14ac:dyDescent="0.15">
      <c r="A546" s="93" t="s">
        <v>248</v>
      </c>
      <c r="B546" s="93" t="s">
        <v>871</v>
      </c>
      <c r="C546" s="93">
        <v>264</v>
      </c>
      <c r="D546" s="93" t="s">
        <v>24</v>
      </c>
      <c r="E546" s="93" t="s">
        <v>24</v>
      </c>
      <c r="F546" s="93" t="s">
        <v>126</v>
      </c>
      <c r="G546" s="93" t="s">
        <v>7183</v>
      </c>
      <c r="H546" s="93" t="s">
        <v>400</v>
      </c>
      <c r="I546" s="93" t="s">
        <v>111</v>
      </c>
      <c r="J546" s="93" t="s">
        <v>7105</v>
      </c>
      <c r="K546" s="93" t="s">
        <v>111</v>
      </c>
      <c r="L546" s="93" t="s">
        <v>111</v>
      </c>
      <c r="M546" s="93" t="s">
        <v>111</v>
      </c>
      <c r="N546" s="93" t="s">
        <v>111</v>
      </c>
      <c r="O546" s="93" t="s">
        <v>111</v>
      </c>
      <c r="P546" s="93" t="s">
        <v>111</v>
      </c>
      <c r="Q546" s="93" t="s">
        <v>111</v>
      </c>
      <c r="R546" s="93" t="s">
        <v>2</v>
      </c>
      <c r="S546" s="93" t="s">
        <v>111</v>
      </c>
      <c r="T546" s="93" t="s">
        <v>116</v>
      </c>
      <c r="U546" s="94">
        <v>44610.05972222222</v>
      </c>
      <c r="V546" s="93" t="s">
        <v>7072</v>
      </c>
      <c r="W546" s="93" t="s">
        <v>24</v>
      </c>
    </row>
    <row r="547" spans="1:23" x14ac:dyDescent="0.15">
      <c r="A547" s="93" t="s">
        <v>249</v>
      </c>
      <c r="B547" s="93" t="s">
        <v>872</v>
      </c>
      <c r="C547" s="93">
        <v>1260</v>
      </c>
      <c r="D547" s="93" t="s">
        <v>24</v>
      </c>
      <c r="E547" s="93" t="s">
        <v>24</v>
      </c>
      <c r="F547" s="93" t="s">
        <v>126</v>
      </c>
      <c r="G547" s="93" t="s">
        <v>7183</v>
      </c>
      <c r="H547" s="93" t="s">
        <v>400</v>
      </c>
      <c r="I547" s="93" t="s">
        <v>111</v>
      </c>
      <c r="J547" s="93" t="s">
        <v>7105</v>
      </c>
      <c r="K547" s="93" t="s">
        <v>111</v>
      </c>
      <c r="L547" s="93" t="s">
        <v>111</v>
      </c>
      <c r="M547" s="93" t="s">
        <v>111</v>
      </c>
      <c r="N547" s="93" t="s">
        <v>111</v>
      </c>
      <c r="O547" s="93" t="s">
        <v>111</v>
      </c>
      <c r="P547" s="93" t="s">
        <v>111</v>
      </c>
      <c r="Q547" s="93" t="s">
        <v>111</v>
      </c>
      <c r="R547" s="93" t="s">
        <v>2</v>
      </c>
      <c r="S547" s="93" t="s">
        <v>111</v>
      </c>
      <c r="T547" s="93" t="s">
        <v>116</v>
      </c>
      <c r="U547" s="94">
        <v>44610.106944444444</v>
      </c>
      <c r="V547" s="93" t="s">
        <v>7072</v>
      </c>
      <c r="W547" s="93" t="s">
        <v>24</v>
      </c>
    </row>
    <row r="548" spans="1:23" x14ac:dyDescent="0.15">
      <c r="A548" s="93" t="s">
        <v>250</v>
      </c>
      <c r="B548" s="93" t="s">
        <v>873</v>
      </c>
      <c r="C548" s="93">
        <v>5400</v>
      </c>
      <c r="D548" s="93" t="s">
        <v>24</v>
      </c>
      <c r="E548" s="93" t="s">
        <v>24</v>
      </c>
      <c r="F548" s="93" t="s">
        <v>126</v>
      </c>
      <c r="G548" s="93" t="s">
        <v>7183</v>
      </c>
      <c r="H548" s="93" t="s">
        <v>400</v>
      </c>
      <c r="I548" s="93" t="s">
        <v>111</v>
      </c>
      <c r="J548" s="93" t="s">
        <v>7105</v>
      </c>
      <c r="K548" s="93" t="s">
        <v>111</v>
      </c>
      <c r="L548" s="93" t="s">
        <v>111</v>
      </c>
      <c r="M548" s="93" t="s">
        <v>111</v>
      </c>
      <c r="N548" s="93" t="s">
        <v>111</v>
      </c>
      <c r="O548" s="93" t="s">
        <v>111</v>
      </c>
      <c r="P548" s="93" t="s">
        <v>111</v>
      </c>
      <c r="Q548" s="93" t="s">
        <v>111</v>
      </c>
      <c r="R548" s="93" t="s">
        <v>2</v>
      </c>
      <c r="S548" s="93" t="s">
        <v>111</v>
      </c>
      <c r="T548" s="93" t="s">
        <v>116</v>
      </c>
      <c r="U548" s="94">
        <v>44610.106944444444</v>
      </c>
      <c r="V548" s="93" t="s">
        <v>7072</v>
      </c>
      <c r="W548" s="93" t="s">
        <v>24</v>
      </c>
    </row>
    <row r="549" spans="1:23" x14ac:dyDescent="0.15">
      <c r="A549" s="93" t="s">
        <v>251</v>
      </c>
      <c r="B549" s="93" t="s">
        <v>874</v>
      </c>
      <c r="C549" s="93">
        <v>300</v>
      </c>
      <c r="D549" s="93" t="s">
        <v>24</v>
      </c>
      <c r="E549" s="93" t="s">
        <v>24</v>
      </c>
      <c r="F549" s="93" t="s">
        <v>126</v>
      </c>
      <c r="G549" s="93" t="s">
        <v>7183</v>
      </c>
      <c r="H549" s="93" t="s">
        <v>400</v>
      </c>
      <c r="I549" s="93" t="s">
        <v>111</v>
      </c>
      <c r="J549" s="93" t="s">
        <v>7105</v>
      </c>
      <c r="K549" s="93" t="s">
        <v>111</v>
      </c>
      <c r="L549" s="93" t="s">
        <v>111</v>
      </c>
      <c r="M549" s="93" t="s">
        <v>111</v>
      </c>
      <c r="N549" s="93" t="s">
        <v>111</v>
      </c>
      <c r="O549" s="93" t="s">
        <v>111</v>
      </c>
      <c r="P549" s="93" t="s">
        <v>111</v>
      </c>
      <c r="Q549" s="93" t="s">
        <v>111</v>
      </c>
      <c r="R549" s="93" t="s">
        <v>2</v>
      </c>
      <c r="S549" s="93" t="s">
        <v>111</v>
      </c>
      <c r="T549" s="93" t="s">
        <v>116</v>
      </c>
      <c r="U549" s="94">
        <v>44610.106249999997</v>
      </c>
      <c r="V549" s="93" t="s">
        <v>7072</v>
      </c>
      <c r="W549" s="93" t="s">
        <v>24</v>
      </c>
    </row>
    <row r="550" spans="1:23" x14ac:dyDescent="0.15">
      <c r="A550" s="93" t="s">
        <v>252</v>
      </c>
      <c r="B550" s="93" t="s">
        <v>875</v>
      </c>
      <c r="C550" s="93">
        <v>1440</v>
      </c>
      <c r="D550" s="93" t="s">
        <v>24</v>
      </c>
      <c r="E550" s="93" t="s">
        <v>24</v>
      </c>
      <c r="F550" s="93" t="s">
        <v>126</v>
      </c>
      <c r="G550" s="93" t="s">
        <v>7183</v>
      </c>
      <c r="H550" s="93" t="s">
        <v>400</v>
      </c>
      <c r="I550" s="93" t="s">
        <v>111</v>
      </c>
      <c r="J550" s="93" t="s">
        <v>7105</v>
      </c>
      <c r="K550" s="93" t="s">
        <v>111</v>
      </c>
      <c r="L550" s="93" t="s">
        <v>111</v>
      </c>
      <c r="M550" s="93" t="s">
        <v>111</v>
      </c>
      <c r="N550" s="93" t="s">
        <v>111</v>
      </c>
      <c r="O550" s="93" t="s">
        <v>111</v>
      </c>
      <c r="P550" s="93" t="s">
        <v>111</v>
      </c>
      <c r="Q550" s="93" t="s">
        <v>111</v>
      </c>
      <c r="R550" s="93" t="s">
        <v>2</v>
      </c>
      <c r="S550" s="93" t="s">
        <v>111</v>
      </c>
      <c r="T550" s="93" t="s">
        <v>116</v>
      </c>
      <c r="U550" s="94">
        <v>44610.092361111114</v>
      </c>
      <c r="V550" s="93" t="s">
        <v>7072</v>
      </c>
      <c r="W550" s="93" t="s">
        <v>24</v>
      </c>
    </row>
    <row r="551" spans="1:23" x14ac:dyDescent="0.15">
      <c r="A551" s="93" t="s">
        <v>253</v>
      </c>
      <c r="B551" s="93" t="s">
        <v>876</v>
      </c>
      <c r="C551" s="93">
        <v>6000</v>
      </c>
      <c r="D551" s="93" t="s">
        <v>24</v>
      </c>
      <c r="E551" s="93" t="s">
        <v>24</v>
      </c>
      <c r="F551" s="93" t="s">
        <v>126</v>
      </c>
      <c r="G551" s="93" t="s">
        <v>7183</v>
      </c>
      <c r="H551" s="93" t="s">
        <v>400</v>
      </c>
      <c r="I551" s="93" t="s">
        <v>111</v>
      </c>
      <c r="J551" s="93" t="s">
        <v>7105</v>
      </c>
      <c r="K551" s="93" t="s">
        <v>111</v>
      </c>
      <c r="L551" s="93" t="s">
        <v>111</v>
      </c>
      <c r="M551" s="93" t="s">
        <v>111</v>
      </c>
      <c r="N551" s="93" t="s">
        <v>111</v>
      </c>
      <c r="O551" s="93" t="s">
        <v>111</v>
      </c>
      <c r="P551" s="93" t="s">
        <v>111</v>
      </c>
      <c r="Q551" s="93" t="s">
        <v>111</v>
      </c>
      <c r="R551" s="93" t="s">
        <v>2</v>
      </c>
      <c r="S551" s="93" t="s">
        <v>111</v>
      </c>
      <c r="T551" s="93" t="s">
        <v>116</v>
      </c>
      <c r="U551" s="94">
        <v>44610.092361111114</v>
      </c>
      <c r="V551" s="93" t="s">
        <v>7072</v>
      </c>
      <c r="W551" s="93" t="s">
        <v>24</v>
      </c>
    </row>
    <row r="552" spans="1:23" x14ac:dyDescent="0.15">
      <c r="A552" s="93" t="s">
        <v>254</v>
      </c>
      <c r="B552" s="93" t="s">
        <v>877</v>
      </c>
      <c r="C552" s="93">
        <v>336</v>
      </c>
      <c r="D552" s="93" t="s">
        <v>24</v>
      </c>
      <c r="E552" s="93" t="s">
        <v>24</v>
      </c>
      <c r="F552" s="93" t="s">
        <v>126</v>
      </c>
      <c r="G552" s="93" t="s">
        <v>7183</v>
      </c>
      <c r="H552" s="93" t="s">
        <v>400</v>
      </c>
      <c r="I552" s="93" t="s">
        <v>111</v>
      </c>
      <c r="J552" s="93" t="s">
        <v>7105</v>
      </c>
      <c r="K552" s="93" t="s">
        <v>111</v>
      </c>
      <c r="L552" s="93" t="s">
        <v>111</v>
      </c>
      <c r="M552" s="93" t="s">
        <v>111</v>
      </c>
      <c r="N552" s="93" t="s">
        <v>111</v>
      </c>
      <c r="O552" s="93" t="s">
        <v>111</v>
      </c>
      <c r="P552" s="93" t="s">
        <v>111</v>
      </c>
      <c r="Q552" s="93" t="s">
        <v>111</v>
      </c>
      <c r="R552" s="93" t="s">
        <v>2</v>
      </c>
      <c r="S552" s="93" t="s">
        <v>111</v>
      </c>
      <c r="T552" s="93" t="s">
        <v>116</v>
      </c>
      <c r="U552" s="94">
        <v>44610.091666666667</v>
      </c>
      <c r="V552" s="93" t="s">
        <v>7072</v>
      </c>
      <c r="W552" s="93" t="s">
        <v>24</v>
      </c>
    </row>
    <row r="553" spans="1:23" x14ac:dyDescent="0.15">
      <c r="A553" s="93" t="s">
        <v>255</v>
      </c>
      <c r="B553" s="93" t="s">
        <v>878</v>
      </c>
      <c r="C553" s="93">
        <v>1680</v>
      </c>
      <c r="D553" s="93" t="s">
        <v>24</v>
      </c>
      <c r="E553" s="93" t="s">
        <v>24</v>
      </c>
      <c r="F553" s="93" t="s">
        <v>126</v>
      </c>
      <c r="G553" s="93" t="s">
        <v>7183</v>
      </c>
      <c r="H553" s="93" t="s">
        <v>400</v>
      </c>
      <c r="I553" s="93" t="s">
        <v>111</v>
      </c>
      <c r="J553" s="93" t="s">
        <v>7105</v>
      </c>
      <c r="K553" s="93" t="s">
        <v>111</v>
      </c>
      <c r="L553" s="93" t="s">
        <v>111</v>
      </c>
      <c r="M553" s="93" t="s">
        <v>111</v>
      </c>
      <c r="N553" s="93" t="s">
        <v>111</v>
      </c>
      <c r="O553" s="93" t="s">
        <v>111</v>
      </c>
      <c r="P553" s="93" t="s">
        <v>111</v>
      </c>
      <c r="Q553" s="93" t="s">
        <v>111</v>
      </c>
      <c r="R553" s="93" t="s">
        <v>2</v>
      </c>
      <c r="S553" s="93" t="s">
        <v>111</v>
      </c>
      <c r="T553" s="93" t="s">
        <v>116</v>
      </c>
      <c r="U553" s="94">
        <v>44610.122916666667</v>
      </c>
      <c r="V553" s="93" t="s">
        <v>7072</v>
      </c>
      <c r="W553" s="93" t="s">
        <v>24</v>
      </c>
    </row>
    <row r="554" spans="1:23" x14ac:dyDescent="0.15">
      <c r="A554" s="93" t="s">
        <v>256</v>
      </c>
      <c r="B554" s="93" t="s">
        <v>879</v>
      </c>
      <c r="C554" s="93">
        <v>372</v>
      </c>
      <c r="D554" s="93" t="s">
        <v>24</v>
      </c>
      <c r="E554" s="93" t="s">
        <v>24</v>
      </c>
      <c r="F554" s="93" t="s">
        <v>126</v>
      </c>
      <c r="G554" s="93" t="s">
        <v>7183</v>
      </c>
      <c r="H554" s="93" t="s">
        <v>400</v>
      </c>
      <c r="I554" s="93" t="s">
        <v>111</v>
      </c>
      <c r="J554" s="93" t="s">
        <v>7105</v>
      </c>
      <c r="K554" s="93" t="s">
        <v>111</v>
      </c>
      <c r="L554" s="93" t="s">
        <v>111</v>
      </c>
      <c r="M554" s="93" t="s">
        <v>111</v>
      </c>
      <c r="N554" s="93" t="s">
        <v>111</v>
      </c>
      <c r="O554" s="93" t="s">
        <v>111</v>
      </c>
      <c r="P554" s="93" t="s">
        <v>111</v>
      </c>
      <c r="Q554" s="93" t="s">
        <v>111</v>
      </c>
      <c r="R554" s="93" t="s">
        <v>2</v>
      </c>
      <c r="S554" s="93" t="s">
        <v>111</v>
      </c>
      <c r="T554" s="93" t="s">
        <v>116</v>
      </c>
      <c r="U554" s="94">
        <v>44610.065972222219</v>
      </c>
      <c r="V554" s="93" t="s">
        <v>7072</v>
      </c>
      <c r="W554" s="93" t="s">
        <v>24</v>
      </c>
    </row>
    <row r="555" spans="1:23" x14ac:dyDescent="0.15">
      <c r="A555" s="93" t="s">
        <v>257</v>
      </c>
      <c r="B555" s="93" t="s">
        <v>880</v>
      </c>
      <c r="C555" s="93">
        <v>1862</v>
      </c>
      <c r="D555" s="93" t="s">
        <v>24</v>
      </c>
      <c r="E555" s="93" t="s">
        <v>24</v>
      </c>
      <c r="F555" s="93" t="s">
        <v>126</v>
      </c>
      <c r="G555" s="93" t="s">
        <v>7183</v>
      </c>
      <c r="H555" s="93" t="s">
        <v>400</v>
      </c>
      <c r="I555" s="93" t="s">
        <v>111</v>
      </c>
      <c r="J555" s="93" t="s">
        <v>7105</v>
      </c>
      <c r="K555" s="93" t="s">
        <v>111</v>
      </c>
      <c r="L555" s="93" t="s">
        <v>111</v>
      </c>
      <c r="M555" s="93" t="s">
        <v>111</v>
      </c>
      <c r="N555" s="93" t="s">
        <v>111</v>
      </c>
      <c r="O555" s="93" t="s">
        <v>111</v>
      </c>
      <c r="P555" s="93" t="s">
        <v>111</v>
      </c>
      <c r="Q555" s="93" t="s">
        <v>111</v>
      </c>
      <c r="R555" s="93" t="s">
        <v>2</v>
      </c>
      <c r="S555" s="93" t="s">
        <v>111</v>
      </c>
      <c r="T555" s="93" t="s">
        <v>116</v>
      </c>
      <c r="U555" s="94">
        <v>44610.100694444445</v>
      </c>
      <c r="V555" s="93" t="s">
        <v>7072</v>
      </c>
      <c r="W555" s="93" t="s">
        <v>24</v>
      </c>
    </row>
    <row r="556" spans="1:23" x14ac:dyDescent="0.15">
      <c r="A556" s="93" t="s">
        <v>258</v>
      </c>
      <c r="B556" s="93" t="s">
        <v>881</v>
      </c>
      <c r="C556" s="93">
        <v>408</v>
      </c>
      <c r="D556" s="93" t="s">
        <v>24</v>
      </c>
      <c r="E556" s="93" t="s">
        <v>24</v>
      </c>
      <c r="F556" s="93" t="s">
        <v>126</v>
      </c>
      <c r="G556" s="93" t="s">
        <v>7183</v>
      </c>
      <c r="H556" s="93" t="s">
        <v>400</v>
      </c>
      <c r="I556" s="93" t="s">
        <v>111</v>
      </c>
      <c r="J556" s="93" t="s">
        <v>7105</v>
      </c>
      <c r="K556" s="93" t="s">
        <v>111</v>
      </c>
      <c r="L556" s="93" t="s">
        <v>111</v>
      </c>
      <c r="M556" s="93" t="s">
        <v>111</v>
      </c>
      <c r="N556" s="93" t="s">
        <v>111</v>
      </c>
      <c r="O556" s="93" t="s">
        <v>111</v>
      </c>
      <c r="P556" s="93" t="s">
        <v>111</v>
      </c>
      <c r="Q556" s="93" t="s">
        <v>111</v>
      </c>
      <c r="R556" s="93" t="s">
        <v>2</v>
      </c>
      <c r="S556" s="93" t="s">
        <v>111</v>
      </c>
      <c r="T556" s="93" t="s">
        <v>116</v>
      </c>
      <c r="U556" s="94">
        <v>44610.1</v>
      </c>
      <c r="V556" s="93" t="s">
        <v>7072</v>
      </c>
      <c r="W556" s="93" t="s">
        <v>24</v>
      </c>
    </row>
    <row r="557" spans="1:23" x14ac:dyDescent="0.15">
      <c r="A557" s="93" t="s">
        <v>259</v>
      </c>
      <c r="B557" s="93" t="s">
        <v>882</v>
      </c>
      <c r="C557" s="93">
        <v>2040</v>
      </c>
      <c r="D557" s="93" t="s">
        <v>24</v>
      </c>
      <c r="E557" s="93" t="s">
        <v>24</v>
      </c>
      <c r="F557" s="93" t="s">
        <v>126</v>
      </c>
      <c r="G557" s="93" t="s">
        <v>7183</v>
      </c>
      <c r="H557" s="93" t="s">
        <v>400</v>
      </c>
      <c r="I557" s="93" t="s">
        <v>111</v>
      </c>
      <c r="J557" s="93" t="s">
        <v>7105</v>
      </c>
      <c r="K557" s="93" t="s">
        <v>111</v>
      </c>
      <c r="L557" s="93" t="s">
        <v>111</v>
      </c>
      <c r="M557" s="93" t="s">
        <v>111</v>
      </c>
      <c r="N557" s="93" t="s">
        <v>111</v>
      </c>
      <c r="O557" s="93" t="s">
        <v>111</v>
      </c>
      <c r="P557" s="93" t="s">
        <v>111</v>
      </c>
      <c r="Q557" s="93" t="s">
        <v>111</v>
      </c>
      <c r="R557" s="93" t="s">
        <v>2</v>
      </c>
      <c r="S557" s="93" t="s">
        <v>111</v>
      </c>
      <c r="T557" s="93" t="s">
        <v>116</v>
      </c>
      <c r="U557" s="94">
        <v>44610.053472222222</v>
      </c>
      <c r="V557" s="93" t="s">
        <v>7072</v>
      </c>
      <c r="W557" s="93" t="s">
        <v>24</v>
      </c>
    </row>
    <row r="558" spans="1:23" x14ac:dyDescent="0.15">
      <c r="A558" s="93" t="s">
        <v>260</v>
      </c>
      <c r="B558" s="93" t="s">
        <v>883</v>
      </c>
      <c r="C558" s="93">
        <v>444</v>
      </c>
      <c r="D558" s="93" t="s">
        <v>24</v>
      </c>
      <c r="E558" s="93" t="s">
        <v>24</v>
      </c>
      <c r="F558" s="93" t="s">
        <v>126</v>
      </c>
      <c r="G558" s="93" t="s">
        <v>7183</v>
      </c>
      <c r="H558" s="93" t="s">
        <v>400</v>
      </c>
      <c r="I558" s="93" t="s">
        <v>111</v>
      </c>
      <c r="J558" s="93" t="s">
        <v>7105</v>
      </c>
      <c r="K558" s="93" t="s">
        <v>111</v>
      </c>
      <c r="L558" s="93" t="s">
        <v>111</v>
      </c>
      <c r="M558" s="93" t="s">
        <v>111</v>
      </c>
      <c r="N558" s="93" t="s">
        <v>111</v>
      </c>
      <c r="O558" s="93" t="s">
        <v>111</v>
      </c>
      <c r="P558" s="93" t="s">
        <v>111</v>
      </c>
      <c r="Q558" s="93" t="s">
        <v>111</v>
      </c>
      <c r="R558" s="93" t="s">
        <v>2</v>
      </c>
      <c r="S558" s="93" t="s">
        <v>111</v>
      </c>
      <c r="T558" s="93" t="s">
        <v>116</v>
      </c>
      <c r="U558" s="94">
        <v>44610.122916666667</v>
      </c>
      <c r="V558" s="93" t="s">
        <v>7072</v>
      </c>
      <c r="W558" s="93" t="s">
        <v>24</v>
      </c>
    </row>
    <row r="559" spans="1:23" x14ac:dyDescent="0.15">
      <c r="A559" s="93" t="s">
        <v>261</v>
      </c>
      <c r="B559" s="93" t="s">
        <v>884</v>
      </c>
      <c r="C559" s="93">
        <v>2223</v>
      </c>
      <c r="D559" s="93" t="s">
        <v>24</v>
      </c>
      <c r="E559" s="93" t="s">
        <v>24</v>
      </c>
      <c r="F559" s="93" t="s">
        <v>126</v>
      </c>
      <c r="G559" s="93" t="s">
        <v>7183</v>
      </c>
      <c r="H559" s="93" t="s">
        <v>400</v>
      </c>
      <c r="I559" s="93" t="s">
        <v>111</v>
      </c>
      <c r="J559" s="93" t="s">
        <v>7105</v>
      </c>
      <c r="K559" s="93" t="s">
        <v>111</v>
      </c>
      <c r="L559" s="93" t="s">
        <v>111</v>
      </c>
      <c r="M559" s="93" t="s">
        <v>111</v>
      </c>
      <c r="N559" s="93" t="s">
        <v>111</v>
      </c>
      <c r="O559" s="93" t="s">
        <v>111</v>
      </c>
      <c r="P559" s="93" t="s">
        <v>111</v>
      </c>
      <c r="Q559" s="93" t="s">
        <v>111</v>
      </c>
      <c r="R559" s="93" t="s">
        <v>2</v>
      </c>
      <c r="S559" s="93" t="s">
        <v>111</v>
      </c>
      <c r="T559" s="93" t="s">
        <v>116</v>
      </c>
      <c r="U559" s="94">
        <v>44610.075694444444</v>
      </c>
      <c r="V559" s="93" t="s">
        <v>7072</v>
      </c>
      <c r="W559" s="93" t="s">
        <v>24</v>
      </c>
    </row>
    <row r="560" spans="1:23" x14ac:dyDescent="0.15">
      <c r="A560" s="93" t="s">
        <v>262</v>
      </c>
      <c r="B560" s="93" t="s">
        <v>807</v>
      </c>
      <c r="C560" s="93">
        <v>4.83</v>
      </c>
      <c r="D560" s="93" t="s">
        <v>24</v>
      </c>
      <c r="E560" s="93" t="s">
        <v>24</v>
      </c>
      <c r="F560" s="93" t="s">
        <v>126</v>
      </c>
      <c r="G560" s="93" t="s">
        <v>7185</v>
      </c>
      <c r="H560" s="93" t="s">
        <v>400</v>
      </c>
      <c r="I560" s="93" t="s">
        <v>111</v>
      </c>
      <c r="J560" s="93" t="s">
        <v>7105</v>
      </c>
      <c r="K560" s="93" t="s">
        <v>111</v>
      </c>
      <c r="L560" s="93" t="s">
        <v>111</v>
      </c>
      <c r="M560" s="93" t="s">
        <v>111</v>
      </c>
      <c r="N560" s="93" t="s">
        <v>111</v>
      </c>
      <c r="O560" s="93" t="s">
        <v>111</v>
      </c>
      <c r="P560" s="93" t="s">
        <v>111</v>
      </c>
      <c r="Q560" s="93" t="s">
        <v>111</v>
      </c>
      <c r="R560" s="93" t="s">
        <v>2</v>
      </c>
      <c r="S560" s="93" t="s">
        <v>111</v>
      </c>
      <c r="T560" s="93" t="s">
        <v>116</v>
      </c>
      <c r="U560" s="94">
        <v>44610.102777777778</v>
      </c>
      <c r="V560" s="93" t="s">
        <v>7072</v>
      </c>
      <c r="W560" s="93" t="s">
        <v>24</v>
      </c>
    </row>
    <row r="561" spans="1:23" x14ac:dyDescent="0.15">
      <c r="A561" s="93" t="s">
        <v>263</v>
      </c>
      <c r="B561" s="93" t="s">
        <v>811</v>
      </c>
      <c r="C561" s="93">
        <v>44.85</v>
      </c>
      <c r="D561" s="93" t="s">
        <v>24</v>
      </c>
      <c r="E561" s="93" t="s">
        <v>24</v>
      </c>
      <c r="F561" s="93" t="s">
        <v>126</v>
      </c>
      <c r="G561" s="93" t="s">
        <v>7185</v>
      </c>
      <c r="H561" s="93" t="s">
        <v>400</v>
      </c>
      <c r="I561" s="93" t="s">
        <v>111</v>
      </c>
      <c r="J561" s="93" t="s">
        <v>7105</v>
      </c>
      <c r="K561" s="93" t="s">
        <v>111</v>
      </c>
      <c r="L561" s="93" t="s">
        <v>111</v>
      </c>
      <c r="M561" s="93" t="s">
        <v>111</v>
      </c>
      <c r="N561" s="93" t="s">
        <v>111</v>
      </c>
      <c r="O561" s="93" t="s">
        <v>111</v>
      </c>
      <c r="P561" s="93" t="s">
        <v>111</v>
      </c>
      <c r="Q561" s="93" t="s">
        <v>111</v>
      </c>
      <c r="R561" s="93" t="s">
        <v>2</v>
      </c>
      <c r="S561" s="93" t="s">
        <v>111</v>
      </c>
      <c r="T561" s="93" t="s">
        <v>116</v>
      </c>
      <c r="U561" s="94">
        <v>44610.109027777777</v>
      </c>
      <c r="V561" s="93" t="s">
        <v>7072</v>
      </c>
      <c r="W561" s="93" t="s">
        <v>24</v>
      </c>
    </row>
    <row r="562" spans="1:23" x14ac:dyDescent="0.15">
      <c r="A562" s="93" t="s">
        <v>264</v>
      </c>
      <c r="B562" s="93" t="s">
        <v>812</v>
      </c>
      <c r="C562" s="93">
        <v>76.59</v>
      </c>
      <c r="D562" s="93" t="s">
        <v>24</v>
      </c>
      <c r="E562" s="93" t="s">
        <v>24</v>
      </c>
      <c r="F562" s="93" t="s">
        <v>126</v>
      </c>
      <c r="G562" s="93" t="s">
        <v>7185</v>
      </c>
      <c r="H562" s="93" t="s">
        <v>400</v>
      </c>
      <c r="I562" s="93" t="s">
        <v>111</v>
      </c>
      <c r="J562" s="93" t="s">
        <v>7105</v>
      </c>
      <c r="K562" s="93" t="s">
        <v>111</v>
      </c>
      <c r="L562" s="93" t="s">
        <v>111</v>
      </c>
      <c r="M562" s="93" t="s">
        <v>111</v>
      </c>
      <c r="N562" s="93" t="s">
        <v>111</v>
      </c>
      <c r="O562" s="93" t="s">
        <v>111</v>
      </c>
      <c r="P562" s="93" t="s">
        <v>111</v>
      </c>
      <c r="Q562" s="93" t="s">
        <v>111</v>
      </c>
      <c r="R562" s="93" t="s">
        <v>2</v>
      </c>
      <c r="S562" s="93" t="s">
        <v>111</v>
      </c>
      <c r="T562" s="93" t="s">
        <v>116</v>
      </c>
      <c r="U562" s="94">
        <v>44610.09375</v>
      </c>
      <c r="V562" s="93" t="s">
        <v>7072</v>
      </c>
      <c r="W562" s="93" t="s">
        <v>24</v>
      </c>
    </row>
    <row r="563" spans="1:23" x14ac:dyDescent="0.15">
      <c r="A563" s="93" t="s">
        <v>265</v>
      </c>
      <c r="B563" s="93" t="s">
        <v>813</v>
      </c>
      <c r="C563" s="93">
        <v>78.66</v>
      </c>
      <c r="D563" s="93" t="s">
        <v>24</v>
      </c>
      <c r="E563" s="93" t="s">
        <v>24</v>
      </c>
      <c r="F563" s="93" t="s">
        <v>126</v>
      </c>
      <c r="G563" s="93" t="s">
        <v>7185</v>
      </c>
      <c r="H563" s="93" t="s">
        <v>400</v>
      </c>
      <c r="I563" s="93" t="s">
        <v>111</v>
      </c>
      <c r="J563" s="93" t="s">
        <v>7105</v>
      </c>
      <c r="K563" s="93" t="s">
        <v>111</v>
      </c>
      <c r="L563" s="93" t="s">
        <v>111</v>
      </c>
      <c r="M563" s="93" t="s">
        <v>111</v>
      </c>
      <c r="N563" s="93" t="s">
        <v>111</v>
      </c>
      <c r="O563" s="93" t="s">
        <v>111</v>
      </c>
      <c r="P563" s="93" t="s">
        <v>111</v>
      </c>
      <c r="Q563" s="93" t="s">
        <v>111</v>
      </c>
      <c r="R563" s="93" t="s">
        <v>2</v>
      </c>
      <c r="S563" s="93" t="s">
        <v>111</v>
      </c>
      <c r="T563" s="93" t="s">
        <v>116</v>
      </c>
      <c r="U563" s="94">
        <v>44610.126388888886</v>
      </c>
      <c r="V563" s="93" t="s">
        <v>7072</v>
      </c>
      <c r="W563" s="93" t="s">
        <v>24</v>
      </c>
    </row>
    <row r="564" spans="1:23" x14ac:dyDescent="0.15">
      <c r="A564" s="93" t="s">
        <v>266</v>
      </c>
      <c r="B564" s="93" t="s">
        <v>885</v>
      </c>
      <c r="C564" s="93">
        <v>12</v>
      </c>
      <c r="D564" s="93" t="s">
        <v>24</v>
      </c>
      <c r="E564" s="93" t="s">
        <v>24</v>
      </c>
      <c r="F564" s="93" t="s">
        <v>126</v>
      </c>
      <c r="G564" s="93" t="s">
        <v>7185</v>
      </c>
      <c r="H564" s="93" t="s">
        <v>400</v>
      </c>
      <c r="I564" s="93" t="s">
        <v>111</v>
      </c>
      <c r="J564" s="93" t="s">
        <v>7105</v>
      </c>
      <c r="K564" s="93" t="s">
        <v>111</v>
      </c>
      <c r="L564" s="93" t="s">
        <v>111</v>
      </c>
      <c r="M564" s="93" t="s">
        <v>111</v>
      </c>
      <c r="N564" s="93" t="s">
        <v>111</v>
      </c>
      <c r="O564" s="93" t="s">
        <v>111</v>
      </c>
      <c r="P564" s="93" t="s">
        <v>111</v>
      </c>
      <c r="Q564" s="93" t="s">
        <v>111</v>
      </c>
      <c r="R564" s="93" t="s">
        <v>2</v>
      </c>
      <c r="S564" s="93" t="s">
        <v>111</v>
      </c>
      <c r="T564" s="93" t="s">
        <v>116</v>
      </c>
      <c r="U564" s="94">
        <v>44610.061111111114</v>
      </c>
      <c r="V564" s="93" t="s">
        <v>7072</v>
      </c>
      <c r="W564" s="93" t="s">
        <v>24</v>
      </c>
    </row>
    <row r="565" spans="1:23" x14ac:dyDescent="0.15">
      <c r="A565" s="93" t="s">
        <v>267</v>
      </c>
      <c r="B565" s="93" t="s">
        <v>814</v>
      </c>
      <c r="C565" s="93">
        <v>88.32</v>
      </c>
      <c r="D565" s="93" t="s">
        <v>24</v>
      </c>
      <c r="E565" s="93" t="s">
        <v>24</v>
      </c>
      <c r="F565" s="93" t="s">
        <v>126</v>
      </c>
      <c r="G565" s="93" t="s">
        <v>7185</v>
      </c>
      <c r="H565" s="93" t="s">
        <v>400</v>
      </c>
      <c r="I565" s="93" t="s">
        <v>111</v>
      </c>
      <c r="J565" s="93" t="s">
        <v>7105</v>
      </c>
      <c r="K565" s="93" t="s">
        <v>111</v>
      </c>
      <c r="L565" s="93" t="s">
        <v>111</v>
      </c>
      <c r="M565" s="93" t="s">
        <v>111</v>
      </c>
      <c r="N565" s="93" t="s">
        <v>111</v>
      </c>
      <c r="O565" s="93" t="s">
        <v>111</v>
      </c>
      <c r="P565" s="93" t="s">
        <v>111</v>
      </c>
      <c r="Q565" s="93" t="s">
        <v>111</v>
      </c>
      <c r="R565" s="93" t="s">
        <v>2</v>
      </c>
      <c r="S565" s="93" t="s">
        <v>111</v>
      </c>
      <c r="T565" s="93" t="s">
        <v>116</v>
      </c>
      <c r="U565" s="94">
        <v>44610.068749999999</v>
      </c>
      <c r="V565" s="93" t="s">
        <v>7072</v>
      </c>
      <c r="W565" s="93" t="s">
        <v>24</v>
      </c>
    </row>
    <row r="566" spans="1:23" x14ac:dyDescent="0.15">
      <c r="A566" s="93" t="s">
        <v>268</v>
      </c>
      <c r="B566" s="93" t="s">
        <v>815</v>
      </c>
      <c r="C566" s="93">
        <v>149.04</v>
      </c>
      <c r="D566" s="93" t="s">
        <v>24</v>
      </c>
      <c r="E566" s="93" t="s">
        <v>24</v>
      </c>
      <c r="F566" s="93" t="s">
        <v>126</v>
      </c>
      <c r="G566" s="93" t="s">
        <v>7185</v>
      </c>
      <c r="H566" s="93" t="s">
        <v>400</v>
      </c>
      <c r="I566" s="93" t="s">
        <v>111</v>
      </c>
      <c r="J566" s="93" t="s">
        <v>7105</v>
      </c>
      <c r="K566" s="93" t="s">
        <v>111</v>
      </c>
      <c r="L566" s="93" t="s">
        <v>111</v>
      </c>
      <c r="M566" s="93" t="s">
        <v>111</v>
      </c>
      <c r="N566" s="93" t="s">
        <v>111</v>
      </c>
      <c r="O566" s="93" t="s">
        <v>111</v>
      </c>
      <c r="P566" s="93" t="s">
        <v>111</v>
      </c>
      <c r="Q566" s="93" t="s">
        <v>111</v>
      </c>
      <c r="R566" s="93" t="s">
        <v>2</v>
      </c>
      <c r="S566" s="93" t="s">
        <v>111</v>
      </c>
      <c r="T566" s="93" t="s">
        <v>116</v>
      </c>
      <c r="U566" s="94">
        <v>44610.055555555555</v>
      </c>
      <c r="V566" s="93" t="s">
        <v>7072</v>
      </c>
      <c r="W566" s="93" t="s">
        <v>24</v>
      </c>
    </row>
    <row r="567" spans="1:23" x14ac:dyDescent="0.15">
      <c r="A567" s="93" t="s">
        <v>269</v>
      </c>
      <c r="B567" s="93" t="s">
        <v>816</v>
      </c>
      <c r="C567" s="93">
        <v>35.880000000000003</v>
      </c>
      <c r="D567" s="93" t="s">
        <v>24</v>
      </c>
      <c r="E567" s="93" t="s">
        <v>24</v>
      </c>
      <c r="F567" s="93" t="s">
        <v>126</v>
      </c>
      <c r="G567" s="93" t="s">
        <v>7185</v>
      </c>
      <c r="H567" s="93" t="s">
        <v>400</v>
      </c>
      <c r="I567" s="93" t="s">
        <v>111</v>
      </c>
      <c r="J567" s="93" t="s">
        <v>7105</v>
      </c>
      <c r="K567" s="93" t="s">
        <v>111</v>
      </c>
      <c r="L567" s="93" t="s">
        <v>111</v>
      </c>
      <c r="M567" s="93" t="s">
        <v>111</v>
      </c>
      <c r="N567" s="93" t="s">
        <v>111</v>
      </c>
      <c r="O567" s="93" t="s">
        <v>111</v>
      </c>
      <c r="P567" s="93" t="s">
        <v>111</v>
      </c>
      <c r="Q567" s="93" t="s">
        <v>111</v>
      </c>
      <c r="R567" s="93" t="s">
        <v>2</v>
      </c>
      <c r="S567" s="93" t="s">
        <v>111</v>
      </c>
      <c r="T567" s="93" t="s">
        <v>116</v>
      </c>
      <c r="U567" s="94">
        <v>44610.115972222222</v>
      </c>
      <c r="V567" s="93" t="s">
        <v>7072</v>
      </c>
      <c r="W567" s="93" t="s">
        <v>24</v>
      </c>
    </row>
    <row r="568" spans="1:23" x14ac:dyDescent="0.15">
      <c r="A568" s="93" t="s">
        <v>270</v>
      </c>
      <c r="B568" s="93" t="s">
        <v>30</v>
      </c>
      <c r="C568" s="93">
        <v>26</v>
      </c>
      <c r="D568" s="93" t="s">
        <v>24</v>
      </c>
      <c r="E568" s="93" t="s">
        <v>24</v>
      </c>
      <c r="F568" s="93" t="s">
        <v>126</v>
      </c>
      <c r="G568" s="93" t="s">
        <v>7185</v>
      </c>
      <c r="H568" s="93" t="s">
        <v>400</v>
      </c>
      <c r="I568" s="93" t="s">
        <v>111</v>
      </c>
      <c r="J568" s="93" t="s">
        <v>7105</v>
      </c>
      <c r="K568" s="93" t="s">
        <v>111</v>
      </c>
      <c r="L568" s="93" t="s">
        <v>111</v>
      </c>
      <c r="M568" s="93" t="s">
        <v>111</v>
      </c>
      <c r="N568" s="93" t="s">
        <v>111</v>
      </c>
      <c r="O568" s="93" t="s">
        <v>111</v>
      </c>
      <c r="P568" s="93" t="s">
        <v>111</v>
      </c>
      <c r="Q568" s="93" t="s">
        <v>111</v>
      </c>
      <c r="R568" s="93" t="s">
        <v>2</v>
      </c>
      <c r="S568" s="93" t="s">
        <v>111</v>
      </c>
      <c r="T568" s="93" t="s">
        <v>116</v>
      </c>
      <c r="U568" s="94">
        <v>44610.074999999997</v>
      </c>
      <c r="V568" s="93" t="s">
        <v>7072</v>
      </c>
      <c r="W568" s="93" t="s">
        <v>24</v>
      </c>
    </row>
    <row r="569" spans="1:23" x14ac:dyDescent="0.15">
      <c r="A569" s="93" t="s">
        <v>271</v>
      </c>
      <c r="B569" s="93" t="s">
        <v>818</v>
      </c>
      <c r="C569" s="93">
        <v>144.9</v>
      </c>
      <c r="D569" s="93" t="s">
        <v>24</v>
      </c>
      <c r="E569" s="93" t="s">
        <v>24</v>
      </c>
      <c r="F569" s="93" t="s">
        <v>126</v>
      </c>
      <c r="G569" s="93" t="s">
        <v>7185</v>
      </c>
      <c r="H569" s="93" t="s">
        <v>400</v>
      </c>
      <c r="I569" s="93" t="s">
        <v>111</v>
      </c>
      <c r="J569" s="93" t="s">
        <v>7105</v>
      </c>
      <c r="K569" s="93" t="s">
        <v>111</v>
      </c>
      <c r="L569" s="93" t="s">
        <v>111</v>
      </c>
      <c r="M569" s="93" t="s">
        <v>111</v>
      </c>
      <c r="N569" s="93" t="s">
        <v>111</v>
      </c>
      <c r="O569" s="93" t="s">
        <v>111</v>
      </c>
      <c r="P569" s="93" t="s">
        <v>111</v>
      </c>
      <c r="Q569" s="93" t="s">
        <v>111</v>
      </c>
      <c r="R569" s="93" t="s">
        <v>2</v>
      </c>
      <c r="S569" s="93" t="s">
        <v>111</v>
      </c>
      <c r="T569" s="93" t="s">
        <v>116</v>
      </c>
      <c r="U569" s="94">
        <v>44610.086805555555</v>
      </c>
      <c r="V569" s="93" t="s">
        <v>7072</v>
      </c>
      <c r="W569" s="93" t="s">
        <v>24</v>
      </c>
    </row>
    <row r="570" spans="1:23" x14ac:dyDescent="0.15">
      <c r="A570" s="93" t="s">
        <v>7470</v>
      </c>
      <c r="B570" s="93" t="s">
        <v>7471</v>
      </c>
      <c r="C570" s="93">
        <v>390</v>
      </c>
      <c r="D570" s="93" t="s">
        <v>24</v>
      </c>
      <c r="E570" s="93" t="s">
        <v>24</v>
      </c>
      <c r="F570" s="93" t="s">
        <v>399</v>
      </c>
      <c r="G570" s="93" t="s">
        <v>7183</v>
      </c>
      <c r="H570" s="93" t="s">
        <v>400</v>
      </c>
      <c r="I570" s="93" t="s">
        <v>111</v>
      </c>
      <c r="J570" s="93" t="s">
        <v>7105</v>
      </c>
      <c r="K570" s="93" t="s">
        <v>111</v>
      </c>
      <c r="L570" s="93" t="s">
        <v>111</v>
      </c>
      <c r="M570" s="93" t="s">
        <v>111</v>
      </c>
      <c r="N570" s="93" t="s">
        <v>111</v>
      </c>
      <c r="O570" s="93" t="s">
        <v>111</v>
      </c>
      <c r="P570" s="93" t="s">
        <v>111</v>
      </c>
      <c r="Q570" s="93" t="s">
        <v>228</v>
      </c>
      <c r="R570" s="93" t="s">
        <v>111</v>
      </c>
      <c r="S570" s="93" t="s">
        <v>115</v>
      </c>
      <c r="T570" s="93" t="s">
        <v>116</v>
      </c>
      <c r="U570" s="94">
        <v>44610.056250000001</v>
      </c>
      <c r="V570" s="93" t="s">
        <v>7072</v>
      </c>
      <c r="W570" s="93" t="s">
        <v>24</v>
      </c>
    </row>
    <row r="571" spans="1:23" x14ac:dyDescent="0.15">
      <c r="A571" s="93" t="s">
        <v>7472</v>
      </c>
      <c r="B571" s="93" t="s">
        <v>7473</v>
      </c>
      <c r="C571" s="93">
        <v>995</v>
      </c>
      <c r="D571" s="93" t="s">
        <v>24</v>
      </c>
      <c r="E571" s="93" t="s">
        <v>24</v>
      </c>
      <c r="F571" s="93" t="s">
        <v>399</v>
      </c>
      <c r="G571" s="93" t="s">
        <v>7183</v>
      </c>
      <c r="H571" s="93" t="s">
        <v>400</v>
      </c>
      <c r="I571" s="93" t="s">
        <v>111</v>
      </c>
      <c r="J571" s="93" t="s">
        <v>7105</v>
      </c>
      <c r="K571" s="93" t="s">
        <v>111</v>
      </c>
      <c r="L571" s="93" t="s">
        <v>111</v>
      </c>
      <c r="M571" s="93" t="s">
        <v>111</v>
      </c>
      <c r="N571" s="93" t="s">
        <v>111</v>
      </c>
      <c r="O571" s="93" t="s">
        <v>111</v>
      </c>
      <c r="P571" s="93" t="s">
        <v>111</v>
      </c>
      <c r="Q571" s="93" t="s">
        <v>228</v>
      </c>
      <c r="R571" s="93" t="s">
        <v>111</v>
      </c>
      <c r="S571" s="93" t="s">
        <v>115</v>
      </c>
      <c r="T571" s="93" t="s">
        <v>116</v>
      </c>
      <c r="U571" s="94">
        <v>44610.111111111109</v>
      </c>
      <c r="V571" s="93" t="s">
        <v>7072</v>
      </c>
      <c r="W571" s="93" t="s">
        <v>24</v>
      </c>
    </row>
    <row r="572" spans="1:23" x14ac:dyDescent="0.15">
      <c r="A572" s="93" t="s">
        <v>7474</v>
      </c>
      <c r="B572" s="93" t="s">
        <v>7475</v>
      </c>
      <c r="C572" s="93">
        <v>1560</v>
      </c>
      <c r="D572" s="93" t="s">
        <v>24</v>
      </c>
      <c r="E572" s="93" t="s">
        <v>24</v>
      </c>
      <c r="F572" s="93" t="s">
        <v>399</v>
      </c>
      <c r="G572" s="93" t="s">
        <v>7183</v>
      </c>
      <c r="H572" s="93" t="s">
        <v>400</v>
      </c>
      <c r="I572" s="93" t="s">
        <v>111</v>
      </c>
      <c r="J572" s="93" t="s">
        <v>7105</v>
      </c>
      <c r="K572" s="93" t="s">
        <v>111</v>
      </c>
      <c r="L572" s="93" t="s">
        <v>111</v>
      </c>
      <c r="M572" s="93" t="s">
        <v>111</v>
      </c>
      <c r="N572" s="93" t="s">
        <v>111</v>
      </c>
      <c r="O572" s="93" t="s">
        <v>111</v>
      </c>
      <c r="P572" s="93" t="s">
        <v>111</v>
      </c>
      <c r="Q572" s="93" t="s">
        <v>228</v>
      </c>
      <c r="R572" s="93" t="s">
        <v>111</v>
      </c>
      <c r="S572" s="93" t="s">
        <v>115</v>
      </c>
      <c r="T572" s="93" t="s">
        <v>116</v>
      </c>
      <c r="U572" s="94">
        <v>44610.088888888888</v>
      </c>
      <c r="V572" s="93" t="s">
        <v>7072</v>
      </c>
      <c r="W572" s="93" t="s">
        <v>24</v>
      </c>
    </row>
    <row r="573" spans="1:23" x14ac:dyDescent="0.15">
      <c r="A573" s="93" t="s">
        <v>7476</v>
      </c>
      <c r="B573" s="93" t="s">
        <v>7477</v>
      </c>
      <c r="C573" s="93">
        <v>17</v>
      </c>
      <c r="D573" s="93" t="s">
        <v>24</v>
      </c>
      <c r="E573" s="93" t="s">
        <v>24</v>
      </c>
      <c r="F573" s="93" t="s">
        <v>399</v>
      </c>
      <c r="G573" s="93" t="s">
        <v>7183</v>
      </c>
      <c r="H573" s="93" t="s">
        <v>400</v>
      </c>
      <c r="I573" s="93" t="s">
        <v>111</v>
      </c>
      <c r="J573" s="93" t="s">
        <v>7105</v>
      </c>
      <c r="K573" s="93" t="s">
        <v>111</v>
      </c>
      <c r="L573" s="93" t="s">
        <v>111</v>
      </c>
      <c r="M573" s="93" t="s">
        <v>111</v>
      </c>
      <c r="N573" s="93" t="s">
        <v>111</v>
      </c>
      <c r="O573" s="93" t="s">
        <v>111</v>
      </c>
      <c r="P573" s="93" t="s">
        <v>111</v>
      </c>
      <c r="Q573" s="93" t="s">
        <v>228</v>
      </c>
      <c r="R573" s="93" t="s">
        <v>111</v>
      </c>
      <c r="S573" s="93" t="s">
        <v>115</v>
      </c>
      <c r="T573" s="93" t="s">
        <v>116</v>
      </c>
      <c r="U573" s="94">
        <v>44610.095833333333</v>
      </c>
      <c r="V573" s="93" t="s">
        <v>7072</v>
      </c>
      <c r="W573" s="93" t="s">
        <v>24</v>
      </c>
    </row>
    <row r="574" spans="1:23" x14ac:dyDescent="0.15">
      <c r="A574" s="93" t="s">
        <v>7478</v>
      </c>
      <c r="B574" s="93" t="s">
        <v>7479</v>
      </c>
      <c r="C574" s="93">
        <v>44</v>
      </c>
      <c r="D574" s="93" t="s">
        <v>24</v>
      </c>
      <c r="E574" s="93" t="s">
        <v>24</v>
      </c>
      <c r="F574" s="93" t="s">
        <v>399</v>
      </c>
      <c r="G574" s="93" t="s">
        <v>7183</v>
      </c>
      <c r="H574" s="93" t="s">
        <v>400</v>
      </c>
      <c r="I574" s="93" t="s">
        <v>111</v>
      </c>
      <c r="J574" s="93" t="s">
        <v>7105</v>
      </c>
      <c r="K574" s="93" t="s">
        <v>111</v>
      </c>
      <c r="L574" s="93" t="s">
        <v>111</v>
      </c>
      <c r="M574" s="93" t="s">
        <v>111</v>
      </c>
      <c r="N574" s="93" t="s">
        <v>111</v>
      </c>
      <c r="O574" s="93" t="s">
        <v>111</v>
      </c>
      <c r="P574" s="93" t="s">
        <v>111</v>
      </c>
      <c r="Q574" s="93" t="s">
        <v>228</v>
      </c>
      <c r="R574" s="93" t="s">
        <v>111</v>
      </c>
      <c r="S574" s="93" t="s">
        <v>115</v>
      </c>
      <c r="T574" s="93" t="s">
        <v>116</v>
      </c>
      <c r="U574" s="94">
        <v>44610.07916666667</v>
      </c>
      <c r="V574" s="93" t="s">
        <v>7072</v>
      </c>
      <c r="W574" s="93" t="s">
        <v>24</v>
      </c>
    </row>
    <row r="575" spans="1:23" x14ac:dyDescent="0.15">
      <c r="A575" s="93" t="s">
        <v>7480</v>
      </c>
      <c r="B575" s="93" t="s">
        <v>7481</v>
      </c>
      <c r="C575" s="93">
        <v>68</v>
      </c>
      <c r="D575" s="93" t="s">
        <v>24</v>
      </c>
      <c r="E575" s="93" t="s">
        <v>24</v>
      </c>
      <c r="F575" s="93" t="s">
        <v>399</v>
      </c>
      <c r="G575" s="93" t="s">
        <v>7183</v>
      </c>
      <c r="H575" s="93" t="s">
        <v>400</v>
      </c>
      <c r="I575" s="93" t="s">
        <v>111</v>
      </c>
      <c r="J575" s="93" t="s">
        <v>7105</v>
      </c>
      <c r="K575" s="93" t="s">
        <v>111</v>
      </c>
      <c r="L575" s="93" t="s">
        <v>111</v>
      </c>
      <c r="M575" s="93" t="s">
        <v>111</v>
      </c>
      <c r="N575" s="93" t="s">
        <v>111</v>
      </c>
      <c r="O575" s="93" t="s">
        <v>111</v>
      </c>
      <c r="P575" s="93" t="s">
        <v>111</v>
      </c>
      <c r="Q575" s="93" t="s">
        <v>228</v>
      </c>
      <c r="R575" s="93" t="s">
        <v>111</v>
      </c>
      <c r="S575" s="93" t="s">
        <v>115</v>
      </c>
      <c r="T575" s="93" t="s">
        <v>116</v>
      </c>
      <c r="U575" s="94">
        <v>44610.056250000001</v>
      </c>
      <c r="V575" s="93" t="s">
        <v>7072</v>
      </c>
      <c r="W575" s="93" t="s">
        <v>24</v>
      </c>
    </row>
    <row r="576" spans="1:23" x14ac:dyDescent="0.15">
      <c r="A576" s="93" t="s">
        <v>272</v>
      </c>
      <c r="B576" s="93" t="s">
        <v>364</v>
      </c>
      <c r="C576" s="93">
        <v>34</v>
      </c>
      <c r="D576" s="93" t="s">
        <v>24</v>
      </c>
      <c r="E576" s="93" t="s">
        <v>24</v>
      </c>
      <c r="F576" s="93" t="s">
        <v>126</v>
      </c>
      <c r="G576" s="93" t="s">
        <v>7183</v>
      </c>
      <c r="H576" s="93" t="s">
        <v>400</v>
      </c>
      <c r="I576" s="93" t="s">
        <v>111</v>
      </c>
      <c r="J576" s="93" t="s">
        <v>7105</v>
      </c>
      <c r="K576" s="93" t="s">
        <v>111</v>
      </c>
      <c r="L576" s="93" t="s">
        <v>111</v>
      </c>
      <c r="M576" s="93" t="s">
        <v>111</v>
      </c>
      <c r="N576" s="93" t="s">
        <v>111</v>
      </c>
      <c r="O576" s="93" t="s">
        <v>111</v>
      </c>
      <c r="P576" s="93" t="s">
        <v>111</v>
      </c>
      <c r="Q576" s="93" t="s">
        <v>111</v>
      </c>
      <c r="R576" s="93" t="s">
        <v>2</v>
      </c>
      <c r="S576" s="93" t="s">
        <v>111</v>
      </c>
      <c r="T576" s="93" t="s">
        <v>116</v>
      </c>
      <c r="U576" s="94">
        <v>44610.061111111114</v>
      </c>
      <c r="V576" s="93" t="s">
        <v>7072</v>
      </c>
      <c r="W576" s="93" t="s">
        <v>24</v>
      </c>
    </row>
    <row r="577" spans="1:23" x14ac:dyDescent="0.15">
      <c r="A577" s="93" t="s">
        <v>273</v>
      </c>
      <c r="B577" s="93" t="s">
        <v>366</v>
      </c>
      <c r="C577" s="93">
        <v>169</v>
      </c>
      <c r="D577" s="93" t="s">
        <v>24</v>
      </c>
      <c r="E577" s="93" t="s">
        <v>24</v>
      </c>
      <c r="F577" s="93" t="s">
        <v>126</v>
      </c>
      <c r="G577" s="93" t="s">
        <v>7183</v>
      </c>
      <c r="H577" s="93" t="s">
        <v>400</v>
      </c>
      <c r="I577" s="93" t="s">
        <v>111</v>
      </c>
      <c r="J577" s="93" t="s">
        <v>7105</v>
      </c>
      <c r="K577" s="93" t="s">
        <v>111</v>
      </c>
      <c r="L577" s="93" t="s">
        <v>111</v>
      </c>
      <c r="M577" s="93" t="s">
        <v>111</v>
      </c>
      <c r="N577" s="93" t="s">
        <v>111</v>
      </c>
      <c r="O577" s="93" t="s">
        <v>111</v>
      </c>
      <c r="P577" s="93" t="s">
        <v>111</v>
      </c>
      <c r="Q577" s="93" t="s">
        <v>111</v>
      </c>
      <c r="R577" s="93" t="s">
        <v>2</v>
      </c>
      <c r="S577" s="93" t="s">
        <v>111</v>
      </c>
      <c r="T577" s="93" t="s">
        <v>116</v>
      </c>
      <c r="U577" s="94">
        <v>44610.127083333333</v>
      </c>
      <c r="V577" s="93" t="s">
        <v>7072</v>
      </c>
      <c r="W577" s="93" t="s">
        <v>24</v>
      </c>
    </row>
    <row r="578" spans="1:23" x14ac:dyDescent="0.15">
      <c r="A578" s="93" t="s">
        <v>274</v>
      </c>
      <c r="B578" s="93" t="s">
        <v>368</v>
      </c>
      <c r="C578" s="93">
        <v>84</v>
      </c>
      <c r="D578" s="93" t="s">
        <v>24</v>
      </c>
      <c r="E578" s="93" t="s">
        <v>24</v>
      </c>
      <c r="F578" s="93" t="s">
        <v>126</v>
      </c>
      <c r="G578" s="93" t="s">
        <v>7183</v>
      </c>
      <c r="H578" s="93" t="s">
        <v>400</v>
      </c>
      <c r="I578" s="93" t="s">
        <v>111</v>
      </c>
      <c r="J578" s="93" t="s">
        <v>7105</v>
      </c>
      <c r="K578" s="93" t="s">
        <v>111</v>
      </c>
      <c r="L578" s="93" t="s">
        <v>111</v>
      </c>
      <c r="M578" s="93" t="s">
        <v>111</v>
      </c>
      <c r="N578" s="93" t="s">
        <v>111</v>
      </c>
      <c r="O578" s="93" t="s">
        <v>111</v>
      </c>
      <c r="P578" s="93" t="s">
        <v>111</v>
      </c>
      <c r="Q578" s="93" t="s">
        <v>111</v>
      </c>
      <c r="R578" s="93" t="s">
        <v>2</v>
      </c>
      <c r="S578" s="93" t="s">
        <v>111</v>
      </c>
      <c r="T578" s="93" t="s">
        <v>116</v>
      </c>
      <c r="U578" s="94">
        <v>44610.094444444447</v>
      </c>
      <c r="V578" s="93" t="s">
        <v>7072</v>
      </c>
      <c r="W578" s="93" t="s">
        <v>24</v>
      </c>
    </row>
    <row r="579" spans="1:23" x14ac:dyDescent="0.15">
      <c r="A579" s="93" t="s">
        <v>275</v>
      </c>
      <c r="B579" s="93" t="s">
        <v>371</v>
      </c>
      <c r="C579" s="93">
        <v>156</v>
      </c>
      <c r="D579" s="93" t="s">
        <v>24</v>
      </c>
      <c r="E579" s="93" t="s">
        <v>24</v>
      </c>
      <c r="F579" s="93" t="s">
        <v>126</v>
      </c>
      <c r="G579" s="93" t="s">
        <v>7183</v>
      </c>
      <c r="H579" s="93" t="s">
        <v>400</v>
      </c>
      <c r="I579" s="93" t="s">
        <v>111</v>
      </c>
      <c r="J579" s="93" t="s">
        <v>7105</v>
      </c>
      <c r="K579" s="93" t="s">
        <v>111</v>
      </c>
      <c r="L579" s="93" t="s">
        <v>111</v>
      </c>
      <c r="M579" s="93" t="s">
        <v>111</v>
      </c>
      <c r="N579" s="93" t="s">
        <v>111</v>
      </c>
      <c r="O579" s="93" t="s">
        <v>111</v>
      </c>
      <c r="P579" s="93" t="s">
        <v>111</v>
      </c>
      <c r="Q579" s="93" t="s">
        <v>111</v>
      </c>
      <c r="R579" s="93" t="s">
        <v>2</v>
      </c>
      <c r="S579" s="93" t="s">
        <v>111</v>
      </c>
      <c r="T579" s="93" t="s">
        <v>116</v>
      </c>
      <c r="U579" s="94">
        <v>44610.077777777777</v>
      </c>
      <c r="V579" s="93" t="s">
        <v>7072</v>
      </c>
      <c r="W579" s="93" t="s">
        <v>24</v>
      </c>
    </row>
    <row r="580" spans="1:23" x14ac:dyDescent="0.15">
      <c r="A580" s="93" t="s">
        <v>276</v>
      </c>
      <c r="B580" s="93" t="s">
        <v>374</v>
      </c>
      <c r="C580" s="93">
        <v>123</v>
      </c>
      <c r="D580" s="93" t="s">
        <v>24</v>
      </c>
      <c r="E580" s="93" t="s">
        <v>24</v>
      </c>
      <c r="F580" s="93" t="s">
        <v>126</v>
      </c>
      <c r="G580" s="93" t="s">
        <v>7183</v>
      </c>
      <c r="H580" s="93" t="s">
        <v>400</v>
      </c>
      <c r="I580" s="93" t="s">
        <v>111</v>
      </c>
      <c r="J580" s="93" t="s">
        <v>7105</v>
      </c>
      <c r="K580" s="93" t="s">
        <v>111</v>
      </c>
      <c r="L580" s="93" t="s">
        <v>111</v>
      </c>
      <c r="M580" s="93" t="s">
        <v>111</v>
      </c>
      <c r="N580" s="93" t="s">
        <v>111</v>
      </c>
      <c r="O580" s="93" t="s">
        <v>111</v>
      </c>
      <c r="P580" s="93" t="s">
        <v>111</v>
      </c>
      <c r="Q580" s="93" t="s">
        <v>111</v>
      </c>
      <c r="R580" s="93" t="s">
        <v>2</v>
      </c>
      <c r="S580" s="93" t="s">
        <v>111</v>
      </c>
      <c r="T580" s="93" t="s">
        <v>116</v>
      </c>
      <c r="U580" s="94">
        <v>44610.127083333333</v>
      </c>
      <c r="V580" s="93" t="s">
        <v>7072</v>
      </c>
      <c r="W580" s="93" t="s">
        <v>24</v>
      </c>
    </row>
    <row r="581" spans="1:23" x14ac:dyDescent="0.15">
      <c r="A581" s="93" t="s">
        <v>277</v>
      </c>
      <c r="B581" s="93" t="s">
        <v>376</v>
      </c>
      <c r="C581" s="93">
        <v>108</v>
      </c>
      <c r="D581" s="93" t="s">
        <v>24</v>
      </c>
      <c r="E581" s="93" t="s">
        <v>24</v>
      </c>
      <c r="F581" s="93" t="s">
        <v>126</v>
      </c>
      <c r="G581" s="93" t="s">
        <v>7183</v>
      </c>
      <c r="H581" s="93" t="s">
        <v>400</v>
      </c>
      <c r="I581" s="93" t="s">
        <v>111</v>
      </c>
      <c r="J581" s="93" t="s">
        <v>7105</v>
      </c>
      <c r="K581" s="93" t="s">
        <v>111</v>
      </c>
      <c r="L581" s="93" t="s">
        <v>111</v>
      </c>
      <c r="M581" s="93" t="s">
        <v>111</v>
      </c>
      <c r="N581" s="93" t="s">
        <v>111</v>
      </c>
      <c r="O581" s="93" t="s">
        <v>111</v>
      </c>
      <c r="P581" s="93" t="s">
        <v>111</v>
      </c>
      <c r="Q581" s="93" t="s">
        <v>111</v>
      </c>
      <c r="R581" s="93" t="s">
        <v>2</v>
      </c>
      <c r="S581" s="93" t="s">
        <v>111</v>
      </c>
      <c r="T581" s="93" t="s">
        <v>116</v>
      </c>
      <c r="U581" s="94">
        <v>44610.115972222222</v>
      </c>
      <c r="V581" s="93" t="s">
        <v>7072</v>
      </c>
      <c r="W581" s="93" t="s">
        <v>24</v>
      </c>
    </row>
    <row r="582" spans="1:23" x14ac:dyDescent="0.15">
      <c r="A582" s="93" t="s">
        <v>278</v>
      </c>
      <c r="B582" s="93" t="s">
        <v>819</v>
      </c>
      <c r="C582" s="93">
        <v>86.22</v>
      </c>
      <c r="D582" s="93" t="s">
        <v>24</v>
      </c>
      <c r="E582" s="93" t="s">
        <v>24</v>
      </c>
      <c r="F582" s="93" t="s">
        <v>126</v>
      </c>
      <c r="G582" s="93" t="s">
        <v>7185</v>
      </c>
      <c r="H582" s="93" t="s">
        <v>400</v>
      </c>
      <c r="I582" s="93" t="s">
        <v>111</v>
      </c>
      <c r="J582" s="93" t="s">
        <v>7105</v>
      </c>
      <c r="K582" s="93" t="s">
        <v>111</v>
      </c>
      <c r="L582" s="93" t="s">
        <v>111</v>
      </c>
      <c r="M582" s="93" t="s">
        <v>111</v>
      </c>
      <c r="N582" s="93" t="s">
        <v>111</v>
      </c>
      <c r="O582" s="93" t="s">
        <v>111</v>
      </c>
      <c r="P582" s="93" t="s">
        <v>111</v>
      </c>
      <c r="Q582" s="93" t="s">
        <v>111</v>
      </c>
      <c r="R582" s="93" t="s">
        <v>2</v>
      </c>
      <c r="S582" s="93" t="s">
        <v>111</v>
      </c>
      <c r="T582" s="93" t="s">
        <v>116</v>
      </c>
      <c r="U582" s="94">
        <v>44610.086111111108</v>
      </c>
      <c r="V582" s="93" t="s">
        <v>7072</v>
      </c>
      <c r="W582" s="93" t="s">
        <v>24</v>
      </c>
    </row>
    <row r="583" spans="1:23" x14ac:dyDescent="0.15">
      <c r="A583" s="93" t="s">
        <v>279</v>
      </c>
      <c r="B583" s="93" t="s">
        <v>886</v>
      </c>
      <c r="C583" s="93">
        <v>2.39</v>
      </c>
      <c r="D583" s="93" t="s">
        <v>24</v>
      </c>
      <c r="E583" s="93" t="s">
        <v>24</v>
      </c>
      <c r="F583" s="93" t="s">
        <v>126</v>
      </c>
      <c r="G583" s="93" t="s">
        <v>7183</v>
      </c>
      <c r="H583" s="93" t="s">
        <v>400</v>
      </c>
      <c r="I583" s="93" t="s">
        <v>111</v>
      </c>
      <c r="J583" s="93" t="s">
        <v>7105</v>
      </c>
      <c r="K583" s="93" t="s">
        <v>111</v>
      </c>
      <c r="L583" s="93" t="s">
        <v>111</v>
      </c>
      <c r="M583" s="93" t="s">
        <v>111</v>
      </c>
      <c r="N583" s="93" t="s">
        <v>111</v>
      </c>
      <c r="O583" s="93" t="s">
        <v>111</v>
      </c>
      <c r="P583" s="93" t="s">
        <v>111</v>
      </c>
      <c r="Q583" s="93" t="s">
        <v>111</v>
      </c>
      <c r="R583" s="93" t="s">
        <v>2</v>
      </c>
      <c r="S583" s="93" t="s">
        <v>111</v>
      </c>
      <c r="T583" s="93" t="s">
        <v>116</v>
      </c>
      <c r="U583" s="94">
        <v>44610.068749999999</v>
      </c>
      <c r="V583" s="93" t="s">
        <v>7072</v>
      </c>
      <c r="W583" s="93" t="s">
        <v>24</v>
      </c>
    </row>
    <row r="584" spans="1:23" x14ac:dyDescent="0.15">
      <c r="A584" s="93" t="s">
        <v>280</v>
      </c>
      <c r="B584" s="93" t="s">
        <v>820</v>
      </c>
      <c r="C584" s="93">
        <v>172.43</v>
      </c>
      <c r="D584" s="93" t="s">
        <v>24</v>
      </c>
      <c r="E584" s="93" t="s">
        <v>24</v>
      </c>
      <c r="F584" s="93" t="s">
        <v>126</v>
      </c>
      <c r="G584" s="93" t="s">
        <v>7185</v>
      </c>
      <c r="H584" s="93" t="s">
        <v>400</v>
      </c>
      <c r="I584" s="93" t="s">
        <v>111</v>
      </c>
      <c r="J584" s="93" t="s">
        <v>7105</v>
      </c>
      <c r="K584" s="93" t="s">
        <v>111</v>
      </c>
      <c r="L584" s="93" t="s">
        <v>111</v>
      </c>
      <c r="M584" s="93" t="s">
        <v>111</v>
      </c>
      <c r="N584" s="93" t="s">
        <v>111</v>
      </c>
      <c r="O584" s="93" t="s">
        <v>111</v>
      </c>
      <c r="P584" s="93" t="s">
        <v>111</v>
      </c>
      <c r="Q584" s="93" t="s">
        <v>111</v>
      </c>
      <c r="R584" s="93" t="s">
        <v>2</v>
      </c>
      <c r="S584" s="93" t="s">
        <v>111</v>
      </c>
      <c r="T584" s="93" t="s">
        <v>116</v>
      </c>
      <c r="U584" s="94">
        <v>44610.125694444447</v>
      </c>
      <c r="V584" s="93" t="s">
        <v>7072</v>
      </c>
      <c r="W584" s="93" t="s">
        <v>24</v>
      </c>
    </row>
    <row r="585" spans="1:23" x14ac:dyDescent="0.15">
      <c r="A585" s="93" t="s">
        <v>281</v>
      </c>
      <c r="B585" s="93" t="s">
        <v>887</v>
      </c>
      <c r="C585" s="93">
        <v>4.79</v>
      </c>
      <c r="D585" s="93" t="s">
        <v>24</v>
      </c>
      <c r="E585" s="93" t="s">
        <v>24</v>
      </c>
      <c r="F585" s="93" t="s">
        <v>126</v>
      </c>
      <c r="G585" s="93" t="s">
        <v>7183</v>
      </c>
      <c r="H585" s="93" t="s">
        <v>400</v>
      </c>
      <c r="I585" s="93" t="s">
        <v>111</v>
      </c>
      <c r="J585" s="93" t="s">
        <v>7105</v>
      </c>
      <c r="K585" s="93" t="s">
        <v>111</v>
      </c>
      <c r="L585" s="93" t="s">
        <v>111</v>
      </c>
      <c r="M585" s="93" t="s">
        <v>111</v>
      </c>
      <c r="N585" s="93" t="s">
        <v>111</v>
      </c>
      <c r="O585" s="93" t="s">
        <v>111</v>
      </c>
      <c r="P585" s="93" t="s">
        <v>111</v>
      </c>
      <c r="Q585" s="93" t="s">
        <v>111</v>
      </c>
      <c r="R585" s="93" t="s">
        <v>2</v>
      </c>
      <c r="S585" s="93" t="s">
        <v>111</v>
      </c>
      <c r="T585" s="93" t="s">
        <v>116</v>
      </c>
      <c r="U585" s="94">
        <v>44610.126388888886</v>
      </c>
      <c r="V585" s="93" t="s">
        <v>7072</v>
      </c>
      <c r="W585" s="93" t="s">
        <v>24</v>
      </c>
    </row>
    <row r="586" spans="1:23" x14ac:dyDescent="0.15">
      <c r="A586" s="93" t="s">
        <v>282</v>
      </c>
      <c r="B586" s="93" t="s">
        <v>822</v>
      </c>
      <c r="C586" s="93">
        <v>200.58</v>
      </c>
      <c r="D586" s="93" t="s">
        <v>24</v>
      </c>
      <c r="E586" s="93" t="s">
        <v>24</v>
      </c>
      <c r="F586" s="93" t="s">
        <v>126</v>
      </c>
      <c r="G586" s="93" t="s">
        <v>7185</v>
      </c>
      <c r="H586" s="93" t="s">
        <v>400</v>
      </c>
      <c r="I586" s="93" t="s">
        <v>111</v>
      </c>
      <c r="J586" s="93" t="s">
        <v>7105</v>
      </c>
      <c r="K586" s="93" t="s">
        <v>111</v>
      </c>
      <c r="L586" s="93" t="s">
        <v>111</v>
      </c>
      <c r="M586" s="93" t="s">
        <v>111</v>
      </c>
      <c r="N586" s="93" t="s">
        <v>111</v>
      </c>
      <c r="O586" s="93" t="s">
        <v>111</v>
      </c>
      <c r="P586" s="93" t="s">
        <v>111</v>
      </c>
      <c r="Q586" s="93" t="s">
        <v>111</v>
      </c>
      <c r="R586" s="93" t="s">
        <v>2</v>
      </c>
      <c r="S586" s="93" t="s">
        <v>111</v>
      </c>
      <c r="T586" s="93" t="s">
        <v>116</v>
      </c>
      <c r="U586" s="94">
        <v>44610.103472222225</v>
      </c>
      <c r="V586" s="93" t="s">
        <v>7072</v>
      </c>
      <c r="W586" s="93" t="s">
        <v>24</v>
      </c>
    </row>
    <row r="587" spans="1:23" x14ac:dyDescent="0.15">
      <c r="A587" s="93" t="s">
        <v>283</v>
      </c>
      <c r="B587" s="93" t="s">
        <v>888</v>
      </c>
      <c r="C587" s="93">
        <v>5.57</v>
      </c>
      <c r="D587" s="93" t="s">
        <v>24</v>
      </c>
      <c r="E587" s="93" t="s">
        <v>24</v>
      </c>
      <c r="F587" s="93" t="s">
        <v>126</v>
      </c>
      <c r="G587" s="93" t="s">
        <v>7183</v>
      </c>
      <c r="H587" s="93" t="s">
        <v>400</v>
      </c>
      <c r="I587" s="93" t="s">
        <v>111</v>
      </c>
      <c r="J587" s="93" t="s">
        <v>7105</v>
      </c>
      <c r="K587" s="93" t="s">
        <v>111</v>
      </c>
      <c r="L587" s="93" t="s">
        <v>111</v>
      </c>
      <c r="M587" s="93" t="s">
        <v>111</v>
      </c>
      <c r="N587" s="93" t="s">
        <v>111</v>
      </c>
      <c r="O587" s="93" t="s">
        <v>111</v>
      </c>
      <c r="P587" s="93" t="s">
        <v>111</v>
      </c>
      <c r="Q587" s="93" t="s">
        <v>111</v>
      </c>
      <c r="R587" s="93" t="s">
        <v>2</v>
      </c>
      <c r="S587" s="93" t="s">
        <v>111</v>
      </c>
      <c r="T587" s="93" t="s">
        <v>116</v>
      </c>
      <c r="U587" s="94">
        <v>44610.115277777775</v>
      </c>
      <c r="V587" s="93" t="s">
        <v>7072</v>
      </c>
      <c r="W587" s="93" t="s">
        <v>24</v>
      </c>
    </row>
    <row r="588" spans="1:23" x14ac:dyDescent="0.15">
      <c r="A588" s="93" t="s">
        <v>284</v>
      </c>
      <c r="B588" s="93" t="s">
        <v>889</v>
      </c>
      <c r="C588" s="93">
        <v>1224</v>
      </c>
      <c r="D588" s="93" t="s">
        <v>24</v>
      </c>
      <c r="E588" s="93" t="s">
        <v>24</v>
      </c>
      <c r="F588" s="93" t="s">
        <v>126</v>
      </c>
      <c r="G588" s="93" t="s">
        <v>7183</v>
      </c>
      <c r="H588" s="93" t="s">
        <v>400</v>
      </c>
      <c r="I588" s="93" t="s">
        <v>111</v>
      </c>
      <c r="J588" s="93" t="s">
        <v>7105</v>
      </c>
      <c r="K588" s="93" t="s">
        <v>111</v>
      </c>
      <c r="L588" s="93" t="s">
        <v>111</v>
      </c>
      <c r="M588" s="93" t="s">
        <v>111</v>
      </c>
      <c r="N588" s="93" t="s">
        <v>111</v>
      </c>
      <c r="O588" s="93" t="s">
        <v>111</v>
      </c>
      <c r="P588" s="93" t="s">
        <v>111</v>
      </c>
      <c r="Q588" s="93" t="s">
        <v>111</v>
      </c>
      <c r="R588" s="93" t="s">
        <v>2</v>
      </c>
      <c r="S588" s="93" t="s">
        <v>111</v>
      </c>
      <c r="T588" s="93" t="s">
        <v>116</v>
      </c>
      <c r="U588" s="94">
        <v>44610.084027777775</v>
      </c>
      <c r="V588" s="93" t="s">
        <v>7072</v>
      </c>
      <c r="W588" s="93" t="s">
        <v>24</v>
      </c>
    </row>
    <row r="589" spans="1:23" x14ac:dyDescent="0.15">
      <c r="A589" s="93" t="s">
        <v>285</v>
      </c>
      <c r="B589" s="93" t="s">
        <v>890</v>
      </c>
      <c r="C589" s="93">
        <v>6120</v>
      </c>
      <c r="D589" s="93" t="s">
        <v>24</v>
      </c>
      <c r="E589" s="93" t="s">
        <v>24</v>
      </c>
      <c r="F589" s="93" t="s">
        <v>126</v>
      </c>
      <c r="G589" s="93" t="s">
        <v>7183</v>
      </c>
      <c r="H589" s="93" t="s">
        <v>400</v>
      </c>
      <c r="I589" s="93" t="s">
        <v>111</v>
      </c>
      <c r="J589" s="93" t="s">
        <v>7105</v>
      </c>
      <c r="K589" s="93" t="s">
        <v>111</v>
      </c>
      <c r="L589" s="93" t="s">
        <v>111</v>
      </c>
      <c r="M589" s="93" t="s">
        <v>111</v>
      </c>
      <c r="N589" s="93" t="s">
        <v>111</v>
      </c>
      <c r="O589" s="93" t="s">
        <v>111</v>
      </c>
      <c r="P589" s="93" t="s">
        <v>111</v>
      </c>
      <c r="Q589" s="93" t="s">
        <v>111</v>
      </c>
      <c r="R589" s="93" t="s">
        <v>2</v>
      </c>
      <c r="S589" s="93" t="s">
        <v>111</v>
      </c>
      <c r="T589" s="93" t="s">
        <v>116</v>
      </c>
      <c r="U589" s="94">
        <v>44610.092361111114</v>
      </c>
      <c r="V589" s="93" t="s">
        <v>7072</v>
      </c>
      <c r="W589" s="93" t="s">
        <v>24</v>
      </c>
    </row>
    <row r="590" spans="1:23" x14ac:dyDescent="0.15">
      <c r="A590" s="93" t="s">
        <v>286</v>
      </c>
      <c r="B590" s="93" t="s">
        <v>891</v>
      </c>
      <c r="C590" s="93">
        <v>459</v>
      </c>
      <c r="D590" s="93" t="s">
        <v>24</v>
      </c>
      <c r="E590" s="93" t="s">
        <v>24</v>
      </c>
      <c r="F590" s="93" t="s">
        <v>126</v>
      </c>
      <c r="G590" s="93" t="s">
        <v>7183</v>
      </c>
      <c r="H590" s="93" t="s">
        <v>400</v>
      </c>
      <c r="I590" s="93" t="s">
        <v>111</v>
      </c>
      <c r="J590" s="93" t="s">
        <v>7105</v>
      </c>
      <c r="K590" s="93" t="s">
        <v>111</v>
      </c>
      <c r="L590" s="93" t="s">
        <v>111</v>
      </c>
      <c r="M590" s="93" t="s">
        <v>111</v>
      </c>
      <c r="N590" s="93" t="s">
        <v>111</v>
      </c>
      <c r="O590" s="93" t="s">
        <v>111</v>
      </c>
      <c r="P590" s="93" t="s">
        <v>111</v>
      </c>
      <c r="Q590" s="93" t="s">
        <v>111</v>
      </c>
      <c r="R590" s="93" t="s">
        <v>2</v>
      </c>
      <c r="S590" s="93" t="s">
        <v>111</v>
      </c>
      <c r="T590" s="93" t="s">
        <v>116</v>
      </c>
      <c r="U590" s="94">
        <v>44610.084027777775</v>
      </c>
      <c r="V590" s="93" t="s">
        <v>7072</v>
      </c>
      <c r="W590" s="93" t="s">
        <v>24</v>
      </c>
    </row>
    <row r="591" spans="1:23" x14ac:dyDescent="0.15">
      <c r="A591" s="93" t="s">
        <v>287</v>
      </c>
      <c r="B591" s="93" t="s">
        <v>892</v>
      </c>
      <c r="C591" s="93">
        <v>2142</v>
      </c>
      <c r="D591" s="93" t="s">
        <v>24</v>
      </c>
      <c r="E591" s="93" t="s">
        <v>24</v>
      </c>
      <c r="F591" s="93" t="s">
        <v>126</v>
      </c>
      <c r="G591" s="93" t="s">
        <v>7183</v>
      </c>
      <c r="H591" s="93" t="s">
        <v>400</v>
      </c>
      <c r="I591" s="93" t="s">
        <v>111</v>
      </c>
      <c r="J591" s="93" t="s">
        <v>7105</v>
      </c>
      <c r="K591" s="93" t="s">
        <v>111</v>
      </c>
      <c r="L591" s="93" t="s">
        <v>111</v>
      </c>
      <c r="M591" s="93" t="s">
        <v>111</v>
      </c>
      <c r="N591" s="93" t="s">
        <v>111</v>
      </c>
      <c r="O591" s="93" t="s">
        <v>111</v>
      </c>
      <c r="P591" s="93" t="s">
        <v>111</v>
      </c>
      <c r="Q591" s="93" t="s">
        <v>111</v>
      </c>
      <c r="R591" s="93" t="s">
        <v>2</v>
      </c>
      <c r="S591" s="93" t="s">
        <v>111</v>
      </c>
      <c r="T591" s="93" t="s">
        <v>116</v>
      </c>
      <c r="U591" s="94">
        <v>44610.065972222219</v>
      </c>
      <c r="V591" s="93" t="s">
        <v>7072</v>
      </c>
      <c r="W591" s="93" t="s">
        <v>24</v>
      </c>
    </row>
    <row r="592" spans="1:23" x14ac:dyDescent="0.15">
      <c r="A592" s="93" t="s">
        <v>288</v>
      </c>
      <c r="B592" s="93" t="s">
        <v>893</v>
      </c>
      <c r="C592" s="93">
        <v>9180</v>
      </c>
      <c r="D592" s="93" t="s">
        <v>24</v>
      </c>
      <c r="E592" s="93" t="s">
        <v>24</v>
      </c>
      <c r="F592" s="93" t="s">
        <v>126</v>
      </c>
      <c r="G592" s="93" t="s">
        <v>7183</v>
      </c>
      <c r="H592" s="93" t="s">
        <v>400</v>
      </c>
      <c r="I592" s="93" t="s">
        <v>111</v>
      </c>
      <c r="J592" s="93" t="s">
        <v>7105</v>
      </c>
      <c r="K592" s="93" t="s">
        <v>111</v>
      </c>
      <c r="L592" s="93" t="s">
        <v>111</v>
      </c>
      <c r="M592" s="93" t="s">
        <v>111</v>
      </c>
      <c r="N592" s="93" t="s">
        <v>111</v>
      </c>
      <c r="O592" s="93" t="s">
        <v>111</v>
      </c>
      <c r="P592" s="93" t="s">
        <v>111</v>
      </c>
      <c r="Q592" s="93" t="s">
        <v>111</v>
      </c>
      <c r="R592" s="93" t="s">
        <v>2</v>
      </c>
      <c r="S592" s="93" t="s">
        <v>111</v>
      </c>
      <c r="T592" s="93" t="s">
        <v>116</v>
      </c>
      <c r="U592" s="94">
        <v>44610.100694444445</v>
      </c>
      <c r="V592" s="93" t="s">
        <v>7072</v>
      </c>
      <c r="W592" s="93" t="s">
        <v>24</v>
      </c>
    </row>
    <row r="593" spans="1:23" x14ac:dyDescent="0.15">
      <c r="A593" s="93" t="s">
        <v>289</v>
      </c>
      <c r="B593" s="93" t="s">
        <v>894</v>
      </c>
      <c r="C593" s="93">
        <v>567</v>
      </c>
      <c r="D593" s="93" t="s">
        <v>24</v>
      </c>
      <c r="E593" s="93" t="s">
        <v>24</v>
      </c>
      <c r="F593" s="93" t="s">
        <v>126</v>
      </c>
      <c r="G593" s="93" t="s">
        <v>7183</v>
      </c>
      <c r="H593" s="93" t="s">
        <v>400</v>
      </c>
      <c r="I593" s="93" t="s">
        <v>111</v>
      </c>
      <c r="J593" s="93" t="s">
        <v>7105</v>
      </c>
      <c r="K593" s="93" t="s">
        <v>111</v>
      </c>
      <c r="L593" s="93" t="s">
        <v>111</v>
      </c>
      <c r="M593" s="93" t="s">
        <v>111</v>
      </c>
      <c r="N593" s="93" t="s">
        <v>111</v>
      </c>
      <c r="O593" s="93" t="s">
        <v>111</v>
      </c>
      <c r="P593" s="93" t="s">
        <v>111</v>
      </c>
      <c r="Q593" s="93" t="s">
        <v>111</v>
      </c>
      <c r="R593" s="93" t="s">
        <v>2</v>
      </c>
      <c r="S593" s="93" t="s">
        <v>111</v>
      </c>
      <c r="T593" s="93" t="s">
        <v>116</v>
      </c>
      <c r="U593" s="94">
        <v>44610.065972222219</v>
      </c>
      <c r="V593" s="93" t="s">
        <v>7072</v>
      </c>
      <c r="W593" s="93" t="s">
        <v>24</v>
      </c>
    </row>
    <row r="594" spans="1:23" x14ac:dyDescent="0.15">
      <c r="A594" s="93" t="s">
        <v>290</v>
      </c>
      <c r="B594" s="93" t="s">
        <v>895</v>
      </c>
      <c r="C594" s="93">
        <v>2754</v>
      </c>
      <c r="D594" s="93" t="s">
        <v>24</v>
      </c>
      <c r="E594" s="93" t="s">
        <v>24</v>
      </c>
      <c r="F594" s="93" t="s">
        <v>126</v>
      </c>
      <c r="G594" s="93" t="s">
        <v>7183</v>
      </c>
      <c r="H594" s="93" t="s">
        <v>400</v>
      </c>
      <c r="I594" s="93" t="s">
        <v>111</v>
      </c>
      <c r="J594" s="93" t="s">
        <v>7105</v>
      </c>
      <c r="K594" s="93" t="s">
        <v>111</v>
      </c>
      <c r="L594" s="93" t="s">
        <v>111</v>
      </c>
      <c r="M594" s="93" t="s">
        <v>111</v>
      </c>
      <c r="N594" s="93" t="s">
        <v>111</v>
      </c>
      <c r="O594" s="93" t="s">
        <v>111</v>
      </c>
      <c r="P594" s="93" t="s">
        <v>111</v>
      </c>
      <c r="Q594" s="93" t="s">
        <v>111</v>
      </c>
      <c r="R594" s="93" t="s">
        <v>2</v>
      </c>
      <c r="S594" s="93" t="s">
        <v>111</v>
      </c>
      <c r="T594" s="93" t="s">
        <v>116</v>
      </c>
      <c r="U594" s="94">
        <v>44610.1</v>
      </c>
      <c r="V594" s="93" t="s">
        <v>7072</v>
      </c>
      <c r="W594" s="93" t="s">
        <v>24</v>
      </c>
    </row>
    <row r="595" spans="1:23" x14ac:dyDescent="0.15">
      <c r="A595" s="93" t="s">
        <v>291</v>
      </c>
      <c r="B595" s="93" t="s">
        <v>896</v>
      </c>
      <c r="C595" s="93">
        <v>11628</v>
      </c>
      <c r="D595" s="93" t="s">
        <v>24</v>
      </c>
      <c r="E595" s="93" t="s">
        <v>24</v>
      </c>
      <c r="F595" s="93" t="s">
        <v>126</v>
      </c>
      <c r="G595" s="93" t="s">
        <v>7183</v>
      </c>
      <c r="H595" s="93" t="s">
        <v>400</v>
      </c>
      <c r="I595" s="93" t="s">
        <v>111</v>
      </c>
      <c r="J595" s="93" t="s">
        <v>7105</v>
      </c>
      <c r="K595" s="93" t="s">
        <v>111</v>
      </c>
      <c r="L595" s="93" t="s">
        <v>111</v>
      </c>
      <c r="M595" s="93" t="s">
        <v>111</v>
      </c>
      <c r="N595" s="93" t="s">
        <v>111</v>
      </c>
      <c r="O595" s="93" t="s">
        <v>111</v>
      </c>
      <c r="P595" s="93" t="s">
        <v>111</v>
      </c>
      <c r="Q595" s="93" t="s">
        <v>111</v>
      </c>
      <c r="R595" s="93" t="s">
        <v>2</v>
      </c>
      <c r="S595" s="93" t="s">
        <v>111</v>
      </c>
      <c r="T595" s="93" t="s">
        <v>116</v>
      </c>
      <c r="U595" s="94">
        <v>44610.075694444444</v>
      </c>
      <c r="V595" s="93" t="s">
        <v>7072</v>
      </c>
      <c r="W595" s="93" t="s">
        <v>24</v>
      </c>
    </row>
    <row r="596" spans="1:23" x14ac:dyDescent="0.15">
      <c r="A596" s="93" t="s">
        <v>292</v>
      </c>
      <c r="B596" s="93" t="s">
        <v>897</v>
      </c>
      <c r="C596" s="93">
        <v>674</v>
      </c>
      <c r="D596" s="93" t="s">
        <v>24</v>
      </c>
      <c r="E596" s="93" t="s">
        <v>24</v>
      </c>
      <c r="F596" s="93" t="s">
        <v>126</v>
      </c>
      <c r="G596" s="93" t="s">
        <v>7183</v>
      </c>
      <c r="H596" s="93" t="s">
        <v>400</v>
      </c>
      <c r="I596" s="93" t="s">
        <v>111</v>
      </c>
      <c r="J596" s="93" t="s">
        <v>7105</v>
      </c>
      <c r="K596" s="93" t="s">
        <v>111</v>
      </c>
      <c r="L596" s="93" t="s">
        <v>111</v>
      </c>
      <c r="M596" s="93" t="s">
        <v>111</v>
      </c>
      <c r="N596" s="93" t="s">
        <v>111</v>
      </c>
      <c r="O596" s="93" t="s">
        <v>111</v>
      </c>
      <c r="P596" s="93" t="s">
        <v>111</v>
      </c>
      <c r="Q596" s="93" t="s">
        <v>111</v>
      </c>
      <c r="R596" s="93" t="s">
        <v>2</v>
      </c>
      <c r="S596" s="93" t="s">
        <v>111</v>
      </c>
      <c r="T596" s="93" t="s">
        <v>116</v>
      </c>
      <c r="U596" s="94">
        <v>44610.12222222222</v>
      </c>
      <c r="V596" s="93" t="s">
        <v>7072</v>
      </c>
      <c r="W596" s="93" t="s">
        <v>24</v>
      </c>
    </row>
    <row r="597" spans="1:23" x14ac:dyDescent="0.15">
      <c r="A597" s="93" t="s">
        <v>293</v>
      </c>
      <c r="B597" s="93" t="s">
        <v>898</v>
      </c>
      <c r="C597" s="93">
        <v>3213</v>
      </c>
      <c r="D597" s="93" t="s">
        <v>24</v>
      </c>
      <c r="E597" s="93" t="s">
        <v>24</v>
      </c>
      <c r="F597" s="93" t="s">
        <v>126</v>
      </c>
      <c r="G597" s="93" t="s">
        <v>7183</v>
      </c>
      <c r="H597" s="93" t="s">
        <v>400</v>
      </c>
      <c r="I597" s="93" t="s">
        <v>111</v>
      </c>
      <c r="J597" s="93" t="s">
        <v>7105</v>
      </c>
      <c r="K597" s="93" t="s">
        <v>111</v>
      </c>
      <c r="L597" s="93" t="s">
        <v>111</v>
      </c>
      <c r="M597" s="93" t="s">
        <v>111</v>
      </c>
      <c r="N597" s="93" t="s">
        <v>111</v>
      </c>
      <c r="O597" s="93" t="s">
        <v>111</v>
      </c>
      <c r="P597" s="93" t="s">
        <v>111</v>
      </c>
      <c r="Q597" s="93" t="s">
        <v>111</v>
      </c>
      <c r="R597" s="93" t="s">
        <v>2</v>
      </c>
      <c r="S597" s="93" t="s">
        <v>111</v>
      </c>
      <c r="T597" s="93" t="s">
        <v>116</v>
      </c>
      <c r="U597" s="94">
        <v>44610.122916666667</v>
      </c>
      <c r="V597" s="93" t="s">
        <v>7072</v>
      </c>
      <c r="W597" s="93" t="s">
        <v>24</v>
      </c>
    </row>
    <row r="598" spans="1:23" x14ac:dyDescent="0.15">
      <c r="A598" s="93" t="s">
        <v>294</v>
      </c>
      <c r="B598" s="93" t="s">
        <v>899</v>
      </c>
      <c r="C598" s="93">
        <v>13770</v>
      </c>
      <c r="D598" s="93" t="s">
        <v>24</v>
      </c>
      <c r="E598" s="93" t="s">
        <v>24</v>
      </c>
      <c r="F598" s="93" t="s">
        <v>126</v>
      </c>
      <c r="G598" s="93" t="s">
        <v>7183</v>
      </c>
      <c r="H598" s="93" t="s">
        <v>400</v>
      </c>
      <c r="I598" s="93" t="s">
        <v>111</v>
      </c>
      <c r="J598" s="93" t="s">
        <v>7105</v>
      </c>
      <c r="K598" s="93" t="s">
        <v>111</v>
      </c>
      <c r="L598" s="93" t="s">
        <v>111</v>
      </c>
      <c r="M598" s="93" t="s">
        <v>111</v>
      </c>
      <c r="N598" s="93" t="s">
        <v>111</v>
      </c>
      <c r="O598" s="93" t="s">
        <v>111</v>
      </c>
      <c r="P598" s="93" t="s">
        <v>111</v>
      </c>
      <c r="Q598" s="93" t="s">
        <v>111</v>
      </c>
      <c r="R598" s="93" t="s">
        <v>2</v>
      </c>
      <c r="S598" s="93" t="s">
        <v>111</v>
      </c>
      <c r="T598" s="93" t="s">
        <v>116</v>
      </c>
      <c r="U598" s="94">
        <v>44610.053472222222</v>
      </c>
      <c r="V598" s="93" t="s">
        <v>7072</v>
      </c>
      <c r="W598" s="93" t="s">
        <v>24</v>
      </c>
    </row>
    <row r="599" spans="1:23" x14ac:dyDescent="0.15">
      <c r="A599" s="93" t="s">
        <v>295</v>
      </c>
      <c r="B599" s="93" t="s">
        <v>900</v>
      </c>
      <c r="C599" s="93">
        <v>765</v>
      </c>
      <c r="D599" s="93" t="s">
        <v>24</v>
      </c>
      <c r="E599" s="93" t="s">
        <v>24</v>
      </c>
      <c r="F599" s="93" t="s">
        <v>126</v>
      </c>
      <c r="G599" s="93" t="s">
        <v>7183</v>
      </c>
      <c r="H599" s="93" t="s">
        <v>400</v>
      </c>
      <c r="I599" s="93" t="s">
        <v>111</v>
      </c>
      <c r="J599" s="93" t="s">
        <v>7105</v>
      </c>
      <c r="K599" s="93" t="s">
        <v>111</v>
      </c>
      <c r="L599" s="93" t="s">
        <v>111</v>
      </c>
      <c r="M599" s="93" t="s">
        <v>111</v>
      </c>
      <c r="N599" s="93" t="s">
        <v>111</v>
      </c>
      <c r="O599" s="93" t="s">
        <v>111</v>
      </c>
      <c r="P599" s="93" t="s">
        <v>111</v>
      </c>
      <c r="Q599" s="93" t="s">
        <v>111</v>
      </c>
      <c r="R599" s="93" t="s">
        <v>2</v>
      </c>
      <c r="S599" s="93" t="s">
        <v>111</v>
      </c>
      <c r="T599" s="93" t="s">
        <v>116</v>
      </c>
      <c r="U599" s="94">
        <v>44610.12222222222</v>
      </c>
      <c r="V599" s="93" t="s">
        <v>7072</v>
      </c>
      <c r="W599" s="93" t="s">
        <v>24</v>
      </c>
    </row>
    <row r="600" spans="1:23" x14ac:dyDescent="0.15">
      <c r="A600" s="93" t="s">
        <v>296</v>
      </c>
      <c r="B600" s="93" t="s">
        <v>901</v>
      </c>
      <c r="C600" s="93">
        <v>3672</v>
      </c>
      <c r="D600" s="93" t="s">
        <v>24</v>
      </c>
      <c r="E600" s="93" t="s">
        <v>24</v>
      </c>
      <c r="F600" s="93" t="s">
        <v>126</v>
      </c>
      <c r="G600" s="93" t="s">
        <v>7183</v>
      </c>
      <c r="H600" s="93" t="s">
        <v>400</v>
      </c>
      <c r="I600" s="93" t="s">
        <v>111</v>
      </c>
      <c r="J600" s="93" t="s">
        <v>7105</v>
      </c>
      <c r="K600" s="93" t="s">
        <v>111</v>
      </c>
      <c r="L600" s="93" t="s">
        <v>111</v>
      </c>
      <c r="M600" s="93" t="s">
        <v>111</v>
      </c>
      <c r="N600" s="93" t="s">
        <v>111</v>
      </c>
      <c r="O600" s="93" t="s">
        <v>111</v>
      </c>
      <c r="P600" s="93" t="s">
        <v>111</v>
      </c>
      <c r="Q600" s="93" t="s">
        <v>111</v>
      </c>
      <c r="R600" s="93" t="s">
        <v>2</v>
      </c>
      <c r="S600" s="93" t="s">
        <v>111</v>
      </c>
      <c r="T600" s="93" t="s">
        <v>116</v>
      </c>
      <c r="U600" s="94">
        <v>44610.075694444444</v>
      </c>
      <c r="V600" s="93" t="s">
        <v>7072</v>
      </c>
      <c r="W600" s="93" t="s">
        <v>24</v>
      </c>
    </row>
    <row r="601" spans="1:23" x14ac:dyDescent="0.15">
      <c r="A601" s="93" t="s">
        <v>297</v>
      </c>
      <c r="B601" s="93" t="s">
        <v>902</v>
      </c>
      <c r="C601" s="93">
        <v>15300</v>
      </c>
      <c r="D601" s="93" t="s">
        <v>24</v>
      </c>
      <c r="E601" s="93" t="s">
        <v>24</v>
      </c>
      <c r="F601" s="93" t="s">
        <v>126</v>
      </c>
      <c r="G601" s="93" t="s">
        <v>7183</v>
      </c>
      <c r="H601" s="93" t="s">
        <v>400</v>
      </c>
      <c r="I601" s="93" t="s">
        <v>111</v>
      </c>
      <c r="J601" s="93" t="s">
        <v>7105</v>
      </c>
      <c r="K601" s="93" t="s">
        <v>111</v>
      </c>
      <c r="L601" s="93" t="s">
        <v>111</v>
      </c>
      <c r="M601" s="93" t="s">
        <v>111</v>
      </c>
      <c r="N601" s="93" t="s">
        <v>111</v>
      </c>
      <c r="O601" s="93" t="s">
        <v>111</v>
      </c>
      <c r="P601" s="93" t="s">
        <v>111</v>
      </c>
      <c r="Q601" s="93" t="s">
        <v>111</v>
      </c>
      <c r="R601" s="93" t="s">
        <v>2</v>
      </c>
      <c r="S601" s="93" t="s">
        <v>111</v>
      </c>
      <c r="T601" s="93" t="s">
        <v>116</v>
      </c>
      <c r="U601" s="94">
        <v>44610.075694444444</v>
      </c>
      <c r="V601" s="93" t="s">
        <v>7072</v>
      </c>
      <c r="W601" s="93" t="s">
        <v>24</v>
      </c>
    </row>
    <row r="602" spans="1:23" x14ac:dyDescent="0.15">
      <c r="A602" s="93" t="s">
        <v>298</v>
      </c>
      <c r="B602" s="93" t="s">
        <v>903</v>
      </c>
      <c r="C602" s="93">
        <v>857</v>
      </c>
      <c r="D602" s="93" t="s">
        <v>24</v>
      </c>
      <c r="E602" s="93" t="s">
        <v>24</v>
      </c>
      <c r="F602" s="93" t="s">
        <v>126</v>
      </c>
      <c r="G602" s="93" t="s">
        <v>7183</v>
      </c>
      <c r="H602" s="93" t="s">
        <v>400</v>
      </c>
      <c r="I602" s="93" t="s">
        <v>111</v>
      </c>
      <c r="J602" s="93" t="s">
        <v>7105</v>
      </c>
      <c r="K602" s="93" t="s">
        <v>111</v>
      </c>
      <c r="L602" s="93" t="s">
        <v>111</v>
      </c>
      <c r="M602" s="93" t="s">
        <v>111</v>
      </c>
      <c r="N602" s="93" t="s">
        <v>111</v>
      </c>
      <c r="O602" s="93" t="s">
        <v>111</v>
      </c>
      <c r="P602" s="93" t="s">
        <v>111</v>
      </c>
      <c r="Q602" s="93" t="s">
        <v>111</v>
      </c>
      <c r="R602" s="93" t="s">
        <v>2</v>
      </c>
      <c r="S602" s="93" t="s">
        <v>111</v>
      </c>
      <c r="T602" s="93" t="s">
        <v>116</v>
      </c>
      <c r="U602" s="94">
        <v>44610.075694444444</v>
      </c>
      <c r="V602" s="93" t="s">
        <v>7072</v>
      </c>
      <c r="W602" s="93" t="s">
        <v>24</v>
      </c>
    </row>
    <row r="603" spans="1:23" x14ac:dyDescent="0.15">
      <c r="A603" s="93" t="s">
        <v>299</v>
      </c>
      <c r="B603" s="93" t="s">
        <v>904</v>
      </c>
      <c r="C603" s="93">
        <v>4284</v>
      </c>
      <c r="D603" s="93" t="s">
        <v>24</v>
      </c>
      <c r="E603" s="93" t="s">
        <v>24</v>
      </c>
      <c r="F603" s="93" t="s">
        <v>126</v>
      </c>
      <c r="G603" s="93" t="s">
        <v>7183</v>
      </c>
      <c r="H603" s="93" t="s">
        <v>400</v>
      </c>
      <c r="I603" s="93" t="s">
        <v>111</v>
      </c>
      <c r="J603" s="93" t="s">
        <v>7105</v>
      </c>
      <c r="K603" s="93" t="s">
        <v>111</v>
      </c>
      <c r="L603" s="93" t="s">
        <v>111</v>
      </c>
      <c r="M603" s="93" t="s">
        <v>111</v>
      </c>
      <c r="N603" s="93" t="s">
        <v>111</v>
      </c>
      <c r="O603" s="93" t="s">
        <v>111</v>
      </c>
      <c r="P603" s="93" t="s">
        <v>111</v>
      </c>
      <c r="Q603" s="93" t="s">
        <v>111</v>
      </c>
      <c r="R603" s="93" t="s">
        <v>2</v>
      </c>
      <c r="S603" s="93" t="s">
        <v>111</v>
      </c>
      <c r="T603" s="93" t="s">
        <v>116</v>
      </c>
      <c r="U603" s="94">
        <v>44610.065972222219</v>
      </c>
      <c r="V603" s="93" t="s">
        <v>7072</v>
      </c>
      <c r="W603" s="93" t="s">
        <v>24</v>
      </c>
    </row>
    <row r="604" spans="1:23" x14ac:dyDescent="0.15">
      <c r="A604" s="93" t="s">
        <v>300</v>
      </c>
      <c r="B604" s="93" t="s">
        <v>905</v>
      </c>
      <c r="C604" s="93">
        <v>949</v>
      </c>
      <c r="D604" s="93" t="s">
        <v>24</v>
      </c>
      <c r="E604" s="93" t="s">
        <v>24</v>
      </c>
      <c r="F604" s="93" t="s">
        <v>126</v>
      </c>
      <c r="G604" s="93" t="s">
        <v>7183</v>
      </c>
      <c r="H604" s="93" t="s">
        <v>400</v>
      </c>
      <c r="I604" s="93" t="s">
        <v>111</v>
      </c>
      <c r="J604" s="93" t="s">
        <v>7105</v>
      </c>
      <c r="K604" s="93" t="s">
        <v>111</v>
      </c>
      <c r="L604" s="93" t="s">
        <v>111</v>
      </c>
      <c r="M604" s="93" t="s">
        <v>111</v>
      </c>
      <c r="N604" s="93" t="s">
        <v>111</v>
      </c>
      <c r="O604" s="93" t="s">
        <v>111</v>
      </c>
      <c r="P604" s="93" t="s">
        <v>111</v>
      </c>
      <c r="Q604" s="93" t="s">
        <v>111</v>
      </c>
      <c r="R604" s="93" t="s">
        <v>2</v>
      </c>
      <c r="S604" s="93" t="s">
        <v>111</v>
      </c>
      <c r="T604" s="93" t="s">
        <v>116</v>
      </c>
      <c r="U604" s="94">
        <v>44610.075694444444</v>
      </c>
      <c r="V604" s="93" t="s">
        <v>7072</v>
      </c>
      <c r="W604" s="93" t="s">
        <v>24</v>
      </c>
    </row>
    <row r="605" spans="1:23" x14ac:dyDescent="0.15">
      <c r="A605" s="93" t="s">
        <v>301</v>
      </c>
      <c r="B605" s="93" t="s">
        <v>906</v>
      </c>
      <c r="C605" s="93">
        <v>4749</v>
      </c>
      <c r="D605" s="93" t="s">
        <v>24</v>
      </c>
      <c r="E605" s="93" t="s">
        <v>24</v>
      </c>
      <c r="F605" s="93" t="s">
        <v>126</v>
      </c>
      <c r="G605" s="93" t="s">
        <v>7183</v>
      </c>
      <c r="H605" s="93" t="s">
        <v>400</v>
      </c>
      <c r="I605" s="93" t="s">
        <v>111</v>
      </c>
      <c r="J605" s="93" t="s">
        <v>7105</v>
      </c>
      <c r="K605" s="93" t="s">
        <v>111</v>
      </c>
      <c r="L605" s="93" t="s">
        <v>111</v>
      </c>
      <c r="M605" s="93" t="s">
        <v>111</v>
      </c>
      <c r="N605" s="93" t="s">
        <v>111</v>
      </c>
      <c r="O605" s="93" t="s">
        <v>111</v>
      </c>
      <c r="P605" s="93" t="s">
        <v>111</v>
      </c>
      <c r="Q605" s="93" t="s">
        <v>111</v>
      </c>
      <c r="R605" s="93" t="s">
        <v>2</v>
      </c>
      <c r="S605" s="93" t="s">
        <v>111</v>
      </c>
      <c r="T605" s="93" t="s">
        <v>116</v>
      </c>
      <c r="U605" s="94">
        <v>44610.092361111114</v>
      </c>
      <c r="V605" s="93" t="s">
        <v>7072</v>
      </c>
      <c r="W605" s="93" t="s">
        <v>24</v>
      </c>
    </row>
    <row r="606" spans="1:23" x14ac:dyDescent="0.15">
      <c r="A606" s="93" t="s">
        <v>302</v>
      </c>
      <c r="B606" s="93" t="s">
        <v>907</v>
      </c>
      <c r="C606" s="93">
        <v>1041</v>
      </c>
      <c r="D606" s="93" t="s">
        <v>24</v>
      </c>
      <c r="E606" s="93" t="s">
        <v>24</v>
      </c>
      <c r="F606" s="93" t="s">
        <v>126</v>
      </c>
      <c r="G606" s="93" t="s">
        <v>7183</v>
      </c>
      <c r="H606" s="93" t="s">
        <v>400</v>
      </c>
      <c r="I606" s="93" t="s">
        <v>111</v>
      </c>
      <c r="J606" s="93" t="s">
        <v>7105</v>
      </c>
      <c r="K606" s="93" t="s">
        <v>111</v>
      </c>
      <c r="L606" s="93" t="s">
        <v>111</v>
      </c>
      <c r="M606" s="93" t="s">
        <v>111</v>
      </c>
      <c r="N606" s="93" t="s">
        <v>111</v>
      </c>
      <c r="O606" s="93" t="s">
        <v>111</v>
      </c>
      <c r="P606" s="93" t="s">
        <v>111</v>
      </c>
      <c r="Q606" s="93" t="s">
        <v>111</v>
      </c>
      <c r="R606" s="93" t="s">
        <v>2</v>
      </c>
      <c r="S606" s="93" t="s">
        <v>111</v>
      </c>
      <c r="T606" s="93" t="s">
        <v>116</v>
      </c>
      <c r="U606" s="94">
        <v>44610.091666666667</v>
      </c>
      <c r="V606" s="93" t="s">
        <v>7072</v>
      </c>
      <c r="W606" s="93" t="s">
        <v>24</v>
      </c>
    </row>
    <row r="607" spans="1:23" x14ac:dyDescent="0.15">
      <c r="A607" s="93" t="s">
        <v>303</v>
      </c>
      <c r="B607" s="93" t="s">
        <v>908</v>
      </c>
      <c r="C607" s="93">
        <v>5202</v>
      </c>
      <c r="D607" s="93" t="s">
        <v>24</v>
      </c>
      <c r="E607" s="93" t="s">
        <v>24</v>
      </c>
      <c r="F607" s="93" t="s">
        <v>126</v>
      </c>
      <c r="G607" s="93" t="s">
        <v>7183</v>
      </c>
      <c r="H607" s="93" t="s">
        <v>400</v>
      </c>
      <c r="I607" s="93" t="s">
        <v>111</v>
      </c>
      <c r="J607" s="93" t="s">
        <v>7105</v>
      </c>
      <c r="K607" s="93" t="s">
        <v>111</v>
      </c>
      <c r="L607" s="93" t="s">
        <v>111</v>
      </c>
      <c r="M607" s="93" t="s">
        <v>111</v>
      </c>
      <c r="N607" s="93" t="s">
        <v>111</v>
      </c>
      <c r="O607" s="93" t="s">
        <v>111</v>
      </c>
      <c r="P607" s="93" t="s">
        <v>111</v>
      </c>
      <c r="Q607" s="93" t="s">
        <v>111</v>
      </c>
      <c r="R607" s="93" t="s">
        <v>2</v>
      </c>
      <c r="S607" s="93" t="s">
        <v>111</v>
      </c>
      <c r="T607" s="93" t="s">
        <v>116</v>
      </c>
      <c r="U607" s="94">
        <v>44610.100694444445</v>
      </c>
      <c r="V607" s="93" t="s">
        <v>7072</v>
      </c>
      <c r="W607" s="93" t="s">
        <v>24</v>
      </c>
    </row>
    <row r="608" spans="1:23" x14ac:dyDescent="0.15">
      <c r="A608" s="93" t="s">
        <v>304</v>
      </c>
      <c r="B608" s="93" t="s">
        <v>909</v>
      </c>
      <c r="C608" s="93">
        <v>1133</v>
      </c>
      <c r="D608" s="93" t="s">
        <v>24</v>
      </c>
      <c r="E608" s="93" t="s">
        <v>24</v>
      </c>
      <c r="F608" s="93" t="s">
        <v>126</v>
      </c>
      <c r="G608" s="93" t="s">
        <v>7183</v>
      </c>
      <c r="H608" s="93" t="s">
        <v>400</v>
      </c>
      <c r="I608" s="93" t="s">
        <v>111</v>
      </c>
      <c r="J608" s="93" t="s">
        <v>7105</v>
      </c>
      <c r="K608" s="93" t="s">
        <v>111</v>
      </c>
      <c r="L608" s="93" t="s">
        <v>111</v>
      </c>
      <c r="M608" s="93" t="s">
        <v>111</v>
      </c>
      <c r="N608" s="93" t="s">
        <v>111</v>
      </c>
      <c r="O608" s="93" t="s">
        <v>111</v>
      </c>
      <c r="P608" s="93" t="s">
        <v>111</v>
      </c>
      <c r="Q608" s="93" t="s">
        <v>111</v>
      </c>
      <c r="R608" s="93" t="s">
        <v>2</v>
      </c>
      <c r="S608" s="93" t="s">
        <v>111</v>
      </c>
      <c r="T608" s="93" t="s">
        <v>116</v>
      </c>
      <c r="U608" s="94">
        <v>44610.1</v>
      </c>
      <c r="V608" s="93" t="s">
        <v>7072</v>
      </c>
      <c r="W608" s="93" t="s">
        <v>24</v>
      </c>
    </row>
    <row r="609" spans="1:23" x14ac:dyDescent="0.15">
      <c r="A609" s="93" t="s">
        <v>305</v>
      </c>
      <c r="B609" s="93" t="s">
        <v>910</v>
      </c>
      <c r="C609" s="93">
        <v>5669</v>
      </c>
      <c r="D609" s="93" t="s">
        <v>24</v>
      </c>
      <c r="E609" s="93" t="s">
        <v>24</v>
      </c>
      <c r="F609" s="93" t="s">
        <v>126</v>
      </c>
      <c r="G609" s="93" t="s">
        <v>7183</v>
      </c>
      <c r="H609" s="93" t="s">
        <v>400</v>
      </c>
      <c r="I609" s="93" t="s">
        <v>111</v>
      </c>
      <c r="J609" s="93" t="s">
        <v>7105</v>
      </c>
      <c r="K609" s="93" t="s">
        <v>111</v>
      </c>
      <c r="L609" s="93" t="s">
        <v>111</v>
      </c>
      <c r="M609" s="93" t="s">
        <v>111</v>
      </c>
      <c r="N609" s="93" t="s">
        <v>111</v>
      </c>
      <c r="O609" s="93" t="s">
        <v>111</v>
      </c>
      <c r="P609" s="93" t="s">
        <v>111</v>
      </c>
      <c r="Q609" s="93" t="s">
        <v>111</v>
      </c>
      <c r="R609" s="93" t="s">
        <v>2</v>
      </c>
      <c r="S609" s="93" t="s">
        <v>111</v>
      </c>
      <c r="T609" s="93" t="s">
        <v>116</v>
      </c>
      <c r="U609" s="94">
        <v>44610.053472222222</v>
      </c>
      <c r="V609" s="93" t="s">
        <v>7072</v>
      </c>
      <c r="W609" s="93" t="s">
        <v>24</v>
      </c>
    </row>
    <row r="610" spans="1:23" x14ac:dyDescent="0.15">
      <c r="A610" s="93" t="s">
        <v>306</v>
      </c>
      <c r="B610" s="93" t="s">
        <v>911</v>
      </c>
      <c r="C610" s="93">
        <v>0.34</v>
      </c>
      <c r="D610" s="93" t="s">
        <v>24</v>
      </c>
      <c r="E610" s="93" t="s">
        <v>24</v>
      </c>
      <c r="F610" s="93" t="s">
        <v>126</v>
      </c>
      <c r="G610" s="93" t="s">
        <v>7183</v>
      </c>
      <c r="H610" s="93" t="s">
        <v>400</v>
      </c>
      <c r="I610" s="93" t="s">
        <v>111</v>
      </c>
      <c r="J610" s="93" t="s">
        <v>7105</v>
      </c>
      <c r="K610" s="93" t="s">
        <v>111</v>
      </c>
      <c r="L610" s="93" t="s">
        <v>111</v>
      </c>
      <c r="M610" s="93" t="s">
        <v>111</v>
      </c>
      <c r="N610" s="93" t="s">
        <v>111</v>
      </c>
      <c r="O610" s="93" t="s">
        <v>111</v>
      </c>
      <c r="P610" s="93" t="s">
        <v>111</v>
      </c>
      <c r="Q610" s="93" t="s">
        <v>111</v>
      </c>
      <c r="R610" s="93" t="s">
        <v>2</v>
      </c>
      <c r="S610" s="93" t="s">
        <v>111</v>
      </c>
      <c r="T610" s="93" t="s">
        <v>116</v>
      </c>
      <c r="U610" s="94">
        <v>44610.068749999999</v>
      </c>
      <c r="V610" s="93" t="s">
        <v>7072</v>
      </c>
      <c r="W610" s="93" t="s">
        <v>24</v>
      </c>
    </row>
    <row r="611" spans="1:23" x14ac:dyDescent="0.15">
      <c r="A611" s="93" t="s">
        <v>307</v>
      </c>
      <c r="B611" s="93" t="s">
        <v>826</v>
      </c>
      <c r="C611" s="93">
        <v>119.65</v>
      </c>
      <c r="D611" s="93" t="s">
        <v>24</v>
      </c>
      <c r="E611" s="93" t="s">
        <v>24</v>
      </c>
      <c r="F611" s="93" t="s">
        <v>126</v>
      </c>
      <c r="G611" s="93" t="s">
        <v>7185</v>
      </c>
      <c r="H611" s="93" t="s">
        <v>400</v>
      </c>
      <c r="I611" s="93" t="s">
        <v>111</v>
      </c>
      <c r="J611" s="93" t="s">
        <v>7105</v>
      </c>
      <c r="K611" s="93" t="s">
        <v>111</v>
      </c>
      <c r="L611" s="93" t="s">
        <v>111</v>
      </c>
      <c r="M611" s="93" t="s">
        <v>111</v>
      </c>
      <c r="N611" s="93" t="s">
        <v>111</v>
      </c>
      <c r="O611" s="93" t="s">
        <v>111</v>
      </c>
      <c r="P611" s="93" t="s">
        <v>111</v>
      </c>
      <c r="Q611" s="93" t="s">
        <v>111</v>
      </c>
      <c r="R611" s="93" t="s">
        <v>2</v>
      </c>
      <c r="S611" s="93" t="s">
        <v>111</v>
      </c>
      <c r="T611" s="93" t="s">
        <v>116</v>
      </c>
      <c r="U611" s="94">
        <v>44610.061111111114</v>
      </c>
      <c r="V611" s="93" t="s">
        <v>7072</v>
      </c>
      <c r="W611" s="93" t="s">
        <v>24</v>
      </c>
    </row>
    <row r="612" spans="1:23" x14ac:dyDescent="0.15">
      <c r="A612" s="93" t="s">
        <v>308</v>
      </c>
      <c r="B612" s="93" t="s">
        <v>912</v>
      </c>
      <c r="C612" s="93">
        <v>3.32</v>
      </c>
      <c r="D612" s="93" t="s">
        <v>24</v>
      </c>
      <c r="E612" s="93" t="s">
        <v>24</v>
      </c>
      <c r="F612" s="93" t="s">
        <v>126</v>
      </c>
      <c r="G612" s="93" t="s">
        <v>7183</v>
      </c>
      <c r="H612" s="93" t="s">
        <v>400</v>
      </c>
      <c r="I612" s="93" t="s">
        <v>111</v>
      </c>
      <c r="J612" s="93" t="s">
        <v>7105</v>
      </c>
      <c r="K612" s="93" t="s">
        <v>111</v>
      </c>
      <c r="L612" s="93" t="s">
        <v>111</v>
      </c>
      <c r="M612" s="93" t="s">
        <v>111</v>
      </c>
      <c r="N612" s="93" t="s">
        <v>111</v>
      </c>
      <c r="O612" s="93" t="s">
        <v>111</v>
      </c>
      <c r="P612" s="93" t="s">
        <v>111</v>
      </c>
      <c r="Q612" s="93" t="s">
        <v>111</v>
      </c>
      <c r="R612" s="93" t="s">
        <v>2</v>
      </c>
      <c r="S612" s="93" t="s">
        <v>111</v>
      </c>
      <c r="T612" s="93" t="s">
        <v>116</v>
      </c>
      <c r="U612" s="94">
        <v>44610.094444444447</v>
      </c>
      <c r="V612" s="93" t="s">
        <v>7072</v>
      </c>
      <c r="W612" s="93" t="s">
        <v>24</v>
      </c>
    </row>
    <row r="613" spans="1:23" x14ac:dyDescent="0.15">
      <c r="A613" s="93" t="s">
        <v>309</v>
      </c>
      <c r="B613" s="93" t="s">
        <v>828</v>
      </c>
      <c r="C613" s="93">
        <v>154.84</v>
      </c>
      <c r="D613" s="93" t="s">
        <v>24</v>
      </c>
      <c r="E613" s="93" t="s">
        <v>24</v>
      </c>
      <c r="F613" s="93" t="s">
        <v>126</v>
      </c>
      <c r="G613" s="93" t="s">
        <v>7185</v>
      </c>
      <c r="H613" s="93" t="s">
        <v>400</v>
      </c>
      <c r="I613" s="93" t="s">
        <v>111</v>
      </c>
      <c r="J613" s="93" t="s">
        <v>7105</v>
      </c>
      <c r="K613" s="93" t="s">
        <v>111</v>
      </c>
      <c r="L613" s="93" t="s">
        <v>111</v>
      </c>
      <c r="M613" s="93" t="s">
        <v>111</v>
      </c>
      <c r="N613" s="93" t="s">
        <v>111</v>
      </c>
      <c r="O613" s="93" t="s">
        <v>111</v>
      </c>
      <c r="P613" s="93" t="s">
        <v>111</v>
      </c>
      <c r="Q613" s="93" t="s">
        <v>111</v>
      </c>
      <c r="R613" s="93" t="s">
        <v>2</v>
      </c>
      <c r="S613" s="93" t="s">
        <v>111</v>
      </c>
      <c r="T613" s="93" t="s">
        <v>116</v>
      </c>
      <c r="U613" s="94">
        <v>44610.068749999999</v>
      </c>
      <c r="V613" s="93" t="s">
        <v>7072</v>
      </c>
      <c r="W613" s="93" t="s">
        <v>24</v>
      </c>
    </row>
    <row r="614" spans="1:23" x14ac:dyDescent="0.15">
      <c r="A614" s="93" t="s">
        <v>310</v>
      </c>
      <c r="B614" s="93" t="s">
        <v>913</v>
      </c>
      <c r="C614" s="93">
        <v>4.3</v>
      </c>
      <c r="D614" s="93" t="s">
        <v>24</v>
      </c>
      <c r="E614" s="93" t="s">
        <v>24</v>
      </c>
      <c r="F614" s="93" t="s">
        <v>126</v>
      </c>
      <c r="G614" s="93" t="s">
        <v>7183</v>
      </c>
      <c r="H614" s="93" t="s">
        <v>400</v>
      </c>
      <c r="I614" s="93" t="s">
        <v>111</v>
      </c>
      <c r="J614" s="93" t="s">
        <v>7105</v>
      </c>
      <c r="K614" s="93" t="s">
        <v>111</v>
      </c>
      <c r="L614" s="93" t="s">
        <v>111</v>
      </c>
      <c r="M614" s="93" t="s">
        <v>111</v>
      </c>
      <c r="N614" s="93" t="s">
        <v>111</v>
      </c>
      <c r="O614" s="93" t="s">
        <v>111</v>
      </c>
      <c r="P614" s="93" t="s">
        <v>111</v>
      </c>
      <c r="Q614" s="93" t="s">
        <v>111</v>
      </c>
      <c r="R614" s="93" t="s">
        <v>2</v>
      </c>
      <c r="S614" s="93" t="s">
        <v>111</v>
      </c>
      <c r="T614" s="93" t="s">
        <v>116</v>
      </c>
      <c r="U614" s="94">
        <v>44610.055555555555</v>
      </c>
      <c r="V614" s="93" t="s">
        <v>7072</v>
      </c>
      <c r="W614" s="93" t="s">
        <v>24</v>
      </c>
    </row>
    <row r="615" spans="1:23" x14ac:dyDescent="0.15">
      <c r="A615" s="93" t="s">
        <v>311</v>
      </c>
      <c r="B615" s="93" t="s">
        <v>830</v>
      </c>
      <c r="C615" s="93">
        <v>114.37</v>
      </c>
      <c r="D615" s="93" t="s">
        <v>24</v>
      </c>
      <c r="E615" s="93" t="s">
        <v>24</v>
      </c>
      <c r="F615" s="93" t="s">
        <v>126</v>
      </c>
      <c r="G615" s="93" t="s">
        <v>7185</v>
      </c>
      <c r="H615" s="93" t="s">
        <v>400</v>
      </c>
      <c r="I615" s="93" t="s">
        <v>111</v>
      </c>
      <c r="J615" s="93" t="s">
        <v>7105</v>
      </c>
      <c r="K615" s="93" t="s">
        <v>111</v>
      </c>
      <c r="L615" s="93" t="s">
        <v>111</v>
      </c>
      <c r="M615" s="93" t="s">
        <v>111</v>
      </c>
      <c r="N615" s="93" t="s">
        <v>111</v>
      </c>
      <c r="O615" s="93" t="s">
        <v>111</v>
      </c>
      <c r="P615" s="93" t="s">
        <v>111</v>
      </c>
      <c r="Q615" s="93" t="s">
        <v>111</v>
      </c>
      <c r="R615" s="93" t="s">
        <v>2</v>
      </c>
      <c r="S615" s="93" t="s">
        <v>111</v>
      </c>
      <c r="T615" s="93" t="s">
        <v>116</v>
      </c>
      <c r="U615" s="94">
        <v>44610.054861111108</v>
      </c>
      <c r="V615" s="93" t="s">
        <v>7072</v>
      </c>
      <c r="W615" s="93" t="s">
        <v>24</v>
      </c>
    </row>
    <row r="616" spans="1:23" x14ac:dyDescent="0.15">
      <c r="A616" s="93" t="s">
        <v>312</v>
      </c>
      <c r="B616" s="93" t="s">
        <v>914</v>
      </c>
      <c r="C616" s="93">
        <v>3.18</v>
      </c>
      <c r="D616" s="93" t="s">
        <v>24</v>
      </c>
      <c r="E616" s="93" t="s">
        <v>24</v>
      </c>
      <c r="F616" s="93" t="s">
        <v>126</v>
      </c>
      <c r="G616" s="93" t="s">
        <v>7183</v>
      </c>
      <c r="H616" s="93" t="s">
        <v>400</v>
      </c>
      <c r="I616" s="93" t="s">
        <v>111</v>
      </c>
      <c r="J616" s="93" t="s">
        <v>7105</v>
      </c>
      <c r="K616" s="93" t="s">
        <v>111</v>
      </c>
      <c r="L616" s="93" t="s">
        <v>111</v>
      </c>
      <c r="M616" s="93" t="s">
        <v>111</v>
      </c>
      <c r="N616" s="93" t="s">
        <v>111</v>
      </c>
      <c r="O616" s="93" t="s">
        <v>111</v>
      </c>
      <c r="P616" s="93" t="s">
        <v>111</v>
      </c>
      <c r="Q616" s="93" t="s">
        <v>111</v>
      </c>
      <c r="R616" s="93" t="s">
        <v>2</v>
      </c>
      <c r="S616" s="93" t="s">
        <v>111</v>
      </c>
      <c r="T616" s="93" t="s">
        <v>116</v>
      </c>
      <c r="U616" s="94">
        <v>44610.069444444445</v>
      </c>
      <c r="V616" s="93" t="s">
        <v>7072</v>
      </c>
      <c r="W616" s="93" t="s">
        <v>24</v>
      </c>
    </row>
    <row r="617" spans="1:23" x14ac:dyDescent="0.15">
      <c r="A617" s="93" t="s">
        <v>313</v>
      </c>
      <c r="B617" s="93" t="s">
        <v>832</v>
      </c>
      <c r="C617" s="93">
        <v>195.3</v>
      </c>
      <c r="D617" s="93" t="s">
        <v>24</v>
      </c>
      <c r="E617" s="93" t="s">
        <v>24</v>
      </c>
      <c r="F617" s="93" t="s">
        <v>126</v>
      </c>
      <c r="G617" s="93" t="s">
        <v>7185</v>
      </c>
      <c r="H617" s="93" t="s">
        <v>400</v>
      </c>
      <c r="I617" s="93" t="s">
        <v>111</v>
      </c>
      <c r="J617" s="93" t="s">
        <v>7105</v>
      </c>
      <c r="K617" s="93" t="s">
        <v>111</v>
      </c>
      <c r="L617" s="93" t="s">
        <v>111</v>
      </c>
      <c r="M617" s="93" t="s">
        <v>111</v>
      </c>
      <c r="N617" s="93" t="s">
        <v>111</v>
      </c>
      <c r="O617" s="93" t="s">
        <v>111</v>
      </c>
      <c r="P617" s="93" t="s">
        <v>111</v>
      </c>
      <c r="Q617" s="93" t="s">
        <v>111</v>
      </c>
      <c r="R617" s="93" t="s">
        <v>2</v>
      </c>
      <c r="S617" s="93" t="s">
        <v>111</v>
      </c>
      <c r="T617" s="93" t="s">
        <v>116</v>
      </c>
      <c r="U617" s="94">
        <v>44610.061111111114</v>
      </c>
      <c r="V617" s="93" t="s">
        <v>7072</v>
      </c>
      <c r="W617" s="93" t="s">
        <v>24</v>
      </c>
    </row>
    <row r="618" spans="1:23" x14ac:dyDescent="0.15">
      <c r="A618" s="93" t="s">
        <v>314</v>
      </c>
      <c r="B618" s="93" t="s">
        <v>915</v>
      </c>
      <c r="C618" s="93">
        <v>5.43</v>
      </c>
      <c r="D618" s="93" t="s">
        <v>24</v>
      </c>
      <c r="E618" s="93" t="s">
        <v>24</v>
      </c>
      <c r="F618" s="93" t="s">
        <v>126</v>
      </c>
      <c r="G618" s="93" t="s">
        <v>7183</v>
      </c>
      <c r="H618" s="93" t="s">
        <v>400</v>
      </c>
      <c r="I618" s="93" t="s">
        <v>111</v>
      </c>
      <c r="J618" s="93" t="s">
        <v>7105</v>
      </c>
      <c r="K618" s="93" t="s">
        <v>111</v>
      </c>
      <c r="L618" s="93" t="s">
        <v>111</v>
      </c>
      <c r="M618" s="93" t="s">
        <v>111</v>
      </c>
      <c r="N618" s="93" t="s">
        <v>111</v>
      </c>
      <c r="O618" s="93" t="s">
        <v>111</v>
      </c>
      <c r="P618" s="93" t="s">
        <v>111</v>
      </c>
      <c r="Q618" s="93" t="s">
        <v>111</v>
      </c>
      <c r="R618" s="93" t="s">
        <v>2</v>
      </c>
      <c r="S618" s="93" t="s">
        <v>111</v>
      </c>
      <c r="T618" s="93" t="s">
        <v>116</v>
      </c>
      <c r="U618" s="94">
        <v>44610.055555555555</v>
      </c>
      <c r="V618" s="93" t="s">
        <v>7072</v>
      </c>
      <c r="W618" s="93" t="s">
        <v>24</v>
      </c>
    </row>
    <row r="619" spans="1:23" x14ac:dyDescent="0.15">
      <c r="A619" s="93" t="s">
        <v>315</v>
      </c>
      <c r="B619" s="93" t="s">
        <v>834</v>
      </c>
      <c r="C619" s="93">
        <v>200.58</v>
      </c>
      <c r="D619" s="93" t="s">
        <v>24</v>
      </c>
      <c r="E619" s="93" t="s">
        <v>24</v>
      </c>
      <c r="F619" s="93" t="s">
        <v>126</v>
      </c>
      <c r="G619" s="93" t="s">
        <v>7185</v>
      </c>
      <c r="H619" s="93" t="s">
        <v>400</v>
      </c>
      <c r="I619" s="93" t="s">
        <v>111</v>
      </c>
      <c r="J619" s="93" t="s">
        <v>7105</v>
      </c>
      <c r="K619" s="93" t="s">
        <v>111</v>
      </c>
      <c r="L619" s="93" t="s">
        <v>111</v>
      </c>
      <c r="M619" s="93" t="s">
        <v>111</v>
      </c>
      <c r="N619" s="93" t="s">
        <v>111</v>
      </c>
      <c r="O619" s="93" t="s">
        <v>111</v>
      </c>
      <c r="P619" s="93" t="s">
        <v>111</v>
      </c>
      <c r="Q619" s="93" t="s">
        <v>111</v>
      </c>
      <c r="R619" s="93" t="s">
        <v>2</v>
      </c>
      <c r="S619" s="93" t="s">
        <v>111</v>
      </c>
      <c r="T619" s="93" t="s">
        <v>116</v>
      </c>
      <c r="U619" s="94">
        <v>44610.103472222225</v>
      </c>
      <c r="V619" s="93" t="s">
        <v>7072</v>
      </c>
      <c r="W619" s="93" t="s">
        <v>24</v>
      </c>
    </row>
    <row r="620" spans="1:23" x14ac:dyDescent="0.15">
      <c r="A620" s="93" t="s">
        <v>316</v>
      </c>
      <c r="B620" s="93" t="s">
        <v>916</v>
      </c>
      <c r="C620" s="93">
        <v>5.57</v>
      </c>
      <c r="D620" s="93" t="s">
        <v>24</v>
      </c>
      <c r="E620" s="93" t="s">
        <v>24</v>
      </c>
      <c r="F620" s="93" t="s">
        <v>126</v>
      </c>
      <c r="G620" s="93" t="s">
        <v>7183</v>
      </c>
      <c r="H620" s="93" t="s">
        <v>400</v>
      </c>
      <c r="I620" s="93" t="s">
        <v>111</v>
      </c>
      <c r="J620" s="93" t="s">
        <v>7105</v>
      </c>
      <c r="K620" s="93" t="s">
        <v>111</v>
      </c>
      <c r="L620" s="93" t="s">
        <v>111</v>
      </c>
      <c r="M620" s="93" t="s">
        <v>111</v>
      </c>
      <c r="N620" s="93" t="s">
        <v>111</v>
      </c>
      <c r="O620" s="93" t="s">
        <v>111</v>
      </c>
      <c r="P620" s="93" t="s">
        <v>111</v>
      </c>
      <c r="Q620" s="93" t="s">
        <v>111</v>
      </c>
      <c r="R620" s="93" t="s">
        <v>2</v>
      </c>
      <c r="S620" s="93" t="s">
        <v>111</v>
      </c>
      <c r="T620" s="93" t="s">
        <v>116</v>
      </c>
      <c r="U620" s="94">
        <v>44610.069444444445</v>
      </c>
      <c r="V620" s="93" t="s">
        <v>7072</v>
      </c>
      <c r="W620" s="93" t="s">
        <v>24</v>
      </c>
    </row>
    <row r="621" spans="1:23" x14ac:dyDescent="0.15">
      <c r="A621" s="93" t="s">
        <v>317</v>
      </c>
      <c r="B621" s="93" t="s">
        <v>378</v>
      </c>
      <c r="C621" s="93">
        <v>31</v>
      </c>
      <c r="D621" s="93" t="s">
        <v>24</v>
      </c>
      <c r="E621" s="93" t="s">
        <v>24</v>
      </c>
      <c r="F621" s="93" t="s">
        <v>126</v>
      </c>
      <c r="G621" s="93" t="s">
        <v>7185</v>
      </c>
      <c r="H621" s="93" t="s">
        <v>400</v>
      </c>
      <c r="I621" s="93" t="s">
        <v>111</v>
      </c>
      <c r="J621" s="93" t="s">
        <v>7105</v>
      </c>
      <c r="K621" s="93" t="s">
        <v>111</v>
      </c>
      <c r="L621" s="93" t="s">
        <v>111</v>
      </c>
      <c r="M621" s="93" t="s">
        <v>111</v>
      </c>
      <c r="N621" s="93" t="s">
        <v>111</v>
      </c>
      <c r="O621" s="93" t="s">
        <v>111</v>
      </c>
      <c r="P621" s="93" t="s">
        <v>111</v>
      </c>
      <c r="Q621" s="93" t="s">
        <v>111</v>
      </c>
      <c r="R621" s="93" t="s">
        <v>2</v>
      </c>
      <c r="S621" s="93" t="s">
        <v>111</v>
      </c>
      <c r="T621" s="93" t="s">
        <v>116</v>
      </c>
      <c r="U621" s="94">
        <v>44610.104166666664</v>
      </c>
      <c r="V621" s="93" t="s">
        <v>7072</v>
      </c>
      <c r="W621" s="93" t="s">
        <v>24</v>
      </c>
    </row>
    <row r="622" spans="1:23" x14ac:dyDescent="0.15">
      <c r="A622" s="93" t="s">
        <v>318</v>
      </c>
      <c r="B622" s="93" t="s">
        <v>836</v>
      </c>
      <c r="C622" s="93">
        <v>225.22</v>
      </c>
      <c r="D622" s="93" t="s">
        <v>24</v>
      </c>
      <c r="E622" s="93" t="s">
        <v>24</v>
      </c>
      <c r="F622" s="93" t="s">
        <v>126</v>
      </c>
      <c r="G622" s="93" t="s">
        <v>7185</v>
      </c>
      <c r="H622" s="93" t="s">
        <v>400</v>
      </c>
      <c r="I622" s="93" t="s">
        <v>111</v>
      </c>
      <c r="J622" s="93" t="s">
        <v>7105</v>
      </c>
      <c r="K622" s="93" t="s">
        <v>111</v>
      </c>
      <c r="L622" s="93" t="s">
        <v>111</v>
      </c>
      <c r="M622" s="93" t="s">
        <v>111</v>
      </c>
      <c r="N622" s="93" t="s">
        <v>111</v>
      </c>
      <c r="O622" s="93" t="s">
        <v>111</v>
      </c>
      <c r="P622" s="93" t="s">
        <v>111</v>
      </c>
      <c r="Q622" s="93" t="s">
        <v>111</v>
      </c>
      <c r="R622" s="93" t="s">
        <v>2</v>
      </c>
      <c r="S622" s="93" t="s">
        <v>111</v>
      </c>
      <c r="T622" s="93" t="s">
        <v>116</v>
      </c>
      <c r="U622" s="94">
        <v>44610.109027777777</v>
      </c>
      <c r="V622" s="93" t="s">
        <v>7072</v>
      </c>
      <c r="W622" s="93" t="s">
        <v>24</v>
      </c>
    </row>
    <row r="623" spans="1:23" x14ac:dyDescent="0.15">
      <c r="A623" s="93" t="s">
        <v>319</v>
      </c>
      <c r="B623" s="93" t="s">
        <v>917</v>
      </c>
      <c r="C623" s="93">
        <v>6.26</v>
      </c>
      <c r="D623" s="93" t="s">
        <v>24</v>
      </c>
      <c r="E623" s="93" t="s">
        <v>24</v>
      </c>
      <c r="F623" s="93" t="s">
        <v>126</v>
      </c>
      <c r="G623" s="93" t="s">
        <v>7183</v>
      </c>
      <c r="H623" s="93" t="s">
        <v>400</v>
      </c>
      <c r="I623" s="93" t="s">
        <v>111</v>
      </c>
      <c r="J623" s="93" t="s">
        <v>7105</v>
      </c>
      <c r="K623" s="93" t="s">
        <v>111</v>
      </c>
      <c r="L623" s="93" t="s">
        <v>111</v>
      </c>
      <c r="M623" s="93" t="s">
        <v>111</v>
      </c>
      <c r="N623" s="93" t="s">
        <v>111</v>
      </c>
      <c r="O623" s="93" t="s">
        <v>111</v>
      </c>
      <c r="P623" s="93" t="s">
        <v>111</v>
      </c>
      <c r="Q623" s="93" t="s">
        <v>111</v>
      </c>
      <c r="R623" s="93" t="s">
        <v>2</v>
      </c>
      <c r="S623" s="93" t="s">
        <v>111</v>
      </c>
      <c r="T623" s="93" t="s">
        <v>116</v>
      </c>
      <c r="U623" s="94">
        <v>44610.087500000001</v>
      </c>
      <c r="V623" s="93" t="s">
        <v>7072</v>
      </c>
      <c r="W623" s="93" t="s">
        <v>24</v>
      </c>
    </row>
    <row r="624" spans="1:23" x14ac:dyDescent="0.15">
      <c r="A624" s="93" t="s">
        <v>320</v>
      </c>
      <c r="B624" s="93" t="s">
        <v>838</v>
      </c>
      <c r="C624" s="93">
        <v>380.05</v>
      </c>
      <c r="D624" s="93" t="s">
        <v>24</v>
      </c>
      <c r="E624" s="93" t="s">
        <v>24</v>
      </c>
      <c r="F624" s="93" t="s">
        <v>126</v>
      </c>
      <c r="G624" s="93" t="s">
        <v>7185</v>
      </c>
      <c r="H624" s="93" t="s">
        <v>400</v>
      </c>
      <c r="I624" s="93" t="s">
        <v>111</v>
      </c>
      <c r="J624" s="93" t="s">
        <v>7105</v>
      </c>
      <c r="K624" s="93" t="s">
        <v>111</v>
      </c>
      <c r="L624" s="93" t="s">
        <v>111</v>
      </c>
      <c r="M624" s="93" t="s">
        <v>111</v>
      </c>
      <c r="N624" s="93" t="s">
        <v>111</v>
      </c>
      <c r="O624" s="93" t="s">
        <v>111</v>
      </c>
      <c r="P624" s="93" t="s">
        <v>111</v>
      </c>
      <c r="Q624" s="93" t="s">
        <v>111</v>
      </c>
      <c r="R624" s="93" t="s">
        <v>2</v>
      </c>
      <c r="S624" s="93" t="s">
        <v>111</v>
      </c>
      <c r="T624" s="93" t="s">
        <v>116</v>
      </c>
      <c r="U624" s="94">
        <v>44610.103472222225</v>
      </c>
      <c r="V624" s="93" t="s">
        <v>7072</v>
      </c>
      <c r="W624" s="93" t="s">
        <v>24</v>
      </c>
    </row>
    <row r="625" spans="1:23" x14ac:dyDescent="0.15">
      <c r="A625" s="93" t="s">
        <v>321</v>
      </c>
      <c r="B625" s="93" t="s">
        <v>918</v>
      </c>
      <c r="C625" s="93">
        <v>10.56</v>
      </c>
      <c r="D625" s="93" t="s">
        <v>24</v>
      </c>
      <c r="E625" s="93" t="s">
        <v>24</v>
      </c>
      <c r="F625" s="93" t="s">
        <v>126</v>
      </c>
      <c r="G625" s="93" t="s">
        <v>7183</v>
      </c>
      <c r="H625" s="93" t="s">
        <v>400</v>
      </c>
      <c r="I625" s="93" t="s">
        <v>111</v>
      </c>
      <c r="J625" s="93" t="s">
        <v>7105</v>
      </c>
      <c r="K625" s="93" t="s">
        <v>111</v>
      </c>
      <c r="L625" s="93" t="s">
        <v>111</v>
      </c>
      <c r="M625" s="93" t="s">
        <v>111</v>
      </c>
      <c r="N625" s="93" t="s">
        <v>111</v>
      </c>
      <c r="O625" s="93" t="s">
        <v>111</v>
      </c>
      <c r="P625" s="93" t="s">
        <v>111</v>
      </c>
      <c r="Q625" s="93" t="s">
        <v>111</v>
      </c>
      <c r="R625" s="93" t="s">
        <v>2</v>
      </c>
      <c r="S625" s="93" t="s">
        <v>111</v>
      </c>
      <c r="T625" s="93" t="s">
        <v>116</v>
      </c>
      <c r="U625" s="94">
        <v>44610.109722222223</v>
      </c>
      <c r="V625" s="93" t="s">
        <v>7072</v>
      </c>
      <c r="W625" s="93" t="s">
        <v>24</v>
      </c>
    </row>
    <row r="626" spans="1:23" x14ac:dyDescent="0.15">
      <c r="A626" s="93" t="s">
        <v>322</v>
      </c>
      <c r="B626" s="93" t="s">
        <v>840</v>
      </c>
      <c r="C626" s="93">
        <v>40.47</v>
      </c>
      <c r="D626" s="93" t="s">
        <v>24</v>
      </c>
      <c r="E626" s="93" t="s">
        <v>24</v>
      </c>
      <c r="F626" s="93" t="s">
        <v>126</v>
      </c>
      <c r="G626" s="93" t="s">
        <v>7185</v>
      </c>
      <c r="H626" s="93" t="s">
        <v>400</v>
      </c>
      <c r="I626" s="93" t="s">
        <v>111</v>
      </c>
      <c r="J626" s="93" t="s">
        <v>7105</v>
      </c>
      <c r="K626" s="93" t="s">
        <v>111</v>
      </c>
      <c r="L626" s="93" t="s">
        <v>111</v>
      </c>
      <c r="M626" s="93" t="s">
        <v>111</v>
      </c>
      <c r="N626" s="93" t="s">
        <v>111</v>
      </c>
      <c r="O626" s="93" t="s">
        <v>111</v>
      </c>
      <c r="P626" s="93" t="s">
        <v>111</v>
      </c>
      <c r="Q626" s="93" t="s">
        <v>111</v>
      </c>
      <c r="R626" s="93" t="s">
        <v>2</v>
      </c>
      <c r="S626" s="93" t="s">
        <v>111</v>
      </c>
      <c r="T626" s="93" t="s">
        <v>116</v>
      </c>
      <c r="U626" s="94">
        <v>44610.086805555555</v>
      </c>
      <c r="V626" s="93" t="s">
        <v>7072</v>
      </c>
      <c r="W626" s="93" t="s">
        <v>24</v>
      </c>
    </row>
    <row r="627" spans="1:23" x14ac:dyDescent="0.15">
      <c r="A627" s="93" t="s">
        <v>323</v>
      </c>
      <c r="B627" s="93" t="s">
        <v>919</v>
      </c>
      <c r="C627" s="93">
        <v>1.1200000000000001</v>
      </c>
      <c r="D627" s="93" t="s">
        <v>24</v>
      </c>
      <c r="E627" s="93" t="s">
        <v>24</v>
      </c>
      <c r="F627" s="93" t="s">
        <v>126</v>
      </c>
      <c r="G627" s="93" t="s">
        <v>7183</v>
      </c>
      <c r="H627" s="93" t="s">
        <v>400</v>
      </c>
      <c r="I627" s="93" t="s">
        <v>111</v>
      </c>
      <c r="J627" s="93" t="s">
        <v>7105</v>
      </c>
      <c r="K627" s="93" t="s">
        <v>111</v>
      </c>
      <c r="L627" s="93" t="s">
        <v>111</v>
      </c>
      <c r="M627" s="93" t="s">
        <v>111</v>
      </c>
      <c r="N627" s="93" t="s">
        <v>111</v>
      </c>
      <c r="O627" s="93" t="s">
        <v>111</v>
      </c>
      <c r="P627" s="93" t="s">
        <v>111</v>
      </c>
      <c r="Q627" s="93" t="s">
        <v>111</v>
      </c>
      <c r="R627" s="93" t="s">
        <v>2</v>
      </c>
      <c r="S627" s="93" t="s">
        <v>111</v>
      </c>
      <c r="T627" s="93" t="s">
        <v>116</v>
      </c>
      <c r="U627" s="94">
        <v>44610.109722222223</v>
      </c>
      <c r="V627" s="93" t="s">
        <v>7072</v>
      </c>
      <c r="W627" s="93" t="s">
        <v>24</v>
      </c>
    </row>
    <row r="628" spans="1:23" x14ac:dyDescent="0.15">
      <c r="A628" s="93" t="s">
        <v>324</v>
      </c>
      <c r="B628" s="93" t="s">
        <v>842</v>
      </c>
      <c r="C628" s="93">
        <v>91.49</v>
      </c>
      <c r="D628" s="93" t="s">
        <v>24</v>
      </c>
      <c r="E628" s="93" t="s">
        <v>24</v>
      </c>
      <c r="F628" s="93" t="s">
        <v>126</v>
      </c>
      <c r="G628" s="93" t="s">
        <v>7185</v>
      </c>
      <c r="H628" s="93" t="s">
        <v>400</v>
      </c>
      <c r="I628" s="93" t="s">
        <v>111</v>
      </c>
      <c r="J628" s="93" t="s">
        <v>7105</v>
      </c>
      <c r="K628" s="93" t="s">
        <v>111</v>
      </c>
      <c r="L628" s="93" t="s">
        <v>111</v>
      </c>
      <c r="M628" s="93" t="s">
        <v>111</v>
      </c>
      <c r="N628" s="93" t="s">
        <v>111</v>
      </c>
      <c r="O628" s="93" t="s">
        <v>111</v>
      </c>
      <c r="P628" s="93" t="s">
        <v>111</v>
      </c>
      <c r="Q628" s="93" t="s">
        <v>111</v>
      </c>
      <c r="R628" s="93" t="s">
        <v>2</v>
      </c>
      <c r="S628" s="93" t="s">
        <v>111</v>
      </c>
      <c r="T628" s="93" t="s">
        <v>116</v>
      </c>
      <c r="U628" s="94">
        <v>44610.061111111114</v>
      </c>
      <c r="V628" s="93" t="s">
        <v>7072</v>
      </c>
      <c r="W628" s="93" t="s">
        <v>24</v>
      </c>
    </row>
    <row r="629" spans="1:23" x14ac:dyDescent="0.15">
      <c r="A629" s="93" t="s">
        <v>325</v>
      </c>
      <c r="B629" s="93" t="s">
        <v>920</v>
      </c>
      <c r="C629" s="93">
        <v>2.54</v>
      </c>
      <c r="D629" s="93" t="s">
        <v>24</v>
      </c>
      <c r="E629" s="93" t="s">
        <v>24</v>
      </c>
      <c r="F629" s="93" t="s">
        <v>126</v>
      </c>
      <c r="G629" s="93" t="s">
        <v>7183</v>
      </c>
      <c r="H629" s="93" t="s">
        <v>400</v>
      </c>
      <c r="I629" s="93" t="s">
        <v>111</v>
      </c>
      <c r="J629" s="93" t="s">
        <v>7105</v>
      </c>
      <c r="K629" s="93" t="s">
        <v>111</v>
      </c>
      <c r="L629" s="93" t="s">
        <v>111</v>
      </c>
      <c r="M629" s="93" t="s">
        <v>111</v>
      </c>
      <c r="N629" s="93" t="s">
        <v>111</v>
      </c>
      <c r="O629" s="93" t="s">
        <v>111</v>
      </c>
      <c r="P629" s="93" t="s">
        <v>111</v>
      </c>
      <c r="Q629" s="93" t="s">
        <v>111</v>
      </c>
      <c r="R629" s="93" t="s">
        <v>2</v>
      </c>
      <c r="S629" s="93" t="s">
        <v>111</v>
      </c>
      <c r="T629" s="93" t="s">
        <v>116</v>
      </c>
      <c r="U629" s="94">
        <v>44610.104166666664</v>
      </c>
      <c r="V629" s="93" t="s">
        <v>7072</v>
      </c>
      <c r="W629" s="93" t="s">
        <v>24</v>
      </c>
    </row>
    <row r="630" spans="1:23" x14ac:dyDescent="0.15">
      <c r="A630" s="93" t="s">
        <v>326</v>
      </c>
      <c r="B630" s="93" t="s">
        <v>32</v>
      </c>
      <c r="C630" s="93">
        <v>104</v>
      </c>
      <c r="D630" s="93" t="s">
        <v>24</v>
      </c>
      <c r="E630" s="93" t="s">
        <v>24</v>
      </c>
      <c r="F630" s="93" t="s">
        <v>126</v>
      </c>
      <c r="G630" s="93" t="s">
        <v>7185</v>
      </c>
      <c r="H630" s="93" t="s">
        <v>400</v>
      </c>
      <c r="I630" s="93" t="s">
        <v>111</v>
      </c>
      <c r="J630" s="93" t="s">
        <v>7105</v>
      </c>
      <c r="K630" s="93" t="s">
        <v>111</v>
      </c>
      <c r="L630" s="93" t="s">
        <v>111</v>
      </c>
      <c r="M630" s="93" t="s">
        <v>111</v>
      </c>
      <c r="N630" s="93" t="s">
        <v>111</v>
      </c>
      <c r="O630" s="93" t="s">
        <v>111</v>
      </c>
      <c r="P630" s="93" t="s">
        <v>111</v>
      </c>
      <c r="Q630" s="93" t="s">
        <v>111</v>
      </c>
      <c r="R630" s="93" t="s">
        <v>2</v>
      </c>
      <c r="S630" s="93" t="s">
        <v>111</v>
      </c>
      <c r="T630" s="93" t="s">
        <v>116</v>
      </c>
      <c r="U630" s="94">
        <v>44610.127083333333</v>
      </c>
      <c r="V630" s="93" t="s">
        <v>7072</v>
      </c>
      <c r="W630" s="93" t="s">
        <v>24</v>
      </c>
    </row>
    <row r="631" spans="1:23" x14ac:dyDescent="0.15">
      <c r="A631" s="93" t="s">
        <v>327</v>
      </c>
      <c r="B631" s="93" t="s">
        <v>921</v>
      </c>
      <c r="C631" s="93">
        <v>1.86</v>
      </c>
      <c r="D631" s="93" t="s">
        <v>24</v>
      </c>
      <c r="E631" s="93" t="s">
        <v>24</v>
      </c>
      <c r="F631" s="93" t="s">
        <v>126</v>
      </c>
      <c r="G631" s="93" t="s">
        <v>7183</v>
      </c>
      <c r="H631" s="93" t="s">
        <v>400</v>
      </c>
      <c r="I631" s="93" t="s">
        <v>111</v>
      </c>
      <c r="J631" s="93" t="s">
        <v>7105</v>
      </c>
      <c r="K631" s="93" t="s">
        <v>111</v>
      </c>
      <c r="L631" s="93" t="s">
        <v>111</v>
      </c>
      <c r="M631" s="93" t="s">
        <v>111</v>
      </c>
      <c r="N631" s="93" t="s">
        <v>111</v>
      </c>
      <c r="O631" s="93" t="s">
        <v>111</v>
      </c>
      <c r="P631" s="93" t="s">
        <v>111</v>
      </c>
      <c r="Q631" s="93" t="s">
        <v>111</v>
      </c>
      <c r="R631" s="93" t="s">
        <v>2</v>
      </c>
      <c r="S631" s="93" t="s">
        <v>111</v>
      </c>
      <c r="T631" s="93" t="s">
        <v>116</v>
      </c>
      <c r="U631" s="94">
        <v>44610.087500000001</v>
      </c>
      <c r="V631" s="93" t="s">
        <v>7072</v>
      </c>
      <c r="W631" s="93" t="s">
        <v>24</v>
      </c>
    </row>
    <row r="632" spans="1:23" x14ac:dyDescent="0.15">
      <c r="A632" s="93" t="s">
        <v>328</v>
      </c>
      <c r="B632" s="93" t="s">
        <v>844</v>
      </c>
      <c r="C632" s="93">
        <v>441.63</v>
      </c>
      <c r="D632" s="93" t="s">
        <v>24</v>
      </c>
      <c r="E632" s="93" t="s">
        <v>24</v>
      </c>
      <c r="F632" s="93" t="s">
        <v>126</v>
      </c>
      <c r="G632" s="93" t="s">
        <v>7185</v>
      </c>
      <c r="H632" s="93" t="s">
        <v>400</v>
      </c>
      <c r="I632" s="93" t="s">
        <v>111</v>
      </c>
      <c r="J632" s="93" t="s">
        <v>7105</v>
      </c>
      <c r="K632" s="93" t="s">
        <v>111</v>
      </c>
      <c r="L632" s="93" t="s">
        <v>111</v>
      </c>
      <c r="M632" s="93" t="s">
        <v>111</v>
      </c>
      <c r="N632" s="93" t="s">
        <v>111</v>
      </c>
      <c r="O632" s="93" t="s">
        <v>111</v>
      </c>
      <c r="P632" s="93" t="s">
        <v>111</v>
      </c>
      <c r="Q632" s="93" t="s">
        <v>111</v>
      </c>
      <c r="R632" s="93" t="s">
        <v>2</v>
      </c>
      <c r="S632" s="93" t="s">
        <v>111</v>
      </c>
      <c r="T632" s="93" t="s">
        <v>116</v>
      </c>
      <c r="U632" s="94">
        <v>44610.094444444447</v>
      </c>
      <c r="V632" s="93" t="s">
        <v>7072</v>
      </c>
      <c r="W632" s="93" t="s">
        <v>24</v>
      </c>
    </row>
    <row r="633" spans="1:23" x14ac:dyDescent="0.15">
      <c r="A633" s="93" t="s">
        <v>329</v>
      </c>
      <c r="B633" s="93" t="s">
        <v>922</v>
      </c>
      <c r="C633" s="93">
        <v>12.27</v>
      </c>
      <c r="D633" s="93" t="s">
        <v>24</v>
      </c>
      <c r="E633" s="93" t="s">
        <v>24</v>
      </c>
      <c r="F633" s="93" t="s">
        <v>126</v>
      </c>
      <c r="G633" s="93" t="s">
        <v>7183</v>
      </c>
      <c r="H633" s="93" t="s">
        <v>400</v>
      </c>
      <c r="I633" s="93" t="s">
        <v>111</v>
      </c>
      <c r="J633" s="93" t="s">
        <v>7105</v>
      </c>
      <c r="K633" s="93" t="s">
        <v>111</v>
      </c>
      <c r="L633" s="93" t="s">
        <v>111</v>
      </c>
      <c r="M633" s="93" t="s">
        <v>111</v>
      </c>
      <c r="N633" s="93" t="s">
        <v>111</v>
      </c>
      <c r="O633" s="93" t="s">
        <v>111</v>
      </c>
      <c r="P633" s="93" t="s">
        <v>111</v>
      </c>
      <c r="Q633" s="93" t="s">
        <v>111</v>
      </c>
      <c r="R633" s="93" t="s">
        <v>2</v>
      </c>
      <c r="S633" s="93" t="s">
        <v>111</v>
      </c>
      <c r="T633" s="93" t="s">
        <v>116</v>
      </c>
      <c r="U633" s="94">
        <v>44610.067361111112</v>
      </c>
      <c r="V633" s="93" t="s">
        <v>7072</v>
      </c>
      <c r="W633" s="93" t="s">
        <v>24</v>
      </c>
    </row>
    <row r="634" spans="1:23" x14ac:dyDescent="0.15">
      <c r="A634" s="93" t="s">
        <v>330</v>
      </c>
      <c r="B634" s="93" t="s">
        <v>846</v>
      </c>
      <c r="C634" s="93">
        <v>533.13</v>
      </c>
      <c r="D634" s="93" t="s">
        <v>24</v>
      </c>
      <c r="E634" s="93" t="s">
        <v>24</v>
      </c>
      <c r="F634" s="93" t="s">
        <v>126</v>
      </c>
      <c r="G634" s="93" t="s">
        <v>7185</v>
      </c>
      <c r="H634" s="93" t="s">
        <v>400</v>
      </c>
      <c r="I634" s="93" t="s">
        <v>111</v>
      </c>
      <c r="J634" s="93" t="s">
        <v>7105</v>
      </c>
      <c r="K634" s="93" t="s">
        <v>111</v>
      </c>
      <c r="L634" s="93" t="s">
        <v>111</v>
      </c>
      <c r="M634" s="93" t="s">
        <v>111</v>
      </c>
      <c r="N634" s="93" t="s">
        <v>111</v>
      </c>
      <c r="O634" s="93" t="s">
        <v>111</v>
      </c>
      <c r="P634" s="93" t="s">
        <v>111</v>
      </c>
      <c r="Q634" s="93" t="s">
        <v>111</v>
      </c>
      <c r="R634" s="93" t="s">
        <v>2</v>
      </c>
      <c r="S634" s="93" t="s">
        <v>111</v>
      </c>
      <c r="T634" s="93" t="s">
        <v>116</v>
      </c>
      <c r="U634" s="94">
        <v>44610.126388888886</v>
      </c>
      <c r="V634" s="93" t="s">
        <v>7072</v>
      </c>
      <c r="W634" s="93" t="s">
        <v>24</v>
      </c>
    </row>
    <row r="635" spans="1:23" x14ac:dyDescent="0.15">
      <c r="A635" s="93" t="s">
        <v>331</v>
      </c>
      <c r="B635" s="93" t="s">
        <v>923</v>
      </c>
      <c r="C635" s="93">
        <v>14.81</v>
      </c>
      <c r="D635" s="93" t="s">
        <v>24</v>
      </c>
      <c r="E635" s="93" t="s">
        <v>24</v>
      </c>
      <c r="F635" s="93" t="s">
        <v>126</v>
      </c>
      <c r="G635" s="93" t="s">
        <v>7183</v>
      </c>
      <c r="H635" s="93" t="s">
        <v>400</v>
      </c>
      <c r="I635" s="93" t="s">
        <v>111</v>
      </c>
      <c r="J635" s="93" t="s">
        <v>7105</v>
      </c>
      <c r="K635" s="93" t="s">
        <v>111</v>
      </c>
      <c r="L635" s="93" t="s">
        <v>111</v>
      </c>
      <c r="M635" s="93" t="s">
        <v>111</v>
      </c>
      <c r="N635" s="93" t="s">
        <v>111</v>
      </c>
      <c r="O635" s="93" t="s">
        <v>111</v>
      </c>
      <c r="P635" s="93" t="s">
        <v>111</v>
      </c>
      <c r="Q635" s="93" t="s">
        <v>111</v>
      </c>
      <c r="R635" s="93" t="s">
        <v>2</v>
      </c>
      <c r="S635" s="93" t="s">
        <v>111</v>
      </c>
      <c r="T635" s="93" t="s">
        <v>116</v>
      </c>
      <c r="U635" s="94">
        <v>44610.102083333331</v>
      </c>
      <c r="V635" s="93" t="s">
        <v>7072</v>
      </c>
      <c r="W635" s="93" t="s">
        <v>24</v>
      </c>
    </row>
    <row r="636" spans="1:23" x14ac:dyDescent="0.15">
      <c r="A636" s="93" t="s">
        <v>332</v>
      </c>
      <c r="B636" s="93" t="s">
        <v>848</v>
      </c>
      <c r="C636" s="93">
        <v>738.99</v>
      </c>
      <c r="D636" s="93" t="s">
        <v>24</v>
      </c>
      <c r="E636" s="93" t="s">
        <v>24</v>
      </c>
      <c r="F636" s="93" t="s">
        <v>126</v>
      </c>
      <c r="G636" s="93" t="s">
        <v>7185</v>
      </c>
      <c r="H636" s="93" t="s">
        <v>400</v>
      </c>
      <c r="I636" s="93" t="s">
        <v>111</v>
      </c>
      <c r="J636" s="93" t="s">
        <v>7105</v>
      </c>
      <c r="K636" s="93" t="s">
        <v>111</v>
      </c>
      <c r="L636" s="93" t="s">
        <v>111</v>
      </c>
      <c r="M636" s="93" t="s">
        <v>111</v>
      </c>
      <c r="N636" s="93" t="s">
        <v>111</v>
      </c>
      <c r="O636" s="93" t="s">
        <v>111</v>
      </c>
      <c r="P636" s="93" t="s">
        <v>111</v>
      </c>
      <c r="Q636" s="93" t="s">
        <v>111</v>
      </c>
      <c r="R636" s="93" t="s">
        <v>2</v>
      </c>
      <c r="S636" s="93" t="s">
        <v>111</v>
      </c>
      <c r="T636" s="93" t="s">
        <v>116</v>
      </c>
      <c r="U636" s="94">
        <v>44610.094444444447</v>
      </c>
      <c r="V636" s="93" t="s">
        <v>7072</v>
      </c>
      <c r="W636" s="93" t="s">
        <v>24</v>
      </c>
    </row>
    <row r="637" spans="1:23" x14ac:dyDescent="0.15">
      <c r="A637" s="93" t="s">
        <v>333</v>
      </c>
      <c r="B637" s="93" t="s">
        <v>924</v>
      </c>
      <c r="C637" s="93">
        <v>20.53</v>
      </c>
      <c r="D637" s="93" t="s">
        <v>24</v>
      </c>
      <c r="E637" s="93" t="s">
        <v>24</v>
      </c>
      <c r="F637" s="93" t="s">
        <v>126</v>
      </c>
      <c r="G637" s="93" t="s">
        <v>7183</v>
      </c>
      <c r="H637" s="93" t="s">
        <v>400</v>
      </c>
      <c r="I637" s="93" t="s">
        <v>111</v>
      </c>
      <c r="J637" s="93" t="s">
        <v>7105</v>
      </c>
      <c r="K637" s="93" t="s">
        <v>111</v>
      </c>
      <c r="L637" s="93" t="s">
        <v>111</v>
      </c>
      <c r="M637" s="93" t="s">
        <v>111</v>
      </c>
      <c r="N637" s="93" t="s">
        <v>111</v>
      </c>
      <c r="O637" s="93" t="s">
        <v>111</v>
      </c>
      <c r="P637" s="93" t="s">
        <v>111</v>
      </c>
      <c r="Q637" s="93" t="s">
        <v>111</v>
      </c>
      <c r="R637" s="93" t="s">
        <v>2</v>
      </c>
      <c r="S637" s="93" t="s">
        <v>111</v>
      </c>
      <c r="T637" s="93" t="s">
        <v>116</v>
      </c>
      <c r="U637" s="94">
        <v>44610.085416666669</v>
      </c>
      <c r="V637" s="93" t="s">
        <v>7072</v>
      </c>
      <c r="W637" s="93" t="s">
        <v>24</v>
      </c>
    </row>
    <row r="638" spans="1:23" x14ac:dyDescent="0.15">
      <c r="A638" s="93" t="s">
        <v>334</v>
      </c>
      <c r="B638" s="93" t="s">
        <v>850</v>
      </c>
      <c r="C638" s="93">
        <v>369.5</v>
      </c>
      <c r="D638" s="93" t="s">
        <v>24</v>
      </c>
      <c r="E638" s="93" t="s">
        <v>24</v>
      </c>
      <c r="F638" s="93" t="s">
        <v>126</v>
      </c>
      <c r="G638" s="93" t="s">
        <v>7185</v>
      </c>
      <c r="H638" s="93" t="s">
        <v>400</v>
      </c>
      <c r="I638" s="93" t="s">
        <v>111</v>
      </c>
      <c r="J638" s="93" t="s">
        <v>7105</v>
      </c>
      <c r="K638" s="93" t="s">
        <v>111</v>
      </c>
      <c r="L638" s="93" t="s">
        <v>111</v>
      </c>
      <c r="M638" s="93" t="s">
        <v>111</v>
      </c>
      <c r="N638" s="93" t="s">
        <v>111</v>
      </c>
      <c r="O638" s="93" t="s">
        <v>111</v>
      </c>
      <c r="P638" s="93" t="s">
        <v>111</v>
      </c>
      <c r="Q638" s="93" t="s">
        <v>111</v>
      </c>
      <c r="R638" s="93" t="s">
        <v>2</v>
      </c>
      <c r="S638" s="93" t="s">
        <v>111</v>
      </c>
      <c r="T638" s="93" t="s">
        <v>116</v>
      </c>
      <c r="U638" s="94">
        <v>44610.109027777777</v>
      </c>
      <c r="V638" s="93" t="s">
        <v>7072</v>
      </c>
      <c r="W638" s="93" t="s">
        <v>24</v>
      </c>
    </row>
    <row r="639" spans="1:23" x14ac:dyDescent="0.15">
      <c r="A639" s="93" t="s">
        <v>335</v>
      </c>
      <c r="B639" s="93" t="s">
        <v>925</v>
      </c>
      <c r="C639" s="93">
        <v>10.26</v>
      </c>
      <c r="D639" s="93" t="s">
        <v>24</v>
      </c>
      <c r="E639" s="93" t="s">
        <v>24</v>
      </c>
      <c r="F639" s="93" t="s">
        <v>126</v>
      </c>
      <c r="G639" s="93" t="s">
        <v>7183</v>
      </c>
      <c r="H639" s="93" t="s">
        <v>400</v>
      </c>
      <c r="I639" s="93" t="s">
        <v>111</v>
      </c>
      <c r="J639" s="93" t="s">
        <v>7105</v>
      </c>
      <c r="K639" s="93" t="s">
        <v>111</v>
      </c>
      <c r="L639" s="93" t="s">
        <v>111</v>
      </c>
      <c r="M639" s="93" t="s">
        <v>111</v>
      </c>
      <c r="N639" s="93" t="s">
        <v>111</v>
      </c>
      <c r="O639" s="93" t="s">
        <v>111</v>
      </c>
      <c r="P639" s="93" t="s">
        <v>111</v>
      </c>
      <c r="Q639" s="93" t="s">
        <v>111</v>
      </c>
      <c r="R639" s="93" t="s">
        <v>2</v>
      </c>
      <c r="S639" s="93" t="s">
        <v>111</v>
      </c>
      <c r="T639" s="93" t="s">
        <v>116</v>
      </c>
      <c r="U639" s="94">
        <v>44610.124305555553</v>
      </c>
      <c r="V639" s="93" t="s">
        <v>7072</v>
      </c>
      <c r="W639" s="93" t="s">
        <v>24</v>
      </c>
    </row>
    <row r="640" spans="1:23" x14ac:dyDescent="0.15">
      <c r="A640" s="93" t="s">
        <v>336</v>
      </c>
      <c r="B640" s="93" t="s">
        <v>926</v>
      </c>
      <c r="C640" s="93">
        <v>0.87</v>
      </c>
      <c r="D640" s="93" t="s">
        <v>24</v>
      </c>
      <c r="E640" s="93" t="s">
        <v>24</v>
      </c>
      <c r="F640" s="93" t="s">
        <v>126</v>
      </c>
      <c r="G640" s="93" t="s">
        <v>7183</v>
      </c>
      <c r="H640" s="93" t="s">
        <v>400</v>
      </c>
      <c r="I640" s="93" t="s">
        <v>111</v>
      </c>
      <c r="J640" s="93" t="s">
        <v>7105</v>
      </c>
      <c r="K640" s="93" t="s">
        <v>111</v>
      </c>
      <c r="L640" s="93" t="s">
        <v>111</v>
      </c>
      <c r="M640" s="93" t="s">
        <v>111</v>
      </c>
      <c r="N640" s="93" t="s">
        <v>111</v>
      </c>
      <c r="O640" s="93" t="s">
        <v>111</v>
      </c>
      <c r="P640" s="93" t="s">
        <v>111</v>
      </c>
      <c r="Q640" s="93" t="s">
        <v>111</v>
      </c>
      <c r="R640" s="93" t="s">
        <v>2</v>
      </c>
      <c r="S640" s="93" t="s">
        <v>111</v>
      </c>
      <c r="T640" s="93" t="s">
        <v>116</v>
      </c>
      <c r="U640" s="94">
        <v>44610.086111111108</v>
      </c>
      <c r="V640" s="93" t="s">
        <v>7072</v>
      </c>
      <c r="W640" s="93" t="s">
        <v>24</v>
      </c>
    </row>
    <row r="641" spans="1:23" x14ac:dyDescent="0.15">
      <c r="A641" s="93" t="s">
        <v>7482</v>
      </c>
      <c r="B641" s="93" t="s">
        <v>366</v>
      </c>
      <c r="C641" s="93">
        <v>264</v>
      </c>
      <c r="D641" s="93" t="s">
        <v>24</v>
      </c>
      <c r="E641" s="93" t="s">
        <v>24</v>
      </c>
      <c r="F641" s="93" t="s">
        <v>126</v>
      </c>
      <c r="G641" s="93" t="s">
        <v>7183</v>
      </c>
      <c r="H641" s="93" t="s">
        <v>400</v>
      </c>
      <c r="I641" s="93" t="s">
        <v>111</v>
      </c>
      <c r="J641" s="93" t="s">
        <v>118</v>
      </c>
      <c r="K641" s="93">
        <v>3</v>
      </c>
      <c r="L641" s="93" t="s">
        <v>111</v>
      </c>
      <c r="M641" s="93" t="s">
        <v>111</v>
      </c>
      <c r="N641" s="93" t="s">
        <v>111</v>
      </c>
      <c r="O641" s="93" t="s">
        <v>111</v>
      </c>
      <c r="P641" s="93" t="s">
        <v>111</v>
      </c>
      <c r="Q641" s="93" t="s">
        <v>228</v>
      </c>
      <c r="R641" s="93" t="s">
        <v>2</v>
      </c>
      <c r="S641" s="93" t="s">
        <v>115</v>
      </c>
      <c r="T641" s="93" t="s">
        <v>116</v>
      </c>
      <c r="U641" s="94">
        <v>44610.129166666666</v>
      </c>
      <c r="V641" s="93" t="s">
        <v>7072</v>
      </c>
      <c r="W641" s="93" t="s">
        <v>24</v>
      </c>
    </row>
    <row r="642" spans="1:23" x14ac:dyDescent="0.15">
      <c r="A642" s="93" t="s">
        <v>7483</v>
      </c>
      <c r="B642" s="93" t="s">
        <v>369</v>
      </c>
      <c r="C642" s="93">
        <v>84</v>
      </c>
      <c r="D642" s="93" t="s">
        <v>24</v>
      </c>
      <c r="E642" s="93" t="s">
        <v>24</v>
      </c>
      <c r="F642" s="93" t="s">
        <v>126</v>
      </c>
      <c r="G642" s="93" t="s">
        <v>7183</v>
      </c>
      <c r="H642" s="93" t="s">
        <v>400</v>
      </c>
      <c r="I642" s="93" t="s">
        <v>111</v>
      </c>
      <c r="J642" s="93" t="s">
        <v>118</v>
      </c>
      <c r="K642" s="93">
        <v>3</v>
      </c>
      <c r="L642" s="93" t="s">
        <v>111</v>
      </c>
      <c r="M642" s="93" t="s">
        <v>111</v>
      </c>
      <c r="N642" s="93" t="s">
        <v>111</v>
      </c>
      <c r="O642" s="93" t="s">
        <v>111</v>
      </c>
      <c r="P642" s="93" t="s">
        <v>111</v>
      </c>
      <c r="Q642" s="93" t="s">
        <v>228</v>
      </c>
      <c r="R642" s="93" t="s">
        <v>2</v>
      </c>
      <c r="S642" s="93" t="s">
        <v>115</v>
      </c>
      <c r="T642" s="93" t="s">
        <v>116</v>
      </c>
      <c r="U642" s="94">
        <v>44610.059027777781</v>
      </c>
      <c r="V642" s="93" t="s">
        <v>7072</v>
      </c>
      <c r="W642" s="93" t="s">
        <v>24</v>
      </c>
    </row>
    <row r="643" spans="1:23" x14ac:dyDescent="0.15">
      <c r="A643" s="93" t="s">
        <v>7484</v>
      </c>
      <c r="B643" s="93" t="s">
        <v>372</v>
      </c>
      <c r="C643" s="93">
        <v>156</v>
      </c>
      <c r="D643" s="93" t="s">
        <v>24</v>
      </c>
      <c r="E643" s="93" t="s">
        <v>24</v>
      </c>
      <c r="F643" s="93" t="s">
        <v>126</v>
      </c>
      <c r="G643" s="93" t="s">
        <v>7183</v>
      </c>
      <c r="H643" s="93" t="s">
        <v>400</v>
      </c>
      <c r="I643" s="93" t="s">
        <v>111</v>
      </c>
      <c r="J643" s="93" t="s">
        <v>118</v>
      </c>
      <c r="K643" s="93">
        <v>3</v>
      </c>
      <c r="L643" s="93" t="s">
        <v>111</v>
      </c>
      <c r="M643" s="93" t="s">
        <v>111</v>
      </c>
      <c r="N643" s="93" t="s">
        <v>111</v>
      </c>
      <c r="O643" s="93" t="s">
        <v>111</v>
      </c>
      <c r="P643" s="93" t="s">
        <v>111</v>
      </c>
      <c r="Q643" s="93" t="s">
        <v>228</v>
      </c>
      <c r="R643" s="93" t="s">
        <v>2</v>
      </c>
      <c r="S643" s="93" t="s">
        <v>115</v>
      </c>
      <c r="T643" s="93" t="s">
        <v>116</v>
      </c>
      <c r="U643" s="94">
        <v>44610.09097222222</v>
      </c>
      <c r="V643" s="93" t="s">
        <v>7072</v>
      </c>
      <c r="W643" s="93" t="s">
        <v>24</v>
      </c>
    </row>
    <row r="644" spans="1:23" x14ac:dyDescent="0.15">
      <c r="A644" s="93" t="s">
        <v>7485</v>
      </c>
      <c r="B644" s="93" t="s">
        <v>374</v>
      </c>
      <c r="C644" s="93">
        <v>192</v>
      </c>
      <c r="D644" s="93" t="s">
        <v>24</v>
      </c>
      <c r="E644" s="93" t="s">
        <v>24</v>
      </c>
      <c r="F644" s="93" t="s">
        <v>126</v>
      </c>
      <c r="G644" s="93" t="s">
        <v>7183</v>
      </c>
      <c r="H644" s="93" t="s">
        <v>400</v>
      </c>
      <c r="I644" s="93" t="s">
        <v>111</v>
      </c>
      <c r="J644" s="93" t="s">
        <v>118</v>
      </c>
      <c r="K644" s="93">
        <v>3</v>
      </c>
      <c r="L644" s="93" t="s">
        <v>111</v>
      </c>
      <c r="M644" s="93" t="s">
        <v>111</v>
      </c>
      <c r="N644" s="93" t="s">
        <v>111</v>
      </c>
      <c r="O644" s="93" t="s">
        <v>111</v>
      </c>
      <c r="P644" s="93" t="s">
        <v>111</v>
      </c>
      <c r="Q644" s="93" t="s">
        <v>228</v>
      </c>
      <c r="R644" s="93" t="s">
        <v>2</v>
      </c>
      <c r="S644" s="93" t="s">
        <v>115</v>
      </c>
      <c r="T644" s="93" t="s">
        <v>116</v>
      </c>
      <c r="U644" s="94">
        <v>44610.082638888889</v>
      </c>
      <c r="V644" s="93" t="s">
        <v>7072</v>
      </c>
      <c r="W644" s="93" t="s">
        <v>24</v>
      </c>
    </row>
    <row r="645" spans="1:23" x14ac:dyDescent="0.15">
      <c r="A645" s="93" t="s">
        <v>337</v>
      </c>
      <c r="B645" s="93" t="s">
        <v>377</v>
      </c>
      <c r="C645" s="93">
        <v>168</v>
      </c>
      <c r="D645" s="93" t="s">
        <v>24</v>
      </c>
      <c r="E645" s="93" t="s">
        <v>24</v>
      </c>
      <c r="F645" s="93" t="s">
        <v>126</v>
      </c>
      <c r="G645" s="93" t="s">
        <v>7183</v>
      </c>
      <c r="H645" s="93" t="s">
        <v>400</v>
      </c>
      <c r="I645" s="93" t="s">
        <v>111</v>
      </c>
      <c r="J645" s="93" t="s">
        <v>7105</v>
      </c>
      <c r="K645" s="93" t="s">
        <v>111</v>
      </c>
      <c r="L645" s="93" t="s">
        <v>111</v>
      </c>
      <c r="M645" s="93" t="s">
        <v>111</v>
      </c>
      <c r="N645" s="93" t="s">
        <v>111</v>
      </c>
      <c r="O645" s="93" t="s">
        <v>111</v>
      </c>
      <c r="P645" s="93" t="s">
        <v>111</v>
      </c>
      <c r="Q645" s="93" t="s">
        <v>111</v>
      </c>
      <c r="R645" s="93" t="s">
        <v>2</v>
      </c>
      <c r="S645" s="93" t="s">
        <v>111</v>
      </c>
      <c r="T645" s="93" t="s">
        <v>116</v>
      </c>
      <c r="U645" s="94">
        <v>44610.102083333331</v>
      </c>
      <c r="V645" s="93" t="s">
        <v>7072</v>
      </c>
      <c r="W645" s="93" t="s">
        <v>24</v>
      </c>
    </row>
    <row r="646" spans="1:23" x14ac:dyDescent="0.15">
      <c r="A646" s="93" t="s">
        <v>338</v>
      </c>
      <c r="B646" s="93" t="s">
        <v>927</v>
      </c>
      <c r="C646" s="93">
        <v>1920</v>
      </c>
      <c r="D646" s="93" t="s">
        <v>24</v>
      </c>
      <c r="E646" s="93" t="s">
        <v>24</v>
      </c>
      <c r="F646" s="93" t="s">
        <v>126</v>
      </c>
      <c r="G646" s="93" t="s">
        <v>7183</v>
      </c>
      <c r="H646" s="93" t="s">
        <v>400</v>
      </c>
      <c r="I646" s="93" t="s">
        <v>111</v>
      </c>
      <c r="J646" s="93" t="s">
        <v>7105</v>
      </c>
      <c r="K646" s="93" t="s">
        <v>111</v>
      </c>
      <c r="L646" s="93" t="s">
        <v>111</v>
      </c>
      <c r="M646" s="93" t="s">
        <v>111</v>
      </c>
      <c r="N646" s="93" t="s">
        <v>111</v>
      </c>
      <c r="O646" s="93" t="s">
        <v>111</v>
      </c>
      <c r="P646" s="93" t="s">
        <v>111</v>
      </c>
      <c r="Q646" s="93" t="s">
        <v>111</v>
      </c>
      <c r="R646" s="93" t="s">
        <v>2</v>
      </c>
      <c r="S646" s="93" t="s">
        <v>111</v>
      </c>
      <c r="T646" s="93" t="s">
        <v>116</v>
      </c>
      <c r="U646" s="94">
        <v>44610.091666666667</v>
      </c>
      <c r="V646" s="93" t="s">
        <v>7072</v>
      </c>
      <c r="W646" s="93" t="s">
        <v>24</v>
      </c>
    </row>
    <row r="647" spans="1:23" x14ac:dyDescent="0.15">
      <c r="A647" s="93" t="s">
        <v>339</v>
      </c>
      <c r="B647" s="93" t="s">
        <v>928</v>
      </c>
      <c r="C647" s="93">
        <v>9600</v>
      </c>
      <c r="D647" s="93" t="s">
        <v>24</v>
      </c>
      <c r="E647" s="93" t="s">
        <v>24</v>
      </c>
      <c r="F647" s="93" t="s">
        <v>126</v>
      </c>
      <c r="G647" s="93" t="s">
        <v>7183</v>
      </c>
      <c r="H647" s="93" t="s">
        <v>400</v>
      </c>
      <c r="I647" s="93" t="s">
        <v>111</v>
      </c>
      <c r="J647" s="93" t="s">
        <v>7105</v>
      </c>
      <c r="K647" s="93" t="s">
        <v>111</v>
      </c>
      <c r="L647" s="93" t="s">
        <v>111</v>
      </c>
      <c r="M647" s="93" t="s">
        <v>111</v>
      </c>
      <c r="N647" s="93" t="s">
        <v>111</v>
      </c>
      <c r="O647" s="93" t="s">
        <v>111</v>
      </c>
      <c r="P647" s="93" t="s">
        <v>111</v>
      </c>
      <c r="Q647" s="93" t="s">
        <v>111</v>
      </c>
      <c r="R647" s="93" t="s">
        <v>2</v>
      </c>
      <c r="S647" s="93" t="s">
        <v>111</v>
      </c>
      <c r="T647" s="93" t="s">
        <v>116</v>
      </c>
      <c r="U647" s="94">
        <v>44610.106944444444</v>
      </c>
      <c r="V647" s="93" t="s">
        <v>7072</v>
      </c>
      <c r="W647" s="93" t="s">
        <v>24</v>
      </c>
    </row>
    <row r="648" spans="1:23" x14ac:dyDescent="0.15">
      <c r="A648" s="93" t="s">
        <v>340</v>
      </c>
      <c r="B648" s="93" t="s">
        <v>929</v>
      </c>
      <c r="C648" s="93">
        <v>720</v>
      </c>
      <c r="D648" s="93" t="s">
        <v>24</v>
      </c>
      <c r="E648" s="93" t="s">
        <v>24</v>
      </c>
      <c r="F648" s="93" t="s">
        <v>126</v>
      </c>
      <c r="G648" s="93" t="s">
        <v>7183</v>
      </c>
      <c r="H648" s="93" t="s">
        <v>400</v>
      </c>
      <c r="I648" s="93" t="s">
        <v>111</v>
      </c>
      <c r="J648" s="93" t="s">
        <v>7105</v>
      </c>
      <c r="K648" s="93" t="s">
        <v>111</v>
      </c>
      <c r="L648" s="93" t="s">
        <v>111</v>
      </c>
      <c r="M648" s="93" t="s">
        <v>111</v>
      </c>
      <c r="N648" s="93" t="s">
        <v>111</v>
      </c>
      <c r="O648" s="93" t="s">
        <v>111</v>
      </c>
      <c r="P648" s="93" t="s">
        <v>111</v>
      </c>
      <c r="Q648" s="93" t="s">
        <v>111</v>
      </c>
      <c r="R648" s="93" t="s">
        <v>2</v>
      </c>
      <c r="S648" s="93" t="s">
        <v>111</v>
      </c>
      <c r="T648" s="93" t="s">
        <v>116</v>
      </c>
      <c r="U648" s="94">
        <v>44610.091666666667</v>
      </c>
      <c r="V648" s="93" t="s">
        <v>7072</v>
      </c>
      <c r="W648" s="93" t="s">
        <v>24</v>
      </c>
    </row>
    <row r="649" spans="1:23" x14ac:dyDescent="0.15">
      <c r="A649" s="93" t="s">
        <v>341</v>
      </c>
      <c r="B649" s="93" t="s">
        <v>930</v>
      </c>
      <c r="C649" s="93">
        <v>3360</v>
      </c>
      <c r="D649" s="93" t="s">
        <v>24</v>
      </c>
      <c r="E649" s="93" t="s">
        <v>24</v>
      </c>
      <c r="F649" s="93" t="s">
        <v>126</v>
      </c>
      <c r="G649" s="93" t="s">
        <v>7183</v>
      </c>
      <c r="H649" s="93" t="s">
        <v>400</v>
      </c>
      <c r="I649" s="93" t="s">
        <v>111</v>
      </c>
      <c r="J649" s="93" t="s">
        <v>7105</v>
      </c>
      <c r="K649" s="93" t="s">
        <v>111</v>
      </c>
      <c r="L649" s="93" t="s">
        <v>111</v>
      </c>
      <c r="M649" s="93" t="s">
        <v>111</v>
      </c>
      <c r="N649" s="93" t="s">
        <v>111</v>
      </c>
      <c r="O649" s="93" t="s">
        <v>111</v>
      </c>
      <c r="P649" s="93" t="s">
        <v>111</v>
      </c>
      <c r="Q649" s="93" t="s">
        <v>111</v>
      </c>
      <c r="R649" s="93" t="s">
        <v>2</v>
      </c>
      <c r="S649" s="93" t="s">
        <v>111</v>
      </c>
      <c r="T649" s="93" t="s">
        <v>116</v>
      </c>
      <c r="U649" s="94">
        <v>44610.106249999997</v>
      </c>
      <c r="V649" s="93" t="s">
        <v>7072</v>
      </c>
      <c r="W649" s="93" t="s">
        <v>24</v>
      </c>
    </row>
    <row r="650" spans="1:23" x14ac:dyDescent="0.15">
      <c r="A650" s="93" t="s">
        <v>342</v>
      </c>
      <c r="B650" s="93" t="s">
        <v>931</v>
      </c>
      <c r="C650" s="93">
        <v>14400</v>
      </c>
      <c r="D650" s="93" t="s">
        <v>24</v>
      </c>
      <c r="E650" s="93" t="s">
        <v>24</v>
      </c>
      <c r="F650" s="93" t="s">
        <v>126</v>
      </c>
      <c r="G650" s="93" t="s">
        <v>7183</v>
      </c>
      <c r="H650" s="93" t="s">
        <v>400</v>
      </c>
      <c r="I650" s="93" t="s">
        <v>111</v>
      </c>
      <c r="J650" s="93" t="s">
        <v>7105</v>
      </c>
      <c r="K650" s="93" t="s">
        <v>111</v>
      </c>
      <c r="L650" s="93" t="s">
        <v>111</v>
      </c>
      <c r="M650" s="93" t="s">
        <v>111</v>
      </c>
      <c r="N650" s="93" t="s">
        <v>111</v>
      </c>
      <c r="O650" s="93" t="s">
        <v>111</v>
      </c>
      <c r="P650" s="93" t="s">
        <v>111</v>
      </c>
      <c r="Q650" s="93" t="s">
        <v>111</v>
      </c>
      <c r="R650" s="93" t="s">
        <v>2</v>
      </c>
      <c r="S650" s="93" t="s">
        <v>111</v>
      </c>
      <c r="T650" s="93" t="s">
        <v>116</v>
      </c>
      <c r="U650" s="94">
        <v>44610.084027777775</v>
      </c>
      <c r="V650" s="93" t="s">
        <v>7072</v>
      </c>
      <c r="W650" s="93" t="s">
        <v>24</v>
      </c>
    </row>
    <row r="651" spans="1:23" x14ac:dyDescent="0.15">
      <c r="A651" s="93" t="s">
        <v>343</v>
      </c>
      <c r="B651" s="93" t="s">
        <v>932</v>
      </c>
      <c r="C651" s="93">
        <v>888</v>
      </c>
      <c r="D651" s="93" t="s">
        <v>24</v>
      </c>
      <c r="E651" s="93" t="s">
        <v>24</v>
      </c>
      <c r="F651" s="93" t="s">
        <v>126</v>
      </c>
      <c r="G651" s="93" t="s">
        <v>7183</v>
      </c>
      <c r="H651" s="93" t="s">
        <v>400</v>
      </c>
      <c r="I651" s="93" t="s">
        <v>111</v>
      </c>
      <c r="J651" s="93" t="s">
        <v>7105</v>
      </c>
      <c r="K651" s="93" t="s">
        <v>111</v>
      </c>
      <c r="L651" s="93" t="s">
        <v>111</v>
      </c>
      <c r="M651" s="93" t="s">
        <v>111</v>
      </c>
      <c r="N651" s="93" t="s">
        <v>111</v>
      </c>
      <c r="O651" s="93" t="s">
        <v>111</v>
      </c>
      <c r="P651" s="93" t="s">
        <v>111</v>
      </c>
      <c r="Q651" s="93" t="s">
        <v>111</v>
      </c>
      <c r="R651" s="93" t="s">
        <v>2</v>
      </c>
      <c r="S651" s="93" t="s">
        <v>111</v>
      </c>
      <c r="T651" s="93" t="s">
        <v>116</v>
      </c>
      <c r="U651" s="94">
        <v>44610.114583333336</v>
      </c>
      <c r="V651" s="93" t="s">
        <v>7072</v>
      </c>
      <c r="W651" s="93" t="s">
        <v>24</v>
      </c>
    </row>
    <row r="652" spans="1:23" x14ac:dyDescent="0.15">
      <c r="A652" s="93" t="s">
        <v>344</v>
      </c>
      <c r="B652" s="93" t="s">
        <v>933</v>
      </c>
      <c r="C652" s="93">
        <v>4320</v>
      </c>
      <c r="D652" s="93" t="s">
        <v>24</v>
      </c>
      <c r="E652" s="93" t="s">
        <v>24</v>
      </c>
      <c r="F652" s="93" t="s">
        <v>126</v>
      </c>
      <c r="G652" s="93" t="s">
        <v>7183</v>
      </c>
      <c r="H652" s="93" t="s">
        <v>400</v>
      </c>
      <c r="I652" s="93" t="s">
        <v>111</v>
      </c>
      <c r="J652" s="93" t="s">
        <v>7105</v>
      </c>
      <c r="K652" s="93" t="s">
        <v>111</v>
      </c>
      <c r="L652" s="93" t="s">
        <v>111</v>
      </c>
      <c r="M652" s="93" t="s">
        <v>111</v>
      </c>
      <c r="N652" s="93" t="s">
        <v>111</v>
      </c>
      <c r="O652" s="93" t="s">
        <v>111</v>
      </c>
      <c r="P652" s="93" t="s">
        <v>111</v>
      </c>
      <c r="Q652" s="93" t="s">
        <v>111</v>
      </c>
      <c r="R652" s="93" t="s">
        <v>2</v>
      </c>
      <c r="S652" s="93" t="s">
        <v>111</v>
      </c>
      <c r="T652" s="93" t="s">
        <v>116</v>
      </c>
      <c r="U652" s="94">
        <v>44610.091666666667</v>
      </c>
      <c r="V652" s="93" t="s">
        <v>7072</v>
      </c>
      <c r="W652" s="93" t="s">
        <v>24</v>
      </c>
    </row>
    <row r="653" spans="1:23" x14ac:dyDescent="0.15">
      <c r="A653" s="93" t="s">
        <v>345</v>
      </c>
      <c r="B653" s="93" t="s">
        <v>934</v>
      </c>
      <c r="C653" s="93">
        <v>18240</v>
      </c>
      <c r="D653" s="93" t="s">
        <v>24</v>
      </c>
      <c r="E653" s="93" t="s">
        <v>24</v>
      </c>
      <c r="F653" s="93" t="s">
        <v>126</v>
      </c>
      <c r="G653" s="93" t="s">
        <v>7183</v>
      </c>
      <c r="H653" s="93" t="s">
        <v>400</v>
      </c>
      <c r="I653" s="93" t="s">
        <v>111</v>
      </c>
      <c r="J653" s="93" t="s">
        <v>7105</v>
      </c>
      <c r="K653" s="93" t="s">
        <v>111</v>
      </c>
      <c r="L653" s="93" t="s">
        <v>111</v>
      </c>
      <c r="M653" s="93" t="s">
        <v>111</v>
      </c>
      <c r="N653" s="93" t="s">
        <v>111</v>
      </c>
      <c r="O653" s="93" t="s">
        <v>111</v>
      </c>
      <c r="P653" s="93" t="s">
        <v>111</v>
      </c>
      <c r="Q653" s="93" t="s">
        <v>111</v>
      </c>
      <c r="R653" s="93" t="s">
        <v>2</v>
      </c>
      <c r="S653" s="93" t="s">
        <v>111</v>
      </c>
      <c r="T653" s="93" t="s">
        <v>116</v>
      </c>
      <c r="U653" s="94">
        <v>44610.092361111114</v>
      </c>
      <c r="V653" s="93" t="s">
        <v>7072</v>
      </c>
      <c r="W653" s="93" t="s">
        <v>24</v>
      </c>
    </row>
    <row r="654" spans="1:23" x14ac:dyDescent="0.15">
      <c r="A654" s="93" t="s">
        <v>346</v>
      </c>
      <c r="B654" s="93" t="s">
        <v>935</v>
      </c>
      <c r="C654" s="93">
        <v>1056</v>
      </c>
      <c r="D654" s="93" t="s">
        <v>24</v>
      </c>
      <c r="E654" s="93" t="s">
        <v>24</v>
      </c>
      <c r="F654" s="93" t="s">
        <v>126</v>
      </c>
      <c r="G654" s="93" t="s">
        <v>7183</v>
      </c>
      <c r="H654" s="93" t="s">
        <v>400</v>
      </c>
      <c r="I654" s="93" t="s">
        <v>111</v>
      </c>
      <c r="J654" s="93" t="s">
        <v>7105</v>
      </c>
      <c r="K654" s="93" t="s">
        <v>111</v>
      </c>
      <c r="L654" s="93" t="s">
        <v>111</v>
      </c>
      <c r="M654" s="93" t="s">
        <v>111</v>
      </c>
      <c r="N654" s="93" t="s">
        <v>111</v>
      </c>
      <c r="O654" s="93" t="s">
        <v>111</v>
      </c>
      <c r="P654" s="93" t="s">
        <v>111</v>
      </c>
      <c r="Q654" s="93" t="s">
        <v>111</v>
      </c>
      <c r="R654" s="93" t="s">
        <v>2</v>
      </c>
      <c r="S654" s="93" t="s">
        <v>111</v>
      </c>
      <c r="T654" s="93" t="s">
        <v>116</v>
      </c>
      <c r="U654" s="94">
        <v>44610.091666666667</v>
      </c>
      <c r="V654" s="93" t="s">
        <v>7072</v>
      </c>
      <c r="W654" s="93" t="s">
        <v>24</v>
      </c>
    </row>
    <row r="655" spans="1:23" x14ac:dyDescent="0.15">
      <c r="A655" s="93" t="s">
        <v>347</v>
      </c>
      <c r="B655" s="93" t="s">
        <v>936</v>
      </c>
      <c r="C655" s="93">
        <v>5040</v>
      </c>
      <c r="D655" s="93" t="s">
        <v>24</v>
      </c>
      <c r="E655" s="93" t="s">
        <v>24</v>
      </c>
      <c r="F655" s="93" t="s">
        <v>126</v>
      </c>
      <c r="G655" s="93" t="s">
        <v>7183</v>
      </c>
      <c r="H655" s="93" t="s">
        <v>400</v>
      </c>
      <c r="I655" s="93" t="s">
        <v>111</v>
      </c>
      <c r="J655" s="93" t="s">
        <v>7105</v>
      </c>
      <c r="K655" s="93" t="s">
        <v>111</v>
      </c>
      <c r="L655" s="93" t="s">
        <v>111</v>
      </c>
      <c r="M655" s="93" t="s">
        <v>111</v>
      </c>
      <c r="N655" s="93" t="s">
        <v>111</v>
      </c>
      <c r="O655" s="93" t="s">
        <v>111</v>
      </c>
      <c r="P655" s="93" t="s">
        <v>111</v>
      </c>
      <c r="Q655" s="93" t="s">
        <v>111</v>
      </c>
      <c r="R655" s="93" t="s">
        <v>2</v>
      </c>
      <c r="S655" s="93" t="s">
        <v>111</v>
      </c>
      <c r="T655" s="93" t="s">
        <v>116</v>
      </c>
      <c r="U655" s="94">
        <v>44610.122916666667</v>
      </c>
      <c r="V655" s="93" t="s">
        <v>7072</v>
      </c>
      <c r="W655" s="93" t="s">
        <v>24</v>
      </c>
    </row>
    <row r="656" spans="1:23" x14ac:dyDescent="0.15">
      <c r="A656" s="93" t="s">
        <v>348</v>
      </c>
      <c r="B656" s="93" t="s">
        <v>937</v>
      </c>
      <c r="C656" s="93">
        <v>21600</v>
      </c>
      <c r="D656" s="93" t="s">
        <v>24</v>
      </c>
      <c r="E656" s="93" t="s">
        <v>24</v>
      </c>
      <c r="F656" s="93" t="s">
        <v>126</v>
      </c>
      <c r="G656" s="93" t="s">
        <v>7183</v>
      </c>
      <c r="H656" s="93" t="s">
        <v>400</v>
      </c>
      <c r="I656" s="93" t="s">
        <v>111</v>
      </c>
      <c r="J656" s="93" t="s">
        <v>7105</v>
      </c>
      <c r="K656" s="93" t="s">
        <v>111</v>
      </c>
      <c r="L656" s="93" t="s">
        <v>111</v>
      </c>
      <c r="M656" s="93" t="s">
        <v>111</v>
      </c>
      <c r="N656" s="93" t="s">
        <v>111</v>
      </c>
      <c r="O656" s="93" t="s">
        <v>111</v>
      </c>
      <c r="P656" s="93" t="s">
        <v>111</v>
      </c>
      <c r="Q656" s="93" t="s">
        <v>111</v>
      </c>
      <c r="R656" s="93" t="s">
        <v>2</v>
      </c>
      <c r="S656" s="93" t="s">
        <v>111</v>
      </c>
      <c r="T656" s="93" t="s">
        <v>116</v>
      </c>
      <c r="U656" s="94">
        <v>44610.122916666667</v>
      </c>
      <c r="V656" s="93" t="s">
        <v>7072</v>
      </c>
      <c r="W656" s="93" t="s">
        <v>24</v>
      </c>
    </row>
    <row r="657" spans="1:23" x14ac:dyDescent="0.15">
      <c r="A657" s="93" t="s">
        <v>349</v>
      </c>
      <c r="B657" s="93" t="s">
        <v>938</v>
      </c>
      <c r="C657" s="93">
        <v>1200</v>
      </c>
      <c r="D657" s="93" t="s">
        <v>24</v>
      </c>
      <c r="E657" s="93" t="s">
        <v>24</v>
      </c>
      <c r="F657" s="93" t="s">
        <v>126</v>
      </c>
      <c r="G657" s="93" t="s">
        <v>7183</v>
      </c>
      <c r="H657" s="93" t="s">
        <v>400</v>
      </c>
      <c r="I657" s="93" t="s">
        <v>111</v>
      </c>
      <c r="J657" s="93" t="s">
        <v>7105</v>
      </c>
      <c r="K657" s="93" t="s">
        <v>111</v>
      </c>
      <c r="L657" s="93" t="s">
        <v>111</v>
      </c>
      <c r="M657" s="93" t="s">
        <v>111</v>
      </c>
      <c r="N657" s="93" t="s">
        <v>111</v>
      </c>
      <c r="O657" s="93" t="s">
        <v>111</v>
      </c>
      <c r="P657" s="93" t="s">
        <v>111</v>
      </c>
      <c r="Q657" s="93" t="s">
        <v>111</v>
      </c>
      <c r="R657" s="93" t="s">
        <v>2</v>
      </c>
      <c r="S657" s="93" t="s">
        <v>111</v>
      </c>
      <c r="T657" s="93" t="s">
        <v>116</v>
      </c>
      <c r="U657" s="94">
        <v>44610.12222222222</v>
      </c>
      <c r="V657" s="93" t="s">
        <v>7072</v>
      </c>
      <c r="W657" s="93" t="s">
        <v>24</v>
      </c>
    </row>
    <row r="658" spans="1:23" x14ac:dyDescent="0.15">
      <c r="A658" s="93" t="s">
        <v>350</v>
      </c>
      <c r="B658" s="93" t="s">
        <v>939</v>
      </c>
      <c r="C658" s="93">
        <v>5760</v>
      </c>
      <c r="D658" s="93" t="s">
        <v>24</v>
      </c>
      <c r="E658" s="93" t="s">
        <v>24</v>
      </c>
      <c r="F658" s="93" t="s">
        <v>126</v>
      </c>
      <c r="G658" s="93" t="s">
        <v>7183</v>
      </c>
      <c r="H658" s="93" t="s">
        <v>400</v>
      </c>
      <c r="I658" s="93" t="s">
        <v>111</v>
      </c>
      <c r="J658" s="93" t="s">
        <v>7105</v>
      </c>
      <c r="K658" s="93" t="s">
        <v>111</v>
      </c>
      <c r="L658" s="93" t="s">
        <v>111</v>
      </c>
      <c r="M658" s="93" t="s">
        <v>111</v>
      </c>
      <c r="N658" s="93" t="s">
        <v>111</v>
      </c>
      <c r="O658" s="93" t="s">
        <v>111</v>
      </c>
      <c r="P658" s="93" t="s">
        <v>111</v>
      </c>
      <c r="Q658" s="93" t="s">
        <v>111</v>
      </c>
      <c r="R658" s="93" t="s">
        <v>2</v>
      </c>
      <c r="S658" s="93" t="s">
        <v>111</v>
      </c>
      <c r="T658" s="93" t="s">
        <v>116</v>
      </c>
      <c r="U658" s="94">
        <v>44610.053472222222</v>
      </c>
      <c r="V658" s="93" t="s">
        <v>7072</v>
      </c>
      <c r="W658" s="93" t="s">
        <v>24</v>
      </c>
    </row>
    <row r="659" spans="1:23" x14ac:dyDescent="0.15">
      <c r="A659" s="93" t="s">
        <v>351</v>
      </c>
      <c r="B659" s="93" t="s">
        <v>940</v>
      </c>
      <c r="C659" s="93">
        <v>24000</v>
      </c>
      <c r="D659" s="93" t="s">
        <v>24</v>
      </c>
      <c r="E659" s="93" t="s">
        <v>24</v>
      </c>
      <c r="F659" s="93" t="s">
        <v>126</v>
      </c>
      <c r="G659" s="93" t="s">
        <v>7183</v>
      </c>
      <c r="H659" s="93" t="s">
        <v>400</v>
      </c>
      <c r="I659" s="93" t="s">
        <v>111</v>
      </c>
      <c r="J659" s="93" t="s">
        <v>7105</v>
      </c>
      <c r="K659" s="93" t="s">
        <v>111</v>
      </c>
      <c r="L659" s="93" t="s">
        <v>111</v>
      </c>
      <c r="M659" s="93" t="s">
        <v>111</v>
      </c>
      <c r="N659" s="93" t="s">
        <v>111</v>
      </c>
      <c r="O659" s="93" t="s">
        <v>111</v>
      </c>
      <c r="P659" s="93" t="s">
        <v>111</v>
      </c>
      <c r="Q659" s="93" t="s">
        <v>111</v>
      </c>
      <c r="R659" s="93" t="s">
        <v>2</v>
      </c>
      <c r="S659" s="93" t="s">
        <v>111</v>
      </c>
      <c r="T659" s="93" t="s">
        <v>116</v>
      </c>
      <c r="U659" s="94">
        <v>44610.054166666669</v>
      </c>
      <c r="V659" s="93" t="s">
        <v>7072</v>
      </c>
      <c r="W659" s="93" t="s">
        <v>24</v>
      </c>
    </row>
    <row r="660" spans="1:23" x14ac:dyDescent="0.15">
      <c r="A660" s="93" t="s">
        <v>352</v>
      </c>
      <c r="B660" s="93" t="s">
        <v>941</v>
      </c>
      <c r="C660" s="93">
        <v>1344</v>
      </c>
      <c r="D660" s="93" t="s">
        <v>24</v>
      </c>
      <c r="E660" s="93" t="s">
        <v>24</v>
      </c>
      <c r="F660" s="93" t="s">
        <v>126</v>
      </c>
      <c r="G660" s="93" t="s">
        <v>7183</v>
      </c>
      <c r="H660" s="93" t="s">
        <v>400</v>
      </c>
      <c r="I660" s="93" t="s">
        <v>111</v>
      </c>
      <c r="J660" s="93" t="s">
        <v>7105</v>
      </c>
      <c r="K660" s="93" t="s">
        <v>111</v>
      </c>
      <c r="L660" s="93" t="s">
        <v>111</v>
      </c>
      <c r="M660" s="93" t="s">
        <v>111</v>
      </c>
      <c r="N660" s="93" t="s">
        <v>111</v>
      </c>
      <c r="O660" s="93" t="s">
        <v>111</v>
      </c>
      <c r="P660" s="93" t="s">
        <v>111</v>
      </c>
      <c r="Q660" s="93" t="s">
        <v>111</v>
      </c>
      <c r="R660" s="93" t="s">
        <v>2</v>
      </c>
      <c r="S660" s="93" t="s">
        <v>111</v>
      </c>
      <c r="T660" s="93" t="s">
        <v>116</v>
      </c>
      <c r="U660" s="94">
        <v>44610.1</v>
      </c>
      <c r="V660" s="93" t="s">
        <v>7072</v>
      </c>
      <c r="W660" s="93" t="s">
        <v>24</v>
      </c>
    </row>
    <row r="661" spans="1:23" x14ac:dyDescent="0.15">
      <c r="A661" s="93" t="s">
        <v>353</v>
      </c>
      <c r="B661" s="93" t="s">
        <v>942</v>
      </c>
      <c r="C661" s="93">
        <v>6720</v>
      </c>
      <c r="D661" s="93" t="s">
        <v>24</v>
      </c>
      <c r="E661" s="93" t="s">
        <v>24</v>
      </c>
      <c r="F661" s="93" t="s">
        <v>126</v>
      </c>
      <c r="G661" s="93" t="s">
        <v>7183</v>
      </c>
      <c r="H661" s="93" t="s">
        <v>400</v>
      </c>
      <c r="I661" s="93" t="s">
        <v>111</v>
      </c>
      <c r="J661" s="93" t="s">
        <v>7105</v>
      </c>
      <c r="K661" s="93" t="s">
        <v>111</v>
      </c>
      <c r="L661" s="93" t="s">
        <v>111</v>
      </c>
      <c r="M661" s="93" t="s">
        <v>111</v>
      </c>
      <c r="N661" s="93" t="s">
        <v>111</v>
      </c>
      <c r="O661" s="93" t="s">
        <v>111</v>
      </c>
      <c r="P661" s="93" t="s">
        <v>111</v>
      </c>
      <c r="Q661" s="93" t="s">
        <v>111</v>
      </c>
      <c r="R661" s="93" t="s">
        <v>2</v>
      </c>
      <c r="S661" s="93" t="s">
        <v>111</v>
      </c>
      <c r="T661" s="93" t="s">
        <v>116</v>
      </c>
      <c r="U661" s="94">
        <v>44610.053472222222</v>
      </c>
      <c r="V661" s="93" t="s">
        <v>7072</v>
      </c>
      <c r="W661" s="93" t="s">
        <v>24</v>
      </c>
    </row>
    <row r="662" spans="1:23" x14ac:dyDescent="0.15">
      <c r="A662" s="93" t="s">
        <v>354</v>
      </c>
      <c r="B662" s="93" t="s">
        <v>943</v>
      </c>
      <c r="C662" s="93">
        <v>1488</v>
      </c>
      <c r="D662" s="93" t="s">
        <v>24</v>
      </c>
      <c r="E662" s="93" t="s">
        <v>24</v>
      </c>
      <c r="F662" s="93" t="s">
        <v>126</v>
      </c>
      <c r="G662" s="93" t="s">
        <v>7183</v>
      </c>
      <c r="H662" s="93" t="s">
        <v>400</v>
      </c>
      <c r="I662" s="93" t="s">
        <v>111</v>
      </c>
      <c r="J662" s="93" t="s">
        <v>7105</v>
      </c>
      <c r="K662" s="93" t="s">
        <v>111</v>
      </c>
      <c r="L662" s="93" t="s">
        <v>111</v>
      </c>
      <c r="M662" s="93" t="s">
        <v>111</v>
      </c>
      <c r="N662" s="93" t="s">
        <v>111</v>
      </c>
      <c r="O662" s="93" t="s">
        <v>111</v>
      </c>
      <c r="P662" s="93" t="s">
        <v>111</v>
      </c>
      <c r="Q662" s="93" t="s">
        <v>111</v>
      </c>
      <c r="R662" s="93" t="s">
        <v>2</v>
      </c>
      <c r="S662" s="93" t="s">
        <v>111</v>
      </c>
      <c r="T662" s="93" t="s">
        <v>116</v>
      </c>
      <c r="U662" s="94">
        <v>44610.122916666667</v>
      </c>
      <c r="V662" s="93" t="s">
        <v>7072</v>
      </c>
      <c r="W662" s="93" t="s">
        <v>24</v>
      </c>
    </row>
    <row r="663" spans="1:23" x14ac:dyDescent="0.15">
      <c r="A663" s="93" t="s">
        <v>355</v>
      </c>
      <c r="B663" s="93" t="s">
        <v>944</v>
      </c>
      <c r="C663" s="93">
        <v>7448</v>
      </c>
      <c r="D663" s="93" t="s">
        <v>24</v>
      </c>
      <c r="E663" s="93" t="s">
        <v>24</v>
      </c>
      <c r="F663" s="93" t="s">
        <v>126</v>
      </c>
      <c r="G663" s="93" t="s">
        <v>7183</v>
      </c>
      <c r="H663" s="93" t="s">
        <v>400</v>
      </c>
      <c r="I663" s="93" t="s">
        <v>111</v>
      </c>
      <c r="J663" s="93" t="s">
        <v>7105</v>
      </c>
      <c r="K663" s="93" t="s">
        <v>111</v>
      </c>
      <c r="L663" s="93" t="s">
        <v>111</v>
      </c>
      <c r="M663" s="93" t="s">
        <v>111</v>
      </c>
      <c r="N663" s="93" t="s">
        <v>111</v>
      </c>
      <c r="O663" s="93" t="s">
        <v>111</v>
      </c>
      <c r="P663" s="93" t="s">
        <v>111</v>
      </c>
      <c r="Q663" s="93" t="s">
        <v>111</v>
      </c>
      <c r="R663" s="93" t="s">
        <v>2</v>
      </c>
      <c r="S663" s="93" t="s">
        <v>111</v>
      </c>
      <c r="T663" s="93" t="s">
        <v>116</v>
      </c>
      <c r="U663" s="94">
        <v>44610.05972222222</v>
      </c>
      <c r="V663" s="93" t="s">
        <v>7072</v>
      </c>
      <c r="W663" s="93" t="s">
        <v>24</v>
      </c>
    </row>
    <row r="664" spans="1:23" x14ac:dyDescent="0.15">
      <c r="A664" s="93" t="s">
        <v>356</v>
      </c>
      <c r="B664" s="93" t="s">
        <v>945</v>
      </c>
      <c r="C664" s="93">
        <v>1632</v>
      </c>
      <c r="D664" s="93" t="s">
        <v>24</v>
      </c>
      <c r="E664" s="93" t="s">
        <v>24</v>
      </c>
      <c r="F664" s="93" t="s">
        <v>126</v>
      </c>
      <c r="G664" s="93" t="s">
        <v>7183</v>
      </c>
      <c r="H664" s="93" t="s">
        <v>400</v>
      </c>
      <c r="I664" s="93" t="s">
        <v>111</v>
      </c>
      <c r="J664" s="93" t="s">
        <v>7105</v>
      </c>
      <c r="K664" s="93" t="s">
        <v>111</v>
      </c>
      <c r="L664" s="93" t="s">
        <v>111</v>
      </c>
      <c r="M664" s="93" t="s">
        <v>111</v>
      </c>
      <c r="N664" s="93" t="s">
        <v>111</v>
      </c>
      <c r="O664" s="93" t="s">
        <v>111</v>
      </c>
      <c r="P664" s="93" t="s">
        <v>111</v>
      </c>
      <c r="Q664" s="93" t="s">
        <v>111</v>
      </c>
      <c r="R664" s="93" t="s">
        <v>2</v>
      </c>
      <c r="S664" s="93" t="s">
        <v>111</v>
      </c>
      <c r="T664" s="93" t="s">
        <v>116</v>
      </c>
      <c r="U664" s="94">
        <v>44610.05972222222</v>
      </c>
      <c r="V664" s="93" t="s">
        <v>7072</v>
      </c>
      <c r="W664" s="93" t="s">
        <v>24</v>
      </c>
    </row>
    <row r="665" spans="1:23" x14ac:dyDescent="0.15">
      <c r="A665" s="93" t="s">
        <v>357</v>
      </c>
      <c r="B665" s="93" t="s">
        <v>946</v>
      </c>
      <c r="C665" s="93">
        <v>8160</v>
      </c>
      <c r="D665" s="93" t="s">
        <v>24</v>
      </c>
      <c r="E665" s="93" t="s">
        <v>24</v>
      </c>
      <c r="F665" s="93" t="s">
        <v>126</v>
      </c>
      <c r="G665" s="93" t="s">
        <v>7183</v>
      </c>
      <c r="H665" s="93" t="s">
        <v>400</v>
      </c>
      <c r="I665" s="93" t="s">
        <v>111</v>
      </c>
      <c r="J665" s="93" t="s">
        <v>7105</v>
      </c>
      <c r="K665" s="93" t="s">
        <v>111</v>
      </c>
      <c r="L665" s="93" t="s">
        <v>111</v>
      </c>
      <c r="M665" s="93" t="s">
        <v>111</v>
      </c>
      <c r="N665" s="93" t="s">
        <v>111</v>
      </c>
      <c r="O665" s="93" t="s">
        <v>111</v>
      </c>
      <c r="P665" s="93" t="s">
        <v>111</v>
      </c>
      <c r="Q665" s="93" t="s">
        <v>111</v>
      </c>
      <c r="R665" s="93" t="s">
        <v>2</v>
      </c>
      <c r="S665" s="93" t="s">
        <v>111</v>
      </c>
      <c r="T665" s="93" t="s">
        <v>116</v>
      </c>
      <c r="U665" s="94">
        <v>44610.066666666666</v>
      </c>
      <c r="V665" s="93" t="s">
        <v>7072</v>
      </c>
      <c r="W665" s="93" t="s">
        <v>24</v>
      </c>
    </row>
    <row r="666" spans="1:23" x14ac:dyDescent="0.15">
      <c r="A666" s="93" t="s">
        <v>358</v>
      </c>
      <c r="B666" s="93" t="s">
        <v>947</v>
      </c>
      <c r="C666" s="93">
        <v>1776</v>
      </c>
      <c r="D666" s="93" t="s">
        <v>24</v>
      </c>
      <c r="E666" s="93" t="s">
        <v>24</v>
      </c>
      <c r="F666" s="93" t="s">
        <v>126</v>
      </c>
      <c r="G666" s="93" t="s">
        <v>7183</v>
      </c>
      <c r="H666" s="93" t="s">
        <v>400</v>
      </c>
      <c r="I666" s="93" t="s">
        <v>111</v>
      </c>
      <c r="J666" s="93" t="s">
        <v>7105</v>
      </c>
      <c r="K666" s="93" t="s">
        <v>111</v>
      </c>
      <c r="L666" s="93" t="s">
        <v>111</v>
      </c>
      <c r="M666" s="93" t="s">
        <v>111</v>
      </c>
      <c r="N666" s="93" t="s">
        <v>111</v>
      </c>
      <c r="O666" s="93" t="s">
        <v>111</v>
      </c>
      <c r="P666" s="93" t="s">
        <v>111</v>
      </c>
      <c r="Q666" s="93" t="s">
        <v>111</v>
      </c>
      <c r="R666" s="93" t="s">
        <v>2</v>
      </c>
      <c r="S666" s="93" t="s">
        <v>111</v>
      </c>
      <c r="T666" s="93" t="s">
        <v>116</v>
      </c>
      <c r="U666" s="94">
        <v>44610.074305555558</v>
      </c>
      <c r="V666" s="93" t="s">
        <v>7072</v>
      </c>
      <c r="W666" s="93" t="s">
        <v>24</v>
      </c>
    </row>
    <row r="667" spans="1:23" x14ac:dyDescent="0.15">
      <c r="A667" s="93" t="s">
        <v>359</v>
      </c>
      <c r="B667" s="93" t="s">
        <v>948</v>
      </c>
      <c r="C667" s="93">
        <v>8892</v>
      </c>
      <c r="D667" s="93" t="s">
        <v>24</v>
      </c>
      <c r="E667" s="93" t="s">
        <v>24</v>
      </c>
      <c r="F667" s="93" t="s">
        <v>126</v>
      </c>
      <c r="G667" s="93" t="s">
        <v>7183</v>
      </c>
      <c r="H667" s="93" t="s">
        <v>400</v>
      </c>
      <c r="I667" s="93" t="s">
        <v>111</v>
      </c>
      <c r="J667" s="93" t="s">
        <v>7105</v>
      </c>
      <c r="K667" s="93" t="s">
        <v>111</v>
      </c>
      <c r="L667" s="93" t="s">
        <v>111</v>
      </c>
      <c r="M667" s="93" t="s">
        <v>111</v>
      </c>
      <c r="N667" s="93" t="s">
        <v>111</v>
      </c>
      <c r="O667" s="93" t="s">
        <v>111</v>
      </c>
      <c r="P667" s="93" t="s">
        <v>111</v>
      </c>
      <c r="Q667" s="93" t="s">
        <v>111</v>
      </c>
      <c r="R667" s="93" t="s">
        <v>2</v>
      </c>
      <c r="S667" s="93" t="s">
        <v>111</v>
      </c>
      <c r="T667" s="93" t="s">
        <v>116</v>
      </c>
      <c r="U667" s="94">
        <v>44610.092361111114</v>
      </c>
      <c r="V667" s="93" t="s">
        <v>7072</v>
      </c>
      <c r="W667" s="93" t="s">
        <v>24</v>
      </c>
    </row>
    <row r="668" spans="1:23" x14ac:dyDescent="0.15">
      <c r="A668" s="93" t="s">
        <v>360</v>
      </c>
      <c r="B668" s="93" t="s">
        <v>379</v>
      </c>
      <c r="C668" s="93">
        <v>48</v>
      </c>
      <c r="D668" s="93" t="s">
        <v>24</v>
      </c>
      <c r="E668" s="93" t="s">
        <v>24</v>
      </c>
      <c r="F668" s="93" t="s">
        <v>126</v>
      </c>
      <c r="G668" s="93" t="s">
        <v>7183</v>
      </c>
      <c r="H668" s="93" t="s">
        <v>400</v>
      </c>
      <c r="I668" s="93" t="s">
        <v>111</v>
      </c>
      <c r="J668" s="93" t="s">
        <v>7105</v>
      </c>
      <c r="K668" s="93" t="s">
        <v>111</v>
      </c>
      <c r="L668" s="93" t="s">
        <v>111</v>
      </c>
      <c r="M668" s="93" t="s">
        <v>111</v>
      </c>
      <c r="N668" s="93" t="s">
        <v>111</v>
      </c>
      <c r="O668" s="93" t="s">
        <v>111</v>
      </c>
      <c r="P668" s="93" t="s">
        <v>111</v>
      </c>
      <c r="Q668" s="93" t="s">
        <v>111</v>
      </c>
      <c r="R668" s="93" t="s">
        <v>2</v>
      </c>
      <c r="S668" s="93" t="s">
        <v>111</v>
      </c>
      <c r="T668" s="93" t="s">
        <v>116</v>
      </c>
      <c r="U668" s="94">
        <v>44610.104166666664</v>
      </c>
      <c r="V668" s="93" t="s">
        <v>7072</v>
      </c>
      <c r="W668" s="93" t="s">
        <v>24</v>
      </c>
    </row>
    <row r="669" spans="1:23" x14ac:dyDescent="0.15">
      <c r="A669" s="93" t="s">
        <v>361</v>
      </c>
      <c r="B669" s="93" t="s">
        <v>949</v>
      </c>
      <c r="C669" s="93">
        <v>0.8</v>
      </c>
      <c r="D669" s="93" t="s">
        <v>24</v>
      </c>
      <c r="E669" s="93" t="s">
        <v>24</v>
      </c>
      <c r="F669" s="93" t="s">
        <v>126</v>
      </c>
      <c r="G669" s="93" t="s">
        <v>7183</v>
      </c>
      <c r="H669" s="93" t="s">
        <v>400</v>
      </c>
      <c r="I669" s="93" t="s">
        <v>111</v>
      </c>
      <c r="J669" s="93" t="s">
        <v>7105</v>
      </c>
      <c r="K669" s="93" t="s">
        <v>111</v>
      </c>
      <c r="L669" s="93" t="s">
        <v>111</v>
      </c>
      <c r="M669" s="93" t="s">
        <v>111</v>
      </c>
      <c r="N669" s="93" t="s">
        <v>111</v>
      </c>
      <c r="O669" s="93" t="s">
        <v>111</v>
      </c>
      <c r="P669" s="93" t="s">
        <v>111</v>
      </c>
      <c r="Q669" s="93" t="s">
        <v>111</v>
      </c>
      <c r="R669" s="93" t="s">
        <v>2</v>
      </c>
      <c r="S669" s="93" t="s">
        <v>111</v>
      </c>
      <c r="T669" s="93" t="s">
        <v>116</v>
      </c>
      <c r="U669" s="94">
        <v>44610.061111111114</v>
      </c>
      <c r="V669" s="93" t="s">
        <v>7072</v>
      </c>
      <c r="W669" s="93" t="s">
        <v>24</v>
      </c>
    </row>
    <row r="670" spans="1:23" x14ac:dyDescent="0.15">
      <c r="A670" s="93" t="s">
        <v>362</v>
      </c>
      <c r="B670" s="93" t="s">
        <v>950</v>
      </c>
      <c r="C670" s="93">
        <v>1.73</v>
      </c>
      <c r="D670" s="93" t="s">
        <v>24</v>
      </c>
      <c r="E670" s="93" t="s">
        <v>24</v>
      </c>
      <c r="F670" s="93" t="s">
        <v>126</v>
      </c>
      <c r="G670" s="93" t="s">
        <v>7183</v>
      </c>
      <c r="H670" s="93" t="s">
        <v>400</v>
      </c>
      <c r="I670" s="93" t="s">
        <v>111</v>
      </c>
      <c r="J670" s="93" t="s">
        <v>7105</v>
      </c>
      <c r="K670" s="93" t="s">
        <v>111</v>
      </c>
      <c r="L670" s="93" t="s">
        <v>111</v>
      </c>
      <c r="M670" s="93" t="s">
        <v>111</v>
      </c>
      <c r="N670" s="93" t="s">
        <v>111</v>
      </c>
      <c r="O670" s="93" t="s">
        <v>111</v>
      </c>
      <c r="P670" s="93" t="s">
        <v>111</v>
      </c>
      <c r="Q670" s="93" t="s">
        <v>111</v>
      </c>
      <c r="R670" s="93" t="s">
        <v>2</v>
      </c>
      <c r="S670" s="93" t="s">
        <v>111</v>
      </c>
      <c r="T670" s="93" t="s">
        <v>116</v>
      </c>
      <c r="U670" s="94">
        <v>44610.115972222222</v>
      </c>
      <c r="V670" s="93" t="s">
        <v>7072</v>
      </c>
      <c r="W670" s="93" t="s">
        <v>24</v>
      </c>
    </row>
    <row r="671" spans="1:23" x14ac:dyDescent="0.15">
      <c r="A671" s="93" t="s">
        <v>6119</v>
      </c>
      <c r="B671" s="93" t="s">
        <v>7486</v>
      </c>
      <c r="C671" s="93">
        <v>7</v>
      </c>
      <c r="D671" s="93" t="s">
        <v>24</v>
      </c>
      <c r="E671" s="93" t="s">
        <v>24</v>
      </c>
      <c r="F671" s="93" t="s">
        <v>399</v>
      </c>
      <c r="G671" s="93" t="s">
        <v>7183</v>
      </c>
      <c r="H671" s="93" t="s">
        <v>400</v>
      </c>
      <c r="I671" s="93" t="s">
        <v>111</v>
      </c>
      <c r="J671" s="93" t="s">
        <v>7105</v>
      </c>
      <c r="K671" s="93" t="s">
        <v>111</v>
      </c>
      <c r="L671" s="93" t="s">
        <v>111</v>
      </c>
      <c r="M671" s="93" t="s">
        <v>111</v>
      </c>
      <c r="N671" s="93" t="s">
        <v>111</v>
      </c>
      <c r="O671" s="93" t="s">
        <v>111</v>
      </c>
      <c r="P671" s="93" t="s">
        <v>111</v>
      </c>
      <c r="Q671" s="93" t="s">
        <v>228</v>
      </c>
      <c r="R671" s="93" t="s">
        <v>111</v>
      </c>
      <c r="S671" s="93" t="s">
        <v>115</v>
      </c>
      <c r="T671" s="93" t="s">
        <v>116</v>
      </c>
      <c r="U671" s="94">
        <v>44610.120138888888</v>
      </c>
      <c r="V671" s="93" t="s">
        <v>7072</v>
      </c>
      <c r="W671" s="93" t="s">
        <v>24</v>
      </c>
    </row>
    <row r="672" spans="1:23" x14ac:dyDescent="0.15">
      <c r="A672" s="93" t="s">
        <v>6121</v>
      </c>
      <c r="B672" s="93" t="s">
        <v>7487</v>
      </c>
      <c r="C672" s="93">
        <v>18</v>
      </c>
      <c r="D672" s="93" t="s">
        <v>24</v>
      </c>
      <c r="E672" s="93" t="s">
        <v>24</v>
      </c>
      <c r="F672" s="93" t="s">
        <v>399</v>
      </c>
      <c r="G672" s="93" t="s">
        <v>7183</v>
      </c>
      <c r="H672" s="93" t="s">
        <v>400</v>
      </c>
      <c r="I672" s="93" t="s">
        <v>111</v>
      </c>
      <c r="J672" s="93" t="s">
        <v>7105</v>
      </c>
      <c r="K672" s="93" t="s">
        <v>111</v>
      </c>
      <c r="L672" s="93" t="s">
        <v>111</v>
      </c>
      <c r="M672" s="93" t="s">
        <v>111</v>
      </c>
      <c r="N672" s="93" t="s">
        <v>111</v>
      </c>
      <c r="O672" s="93" t="s">
        <v>111</v>
      </c>
      <c r="P672" s="93" t="s">
        <v>111</v>
      </c>
      <c r="Q672" s="93" t="s">
        <v>228</v>
      </c>
      <c r="R672" s="93" t="s">
        <v>111</v>
      </c>
      <c r="S672" s="93" t="s">
        <v>115</v>
      </c>
      <c r="T672" s="93" t="s">
        <v>116</v>
      </c>
      <c r="U672" s="94">
        <v>44610.081944444442</v>
      </c>
      <c r="V672" s="93" t="s">
        <v>7072</v>
      </c>
      <c r="W672" s="93" t="s">
        <v>24</v>
      </c>
    </row>
    <row r="673" spans="1:23" x14ac:dyDescent="0.15">
      <c r="A673" s="93" t="s">
        <v>6123</v>
      </c>
      <c r="B673" s="93" t="s">
        <v>7488</v>
      </c>
      <c r="C673" s="93">
        <v>28</v>
      </c>
      <c r="D673" s="93" t="s">
        <v>24</v>
      </c>
      <c r="E673" s="93" t="s">
        <v>24</v>
      </c>
      <c r="F673" s="93" t="s">
        <v>399</v>
      </c>
      <c r="G673" s="93" t="s">
        <v>7183</v>
      </c>
      <c r="H673" s="93" t="s">
        <v>400</v>
      </c>
      <c r="I673" s="93" t="s">
        <v>111</v>
      </c>
      <c r="J673" s="93" t="s">
        <v>7105</v>
      </c>
      <c r="K673" s="93" t="s">
        <v>111</v>
      </c>
      <c r="L673" s="93" t="s">
        <v>111</v>
      </c>
      <c r="M673" s="93" t="s">
        <v>111</v>
      </c>
      <c r="N673" s="93" t="s">
        <v>111</v>
      </c>
      <c r="O673" s="93" t="s">
        <v>111</v>
      </c>
      <c r="P673" s="93" t="s">
        <v>111</v>
      </c>
      <c r="Q673" s="93" t="s">
        <v>228</v>
      </c>
      <c r="R673" s="93" t="s">
        <v>111</v>
      </c>
      <c r="S673" s="93" t="s">
        <v>115</v>
      </c>
      <c r="T673" s="93" t="s">
        <v>116</v>
      </c>
      <c r="U673" s="94">
        <v>44610.112500000003</v>
      </c>
      <c r="V673" s="93" t="s">
        <v>7072</v>
      </c>
      <c r="W673" s="93" t="s">
        <v>24</v>
      </c>
    </row>
    <row r="674" spans="1:23" x14ac:dyDescent="0.15">
      <c r="A674" s="93" t="s">
        <v>6125</v>
      </c>
      <c r="B674" s="93" t="s">
        <v>7489</v>
      </c>
      <c r="C674" s="93">
        <v>6</v>
      </c>
      <c r="D674" s="93" t="s">
        <v>24</v>
      </c>
      <c r="E674" s="93" t="s">
        <v>24</v>
      </c>
      <c r="F674" s="93" t="s">
        <v>399</v>
      </c>
      <c r="G674" s="93" t="s">
        <v>7183</v>
      </c>
      <c r="H674" s="93" t="s">
        <v>400</v>
      </c>
      <c r="I674" s="93" t="s">
        <v>111</v>
      </c>
      <c r="J674" s="93" t="s">
        <v>7105</v>
      </c>
      <c r="K674" s="93" t="s">
        <v>111</v>
      </c>
      <c r="L674" s="93" t="s">
        <v>111</v>
      </c>
      <c r="M674" s="93" t="s">
        <v>111</v>
      </c>
      <c r="N674" s="93" t="s">
        <v>111</v>
      </c>
      <c r="O674" s="93" t="s">
        <v>111</v>
      </c>
      <c r="P674" s="93" t="s">
        <v>111</v>
      </c>
      <c r="Q674" s="93" t="s">
        <v>228</v>
      </c>
      <c r="R674" s="93" t="s">
        <v>111</v>
      </c>
      <c r="S674" s="93" t="s">
        <v>115</v>
      </c>
      <c r="T674" s="93" t="s">
        <v>116</v>
      </c>
      <c r="U674" s="94">
        <v>44610.057638888888</v>
      </c>
      <c r="V674" s="93" t="s">
        <v>7072</v>
      </c>
      <c r="W674" s="93" t="s">
        <v>24</v>
      </c>
    </row>
    <row r="675" spans="1:23" x14ac:dyDescent="0.15">
      <c r="A675" s="93" t="s">
        <v>6127</v>
      </c>
      <c r="B675" s="93" t="s">
        <v>7490</v>
      </c>
      <c r="C675" s="93">
        <v>16</v>
      </c>
      <c r="D675" s="93" t="s">
        <v>24</v>
      </c>
      <c r="E675" s="93" t="s">
        <v>24</v>
      </c>
      <c r="F675" s="93" t="s">
        <v>399</v>
      </c>
      <c r="G675" s="93" t="s">
        <v>7183</v>
      </c>
      <c r="H675" s="93" t="s">
        <v>400</v>
      </c>
      <c r="I675" s="93" t="s">
        <v>111</v>
      </c>
      <c r="J675" s="93" t="s">
        <v>7105</v>
      </c>
      <c r="K675" s="93" t="s">
        <v>111</v>
      </c>
      <c r="L675" s="93" t="s">
        <v>111</v>
      </c>
      <c r="M675" s="93" t="s">
        <v>111</v>
      </c>
      <c r="N675" s="93" t="s">
        <v>111</v>
      </c>
      <c r="O675" s="93" t="s">
        <v>111</v>
      </c>
      <c r="P675" s="93" t="s">
        <v>111</v>
      </c>
      <c r="Q675" s="93" t="s">
        <v>228</v>
      </c>
      <c r="R675" s="93" t="s">
        <v>111</v>
      </c>
      <c r="S675" s="93" t="s">
        <v>115</v>
      </c>
      <c r="T675" s="93" t="s">
        <v>116</v>
      </c>
      <c r="U675" s="94">
        <v>44610.118055555555</v>
      </c>
      <c r="V675" s="93" t="s">
        <v>7072</v>
      </c>
      <c r="W675" s="93" t="s">
        <v>24</v>
      </c>
    </row>
    <row r="676" spans="1:23" x14ac:dyDescent="0.15">
      <c r="A676" s="93" t="s">
        <v>6129</v>
      </c>
      <c r="B676" s="93" t="s">
        <v>7491</v>
      </c>
      <c r="C676" s="93">
        <v>24</v>
      </c>
      <c r="D676" s="93" t="s">
        <v>24</v>
      </c>
      <c r="E676" s="93" t="s">
        <v>24</v>
      </c>
      <c r="F676" s="93" t="s">
        <v>399</v>
      </c>
      <c r="G676" s="93" t="s">
        <v>7183</v>
      </c>
      <c r="H676" s="93" t="s">
        <v>400</v>
      </c>
      <c r="I676" s="93" t="s">
        <v>111</v>
      </c>
      <c r="J676" s="93" t="s">
        <v>7105</v>
      </c>
      <c r="K676" s="93" t="s">
        <v>111</v>
      </c>
      <c r="L676" s="93" t="s">
        <v>111</v>
      </c>
      <c r="M676" s="93" t="s">
        <v>111</v>
      </c>
      <c r="N676" s="93" t="s">
        <v>111</v>
      </c>
      <c r="O676" s="93" t="s">
        <v>111</v>
      </c>
      <c r="P676" s="93" t="s">
        <v>111</v>
      </c>
      <c r="Q676" s="93" t="s">
        <v>228</v>
      </c>
      <c r="R676" s="93" t="s">
        <v>111</v>
      </c>
      <c r="S676" s="93" t="s">
        <v>115</v>
      </c>
      <c r="T676" s="93" t="s">
        <v>116</v>
      </c>
      <c r="U676" s="94">
        <v>44610.072916666664</v>
      </c>
      <c r="V676" s="93" t="s">
        <v>7072</v>
      </c>
      <c r="W676" s="93" t="s">
        <v>24</v>
      </c>
    </row>
    <row r="677" spans="1:23" x14ac:dyDescent="0.15">
      <c r="A677" s="93" t="s">
        <v>6131</v>
      </c>
      <c r="B677" s="93" t="s">
        <v>7492</v>
      </c>
      <c r="C677" s="93">
        <v>9</v>
      </c>
      <c r="D677" s="93" t="s">
        <v>24</v>
      </c>
      <c r="E677" s="93" t="s">
        <v>24</v>
      </c>
      <c r="F677" s="93" t="s">
        <v>399</v>
      </c>
      <c r="G677" s="93" t="s">
        <v>7183</v>
      </c>
      <c r="H677" s="93" t="s">
        <v>400</v>
      </c>
      <c r="I677" s="93" t="s">
        <v>111</v>
      </c>
      <c r="J677" s="93" t="s">
        <v>7105</v>
      </c>
      <c r="K677" s="93" t="s">
        <v>111</v>
      </c>
      <c r="L677" s="93" t="s">
        <v>111</v>
      </c>
      <c r="M677" s="93" t="s">
        <v>111</v>
      </c>
      <c r="N677" s="93" t="s">
        <v>111</v>
      </c>
      <c r="O677" s="93" t="s">
        <v>111</v>
      </c>
      <c r="P677" s="93" t="s">
        <v>111</v>
      </c>
      <c r="Q677" s="93" t="s">
        <v>228</v>
      </c>
      <c r="R677" s="93" t="s">
        <v>111</v>
      </c>
      <c r="S677" s="93" t="s">
        <v>115</v>
      </c>
      <c r="T677" s="93" t="s">
        <v>116</v>
      </c>
      <c r="U677" s="94">
        <v>44610.0625</v>
      </c>
      <c r="V677" s="93" t="s">
        <v>7072</v>
      </c>
      <c r="W677" s="93" t="s">
        <v>24</v>
      </c>
    </row>
    <row r="678" spans="1:23" x14ac:dyDescent="0.15">
      <c r="A678" s="93" t="s">
        <v>6133</v>
      </c>
      <c r="B678" s="93" t="s">
        <v>7493</v>
      </c>
      <c r="C678" s="93">
        <v>23</v>
      </c>
      <c r="D678" s="93" t="s">
        <v>24</v>
      </c>
      <c r="E678" s="93" t="s">
        <v>24</v>
      </c>
      <c r="F678" s="93" t="s">
        <v>399</v>
      </c>
      <c r="G678" s="93" t="s">
        <v>7183</v>
      </c>
      <c r="H678" s="93" t="s">
        <v>400</v>
      </c>
      <c r="I678" s="93" t="s">
        <v>111</v>
      </c>
      <c r="J678" s="93" t="s">
        <v>7105</v>
      </c>
      <c r="K678" s="93" t="s">
        <v>111</v>
      </c>
      <c r="L678" s="93" t="s">
        <v>111</v>
      </c>
      <c r="M678" s="93" t="s">
        <v>111</v>
      </c>
      <c r="N678" s="93" t="s">
        <v>111</v>
      </c>
      <c r="O678" s="93" t="s">
        <v>111</v>
      </c>
      <c r="P678" s="93" t="s">
        <v>111</v>
      </c>
      <c r="Q678" s="93" t="s">
        <v>228</v>
      </c>
      <c r="R678" s="93" t="s">
        <v>111</v>
      </c>
      <c r="S678" s="93" t="s">
        <v>115</v>
      </c>
      <c r="T678" s="93" t="s">
        <v>116</v>
      </c>
      <c r="U678" s="94">
        <v>44610.097222222219</v>
      </c>
      <c r="V678" s="93" t="s">
        <v>7072</v>
      </c>
      <c r="W678" s="93" t="s">
        <v>24</v>
      </c>
    </row>
    <row r="679" spans="1:23" x14ac:dyDescent="0.15">
      <c r="A679" s="93" t="s">
        <v>6135</v>
      </c>
      <c r="B679" s="93" t="s">
        <v>7494</v>
      </c>
      <c r="C679" s="93">
        <v>36</v>
      </c>
      <c r="D679" s="93" t="s">
        <v>24</v>
      </c>
      <c r="E679" s="93" t="s">
        <v>24</v>
      </c>
      <c r="F679" s="93" t="s">
        <v>399</v>
      </c>
      <c r="G679" s="93" t="s">
        <v>7183</v>
      </c>
      <c r="H679" s="93" t="s">
        <v>400</v>
      </c>
      <c r="I679" s="93" t="s">
        <v>111</v>
      </c>
      <c r="J679" s="93" t="s">
        <v>7105</v>
      </c>
      <c r="K679" s="93" t="s">
        <v>111</v>
      </c>
      <c r="L679" s="93" t="s">
        <v>111</v>
      </c>
      <c r="M679" s="93" t="s">
        <v>111</v>
      </c>
      <c r="N679" s="93" t="s">
        <v>111</v>
      </c>
      <c r="O679" s="93" t="s">
        <v>111</v>
      </c>
      <c r="P679" s="93" t="s">
        <v>111</v>
      </c>
      <c r="Q679" s="93" t="s">
        <v>228</v>
      </c>
      <c r="R679" s="93" t="s">
        <v>111</v>
      </c>
      <c r="S679" s="93" t="s">
        <v>115</v>
      </c>
      <c r="T679" s="93" t="s">
        <v>116</v>
      </c>
      <c r="U679" s="94">
        <v>44610.118055555555</v>
      </c>
      <c r="V679" s="93" t="s">
        <v>7072</v>
      </c>
      <c r="W679" s="93" t="s">
        <v>24</v>
      </c>
    </row>
    <row r="680" spans="1:23" x14ac:dyDescent="0.15">
      <c r="A680" s="93" t="s">
        <v>6143</v>
      </c>
      <c r="B680" s="93" t="s">
        <v>7495</v>
      </c>
      <c r="C680" s="93">
        <v>15</v>
      </c>
      <c r="D680" s="93" t="s">
        <v>24</v>
      </c>
      <c r="E680" s="93" t="s">
        <v>24</v>
      </c>
      <c r="F680" s="93" t="s">
        <v>399</v>
      </c>
      <c r="G680" s="93" t="s">
        <v>7183</v>
      </c>
      <c r="H680" s="93" t="s">
        <v>400</v>
      </c>
      <c r="I680" s="93" t="s">
        <v>111</v>
      </c>
      <c r="J680" s="93" t="s">
        <v>7105</v>
      </c>
      <c r="K680" s="93" t="s">
        <v>111</v>
      </c>
      <c r="L680" s="93" t="s">
        <v>111</v>
      </c>
      <c r="M680" s="93" t="s">
        <v>111</v>
      </c>
      <c r="N680" s="93" t="s">
        <v>111</v>
      </c>
      <c r="O680" s="93" t="s">
        <v>111</v>
      </c>
      <c r="P680" s="93" t="s">
        <v>111</v>
      </c>
      <c r="Q680" s="93" t="s">
        <v>228</v>
      </c>
      <c r="R680" s="93" t="s">
        <v>111</v>
      </c>
      <c r="S680" s="93" t="s">
        <v>115</v>
      </c>
      <c r="T680" s="93" t="s">
        <v>116</v>
      </c>
      <c r="U680" s="94">
        <v>44610.056944444441</v>
      </c>
      <c r="V680" s="93" t="s">
        <v>7072</v>
      </c>
      <c r="W680" s="93" t="s">
        <v>24</v>
      </c>
    </row>
    <row r="681" spans="1:23" x14ac:dyDescent="0.15">
      <c r="A681" s="93" t="s">
        <v>6145</v>
      </c>
      <c r="B681" s="93" t="s">
        <v>7496</v>
      </c>
      <c r="C681" s="93">
        <v>39</v>
      </c>
      <c r="D681" s="93" t="s">
        <v>24</v>
      </c>
      <c r="E681" s="93" t="s">
        <v>24</v>
      </c>
      <c r="F681" s="93" t="s">
        <v>399</v>
      </c>
      <c r="G681" s="93" t="s">
        <v>7183</v>
      </c>
      <c r="H681" s="93" t="s">
        <v>400</v>
      </c>
      <c r="I681" s="93" t="s">
        <v>111</v>
      </c>
      <c r="J681" s="93" t="s">
        <v>7105</v>
      </c>
      <c r="K681" s="93" t="s">
        <v>111</v>
      </c>
      <c r="L681" s="93" t="s">
        <v>111</v>
      </c>
      <c r="M681" s="93" t="s">
        <v>111</v>
      </c>
      <c r="N681" s="93" t="s">
        <v>111</v>
      </c>
      <c r="O681" s="93" t="s">
        <v>111</v>
      </c>
      <c r="P681" s="93" t="s">
        <v>111</v>
      </c>
      <c r="Q681" s="93" t="s">
        <v>228</v>
      </c>
      <c r="R681" s="93" t="s">
        <v>111</v>
      </c>
      <c r="S681" s="93" t="s">
        <v>115</v>
      </c>
      <c r="T681" s="93" t="s">
        <v>116</v>
      </c>
      <c r="U681" s="94">
        <v>44610.0625</v>
      </c>
      <c r="V681" s="93" t="s">
        <v>7072</v>
      </c>
      <c r="W681" s="93" t="s">
        <v>24</v>
      </c>
    </row>
    <row r="682" spans="1:23" x14ac:dyDescent="0.15">
      <c r="A682" s="93" t="s">
        <v>6147</v>
      </c>
      <c r="B682" s="93" t="s">
        <v>7497</v>
      </c>
      <c r="C682" s="93">
        <v>60</v>
      </c>
      <c r="D682" s="93" t="s">
        <v>24</v>
      </c>
      <c r="E682" s="93" t="s">
        <v>24</v>
      </c>
      <c r="F682" s="93" t="s">
        <v>399</v>
      </c>
      <c r="G682" s="93" t="s">
        <v>7183</v>
      </c>
      <c r="H682" s="93" t="s">
        <v>400</v>
      </c>
      <c r="I682" s="93" t="s">
        <v>111</v>
      </c>
      <c r="J682" s="93" t="s">
        <v>7105</v>
      </c>
      <c r="K682" s="93" t="s">
        <v>111</v>
      </c>
      <c r="L682" s="93" t="s">
        <v>111</v>
      </c>
      <c r="M682" s="93" t="s">
        <v>111</v>
      </c>
      <c r="N682" s="93" t="s">
        <v>111</v>
      </c>
      <c r="O682" s="93" t="s">
        <v>111</v>
      </c>
      <c r="P682" s="93" t="s">
        <v>111</v>
      </c>
      <c r="Q682" s="93" t="s">
        <v>228</v>
      </c>
      <c r="R682" s="93" t="s">
        <v>111</v>
      </c>
      <c r="S682" s="93" t="s">
        <v>115</v>
      </c>
      <c r="T682" s="93" t="s">
        <v>116</v>
      </c>
      <c r="U682" s="94">
        <v>44610.097222222219</v>
      </c>
      <c r="V682" s="93" t="s">
        <v>7072</v>
      </c>
      <c r="W682" s="93" t="s">
        <v>24</v>
      </c>
    </row>
    <row r="683" spans="1:23" x14ac:dyDescent="0.15">
      <c r="A683" s="93" t="s">
        <v>6149</v>
      </c>
      <c r="B683" s="93" t="s">
        <v>7498</v>
      </c>
      <c r="C683" s="93">
        <v>15</v>
      </c>
      <c r="D683" s="93" t="s">
        <v>24</v>
      </c>
      <c r="E683" s="93" t="s">
        <v>24</v>
      </c>
      <c r="F683" s="93" t="s">
        <v>399</v>
      </c>
      <c r="G683" s="93" t="s">
        <v>7183</v>
      </c>
      <c r="H683" s="93" t="s">
        <v>400</v>
      </c>
      <c r="I683" s="93" t="s">
        <v>111</v>
      </c>
      <c r="J683" s="93" t="s">
        <v>7105</v>
      </c>
      <c r="K683" s="93" t="s">
        <v>111</v>
      </c>
      <c r="L683" s="93" t="s">
        <v>111</v>
      </c>
      <c r="M683" s="93" t="s">
        <v>111</v>
      </c>
      <c r="N683" s="93" t="s">
        <v>111</v>
      </c>
      <c r="O683" s="93" t="s">
        <v>111</v>
      </c>
      <c r="P683" s="93" t="s">
        <v>111</v>
      </c>
      <c r="Q683" s="93" t="s">
        <v>228</v>
      </c>
      <c r="R683" s="93" t="s">
        <v>111</v>
      </c>
      <c r="S683" s="93" t="s">
        <v>115</v>
      </c>
      <c r="T683" s="93" t="s">
        <v>116</v>
      </c>
      <c r="U683" s="94">
        <v>44610.118055555555</v>
      </c>
      <c r="V683" s="93" t="s">
        <v>7072</v>
      </c>
      <c r="W683" s="93" t="s">
        <v>24</v>
      </c>
    </row>
    <row r="684" spans="1:23" x14ac:dyDescent="0.15">
      <c r="A684" s="93" t="s">
        <v>6151</v>
      </c>
      <c r="B684" s="93" t="s">
        <v>7499</v>
      </c>
      <c r="C684" s="93">
        <v>39</v>
      </c>
      <c r="D684" s="93" t="s">
        <v>24</v>
      </c>
      <c r="E684" s="93" t="s">
        <v>24</v>
      </c>
      <c r="F684" s="93" t="s">
        <v>399</v>
      </c>
      <c r="G684" s="93" t="s">
        <v>7183</v>
      </c>
      <c r="H684" s="93" t="s">
        <v>400</v>
      </c>
      <c r="I684" s="93" t="s">
        <v>111</v>
      </c>
      <c r="J684" s="93" t="s">
        <v>7105</v>
      </c>
      <c r="K684" s="93" t="s">
        <v>111</v>
      </c>
      <c r="L684" s="93" t="s">
        <v>111</v>
      </c>
      <c r="M684" s="93" t="s">
        <v>111</v>
      </c>
      <c r="N684" s="93" t="s">
        <v>111</v>
      </c>
      <c r="O684" s="93" t="s">
        <v>111</v>
      </c>
      <c r="P684" s="93" t="s">
        <v>111</v>
      </c>
      <c r="Q684" s="93" t="s">
        <v>228</v>
      </c>
      <c r="R684" s="93" t="s">
        <v>111</v>
      </c>
      <c r="S684" s="93" t="s">
        <v>115</v>
      </c>
      <c r="T684" s="93" t="s">
        <v>116</v>
      </c>
      <c r="U684" s="94">
        <v>44610.120833333334</v>
      </c>
      <c r="V684" s="93" t="s">
        <v>7072</v>
      </c>
      <c r="W684" s="93" t="s">
        <v>24</v>
      </c>
    </row>
    <row r="685" spans="1:23" x14ac:dyDescent="0.15">
      <c r="A685" s="93" t="s">
        <v>6153</v>
      </c>
      <c r="B685" s="93" t="s">
        <v>7500</v>
      </c>
      <c r="C685" s="93">
        <v>60</v>
      </c>
      <c r="D685" s="93" t="s">
        <v>24</v>
      </c>
      <c r="E685" s="93" t="s">
        <v>24</v>
      </c>
      <c r="F685" s="93" t="s">
        <v>399</v>
      </c>
      <c r="G685" s="93" t="s">
        <v>7183</v>
      </c>
      <c r="H685" s="93" t="s">
        <v>400</v>
      </c>
      <c r="I685" s="93" t="s">
        <v>111</v>
      </c>
      <c r="J685" s="93" t="s">
        <v>7105</v>
      </c>
      <c r="K685" s="93" t="s">
        <v>111</v>
      </c>
      <c r="L685" s="93" t="s">
        <v>111</v>
      </c>
      <c r="M685" s="93" t="s">
        <v>111</v>
      </c>
      <c r="N685" s="93" t="s">
        <v>111</v>
      </c>
      <c r="O685" s="93" t="s">
        <v>111</v>
      </c>
      <c r="P685" s="93" t="s">
        <v>111</v>
      </c>
      <c r="Q685" s="93" t="s">
        <v>228</v>
      </c>
      <c r="R685" s="93" t="s">
        <v>111</v>
      </c>
      <c r="S685" s="93" t="s">
        <v>115</v>
      </c>
      <c r="T685" s="93" t="s">
        <v>116</v>
      </c>
      <c r="U685" s="94">
        <v>44610.081944444442</v>
      </c>
      <c r="V685" s="93" t="s">
        <v>7072</v>
      </c>
      <c r="W685" s="93" t="s">
        <v>24</v>
      </c>
    </row>
    <row r="686" spans="1:23" x14ac:dyDescent="0.15">
      <c r="A686" s="93" t="s">
        <v>6155</v>
      </c>
      <c r="B686" s="93" t="s">
        <v>7501</v>
      </c>
      <c r="C686" s="93">
        <v>15</v>
      </c>
      <c r="D686" s="93" t="s">
        <v>24</v>
      </c>
      <c r="E686" s="93" t="s">
        <v>24</v>
      </c>
      <c r="F686" s="93" t="s">
        <v>399</v>
      </c>
      <c r="G686" s="93" t="s">
        <v>7183</v>
      </c>
      <c r="H686" s="93" t="s">
        <v>400</v>
      </c>
      <c r="I686" s="93" t="s">
        <v>111</v>
      </c>
      <c r="J686" s="93" t="s">
        <v>7105</v>
      </c>
      <c r="K686" s="93" t="s">
        <v>111</v>
      </c>
      <c r="L686" s="93" t="s">
        <v>111</v>
      </c>
      <c r="M686" s="93" t="s">
        <v>111</v>
      </c>
      <c r="N686" s="93" t="s">
        <v>111</v>
      </c>
      <c r="O686" s="93" t="s">
        <v>111</v>
      </c>
      <c r="P686" s="93" t="s">
        <v>111</v>
      </c>
      <c r="Q686" s="93" t="s">
        <v>228</v>
      </c>
      <c r="R686" s="93" t="s">
        <v>111</v>
      </c>
      <c r="S686" s="93" t="s">
        <v>115</v>
      </c>
      <c r="T686" s="93" t="s">
        <v>116</v>
      </c>
      <c r="U686" s="94">
        <v>44610.063888888886</v>
      </c>
      <c r="V686" s="93" t="s">
        <v>7072</v>
      </c>
      <c r="W686" s="93" t="s">
        <v>24</v>
      </c>
    </row>
    <row r="687" spans="1:23" x14ac:dyDescent="0.15">
      <c r="A687" s="93" t="s">
        <v>6157</v>
      </c>
      <c r="B687" s="93" t="s">
        <v>7502</v>
      </c>
      <c r="C687" s="93">
        <v>39</v>
      </c>
      <c r="D687" s="93" t="s">
        <v>24</v>
      </c>
      <c r="E687" s="93" t="s">
        <v>24</v>
      </c>
      <c r="F687" s="93" t="s">
        <v>399</v>
      </c>
      <c r="G687" s="93" t="s">
        <v>7183</v>
      </c>
      <c r="H687" s="93" t="s">
        <v>400</v>
      </c>
      <c r="I687" s="93" t="s">
        <v>111</v>
      </c>
      <c r="J687" s="93" t="s">
        <v>7105</v>
      </c>
      <c r="K687" s="93" t="s">
        <v>111</v>
      </c>
      <c r="L687" s="93" t="s">
        <v>111</v>
      </c>
      <c r="M687" s="93" t="s">
        <v>111</v>
      </c>
      <c r="N687" s="93" t="s">
        <v>111</v>
      </c>
      <c r="O687" s="93" t="s">
        <v>111</v>
      </c>
      <c r="P687" s="93" t="s">
        <v>111</v>
      </c>
      <c r="Q687" s="93" t="s">
        <v>228</v>
      </c>
      <c r="R687" s="93" t="s">
        <v>111</v>
      </c>
      <c r="S687" s="93" t="s">
        <v>115</v>
      </c>
      <c r="T687" s="93" t="s">
        <v>116</v>
      </c>
      <c r="U687" s="94">
        <v>44610.118055555555</v>
      </c>
      <c r="V687" s="93" t="s">
        <v>7072</v>
      </c>
      <c r="W687" s="93" t="s">
        <v>24</v>
      </c>
    </row>
    <row r="688" spans="1:23" x14ac:dyDescent="0.15">
      <c r="A688" s="93" t="s">
        <v>6159</v>
      </c>
      <c r="B688" s="93" t="s">
        <v>7503</v>
      </c>
      <c r="C688" s="93">
        <v>60</v>
      </c>
      <c r="D688" s="93" t="s">
        <v>24</v>
      </c>
      <c r="E688" s="93" t="s">
        <v>24</v>
      </c>
      <c r="F688" s="93" t="s">
        <v>399</v>
      </c>
      <c r="G688" s="93" t="s">
        <v>7183</v>
      </c>
      <c r="H688" s="93" t="s">
        <v>400</v>
      </c>
      <c r="I688" s="93" t="s">
        <v>111</v>
      </c>
      <c r="J688" s="93" t="s">
        <v>7105</v>
      </c>
      <c r="K688" s="93" t="s">
        <v>111</v>
      </c>
      <c r="L688" s="93" t="s">
        <v>111</v>
      </c>
      <c r="M688" s="93" t="s">
        <v>111</v>
      </c>
      <c r="N688" s="93" t="s">
        <v>111</v>
      </c>
      <c r="O688" s="93" t="s">
        <v>111</v>
      </c>
      <c r="P688" s="93" t="s">
        <v>111</v>
      </c>
      <c r="Q688" s="93" t="s">
        <v>228</v>
      </c>
      <c r="R688" s="93" t="s">
        <v>111</v>
      </c>
      <c r="S688" s="93" t="s">
        <v>115</v>
      </c>
      <c r="T688" s="93" t="s">
        <v>116</v>
      </c>
      <c r="U688" s="94">
        <v>44610.072916666664</v>
      </c>
      <c r="V688" s="93" t="s">
        <v>7072</v>
      </c>
      <c r="W688" s="93" t="s">
        <v>24</v>
      </c>
    </row>
    <row r="689" spans="1:23" x14ac:dyDescent="0.15">
      <c r="A689" s="93" t="s">
        <v>6161</v>
      </c>
      <c r="B689" s="93" t="s">
        <v>7504</v>
      </c>
      <c r="C689" s="93">
        <v>10</v>
      </c>
      <c r="D689" s="93" t="s">
        <v>24</v>
      </c>
      <c r="E689" s="93" t="s">
        <v>24</v>
      </c>
      <c r="F689" s="93" t="s">
        <v>399</v>
      </c>
      <c r="G689" s="93" t="s">
        <v>7183</v>
      </c>
      <c r="H689" s="93" t="s">
        <v>400</v>
      </c>
      <c r="I689" s="93" t="s">
        <v>111</v>
      </c>
      <c r="J689" s="93" t="s">
        <v>7105</v>
      </c>
      <c r="K689" s="93" t="s">
        <v>111</v>
      </c>
      <c r="L689" s="93" t="s">
        <v>111</v>
      </c>
      <c r="M689" s="93" t="s">
        <v>111</v>
      </c>
      <c r="N689" s="93" t="s">
        <v>111</v>
      </c>
      <c r="O689" s="93" t="s">
        <v>111</v>
      </c>
      <c r="P689" s="93" t="s">
        <v>111</v>
      </c>
      <c r="Q689" s="93" t="s">
        <v>228</v>
      </c>
      <c r="R689" s="93" t="s">
        <v>111</v>
      </c>
      <c r="S689" s="93" t="s">
        <v>115</v>
      </c>
      <c r="T689" s="93" t="s">
        <v>116</v>
      </c>
      <c r="U689" s="94">
        <v>44610.070833333331</v>
      </c>
      <c r="V689" s="93" t="s">
        <v>7072</v>
      </c>
      <c r="W689" s="93" t="s">
        <v>24</v>
      </c>
    </row>
    <row r="690" spans="1:23" x14ac:dyDescent="0.15">
      <c r="A690" s="93" t="s">
        <v>6163</v>
      </c>
      <c r="B690" s="93" t="s">
        <v>7505</v>
      </c>
      <c r="C690" s="93">
        <v>26</v>
      </c>
      <c r="D690" s="93" t="s">
        <v>24</v>
      </c>
      <c r="E690" s="93" t="s">
        <v>24</v>
      </c>
      <c r="F690" s="93" t="s">
        <v>399</v>
      </c>
      <c r="G690" s="93" t="s">
        <v>7183</v>
      </c>
      <c r="H690" s="93" t="s">
        <v>400</v>
      </c>
      <c r="I690" s="93" t="s">
        <v>111</v>
      </c>
      <c r="J690" s="93" t="s">
        <v>7105</v>
      </c>
      <c r="K690" s="93" t="s">
        <v>111</v>
      </c>
      <c r="L690" s="93" t="s">
        <v>111</v>
      </c>
      <c r="M690" s="93" t="s">
        <v>111</v>
      </c>
      <c r="N690" s="93" t="s">
        <v>111</v>
      </c>
      <c r="O690" s="93" t="s">
        <v>111</v>
      </c>
      <c r="P690" s="93" t="s">
        <v>111</v>
      </c>
      <c r="Q690" s="93" t="s">
        <v>228</v>
      </c>
      <c r="R690" s="93" t="s">
        <v>111</v>
      </c>
      <c r="S690" s="93" t="s">
        <v>115</v>
      </c>
      <c r="T690" s="93" t="s">
        <v>116</v>
      </c>
      <c r="U690" s="94">
        <v>44610.120833333334</v>
      </c>
      <c r="V690" s="93" t="s">
        <v>7072</v>
      </c>
      <c r="W690" s="93" t="s">
        <v>24</v>
      </c>
    </row>
    <row r="691" spans="1:23" x14ac:dyDescent="0.15">
      <c r="A691" s="93" t="s">
        <v>6165</v>
      </c>
      <c r="B691" s="93" t="s">
        <v>7506</v>
      </c>
      <c r="C691" s="93">
        <v>40</v>
      </c>
      <c r="D691" s="93" t="s">
        <v>24</v>
      </c>
      <c r="E691" s="93" t="s">
        <v>24</v>
      </c>
      <c r="F691" s="93" t="s">
        <v>399</v>
      </c>
      <c r="G691" s="93" t="s">
        <v>7183</v>
      </c>
      <c r="H691" s="93" t="s">
        <v>400</v>
      </c>
      <c r="I691" s="93" t="s">
        <v>111</v>
      </c>
      <c r="J691" s="93" t="s">
        <v>7105</v>
      </c>
      <c r="K691" s="93" t="s">
        <v>111</v>
      </c>
      <c r="L691" s="93" t="s">
        <v>111</v>
      </c>
      <c r="M691" s="93" t="s">
        <v>111</v>
      </c>
      <c r="N691" s="93" t="s">
        <v>111</v>
      </c>
      <c r="O691" s="93" t="s">
        <v>111</v>
      </c>
      <c r="P691" s="93" t="s">
        <v>111</v>
      </c>
      <c r="Q691" s="93" t="s">
        <v>228</v>
      </c>
      <c r="R691" s="93" t="s">
        <v>111</v>
      </c>
      <c r="S691" s="93" t="s">
        <v>115</v>
      </c>
      <c r="T691" s="93" t="s">
        <v>116</v>
      </c>
      <c r="U691" s="94">
        <v>44610.079861111109</v>
      </c>
      <c r="V691" s="93" t="s">
        <v>7072</v>
      </c>
      <c r="W691" s="93" t="s">
        <v>24</v>
      </c>
    </row>
    <row r="692" spans="1:23" x14ac:dyDescent="0.15">
      <c r="A692" s="93" t="s">
        <v>6167</v>
      </c>
      <c r="B692" s="93" t="s">
        <v>7507</v>
      </c>
      <c r="C692" s="93">
        <v>15</v>
      </c>
      <c r="D692" s="93" t="s">
        <v>24</v>
      </c>
      <c r="E692" s="93" t="s">
        <v>24</v>
      </c>
      <c r="F692" s="93" t="s">
        <v>399</v>
      </c>
      <c r="G692" s="93" t="s">
        <v>7183</v>
      </c>
      <c r="H692" s="93" t="s">
        <v>400</v>
      </c>
      <c r="I692" s="93" t="s">
        <v>111</v>
      </c>
      <c r="J692" s="93" t="s">
        <v>7105</v>
      </c>
      <c r="K692" s="93" t="s">
        <v>111</v>
      </c>
      <c r="L692" s="93" t="s">
        <v>111</v>
      </c>
      <c r="M692" s="93" t="s">
        <v>111</v>
      </c>
      <c r="N692" s="93" t="s">
        <v>111</v>
      </c>
      <c r="O692" s="93" t="s">
        <v>111</v>
      </c>
      <c r="P692" s="93" t="s">
        <v>111</v>
      </c>
      <c r="Q692" s="93" t="s">
        <v>228</v>
      </c>
      <c r="R692" s="93" t="s">
        <v>111</v>
      </c>
      <c r="S692" s="93" t="s">
        <v>115</v>
      </c>
      <c r="T692" s="93" t="s">
        <v>116</v>
      </c>
      <c r="U692" s="94">
        <v>44610.056944444441</v>
      </c>
      <c r="V692" s="93" t="s">
        <v>7072</v>
      </c>
      <c r="W692" s="93" t="s">
        <v>24</v>
      </c>
    </row>
    <row r="693" spans="1:23" x14ac:dyDescent="0.15">
      <c r="A693" s="93" t="s">
        <v>6169</v>
      </c>
      <c r="B693" s="93" t="s">
        <v>7508</v>
      </c>
      <c r="C693" s="93">
        <v>39</v>
      </c>
      <c r="D693" s="93" t="s">
        <v>24</v>
      </c>
      <c r="E693" s="93" t="s">
        <v>24</v>
      </c>
      <c r="F693" s="93" t="s">
        <v>399</v>
      </c>
      <c r="G693" s="93" t="s">
        <v>7183</v>
      </c>
      <c r="H693" s="93" t="s">
        <v>400</v>
      </c>
      <c r="I693" s="93" t="s">
        <v>111</v>
      </c>
      <c r="J693" s="93" t="s">
        <v>7105</v>
      </c>
      <c r="K693" s="93" t="s">
        <v>111</v>
      </c>
      <c r="L693" s="93" t="s">
        <v>111</v>
      </c>
      <c r="M693" s="93" t="s">
        <v>111</v>
      </c>
      <c r="N693" s="93" t="s">
        <v>111</v>
      </c>
      <c r="O693" s="93" t="s">
        <v>111</v>
      </c>
      <c r="P693" s="93" t="s">
        <v>111</v>
      </c>
      <c r="Q693" s="93" t="s">
        <v>228</v>
      </c>
      <c r="R693" s="93" t="s">
        <v>111</v>
      </c>
      <c r="S693" s="93" t="s">
        <v>115</v>
      </c>
      <c r="T693" s="93" t="s">
        <v>116</v>
      </c>
      <c r="U693" s="94">
        <v>44610.0625</v>
      </c>
      <c r="V693" s="93" t="s">
        <v>7072</v>
      </c>
      <c r="W693" s="93" t="s">
        <v>24</v>
      </c>
    </row>
    <row r="694" spans="1:23" x14ac:dyDescent="0.15">
      <c r="A694" s="93" t="s">
        <v>6171</v>
      </c>
      <c r="B694" s="93" t="s">
        <v>7509</v>
      </c>
      <c r="C694" s="93">
        <v>60</v>
      </c>
      <c r="D694" s="93" t="s">
        <v>24</v>
      </c>
      <c r="E694" s="93" t="s">
        <v>24</v>
      </c>
      <c r="F694" s="93" t="s">
        <v>399</v>
      </c>
      <c r="G694" s="93" t="s">
        <v>7183</v>
      </c>
      <c r="H694" s="93" t="s">
        <v>400</v>
      </c>
      <c r="I694" s="93" t="s">
        <v>111</v>
      </c>
      <c r="J694" s="93" t="s">
        <v>7105</v>
      </c>
      <c r="K694" s="93" t="s">
        <v>111</v>
      </c>
      <c r="L694" s="93" t="s">
        <v>111</v>
      </c>
      <c r="M694" s="93" t="s">
        <v>111</v>
      </c>
      <c r="N694" s="93" t="s">
        <v>111</v>
      </c>
      <c r="O694" s="93" t="s">
        <v>111</v>
      </c>
      <c r="P694" s="93" t="s">
        <v>111</v>
      </c>
      <c r="Q694" s="93" t="s">
        <v>228</v>
      </c>
      <c r="R694" s="93" t="s">
        <v>111</v>
      </c>
      <c r="S694" s="93" t="s">
        <v>115</v>
      </c>
      <c r="T694" s="93" t="s">
        <v>116</v>
      </c>
      <c r="U694" s="94">
        <v>44610.097222222219</v>
      </c>
      <c r="V694" s="93" t="s">
        <v>7072</v>
      </c>
      <c r="W694" s="93" t="s">
        <v>24</v>
      </c>
    </row>
    <row r="695" spans="1:23" x14ac:dyDescent="0.15">
      <c r="A695" s="93" t="s">
        <v>6137</v>
      </c>
      <c r="B695" s="93" t="s">
        <v>7510</v>
      </c>
      <c r="C695" s="93">
        <v>12</v>
      </c>
      <c r="D695" s="93" t="s">
        <v>24</v>
      </c>
      <c r="E695" s="93" t="s">
        <v>24</v>
      </c>
      <c r="F695" s="93" t="s">
        <v>399</v>
      </c>
      <c r="G695" s="93" t="s">
        <v>7183</v>
      </c>
      <c r="H695" s="93" t="s">
        <v>400</v>
      </c>
      <c r="I695" s="93" t="s">
        <v>111</v>
      </c>
      <c r="J695" s="93" t="s">
        <v>7105</v>
      </c>
      <c r="K695" s="93" t="s">
        <v>111</v>
      </c>
      <c r="L695" s="93" t="s">
        <v>111</v>
      </c>
      <c r="M695" s="93" t="s">
        <v>111</v>
      </c>
      <c r="N695" s="93" t="s">
        <v>111</v>
      </c>
      <c r="O695" s="93" t="s">
        <v>111</v>
      </c>
      <c r="P695" s="93" t="s">
        <v>111</v>
      </c>
      <c r="Q695" s="93" t="s">
        <v>228</v>
      </c>
      <c r="R695" s="93" t="s">
        <v>111</v>
      </c>
      <c r="S695" s="93" t="s">
        <v>115</v>
      </c>
      <c r="T695" s="93" t="s">
        <v>116</v>
      </c>
      <c r="U695" s="94">
        <v>44610.118055555555</v>
      </c>
      <c r="V695" s="93" t="s">
        <v>7072</v>
      </c>
      <c r="W695" s="93" t="s">
        <v>24</v>
      </c>
    </row>
    <row r="696" spans="1:23" x14ac:dyDescent="0.15">
      <c r="A696" s="93" t="s">
        <v>6139</v>
      </c>
      <c r="B696" s="93" t="s">
        <v>7511</v>
      </c>
      <c r="C696" s="93">
        <v>31</v>
      </c>
      <c r="D696" s="93" t="s">
        <v>24</v>
      </c>
      <c r="E696" s="93" t="s">
        <v>24</v>
      </c>
      <c r="F696" s="93" t="s">
        <v>399</v>
      </c>
      <c r="G696" s="93" t="s">
        <v>7183</v>
      </c>
      <c r="H696" s="93" t="s">
        <v>400</v>
      </c>
      <c r="I696" s="93" t="s">
        <v>111</v>
      </c>
      <c r="J696" s="93" t="s">
        <v>7105</v>
      </c>
      <c r="K696" s="93" t="s">
        <v>111</v>
      </c>
      <c r="L696" s="93" t="s">
        <v>111</v>
      </c>
      <c r="M696" s="93" t="s">
        <v>111</v>
      </c>
      <c r="N696" s="93" t="s">
        <v>111</v>
      </c>
      <c r="O696" s="93" t="s">
        <v>111</v>
      </c>
      <c r="P696" s="93" t="s">
        <v>111</v>
      </c>
      <c r="Q696" s="93" t="s">
        <v>228</v>
      </c>
      <c r="R696" s="93" t="s">
        <v>111</v>
      </c>
      <c r="S696" s="93" t="s">
        <v>115</v>
      </c>
      <c r="T696" s="93" t="s">
        <v>116</v>
      </c>
      <c r="U696" s="94">
        <v>44610.079861111109</v>
      </c>
      <c r="V696" s="93" t="s">
        <v>7072</v>
      </c>
      <c r="W696" s="93" t="s">
        <v>24</v>
      </c>
    </row>
    <row r="697" spans="1:23" x14ac:dyDescent="0.15">
      <c r="A697" s="93" t="s">
        <v>6141</v>
      </c>
      <c r="B697" s="93" t="s">
        <v>7512</v>
      </c>
      <c r="C697" s="93">
        <v>48</v>
      </c>
      <c r="D697" s="93" t="s">
        <v>24</v>
      </c>
      <c r="E697" s="93" t="s">
        <v>24</v>
      </c>
      <c r="F697" s="93" t="s">
        <v>399</v>
      </c>
      <c r="G697" s="93" t="s">
        <v>7183</v>
      </c>
      <c r="H697" s="93" t="s">
        <v>400</v>
      </c>
      <c r="I697" s="93" t="s">
        <v>111</v>
      </c>
      <c r="J697" s="93" t="s">
        <v>7105</v>
      </c>
      <c r="K697" s="93" t="s">
        <v>111</v>
      </c>
      <c r="L697" s="93" t="s">
        <v>111</v>
      </c>
      <c r="M697" s="93" t="s">
        <v>111</v>
      </c>
      <c r="N697" s="93" t="s">
        <v>111</v>
      </c>
      <c r="O697" s="93" t="s">
        <v>111</v>
      </c>
      <c r="P697" s="93" t="s">
        <v>111</v>
      </c>
      <c r="Q697" s="93" t="s">
        <v>228</v>
      </c>
      <c r="R697" s="93" t="s">
        <v>111</v>
      </c>
      <c r="S697" s="93" t="s">
        <v>115</v>
      </c>
      <c r="T697" s="93" t="s">
        <v>116</v>
      </c>
      <c r="U697" s="94">
        <v>44610.070833333331</v>
      </c>
      <c r="V697" s="93" t="s">
        <v>7072</v>
      </c>
      <c r="W697" s="93" t="s">
        <v>24</v>
      </c>
    </row>
    <row r="698" spans="1:23" x14ac:dyDescent="0.15">
      <c r="A698" s="93" t="s">
        <v>6173</v>
      </c>
      <c r="B698" s="93" t="s">
        <v>7513</v>
      </c>
      <c r="C698" s="93">
        <v>23</v>
      </c>
      <c r="D698" s="93" t="s">
        <v>24</v>
      </c>
      <c r="E698" s="93" t="s">
        <v>24</v>
      </c>
      <c r="F698" s="93" t="s">
        <v>399</v>
      </c>
      <c r="G698" s="93" t="s">
        <v>7183</v>
      </c>
      <c r="H698" s="93" t="s">
        <v>400</v>
      </c>
      <c r="I698" s="93" t="s">
        <v>111</v>
      </c>
      <c r="J698" s="93" t="s">
        <v>7105</v>
      </c>
      <c r="K698" s="93" t="s">
        <v>111</v>
      </c>
      <c r="L698" s="93" t="s">
        <v>111</v>
      </c>
      <c r="M698" s="93" t="s">
        <v>111</v>
      </c>
      <c r="N698" s="93" t="s">
        <v>111</v>
      </c>
      <c r="O698" s="93" t="s">
        <v>111</v>
      </c>
      <c r="P698" s="93" t="s">
        <v>111</v>
      </c>
      <c r="Q698" s="93" t="s">
        <v>228</v>
      </c>
      <c r="R698" s="93" t="s">
        <v>111</v>
      </c>
      <c r="S698" s="93" t="s">
        <v>115</v>
      </c>
      <c r="T698" s="93" t="s">
        <v>116</v>
      </c>
      <c r="U698" s="94">
        <v>44610.113194444442</v>
      </c>
      <c r="V698" s="93" t="s">
        <v>7072</v>
      </c>
      <c r="W698" s="93" t="s">
        <v>24</v>
      </c>
    </row>
    <row r="699" spans="1:23" x14ac:dyDescent="0.15">
      <c r="A699" s="93" t="s">
        <v>6175</v>
      </c>
      <c r="B699" s="93" t="s">
        <v>7514</v>
      </c>
      <c r="C699" s="93">
        <v>59</v>
      </c>
      <c r="D699" s="93" t="s">
        <v>24</v>
      </c>
      <c r="E699" s="93" t="s">
        <v>24</v>
      </c>
      <c r="F699" s="93" t="s">
        <v>399</v>
      </c>
      <c r="G699" s="93" t="s">
        <v>7183</v>
      </c>
      <c r="H699" s="93" t="s">
        <v>400</v>
      </c>
      <c r="I699" s="93" t="s">
        <v>111</v>
      </c>
      <c r="J699" s="93" t="s">
        <v>7105</v>
      </c>
      <c r="K699" s="93" t="s">
        <v>111</v>
      </c>
      <c r="L699" s="93" t="s">
        <v>111</v>
      </c>
      <c r="M699" s="93" t="s">
        <v>111</v>
      </c>
      <c r="N699" s="93" t="s">
        <v>111</v>
      </c>
      <c r="O699" s="93" t="s">
        <v>111</v>
      </c>
      <c r="P699" s="93" t="s">
        <v>111</v>
      </c>
      <c r="Q699" s="93" t="s">
        <v>228</v>
      </c>
      <c r="R699" s="93" t="s">
        <v>111</v>
      </c>
      <c r="S699" s="93" t="s">
        <v>115</v>
      </c>
      <c r="T699" s="93" t="s">
        <v>116</v>
      </c>
      <c r="U699" s="94">
        <v>44610.058333333334</v>
      </c>
      <c r="V699" s="93" t="s">
        <v>7072</v>
      </c>
      <c r="W699" s="93" t="s">
        <v>24</v>
      </c>
    </row>
    <row r="700" spans="1:23" x14ac:dyDescent="0.15">
      <c r="A700" s="93" t="s">
        <v>6177</v>
      </c>
      <c r="B700" s="93" t="s">
        <v>7515</v>
      </c>
      <c r="C700" s="93">
        <v>92</v>
      </c>
      <c r="D700" s="93" t="s">
        <v>24</v>
      </c>
      <c r="E700" s="93" t="s">
        <v>24</v>
      </c>
      <c r="F700" s="93" t="s">
        <v>399</v>
      </c>
      <c r="G700" s="93" t="s">
        <v>7183</v>
      </c>
      <c r="H700" s="93" t="s">
        <v>400</v>
      </c>
      <c r="I700" s="93" t="s">
        <v>111</v>
      </c>
      <c r="J700" s="93" t="s">
        <v>7105</v>
      </c>
      <c r="K700" s="93" t="s">
        <v>111</v>
      </c>
      <c r="L700" s="93" t="s">
        <v>111</v>
      </c>
      <c r="M700" s="93" t="s">
        <v>111</v>
      </c>
      <c r="N700" s="93" t="s">
        <v>111</v>
      </c>
      <c r="O700" s="93" t="s">
        <v>111</v>
      </c>
      <c r="P700" s="93" t="s">
        <v>111</v>
      </c>
      <c r="Q700" s="93" t="s">
        <v>228</v>
      </c>
      <c r="R700" s="93" t="s">
        <v>111</v>
      </c>
      <c r="S700" s="93" t="s">
        <v>115</v>
      </c>
      <c r="T700" s="93" t="s">
        <v>116</v>
      </c>
      <c r="U700" s="94">
        <v>44610.063888888886</v>
      </c>
      <c r="V700" s="93" t="s">
        <v>7072</v>
      </c>
      <c r="W700" s="93" t="s">
        <v>24</v>
      </c>
    </row>
    <row r="701" spans="1:23" x14ac:dyDescent="0.15">
      <c r="A701" s="93" t="s">
        <v>6915</v>
      </c>
      <c r="B701" s="93" t="s">
        <v>7516</v>
      </c>
      <c r="C701" s="93">
        <v>8</v>
      </c>
      <c r="D701" s="93" t="s">
        <v>24</v>
      </c>
      <c r="E701" s="93" t="s">
        <v>24</v>
      </c>
      <c r="F701" s="93" t="s">
        <v>399</v>
      </c>
      <c r="G701" s="93" t="s">
        <v>7183</v>
      </c>
      <c r="H701" s="93" t="s">
        <v>400</v>
      </c>
      <c r="I701" s="93" t="s">
        <v>111</v>
      </c>
      <c r="J701" s="93" t="s">
        <v>7105</v>
      </c>
      <c r="K701" s="93" t="s">
        <v>111</v>
      </c>
      <c r="L701" s="93" t="s">
        <v>111</v>
      </c>
      <c r="M701" s="93" t="s">
        <v>111</v>
      </c>
      <c r="N701" s="93" t="s">
        <v>111</v>
      </c>
      <c r="O701" s="93" t="s">
        <v>111</v>
      </c>
      <c r="P701" s="93" t="s">
        <v>111</v>
      </c>
      <c r="Q701" s="93" t="s">
        <v>228</v>
      </c>
      <c r="R701" s="93" t="s">
        <v>111</v>
      </c>
      <c r="S701" s="93" t="s">
        <v>115</v>
      </c>
      <c r="T701" s="93" t="s">
        <v>116</v>
      </c>
      <c r="U701" s="94">
        <v>44610.098611111112</v>
      </c>
      <c r="V701" s="93" t="s">
        <v>7072</v>
      </c>
      <c r="W701" s="93" t="s">
        <v>24</v>
      </c>
    </row>
    <row r="702" spans="1:23" x14ac:dyDescent="0.15">
      <c r="A702" s="93" t="s">
        <v>6917</v>
      </c>
      <c r="B702" s="93" t="s">
        <v>7517</v>
      </c>
      <c r="C702" s="93">
        <v>21</v>
      </c>
      <c r="D702" s="93" t="s">
        <v>24</v>
      </c>
      <c r="E702" s="93" t="s">
        <v>24</v>
      </c>
      <c r="F702" s="93" t="s">
        <v>399</v>
      </c>
      <c r="G702" s="93" t="s">
        <v>7183</v>
      </c>
      <c r="H702" s="93" t="s">
        <v>400</v>
      </c>
      <c r="I702" s="93" t="s">
        <v>111</v>
      </c>
      <c r="J702" s="93" t="s">
        <v>7105</v>
      </c>
      <c r="K702" s="93" t="s">
        <v>111</v>
      </c>
      <c r="L702" s="93" t="s">
        <v>111</v>
      </c>
      <c r="M702" s="93" t="s">
        <v>111</v>
      </c>
      <c r="N702" s="93" t="s">
        <v>111</v>
      </c>
      <c r="O702" s="93" t="s">
        <v>111</v>
      </c>
      <c r="P702" s="93" t="s">
        <v>111</v>
      </c>
      <c r="Q702" s="93" t="s">
        <v>228</v>
      </c>
      <c r="R702" s="93" t="s">
        <v>111</v>
      </c>
      <c r="S702" s="93" t="s">
        <v>115</v>
      </c>
      <c r="T702" s="93" t="s">
        <v>116</v>
      </c>
      <c r="U702" s="94">
        <v>44610.119444444441</v>
      </c>
      <c r="V702" s="93" t="s">
        <v>7072</v>
      </c>
      <c r="W702" s="93" t="s">
        <v>24</v>
      </c>
    </row>
    <row r="703" spans="1:23" x14ac:dyDescent="0.15">
      <c r="A703" s="93" t="s">
        <v>6919</v>
      </c>
      <c r="B703" s="93" t="s">
        <v>7518</v>
      </c>
      <c r="C703" s="93">
        <v>32</v>
      </c>
      <c r="D703" s="93" t="s">
        <v>24</v>
      </c>
      <c r="E703" s="93" t="s">
        <v>24</v>
      </c>
      <c r="F703" s="93" t="s">
        <v>399</v>
      </c>
      <c r="G703" s="93" t="s">
        <v>7183</v>
      </c>
      <c r="H703" s="93" t="s">
        <v>400</v>
      </c>
      <c r="I703" s="93" t="s">
        <v>111</v>
      </c>
      <c r="J703" s="93" t="s">
        <v>7105</v>
      </c>
      <c r="K703" s="93" t="s">
        <v>111</v>
      </c>
      <c r="L703" s="93" t="s">
        <v>111</v>
      </c>
      <c r="M703" s="93" t="s">
        <v>111</v>
      </c>
      <c r="N703" s="93" t="s">
        <v>111</v>
      </c>
      <c r="O703" s="93" t="s">
        <v>111</v>
      </c>
      <c r="P703" s="93" t="s">
        <v>111</v>
      </c>
      <c r="Q703" s="93" t="s">
        <v>228</v>
      </c>
      <c r="R703" s="93" t="s">
        <v>111</v>
      </c>
      <c r="S703" s="93" t="s">
        <v>115</v>
      </c>
      <c r="T703" s="93" t="s">
        <v>116</v>
      </c>
      <c r="U703" s="94">
        <v>44610.088888888888</v>
      </c>
      <c r="V703" s="93" t="s">
        <v>7072</v>
      </c>
      <c r="W703" s="93" t="s">
        <v>24</v>
      </c>
    </row>
    <row r="704" spans="1:23" x14ac:dyDescent="0.15">
      <c r="A704" s="93" t="s">
        <v>6921</v>
      </c>
      <c r="B704" s="93" t="s">
        <v>7519</v>
      </c>
      <c r="C704" s="93">
        <v>11</v>
      </c>
      <c r="D704" s="93" t="s">
        <v>24</v>
      </c>
      <c r="E704" s="93" t="s">
        <v>24</v>
      </c>
      <c r="F704" s="93" t="s">
        <v>399</v>
      </c>
      <c r="G704" s="93" t="s">
        <v>7183</v>
      </c>
      <c r="H704" s="93" t="s">
        <v>400</v>
      </c>
      <c r="I704" s="93" t="s">
        <v>111</v>
      </c>
      <c r="J704" s="93" t="s">
        <v>7105</v>
      </c>
      <c r="K704" s="93" t="s">
        <v>111</v>
      </c>
      <c r="L704" s="93" t="s">
        <v>111</v>
      </c>
      <c r="M704" s="93" t="s">
        <v>111</v>
      </c>
      <c r="N704" s="93" t="s">
        <v>111</v>
      </c>
      <c r="O704" s="93" t="s">
        <v>111</v>
      </c>
      <c r="P704" s="93" t="s">
        <v>111</v>
      </c>
      <c r="Q704" s="93" t="s">
        <v>228</v>
      </c>
      <c r="R704" s="93" t="s">
        <v>111</v>
      </c>
      <c r="S704" s="93" t="s">
        <v>115</v>
      </c>
      <c r="T704" s="93" t="s">
        <v>116</v>
      </c>
      <c r="U704" s="94">
        <v>44610.081250000003</v>
      </c>
      <c r="V704" s="93" t="s">
        <v>7072</v>
      </c>
      <c r="W704" s="93" t="s">
        <v>24</v>
      </c>
    </row>
    <row r="705" spans="1:23" x14ac:dyDescent="0.15">
      <c r="A705" s="93" t="s">
        <v>6923</v>
      </c>
      <c r="B705" s="93" t="s">
        <v>7520</v>
      </c>
      <c r="C705" s="93">
        <v>29</v>
      </c>
      <c r="D705" s="93" t="s">
        <v>24</v>
      </c>
      <c r="E705" s="93" t="s">
        <v>24</v>
      </c>
      <c r="F705" s="93" t="s">
        <v>399</v>
      </c>
      <c r="G705" s="93" t="s">
        <v>7183</v>
      </c>
      <c r="H705" s="93" t="s">
        <v>400</v>
      </c>
      <c r="I705" s="93" t="s">
        <v>111</v>
      </c>
      <c r="J705" s="93" t="s">
        <v>7105</v>
      </c>
      <c r="K705" s="93" t="s">
        <v>111</v>
      </c>
      <c r="L705" s="93" t="s">
        <v>111</v>
      </c>
      <c r="M705" s="93" t="s">
        <v>111</v>
      </c>
      <c r="N705" s="93" t="s">
        <v>111</v>
      </c>
      <c r="O705" s="93" t="s">
        <v>111</v>
      </c>
      <c r="P705" s="93" t="s">
        <v>111</v>
      </c>
      <c r="Q705" s="93" t="s">
        <v>228</v>
      </c>
      <c r="R705" s="93" t="s">
        <v>111</v>
      </c>
      <c r="S705" s="93" t="s">
        <v>115</v>
      </c>
      <c r="T705" s="93" t="s">
        <v>116</v>
      </c>
      <c r="U705" s="94">
        <v>44610.098611111112</v>
      </c>
      <c r="V705" s="93" t="s">
        <v>7072</v>
      </c>
      <c r="W705" s="93" t="s">
        <v>24</v>
      </c>
    </row>
    <row r="706" spans="1:23" x14ac:dyDescent="0.15">
      <c r="A706" s="93" t="s">
        <v>6925</v>
      </c>
      <c r="B706" s="93" t="s">
        <v>7521</v>
      </c>
      <c r="C706" s="93">
        <v>44</v>
      </c>
      <c r="D706" s="93" t="s">
        <v>24</v>
      </c>
      <c r="E706" s="93" t="s">
        <v>24</v>
      </c>
      <c r="F706" s="93" t="s">
        <v>399</v>
      </c>
      <c r="G706" s="93" t="s">
        <v>7183</v>
      </c>
      <c r="H706" s="93" t="s">
        <v>400</v>
      </c>
      <c r="I706" s="93" t="s">
        <v>111</v>
      </c>
      <c r="J706" s="93" t="s">
        <v>7105</v>
      </c>
      <c r="K706" s="93" t="s">
        <v>111</v>
      </c>
      <c r="L706" s="93" t="s">
        <v>111</v>
      </c>
      <c r="M706" s="93" t="s">
        <v>111</v>
      </c>
      <c r="N706" s="93" t="s">
        <v>111</v>
      </c>
      <c r="O706" s="93" t="s">
        <v>111</v>
      </c>
      <c r="P706" s="93" t="s">
        <v>111</v>
      </c>
      <c r="Q706" s="93" t="s">
        <v>228</v>
      </c>
      <c r="R706" s="93" t="s">
        <v>111</v>
      </c>
      <c r="S706" s="93" t="s">
        <v>115</v>
      </c>
      <c r="T706" s="93" t="s">
        <v>116</v>
      </c>
      <c r="U706" s="94">
        <v>44610.078472222223</v>
      </c>
      <c r="V706" s="93" t="s">
        <v>7072</v>
      </c>
      <c r="W706" s="93" t="s">
        <v>24</v>
      </c>
    </row>
    <row r="707" spans="1:23" x14ac:dyDescent="0.15">
      <c r="A707" s="93" t="s">
        <v>6927</v>
      </c>
      <c r="B707" s="93" t="s">
        <v>7522</v>
      </c>
      <c r="C707" s="93">
        <v>14</v>
      </c>
      <c r="D707" s="93" t="s">
        <v>24</v>
      </c>
      <c r="E707" s="93" t="s">
        <v>24</v>
      </c>
      <c r="F707" s="93" t="s">
        <v>399</v>
      </c>
      <c r="G707" s="93" t="s">
        <v>7183</v>
      </c>
      <c r="H707" s="93" t="s">
        <v>400</v>
      </c>
      <c r="I707" s="93" t="s">
        <v>111</v>
      </c>
      <c r="J707" s="93" t="s">
        <v>7105</v>
      </c>
      <c r="K707" s="93" t="s">
        <v>111</v>
      </c>
      <c r="L707" s="93" t="s">
        <v>111</v>
      </c>
      <c r="M707" s="93" t="s">
        <v>111</v>
      </c>
      <c r="N707" s="93" t="s">
        <v>111</v>
      </c>
      <c r="O707" s="93" t="s">
        <v>111</v>
      </c>
      <c r="P707" s="93" t="s">
        <v>111</v>
      </c>
      <c r="Q707" s="93" t="s">
        <v>228</v>
      </c>
      <c r="R707" s="93" t="s">
        <v>111</v>
      </c>
      <c r="S707" s="93" t="s">
        <v>115</v>
      </c>
      <c r="T707" s="93" t="s">
        <v>116</v>
      </c>
      <c r="U707" s="94">
        <v>44610.061805555553</v>
      </c>
      <c r="V707" s="93" t="s">
        <v>7072</v>
      </c>
      <c r="W707" s="93" t="s">
        <v>24</v>
      </c>
    </row>
    <row r="708" spans="1:23" x14ac:dyDescent="0.15">
      <c r="A708" s="93" t="s">
        <v>6929</v>
      </c>
      <c r="B708" s="93" t="s">
        <v>7523</v>
      </c>
      <c r="C708" s="93">
        <v>36</v>
      </c>
      <c r="D708" s="93" t="s">
        <v>24</v>
      </c>
      <c r="E708" s="93" t="s">
        <v>24</v>
      </c>
      <c r="F708" s="93" t="s">
        <v>399</v>
      </c>
      <c r="G708" s="93" t="s">
        <v>7183</v>
      </c>
      <c r="H708" s="93" t="s">
        <v>400</v>
      </c>
      <c r="I708" s="93" t="s">
        <v>111</v>
      </c>
      <c r="J708" s="93" t="s">
        <v>7105</v>
      </c>
      <c r="K708" s="93" t="s">
        <v>111</v>
      </c>
      <c r="L708" s="93" t="s">
        <v>111</v>
      </c>
      <c r="M708" s="93" t="s">
        <v>111</v>
      </c>
      <c r="N708" s="93" t="s">
        <v>111</v>
      </c>
      <c r="O708" s="93" t="s">
        <v>111</v>
      </c>
      <c r="P708" s="93" t="s">
        <v>111</v>
      </c>
      <c r="Q708" s="93" t="s">
        <v>228</v>
      </c>
      <c r="R708" s="93" t="s">
        <v>111</v>
      </c>
      <c r="S708" s="93" t="s">
        <v>115</v>
      </c>
      <c r="T708" s="93" t="s">
        <v>116</v>
      </c>
      <c r="U708" s="94">
        <v>44610.063194444447</v>
      </c>
      <c r="V708" s="93" t="s">
        <v>7072</v>
      </c>
      <c r="W708" s="93" t="s">
        <v>24</v>
      </c>
    </row>
    <row r="709" spans="1:23" x14ac:dyDescent="0.15">
      <c r="A709" s="93" t="s">
        <v>6931</v>
      </c>
      <c r="B709" s="93" t="s">
        <v>7524</v>
      </c>
      <c r="C709" s="93">
        <v>56</v>
      </c>
      <c r="D709" s="93" t="s">
        <v>24</v>
      </c>
      <c r="E709" s="93" t="s">
        <v>24</v>
      </c>
      <c r="F709" s="93" t="s">
        <v>399</v>
      </c>
      <c r="G709" s="93" t="s">
        <v>7183</v>
      </c>
      <c r="H709" s="93" t="s">
        <v>400</v>
      </c>
      <c r="I709" s="93" t="s">
        <v>111</v>
      </c>
      <c r="J709" s="93" t="s">
        <v>7105</v>
      </c>
      <c r="K709" s="93" t="s">
        <v>111</v>
      </c>
      <c r="L709" s="93" t="s">
        <v>111</v>
      </c>
      <c r="M709" s="93" t="s">
        <v>111</v>
      </c>
      <c r="N709" s="93" t="s">
        <v>111</v>
      </c>
      <c r="O709" s="93" t="s">
        <v>111</v>
      </c>
      <c r="P709" s="93" t="s">
        <v>111</v>
      </c>
      <c r="Q709" s="93" t="s">
        <v>228</v>
      </c>
      <c r="R709" s="93" t="s">
        <v>111</v>
      </c>
      <c r="S709" s="93" t="s">
        <v>115</v>
      </c>
      <c r="T709" s="93" t="s">
        <v>116</v>
      </c>
      <c r="U709" s="94">
        <v>44610.098611111112</v>
      </c>
      <c r="V709" s="93" t="s">
        <v>7072</v>
      </c>
      <c r="W709" s="93" t="s">
        <v>24</v>
      </c>
    </row>
    <row r="710" spans="1:23" x14ac:dyDescent="0.15">
      <c r="A710" s="93" t="s">
        <v>6933</v>
      </c>
      <c r="B710" s="93" t="s">
        <v>7525</v>
      </c>
      <c r="C710" s="93">
        <v>20</v>
      </c>
      <c r="D710" s="93" t="s">
        <v>24</v>
      </c>
      <c r="E710" s="93" t="s">
        <v>24</v>
      </c>
      <c r="F710" s="93" t="s">
        <v>399</v>
      </c>
      <c r="G710" s="93" t="s">
        <v>7183</v>
      </c>
      <c r="H710" s="93" t="s">
        <v>400</v>
      </c>
      <c r="I710" s="93" t="s">
        <v>111</v>
      </c>
      <c r="J710" s="93" t="s">
        <v>7105</v>
      </c>
      <c r="K710" s="93" t="s">
        <v>111</v>
      </c>
      <c r="L710" s="93" t="s">
        <v>111</v>
      </c>
      <c r="M710" s="93" t="s">
        <v>111</v>
      </c>
      <c r="N710" s="93" t="s">
        <v>111</v>
      </c>
      <c r="O710" s="93" t="s">
        <v>111</v>
      </c>
      <c r="P710" s="93" t="s">
        <v>111</v>
      </c>
      <c r="Q710" s="93" t="s">
        <v>228</v>
      </c>
      <c r="R710" s="93" t="s">
        <v>111</v>
      </c>
      <c r="S710" s="93" t="s">
        <v>115</v>
      </c>
      <c r="T710" s="93" t="s">
        <v>116</v>
      </c>
      <c r="U710" s="94">
        <v>44610.111111111109</v>
      </c>
      <c r="V710" s="93" t="s">
        <v>7072</v>
      </c>
      <c r="W710" s="93" t="s">
        <v>24</v>
      </c>
    </row>
    <row r="711" spans="1:23" x14ac:dyDescent="0.15">
      <c r="A711" s="93" t="s">
        <v>6935</v>
      </c>
      <c r="B711" s="93" t="s">
        <v>7526</v>
      </c>
      <c r="C711" s="93">
        <v>51</v>
      </c>
      <c r="D711" s="93" t="s">
        <v>24</v>
      </c>
      <c r="E711" s="93" t="s">
        <v>24</v>
      </c>
      <c r="F711" s="93" t="s">
        <v>399</v>
      </c>
      <c r="G711" s="93" t="s">
        <v>7183</v>
      </c>
      <c r="H711" s="93" t="s">
        <v>400</v>
      </c>
      <c r="I711" s="93" t="s">
        <v>111</v>
      </c>
      <c r="J711" s="93" t="s">
        <v>7105</v>
      </c>
      <c r="K711" s="93" t="s">
        <v>111</v>
      </c>
      <c r="L711" s="93" t="s">
        <v>111</v>
      </c>
      <c r="M711" s="93" t="s">
        <v>111</v>
      </c>
      <c r="N711" s="93" t="s">
        <v>111</v>
      </c>
      <c r="O711" s="93" t="s">
        <v>111</v>
      </c>
      <c r="P711" s="93" t="s">
        <v>111</v>
      </c>
      <c r="Q711" s="93" t="s">
        <v>228</v>
      </c>
      <c r="R711" s="93" t="s">
        <v>111</v>
      </c>
      <c r="S711" s="93" t="s">
        <v>115</v>
      </c>
      <c r="T711" s="93" t="s">
        <v>116</v>
      </c>
      <c r="U711" s="94">
        <v>44610.056944444441</v>
      </c>
      <c r="V711" s="93" t="s">
        <v>7072</v>
      </c>
      <c r="W711" s="93" t="s">
        <v>24</v>
      </c>
    </row>
    <row r="712" spans="1:23" x14ac:dyDescent="0.15">
      <c r="A712" s="93" t="s">
        <v>6937</v>
      </c>
      <c r="B712" s="93" t="s">
        <v>7527</v>
      </c>
      <c r="C712" s="93">
        <v>80</v>
      </c>
      <c r="D712" s="93" t="s">
        <v>24</v>
      </c>
      <c r="E712" s="93" t="s">
        <v>24</v>
      </c>
      <c r="F712" s="93" t="s">
        <v>399</v>
      </c>
      <c r="G712" s="93" t="s">
        <v>7183</v>
      </c>
      <c r="H712" s="93" t="s">
        <v>400</v>
      </c>
      <c r="I712" s="93" t="s">
        <v>111</v>
      </c>
      <c r="J712" s="93" t="s">
        <v>7105</v>
      </c>
      <c r="K712" s="93" t="s">
        <v>111</v>
      </c>
      <c r="L712" s="93" t="s">
        <v>111</v>
      </c>
      <c r="M712" s="93" t="s">
        <v>111</v>
      </c>
      <c r="N712" s="93" t="s">
        <v>111</v>
      </c>
      <c r="O712" s="93" t="s">
        <v>111</v>
      </c>
      <c r="P712" s="93" t="s">
        <v>111</v>
      </c>
      <c r="Q712" s="93" t="s">
        <v>228</v>
      </c>
      <c r="R712" s="93" t="s">
        <v>111</v>
      </c>
      <c r="S712" s="93" t="s">
        <v>115</v>
      </c>
      <c r="T712" s="93" t="s">
        <v>116</v>
      </c>
      <c r="U712" s="94">
        <v>44610.057638888888</v>
      </c>
      <c r="V712" s="93" t="s">
        <v>7072</v>
      </c>
      <c r="W712" s="93" t="s">
        <v>24</v>
      </c>
    </row>
    <row r="713" spans="1:23" x14ac:dyDescent="0.15">
      <c r="A713" s="93" t="s">
        <v>6897</v>
      </c>
      <c r="B713" s="93" t="s">
        <v>7528</v>
      </c>
      <c r="C713" s="93">
        <v>15</v>
      </c>
      <c r="D713" s="93" t="s">
        <v>24</v>
      </c>
      <c r="E713" s="93" t="s">
        <v>24</v>
      </c>
      <c r="F713" s="93" t="s">
        <v>399</v>
      </c>
      <c r="G713" s="93" t="s">
        <v>7183</v>
      </c>
      <c r="H713" s="93" t="s">
        <v>400</v>
      </c>
      <c r="I713" s="93" t="s">
        <v>111</v>
      </c>
      <c r="J713" s="93" t="s">
        <v>7105</v>
      </c>
      <c r="K713" s="93" t="s">
        <v>111</v>
      </c>
      <c r="L713" s="93" t="s">
        <v>111</v>
      </c>
      <c r="M713" s="93" t="s">
        <v>111</v>
      </c>
      <c r="N713" s="93" t="s">
        <v>111</v>
      </c>
      <c r="O713" s="93" t="s">
        <v>111</v>
      </c>
      <c r="P713" s="93" t="s">
        <v>111</v>
      </c>
      <c r="Q713" s="93" t="s">
        <v>228</v>
      </c>
      <c r="R713" s="93" t="s">
        <v>111</v>
      </c>
      <c r="S713" s="93" t="s">
        <v>115</v>
      </c>
      <c r="T713" s="93" t="s">
        <v>116</v>
      </c>
      <c r="U713" s="94">
        <v>44610.098611111112</v>
      </c>
      <c r="V713" s="93" t="s">
        <v>7072</v>
      </c>
      <c r="W713" s="93" t="s">
        <v>24</v>
      </c>
    </row>
    <row r="714" spans="1:23" x14ac:dyDescent="0.15">
      <c r="A714" s="93" t="s">
        <v>6899</v>
      </c>
      <c r="B714" s="93" t="s">
        <v>7529</v>
      </c>
      <c r="C714" s="93">
        <v>39</v>
      </c>
      <c r="D714" s="93" t="s">
        <v>24</v>
      </c>
      <c r="E714" s="93" t="s">
        <v>24</v>
      </c>
      <c r="F714" s="93" t="s">
        <v>399</v>
      </c>
      <c r="G714" s="93" t="s">
        <v>7183</v>
      </c>
      <c r="H714" s="93" t="s">
        <v>400</v>
      </c>
      <c r="I714" s="93" t="s">
        <v>111</v>
      </c>
      <c r="J714" s="93" t="s">
        <v>7105</v>
      </c>
      <c r="K714" s="93" t="s">
        <v>111</v>
      </c>
      <c r="L714" s="93" t="s">
        <v>111</v>
      </c>
      <c r="M714" s="93" t="s">
        <v>111</v>
      </c>
      <c r="N714" s="93" t="s">
        <v>111</v>
      </c>
      <c r="O714" s="93" t="s">
        <v>111</v>
      </c>
      <c r="P714" s="93" t="s">
        <v>111</v>
      </c>
      <c r="Q714" s="93" t="s">
        <v>228</v>
      </c>
      <c r="R714" s="93" t="s">
        <v>111</v>
      </c>
      <c r="S714" s="93" t="s">
        <v>115</v>
      </c>
      <c r="T714" s="93" t="s">
        <v>116</v>
      </c>
      <c r="U714" s="94">
        <v>44610.070833333331</v>
      </c>
      <c r="V714" s="93" t="s">
        <v>7072</v>
      </c>
      <c r="W714" s="93" t="s">
        <v>24</v>
      </c>
    </row>
    <row r="715" spans="1:23" x14ac:dyDescent="0.15">
      <c r="A715" s="93" t="s">
        <v>6901</v>
      </c>
      <c r="B715" s="93" t="s">
        <v>7530</v>
      </c>
      <c r="C715" s="93">
        <v>60</v>
      </c>
      <c r="D715" s="93" t="s">
        <v>24</v>
      </c>
      <c r="E715" s="93" t="s">
        <v>24</v>
      </c>
      <c r="F715" s="93" t="s">
        <v>399</v>
      </c>
      <c r="G715" s="93" t="s">
        <v>7183</v>
      </c>
      <c r="H715" s="93" t="s">
        <v>400</v>
      </c>
      <c r="I715" s="93" t="s">
        <v>111</v>
      </c>
      <c r="J715" s="93" t="s">
        <v>7105</v>
      </c>
      <c r="K715" s="93" t="s">
        <v>111</v>
      </c>
      <c r="L715" s="93" t="s">
        <v>111</v>
      </c>
      <c r="M715" s="93" t="s">
        <v>111</v>
      </c>
      <c r="N715" s="93" t="s">
        <v>111</v>
      </c>
      <c r="O715" s="93" t="s">
        <v>111</v>
      </c>
      <c r="P715" s="93" t="s">
        <v>111</v>
      </c>
      <c r="Q715" s="93" t="s">
        <v>228</v>
      </c>
      <c r="R715" s="93" t="s">
        <v>111</v>
      </c>
      <c r="S715" s="93" t="s">
        <v>115</v>
      </c>
      <c r="T715" s="93" t="s">
        <v>116</v>
      </c>
      <c r="U715" s="94">
        <v>44610.116666666669</v>
      </c>
      <c r="V715" s="93" t="s">
        <v>7072</v>
      </c>
      <c r="W715" s="93" t="s">
        <v>24</v>
      </c>
    </row>
    <row r="716" spans="1:23" x14ac:dyDescent="0.15">
      <c r="A716" s="93" t="s">
        <v>6903</v>
      </c>
      <c r="B716" s="93" t="s">
        <v>7531</v>
      </c>
      <c r="C716" s="93">
        <v>21</v>
      </c>
      <c r="D716" s="93" t="s">
        <v>24</v>
      </c>
      <c r="E716" s="93" t="s">
        <v>24</v>
      </c>
      <c r="F716" s="93" t="s">
        <v>399</v>
      </c>
      <c r="G716" s="93" t="s">
        <v>7183</v>
      </c>
      <c r="H716" s="93" t="s">
        <v>400</v>
      </c>
      <c r="I716" s="93" t="s">
        <v>111</v>
      </c>
      <c r="J716" s="93" t="s">
        <v>7105</v>
      </c>
      <c r="K716" s="93" t="s">
        <v>111</v>
      </c>
      <c r="L716" s="93" t="s">
        <v>111</v>
      </c>
      <c r="M716" s="93" t="s">
        <v>111</v>
      </c>
      <c r="N716" s="93" t="s">
        <v>111</v>
      </c>
      <c r="O716" s="93" t="s">
        <v>111</v>
      </c>
      <c r="P716" s="93" t="s">
        <v>111</v>
      </c>
      <c r="Q716" s="93" t="s">
        <v>228</v>
      </c>
      <c r="R716" s="93" t="s">
        <v>111</v>
      </c>
      <c r="S716" s="93" t="s">
        <v>115</v>
      </c>
      <c r="T716" s="93" t="s">
        <v>116</v>
      </c>
      <c r="U716" s="94">
        <v>44610.063194444447</v>
      </c>
      <c r="V716" s="93" t="s">
        <v>7072</v>
      </c>
      <c r="W716" s="93" t="s">
        <v>24</v>
      </c>
    </row>
    <row r="717" spans="1:23" x14ac:dyDescent="0.15">
      <c r="A717" s="93" t="s">
        <v>6905</v>
      </c>
      <c r="B717" s="93" t="s">
        <v>7532</v>
      </c>
      <c r="C717" s="93">
        <v>54</v>
      </c>
      <c r="D717" s="93" t="s">
        <v>24</v>
      </c>
      <c r="E717" s="93" t="s">
        <v>24</v>
      </c>
      <c r="F717" s="93" t="s">
        <v>399</v>
      </c>
      <c r="G717" s="93" t="s">
        <v>7183</v>
      </c>
      <c r="H717" s="93" t="s">
        <v>400</v>
      </c>
      <c r="I717" s="93" t="s">
        <v>111</v>
      </c>
      <c r="J717" s="93" t="s">
        <v>7105</v>
      </c>
      <c r="K717" s="93" t="s">
        <v>111</v>
      </c>
      <c r="L717" s="93" t="s">
        <v>111</v>
      </c>
      <c r="M717" s="93" t="s">
        <v>111</v>
      </c>
      <c r="N717" s="93" t="s">
        <v>111</v>
      </c>
      <c r="O717" s="93" t="s">
        <v>111</v>
      </c>
      <c r="P717" s="93" t="s">
        <v>111</v>
      </c>
      <c r="Q717" s="93" t="s">
        <v>228</v>
      </c>
      <c r="R717" s="93" t="s">
        <v>111</v>
      </c>
      <c r="S717" s="93" t="s">
        <v>115</v>
      </c>
      <c r="T717" s="93" t="s">
        <v>116</v>
      </c>
      <c r="U717" s="94">
        <v>44610.098611111112</v>
      </c>
      <c r="V717" s="93" t="s">
        <v>7072</v>
      </c>
      <c r="W717" s="93" t="s">
        <v>24</v>
      </c>
    </row>
    <row r="718" spans="1:23" x14ac:dyDescent="0.15">
      <c r="A718" s="93" t="s">
        <v>6907</v>
      </c>
      <c r="B718" s="93" t="s">
        <v>7533</v>
      </c>
      <c r="C718" s="93">
        <v>84</v>
      </c>
      <c r="D718" s="93" t="s">
        <v>24</v>
      </c>
      <c r="E718" s="93" t="s">
        <v>24</v>
      </c>
      <c r="F718" s="93" t="s">
        <v>399</v>
      </c>
      <c r="G718" s="93" t="s">
        <v>7183</v>
      </c>
      <c r="H718" s="93" t="s">
        <v>400</v>
      </c>
      <c r="I718" s="93" t="s">
        <v>111</v>
      </c>
      <c r="J718" s="93" t="s">
        <v>7105</v>
      </c>
      <c r="K718" s="93" t="s">
        <v>111</v>
      </c>
      <c r="L718" s="93" t="s">
        <v>111</v>
      </c>
      <c r="M718" s="93" t="s">
        <v>111</v>
      </c>
      <c r="N718" s="93" t="s">
        <v>111</v>
      </c>
      <c r="O718" s="93" t="s">
        <v>111</v>
      </c>
      <c r="P718" s="93" t="s">
        <v>111</v>
      </c>
      <c r="Q718" s="93" t="s">
        <v>228</v>
      </c>
      <c r="R718" s="93" t="s">
        <v>111</v>
      </c>
      <c r="S718" s="93" t="s">
        <v>115</v>
      </c>
      <c r="T718" s="93" t="s">
        <v>116</v>
      </c>
      <c r="U718" s="94">
        <v>44610.119444444441</v>
      </c>
      <c r="V718" s="93" t="s">
        <v>7072</v>
      </c>
      <c r="W718" s="93" t="s">
        <v>24</v>
      </c>
    </row>
    <row r="719" spans="1:23" x14ac:dyDescent="0.15">
      <c r="A719" s="93" t="s">
        <v>6909</v>
      </c>
      <c r="B719" s="93" t="s">
        <v>7534</v>
      </c>
      <c r="C719" s="93">
        <v>45</v>
      </c>
      <c r="D719" s="93" t="s">
        <v>24</v>
      </c>
      <c r="E719" s="93" t="s">
        <v>24</v>
      </c>
      <c r="F719" s="93" t="s">
        <v>399</v>
      </c>
      <c r="G719" s="93" t="s">
        <v>7183</v>
      </c>
      <c r="H719" s="93" t="s">
        <v>400</v>
      </c>
      <c r="I719" s="93" t="s">
        <v>111</v>
      </c>
      <c r="J719" s="93" t="s">
        <v>7105</v>
      </c>
      <c r="K719" s="93" t="s">
        <v>111</v>
      </c>
      <c r="L719" s="93" t="s">
        <v>111</v>
      </c>
      <c r="M719" s="93" t="s">
        <v>111</v>
      </c>
      <c r="N719" s="93" t="s">
        <v>111</v>
      </c>
      <c r="O719" s="93" t="s">
        <v>111</v>
      </c>
      <c r="P719" s="93" t="s">
        <v>111</v>
      </c>
      <c r="Q719" s="93" t="s">
        <v>228</v>
      </c>
      <c r="R719" s="93" t="s">
        <v>111</v>
      </c>
      <c r="S719" s="93" t="s">
        <v>115</v>
      </c>
      <c r="T719" s="93" t="s">
        <v>116</v>
      </c>
      <c r="U719" s="94">
        <v>44610.070833333331</v>
      </c>
      <c r="V719" s="93" t="s">
        <v>7072</v>
      </c>
      <c r="W719" s="93" t="s">
        <v>24</v>
      </c>
    </row>
    <row r="720" spans="1:23" x14ac:dyDescent="0.15">
      <c r="A720" s="93" t="s">
        <v>6911</v>
      </c>
      <c r="B720" s="93" t="s">
        <v>7535</v>
      </c>
      <c r="C720" s="93">
        <v>115</v>
      </c>
      <c r="D720" s="93" t="s">
        <v>24</v>
      </c>
      <c r="E720" s="93" t="s">
        <v>24</v>
      </c>
      <c r="F720" s="93" t="s">
        <v>399</v>
      </c>
      <c r="G720" s="93" t="s">
        <v>7183</v>
      </c>
      <c r="H720" s="93" t="s">
        <v>400</v>
      </c>
      <c r="I720" s="93" t="s">
        <v>111</v>
      </c>
      <c r="J720" s="93" t="s">
        <v>7105</v>
      </c>
      <c r="K720" s="93" t="s">
        <v>111</v>
      </c>
      <c r="L720" s="93" t="s">
        <v>111</v>
      </c>
      <c r="M720" s="93" t="s">
        <v>111</v>
      </c>
      <c r="N720" s="93" t="s">
        <v>111</v>
      </c>
      <c r="O720" s="93" t="s">
        <v>111</v>
      </c>
      <c r="P720" s="93" t="s">
        <v>111</v>
      </c>
      <c r="Q720" s="93" t="s">
        <v>228</v>
      </c>
      <c r="R720" s="93" t="s">
        <v>111</v>
      </c>
      <c r="S720" s="93" t="s">
        <v>115</v>
      </c>
      <c r="T720" s="93" t="s">
        <v>116</v>
      </c>
      <c r="U720" s="94">
        <v>44610.063194444447</v>
      </c>
      <c r="V720" s="93" t="s">
        <v>7072</v>
      </c>
      <c r="W720" s="93" t="s">
        <v>24</v>
      </c>
    </row>
    <row r="721" spans="1:23" x14ac:dyDescent="0.15">
      <c r="A721" s="93" t="s">
        <v>6913</v>
      </c>
      <c r="B721" s="93" t="s">
        <v>7536</v>
      </c>
      <c r="C721" s="93">
        <v>180</v>
      </c>
      <c r="D721" s="93" t="s">
        <v>24</v>
      </c>
      <c r="E721" s="93" t="s">
        <v>24</v>
      </c>
      <c r="F721" s="93" t="s">
        <v>399</v>
      </c>
      <c r="G721" s="93" t="s">
        <v>7183</v>
      </c>
      <c r="H721" s="93" t="s">
        <v>400</v>
      </c>
      <c r="I721" s="93" t="s">
        <v>111</v>
      </c>
      <c r="J721" s="93" t="s">
        <v>7105</v>
      </c>
      <c r="K721" s="93" t="s">
        <v>111</v>
      </c>
      <c r="L721" s="93" t="s">
        <v>111</v>
      </c>
      <c r="M721" s="93" t="s">
        <v>111</v>
      </c>
      <c r="N721" s="93" t="s">
        <v>111</v>
      </c>
      <c r="O721" s="93" t="s">
        <v>111</v>
      </c>
      <c r="P721" s="93" t="s">
        <v>111</v>
      </c>
      <c r="Q721" s="93" t="s">
        <v>228</v>
      </c>
      <c r="R721" s="93" t="s">
        <v>111</v>
      </c>
      <c r="S721" s="93" t="s">
        <v>115</v>
      </c>
      <c r="T721" s="93" t="s">
        <v>116</v>
      </c>
      <c r="U721" s="94">
        <v>44610.118750000001</v>
      </c>
      <c r="V721" s="93" t="s">
        <v>7072</v>
      </c>
      <c r="W721" s="93" t="s">
        <v>24</v>
      </c>
    </row>
    <row r="722" spans="1:23" x14ac:dyDescent="0.15">
      <c r="A722" s="93" t="s">
        <v>6939</v>
      </c>
      <c r="B722" s="93" t="s">
        <v>7537</v>
      </c>
      <c r="C722" s="93">
        <v>27</v>
      </c>
      <c r="D722" s="93" t="s">
        <v>24</v>
      </c>
      <c r="E722" s="93" t="s">
        <v>24</v>
      </c>
      <c r="F722" s="93" t="s">
        <v>399</v>
      </c>
      <c r="G722" s="93" t="s">
        <v>7183</v>
      </c>
      <c r="H722" s="93" t="s">
        <v>400</v>
      </c>
      <c r="I722" s="93" t="s">
        <v>111</v>
      </c>
      <c r="J722" s="93" t="s">
        <v>7105</v>
      </c>
      <c r="K722" s="93" t="s">
        <v>111</v>
      </c>
      <c r="L722" s="93" t="s">
        <v>111</v>
      </c>
      <c r="M722" s="93" t="s">
        <v>111</v>
      </c>
      <c r="N722" s="93" t="s">
        <v>111</v>
      </c>
      <c r="O722" s="93" t="s">
        <v>111</v>
      </c>
      <c r="P722" s="93" t="s">
        <v>111</v>
      </c>
      <c r="Q722" s="93" t="s">
        <v>228</v>
      </c>
      <c r="R722" s="93" t="s">
        <v>111</v>
      </c>
      <c r="S722" s="93" t="s">
        <v>115</v>
      </c>
      <c r="T722" s="93" t="s">
        <v>116</v>
      </c>
      <c r="U722" s="94">
        <v>44610.081250000003</v>
      </c>
      <c r="V722" s="93" t="s">
        <v>7072</v>
      </c>
      <c r="W722" s="93" t="s">
        <v>24</v>
      </c>
    </row>
    <row r="723" spans="1:23" x14ac:dyDescent="0.15">
      <c r="A723" s="93" t="s">
        <v>6941</v>
      </c>
      <c r="B723" s="93" t="s">
        <v>7538</v>
      </c>
      <c r="C723" s="93">
        <v>69</v>
      </c>
      <c r="D723" s="93" t="s">
        <v>24</v>
      </c>
      <c r="E723" s="93" t="s">
        <v>24</v>
      </c>
      <c r="F723" s="93" t="s">
        <v>399</v>
      </c>
      <c r="G723" s="93" t="s">
        <v>7183</v>
      </c>
      <c r="H723" s="93" t="s">
        <v>400</v>
      </c>
      <c r="I723" s="93" t="s">
        <v>111</v>
      </c>
      <c r="J723" s="93" t="s">
        <v>7105</v>
      </c>
      <c r="K723" s="93" t="s">
        <v>111</v>
      </c>
      <c r="L723" s="93" t="s">
        <v>111</v>
      </c>
      <c r="M723" s="93" t="s">
        <v>111</v>
      </c>
      <c r="N723" s="93" t="s">
        <v>111</v>
      </c>
      <c r="O723" s="93" t="s">
        <v>111</v>
      </c>
      <c r="P723" s="93" t="s">
        <v>111</v>
      </c>
      <c r="Q723" s="93" t="s">
        <v>228</v>
      </c>
      <c r="R723" s="93" t="s">
        <v>111</v>
      </c>
      <c r="S723" s="93" t="s">
        <v>115</v>
      </c>
      <c r="T723" s="93" t="s">
        <v>116</v>
      </c>
      <c r="U723" s="94">
        <v>44610.080555555556</v>
      </c>
      <c r="V723" s="93" t="s">
        <v>7072</v>
      </c>
      <c r="W723" s="93" t="s">
        <v>24</v>
      </c>
    </row>
    <row r="724" spans="1:23" x14ac:dyDescent="0.15">
      <c r="A724" s="93" t="s">
        <v>6943</v>
      </c>
      <c r="B724" s="93" t="s">
        <v>7539</v>
      </c>
      <c r="C724" s="93">
        <v>108</v>
      </c>
      <c r="D724" s="93" t="s">
        <v>24</v>
      </c>
      <c r="E724" s="93" t="s">
        <v>24</v>
      </c>
      <c r="F724" s="93" t="s">
        <v>399</v>
      </c>
      <c r="G724" s="93" t="s">
        <v>7183</v>
      </c>
      <c r="H724" s="93" t="s">
        <v>400</v>
      </c>
      <c r="I724" s="93" t="s">
        <v>111</v>
      </c>
      <c r="J724" s="93" t="s">
        <v>7105</v>
      </c>
      <c r="K724" s="93" t="s">
        <v>111</v>
      </c>
      <c r="L724" s="93" t="s">
        <v>111</v>
      </c>
      <c r="M724" s="93" t="s">
        <v>111</v>
      </c>
      <c r="N724" s="93" t="s">
        <v>111</v>
      </c>
      <c r="O724" s="93" t="s">
        <v>111</v>
      </c>
      <c r="P724" s="93" t="s">
        <v>111</v>
      </c>
      <c r="Q724" s="93" t="s">
        <v>228</v>
      </c>
      <c r="R724" s="93" t="s">
        <v>111</v>
      </c>
      <c r="S724" s="93" t="s">
        <v>115</v>
      </c>
      <c r="T724" s="93" t="s">
        <v>116</v>
      </c>
      <c r="U724" s="94">
        <v>44610.117361111108</v>
      </c>
      <c r="V724" s="93" t="s">
        <v>7072</v>
      </c>
      <c r="W724" s="93" t="s">
        <v>24</v>
      </c>
    </row>
    <row r="725" spans="1:23" x14ac:dyDescent="0.15">
      <c r="A725" s="93" t="s">
        <v>6945</v>
      </c>
      <c r="B725" s="93" t="s">
        <v>7540</v>
      </c>
      <c r="C725" s="93">
        <v>39</v>
      </c>
      <c r="D725" s="93" t="s">
        <v>24</v>
      </c>
      <c r="E725" s="93" t="s">
        <v>24</v>
      </c>
      <c r="F725" s="93" t="s">
        <v>399</v>
      </c>
      <c r="G725" s="93" t="s">
        <v>7183</v>
      </c>
      <c r="H725" s="93" t="s">
        <v>400</v>
      </c>
      <c r="I725" s="93" t="s">
        <v>111</v>
      </c>
      <c r="J725" s="93" t="s">
        <v>7105</v>
      </c>
      <c r="K725" s="93" t="s">
        <v>111</v>
      </c>
      <c r="L725" s="93" t="s">
        <v>111</v>
      </c>
      <c r="M725" s="93" t="s">
        <v>111</v>
      </c>
      <c r="N725" s="93" t="s">
        <v>111</v>
      </c>
      <c r="O725" s="93" t="s">
        <v>111</v>
      </c>
      <c r="P725" s="93" t="s">
        <v>111</v>
      </c>
      <c r="Q725" s="93" t="s">
        <v>228</v>
      </c>
      <c r="R725" s="93" t="s">
        <v>111</v>
      </c>
      <c r="S725" s="93" t="s">
        <v>115</v>
      </c>
      <c r="T725" s="93" t="s">
        <v>116</v>
      </c>
      <c r="U725" s="94">
        <v>44610.118750000001</v>
      </c>
      <c r="V725" s="93" t="s">
        <v>7072</v>
      </c>
      <c r="W725" s="93" t="s">
        <v>24</v>
      </c>
    </row>
    <row r="726" spans="1:23" x14ac:dyDescent="0.15">
      <c r="A726" s="93" t="s">
        <v>6947</v>
      </c>
      <c r="B726" s="93" t="s">
        <v>7541</v>
      </c>
      <c r="C726" s="93">
        <v>100</v>
      </c>
      <c r="D726" s="93" t="s">
        <v>24</v>
      </c>
      <c r="E726" s="93" t="s">
        <v>24</v>
      </c>
      <c r="F726" s="93" t="s">
        <v>399</v>
      </c>
      <c r="G726" s="93" t="s">
        <v>7183</v>
      </c>
      <c r="H726" s="93" t="s">
        <v>400</v>
      </c>
      <c r="I726" s="93" t="s">
        <v>111</v>
      </c>
      <c r="J726" s="93" t="s">
        <v>7105</v>
      </c>
      <c r="K726" s="93" t="s">
        <v>111</v>
      </c>
      <c r="L726" s="93" t="s">
        <v>111</v>
      </c>
      <c r="M726" s="93" t="s">
        <v>111</v>
      </c>
      <c r="N726" s="93" t="s">
        <v>111</v>
      </c>
      <c r="O726" s="93" t="s">
        <v>111</v>
      </c>
      <c r="P726" s="93" t="s">
        <v>111</v>
      </c>
      <c r="Q726" s="93" t="s">
        <v>228</v>
      </c>
      <c r="R726" s="93" t="s">
        <v>111</v>
      </c>
      <c r="S726" s="93" t="s">
        <v>115</v>
      </c>
      <c r="T726" s="93" t="s">
        <v>116</v>
      </c>
      <c r="U726" s="94">
        <v>44610.057638888888</v>
      </c>
      <c r="V726" s="93" t="s">
        <v>7072</v>
      </c>
      <c r="W726" s="93" t="s">
        <v>24</v>
      </c>
    </row>
    <row r="727" spans="1:23" x14ac:dyDescent="0.15">
      <c r="A727" s="93" t="s">
        <v>6949</v>
      </c>
      <c r="B727" s="93" t="s">
        <v>7542</v>
      </c>
      <c r="C727" s="93">
        <v>156</v>
      </c>
      <c r="D727" s="93" t="s">
        <v>24</v>
      </c>
      <c r="E727" s="93" t="s">
        <v>24</v>
      </c>
      <c r="F727" s="93" t="s">
        <v>399</v>
      </c>
      <c r="G727" s="93" t="s">
        <v>7183</v>
      </c>
      <c r="H727" s="93" t="s">
        <v>400</v>
      </c>
      <c r="I727" s="93" t="s">
        <v>111</v>
      </c>
      <c r="J727" s="93" t="s">
        <v>7105</v>
      </c>
      <c r="K727" s="93" t="s">
        <v>111</v>
      </c>
      <c r="L727" s="93" t="s">
        <v>111</v>
      </c>
      <c r="M727" s="93" t="s">
        <v>111</v>
      </c>
      <c r="N727" s="93" t="s">
        <v>111</v>
      </c>
      <c r="O727" s="93" t="s">
        <v>111</v>
      </c>
      <c r="P727" s="93" t="s">
        <v>111</v>
      </c>
      <c r="Q727" s="93" t="s">
        <v>228</v>
      </c>
      <c r="R727" s="93" t="s">
        <v>111</v>
      </c>
      <c r="S727" s="93" t="s">
        <v>115</v>
      </c>
      <c r="T727" s="93" t="s">
        <v>116</v>
      </c>
      <c r="U727" s="94">
        <v>44610.095833333333</v>
      </c>
      <c r="V727" s="93" t="s">
        <v>7072</v>
      </c>
      <c r="W727" s="93" t="s">
        <v>24</v>
      </c>
    </row>
    <row r="728" spans="1:23" x14ac:dyDescent="0.15">
      <c r="A728" s="93" t="s">
        <v>6951</v>
      </c>
      <c r="B728" s="93" t="s">
        <v>7543</v>
      </c>
      <c r="C728" s="93">
        <v>39</v>
      </c>
      <c r="D728" s="93" t="s">
        <v>24</v>
      </c>
      <c r="E728" s="93" t="s">
        <v>24</v>
      </c>
      <c r="F728" s="93" t="s">
        <v>399</v>
      </c>
      <c r="G728" s="93" t="s">
        <v>7183</v>
      </c>
      <c r="H728" s="93" t="s">
        <v>400</v>
      </c>
      <c r="I728" s="93" t="s">
        <v>111</v>
      </c>
      <c r="J728" s="93" t="s">
        <v>7105</v>
      </c>
      <c r="K728" s="93" t="s">
        <v>111</v>
      </c>
      <c r="L728" s="93" t="s">
        <v>111</v>
      </c>
      <c r="M728" s="93" t="s">
        <v>111</v>
      </c>
      <c r="N728" s="93" t="s">
        <v>111</v>
      </c>
      <c r="O728" s="93" t="s">
        <v>111</v>
      </c>
      <c r="P728" s="93" t="s">
        <v>111</v>
      </c>
      <c r="Q728" s="93" t="s">
        <v>228</v>
      </c>
      <c r="R728" s="93" t="s">
        <v>111</v>
      </c>
      <c r="S728" s="93" t="s">
        <v>115</v>
      </c>
      <c r="T728" s="93" t="s">
        <v>116</v>
      </c>
      <c r="U728" s="94">
        <v>44610.117361111108</v>
      </c>
      <c r="V728" s="93" t="s">
        <v>7072</v>
      </c>
      <c r="W728" s="93" t="s">
        <v>24</v>
      </c>
    </row>
    <row r="729" spans="1:23" x14ac:dyDescent="0.15">
      <c r="A729" s="93" t="s">
        <v>6953</v>
      </c>
      <c r="B729" s="93" t="s">
        <v>7544</v>
      </c>
      <c r="C729" s="93">
        <v>100</v>
      </c>
      <c r="D729" s="93" t="s">
        <v>24</v>
      </c>
      <c r="E729" s="93" t="s">
        <v>24</v>
      </c>
      <c r="F729" s="93" t="s">
        <v>399</v>
      </c>
      <c r="G729" s="93" t="s">
        <v>7183</v>
      </c>
      <c r="H729" s="93" t="s">
        <v>400</v>
      </c>
      <c r="I729" s="93" t="s">
        <v>111</v>
      </c>
      <c r="J729" s="93" t="s">
        <v>7105</v>
      </c>
      <c r="K729" s="93" t="s">
        <v>111</v>
      </c>
      <c r="L729" s="93" t="s">
        <v>111</v>
      </c>
      <c r="M729" s="93" t="s">
        <v>111</v>
      </c>
      <c r="N729" s="93" t="s">
        <v>111</v>
      </c>
      <c r="O729" s="93" t="s">
        <v>111</v>
      </c>
      <c r="P729" s="93" t="s">
        <v>111</v>
      </c>
      <c r="Q729" s="93" t="s">
        <v>228</v>
      </c>
      <c r="R729" s="93" t="s">
        <v>111</v>
      </c>
      <c r="S729" s="93" t="s">
        <v>115</v>
      </c>
      <c r="T729" s="93" t="s">
        <v>116</v>
      </c>
      <c r="U729" s="94">
        <v>44610.118750000001</v>
      </c>
      <c r="V729" s="93" t="s">
        <v>7072</v>
      </c>
      <c r="W729" s="93" t="s">
        <v>24</v>
      </c>
    </row>
    <row r="730" spans="1:23" x14ac:dyDescent="0.15">
      <c r="A730" s="93" t="s">
        <v>6955</v>
      </c>
      <c r="B730" s="93" t="s">
        <v>7545</v>
      </c>
      <c r="C730" s="93">
        <v>156</v>
      </c>
      <c r="D730" s="93" t="s">
        <v>24</v>
      </c>
      <c r="E730" s="93" t="s">
        <v>24</v>
      </c>
      <c r="F730" s="93" t="s">
        <v>399</v>
      </c>
      <c r="G730" s="93" t="s">
        <v>7183</v>
      </c>
      <c r="H730" s="93" t="s">
        <v>400</v>
      </c>
      <c r="I730" s="93" t="s">
        <v>111</v>
      </c>
      <c r="J730" s="93" t="s">
        <v>7105</v>
      </c>
      <c r="K730" s="93" t="s">
        <v>111</v>
      </c>
      <c r="L730" s="93" t="s">
        <v>111</v>
      </c>
      <c r="M730" s="93" t="s">
        <v>111</v>
      </c>
      <c r="N730" s="93" t="s">
        <v>111</v>
      </c>
      <c r="O730" s="93" t="s">
        <v>111</v>
      </c>
      <c r="P730" s="93" t="s">
        <v>111</v>
      </c>
      <c r="Q730" s="93" t="s">
        <v>228</v>
      </c>
      <c r="R730" s="93" t="s">
        <v>111</v>
      </c>
      <c r="S730" s="93" t="s">
        <v>115</v>
      </c>
      <c r="T730" s="93" t="s">
        <v>116</v>
      </c>
      <c r="U730" s="94">
        <v>44610.061805555553</v>
      </c>
      <c r="V730" s="93" t="s">
        <v>7072</v>
      </c>
      <c r="W730" s="93" t="s">
        <v>24</v>
      </c>
    </row>
    <row r="731" spans="1:23" x14ac:dyDescent="0.15">
      <c r="A731" s="93" t="s">
        <v>6957</v>
      </c>
      <c r="B731" s="93" t="s">
        <v>7546</v>
      </c>
      <c r="C731" s="93">
        <v>54</v>
      </c>
      <c r="D731" s="93" t="s">
        <v>24</v>
      </c>
      <c r="E731" s="93" t="s">
        <v>24</v>
      </c>
      <c r="F731" s="93" t="s">
        <v>399</v>
      </c>
      <c r="G731" s="93" t="s">
        <v>7183</v>
      </c>
      <c r="H731" s="93" t="s">
        <v>400</v>
      </c>
      <c r="I731" s="93" t="s">
        <v>111</v>
      </c>
      <c r="J731" s="93" t="s">
        <v>7105</v>
      </c>
      <c r="K731" s="93" t="s">
        <v>111</v>
      </c>
      <c r="L731" s="93" t="s">
        <v>111</v>
      </c>
      <c r="M731" s="93" t="s">
        <v>111</v>
      </c>
      <c r="N731" s="93" t="s">
        <v>111</v>
      </c>
      <c r="O731" s="93" t="s">
        <v>111</v>
      </c>
      <c r="P731" s="93" t="s">
        <v>111</v>
      </c>
      <c r="Q731" s="93" t="s">
        <v>228</v>
      </c>
      <c r="R731" s="93" t="s">
        <v>111</v>
      </c>
      <c r="S731" s="93" t="s">
        <v>115</v>
      </c>
      <c r="T731" s="93" t="s">
        <v>116</v>
      </c>
      <c r="U731" s="94">
        <v>44610.072222222225</v>
      </c>
      <c r="V731" s="93" t="s">
        <v>7072</v>
      </c>
      <c r="W731" s="93" t="s">
        <v>24</v>
      </c>
    </row>
    <row r="732" spans="1:23" x14ac:dyDescent="0.15">
      <c r="A732" s="93" t="s">
        <v>6959</v>
      </c>
      <c r="B732" s="93" t="s">
        <v>7547</v>
      </c>
      <c r="C732" s="93">
        <v>138</v>
      </c>
      <c r="D732" s="93" t="s">
        <v>24</v>
      </c>
      <c r="E732" s="93" t="s">
        <v>24</v>
      </c>
      <c r="F732" s="93" t="s">
        <v>399</v>
      </c>
      <c r="G732" s="93" t="s">
        <v>7183</v>
      </c>
      <c r="H732" s="93" t="s">
        <v>400</v>
      </c>
      <c r="I732" s="93" t="s">
        <v>111</v>
      </c>
      <c r="J732" s="93" t="s">
        <v>7105</v>
      </c>
      <c r="K732" s="93" t="s">
        <v>111</v>
      </c>
      <c r="L732" s="93" t="s">
        <v>111</v>
      </c>
      <c r="M732" s="93" t="s">
        <v>111</v>
      </c>
      <c r="N732" s="93" t="s">
        <v>111</v>
      </c>
      <c r="O732" s="93" t="s">
        <v>111</v>
      </c>
      <c r="P732" s="93" t="s">
        <v>111</v>
      </c>
      <c r="Q732" s="93" t="s">
        <v>228</v>
      </c>
      <c r="R732" s="93" t="s">
        <v>111</v>
      </c>
      <c r="S732" s="93" t="s">
        <v>115</v>
      </c>
      <c r="T732" s="93" t="s">
        <v>116</v>
      </c>
      <c r="U732" s="94">
        <v>44610.072222222225</v>
      </c>
      <c r="V732" s="93" t="s">
        <v>7072</v>
      </c>
      <c r="W732" s="93" t="s">
        <v>24</v>
      </c>
    </row>
    <row r="733" spans="1:23" x14ac:dyDescent="0.15">
      <c r="A733" s="93" t="s">
        <v>6961</v>
      </c>
      <c r="B733" s="93" t="s">
        <v>7548</v>
      </c>
      <c r="C733" s="93">
        <v>216</v>
      </c>
      <c r="D733" s="93" t="s">
        <v>24</v>
      </c>
      <c r="E733" s="93" t="s">
        <v>24</v>
      </c>
      <c r="F733" s="93" t="s">
        <v>399</v>
      </c>
      <c r="G733" s="93" t="s">
        <v>7183</v>
      </c>
      <c r="H733" s="93" t="s">
        <v>400</v>
      </c>
      <c r="I733" s="93" t="s">
        <v>111</v>
      </c>
      <c r="J733" s="93" t="s">
        <v>7105</v>
      </c>
      <c r="K733" s="93" t="s">
        <v>111</v>
      </c>
      <c r="L733" s="93" t="s">
        <v>111</v>
      </c>
      <c r="M733" s="93" t="s">
        <v>111</v>
      </c>
      <c r="N733" s="93" t="s">
        <v>111</v>
      </c>
      <c r="O733" s="93" t="s">
        <v>111</v>
      </c>
      <c r="P733" s="93" t="s">
        <v>111</v>
      </c>
      <c r="Q733" s="93" t="s">
        <v>228</v>
      </c>
      <c r="R733" s="93" t="s">
        <v>111</v>
      </c>
      <c r="S733" s="93" t="s">
        <v>115</v>
      </c>
      <c r="T733" s="93" t="s">
        <v>116</v>
      </c>
      <c r="U733" s="94">
        <v>44610.118750000001</v>
      </c>
      <c r="V733" s="93" t="s">
        <v>7072</v>
      </c>
      <c r="W733" s="93" t="s">
        <v>24</v>
      </c>
    </row>
    <row r="734" spans="1:23" x14ac:dyDescent="0.15">
      <c r="A734" s="93" t="s">
        <v>6963</v>
      </c>
      <c r="B734" s="93" t="s">
        <v>7549</v>
      </c>
      <c r="C734" s="93">
        <v>48</v>
      </c>
      <c r="D734" s="93" t="s">
        <v>24</v>
      </c>
      <c r="E734" s="93" t="s">
        <v>24</v>
      </c>
      <c r="F734" s="93" t="s">
        <v>399</v>
      </c>
      <c r="G734" s="93" t="s">
        <v>7183</v>
      </c>
      <c r="H734" s="93" t="s">
        <v>400</v>
      </c>
      <c r="I734" s="93" t="s">
        <v>111</v>
      </c>
      <c r="J734" s="93" t="s">
        <v>7105</v>
      </c>
      <c r="K734" s="93" t="s">
        <v>111</v>
      </c>
      <c r="L734" s="93" t="s">
        <v>111</v>
      </c>
      <c r="M734" s="93" t="s">
        <v>111</v>
      </c>
      <c r="N734" s="93" t="s">
        <v>111</v>
      </c>
      <c r="O734" s="93" t="s">
        <v>111</v>
      </c>
      <c r="P734" s="93" t="s">
        <v>111</v>
      </c>
      <c r="Q734" s="93" t="s">
        <v>228</v>
      </c>
      <c r="R734" s="93" t="s">
        <v>111</v>
      </c>
      <c r="S734" s="93" t="s">
        <v>115</v>
      </c>
      <c r="T734" s="93" t="s">
        <v>116</v>
      </c>
      <c r="U734" s="94">
        <v>44610.095833333333</v>
      </c>
      <c r="V734" s="93" t="s">
        <v>7072</v>
      </c>
      <c r="W734" s="93" t="s">
        <v>24</v>
      </c>
    </row>
    <row r="735" spans="1:23" x14ac:dyDescent="0.15">
      <c r="A735" s="93" t="s">
        <v>6965</v>
      </c>
      <c r="B735" s="93" t="s">
        <v>7550</v>
      </c>
      <c r="C735" s="93">
        <v>123</v>
      </c>
      <c r="D735" s="93" t="s">
        <v>24</v>
      </c>
      <c r="E735" s="93" t="s">
        <v>24</v>
      </c>
      <c r="F735" s="93" t="s">
        <v>399</v>
      </c>
      <c r="G735" s="93" t="s">
        <v>7183</v>
      </c>
      <c r="H735" s="93" t="s">
        <v>400</v>
      </c>
      <c r="I735" s="93" t="s">
        <v>111</v>
      </c>
      <c r="J735" s="93" t="s">
        <v>7105</v>
      </c>
      <c r="K735" s="93" t="s">
        <v>111</v>
      </c>
      <c r="L735" s="93" t="s">
        <v>111</v>
      </c>
      <c r="M735" s="93" t="s">
        <v>111</v>
      </c>
      <c r="N735" s="93" t="s">
        <v>111</v>
      </c>
      <c r="O735" s="93" t="s">
        <v>111</v>
      </c>
      <c r="P735" s="93" t="s">
        <v>111</v>
      </c>
      <c r="Q735" s="93" t="s">
        <v>228</v>
      </c>
      <c r="R735" s="93" t="s">
        <v>111</v>
      </c>
      <c r="S735" s="93" t="s">
        <v>115</v>
      </c>
      <c r="T735" s="93" t="s">
        <v>116</v>
      </c>
      <c r="U735" s="94">
        <v>44610.112500000003</v>
      </c>
      <c r="V735" s="93" t="s">
        <v>7072</v>
      </c>
      <c r="W735" s="93" t="s">
        <v>24</v>
      </c>
    </row>
    <row r="736" spans="1:23" x14ac:dyDescent="0.15">
      <c r="A736" s="93" t="s">
        <v>6967</v>
      </c>
      <c r="B736" s="93" t="s">
        <v>7551</v>
      </c>
      <c r="C736" s="93">
        <v>192</v>
      </c>
      <c r="D736" s="93" t="s">
        <v>24</v>
      </c>
      <c r="E736" s="93" t="s">
        <v>24</v>
      </c>
      <c r="F736" s="93" t="s">
        <v>399</v>
      </c>
      <c r="G736" s="93" t="s">
        <v>7183</v>
      </c>
      <c r="H736" s="93" t="s">
        <v>400</v>
      </c>
      <c r="I736" s="93" t="s">
        <v>111</v>
      </c>
      <c r="J736" s="93" t="s">
        <v>7105</v>
      </c>
      <c r="K736" s="93" t="s">
        <v>111</v>
      </c>
      <c r="L736" s="93" t="s">
        <v>111</v>
      </c>
      <c r="M736" s="93" t="s">
        <v>111</v>
      </c>
      <c r="N736" s="93" t="s">
        <v>111</v>
      </c>
      <c r="O736" s="93" t="s">
        <v>111</v>
      </c>
      <c r="P736" s="93" t="s">
        <v>111</v>
      </c>
      <c r="Q736" s="93" t="s">
        <v>228</v>
      </c>
      <c r="R736" s="93" t="s">
        <v>111</v>
      </c>
      <c r="S736" s="93" t="s">
        <v>115</v>
      </c>
      <c r="T736" s="93" t="s">
        <v>116</v>
      </c>
      <c r="U736" s="94">
        <v>44610.117361111108</v>
      </c>
      <c r="V736" s="93" t="s">
        <v>7072</v>
      </c>
      <c r="W736" s="93" t="s">
        <v>24</v>
      </c>
    </row>
    <row r="737" spans="1:23" x14ac:dyDescent="0.15">
      <c r="A737" s="93" t="s">
        <v>6969</v>
      </c>
      <c r="B737" s="93" t="s">
        <v>7552</v>
      </c>
      <c r="C737" s="93">
        <v>45</v>
      </c>
      <c r="D737" s="93" t="s">
        <v>24</v>
      </c>
      <c r="E737" s="93" t="s">
        <v>24</v>
      </c>
      <c r="F737" s="93" t="s">
        <v>399</v>
      </c>
      <c r="G737" s="93" t="s">
        <v>7183</v>
      </c>
      <c r="H737" s="93" t="s">
        <v>400</v>
      </c>
      <c r="I737" s="93" t="s">
        <v>111</v>
      </c>
      <c r="J737" s="93" t="s">
        <v>7105</v>
      </c>
      <c r="K737" s="93" t="s">
        <v>111</v>
      </c>
      <c r="L737" s="93" t="s">
        <v>111</v>
      </c>
      <c r="M737" s="93" t="s">
        <v>111</v>
      </c>
      <c r="N737" s="93" t="s">
        <v>111</v>
      </c>
      <c r="O737" s="93" t="s">
        <v>111</v>
      </c>
      <c r="P737" s="93" t="s">
        <v>111</v>
      </c>
      <c r="Q737" s="93" t="s">
        <v>228</v>
      </c>
      <c r="R737" s="93" t="s">
        <v>111</v>
      </c>
      <c r="S737" s="93" t="s">
        <v>115</v>
      </c>
      <c r="T737" s="93" t="s">
        <v>116</v>
      </c>
      <c r="U737" s="94">
        <v>44610.090277777781</v>
      </c>
      <c r="V737" s="93" t="s">
        <v>7072</v>
      </c>
      <c r="W737" s="93" t="s">
        <v>24</v>
      </c>
    </row>
    <row r="738" spans="1:23" x14ac:dyDescent="0.15">
      <c r="A738" s="93" t="s">
        <v>6971</v>
      </c>
      <c r="B738" s="93" t="s">
        <v>7553</v>
      </c>
      <c r="C738" s="93">
        <v>115</v>
      </c>
      <c r="D738" s="93" t="s">
        <v>24</v>
      </c>
      <c r="E738" s="93" t="s">
        <v>24</v>
      </c>
      <c r="F738" s="93" t="s">
        <v>399</v>
      </c>
      <c r="G738" s="93" t="s">
        <v>7183</v>
      </c>
      <c r="H738" s="93" t="s">
        <v>400</v>
      </c>
      <c r="I738" s="93" t="s">
        <v>111</v>
      </c>
      <c r="J738" s="93" t="s">
        <v>7105</v>
      </c>
      <c r="K738" s="93" t="s">
        <v>111</v>
      </c>
      <c r="L738" s="93" t="s">
        <v>111</v>
      </c>
      <c r="M738" s="93" t="s">
        <v>111</v>
      </c>
      <c r="N738" s="93" t="s">
        <v>111</v>
      </c>
      <c r="O738" s="93" t="s">
        <v>111</v>
      </c>
      <c r="P738" s="93" t="s">
        <v>111</v>
      </c>
      <c r="Q738" s="93" t="s">
        <v>228</v>
      </c>
      <c r="R738" s="93" t="s">
        <v>111</v>
      </c>
      <c r="S738" s="93" t="s">
        <v>115</v>
      </c>
      <c r="T738" s="93" t="s">
        <v>116</v>
      </c>
      <c r="U738" s="94">
        <v>44610.119444444441</v>
      </c>
      <c r="V738" s="93" t="s">
        <v>7072</v>
      </c>
      <c r="W738" s="93" t="s">
        <v>24</v>
      </c>
    </row>
    <row r="739" spans="1:23" x14ac:dyDescent="0.15">
      <c r="A739" s="93" t="s">
        <v>6973</v>
      </c>
      <c r="B739" s="93" t="s">
        <v>7554</v>
      </c>
      <c r="C739" s="93">
        <v>180</v>
      </c>
      <c r="D739" s="93" t="s">
        <v>24</v>
      </c>
      <c r="E739" s="93" t="s">
        <v>24</v>
      </c>
      <c r="F739" s="93" t="s">
        <v>399</v>
      </c>
      <c r="G739" s="93" t="s">
        <v>7183</v>
      </c>
      <c r="H739" s="93" t="s">
        <v>400</v>
      </c>
      <c r="I739" s="93" t="s">
        <v>111</v>
      </c>
      <c r="J739" s="93" t="s">
        <v>7105</v>
      </c>
      <c r="K739" s="93" t="s">
        <v>111</v>
      </c>
      <c r="L739" s="93" t="s">
        <v>111</v>
      </c>
      <c r="M739" s="93" t="s">
        <v>111</v>
      </c>
      <c r="N739" s="93" t="s">
        <v>111</v>
      </c>
      <c r="O739" s="93" t="s">
        <v>111</v>
      </c>
      <c r="P739" s="93" t="s">
        <v>111</v>
      </c>
      <c r="Q739" s="93" t="s">
        <v>228</v>
      </c>
      <c r="R739" s="93" t="s">
        <v>111</v>
      </c>
      <c r="S739" s="93" t="s">
        <v>115</v>
      </c>
      <c r="T739" s="93" t="s">
        <v>116</v>
      </c>
      <c r="U739" s="94">
        <v>44610.081250000003</v>
      </c>
      <c r="V739" s="93" t="s">
        <v>7072</v>
      </c>
      <c r="W739" s="93" t="s">
        <v>24</v>
      </c>
    </row>
    <row r="740" spans="1:23" x14ac:dyDescent="0.15">
      <c r="A740" s="93" t="s">
        <v>6975</v>
      </c>
      <c r="B740" s="93" t="s">
        <v>7555</v>
      </c>
      <c r="C740" s="93">
        <v>66</v>
      </c>
      <c r="D740" s="93" t="s">
        <v>24</v>
      </c>
      <c r="E740" s="93" t="s">
        <v>24</v>
      </c>
      <c r="F740" s="93" t="s">
        <v>399</v>
      </c>
      <c r="G740" s="93" t="s">
        <v>7183</v>
      </c>
      <c r="H740" s="93" t="s">
        <v>400</v>
      </c>
      <c r="I740" s="93" t="s">
        <v>111</v>
      </c>
      <c r="J740" s="93" t="s">
        <v>7105</v>
      </c>
      <c r="K740" s="93" t="s">
        <v>111</v>
      </c>
      <c r="L740" s="93" t="s">
        <v>111</v>
      </c>
      <c r="M740" s="93" t="s">
        <v>111</v>
      </c>
      <c r="N740" s="93" t="s">
        <v>111</v>
      </c>
      <c r="O740" s="93" t="s">
        <v>111</v>
      </c>
      <c r="P740" s="93" t="s">
        <v>111</v>
      </c>
      <c r="Q740" s="93" t="s">
        <v>228</v>
      </c>
      <c r="R740" s="93" t="s">
        <v>111</v>
      </c>
      <c r="S740" s="93" t="s">
        <v>115</v>
      </c>
      <c r="T740" s="93" t="s">
        <v>116</v>
      </c>
      <c r="U740" s="94">
        <v>44610.095833333333</v>
      </c>
      <c r="V740" s="93" t="s">
        <v>7072</v>
      </c>
      <c r="W740" s="93" t="s">
        <v>24</v>
      </c>
    </row>
    <row r="741" spans="1:23" x14ac:dyDescent="0.15">
      <c r="A741" s="93" t="s">
        <v>6977</v>
      </c>
      <c r="B741" s="93" t="s">
        <v>7556</v>
      </c>
      <c r="C741" s="93">
        <v>169</v>
      </c>
      <c r="D741" s="93" t="s">
        <v>24</v>
      </c>
      <c r="E741" s="93" t="s">
        <v>24</v>
      </c>
      <c r="F741" s="93" t="s">
        <v>399</v>
      </c>
      <c r="G741" s="93" t="s">
        <v>7183</v>
      </c>
      <c r="H741" s="93" t="s">
        <v>400</v>
      </c>
      <c r="I741" s="93" t="s">
        <v>111</v>
      </c>
      <c r="J741" s="93" t="s">
        <v>7105</v>
      </c>
      <c r="K741" s="93" t="s">
        <v>111</v>
      </c>
      <c r="L741" s="93" t="s">
        <v>111</v>
      </c>
      <c r="M741" s="93" t="s">
        <v>111</v>
      </c>
      <c r="N741" s="93" t="s">
        <v>111</v>
      </c>
      <c r="O741" s="93" t="s">
        <v>111</v>
      </c>
      <c r="P741" s="93" t="s">
        <v>111</v>
      </c>
      <c r="Q741" s="93" t="s">
        <v>228</v>
      </c>
      <c r="R741" s="93" t="s">
        <v>111</v>
      </c>
      <c r="S741" s="93" t="s">
        <v>115</v>
      </c>
      <c r="T741" s="93" t="s">
        <v>116</v>
      </c>
      <c r="U741" s="94">
        <v>44610.063194444447</v>
      </c>
      <c r="V741" s="93" t="s">
        <v>7072</v>
      </c>
      <c r="W741" s="93" t="s">
        <v>24</v>
      </c>
    </row>
    <row r="742" spans="1:23" x14ac:dyDescent="0.15">
      <c r="A742" s="93" t="s">
        <v>6979</v>
      </c>
      <c r="B742" s="93" t="s">
        <v>7557</v>
      </c>
      <c r="C742" s="93">
        <v>264</v>
      </c>
      <c r="D742" s="93" t="s">
        <v>24</v>
      </c>
      <c r="E742" s="93" t="s">
        <v>24</v>
      </c>
      <c r="F742" s="93" t="s">
        <v>399</v>
      </c>
      <c r="G742" s="93" t="s">
        <v>7183</v>
      </c>
      <c r="H742" s="93" t="s">
        <v>400</v>
      </c>
      <c r="I742" s="93" t="s">
        <v>111</v>
      </c>
      <c r="J742" s="93" t="s">
        <v>7105</v>
      </c>
      <c r="K742" s="93" t="s">
        <v>111</v>
      </c>
      <c r="L742" s="93" t="s">
        <v>111</v>
      </c>
      <c r="M742" s="93" t="s">
        <v>111</v>
      </c>
      <c r="N742" s="93" t="s">
        <v>111</v>
      </c>
      <c r="O742" s="93" t="s">
        <v>111</v>
      </c>
      <c r="P742" s="93" t="s">
        <v>111</v>
      </c>
      <c r="Q742" s="93" t="s">
        <v>228</v>
      </c>
      <c r="R742" s="93" t="s">
        <v>111</v>
      </c>
      <c r="S742" s="93" t="s">
        <v>115</v>
      </c>
      <c r="T742" s="93" t="s">
        <v>116</v>
      </c>
      <c r="U742" s="94">
        <v>44610.063888888886</v>
      </c>
      <c r="V742" s="93" t="s">
        <v>7072</v>
      </c>
      <c r="W742" s="93" t="s">
        <v>24</v>
      </c>
    </row>
    <row r="743" spans="1:23" x14ac:dyDescent="0.15">
      <c r="A743" s="93" t="s">
        <v>6981</v>
      </c>
      <c r="B743" s="93" t="s">
        <v>7558</v>
      </c>
      <c r="C743" s="93">
        <v>69</v>
      </c>
      <c r="D743" s="93" t="s">
        <v>24</v>
      </c>
      <c r="E743" s="93" t="s">
        <v>24</v>
      </c>
      <c r="F743" s="93" t="s">
        <v>399</v>
      </c>
      <c r="G743" s="93" t="s">
        <v>7183</v>
      </c>
      <c r="H743" s="93" t="s">
        <v>400</v>
      </c>
      <c r="I743" s="93" t="s">
        <v>111</v>
      </c>
      <c r="J743" s="93" t="s">
        <v>7105</v>
      </c>
      <c r="K743" s="93" t="s">
        <v>111</v>
      </c>
      <c r="L743" s="93" t="s">
        <v>111</v>
      </c>
      <c r="M743" s="93" t="s">
        <v>111</v>
      </c>
      <c r="N743" s="93" t="s">
        <v>111</v>
      </c>
      <c r="O743" s="93" t="s">
        <v>111</v>
      </c>
      <c r="P743" s="93" t="s">
        <v>111</v>
      </c>
      <c r="Q743" s="93" t="s">
        <v>228</v>
      </c>
      <c r="R743" s="93" t="s">
        <v>111</v>
      </c>
      <c r="S743" s="93" t="s">
        <v>115</v>
      </c>
      <c r="T743" s="93" t="s">
        <v>116</v>
      </c>
      <c r="U743" s="94">
        <v>44610.111111111109</v>
      </c>
      <c r="V743" s="93" t="s">
        <v>7072</v>
      </c>
      <c r="W743" s="93" t="s">
        <v>24</v>
      </c>
    </row>
    <row r="744" spans="1:23" x14ac:dyDescent="0.15">
      <c r="A744" s="93" t="s">
        <v>6983</v>
      </c>
      <c r="B744" s="93" t="s">
        <v>7559</v>
      </c>
      <c r="C744" s="93">
        <v>176</v>
      </c>
      <c r="D744" s="93" t="s">
        <v>24</v>
      </c>
      <c r="E744" s="93" t="s">
        <v>24</v>
      </c>
      <c r="F744" s="93" t="s">
        <v>399</v>
      </c>
      <c r="G744" s="93" t="s">
        <v>7183</v>
      </c>
      <c r="H744" s="93" t="s">
        <v>400</v>
      </c>
      <c r="I744" s="93" t="s">
        <v>111</v>
      </c>
      <c r="J744" s="93" t="s">
        <v>7105</v>
      </c>
      <c r="K744" s="93" t="s">
        <v>111</v>
      </c>
      <c r="L744" s="93" t="s">
        <v>111</v>
      </c>
      <c r="M744" s="93" t="s">
        <v>111</v>
      </c>
      <c r="N744" s="93" t="s">
        <v>111</v>
      </c>
      <c r="O744" s="93" t="s">
        <v>111</v>
      </c>
      <c r="P744" s="93" t="s">
        <v>111</v>
      </c>
      <c r="Q744" s="93" t="s">
        <v>228</v>
      </c>
      <c r="R744" s="93" t="s">
        <v>111</v>
      </c>
      <c r="S744" s="93" t="s">
        <v>115</v>
      </c>
      <c r="T744" s="93" t="s">
        <v>116</v>
      </c>
      <c r="U744" s="94">
        <v>44610.112500000003</v>
      </c>
      <c r="V744" s="93" t="s">
        <v>7072</v>
      </c>
      <c r="W744" s="93" t="s">
        <v>24</v>
      </c>
    </row>
    <row r="745" spans="1:23" x14ac:dyDescent="0.15">
      <c r="A745" s="93" t="s">
        <v>6985</v>
      </c>
      <c r="B745" s="93" t="s">
        <v>7560</v>
      </c>
      <c r="C745" s="93">
        <v>276</v>
      </c>
      <c r="D745" s="93" t="s">
        <v>24</v>
      </c>
      <c r="E745" s="93" t="s">
        <v>24</v>
      </c>
      <c r="F745" s="93" t="s">
        <v>399</v>
      </c>
      <c r="G745" s="93" t="s">
        <v>7183</v>
      </c>
      <c r="H745" s="93" t="s">
        <v>400</v>
      </c>
      <c r="I745" s="93" t="s">
        <v>111</v>
      </c>
      <c r="J745" s="93" t="s">
        <v>7105</v>
      </c>
      <c r="K745" s="93" t="s">
        <v>111</v>
      </c>
      <c r="L745" s="93" t="s">
        <v>111</v>
      </c>
      <c r="M745" s="93" t="s">
        <v>111</v>
      </c>
      <c r="N745" s="93" t="s">
        <v>111</v>
      </c>
      <c r="O745" s="93" t="s">
        <v>111</v>
      </c>
      <c r="P745" s="93" t="s">
        <v>111</v>
      </c>
      <c r="Q745" s="93" t="s">
        <v>228</v>
      </c>
      <c r="R745" s="93" t="s">
        <v>111</v>
      </c>
      <c r="S745" s="93" t="s">
        <v>115</v>
      </c>
      <c r="T745" s="93" t="s">
        <v>116</v>
      </c>
      <c r="U745" s="94">
        <v>44610.056944444441</v>
      </c>
      <c r="V745" s="93" t="s">
        <v>7072</v>
      </c>
      <c r="W745" s="93" t="s">
        <v>24</v>
      </c>
    </row>
    <row r="746" spans="1:23" x14ac:dyDescent="0.15">
      <c r="A746" s="93" t="s">
        <v>7017</v>
      </c>
      <c r="B746" s="93" t="s">
        <v>7561</v>
      </c>
      <c r="C746" s="93">
        <v>8</v>
      </c>
      <c r="D746" s="93" t="s">
        <v>24</v>
      </c>
      <c r="E746" s="93" t="s">
        <v>24</v>
      </c>
      <c r="F746" s="93" t="s">
        <v>7</v>
      </c>
      <c r="G746" s="93" t="s">
        <v>7183</v>
      </c>
      <c r="H746" s="93" t="s">
        <v>400</v>
      </c>
      <c r="I746" s="93" t="s">
        <v>111</v>
      </c>
      <c r="J746" s="93" t="s">
        <v>7105</v>
      </c>
      <c r="K746" s="93" t="s">
        <v>111</v>
      </c>
      <c r="L746" s="93" t="s">
        <v>111</v>
      </c>
      <c r="M746" s="93" t="s">
        <v>111</v>
      </c>
      <c r="N746" s="93" t="s">
        <v>111</v>
      </c>
      <c r="O746" s="93" t="s">
        <v>111</v>
      </c>
      <c r="P746" s="93" t="s">
        <v>111</v>
      </c>
      <c r="Q746" s="93" t="s">
        <v>228</v>
      </c>
      <c r="R746" s="93" t="s">
        <v>111</v>
      </c>
      <c r="S746" s="93" t="s">
        <v>115</v>
      </c>
      <c r="T746" s="93" t="s">
        <v>116</v>
      </c>
      <c r="U746" s="94">
        <v>44610.120833333334</v>
      </c>
      <c r="V746" s="93" t="s">
        <v>7072</v>
      </c>
      <c r="W746" s="93" t="s">
        <v>24</v>
      </c>
    </row>
    <row r="747" spans="1:23" x14ac:dyDescent="0.15">
      <c r="A747" s="93" t="s">
        <v>7019</v>
      </c>
      <c r="B747" s="93" t="s">
        <v>7562</v>
      </c>
      <c r="C747" s="93">
        <v>21</v>
      </c>
      <c r="D747" s="93" t="s">
        <v>24</v>
      </c>
      <c r="E747" s="93" t="s">
        <v>24</v>
      </c>
      <c r="F747" s="93" t="s">
        <v>7</v>
      </c>
      <c r="G747" s="93" t="s">
        <v>7183</v>
      </c>
      <c r="H747" s="93" t="s">
        <v>400</v>
      </c>
      <c r="I747" s="93" t="s">
        <v>111</v>
      </c>
      <c r="J747" s="93" t="s">
        <v>7105</v>
      </c>
      <c r="K747" s="93" t="s">
        <v>111</v>
      </c>
      <c r="L747" s="93" t="s">
        <v>111</v>
      </c>
      <c r="M747" s="93" t="s">
        <v>111</v>
      </c>
      <c r="N747" s="93" t="s">
        <v>111</v>
      </c>
      <c r="O747" s="93" t="s">
        <v>111</v>
      </c>
      <c r="P747" s="93" t="s">
        <v>111</v>
      </c>
      <c r="Q747" s="93" t="s">
        <v>228</v>
      </c>
      <c r="R747" s="93" t="s">
        <v>111</v>
      </c>
      <c r="S747" s="93" t="s">
        <v>115</v>
      </c>
      <c r="T747" s="93" t="s">
        <v>116</v>
      </c>
      <c r="U747" s="94">
        <v>44610.081944444442</v>
      </c>
      <c r="V747" s="93" t="s">
        <v>7072</v>
      </c>
      <c r="W747" s="93" t="s">
        <v>24</v>
      </c>
    </row>
    <row r="748" spans="1:23" x14ac:dyDescent="0.15">
      <c r="A748" s="93" t="s">
        <v>7021</v>
      </c>
      <c r="B748" s="93" t="s">
        <v>7563</v>
      </c>
      <c r="C748" s="93">
        <v>32</v>
      </c>
      <c r="D748" s="93" t="s">
        <v>24</v>
      </c>
      <c r="E748" s="93" t="s">
        <v>24</v>
      </c>
      <c r="F748" s="93" t="s">
        <v>7</v>
      </c>
      <c r="G748" s="93" t="s">
        <v>7183</v>
      </c>
      <c r="H748" s="93" t="s">
        <v>400</v>
      </c>
      <c r="I748" s="93" t="s">
        <v>111</v>
      </c>
      <c r="J748" s="93" t="s">
        <v>7105</v>
      </c>
      <c r="K748" s="93" t="s">
        <v>111</v>
      </c>
      <c r="L748" s="93" t="s">
        <v>111</v>
      </c>
      <c r="M748" s="93" t="s">
        <v>111</v>
      </c>
      <c r="N748" s="93" t="s">
        <v>111</v>
      </c>
      <c r="O748" s="93" t="s">
        <v>111</v>
      </c>
      <c r="P748" s="93" t="s">
        <v>111</v>
      </c>
      <c r="Q748" s="93" t="s">
        <v>228</v>
      </c>
      <c r="R748" s="93" t="s">
        <v>111</v>
      </c>
      <c r="S748" s="93" t="s">
        <v>115</v>
      </c>
      <c r="T748" s="93" t="s">
        <v>116</v>
      </c>
      <c r="U748" s="94">
        <v>44610.113888888889</v>
      </c>
      <c r="V748" s="93" t="s">
        <v>7072</v>
      </c>
      <c r="W748" s="93" t="s">
        <v>24</v>
      </c>
    </row>
    <row r="749" spans="1:23" x14ac:dyDescent="0.15">
      <c r="A749" s="93" t="s">
        <v>7011</v>
      </c>
      <c r="B749" s="93" t="s">
        <v>7564</v>
      </c>
      <c r="C749" s="93">
        <v>18</v>
      </c>
      <c r="D749" s="93" t="s">
        <v>24</v>
      </c>
      <c r="E749" s="93" t="s">
        <v>24</v>
      </c>
      <c r="F749" s="93" t="s">
        <v>7</v>
      </c>
      <c r="G749" s="93" t="s">
        <v>7183</v>
      </c>
      <c r="H749" s="93" t="s">
        <v>400</v>
      </c>
      <c r="I749" s="93" t="s">
        <v>111</v>
      </c>
      <c r="J749" s="93" t="s">
        <v>7105</v>
      </c>
      <c r="K749" s="93" t="s">
        <v>111</v>
      </c>
      <c r="L749" s="93" t="s">
        <v>111</v>
      </c>
      <c r="M749" s="93" t="s">
        <v>111</v>
      </c>
      <c r="N749" s="93" t="s">
        <v>111</v>
      </c>
      <c r="O749" s="93" t="s">
        <v>111</v>
      </c>
      <c r="P749" s="93" t="s">
        <v>111</v>
      </c>
      <c r="Q749" s="93" t="s">
        <v>228</v>
      </c>
      <c r="R749" s="93" t="s">
        <v>111</v>
      </c>
      <c r="S749" s="93" t="s">
        <v>115</v>
      </c>
      <c r="T749" s="93" t="s">
        <v>116</v>
      </c>
      <c r="U749" s="94">
        <v>44610.072916666664</v>
      </c>
      <c r="V749" s="93" t="s">
        <v>7072</v>
      </c>
      <c r="W749" s="93" t="s">
        <v>24</v>
      </c>
    </row>
    <row r="750" spans="1:23" x14ac:dyDescent="0.15">
      <c r="A750" s="93" t="s">
        <v>7013</v>
      </c>
      <c r="B750" s="93" t="s">
        <v>7565</v>
      </c>
      <c r="C750" s="93">
        <v>46</v>
      </c>
      <c r="D750" s="93" t="s">
        <v>24</v>
      </c>
      <c r="E750" s="93" t="s">
        <v>24</v>
      </c>
      <c r="F750" s="93" t="s">
        <v>7</v>
      </c>
      <c r="G750" s="93" t="s">
        <v>7183</v>
      </c>
      <c r="H750" s="93" t="s">
        <v>400</v>
      </c>
      <c r="I750" s="93" t="s">
        <v>111</v>
      </c>
      <c r="J750" s="93" t="s">
        <v>7105</v>
      </c>
      <c r="K750" s="93" t="s">
        <v>111</v>
      </c>
      <c r="L750" s="93" t="s">
        <v>111</v>
      </c>
      <c r="M750" s="93" t="s">
        <v>111</v>
      </c>
      <c r="N750" s="93" t="s">
        <v>111</v>
      </c>
      <c r="O750" s="93" t="s">
        <v>111</v>
      </c>
      <c r="P750" s="93" t="s">
        <v>111</v>
      </c>
      <c r="Q750" s="93" t="s">
        <v>228</v>
      </c>
      <c r="R750" s="93" t="s">
        <v>111</v>
      </c>
      <c r="S750" s="93" t="s">
        <v>115</v>
      </c>
      <c r="T750" s="93" t="s">
        <v>116</v>
      </c>
      <c r="U750" s="94">
        <v>44610.121527777781</v>
      </c>
      <c r="V750" s="93" t="s">
        <v>7072</v>
      </c>
      <c r="W750" s="93" t="s">
        <v>24</v>
      </c>
    </row>
    <row r="751" spans="1:23" x14ac:dyDescent="0.15">
      <c r="A751" s="93" t="s">
        <v>7015</v>
      </c>
      <c r="B751" s="93" t="s">
        <v>7566</v>
      </c>
      <c r="C751" s="93">
        <v>72</v>
      </c>
      <c r="D751" s="93" t="s">
        <v>24</v>
      </c>
      <c r="E751" s="93" t="s">
        <v>24</v>
      </c>
      <c r="F751" s="93" t="s">
        <v>7</v>
      </c>
      <c r="G751" s="93" t="s">
        <v>7183</v>
      </c>
      <c r="H751" s="93" t="s">
        <v>400</v>
      </c>
      <c r="I751" s="93" t="s">
        <v>111</v>
      </c>
      <c r="J751" s="93" t="s">
        <v>7105</v>
      </c>
      <c r="K751" s="93" t="s">
        <v>111</v>
      </c>
      <c r="L751" s="93" t="s">
        <v>111</v>
      </c>
      <c r="M751" s="93" t="s">
        <v>111</v>
      </c>
      <c r="N751" s="93" t="s">
        <v>111</v>
      </c>
      <c r="O751" s="93" t="s">
        <v>111</v>
      </c>
      <c r="P751" s="93" t="s">
        <v>111</v>
      </c>
      <c r="Q751" s="93" t="s">
        <v>228</v>
      </c>
      <c r="R751" s="93" t="s">
        <v>111</v>
      </c>
      <c r="S751" s="93" t="s">
        <v>115</v>
      </c>
      <c r="T751" s="93" t="s">
        <v>116</v>
      </c>
      <c r="U751" s="94">
        <v>44610.113888888889</v>
      </c>
      <c r="V751" s="93" t="s">
        <v>7072</v>
      </c>
      <c r="W751" s="93" t="s">
        <v>24</v>
      </c>
    </row>
    <row r="752" spans="1:23" x14ac:dyDescent="0.15">
      <c r="A752" s="93" t="s">
        <v>7005</v>
      </c>
      <c r="B752" s="93" t="s">
        <v>7567</v>
      </c>
      <c r="C752" s="93">
        <v>36</v>
      </c>
      <c r="D752" s="93" t="s">
        <v>24</v>
      </c>
      <c r="E752" s="93" t="s">
        <v>24</v>
      </c>
      <c r="F752" s="93" t="s">
        <v>7</v>
      </c>
      <c r="G752" s="93" t="s">
        <v>7183</v>
      </c>
      <c r="H752" s="93" t="s">
        <v>400</v>
      </c>
      <c r="I752" s="93" t="s">
        <v>111</v>
      </c>
      <c r="J752" s="93" t="s">
        <v>7105</v>
      </c>
      <c r="K752" s="93" t="s">
        <v>111</v>
      </c>
      <c r="L752" s="93" t="s">
        <v>111</v>
      </c>
      <c r="M752" s="93" t="s">
        <v>111</v>
      </c>
      <c r="N752" s="93" t="s">
        <v>111</v>
      </c>
      <c r="O752" s="93" t="s">
        <v>111</v>
      </c>
      <c r="P752" s="93" t="s">
        <v>111</v>
      </c>
      <c r="Q752" s="93" t="s">
        <v>228</v>
      </c>
      <c r="R752" s="93" t="s">
        <v>111</v>
      </c>
      <c r="S752" s="93" t="s">
        <v>115</v>
      </c>
      <c r="T752" s="93" t="s">
        <v>116</v>
      </c>
      <c r="U752" s="94">
        <v>44610.128472222219</v>
      </c>
      <c r="V752" s="93" t="s">
        <v>7072</v>
      </c>
      <c r="W752" s="93" t="s">
        <v>24</v>
      </c>
    </row>
    <row r="753" spans="1:23" x14ac:dyDescent="0.15">
      <c r="A753" s="93" t="s">
        <v>7007</v>
      </c>
      <c r="B753" s="93" t="s">
        <v>7568</v>
      </c>
      <c r="C753" s="93">
        <v>92</v>
      </c>
      <c r="D753" s="93" t="s">
        <v>24</v>
      </c>
      <c r="E753" s="93" t="s">
        <v>24</v>
      </c>
      <c r="F753" s="93" t="s">
        <v>7</v>
      </c>
      <c r="G753" s="93" t="s">
        <v>7183</v>
      </c>
      <c r="H753" s="93" t="s">
        <v>400</v>
      </c>
      <c r="I753" s="93" t="s">
        <v>111</v>
      </c>
      <c r="J753" s="93" t="s">
        <v>7105</v>
      </c>
      <c r="K753" s="93" t="s">
        <v>111</v>
      </c>
      <c r="L753" s="93" t="s">
        <v>111</v>
      </c>
      <c r="M753" s="93" t="s">
        <v>111</v>
      </c>
      <c r="N753" s="93" t="s">
        <v>111</v>
      </c>
      <c r="O753" s="93" t="s">
        <v>111</v>
      </c>
      <c r="P753" s="93" t="s">
        <v>111</v>
      </c>
      <c r="Q753" s="93" t="s">
        <v>228</v>
      </c>
      <c r="R753" s="93" t="s">
        <v>111</v>
      </c>
      <c r="S753" s="93" t="s">
        <v>115</v>
      </c>
      <c r="T753" s="93" t="s">
        <v>116</v>
      </c>
      <c r="U753" s="94">
        <v>44610.064583333333</v>
      </c>
      <c r="V753" s="93" t="s">
        <v>7072</v>
      </c>
      <c r="W753" s="93" t="s">
        <v>24</v>
      </c>
    </row>
    <row r="754" spans="1:23" x14ac:dyDescent="0.15">
      <c r="A754" s="93" t="s">
        <v>7009</v>
      </c>
      <c r="B754" s="93" t="s">
        <v>7569</v>
      </c>
      <c r="C754" s="93">
        <v>144</v>
      </c>
      <c r="D754" s="93" t="s">
        <v>24</v>
      </c>
      <c r="E754" s="93" t="s">
        <v>24</v>
      </c>
      <c r="F754" s="93" t="s">
        <v>7</v>
      </c>
      <c r="G754" s="93" t="s">
        <v>7183</v>
      </c>
      <c r="H754" s="93" t="s">
        <v>400</v>
      </c>
      <c r="I754" s="93" t="s">
        <v>111</v>
      </c>
      <c r="J754" s="93" t="s">
        <v>7105</v>
      </c>
      <c r="K754" s="93" t="s">
        <v>111</v>
      </c>
      <c r="L754" s="93" t="s">
        <v>111</v>
      </c>
      <c r="M754" s="93" t="s">
        <v>111</v>
      </c>
      <c r="N754" s="93" t="s">
        <v>111</v>
      </c>
      <c r="O754" s="93" t="s">
        <v>111</v>
      </c>
      <c r="P754" s="93" t="s">
        <v>111</v>
      </c>
      <c r="Q754" s="93" t="s">
        <v>228</v>
      </c>
      <c r="R754" s="93" t="s">
        <v>111</v>
      </c>
      <c r="S754" s="93" t="s">
        <v>115</v>
      </c>
      <c r="T754" s="93" t="s">
        <v>116</v>
      </c>
      <c r="U754" s="94">
        <v>44610.121527777781</v>
      </c>
      <c r="V754" s="93" t="s">
        <v>7072</v>
      </c>
      <c r="W754" s="93" t="s">
        <v>24</v>
      </c>
    </row>
    <row r="755" spans="1:23" x14ac:dyDescent="0.15">
      <c r="A755" s="93" t="s">
        <v>6185</v>
      </c>
      <c r="B755" s="93" t="s">
        <v>7570</v>
      </c>
      <c r="C755" s="93">
        <v>12</v>
      </c>
      <c r="D755" s="93" t="s">
        <v>24</v>
      </c>
      <c r="E755" s="93" t="s">
        <v>24</v>
      </c>
      <c r="F755" s="93" t="s">
        <v>399</v>
      </c>
      <c r="G755" s="93" t="s">
        <v>7183</v>
      </c>
      <c r="H755" s="93" t="s">
        <v>400</v>
      </c>
      <c r="I755" s="93" t="s">
        <v>111</v>
      </c>
      <c r="J755" s="93" t="s">
        <v>7105</v>
      </c>
      <c r="K755" s="93" t="s">
        <v>111</v>
      </c>
      <c r="L755" s="93" t="s">
        <v>111</v>
      </c>
      <c r="M755" s="93" t="s">
        <v>111</v>
      </c>
      <c r="N755" s="93" t="s">
        <v>111</v>
      </c>
      <c r="O755" s="93" t="s">
        <v>111</v>
      </c>
      <c r="P755" s="93" t="s">
        <v>111</v>
      </c>
      <c r="Q755" s="93" t="s">
        <v>228</v>
      </c>
      <c r="R755" s="93" t="s">
        <v>111</v>
      </c>
      <c r="S755" s="93" t="s">
        <v>115</v>
      </c>
      <c r="T755" s="93" t="s">
        <v>116</v>
      </c>
      <c r="U755" s="94">
        <v>44610.0625</v>
      </c>
      <c r="V755" s="93" t="s">
        <v>7072</v>
      </c>
      <c r="W755" s="93" t="s">
        <v>24</v>
      </c>
    </row>
    <row r="756" spans="1:23" x14ac:dyDescent="0.15">
      <c r="A756" s="93" t="s">
        <v>6187</v>
      </c>
      <c r="B756" s="93" t="s">
        <v>7571</v>
      </c>
      <c r="C756" s="93">
        <v>31</v>
      </c>
      <c r="D756" s="93" t="s">
        <v>24</v>
      </c>
      <c r="E756" s="93" t="s">
        <v>24</v>
      </c>
      <c r="F756" s="93" t="s">
        <v>399</v>
      </c>
      <c r="G756" s="93" t="s">
        <v>7183</v>
      </c>
      <c r="H756" s="93" t="s">
        <v>400</v>
      </c>
      <c r="I756" s="93" t="s">
        <v>111</v>
      </c>
      <c r="J756" s="93" t="s">
        <v>7105</v>
      </c>
      <c r="K756" s="93" t="s">
        <v>111</v>
      </c>
      <c r="L756" s="93" t="s">
        <v>111</v>
      </c>
      <c r="M756" s="93" t="s">
        <v>111</v>
      </c>
      <c r="N756" s="93" t="s">
        <v>111</v>
      </c>
      <c r="O756" s="93" t="s">
        <v>111</v>
      </c>
      <c r="P756" s="93" t="s">
        <v>111</v>
      </c>
      <c r="Q756" s="93" t="s">
        <v>228</v>
      </c>
      <c r="R756" s="93" t="s">
        <v>111</v>
      </c>
      <c r="S756" s="93" t="s">
        <v>115</v>
      </c>
      <c r="T756" s="93" t="s">
        <v>116</v>
      </c>
      <c r="U756" s="94">
        <v>44610.120833333334</v>
      </c>
      <c r="V756" s="93" t="s">
        <v>7072</v>
      </c>
      <c r="W756" s="93" t="s">
        <v>24</v>
      </c>
    </row>
    <row r="757" spans="1:23" x14ac:dyDescent="0.15">
      <c r="A757" s="93" t="s">
        <v>6189</v>
      </c>
      <c r="B757" s="93" t="s">
        <v>7572</v>
      </c>
      <c r="C757" s="93">
        <v>48</v>
      </c>
      <c r="D757" s="93" t="s">
        <v>24</v>
      </c>
      <c r="E757" s="93" t="s">
        <v>24</v>
      </c>
      <c r="F757" s="93" t="s">
        <v>399</v>
      </c>
      <c r="G757" s="93" t="s">
        <v>7183</v>
      </c>
      <c r="H757" s="93" t="s">
        <v>400</v>
      </c>
      <c r="I757" s="93" t="s">
        <v>111</v>
      </c>
      <c r="J757" s="93" t="s">
        <v>7105</v>
      </c>
      <c r="K757" s="93" t="s">
        <v>111</v>
      </c>
      <c r="L757" s="93" t="s">
        <v>111</v>
      </c>
      <c r="M757" s="93" t="s">
        <v>111</v>
      </c>
      <c r="N757" s="93" t="s">
        <v>111</v>
      </c>
      <c r="O757" s="93" t="s">
        <v>111</v>
      </c>
      <c r="P757" s="93" t="s">
        <v>111</v>
      </c>
      <c r="Q757" s="93" t="s">
        <v>228</v>
      </c>
      <c r="R757" s="93" t="s">
        <v>111</v>
      </c>
      <c r="S757" s="93" t="s">
        <v>115</v>
      </c>
      <c r="T757" s="93" t="s">
        <v>116</v>
      </c>
      <c r="U757" s="94">
        <v>44610.118750000001</v>
      </c>
      <c r="V757" s="93" t="s">
        <v>7072</v>
      </c>
      <c r="W757" s="93" t="s">
        <v>24</v>
      </c>
    </row>
    <row r="758" spans="1:23" x14ac:dyDescent="0.15">
      <c r="A758" s="93" t="s">
        <v>6179</v>
      </c>
      <c r="B758" s="93" t="s">
        <v>7573</v>
      </c>
      <c r="C758" s="93">
        <v>33</v>
      </c>
      <c r="D758" s="93" t="s">
        <v>24</v>
      </c>
      <c r="E758" s="93" t="s">
        <v>24</v>
      </c>
      <c r="F758" s="93" t="s">
        <v>399</v>
      </c>
      <c r="G758" s="93" t="s">
        <v>7183</v>
      </c>
      <c r="H758" s="93" t="s">
        <v>400</v>
      </c>
      <c r="I758" s="93" t="s">
        <v>111</v>
      </c>
      <c r="J758" s="93" t="s">
        <v>7105</v>
      </c>
      <c r="K758" s="93" t="s">
        <v>111</v>
      </c>
      <c r="L758" s="93" t="s">
        <v>111</v>
      </c>
      <c r="M758" s="93" t="s">
        <v>111</v>
      </c>
      <c r="N758" s="93" t="s">
        <v>111</v>
      </c>
      <c r="O758" s="93" t="s">
        <v>111</v>
      </c>
      <c r="P758" s="93" t="s">
        <v>111</v>
      </c>
      <c r="Q758" s="93" t="s">
        <v>228</v>
      </c>
      <c r="R758" s="93" t="s">
        <v>111</v>
      </c>
      <c r="S758" s="93" t="s">
        <v>115</v>
      </c>
      <c r="T758" s="93" t="s">
        <v>116</v>
      </c>
      <c r="U758" s="94">
        <v>44610.081944444442</v>
      </c>
      <c r="V758" s="93" t="s">
        <v>7072</v>
      </c>
      <c r="W758" s="93" t="s">
        <v>24</v>
      </c>
    </row>
    <row r="759" spans="1:23" x14ac:dyDescent="0.15">
      <c r="A759" s="93" t="s">
        <v>6181</v>
      </c>
      <c r="B759" s="93" t="s">
        <v>7574</v>
      </c>
      <c r="C759" s="93">
        <v>85</v>
      </c>
      <c r="D759" s="93" t="s">
        <v>24</v>
      </c>
      <c r="E759" s="93" t="s">
        <v>24</v>
      </c>
      <c r="F759" s="93" t="s">
        <v>399</v>
      </c>
      <c r="G759" s="93" t="s">
        <v>7183</v>
      </c>
      <c r="H759" s="93" t="s">
        <v>400</v>
      </c>
      <c r="I759" s="93" t="s">
        <v>111</v>
      </c>
      <c r="J759" s="93" t="s">
        <v>7105</v>
      </c>
      <c r="K759" s="93" t="s">
        <v>111</v>
      </c>
      <c r="L759" s="93" t="s">
        <v>111</v>
      </c>
      <c r="M759" s="93" t="s">
        <v>111</v>
      </c>
      <c r="N759" s="93" t="s">
        <v>111</v>
      </c>
      <c r="O759" s="93" t="s">
        <v>111</v>
      </c>
      <c r="P759" s="93" t="s">
        <v>111</v>
      </c>
      <c r="Q759" s="93" t="s">
        <v>228</v>
      </c>
      <c r="R759" s="93" t="s">
        <v>111</v>
      </c>
      <c r="S759" s="93" t="s">
        <v>115</v>
      </c>
      <c r="T759" s="93" t="s">
        <v>116</v>
      </c>
      <c r="U759" s="94">
        <v>44610.071527777778</v>
      </c>
      <c r="V759" s="93" t="s">
        <v>7072</v>
      </c>
      <c r="W759" s="93" t="s">
        <v>24</v>
      </c>
    </row>
    <row r="760" spans="1:23" x14ac:dyDescent="0.15">
      <c r="A760" s="93" t="s">
        <v>6183</v>
      </c>
      <c r="B760" s="93" t="s">
        <v>7575</v>
      </c>
      <c r="C760" s="93">
        <v>132</v>
      </c>
      <c r="D760" s="93" t="s">
        <v>24</v>
      </c>
      <c r="E760" s="93" t="s">
        <v>24</v>
      </c>
      <c r="F760" s="93" t="s">
        <v>399</v>
      </c>
      <c r="G760" s="93" t="s">
        <v>7183</v>
      </c>
      <c r="H760" s="93" t="s">
        <v>400</v>
      </c>
      <c r="I760" s="93" t="s">
        <v>111</v>
      </c>
      <c r="J760" s="93" t="s">
        <v>7105</v>
      </c>
      <c r="K760" s="93" t="s">
        <v>111</v>
      </c>
      <c r="L760" s="93" t="s">
        <v>111</v>
      </c>
      <c r="M760" s="93" t="s">
        <v>111</v>
      </c>
      <c r="N760" s="93" t="s">
        <v>111</v>
      </c>
      <c r="O760" s="93" t="s">
        <v>111</v>
      </c>
      <c r="P760" s="93" t="s">
        <v>111</v>
      </c>
      <c r="Q760" s="93" t="s">
        <v>228</v>
      </c>
      <c r="R760" s="93" t="s">
        <v>111</v>
      </c>
      <c r="S760" s="93" t="s">
        <v>115</v>
      </c>
      <c r="T760" s="93" t="s">
        <v>116</v>
      </c>
      <c r="U760" s="94">
        <v>44610.097222222219</v>
      </c>
      <c r="V760" s="93" t="s">
        <v>7072</v>
      </c>
      <c r="W760" s="93" t="s">
        <v>24</v>
      </c>
    </row>
    <row r="761" spans="1:23" x14ac:dyDescent="0.15">
      <c r="A761" s="93" t="s">
        <v>7576</v>
      </c>
      <c r="B761" s="93" t="s">
        <v>7577</v>
      </c>
      <c r="C761" s="93">
        <v>13</v>
      </c>
      <c r="D761" s="93" t="s">
        <v>24</v>
      </c>
      <c r="E761" s="93" t="s">
        <v>24</v>
      </c>
      <c r="F761" s="93" t="s">
        <v>7</v>
      </c>
      <c r="G761" s="93" t="s">
        <v>7183</v>
      </c>
      <c r="H761" s="93" t="s">
        <v>400</v>
      </c>
      <c r="I761" s="93" t="s">
        <v>111</v>
      </c>
      <c r="J761" s="93" t="s">
        <v>7105</v>
      </c>
      <c r="K761" s="93" t="s">
        <v>111</v>
      </c>
      <c r="L761" s="93" t="s">
        <v>111</v>
      </c>
      <c r="M761" s="93" t="s">
        <v>111</v>
      </c>
      <c r="N761" s="93" t="s">
        <v>111</v>
      </c>
      <c r="O761" s="93" t="s">
        <v>111</v>
      </c>
      <c r="P761" s="93" t="s">
        <v>111</v>
      </c>
      <c r="Q761" s="93" t="s">
        <v>111</v>
      </c>
      <c r="R761" s="93" t="s">
        <v>111</v>
      </c>
      <c r="S761" s="93" t="s">
        <v>111</v>
      </c>
      <c r="T761" s="93" t="s">
        <v>116</v>
      </c>
      <c r="U761" s="94">
        <v>44596.582638888889</v>
      </c>
      <c r="V761" s="93" t="s">
        <v>402</v>
      </c>
      <c r="W761" s="93" t="s">
        <v>24</v>
      </c>
    </row>
    <row r="762" spans="1:23" x14ac:dyDescent="0.15">
      <c r="A762" s="93" t="s">
        <v>7578</v>
      </c>
      <c r="B762" s="93" t="s">
        <v>7579</v>
      </c>
      <c r="C762" s="93">
        <v>34</v>
      </c>
      <c r="D762" s="93" t="s">
        <v>24</v>
      </c>
      <c r="E762" s="93" t="s">
        <v>24</v>
      </c>
      <c r="F762" s="93" t="s">
        <v>7</v>
      </c>
      <c r="G762" s="93" t="s">
        <v>7183</v>
      </c>
      <c r="H762" s="93" t="s">
        <v>400</v>
      </c>
      <c r="I762" s="93" t="s">
        <v>111</v>
      </c>
      <c r="J762" s="93" t="s">
        <v>7105</v>
      </c>
      <c r="K762" s="93" t="s">
        <v>111</v>
      </c>
      <c r="L762" s="93" t="s">
        <v>111</v>
      </c>
      <c r="M762" s="93" t="s">
        <v>111</v>
      </c>
      <c r="N762" s="93" t="s">
        <v>111</v>
      </c>
      <c r="O762" s="93" t="s">
        <v>111</v>
      </c>
      <c r="P762" s="93" t="s">
        <v>111</v>
      </c>
      <c r="Q762" s="93" t="s">
        <v>111</v>
      </c>
      <c r="R762" s="93" t="s">
        <v>111</v>
      </c>
      <c r="S762" s="93" t="s">
        <v>111</v>
      </c>
      <c r="T762" s="93" t="s">
        <v>116</v>
      </c>
      <c r="U762" s="94">
        <v>44596.609722222223</v>
      </c>
      <c r="V762" s="93" t="s">
        <v>402</v>
      </c>
      <c r="W762" s="93" t="s">
        <v>24</v>
      </c>
    </row>
    <row r="763" spans="1:23" x14ac:dyDescent="0.15">
      <c r="A763" s="93" t="s">
        <v>7580</v>
      </c>
      <c r="B763" s="93" t="s">
        <v>7581</v>
      </c>
      <c r="C763" s="93">
        <v>52</v>
      </c>
      <c r="D763" s="93" t="s">
        <v>24</v>
      </c>
      <c r="E763" s="93" t="s">
        <v>24</v>
      </c>
      <c r="F763" s="93" t="s">
        <v>7</v>
      </c>
      <c r="G763" s="93" t="s">
        <v>7183</v>
      </c>
      <c r="H763" s="93" t="s">
        <v>400</v>
      </c>
      <c r="I763" s="93" t="s">
        <v>111</v>
      </c>
      <c r="J763" s="93" t="s">
        <v>7105</v>
      </c>
      <c r="K763" s="93" t="s">
        <v>111</v>
      </c>
      <c r="L763" s="93" t="s">
        <v>111</v>
      </c>
      <c r="M763" s="93" t="s">
        <v>111</v>
      </c>
      <c r="N763" s="93" t="s">
        <v>111</v>
      </c>
      <c r="O763" s="93" t="s">
        <v>111</v>
      </c>
      <c r="P763" s="93" t="s">
        <v>111</v>
      </c>
      <c r="Q763" s="93" t="s">
        <v>111</v>
      </c>
      <c r="R763" s="93" t="s">
        <v>111</v>
      </c>
      <c r="S763" s="93" t="s">
        <v>111</v>
      </c>
      <c r="T763" s="93" t="s">
        <v>116</v>
      </c>
      <c r="U763" s="94">
        <v>44596.570138888892</v>
      </c>
      <c r="V763" s="93" t="s">
        <v>402</v>
      </c>
      <c r="W763" s="93" t="s">
        <v>24</v>
      </c>
    </row>
    <row r="764" spans="1:23" x14ac:dyDescent="0.15">
      <c r="A764" s="93" t="s">
        <v>7582</v>
      </c>
      <c r="B764" s="93" t="s">
        <v>7583</v>
      </c>
      <c r="C764" s="93">
        <v>66</v>
      </c>
      <c r="D764" s="93" t="s">
        <v>24</v>
      </c>
      <c r="E764" s="93" t="s">
        <v>24</v>
      </c>
      <c r="F764" s="93" t="s">
        <v>7</v>
      </c>
      <c r="G764" s="93" t="s">
        <v>7183</v>
      </c>
      <c r="H764" s="93" t="s">
        <v>400</v>
      </c>
      <c r="I764" s="93" t="s">
        <v>111</v>
      </c>
      <c r="J764" s="93" t="s">
        <v>7105</v>
      </c>
      <c r="K764" s="93" t="s">
        <v>111</v>
      </c>
      <c r="L764" s="93" t="s">
        <v>111</v>
      </c>
      <c r="M764" s="93" t="s">
        <v>111</v>
      </c>
      <c r="N764" s="93" t="s">
        <v>111</v>
      </c>
      <c r="O764" s="93" t="s">
        <v>111</v>
      </c>
      <c r="P764" s="93" t="s">
        <v>111</v>
      </c>
      <c r="Q764" s="93" t="s">
        <v>111</v>
      </c>
      <c r="R764" s="93" t="s">
        <v>111</v>
      </c>
      <c r="S764" s="93" t="s">
        <v>111</v>
      </c>
      <c r="T764" s="93" t="s">
        <v>116</v>
      </c>
      <c r="U764" s="94">
        <v>44596.600694444445</v>
      </c>
      <c r="V764" s="93" t="s">
        <v>402</v>
      </c>
      <c r="W764" s="93" t="s">
        <v>24</v>
      </c>
    </row>
    <row r="765" spans="1:23" x14ac:dyDescent="0.15">
      <c r="A765" s="93" t="s">
        <v>7584</v>
      </c>
      <c r="B765" s="93" t="s">
        <v>7585</v>
      </c>
      <c r="C765" s="93">
        <v>169</v>
      </c>
      <c r="D765" s="93" t="s">
        <v>24</v>
      </c>
      <c r="E765" s="93" t="s">
        <v>24</v>
      </c>
      <c r="F765" s="93" t="s">
        <v>7</v>
      </c>
      <c r="G765" s="93" t="s">
        <v>7183</v>
      </c>
      <c r="H765" s="93" t="s">
        <v>400</v>
      </c>
      <c r="I765" s="93" t="s">
        <v>111</v>
      </c>
      <c r="J765" s="93" t="s">
        <v>7105</v>
      </c>
      <c r="K765" s="93" t="s">
        <v>111</v>
      </c>
      <c r="L765" s="93" t="s">
        <v>111</v>
      </c>
      <c r="M765" s="93" t="s">
        <v>111</v>
      </c>
      <c r="N765" s="93" t="s">
        <v>111</v>
      </c>
      <c r="O765" s="93" t="s">
        <v>111</v>
      </c>
      <c r="P765" s="93" t="s">
        <v>111</v>
      </c>
      <c r="Q765" s="93" t="s">
        <v>111</v>
      </c>
      <c r="R765" s="93" t="s">
        <v>111</v>
      </c>
      <c r="S765" s="93" t="s">
        <v>111</v>
      </c>
      <c r="T765" s="93" t="s">
        <v>116</v>
      </c>
      <c r="U765" s="94">
        <v>44596.556250000001</v>
      </c>
      <c r="V765" s="93" t="s">
        <v>402</v>
      </c>
      <c r="W765" s="93" t="s">
        <v>24</v>
      </c>
    </row>
    <row r="766" spans="1:23" x14ac:dyDescent="0.15">
      <c r="A766" s="93" t="s">
        <v>7586</v>
      </c>
      <c r="B766" s="93" t="s">
        <v>7587</v>
      </c>
      <c r="C766" s="93">
        <v>264</v>
      </c>
      <c r="D766" s="93" t="s">
        <v>24</v>
      </c>
      <c r="E766" s="93" t="s">
        <v>24</v>
      </c>
      <c r="F766" s="93" t="s">
        <v>7</v>
      </c>
      <c r="G766" s="93" t="s">
        <v>7183</v>
      </c>
      <c r="H766" s="93" t="s">
        <v>400</v>
      </c>
      <c r="I766" s="93" t="s">
        <v>111</v>
      </c>
      <c r="J766" s="93" t="s">
        <v>7105</v>
      </c>
      <c r="K766" s="93" t="s">
        <v>111</v>
      </c>
      <c r="L766" s="93" t="s">
        <v>111</v>
      </c>
      <c r="M766" s="93" t="s">
        <v>111</v>
      </c>
      <c r="N766" s="93" t="s">
        <v>111</v>
      </c>
      <c r="O766" s="93" t="s">
        <v>111</v>
      </c>
      <c r="P766" s="93" t="s">
        <v>111</v>
      </c>
      <c r="Q766" s="93" t="s">
        <v>111</v>
      </c>
      <c r="R766" s="93" t="s">
        <v>111</v>
      </c>
      <c r="S766" s="93" t="s">
        <v>111</v>
      </c>
      <c r="T766" s="93" t="s">
        <v>116</v>
      </c>
      <c r="U766" s="94">
        <v>44596.609722222223</v>
      </c>
      <c r="V766" s="93" t="s">
        <v>402</v>
      </c>
      <c r="W766" s="93" t="s">
        <v>24</v>
      </c>
    </row>
    <row r="767" spans="1:23" x14ac:dyDescent="0.15">
      <c r="A767" s="93" t="s">
        <v>7588</v>
      </c>
      <c r="B767" s="93" t="s">
        <v>7589</v>
      </c>
      <c r="C767" s="93">
        <v>21</v>
      </c>
      <c r="D767" s="93" t="s">
        <v>24</v>
      </c>
      <c r="E767" s="93" t="s">
        <v>24</v>
      </c>
      <c r="F767" s="93" t="s">
        <v>7</v>
      </c>
      <c r="G767" s="93" t="s">
        <v>7183</v>
      </c>
      <c r="H767" s="93" t="s">
        <v>400</v>
      </c>
      <c r="I767" s="93" t="s">
        <v>111</v>
      </c>
      <c r="J767" s="93" t="s">
        <v>7105</v>
      </c>
      <c r="K767" s="93" t="s">
        <v>111</v>
      </c>
      <c r="L767" s="93" t="s">
        <v>111</v>
      </c>
      <c r="M767" s="93" t="s">
        <v>111</v>
      </c>
      <c r="N767" s="93" t="s">
        <v>111</v>
      </c>
      <c r="O767" s="93" t="s">
        <v>111</v>
      </c>
      <c r="P767" s="93" t="s">
        <v>111</v>
      </c>
      <c r="Q767" s="93" t="s">
        <v>111</v>
      </c>
      <c r="R767" s="93" t="s">
        <v>111</v>
      </c>
      <c r="S767" s="93" t="s">
        <v>111</v>
      </c>
      <c r="T767" s="93" t="s">
        <v>116</v>
      </c>
      <c r="U767" s="94">
        <v>44596.556944444441</v>
      </c>
      <c r="V767" s="93" t="s">
        <v>402</v>
      </c>
      <c r="W767" s="93" t="s">
        <v>24</v>
      </c>
    </row>
    <row r="768" spans="1:23" x14ac:dyDescent="0.15">
      <c r="A768" s="93" t="s">
        <v>7590</v>
      </c>
      <c r="B768" s="93" t="s">
        <v>7591</v>
      </c>
      <c r="C768" s="93">
        <v>54</v>
      </c>
      <c r="D768" s="93" t="s">
        <v>24</v>
      </c>
      <c r="E768" s="93" t="s">
        <v>24</v>
      </c>
      <c r="F768" s="93" t="s">
        <v>7</v>
      </c>
      <c r="G768" s="93" t="s">
        <v>7183</v>
      </c>
      <c r="H768" s="93" t="s">
        <v>400</v>
      </c>
      <c r="I768" s="93" t="s">
        <v>111</v>
      </c>
      <c r="J768" s="93" t="s">
        <v>7105</v>
      </c>
      <c r="K768" s="93" t="s">
        <v>111</v>
      </c>
      <c r="L768" s="93" t="s">
        <v>111</v>
      </c>
      <c r="M768" s="93" t="s">
        <v>111</v>
      </c>
      <c r="N768" s="93" t="s">
        <v>111</v>
      </c>
      <c r="O768" s="93" t="s">
        <v>111</v>
      </c>
      <c r="P768" s="93" t="s">
        <v>111</v>
      </c>
      <c r="Q768" s="93" t="s">
        <v>111</v>
      </c>
      <c r="R768" s="93" t="s">
        <v>111</v>
      </c>
      <c r="S768" s="93" t="s">
        <v>111</v>
      </c>
      <c r="T768" s="93" t="s">
        <v>116</v>
      </c>
      <c r="U768" s="94">
        <v>44596.574305555558</v>
      </c>
      <c r="V768" s="93" t="s">
        <v>402</v>
      </c>
      <c r="W768" s="93" t="s">
        <v>24</v>
      </c>
    </row>
    <row r="769" spans="1:23" x14ac:dyDescent="0.15">
      <c r="A769" s="93" t="s">
        <v>7592</v>
      </c>
      <c r="B769" s="93" t="s">
        <v>7593</v>
      </c>
      <c r="C769" s="93">
        <v>84</v>
      </c>
      <c r="D769" s="93" t="s">
        <v>24</v>
      </c>
      <c r="E769" s="93" t="s">
        <v>24</v>
      </c>
      <c r="F769" s="93" t="s">
        <v>7</v>
      </c>
      <c r="G769" s="93" t="s">
        <v>7183</v>
      </c>
      <c r="H769" s="93" t="s">
        <v>400</v>
      </c>
      <c r="I769" s="93" t="s">
        <v>111</v>
      </c>
      <c r="J769" s="93" t="s">
        <v>7105</v>
      </c>
      <c r="K769" s="93" t="s">
        <v>111</v>
      </c>
      <c r="L769" s="93" t="s">
        <v>111</v>
      </c>
      <c r="M769" s="93" t="s">
        <v>111</v>
      </c>
      <c r="N769" s="93" t="s">
        <v>111</v>
      </c>
      <c r="O769" s="93" t="s">
        <v>111</v>
      </c>
      <c r="P769" s="93" t="s">
        <v>111</v>
      </c>
      <c r="Q769" s="93" t="s">
        <v>111</v>
      </c>
      <c r="R769" s="93" t="s">
        <v>2</v>
      </c>
      <c r="S769" s="93" t="s">
        <v>111</v>
      </c>
      <c r="T769" s="93" t="s">
        <v>116</v>
      </c>
      <c r="U769" s="94">
        <v>44596.556250000001</v>
      </c>
      <c r="V769" s="93" t="s">
        <v>402</v>
      </c>
      <c r="W769" s="93" t="s">
        <v>24</v>
      </c>
    </row>
    <row r="770" spans="1:23" x14ac:dyDescent="0.15">
      <c r="A770" s="93" t="s">
        <v>7594</v>
      </c>
      <c r="B770" s="93" t="s">
        <v>7595</v>
      </c>
      <c r="C770" s="93">
        <v>39</v>
      </c>
      <c r="D770" s="93" t="s">
        <v>24</v>
      </c>
      <c r="E770" s="93" t="s">
        <v>24</v>
      </c>
      <c r="F770" s="93" t="s">
        <v>7</v>
      </c>
      <c r="G770" s="93" t="s">
        <v>7183</v>
      </c>
      <c r="H770" s="93" t="s">
        <v>400</v>
      </c>
      <c r="I770" s="93" t="s">
        <v>111</v>
      </c>
      <c r="J770" s="93" t="s">
        <v>7105</v>
      </c>
      <c r="K770" s="93" t="s">
        <v>111</v>
      </c>
      <c r="L770" s="93" t="s">
        <v>111</v>
      </c>
      <c r="M770" s="93" t="s">
        <v>111</v>
      </c>
      <c r="N770" s="93" t="s">
        <v>111</v>
      </c>
      <c r="O770" s="93" t="s">
        <v>111</v>
      </c>
      <c r="P770" s="93" t="s">
        <v>111</v>
      </c>
      <c r="Q770" s="93" t="s">
        <v>111</v>
      </c>
      <c r="R770" s="93" t="s">
        <v>2</v>
      </c>
      <c r="S770" s="93" t="s">
        <v>111</v>
      </c>
      <c r="T770" s="93" t="s">
        <v>116</v>
      </c>
      <c r="U770" s="94">
        <v>44596.606249999997</v>
      </c>
      <c r="V770" s="93" t="s">
        <v>402</v>
      </c>
      <c r="W770" s="93" t="s">
        <v>24</v>
      </c>
    </row>
    <row r="771" spans="1:23" x14ac:dyDescent="0.15">
      <c r="A771" s="93" t="s">
        <v>7596</v>
      </c>
      <c r="B771" s="93" t="s">
        <v>7597</v>
      </c>
      <c r="C771" s="93">
        <v>100</v>
      </c>
      <c r="D771" s="93" t="s">
        <v>24</v>
      </c>
      <c r="E771" s="93" t="s">
        <v>24</v>
      </c>
      <c r="F771" s="93" t="s">
        <v>7</v>
      </c>
      <c r="G771" s="93" t="s">
        <v>7183</v>
      </c>
      <c r="H771" s="93" t="s">
        <v>400</v>
      </c>
      <c r="I771" s="93" t="s">
        <v>111</v>
      </c>
      <c r="J771" s="93" t="s">
        <v>7105</v>
      </c>
      <c r="K771" s="93" t="s">
        <v>111</v>
      </c>
      <c r="L771" s="93" t="s">
        <v>111</v>
      </c>
      <c r="M771" s="93" t="s">
        <v>111</v>
      </c>
      <c r="N771" s="93" t="s">
        <v>111</v>
      </c>
      <c r="O771" s="93" t="s">
        <v>111</v>
      </c>
      <c r="P771" s="93" t="s">
        <v>111</v>
      </c>
      <c r="Q771" s="93" t="s">
        <v>111</v>
      </c>
      <c r="R771" s="93" t="s">
        <v>111</v>
      </c>
      <c r="S771" s="93" t="s">
        <v>111</v>
      </c>
      <c r="T771" s="93" t="s">
        <v>116</v>
      </c>
      <c r="U771" s="94">
        <v>44596.601388888892</v>
      </c>
      <c r="V771" s="93" t="s">
        <v>402</v>
      </c>
      <c r="W771" s="93" t="s">
        <v>24</v>
      </c>
    </row>
    <row r="772" spans="1:23" x14ac:dyDescent="0.15">
      <c r="A772" s="93" t="s">
        <v>7598</v>
      </c>
      <c r="B772" s="93" t="s">
        <v>7599</v>
      </c>
      <c r="C772" s="93">
        <v>156</v>
      </c>
      <c r="D772" s="93" t="s">
        <v>24</v>
      </c>
      <c r="E772" s="93" t="s">
        <v>24</v>
      </c>
      <c r="F772" s="93" t="s">
        <v>7</v>
      </c>
      <c r="G772" s="93" t="s">
        <v>7183</v>
      </c>
      <c r="H772" s="93" t="s">
        <v>400</v>
      </c>
      <c r="I772" s="93" t="s">
        <v>111</v>
      </c>
      <c r="J772" s="93" t="s">
        <v>7105</v>
      </c>
      <c r="K772" s="93" t="s">
        <v>111</v>
      </c>
      <c r="L772" s="93" t="s">
        <v>111</v>
      </c>
      <c r="M772" s="93" t="s">
        <v>111</v>
      </c>
      <c r="N772" s="93" t="s">
        <v>111</v>
      </c>
      <c r="O772" s="93" t="s">
        <v>111</v>
      </c>
      <c r="P772" s="93" t="s">
        <v>111</v>
      </c>
      <c r="Q772" s="93" t="s">
        <v>111</v>
      </c>
      <c r="R772" s="93" t="s">
        <v>111</v>
      </c>
      <c r="S772" s="93" t="s">
        <v>111</v>
      </c>
      <c r="T772" s="93" t="s">
        <v>116</v>
      </c>
      <c r="U772" s="94">
        <v>44596.561805555553</v>
      </c>
      <c r="V772" s="93" t="s">
        <v>402</v>
      </c>
      <c r="W772" s="93" t="s">
        <v>24</v>
      </c>
    </row>
    <row r="773" spans="1:23" x14ac:dyDescent="0.15">
      <c r="A773" s="93" t="s">
        <v>7600</v>
      </c>
      <c r="B773" s="93" t="s">
        <v>7601</v>
      </c>
      <c r="C773" s="93">
        <v>48</v>
      </c>
      <c r="D773" s="93" t="s">
        <v>24</v>
      </c>
      <c r="E773" s="93" t="s">
        <v>24</v>
      </c>
      <c r="F773" s="93" t="s">
        <v>7</v>
      </c>
      <c r="G773" s="93" t="s">
        <v>7183</v>
      </c>
      <c r="H773" s="93" t="s">
        <v>400</v>
      </c>
      <c r="I773" s="93" t="s">
        <v>111</v>
      </c>
      <c r="J773" s="93" t="s">
        <v>7105</v>
      </c>
      <c r="K773" s="93" t="s">
        <v>111</v>
      </c>
      <c r="L773" s="93" t="s">
        <v>111</v>
      </c>
      <c r="M773" s="93" t="s">
        <v>111</v>
      </c>
      <c r="N773" s="93" t="s">
        <v>111</v>
      </c>
      <c r="O773" s="93" t="s">
        <v>111</v>
      </c>
      <c r="P773" s="93" t="s">
        <v>111</v>
      </c>
      <c r="Q773" s="93" t="s">
        <v>111</v>
      </c>
      <c r="R773" s="93" t="s">
        <v>111</v>
      </c>
      <c r="S773" s="93" t="s">
        <v>111</v>
      </c>
      <c r="T773" s="93" t="s">
        <v>116</v>
      </c>
      <c r="U773" s="94">
        <v>44596.601388888892</v>
      </c>
      <c r="V773" s="93" t="s">
        <v>402</v>
      </c>
      <c r="W773" s="93" t="s">
        <v>24</v>
      </c>
    </row>
    <row r="774" spans="1:23" x14ac:dyDescent="0.15">
      <c r="A774" s="93" t="s">
        <v>7602</v>
      </c>
      <c r="B774" s="93" t="s">
        <v>7603</v>
      </c>
      <c r="C774" s="93">
        <v>123</v>
      </c>
      <c r="D774" s="93" t="s">
        <v>24</v>
      </c>
      <c r="E774" s="93" t="s">
        <v>24</v>
      </c>
      <c r="F774" s="93" t="s">
        <v>7</v>
      </c>
      <c r="G774" s="93" t="s">
        <v>7183</v>
      </c>
      <c r="H774" s="93" t="s">
        <v>400</v>
      </c>
      <c r="I774" s="93" t="s">
        <v>111</v>
      </c>
      <c r="J774" s="93" t="s">
        <v>7105</v>
      </c>
      <c r="K774" s="93" t="s">
        <v>111</v>
      </c>
      <c r="L774" s="93" t="s">
        <v>111</v>
      </c>
      <c r="M774" s="93" t="s">
        <v>111</v>
      </c>
      <c r="N774" s="93" t="s">
        <v>111</v>
      </c>
      <c r="O774" s="93" t="s">
        <v>111</v>
      </c>
      <c r="P774" s="93" t="s">
        <v>111</v>
      </c>
      <c r="Q774" s="93" t="s">
        <v>111</v>
      </c>
      <c r="R774" s="93" t="s">
        <v>111</v>
      </c>
      <c r="S774" s="93" t="s">
        <v>111</v>
      </c>
      <c r="T774" s="93" t="s">
        <v>116</v>
      </c>
      <c r="U774" s="94">
        <v>44596.613194444442</v>
      </c>
      <c r="V774" s="93" t="s">
        <v>402</v>
      </c>
      <c r="W774" s="93" t="s">
        <v>24</v>
      </c>
    </row>
    <row r="775" spans="1:23" x14ac:dyDescent="0.15">
      <c r="A775" s="93" t="s">
        <v>7604</v>
      </c>
      <c r="B775" s="93" t="s">
        <v>7605</v>
      </c>
      <c r="C775" s="93">
        <v>192</v>
      </c>
      <c r="D775" s="93" t="s">
        <v>24</v>
      </c>
      <c r="E775" s="93" t="s">
        <v>24</v>
      </c>
      <c r="F775" s="93" t="s">
        <v>7</v>
      </c>
      <c r="G775" s="93" t="s">
        <v>7183</v>
      </c>
      <c r="H775" s="93" t="s">
        <v>400</v>
      </c>
      <c r="I775" s="93" t="s">
        <v>111</v>
      </c>
      <c r="J775" s="93" t="s">
        <v>7105</v>
      </c>
      <c r="K775" s="93" t="s">
        <v>111</v>
      </c>
      <c r="L775" s="93" t="s">
        <v>111</v>
      </c>
      <c r="M775" s="93" t="s">
        <v>111</v>
      </c>
      <c r="N775" s="93" t="s">
        <v>111</v>
      </c>
      <c r="O775" s="93" t="s">
        <v>111</v>
      </c>
      <c r="P775" s="93" t="s">
        <v>111</v>
      </c>
      <c r="Q775" s="93" t="s">
        <v>111</v>
      </c>
      <c r="R775" s="93" t="s">
        <v>111</v>
      </c>
      <c r="S775" s="93" t="s">
        <v>111</v>
      </c>
      <c r="T775" s="93" t="s">
        <v>116</v>
      </c>
      <c r="U775" s="94">
        <v>44596.605555555558</v>
      </c>
      <c r="V775" s="93" t="s">
        <v>402</v>
      </c>
      <c r="W775" s="93" t="s">
        <v>24</v>
      </c>
    </row>
    <row r="776" spans="1:23" x14ac:dyDescent="0.15">
      <c r="A776" s="93" t="s">
        <v>7606</v>
      </c>
      <c r="B776" s="93" t="s">
        <v>7607</v>
      </c>
      <c r="C776" s="93">
        <v>42</v>
      </c>
      <c r="D776" s="93" t="s">
        <v>24</v>
      </c>
      <c r="E776" s="93" t="s">
        <v>24</v>
      </c>
      <c r="F776" s="93" t="s">
        <v>7</v>
      </c>
      <c r="G776" s="93" t="s">
        <v>7183</v>
      </c>
      <c r="H776" s="93" t="s">
        <v>400</v>
      </c>
      <c r="I776" s="93" t="s">
        <v>111</v>
      </c>
      <c r="J776" s="93" t="s">
        <v>7105</v>
      </c>
      <c r="K776" s="93" t="s">
        <v>111</v>
      </c>
      <c r="L776" s="93" t="s">
        <v>111</v>
      </c>
      <c r="M776" s="93" t="s">
        <v>111</v>
      </c>
      <c r="N776" s="93" t="s">
        <v>111</v>
      </c>
      <c r="O776" s="93" t="s">
        <v>111</v>
      </c>
      <c r="P776" s="93" t="s">
        <v>111</v>
      </c>
      <c r="Q776" s="93" t="s">
        <v>111</v>
      </c>
      <c r="R776" s="93" t="s">
        <v>111</v>
      </c>
      <c r="S776" s="93" t="s">
        <v>111</v>
      </c>
      <c r="T776" s="93" t="s">
        <v>116</v>
      </c>
      <c r="U776" s="94">
        <v>44596.605555555558</v>
      </c>
      <c r="V776" s="93" t="s">
        <v>402</v>
      </c>
      <c r="W776" s="93" t="s">
        <v>24</v>
      </c>
    </row>
    <row r="777" spans="1:23" x14ac:dyDescent="0.15">
      <c r="A777" s="93" t="s">
        <v>7608</v>
      </c>
      <c r="B777" s="93" t="s">
        <v>7609</v>
      </c>
      <c r="C777" s="93">
        <v>108</v>
      </c>
      <c r="D777" s="93" t="s">
        <v>24</v>
      </c>
      <c r="E777" s="93" t="s">
        <v>24</v>
      </c>
      <c r="F777" s="93" t="s">
        <v>7</v>
      </c>
      <c r="G777" s="93" t="s">
        <v>7183</v>
      </c>
      <c r="H777" s="93" t="s">
        <v>400</v>
      </c>
      <c r="I777" s="93" t="s">
        <v>111</v>
      </c>
      <c r="J777" s="93" t="s">
        <v>7105</v>
      </c>
      <c r="K777" s="93" t="s">
        <v>111</v>
      </c>
      <c r="L777" s="93" t="s">
        <v>111</v>
      </c>
      <c r="M777" s="93" t="s">
        <v>111</v>
      </c>
      <c r="N777" s="93" t="s">
        <v>111</v>
      </c>
      <c r="O777" s="93" t="s">
        <v>111</v>
      </c>
      <c r="P777" s="93" t="s">
        <v>111</v>
      </c>
      <c r="Q777" s="93" t="s">
        <v>111</v>
      </c>
      <c r="R777" s="93" t="s">
        <v>111</v>
      </c>
      <c r="S777" s="93" t="s">
        <v>111</v>
      </c>
      <c r="T777" s="93" t="s">
        <v>116</v>
      </c>
      <c r="U777" s="94">
        <v>44596.601388888892</v>
      </c>
      <c r="V777" s="93" t="s">
        <v>402</v>
      </c>
      <c r="W777" s="93" t="s">
        <v>24</v>
      </c>
    </row>
    <row r="778" spans="1:23" x14ac:dyDescent="0.15">
      <c r="A778" s="93" t="s">
        <v>7610</v>
      </c>
      <c r="B778" s="93" t="s">
        <v>7611</v>
      </c>
      <c r="C778" s="93">
        <v>168</v>
      </c>
      <c r="D778" s="93" t="s">
        <v>24</v>
      </c>
      <c r="E778" s="93" t="s">
        <v>24</v>
      </c>
      <c r="F778" s="93" t="s">
        <v>7</v>
      </c>
      <c r="G778" s="93" t="s">
        <v>7183</v>
      </c>
      <c r="H778" s="93" t="s">
        <v>400</v>
      </c>
      <c r="I778" s="93" t="s">
        <v>111</v>
      </c>
      <c r="J778" s="93" t="s">
        <v>7105</v>
      </c>
      <c r="K778" s="93" t="s">
        <v>111</v>
      </c>
      <c r="L778" s="93" t="s">
        <v>111</v>
      </c>
      <c r="M778" s="93" t="s">
        <v>111</v>
      </c>
      <c r="N778" s="93" t="s">
        <v>111</v>
      </c>
      <c r="O778" s="93" t="s">
        <v>111</v>
      </c>
      <c r="P778" s="93" t="s">
        <v>111</v>
      </c>
      <c r="Q778" s="93" t="s">
        <v>111</v>
      </c>
      <c r="R778" s="93" t="s">
        <v>2</v>
      </c>
      <c r="S778" s="93" t="s">
        <v>111</v>
      </c>
      <c r="T778" s="93" t="s">
        <v>116</v>
      </c>
      <c r="U778" s="94">
        <v>44596.574305555558</v>
      </c>
      <c r="V778" s="93" t="s">
        <v>402</v>
      </c>
      <c r="W778" s="93" t="s">
        <v>24</v>
      </c>
    </row>
    <row r="779" spans="1:23" x14ac:dyDescent="0.15">
      <c r="A779" s="93" t="s">
        <v>7612</v>
      </c>
      <c r="B779" s="93" t="s">
        <v>7613</v>
      </c>
      <c r="C779" s="93">
        <v>480</v>
      </c>
      <c r="D779" s="93" t="s">
        <v>24</v>
      </c>
      <c r="E779" s="93" t="s">
        <v>24</v>
      </c>
      <c r="F779" s="93" t="s">
        <v>7</v>
      </c>
      <c r="G779" s="93" t="s">
        <v>7183</v>
      </c>
      <c r="H779" s="93" t="s">
        <v>400</v>
      </c>
      <c r="I779" s="93" t="s">
        <v>111</v>
      </c>
      <c r="J779" s="93" t="s">
        <v>7105</v>
      </c>
      <c r="K779" s="93" t="s">
        <v>111</v>
      </c>
      <c r="L779" s="93" t="s">
        <v>111</v>
      </c>
      <c r="M779" s="93" t="s">
        <v>111</v>
      </c>
      <c r="N779" s="93" t="s">
        <v>111</v>
      </c>
      <c r="O779" s="93" t="s">
        <v>111</v>
      </c>
      <c r="P779" s="93" t="s">
        <v>111</v>
      </c>
      <c r="Q779" s="93" t="s">
        <v>111</v>
      </c>
      <c r="R779" s="93" t="s">
        <v>111</v>
      </c>
      <c r="S779" s="93" t="s">
        <v>111</v>
      </c>
      <c r="T779" s="93" t="s">
        <v>116</v>
      </c>
      <c r="U779" s="94">
        <v>44596.583333333336</v>
      </c>
      <c r="V779" s="93" t="s">
        <v>402</v>
      </c>
      <c r="W779" s="93" t="s">
        <v>24</v>
      </c>
    </row>
    <row r="780" spans="1:23" x14ac:dyDescent="0.15">
      <c r="A780" s="93" t="s">
        <v>7614</v>
      </c>
      <c r="B780" s="93" t="s">
        <v>7615</v>
      </c>
      <c r="C780" s="93">
        <v>1224</v>
      </c>
      <c r="D780" s="93" t="s">
        <v>24</v>
      </c>
      <c r="E780" s="93" t="s">
        <v>24</v>
      </c>
      <c r="F780" s="93" t="s">
        <v>7</v>
      </c>
      <c r="G780" s="93" t="s">
        <v>7183</v>
      </c>
      <c r="H780" s="93" t="s">
        <v>400</v>
      </c>
      <c r="I780" s="93" t="s">
        <v>111</v>
      </c>
      <c r="J780" s="93" t="s">
        <v>7105</v>
      </c>
      <c r="K780" s="93" t="s">
        <v>111</v>
      </c>
      <c r="L780" s="93" t="s">
        <v>111</v>
      </c>
      <c r="M780" s="93" t="s">
        <v>111</v>
      </c>
      <c r="N780" s="93" t="s">
        <v>111</v>
      </c>
      <c r="O780" s="93" t="s">
        <v>111</v>
      </c>
      <c r="P780" s="93" t="s">
        <v>111</v>
      </c>
      <c r="Q780" s="93" t="s">
        <v>111</v>
      </c>
      <c r="R780" s="93" t="s">
        <v>111</v>
      </c>
      <c r="S780" s="93" t="s">
        <v>111</v>
      </c>
      <c r="T780" s="93" t="s">
        <v>116</v>
      </c>
      <c r="U780" s="94">
        <v>44596.578472222223</v>
      </c>
      <c r="V780" s="93" t="s">
        <v>402</v>
      </c>
      <c r="W780" s="93" t="s">
        <v>24</v>
      </c>
    </row>
    <row r="781" spans="1:23" x14ac:dyDescent="0.15">
      <c r="A781" s="93" t="s">
        <v>7616</v>
      </c>
      <c r="B781" s="93" t="s">
        <v>7617</v>
      </c>
      <c r="C781" s="93">
        <v>1920</v>
      </c>
      <c r="D781" s="93" t="s">
        <v>24</v>
      </c>
      <c r="E781" s="93" t="s">
        <v>24</v>
      </c>
      <c r="F781" s="93" t="s">
        <v>7</v>
      </c>
      <c r="G781" s="93" t="s">
        <v>7183</v>
      </c>
      <c r="H781" s="93" t="s">
        <v>400</v>
      </c>
      <c r="I781" s="93" t="s">
        <v>111</v>
      </c>
      <c r="J781" s="93" t="s">
        <v>7105</v>
      </c>
      <c r="K781" s="93" t="s">
        <v>111</v>
      </c>
      <c r="L781" s="93" t="s">
        <v>111</v>
      </c>
      <c r="M781" s="93" t="s">
        <v>111</v>
      </c>
      <c r="N781" s="93" t="s">
        <v>111</v>
      </c>
      <c r="O781" s="93" t="s">
        <v>111</v>
      </c>
      <c r="P781" s="93" t="s">
        <v>111</v>
      </c>
      <c r="Q781" s="93" t="s">
        <v>111</v>
      </c>
      <c r="R781" s="93" t="s">
        <v>111</v>
      </c>
      <c r="S781" s="93" t="s">
        <v>111</v>
      </c>
      <c r="T781" s="93" t="s">
        <v>116</v>
      </c>
      <c r="U781" s="94">
        <v>44596.601388888892</v>
      </c>
      <c r="V781" s="93" t="s">
        <v>402</v>
      </c>
      <c r="W781" s="93" t="s">
        <v>24</v>
      </c>
    </row>
    <row r="782" spans="1:23" x14ac:dyDescent="0.15">
      <c r="A782" s="93" t="s">
        <v>7618</v>
      </c>
      <c r="B782" s="93" t="s">
        <v>7619</v>
      </c>
      <c r="C782" s="93">
        <v>2400</v>
      </c>
      <c r="D782" s="93" t="s">
        <v>24</v>
      </c>
      <c r="E782" s="93" t="s">
        <v>24</v>
      </c>
      <c r="F782" s="93" t="s">
        <v>7</v>
      </c>
      <c r="G782" s="93" t="s">
        <v>7183</v>
      </c>
      <c r="H782" s="93" t="s">
        <v>400</v>
      </c>
      <c r="I782" s="93" t="s">
        <v>111</v>
      </c>
      <c r="J782" s="93" t="s">
        <v>7105</v>
      </c>
      <c r="K782" s="93" t="s">
        <v>111</v>
      </c>
      <c r="L782" s="93" t="s">
        <v>111</v>
      </c>
      <c r="M782" s="93" t="s">
        <v>111</v>
      </c>
      <c r="N782" s="93" t="s">
        <v>111</v>
      </c>
      <c r="O782" s="93" t="s">
        <v>111</v>
      </c>
      <c r="P782" s="93" t="s">
        <v>111</v>
      </c>
      <c r="Q782" s="93" t="s">
        <v>111</v>
      </c>
      <c r="R782" s="93" t="s">
        <v>111</v>
      </c>
      <c r="S782" s="93" t="s">
        <v>111</v>
      </c>
      <c r="T782" s="93" t="s">
        <v>116</v>
      </c>
      <c r="U782" s="94">
        <v>44596.601388888892</v>
      </c>
      <c r="V782" s="93" t="s">
        <v>402</v>
      </c>
      <c r="W782" s="93" t="s">
        <v>24</v>
      </c>
    </row>
    <row r="783" spans="1:23" x14ac:dyDescent="0.15">
      <c r="A783" s="93" t="s">
        <v>7620</v>
      </c>
      <c r="B783" s="93" t="s">
        <v>7621</v>
      </c>
      <c r="C783" s="93">
        <v>6120</v>
      </c>
      <c r="D783" s="93" t="s">
        <v>24</v>
      </c>
      <c r="E783" s="93" t="s">
        <v>24</v>
      </c>
      <c r="F783" s="93" t="s">
        <v>7</v>
      </c>
      <c r="G783" s="93" t="s">
        <v>7183</v>
      </c>
      <c r="H783" s="93" t="s">
        <v>400</v>
      </c>
      <c r="I783" s="93" t="s">
        <v>111</v>
      </c>
      <c r="J783" s="93" t="s">
        <v>7105</v>
      </c>
      <c r="K783" s="93" t="s">
        <v>111</v>
      </c>
      <c r="L783" s="93" t="s">
        <v>111</v>
      </c>
      <c r="M783" s="93" t="s">
        <v>111</v>
      </c>
      <c r="N783" s="93" t="s">
        <v>111</v>
      </c>
      <c r="O783" s="93" t="s">
        <v>111</v>
      </c>
      <c r="P783" s="93" t="s">
        <v>111</v>
      </c>
      <c r="Q783" s="93" t="s">
        <v>111</v>
      </c>
      <c r="R783" s="93" t="s">
        <v>2</v>
      </c>
      <c r="S783" s="93" t="s">
        <v>111</v>
      </c>
      <c r="T783" s="93" t="s">
        <v>116</v>
      </c>
      <c r="U783" s="94">
        <v>44596.561805555553</v>
      </c>
      <c r="V783" s="93" t="s">
        <v>402</v>
      </c>
      <c r="W783" s="93" t="s">
        <v>24</v>
      </c>
    </row>
    <row r="784" spans="1:23" x14ac:dyDescent="0.15">
      <c r="A784" s="93" t="s">
        <v>7622</v>
      </c>
      <c r="B784" s="93" t="s">
        <v>7623</v>
      </c>
      <c r="C784" s="93">
        <v>9600</v>
      </c>
      <c r="D784" s="93" t="s">
        <v>24</v>
      </c>
      <c r="E784" s="93" t="s">
        <v>24</v>
      </c>
      <c r="F784" s="93" t="s">
        <v>7</v>
      </c>
      <c r="G784" s="93" t="s">
        <v>7183</v>
      </c>
      <c r="H784" s="93" t="s">
        <v>400</v>
      </c>
      <c r="I784" s="93" t="s">
        <v>111</v>
      </c>
      <c r="J784" s="93" t="s">
        <v>7105</v>
      </c>
      <c r="K784" s="93" t="s">
        <v>111</v>
      </c>
      <c r="L784" s="93" t="s">
        <v>111</v>
      </c>
      <c r="M784" s="93" t="s">
        <v>111</v>
      </c>
      <c r="N784" s="93" t="s">
        <v>111</v>
      </c>
      <c r="O784" s="93" t="s">
        <v>111</v>
      </c>
      <c r="P784" s="93" t="s">
        <v>111</v>
      </c>
      <c r="Q784" s="93" t="s">
        <v>111</v>
      </c>
      <c r="R784" s="93" t="s">
        <v>111</v>
      </c>
      <c r="S784" s="93" t="s">
        <v>111</v>
      </c>
      <c r="T784" s="93" t="s">
        <v>116</v>
      </c>
      <c r="U784" s="94">
        <v>44596.601388888892</v>
      </c>
      <c r="V784" s="93" t="s">
        <v>402</v>
      </c>
      <c r="W784" s="93" t="s">
        <v>24</v>
      </c>
    </row>
    <row r="785" spans="1:23" x14ac:dyDescent="0.15">
      <c r="A785" s="93" t="s">
        <v>7624</v>
      </c>
      <c r="B785" s="93" t="s">
        <v>7625</v>
      </c>
      <c r="C785" s="93">
        <v>180</v>
      </c>
      <c r="D785" s="93" t="s">
        <v>24</v>
      </c>
      <c r="E785" s="93" t="s">
        <v>24</v>
      </c>
      <c r="F785" s="93" t="s">
        <v>7</v>
      </c>
      <c r="G785" s="93" t="s">
        <v>7183</v>
      </c>
      <c r="H785" s="93" t="s">
        <v>400</v>
      </c>
      <c r="I785" s="93" t="s">
        <v>111</v>
      </c>
      <c r="J785" s="93" t="s">
        <v>7105</v>
      </c>
      <c r="K785" s="93" t="s">
        <v>111</v>
      </c>
      <c r="L785" s="93" t="s">
        <v>111</v>
      </c>
      <c r="M785" s="93" t="s">
        <v>111</v>
      </c>
      <c r="N785" s="93" t="s">
        <v>111</v>
      </c>
      <c r="O785" s="93" t="s">
        <v>111</v>
      </c>
      <c r="P785" s="93" t="s">
        <v>111</v>
      </c>
      <c r="Q785" s="93" t="s">
        <v>111</v>
      </c>
      <c r="R785" s="93" t="s">
        <v>2</v>
      </c>
      <c r="S785" s="93" t="s">
        <v>111</v>
      </c>
      <c r="T785" s="93" t="s">
        <v>116</v>
      </c>
      <c r="U785" s="94">
        <v>44596.609722222223</v>
      </c>
      <c r="V785" s="93" t="s">
        <v>402</v>
      </c>
      <c r="W785" s="93" t="s">
        <v>24</v>
      </c>
    </row>
    <row r="786" spans="1:23" x14ac:dyDescent="0.15">
      <c r="A786" s="93" t="s">
        <v>7626</v>
      </c>
      <c r="B786" s="93" t="s">
        <v>7627</v>
      </c>
      <c r="C786" s="93">
        <v>459</v>
      </c>
      <c r="D786" s="93" t="s">
        <v>24</v>
      </c>
      <c r="E786" s="93" t="s">
        <v>24</v>
      </c>
      <c r="F786" s="93" t="s">
        <v>7</v>
      </c>
      <c r="G786" s="93" t="s">
        <v>7183</v>
      </c>
      <c r="H786" s="93" t="s">
        <v>400</v>
      </c>
      <c r="I786" s="93" t="s">
        <v>111</v>
      </c>
      <c r="J786" s="93" t="s">
        <v>7105</v>
      </c>
      <c r="K786" s="93" t="s">
        <v>111</v>
      </c>
      <c r="L786" s="93" t="s">
        <v>111</v>
      </c>
      <c r="M786" s="93" t="s">
        <v>111</v>
      </c>
      <c r="N786" s="93" t="s">
        <v>111</v>
      </c>
      <c r="O786" s="93" t="s">
        <v>111</v>
      </c>
      <c r="P786" s="93" t="s">
        <v>111</v>
      </c>
      <c r="Q786" s="93" t="s">
        <v>111</v>
      </c>
      <c r="R786" s="93" t="s">
        <v>111</v>
      </c>
      <c r="S786" s="93" t="s">
        <v>111</v>
      </c>
      <c r="T786" s="93" t="s">
        <v>116</v>
      </c>
      <c r="U786" s="94">
        <v>44596.578472222223</v>
      </c>
      <c r="V786" s="93" t="s">
        <v>402</v>
      </c>
      <c r="W786" s="93" t="s">
        <v>24</v>
      </c>
    </row>
    <row r="787" spans="1:23" x14ac:dyDescent="0.15">
      <c r="A787" s="93" t="s">
        <v>7628</v>
      </c>
      <c r="B787" s="93" t="s">
        <v>7629</v>
      </c>
      <c r="C787" s="93">
        <v>720</v>
      </c>
      <c r="D787" s="93" t="s">
        <v>24</v>
      </c>
      <c r="E787" s="93" t="s">
        <v>24</v>
      </c>
      <c r="F787" s="93" t="s">
        <v>7</v>
      </c>
      <c r="G787" s="93" t="s">
        <v>7183</v>
      </c>
      <c r="H787" s="93" t="s">
        <v>400</v>
      </c>
      <c r="I787" s="93" t="s">
        <v>111</v>
      </c>
      <c r="J787" s="93" t="s">
        <v>7105</v>
      </c>
      <c r="K787" s="93" t="s">
        <v>111</v>
      </c>
      <c r="L787" s="93" t="s">
        <v>111</v>
      </c>
      <c r="M787" s="93" t="s">
        <v>111</v>
      </c>
      <c r="N787" s="93" t="s">
        <v>111</v>
      </c>
      <c r="O787" s="93" t="s">
        <v>111</v>
      </c>
      <c r="P787" s="93" t="s">
        <v>111</v>
      </c>
      <c r="Q787" s="93" t="s">
        <v>111</v>
      </c>
      <c r="R787" s="93" t="s">
        <v>111</v>
      </c>
      <c r="S787" s="93" t="s">
        <v>111</v>
      </c>
      <c r="T787" s="93" t="s">
        <v>116</v>
      </c>
      <c r="U787" s="94">
        <v>44596.603472222225</v>
      </c>
      <c r="V787" s="93" t="s">
        <v>402</v>
      </c>
      <c r="W787" s="93" t="s">
        <v>24</v>
      </c>
    </row>
    <row r="788" spans="1:23" x14ac:dyDescent="0.15">
      <c r="A788" s="93" t="s">
        <v>7630</v>
      </c>
      <c r="B788" s="93" t="s">
        <v>7631</v>
      </c>
      <c r="C788" s="93">
        <v>840</v>
      </c>
      <c r="D788" s="93" t="s">
        <v>24</v>
      </c>
      <c r="E788" s="93" t="s">
        <v>24</v>
      </c>
      <c r="F788" s="93" t="s">
        <v>7</v>
      </c>
      <c r="G788" s="93" t="s">
        <v>7183</v>
      </c>
      <c r="H788" s="93" t="s">
        <v>400</v>
      </c>
      <c r="I788" s="93" t="s">
        <v>111</v>
      </c>
      <c r="J788" s="93" t="s">
        <v>7105</v>
      </c>
      <c r="K788" s="93" t="s">
        <v>111</v>
      </c>
      <c r="L788" s="93" t="s">
        <v>111</v>
      </c>
      <c r="M788" s="93" t="s">
        <v>111</v>
      </c>
      <c r="N788" s="93" t="s">
        <v>111</v>
      </c>
      <c r="O788" s="93" t="s">
        <v>111</v>
      </c>
      <c r="P788" s="93" t="s">
        <v>111</v>
      </c>
      <c r="Q788" s="93" t="s">
        <v>111</v>
      </c>
      <c r="R788" s="93" t="s">
        <v>111</v>
      </c>
      <c r="S788" s="93" t="s">
        <v>111</v>
      </c>
      <c r="T788" s="93" t="s">
        <v>116</v>
      </c>
      <c r="U788" s="94">
        <v>44596.613194444442</v>
      </c>
      <c r="V788" s="93" t="s">
        <v>402</v>
      </c>
      <c r="W788" s="93" t="s">
        <v>24</v>
      </c>
    </row>
    <row r="789" spans="1:23" x14ac:dyDescent="0.15">
      <c r="A789" s="93" t="s">
        <v>7632</v>
      </c>
      <c r="B789" s="93" t="s">
        <v>7633</v>
      </c>
      <c r="C789" s="93">
        <v>2142</v>
      </c>
      <c r="D789" s="93" t="s">
        <v>24</v>
      </c>
      <c r="E789" s="93" t="s">
        <v>24</v>
      </c>
      <c r="F789" s="93" t="s">
        <v>7</v>
      </c>
      <c r="G789" s="93" t="s">
        <v>7183</v>
      </c>
      <c r="H789" s="93" t="s">
        <v>400</v>
      </c>
      <c r="I789" s="93" t="s">
        <v>111</v>
      </c>
      <c r="J789" s="93" t="s">
        <v>7105</v>
      </c>
      <c r="K789" s="93" t="s">
        <v>111</v>
      </c>
      <c r="L789" s="93" t="s">
        <v>111</v>
      </c>
      <c r="M789" s="93" t="s">
        <v>111</v>
      </c>
      <c r="N789" s="93" t="s">
        <v>111</v>
      </c>
      <c r="O789" s="93" t="s">
        <v>111</v>
      </c>
      <c r="P789" s="93" t="s">
        <v>111</v>
      </c>
      <c r="Q789" s="93" t="s">
        <v>111</v>
      </c>
      <c r="R789" s="93" t="s">
        <v>111</v>
      </c>
      <c r="S789" s="93" t="s">
        <v>111</v>
      </c>
      <c r="T789" s="93" t="s">
        <v>116</v>
      </c>
      <c r="U789" s="94">
        <v>44596.570138888892</v>
      </c>
      <c r="V789" s="93" t="s">
        <v>402</v>
      </c>
      <c r="W789" s="93" t="s">
        <v>24</v>
      </c>
    </row>
    <row r="790" spans="1:23" x14ac:dyDescent="0.15">
      <c r="A790" s="93" t="s">
        <v>7634</v>
      </c>
      <c r="B790" s="93" t="s">
        <v>7635</v>
      </c>
      <c r="C790" s="93">
        <v>3360</v>
      </c>
      <c r="D790" s="93" t="s">
        <v>24</v>
      </c>
      <c r="E790" s="93" t="s">
        <v>24</v>
      </c>
      <c r="F790" s="93" t="s">
        <v>7</v>
      </c>
      <c r="G790" s="93" t="s">
        <v>7183</v>
      </c>
      <c r="H790" s="93" t="s">
        <v>400</v>
      </c>
      <c r="I790" s="93" t="s">
        <v>111</v>
      </c>
      <c r="J790" s="93" t="s">
        <v>7105</v>
      </c>
      <c r="K790" s="93" t="s">
        <v>111</v>
      </c>
      <c r="L790" s="93" t="s">
        <v>111</v>
      </c>
      <c r="M790" s="93" t="s">
        <v>111</v>
      </c>
      <c r="N790" s="93" t="s">
        <v>111</v>
      </c>
      <c r="O790" s="93" t="s">
        <v>111</v>
      </c>
      <c r="P790" s="93" t="s">
        <v>111</v>
      </c>
      <c r="Q790" s="93" t="s">
        <v>111</v>
      </c>
      <c r="R790" s="93" t="s">
        <v>111</v>
      </c>
      <c r="S790" s="93" t="s">
        <v>111</v>
      </c>
      <c r="T790" s="93" t="s">
        <v>116</v>
      </c>
      <c r="U790" s="94">
        <v>44596.578472222223</v>
      </c>
      <c r="V790" s="93" t="s">
        <v>402</v>
      </c>
      <c r="W790" s="93" t="s">
        <v>24</v>
      </c>
    </row>
    <row r="791" spans="1:23" x14ac:dyDescent="0.15">
      <c r="A791" s="93" t="s">
        <v>7636</v>
      </c>
      <c r="B791" s="93" t="s">
        <v>7637</v>
      </c>
      <c r="C791" s="93">
        <v>3600</v>
      </c>
      <c r="D791" s="93" t="s">
        <v>24</v>
      </c>
      <c r="E791" s="93" t="s">
        <v>24</v>
      </c>
      <c r="F791" s="93" t="s">
        <v>7</v>
      </c>
      <c r="G791" s="93" t="s">
        <v>7183</v>
      </c>
      <c r="H791" s="93" t="s">
        <v>400</v>
      </c>
      <c r="I791" s="93" t="s">
        <v>111</v>
      </c>
      <c r="J791" s="93" t="s">
        <v>7105</v>
      </c>
      <c r="K791" s="93" t="s">
        <v>111</v>
      </c>
      <c r="L791" s="93" t="s">
        <v>111</v>
      </c>
      <c r="M791" s="93" t="s">
        <v>111</v>
      </c>
      <c r="N791" s="93" t="s">
        <v>111</v>
      </c>
      <c r="O791" s="93" t="s">
        <v>111</v>
      </c>
      <c r="P791" s="93" t="s">
        <v>111</v>
      </c>
      <c r="Q791" s="93" t="s">
        <v>111</v>
      </c>
      <c r="R791" s="93" t="s">
        <v>111</v>
      </c>
      <c r="S791" s="93" t="s">
        <v>111</v>
      </c>
      <c r="T791" s="93" t="s">
        <v>116</v>
      </c>
      <c r="U791" s="94">
        <v>44596.574305555558</v>
      </c>
      <c r="V791" s="93" t="s">
        <v>402</v>
      </c>
      <c r="W791" s="93" t="s">
        <v>24</v>
      </c>
    </row>
    <row r="792" spans="1:23" x14ac:dyDescent="0.15">
      <c r="A792" s="93" t="s">
        <v>7638</v>
      </c>
      <c r="B792" s="93" t="s">
        <v>7639</v>
      </c>
      <c r="C792" s="93">
        <v>9180</v>
      </c>
      <c r="D792" s="93" t="s">
        <v>24</v>
      </c>
      <c r="E792" s="93" t="s">
        <v>24</v>
      </c>
      <c r="F792" s="93" t="s">
        <v>7</v>
      </c>
      <c r="G792" s="93" t="s">
        <v>7183</v>
      </c>
      <c r="H792" s="93" t="s">
        <v>400</v>
      </c>
      <c r="I792" s="93" t="s">
        <v>111</v>
      </c>
      <c r="J792" s="93" t="s">
        <v>7105</v>
      </c>
      <c r="K792" s="93" t="s">
        <v>111</v>
      </c>
      <c r="L792" s="93" t="s">
        <v>111</v>
      </c>
      <c r="M792" s="93" t="s">
        <v>111</v>
      </c>
      <c r="N792" s="93" t="s">
        <v>111</v>
      </c>
      <c r="O792" s="93" t="s">
        <v>111</v>
      </c>
      <c r="P792" s="93" t="s">
        <v>111</v>
      </c>
      <c r="Q792" s="93" t="s">
        <v>111</v>
      </c>
      <c r="R792" s="93" t="s">
        <v>111</v>
      </c>
      <c r="S792" s="93" t="s">
        <v>111</v>
      </c>
      <c r="T792" s="93" t="s">
        <v>116</v>
      </c>
      <c r="U792" s="94">
        <v>44596.583333333336</v>
      </c>
      <c r="V792" s="93" t="s">
        <v>402</v>
      </c>
      <c r="W792" s="93" t="s">
        <v>24</v>
      </c>
    </row>
    <row r="793" spans="1:23" x14ac:dyDescent="0.15">
      <c r="A793" s="93" t="s">
        <v>7640</v>
      </c>
      <c r="B793" s="93" t="s">
        <v>7641</v>
      </c>
      <c r="C793" s="93">
        <v>14400</v>
      </c>
      <c r="D793" s="93" t="s">
        <v>24</v>
      </c>
      <c r="E793" s="93" t="s">
        <v>24</v>
      </c>
      <c r="F793" s="93" t="s">
        <v>7</v>
      </c>
      <c r="G793" s="93" t="s">
        <v>7183</v>
      </c>
      <c r="H793" s="93" t="s">
        <v>400</v>
      </c>
      <c r="I793" s="93" t="s">
        <v>111</v>
      </c>
      <c r="J793" s="93" t="s">
        <v>7105</v>
      </c>
      <c r="K793" s="93" t="s">
        <v>111</v>
      </c>
      <c r="L793" s="93" t="s">
        <v>111</v>
      </c>
      <c r="M793" s="93" t="s">
        <v>111</v>
      </c>
      <c r="N793" s="93" t="s">
        <v>111</v>
      </c>
      <c r="O793" s="93" t="s">
        <v>111</v>
      </c>
      <c r="P793" s="93" t="s">
        <v>111</v>
      </c>
      <c r="Q793" s="93" t="s">
        <v>111</v>
      </c>
      <c r="R793" s="93" t="s">
        <v>2</v>
      </c>
      <c r="S793" s="93" t="s">
        <v>111</v>
      </c>
      <c r="T793" s="93" t="s">
        <v>116</v>
      </c>
      <c r="U793" s="94">
        <v>44596.560416666667</v>
      </c>
      <c r="V793" s="93" t="s">
        <v>402</v>
      </c>
      <c r="W793" s="93" t="s">
        <v>24</v>
      </c>
    </row>
    <row r="794" spans="1:23" x14ac:dyDescent="0.15">
      <c r="A794" s="93" t="s">
        <v>7642</v>
      </c>
      <c r="B794" s="93" t="s">
        <v>7643</v>
      </c>
      <c r="C794" s="93">
        <v>222</v>
      </c>
      <c r="D794" s="93" t="s">
        <v>24</v>
      </c>
      <c r="E794" s="93" t="s">
        <v>24</v>
      </c>
      <c r="F794" s="93" t="s">
        <v>7</v>
      </c>
      <c r="G794" s="93" t="s">
        <v>7183</v>
      </c>
      <c r="H794" s="93" t="s">
        <v>400</v>
      </c>
      <c r="I794" s="93" t="s">
        <v>111</v>
      </c>
      <c r="J794" s="93" t="s">
        <v>118</v>
      </c>
      <c r="K794" s="93">
        <v>3</v>
      </c>
      <c r="L794" s="93" t="s">
        <v>111</v>
      </c>
      <c r="M794" s="93" t="s">
        <v>111</v>
      </c>
      <c r="N794" s="93" t="s">
        <v>111</v>
      </c>
      <c r="O794" s="93" t="s">
        <v>111</v>
      </c>
      <c r="P794" s="93" t="s">
        <v>111</v>
      </c>
      <c r="Q794" s="93" t="s">
        <v>111</v>
      </c>
      <c r="R794" s="93" t="s">
        <v>111</v>
      </c>
      <c r="S794" s="93" t="s">
        <v>111</v>
      </c>
      <c r="T794" s="93" t="s">
        <v>116</v>
      </c>
      <c r="U794" s="94">
        <v>44596.613194444442</v>
      </c>
      <c r="V794" s="93" t="s">
        <v>402</v>
      </c>
      <c r="W794" s="93" t="s">
        <v>24</v>
      </c>
    </row>
    <row r="795" spans="1:23" x14ac:dyDescent="0.15">
      <c r="A795" s="93" t="s">
        <v>7644</v>
      </c>
      <c r="B795" s="93" t="s">
        <v>7645</v>
      </c>
      <c r="C795" s="93">
        <v>567</v>
      </c>
      <c r="D795" s="93" t="s">
        <v>24</v>
      </c>
      <c r="E795" s="93" t="s">
        <v>24</v>
      </c>
      <c r="F795" s="93" t="s">
        <v>7</v>
      </c>
      <c r="G795" s="93" t="s">
        <v>7183</v>
      </c>
      <c r="H795" s="93" t="s">
        <v>400</v>
      </c>
      <c r="I795" s="93" t="s">
        <v>111</v>
      </c>
      <c r="J795" s="93" t="s">
        <v>7105</v>
      </c>
      <c r="K795" s="93" t="s">
        <v>111</v>
      </c>
      <c r="L795" s="93" t="s">
        <v>111</v>
      </c>
      <c r="M795" s="93" t="s">
        <v>111</v>
      </c>
      <c r="N795" s="93" t="s">
        <v>111</v>
      </c>
      <c r="O795" s="93" t="s">
        <v>111</v>
      </c>
      <c r="P795" s="93" t="s">
        <v>111</v>
      </c>
      <c r="Q795" s="93" t="s">
        <v>111</v>
      </c>
      <c r="R795" s="93" t="s">
        <v>2</v>
      </c>
      <c r="S795" s="93" t="s">
        <v>111</v>
      </c>
      <c r="T795" s="93" t="s">
        <v>116</v>
      </c>
      <c r="U795" s="94">
        <v>44596.570138888892</v>
      </c>
      <c r="V795" s="93" t="s">
        <v>402</v>
      </c>
      <c r="W795" s="93" t="s">
        <v>24</v>
      </c>
    </row>
    <row r="796" spans="1:23" x14ac:dyDescent="0.15">
      <c r="A796" s="93" t="s">
        <v>7646</v>
      </c>
      <c r="B796" s="93" t="s">
        <v>7647</v>
      </c>
      <c r="C796" s="93">
        <v>888</v>
      </c>
      <c r="D796" s="93" t="s">
        <v>24</v>
      </c>
      <c r="E796" s="93" t="s">
        <v>24</v>
      </c>
      <c r="F796" s="93" t="s">
        <v>7</v>
      </c>
      <c r="G796" s="93" t="s">
        <v>7183</v>
      </c>
      <c r="H796" s="93" t="s">
        <v>400</v>
      </c>
      <c r="I796" s="93" t="s">
        <v>111</v>
      </c>
      <c r="J796" s="93" t="s">
        <v>7105</v>
      </c>
      <c r="K796" s="93" t="s">
        <v>111</v>
      </c>
      <c r="L796" s="93" t="s">
        <v>111</v>
      </c>
      <c r="M796" s="93" t="s">
        <v>111</v>
      </c>
      <c r="N796" s="93" t="s">
        <v>111</v>
      </c>
      <c r="O796" s="93" t="s">
        <v>111</v>
      </c>
      <c r="P796" s="93" t="s">
        <v>111</v>
      </c>
      <c r="Q796" s="93" t="s">
        <v>111</v>
      </c>
      <c r="R796" s="93" t="s">
        <v>111</v>
      </c>
      <c r="S796" s="93" t="s">
        <v>111</v>
      </c>
      <c r="T796" s="93" t="s">
        <v>116</v>
      </c>
      <c r="U796" s="94">
        <v>44596.613194444442</v>
      </c>
      <c r="V796" s="93" t="s">
        <v>402</v>
      </c>
      <c r="W796" s="93" t="s">
        <v>24</v>
      </c>
    </row>
    <row r="797" spans="1:23" x14ac:dyDescent="0.15">
      <c r="A797" s="93" t="s">
        <v>7648</v>
      </c>
      <c r="B797" s="93" t="s">
        <v>7649</v>
      </c>
      <c r="C797" s="93">
        <v>1080</v>
      </c>
      <c r="D797" s="93" t="s">
        <v>24</v>
      </c>
      <c r="E797" s="93" t="s">
        <v>24</v>
      </c>
      <c r="F797" s="93" t="s">
        <v>7</v>
      </c>
      <c r="G797" s="93" t="s">
        <v>7183</v>
      </c>
      <c r="H797" s="93" t="s">
        <v>400</v>
      </c>
      <c r="I797" s="93" t="s">
        <v>111</v>
      </c>
      <c r="J797" s="93" t="s">
        <v>7105</v>
      </c>
      <c r="K797" s="93" t="s">
        <v>111</v>
      </c>
      <c r="L797" s="93" t="s">
        <v>111</v>
      </c>
      <c r="M797" s="93" t="s">
        <v>111</v>
      </c>
      <c r="N797" s="93" t="s">
        <v>111</v>
      </c>
      <c r="O797" s="93" t="s">
        <v>111</v>
      </c>
      <c r="P797" s="93" t="s">
        <v>111</v>
      </c>
      <c r="Q797" s="93" t="s">
        <v>111</v>
      </c>
      <c r="R797" s="93" t="s">
        <v>111</v>
      </c>
      <c r="S797" s="93" t="s">
        <v>111</v>
      </c>
      <c r="T797" s="93" t="s">
        <v>116</v>
      </c>
      <c r="U797" s="94">
        <v>44596.56527777778</v>
      </c>
      <c r="V797" s="93" t="s">
        <v>402</v>
      </c>
      <c r="W797" s="93" t="s">
        <v>24</v>
      </c>
    </row>
    <row r="798" spans="1:23" x14ac:dyDescent="0.15">
      <c r="A798" s="93" t="s">
        <v>7650</v>
      </c>
      <c r="B798" s="93" t="s">
        <v>7651</v>
      </c>
      <c r="C798" s="93">
        <v>2754</v>
      </c>
      <c r="D798" s="93" t="s">
        <v>24</v>
      </c>
      <c r="E798" s="93" t="s">
        <v>24</v>
      </c>
      <c r="F798" s="93" t="s">
        <v>7</v>
      </c>
      <c r="G798" s="93" t="s">
        <v>7183</v>
      </c>
      <c r="H798" s="93" t="s">
        <v>400</v>
      </c>
      <c r="I798" s="93" t="s">
        <v>111</v>
      </c>
      <c r="J798" s="93" t="s">
        <v>7105</v>
      </c>
      <c r="K798" s="93" t="s">
        <v>111</v>
      </c>
      <c r="L798" s="93" t="s">
        <v>111</v>
      </c>
      <c r="M798" s="93" t="s">
        <v>111</v>
      </c>
      <c r="N798" s="93" t="s">
        <v>111</v>
      </c>
      <c r="O798" s="93" t="s">
        <v>111</v>
      </c>
      <c r="P798" s="93" t="s">
        <v>111</v>
      </c>
      <c r="Q798" s="93" t="s">
        <v>111</v>
      </c>
      <c r="R798" s="93" t="s">
        <v>111</v>
      </c>
      <c r="S798" s="93" t="s">
        <v>111</v>
      </c>
      <c r="T798" s="93" t="s">
        <v>116</v>
      </c>
      <c r="U798" s="94">
        <v>44596.605555555558</v>
      </c>
      <c r="V798" s="93" t="s">
        <v>402</v>
      </c>
      <c r="W798" s="93" t="s">
        <v>24</v>
      </c>
    </row>
    <row r="799" spans="1:23" x14ac:dyDescent="0.15">
      <c r="A799" s="93" t="s">
        <v>7652</v>
      </c>
      <c r="B799" s="93" t="s">
        <v>7653</v>
      </c>
      <c r="C799" s="93">
        <v>4320</v>
      </c>
      <c r="D799" s="93" t="s">
        <v>24</v>
      </c>
      <c r="E799" s="93" t="s">
        <v>24</v>
      </c>
      <c r="F799" s="93" t="s">
        <v>7</v>
      </c>
      <c r="G799" s="93" t="s">
        <v>7183</v>
      </c>
      <c r="H799" s="93" t="s">
        <v>400</v>
      </c>
      <c r="I799" s="93" t="s">
        <v>111</v>
      </c>
      <c r="J799" s="93" t="s">
        <v>7105</v>
      </c>
      <c r="K799" s="93" t="s">
        <v>111</v>
      </c>
      <c r="L799" s="93" t="s">
        <v>111</v>
      </c>
      <c r="M799" s="93" t="s">
        <v>111</v>
      </c>
      <c r="N799" s="93" t="s">
        <v>111</v>
      </c>
      <c r="O799" s="93" t="s">
        <v>111</v>
      </c>
      <c r="P799" s="93" t="s">
        <v>111</v>
      </c>
      <c r="Q799" s="93" t="s">
        <v>111</v>
      </c>
      <c r="R799" s="93" t="s">
        <v>111</v>
      </c>
      <c r="S799" s="93" t="s">
        <v>111</v>
      </c>
      <c r="T799" s="93" t="s">
        <v>116</v>
      </c>
      <c r="U799" s="94">
        <v>44596.574305555558</v>
      </c>
      <c r="V799" s="93" t="s">
        <v>402</v>
      </c>
      <c r="W799" s="93" t="s">
        <v>24</v>
      </c>
    </row>
    <row r="800" spans="1:23" x14ac:dyDescent="0.15">
      <c r="A800" s="93" t="s">
        <v>7654</v>
      </c>
      <c r="B800" s="93" t="s">
        <v>7655</v>
      </c>
      <c r="C800" s="93">
        <v>4560</v>
      </c>
      <c r="D800" s="93" t="s">
        <v>24</v>
      </c>
      <c r="E800" s="93" t="s">
        <v>24</v>
      </c>
      <c r="F800" s="93" t="s">
        <v>7</v>
      </c>
      <c r="G800" s="93" t="s">
        <v>7183</v>
      </c>
      <c r="H800" s="93" t="s">
        <v>400</v>
      </c>
      <c r="I800" s="93" t="s">
        <v>111</v>
      </c>
      <c r="J800" s="93" t="s">
        <v>7105</v>
      </c>
      <c r="K800" s="93" t="s">
        <v>111</v>
      </c>
      <c r="L800" s="93" t="s">
        <v>111</v>
      </c>
      <c r="M800" s="93" t="s">
        <v>111</v>
      </c>
      <c r="N800" s="93" t="s">
        <v>111</v>
      </c>
      <c r="O800" s="93" t="s">
        <v>111</v>
      </c>
      <c r="P800" s="93" t="s">
        <v>111</v>
      </c>
      <c r="Q800" s="93" t="s">
        <v>111</v>
      </c>
      <c r="R800" s="93" t="s">
        <v>111</v>
      </c>
      <c r="S800" s="93" t="s">
        <v>111</v>
      </c>
      <c r="T800" s="93" t="s">
        <v>116</v>
      </c>
      <c r="U800" s="94">
        <v>44596.578472222223</v>
      </c>
      <c r="V800" s="93" t="s">
        <v>402</v>
      </c>
      <c r="W800" s="93" t="s">
        <v>24</v>
      </c>
    </row>
    <row r="801" spans="1:23" x14ac:dyDescent="0.15">
      <c r="A801" s="93" t="s">
        <v>7656</v>
      </c>
      <c r="B801" s="93" t="s">
        <v>7657</v>
      </c>
      <c r="C801" s="93">
        <v>11628</v>
      </c>
      <c r="D801" s="93" t="s">
        <v>24</v>
      </c>
      <c r="E801" s="93" t="s">
        <v>24</v>
      </c>
      <c r="F801" s="93" t="s">
        <v>7</v>
      </c>
      <c r="G801" s="93" t="s">
        <v>7183</v>
      </c>
      <c r="H801" s="93" t="s">
        <v>400</v>
      </c>
      <c r="I801" s="93" t="s">
        <v>111</v>
      </c>
      <c r="J801" s="93" t="s">
        <v>7105</v>
      </c>
      <c r="K801" s="93" t="s">
        <v>111</v>
      </c>
      <c r="L801" s="93" t="s">
        <v>111</v>
      </c>
      <c r="M801" s="93" t="s">
        <v>111</v>
      </c>
      <c r="N801" s="93" t="s">
        <v>111</v>
      </c>
      <c r="O801" s="93" t="s">
        <v>111</v>
      </c>
      <c r="P801" s="93" t="s">
        <v>111</v>
      </c>
      <c r="Q801" s="93" t="s">
        <v>111</v>
      </c>
      <c r="R801" s="93" t="s">
        <v>111</v>
      </c>
      <c r="S801" s="93" t="s">
        <v>111</v>
      </c>
      <c r="T801" s="93" t="s">
        <v>116</v>
      </c>
      <c r="U801" s="94">
        <v>44596.601388888892</v>
      </c>
      <c r="V801" s="93" t="s">
        <v>402</v>
      </c>
      <c r="W801" s="93" t="s">
        <v>24</v>
      </c>
    </row>
    <row r="802" spans="1:23" x14ac:dyDescent="0.15">
      <c r="A802" s="93" t="s">
        <v>7658</v>
      </c>
      <c r="B802" s="93" t="s">
        <v>7659</v>
      </c>
      <c r="C802" s="93">
        <v>18240</v>
      </c>
      <c r="D802" s="93" t="s">
        <v>24</v>
      </c>
      <c r="E802" s="93" t="s">
        <v>24</v>
      </c>
      <c r="F802" s="93" t="s">
        <v>7</v>
      </c>
      <c r="G802" s="93" t="s">
        <v>7183</v>
      </c>
      <c r="H802" s="93" t="s">
        <v>400</v>
      </c>
      <c r="I802" s="93" t="s">
        <v>111</v>
      </c>
      <c r="J802" s="93" t="s">
        <v>7105</v>
      </c>
      <c r="K802" s="93" t="s">
        <v>111</v>
      </c>
      <c r="L802" s="93" t="s">
        <v>111</v>
      </c>
      <c r="M802" s="93" t="s">
        <v>111</v>
      </c>
      <c r="N802" s="93" t="s">
        <v>111</v>
      </c>
      <c r="O802" s="93" t="s">
        <v>111</v>
      </c>
      <c r="P802" s="93" t="s">
        <v>111</v>
      </c>
      <c r="Q802" s="93" t="s">
        <v>111</v>
      </c>
      <c r="R802" s="93" t="s">
        <v>111</v>
      </c>
      <c r="S802" s="93" t="s">
        <v>111</v>
      </c>
      <c r="T802" s="93" t="s">
        <v>116</v>
      </c>
      <c r="U802" s="94">
        <v>44596.578472222223</v>
      </c>
      <c r="V802" s="93" t="s">
        <v>402</v>
      </c>
      <c r="W802" s="93" t="s">
        <v>24</v>
      </c>
    </row>
    <row r="803" spans="1:23" x14ac:dyDescent="0.15">
      <c r="A803" s="93" t="s">
        <v>7660</v>
      </c>
      <c r="B803" s="93" t="s">
        <v>7661</v>
      </c>
      <c r="C803" s="93">
        <v>264</v>
      </c>
      <c r="D803" s="93" t="s">
        <v>24</v>
      </c>
      <c r="E803" s="93" t="s">
        <v>24</v>
      </c>
      <c r="F803" s="93" t="s">
        <v>7</v>
      </c>
      <c r="G803" s="93" t="s">
        <v>7183</v>
      </c>
      <c r="H803" s="93" t="s">
        <v>400</v>
      </c>
      <c r="I803" s="93" t="s">
        <v>111</v>
      </c>
      <c r="J803" s="93" t="s">
        <v>7105</v>
      </c>
      <c r="K803" s="93" t="s">
        <v>111</v>
      </c>
      <c r="L803" s="93" t="s">
        <v>111</v>
      </c>
      <c r="M803" s="93" t="s">
        <v>111</v>
      </c>
      <c r="N803" s="93" t="s">
        <v>111</v>
      </c>
      <c r="O803" s="93" t="s">
        <v>111</v>
      </c>
      <c r="P803" s="93" t="s">
        <v>111</v>
      </c>
      <c r="Q803" s="93" t="s">
        <v>111</v>
      </c>
      <c r="R803" s="93" t="s">
        <v>111</v>
      </c>
      <c r="S803" s="93" t="s">
        <v>111</v>
      </c>
      <c r="T803" s="93" t="s">
        <v>116</v>
      </c>
      <c r="U803" s="94">
        <v>44596.561111111114</v>
      </c>
      <c r="V803" s="93" t="s">
        <v>402</v>
      </c>
      <c r="W803" s="93" t="s">
        <v>24</v>
      </c>
    </row>
    <row r="804" spans="1:23" x14ac:dyDescent="0.15">
      <c r="A804" s="93" t="s">
        <v>7662</v>
      </c>
      <c r="B804" s="93" t="s">
        <v>7663</v>
      </c>
      <c r="C804" s="93">
        <v>674</v>
      </c>
      <c r="D804" s="93" t="s">
        <v>24</v>
      </c>
      <c r="E804" s="93" t="s">
        <v>24</v>
      </c>
      <c r="F804" s="93" t="s">
        <v>7</v>
      </c>
      <c r="G804" s="93" t="s">
        <v>7183</v>
      </c>
      <c r="H804" s="93" t="s">
        <v>400</v>
      </c>
      <c r="I804" s="93" t="s">
        <v>111</v>
      </c>
      <c r="J804" s="93" t="s">
        <v>7105</v>
      </c>
      <c r="K804" s="93" t="s">
        <v>111</v>
      </c>
      <c r="L804" s="93" t="s">
        <v>111</v>
      </c>
      <c r="M804" s="93" t="s">
        <v>111</v>
      </c>
      <c r="N804" s="93" t="s">
        <v>111</v>
      </c>
      <c r="O804" s="93" t="s">
        <v>111</v>
      </c>
      <c r="P804" s="93" t="s">
        <v>111</v>
      </c>
      <c r="Q804" s="93" t="s">
        <v>111</v>
      </c>
      <c r="R804" s="93" t="s">
        <v>111</v>
      </c>
      <c r="S804" s="93" t="s">
        <v>111</v>
      </c>
      <c r="T804" s="93" t="s">
        <v>116</v>
      </c>
      <c r="U804" s="94">
        <v>44596.56527777778</v>
      </c>
      <c r="V804" s="93" t="s">
        <v>402</v>
      </c>
      <c r="W804" s="93" t="s">
        <v>24</v>
      </c>
    </row>
    <row r="805" spans="1:23" x14ac:dyDescent="0.15">
      <c r="A805" s="93" t="s">
        <v>7664</v>
      </c>
      <c r="B805" s="93" t="s">
        <v>7665</v>
      </c>
      <c r="C805" s="93">
        <v>1056</v>
      </c>
      <c r="D805" s="93" t="s">
        <v>24</v>
      </c>
      <c r="E805" s="93" t="s">
        <v>24</v>
      </c>
      <c r="F805" s="93" t="s">
        <v>7</v>
      </c>
      <c r="G805" s="93" t="s">
        <v>7183</v>
      </c>
      <c r="H805" s="93" t="s">
        <v>400</v>
      </c>
      <c r="I805" s="93" t="s">
        <v>111</v>
      </c>
      <c r="J805" s="93" t="s">
        <v>7105</v>
      </c>
      <c r="K805" s="93" t="s">
        <v>111</v>
      </c>
      <c r="L805" s="93" t="s">
        <v>111</v>
      </c>
      <c r="M805" s="93" t="s">
        <v>111</v>
      </c>
      <c r="N805" s="93" t="s">
        <v>111</v>
      </c>
      <c r="O805" s="93" t="s">
        <v>111</v>
      </c>
      <c r="P805" s="93" t="s">
        <v>111</v>
      </c>
      <c r="Q805" s="93" t="s">
        <v>111</v>
      </c>
      <c r="R805" s="93" t="s">
        <v>111</v>
      </c>
      <c r="S805" s="93" t="s">
        <v>111</v>
      </c>
      <c r="T805" s="93" t="s">
        <v>116</v>
      </c>
      <c r="U805" s="94">
        <v>44596.605555555558</v>
      </c>
      <c r="V805" s="93" t="s">
        <v>402</v>
      </c>
      <c r="W805" s="93" t="s">
        <v>24</v>
      </c>
    </row>
    <row r="806" spans="1:23" x14ac:dyDescent="0.15">
      <c r="A806" s="93" t="s">
        <v>7666</v>
      </c>
      <c r="B806" s="93" t="s">
        <v>7667</v>
      </c>
      <c r="C806" s="93">
        <v>1260</v>
      </c>
      <c r="D806" s="93" t="s">
        <v>24</v>
      </c>
      <c r="E806" s="93" t="s">
        <v>24</v>
      </c>
      <c r="F806" s="93" t="s">
        <v>7</v>
      </c>
      <c r="G806" s="93" t="s">
        <v>7183</v>
      </c>
      <c r="H806" s="93" t="s">
        <v>400</v>
      </c>
      <c r="I806" s="93" t="s">
        <v>111</v>
      </c>
      <c r="J806" s="93" t="s">
        <v>7105</v>
      </c>
      <c r="K806" s="93" t="s">
        <v>111</v>
      </c>
      <c r="L806" s="93" t="s">
        <v>111</v>
      </c>
      <c r="M806" s="93" t="s">
        <v>111</v>
      </c>
      <c r="N806" s="93" t="s">
        <v>111</v>
      </c>
      <c r="O806" s="93" t="s">
        <v>111</v>
      </c>
      <c r="P806" s="93" t="s">
        <v>111</v>
      </c>
      <c r="Q806" s="93" t="s">
        <v>111</v>
      </c>
      <c r="R806" s="93" t="s">
        <v>2</v>
      </c>
      <c r="S806" s="93" t="s">
        <v>111</v>
      </c>
      <c r="T806" s="93" t="s">
        <v>116</v>
      </c>
      <c r="U806" s="94">
        <v>44596.605555555558</v>
      </c>
      <c r="V806" s="93" t="s">
        <v>402</v>
      </c>
      <c r="W806" s="93" t="s">
        <v>24</v>
      </c>
    </row>
    <row r="807" spans="1:23" x14ac:dyDescent="0.15">
      <c r="A807" s="93" t="s">
        <v>7668</v>
      </c>
      <c r="B807" s="93" t="s">
        <v>7669</v>
      </c>
      <c r="C807" s="93">
        <v>3213</v>
      </c>
      <c r="D807" s="93" t="s">
        <v>24</v>
      </c>
      <c r="E807" s="93" t="s">
        <v>24</v>
      </c>
      <c r="F807" s="93" t="s">
        <v>7</v>
      </c>
      <c r="G807" s="93" t="s">
        <v>7183</v>
      </c>
      <c r="H807" s="93" t="s">
        <v>400</v>
      </c>
      <c r="I807" s="93" t="s">
        <v>111</v>
      </c>
      <c r="J807" s="93" t="s">
        <v>7105</v>
      </c>
      <c r="K807" s="93" t="s">
        <v>111</v>
      </c>
      <c r="L807" s="93" t="s">
        <v>111</v>
      </c>
      <c r="M807" s="93" t="s">
        <v>111</v>
      </c>
      <c r="N807" s="93" t="s">
        <v>111</v>
      </c>
      <c r="O807" s="93" t="s">
        <v>111</v>
      </c>
      <c r="P807" s="93" t="s">
        <v>111</v>
      </c>
      <c r="Q807" s="93" t="s">
        <v>111</v>
      </c>
      <c r="R807" s="93" t="s">
        <v>111</v>
      </c>
      <c r="S807" s="93" t="s">
        <v>111</v>
      </c>
      <c r="T807" s="93" t="s">
        <v>116</v>
      </c>
      <c r="U807" s="94">
        <v>44596.583333333336</v>
      </c>
      <c r="V807" s="93" t="s">
        <v>402</v>
      </c>
      <c r="W807" s="93" t="s">
        <v>24</v>
      </c>
    </row>
    <row r="808" spans="1:23" x14ac:dyDescent="0.15">
      <c r="A808" s="93" t="s">
        <v>7670</v>
      </c>
      <c r="B808" s="93" t="s">
        <v>7671</v>
      </c>
      <c r="C808" s="93">
        <v>5040</v>
      </c>
      <c r="D808" s="93" t="s">
        <v>24</v>
      </c>
      <c r="E808" s="93" t="s">
        <v>24</v>
      </c>
      <c r="F808" s="93" t="s">
        <v>7</v>
      </c>
      <c r="G808" s="93" t="s">
        <v>7183</v>
      </c>
      <c r="H808" s="93" t="s">
        <v>400</v>
      </c>
      <c r="I808" s="93" t="s">
        <v>111</v>
      </c>
      <c r="J808" s="93" t="s">
        <v>7105</v>
      </c>
      <c r="K808" s="93" t="s">
        <v>111</v>
      </c>
      <c r="L808" s="93" t="s">
        <v>111</v>
      </c>
      <c r="M808" s="93" t="s">
        <v>111</v>
      </c>
      <c r="N808" s="93" t="s">
        <v>111</v>
      </c>
      <c r="O808" s="93" t="s">
        <v>111</v>
      </c>
      <c r="P808" s="93" t="s">
        <v>111</v>
      </c>
      <c r="Q808" s="93" t="s">
        <v>111</v>
      </c>
      <c r="R808" s="93" t="s">
        <v>111</v>
      </c>
      <c r="S808" s="93" t="s">
        <v>111</v>
      </c>
      <c r="T808" s="93" t="s">
        <v>116</v>
      </c>
      <c r="U808" s="94">
        <v>44596.609722222223</v>
      </c>
      <c r="V808" s="93" t="s">
        <v>402</v>
      </c>
      <c r="W808" s="93" t="s">
        <v>24</v>
      </c>
    </row>
    <row r="809" spans="1:23" x14ac:dyDescent="0.15">
      <c r="A809" s="93" t="s">
        <v>7672</v>
      </c>
      <c r="B809" s="93" t="s">
        <v>7673</v>
      </c>
      <c r="C809" s="93">
        <v>5400</v>
      </c>
      <c r="D809" s="93" t="s">
        <v>24</v>
      </c>
      <c r="E809" s="93" t="s">
        <v>24</v>
      </c>
      <c r="F809" s="93" t="s">
        <v>7</v>
      </c>
      <c r="G809" s="93" t="s">
        <v>7183</v>
      </c>
      <c r="H809" s="93" t="s">
        <v>400</v>
      </c>
      <c r="I809" s="93" t="s">
        <v>111</v>
      </c>
      <c r="J809" s="93" t="s">
        <v>7105</v>
      </c>
      <c r="K809" s="93" t="s">
        <v>111</v>
      </c>
      <c r="L809" s="93" t="s">
        <v>111</v>
      </c>
      <c r="M809" s="93" t="s">
        <v>111</v>
      </c>
      <c r="N809" s="93" t="s">
        <v>111</v>
      </c>
      <c r="O809" s="93" t="s">
        <v>111</v>
      </c>
      <c r="P809" s="93" t="s">
        <v>111</v>
      </c>
      <c r="Q809" s="93" t="s">
        <v>111</v>
      </c>
      <c r="R809" s="93" t="s">
        <v>111</v>
      </c>
      <c r="S809" s="93" t="s">
        <v>111</v>
      </c>
      <c r="T809" s="93" t="s">
        <v>116</v>
      </c>
      <c r="U809" s="94">
        <v>44596.604166666664</v>
      </c>
      <c r="V809" s="93" t="s">
        <v>402</v>
      </c>
      <c r="W809" s="93" t="s">
        <v>24</v>
      </c>
    </row>
    <row r="810" spans="1:23" x14ac:dyDescent="0.15">
      <c r="A810" s="93" t="s">
        <v>7674</v>
      </c>
      <c r="B810" s="93" t="s">
        <v>7675</v>
      </c>
      <c r="C810" s="93">
        <v>13770</v>
      </c>
      <c r="D810" s="93" t="s">
        <v>24</v>
      </c>
      <c r="E810" s="93" t="s">
        <v>24</v>
      </c>
      <c r="F810" s="93" t="s">
        <v>7</v>
      </c>
      <c r="G810" s="93" t="s">
        <v>7183</v>
      </c>
      <c r="H810" s="93" t="s">
        <v>400</v>
      </c>
      <c r="I810" s="93" t="s">
        <v>111</v>
      </c>
      <c r="J810" s="93" t="s">
        <v>7105</v>
      </c>
      <c r="K810" s="93" t="s">
        <v>111</v>
      </c>
      <c r="L810" s="93" t="s">
        <v>111</v>
      </c>
      <c r="M810" s="93" t="s">
        <v>111</v>
      </c>
      <c r="N810" s="93" t="s">
        <v>111</v>
      </c>
      <c r="O810" s="93" t="s">
        <v>111</v>
      </c>
      <c r="P810" s="93" t="s">
        <v>111</v>
      </c>
      <c r="Q810" s="93" t="s">
        <v>111</v>
      </c>
      <c r="R810" s="93" t="s">
        <v>2</v>
      </c>
      <c r="S810" s="93" t="s">
        <v>111</v>
      </c>
      <c r="T810" s="93" t="s">
        <v>116</v>
      </c>
      <c r="U810" s="94">
        <v>44596.578472222223</v>
      </c>
      <c r="V810" s="93" t="s">
        <v>402</v>
      </c>
      <c r="W810" s="93" t="s">
        <v>24</v>
      </c>
    </row>
    <row r="811" spans="1:23" x14ac:dyDescent="0.15">
      <c r="A811" s="93" t="s">
        <v>7676</v>
      </c>
      <c r="B811" s="93" t="s">
        <v>7677</v>
      </c>
      <c r="C811" s="93">
        <v>21600</v>
      </c>
      <c r="D811" s="93" t="s">
        <v>24</v>
      </c>
      <c r="E811" s="93" t="s">
        <v>24</v>
      </c>
      <c r="F811" s="93" t="s">
        <v>7</v>
      </c>
      <c r="G811" s="93" t="s">
        <v>7183</v>
      </c>
      <c r="H811" s="93" t="s">
        <v>400</v>
      </c>
      <c r="I811" s="93" t="s">
        <v>111</v>
      </c>
      <c r="J811" s="93" t="s">
        <v>7105</v>
      </c>
      <c r="K811" s="93" t="s">
        <v>111</v>
      </c>
      <c r="L811" s="93" t="s">
        <v>111</v>
      </c>
      <c r="M811" s="93" t="s">
        <v>111</v>
      </c>
      <c r="N811" s="93" t="s">
        <v>111</v>
      </c>
      <c r="O811" s="93" t="s">
        <v>111</v>
      </c>
      <c r="P811" s="93" t="s">
        <v>111</v>
      </c>
      <c r="Q811" s="93" t="s">
        <v>111</v>
      </c>
      <c r="R811" s="93" t="s">
        <v>111</v>
      </c>
      <c r="S811" s="93" t="s">
        <v>111</v>
      </c>
      <c r="T811" s="93" t="s">
        <v>116</v>
      </c>
      <c r="U811" s="94">
        <v>44596.574305555558</v>
      </c>
      <c r="V811" s="93" t="s">
        <v>402</v>
      </c>
      <c r="W811" s="93" t="s">
        <v>24</v>
      </c>
    </row>
    <row r="812" spans="1:23" x14ac:dyDescent="0.15">
      <c r="A812" s="93" t="s">
        <v>7678</v>
      </c>
      <c r="B812" s="93" t="s">
        <v>7679</v>
      </c>
      <c r="C812" s="93">
        <v>300</v>
      </c>
      <c r="D812" s="93" t="s">
        <v>24</v>
      </c>
      <c r="E812" s="93" t="s">
        <v>24</v>
      </c>
      <c r="F812" s="93" t="s">
        <v>7</v>
      </c>
      <c r="G812" s="93" t="s">
        <v>7183</v>
      </c>
      <c r="H812" s="93" t="s">
        <v>400</v>
      </c>
      <c r="I812" s="93" t="s">
        <v>111</v>
      </c>
      <c r="J812" s="93" t="s">
        <v>7105</v>
      </c>
      <c r="K812" s="93" t="s">
        <v>111</v>
      </c>
      <c r="L812" s="93" t="s">
        <v>111</v>
      </c>
      <c r="M812" s="93" t="s">
        <v>111</v>
      </c>
      <c r="N812" s="93" t="s">
        <v>111</v>
      </c>
      <c r="O812" s="93" t="s">
        <v>111</v>
      </c>
      <c r="P812" s="93" t="s">
        <v>111</v>
      </c>
      <c r="Q812" s="93" t="s">
        <v>111</v>
      </c>
      <c r="R812" s="93" t="s">
        <v>111</v>
      </c>
      <c r="S812" s="93" t="s">
        <v>111</v>
      </c>
      <c r="T812" s="93" t="s">
        <v>116</v>
      </c>
      <c r="U812" s="94">
        <v>44596.583333333336</v>
      </c>
      <c r="V812" s="93" t="s">
        <v>402</v>
      </c>
      <c r="W812" s="93" t="s">
        <v>24</v>
      </c>
    </row>
    <row r="813" spans="1:23" x14ac:dyDescent="0.15">
      <c r="A813" s="93" t="s">
        <v>7680</v>
      </c>
      <c r="B813" s="93" t="s">
        <v>7681</v>
      </c>
      <c r="C813" s="93">
        <v>765</v>
      </c>
      <c r="D813" s="93" t="s">
        <v>24</v>
      </c>
      <c r="E813" s="93" t="s">
        <v>24</v>
      </c>
      <c r="F813" s="93" t="s">
        <v>7</v>
      </c>
      <c r="G813" s="93" t="s">
        <v>7183</v>
      </c>
      <c r="H813" s="93" t="s">
        <v>400</v>
      </c>
      <c r="I813" s="93" t="s">
        <v>111</v>
      </c>
      <c r="J813" s="93" t="s">
        <v>7105</v>
      </c>
      <c r="K813" s="93" t="s">
        <v>111</v>
      </c>
      <c r="L813" s="93" t="s">
        <v>111</v>
      </c>
      <c r="M813" s="93" t="s">
        <v>111</v>
      </c>
      <c r="N813" s="93" t="s">
        <v>111</v>
      </c>
      <c r="O813" s="93" t="s">
        <v>111</v>
      </c>
      <c r="P813" s="93" t="s">
        <v>111</v>
      </c>
      <c r="Q813" s="93" t="s">
        <v>111</v>
      </c>
      <c r="R813" s="93" t="s">
        <v>2</v>
      </c>
      <c r="S813" s="93" t="s">
        <v>111</v>
      </c>
      <c r="T813" s="93" t="s">
        <v>116</v>
      </c>
      <c r="U813" s="94">
        <v>44596.605555555558</v>
      </c>
      <c r="V813" s="93" t="s">
        <v>402</v>
      </c>
      <c r="W813" s="93" t="s">
        <v>24</v>
      </c>
    </row>
    <row r="814" spans="1:23" x14ac:dyDescent="0.15">
      <c r="A814" s="93" t="s">
        <v>7682</v>
      </c>
      <c r="B814" s="93" t="s">
        <v>7683</v>
      </c>
      <c r="C814" s="93">
        <v>1200</v>
      </c>
      <c r="D814" s="93" t="s">
        <v>24</v>
      </c>
      <c r="E814" s="93" t="s">
        <v>24</v>
      </c>
      <c r="F814" s="93" t="s">
        <v>7</v>
      </c>
      <c r="G814" s="93" t="s">
        <v>7183</v>
      </c>
      <c r="H814" s="93" t="s">
        <v>400</v>
      </c>
      <c r="I814" s="93" t="s">
        <v>111</v>
      </c>
      <c r="J814" s="93" t="s">
        <v>7105</v>
      </c>
      <c r="K814" s="93" t="s">
        <v>111</v>
      </c>
      <c r="L814" s="93" t="s">
        <v>111</v>
      </c>
      <c r="M814" s="93" t="s">
        <v>111</v>
      </c>
      <c r="N814" s="93" t="s">
        <v>111</v>
      </c>
      <c r="O814" s="93" t="s">
        <v>111</v>
      </c>
      <c r="P814" s="93" t="s">
        <v>111</v>
      </c>
      <c r="Q814" s="93" t="s">
        <v>111</v>
      </c>
      <c r="R814" s="93" t="s">
        <v>111</v>
      </c>
      <c r="S814" s="93" t="s">
        <v>111</v>
      </c>
      <c r="T814" s="93" t="s">
        <v>116</v>
      </c>
      <c r="U814" s="94">
        <v>44596.609722222223</v>
      </c>
      <c r="V814" s="93" t="s">
        <v>402</v>
      </c>
      <c r="W814" s="93" t="s">
        <v>24</v>
      </c>
    </row>
    <row r="815" spans="1:23" x14ac:dyDescent="0.15">
      <c r="A815" s="93" t="s">
        <v>7684</v>
      </c>
      <c r="B815" s="93" t="s">
        <v>7685</v>
      </c>
      <c r="C815" s="93">
        <v>1440</v>
      </c>
      <c r="D815" s="93" t="s">
        <v>24</v>
      </c>
      <c r="E815" s="93" t="s">
        <v>24</v>
      </c>
      <c r="F815" s="93" t="s">
        <v>7</v>
      </c>
      <c r="G815" s="93" t="s">
        <v>7183</v>
      </c>
      <c r="H815" s="93" t="s">
        <v>400</v>
      </c>
      <c r="I815" s="93" t="s">
        <v>111</v>
      </c>
      <c r="J815" s="93" t="s">
        <v>7105</v>
      </c>
      <c r="K815" s="93" t="s">
        <v>111</v>
      </c>
      <c r="L815" s="93" t="s">
        <v>111</v>
      </c>
      <c r="M815" s="93" t="s">
        <v>111</v>
      </c>
      <c r="N815" s="93" t="s">
        <v>111</v>
      </c>
      <c r="O815" s="93" t="s">
        <v>111</v>
      </c>
      <c r="P815" s="93" t="s">
        <v>111</v>
      </c>
      <c r="Q815" s="93" t="s">
        <v>111</v>
      </c>
      <c r="R815" s="93" t="s">
        <v>111</v>
      </c>
      <c r="S815" s="93" t="s">
        <v>111</v>
      </c>
      <c r="T815" s="93" t="s">
        <v>116</v>
      </c>
      <c r="U815" s="94">
        <v>44596.561111111114</v>
      </c>
      <c r="V815" s="93" t="s">
        <v>402</v>
      </c>
      <c r="W815" s="93" t="s">
        <v>24</v>
      </c>
    </row>
    <row r="816" spans="1:23" x14ac:dyDescent="0.15">
      <c r="A816" s="93" t="s">
        <v>7686</v>
      </c>
      <c r="B816" s="93" t="s">
        <v>7687</v>
      </c>
      <c r="C816" s="93">
        <v>3672</v>
      </c>
      <c r="D816" s="93" t="s">
        <v>24</v>
      </c>
      <c r="E816" s="93" t="s">
        <v>24</v>
      </c>
      <c r="F816" s="93" t="s">
        <v>7</v>
      </c>
      <c r="G816" s="93" t="s">
        <v>7183</v>
      </c>
      <c r="H816" s="93" t="s">
        <v>400</v>
      </c>
      <c r="I816" s="93" t="s">
        <v>111</v>
      </c>
      <c r="J816" s="93" t="s">
        <v>7105</v>
      </c>
      <c r="K816" s="93" t="s">
        <v>111</v>
      </c>
      <c r="L816" s="93" t="s">
        <v>111</v>
      </c>
      <c r="M816" s="93" t="s">
        <v>111</v>
      </c>
      <c r="N816" s="93" t="s">
        <v>111</v>
      </c>
      <c r="O816" s="93" t="s">
        <v>111</v>
      </c>
      <c r="P816" s="93" t="s">
        <v>111</v>
      </c>
      <c r="Q816" s="93" t="s">
        <v>111</v>
      </c>
      <c r="R816" s="93" t="s">
        <v>111</v>
      </c>
      <c r="S816" s="93" t="s">
        <v>111</v>
      </c>
      <c r="T816" s="93" t="s">
        <v>116</v>
      </c>
      <c r="U816" s="94">
        <v>44596.609722222223</v>
      </c>
      <c r="V816" s="93" t="s">
        <v>402</v>
      </c>
      <c r="W816" s="93" t="s">
        <v>24</v>
      </c>
    </row>
    <row r="817" spans="1:23" x14ac:dyDescent="0.15">
      <c r="A817" s="93" t="s">
        <v>7688</v>
      </c>
      <c r="B817" s="93" t="s">
        <v>7689</v>
      </c>
      <c r="C817" s="93">
        <v>5760</v>
      </c>
      <c r="D817" s="93" t="s">
        <v>24</v>
      </c>
      <c r="E817" s="93" t="s">
        <v>24</v>
      </c>
      <c r="F817" s="93" t="s">
        <v>7</v>
      </c>
      <c r="G817" s="93" t="s">
        <v>7183</v>
      </c>
      <c r="H817" s="93" t="s">
        <v>400</v>
      </c>
      <c r="I817" s="93" t="s">
        <v>111</v>
      </c>
      <c r="J817" s="93" t="s">
        <v>7105</v>
      </c>
      <c r="K817" s="93" t="s">
        <v>111</v>
      </c>
      <c r="L817" s="93" t="s">
        <v>111</v>
      </c>
      <c r="M817" s="93" t="s">
        <v>111</v>
      </c>
      <c r="N817" s="93" t="s">
        <v>111</v>
      </c>
      <c r="O817" s="93" t="s">
        <v>111</v>
      </c>
      <c r="P817" s="93" t="s">
        <v>111</v>
      </c>
      <c r="Q817" s="93" t="s">
        <v>111</v>
      </c>
      <c r="R817" s="93" t="s">
        <v>111</v>
      </c>
      <c r="S817" s="93" t="s">
        <v>111</v>
      </c>
      <c r="T817" s="93" t="s">
        <v>116</v>
      </c>
      <c r="U817" s="94">
        <v>44596.605555555558</v>
      </c>
      <c r="V817" s="93" t="s">
        <v>402</v>
      </c>
      <c r="W817" s="93" t="s">
        <v>24</v>
      </c>
    </row>
    <row r="818" spans="1:23" x14ac:dyDescent="0.15">
      <c r="A818" s="93" t="s">
        <v>7690</v>
      </c>
      <c r="B818" s="93" t="s">
        <v>7691</v>
      </c>
      <c r="C818" s="93">
        <v>6000</v>
      </c>
      <c r="D818" s="93" t="s">
        <v>24</v>
      </c>
      <c r="E818" s="93" t="s">
        <v>24</v>
      </c>
      <c r="F818" s="93" t="s">
        <v>7</v>
      </c>
      <c r="G818" s="93" t="s">
        <v>7183</v>
      </c>
      <c r="H818" s="93" t="s">
        <v>400</v>
      </c>
      <c r="I818" s="93" t="s">
        <v>111</v>
      </c>
      <c r="J818" s="93" t="s">
        <v>7105</v>
      </c>
      <c r="K818" s="93" t="s">
        <v>111</v>
      </c>
      <c r="L818" s="93" t="s">
        <v>111</v>
      </c>
      <c r="M818" s="93" t="s">
        <v>111</v>
      </c>
      <c r="N818" s="93" t="s">
        <v>111</v>
      </c>
      <c r="O818" s="93" t="s">
        <v>111</v>
      </c>
      <c r="P818" s="93" t="s">
        <v>111</v>
      </c>
      <c r="Q818" s="93" t="s">
        <v>111</v>
      </c>
      <c r="R818" s="93" t="s">
        <v>111</v>
      </c>
      <c r="S818" s="93" t="s">
        <v>111</v>
      </c>
      <c r="T818" s="93" t="s">
        <v>116</v>
      </c>
      <c r="U818" s="94">
        <v>44596.570833333331</v>
      </c>
      <c r="V818" s="93" t="s">
        <v>402</v>
      </c>
      <c r="W818" s="93" t="s">
        <v>24</v>
      </c>
    </row>
    <row r="819" spans="1:23" x14ac:dyDescent="0.15">
      <c r="A819" s="93" t="s">
        <v>7692</v>
      </c>
      <c r="B819" s="93" t="s">
        <v>7693</v>
      </c>
      <c r="C819" s="93">
        <v>15300</v>
      </c>
      <c r="D819" s="93" t="s">
        <v>24</v>
      </c>
      <c r="E819" s="93" t="s">
        <v>24</v>
      </c>
      <c r="F819" s="93" t="s">
        <v>7</v>
      </c>
      <c r="G819" s="93" t="s">
        <v>7183</v>
      </c>
      <c r="H819" s="93" t="s">
        <v>400</v>
      </c>
      <c r="I819" s="93" t="s">
        <v>111</v>
      </c>
      <c r="J819" s="93" t="s">
        <v>7105</v>
      </c>
      <c r="K819" s="93" t="s">
        <v>111</v>
      </c>
      <c r="L819" s="93" t="s">
        <v>111</v>
      </c>
      <c r="M819" s="93" t="s">
        <v>111</v>
      </c>
      <c r="N819" s="93" t="s">
        <v>111</v>
      </c>
      <c r="O819" s="93" t="s">
        <v>111</v>
      </c>
      <c r="P819" s="93" t="s">
        <v>111</v>
      </c>
      <c r="Q819" s="93" t="s">
        <v>111</v>
      </c>
      <c r="R819" s="93" t="s">
        <v>2</v>
      </c>
      <c r="S819" s="93" t="s">
        <v>111</v>
      </c>
      <c r="T819" s="93" t="s">
        <v>116</v>
      </c>
      <c r="U819" s="94">
        <v>44596.570138888892</v>
      </c>
      <c r="V819" s="93" t="s">
        <v>402</v>
      </c>
      <c r="W819" s="93" t="s">
        <v>24</v>
      </c>
    </row>
    <row r="820" spans="1:23" x14ac:dyDescent="0.15">
      <c r="A820" s="93" t="s">
        <v>7694</v>
      </c>
      <c r="B820" s="93" t="s">
        <v>7695</v>
      </c>
      <c r="C820" s="93">
        <v>24000</v>
      </c>
      <c r="D820" s="93" t="s">
        <v>24</v>
      </c>
      <c r="E820" s="93" t="s">
        <v>24</v>
      </c>
      <c r="F820" s="93" t="s">
        <v>7</v>
      </c>
      <c r="G820" s="93" t="s">
        <v>7183</v>
      </c>
      <c r="H820" s="93" t="s">
        <v>400</v>
      </c>
      <c r="I820" s="93" t="s">
        <v>111</v>
      </c>
      <c r="J820" s="93" t="s">
        <v>7105</v>
      </c>
      <c r="K820" s="93" t="s">
        <v>111</v>
      </c>
      <c r="L820" s="93" t="s">
        <v>111</v>
      </c>
      <c r="M820" s="93" t="s">
        <v>111</v>
      </c>
      <c r="N820" s="93" t="s">
        <v>111</v>
      </c>
      <c r="O820" s="93" t="s">
        <v>111</v>
      </c>
      <c r="P820" s="93" t="s">
        <v>111</v>
      </c>
      <c r="Q820" s="93" t="s">
        <v>111</v>
      </c>
      <c r="R820" s="93" t="s">
        <v>111</v>
      </c>
      <c r="S820" s="93" t="s">
        <v>111</v>
      </c>
      <c r="T820" s="93" t="s">
        <v>116</v>
      </c>
      <c r="U820" s="94">
        <v>44596.601388888892</v>
      </c>
      <c r="V820" s="93" t="s">
        <v>402</v>
      </c>
      <c r="W820" s="93" t="s">
        <v>24</v>
      </c>
    </row>
    <row r="821" spans="1:23" x14ac:dyDescent="0.15">
      <c r="A821" s="93" t="s">
        <v>7696</v>
      </c>
      <c r="B821" s="93" t="s">
        <v>7697</v>
      </c>
      <c r="C821" s="93">
        <v>336</v>
      </c>
      <c r="D821" s="93" t="s">
        <v>24</v>
      </c>
      <c r="E821" s="93" t="s">
        <v>24</v>
      </c>
      <c r="F821" s="93" t="s">
        <v>7</v>
      </c>
      <c r="G821" s="93" t="s">
        <v>7183</v>
      </c>
      <c r="H821" s="93" t="s">
        <v>400</v>
      </c>
      <c r="I821" s="93" t="s">
        <v>111</v>
      </c>
      <c r="J821" s="93" t="s">
        <v>7105</v>
      </c>
      <c r="K821" s="93" t="s">
        <v>111</v>
      </c>
      <c r="L821" s="93" t="s">
        <v>111</v>
      </c>
      <c r="M821" s="93" t="s">
        <v>111</v>
      </c>
      <c r="N821" s="93" t="s">
        <v>111</v>
      </c>
      <c r="O821" s="93" t="s">
        <v>111</v>
      </c>
      <c r="P821" s="93" t="s">
        <v>111</v>
      </c>
      <c r="Q821" s="93" t="s">
        <v>111</v>
      </c>
      <c r="R821" s="93" t="s">
        <v>111</v>
      </c>
      <c r="S821" s="93" t="s">
        <v>111</v>
      </c>
      <c r="T821" s="93" t="s">
        <v>116</v>
      </c>
      <c r="U821" s="94">
        <v>44596.561111111114</v>
      </c>
      <c r="V821" s="93" t="s">
        <v>402</v>
      </c>
      <c r="W821" s="93" t="s">
        <v>24</v>
      </c>
    </row>
    <row r="822" spans="1:23" x14ac:dyDescent="0.15">
      <c r="A822" s="93" t="s">
        <v>7698</v>
      </c>
      <c r="B822" s="93" t="s">
        <v>7699</v>
      </c>
      <c r="C822" s="93">
        <v>857</v>
      </c>
      <c r="D822" s="93" t="s">
        <v>24</v>
      </c>
      <c r="E822" s="93" t="s">
        <v>24</v>
      </c>
      <c r="F822" s="93" t="s">
        <v>7</v>
      </c>
      <c r="G822" s="93" t="s">
        <v>7183</v>
      </c>
      <c r="H822" s="93" t="s">
        <v>400</v>
      </c>
      <c r="I822" s="93" t="s">
        <v>111</v>
      </c>
      <c r="J822" s="93" t="s">
        <v>7105</v>
      </c>
      <c r="K822" s="93" t="s">
        <v>111</v>
      </c>
      <c r="L822" s="93" t="s">
        <v>111</v>
      </c>
      <c r="M822" s="93" t="s">
        <v>111</v>
      </c>
      <c r="N822" s="93" t="s">
        <v>111</v>
      </c>
      <c r="O822" s="93" t="s">
        <v>111</v>
      </c>
      <c r="P822" s="93" t="s">
        <v>111</v>
      </c>
      <c r="Q822" s="93" t="s">
        <v>111</v>
      </c>
      <c r="R822" s="93" t="s">
        <v>2</v>
      </c>
      <c r="S822" s="93" t="s">
        <v>111</v>
      </c>
      <c r="T822" s="93" t="s">
        <v>116</v>
      </c>
      <c r="U822" s="94">
        <v>44596.603472222225</v>
      </c>
      <c r="V822" s="93" t="s">
        <v>402</v>
      </c>
      <c r="W822" s="93" t="s">
        <v>24</v>
      </c>
    </row>
    <row r="823" spans="1:23" x14ac:dyDescent="0.15">
      <c r="A823" s="93" t="s">
        <v>7700</v>
      </c>
      <c r="B823" s="93" t="s">
        <v>7701</v>
      </c>
      <c r="C823" s="93">
        <v>1344</v>
      </c>
      <c r="D823" s="93" t="s">
        <v>24</v>
      </c>
      <c r="E823" s="93" t="s">
        <v>24</v>
      </c>
      <c r="F823" s="93" t="s">
        <v>7</v>
      </c>
      <c r="G823" s="93" t="s">
        <v>7183</v>
      </c>
      <c r="H823" s="93" t="s">
        <v>400</v>
      </c>
      <c r="I823" s="93" t="s">
        <v>111</v>
      </c>
      <c r="J823" s="93" t="s">
        <v>7105</v>
      </c>
      <c r="K823" s="93" t="s">
        <v>111</v>
      </c>
      <c r="L823" s="93" t="s">
        <v>111</v>
      </c>
      <c r="M823" s="93" t="s">
        <v>111</v>
      </c>
      <c r="N823" s="93" t="s">
        <v>111</v>
      </c>
      <c r="O823" s="93" t="s">
        <v>111</v>
      </c>
      <c r="P823" s="93" t="s">
        <v>111</v>
      </c>
      <c r="Q823" s="93" t="s">
        <v>111</v>
      </c>
      <c r="R823" s="93" t="s">
        <v>111</v>
      </c>
      <c r="S823" s="93" t="s">
        <v>111</v>
      </c>
      <c r="T823" s="93" t="s">
        <v>116</v>
      </c>
      <c r="U823" s="94">
        <v>44596.56527777778</v>
      </c>
      <c r="V823" s="93" t="s">
        <v>402</v>
      </c>
      <c r="W823" s="93" t="s">
        <v>24</v>
      </c>
    </row>
    <row r="824" spans="1:23" x14ac:dyDescent="0.15">
      <c r="A824" s="93" t="s">
        <v>7702</v>
      </c>
      <c r="B824" s="93" t="s">
        <v>7703</v>
      </c>
      <c r="C824" s="93">
        <v>1680</v>
      </c>
      <c r="D824" s="93" t="s">
        <v>24</v>
      </c>
      <c r="E824" s="93" t="s">
        <v>24</v>
      </c>
      <c r="F824" s="93" t="s">
        <v>7</v>
      </c>
      <c r="G824" s="93" t="s">
        <v>7183</v>
      </c>
      <c r="H824" s="93" t="s">
        <v>400</v>
      </c>
      <c r="I824" s="93" t="s">
        <v>111</v>
      </c>
      <c r="J824" s="93" t="s">
        <v>7105</v>
      </c>
      <c r="K824" s="93" t="s">
        <v>111</v>
      </c>
      <c r="L824" s="93" t="s">
        <v>111</v>
      </c>
      <c r="M824" s="93" t="s">
        <v>111</v>
      </c>
      <c r="N824" s="93" t="s">
        <v>111</v>
      </c>
      <c r="O824" s="93" t="s">
        <v>111</v>
      </c>
      <c r="P824" s="93" t="s">
        <v>111</v>
      </c>
      <c r="Q824" s="93" t="s">
        <v>111</v>
      </c>
      <c r="R824" s="93" t="s">
        <v>111</v>
      </c>
      <c r="S824" s="93" t="s">
        <v>111</v>
      </c>
      <c r="T824" s="93" t="s">
        <v>116</v>
      </c>
      <c r="U824" s="94">
        <v>44596.583333333336</v>
      </c>
      <c r="V824" s="93" t="s">
        <v>402</v>
      </c>
      <c r="W824" s="93" t="s">
        <v>24</v>
      </c>
    </row>
    <row r="825" spans="1:23" x14ac:dyDescent="0.15">
      <c r="A825" s="93" t="s">
        <v>7704</v>
      </c>
      <c r="B825" s="93" t="s">
        <v>7705</v>
      </c>
      <c r="C825" s="93">
        <v>4284</v>
      </c>
      <c r="D825" s="93" t="s">
        <v>24</v>
      </c>
      <c r="E825" s="93" t="s">
        <v>24</v>
      </c>
      <c r="F825" s="93" t="s">
        <v>7</v>
      </c>
      <c r="G825" s="93" t="s">
        <v>7183</v>
      </c>
      <c r="H825" s="93" t="s">
        <v>400</v>
      </c>
      <c r="I825" s="93" t="s">
        <v>111</v>
      </c>
      <c r="J825" s="93" t="s">
        <v>7105</v>
      </c>
      <c r="K825" s="93" t="s">
        <v>111</v>
      </c>
      <c r="L825" s="93" t="s">
        <v>111</v>
      </c>
      <c r="M825" s="93" t="s">
        <v>111</v>
      </c>
      <c r="N825" s="93" t="s">
        <v>111</v>
      </c>
      <c r="O825" s="93" t="s">
        <v>111</v>
      </c>
      <c r="P825" s="93" t="s">
        <v>111</v>
      </c>
      <c r="Q825" s="93" t="s">
        <v>111</v>
      </c>
      <c r="R825" s="93" t="s">
        <v>111</v>
      </c>
      <c r="S825" s="93" t="s">
        <v>111</v>
      </c>
      <c r="T825" s="93" t="s">
        <v>116</v>
      </c>
      <c r="U825" s="94">
        <v>44596.613194444442</v>
      </c>
      <c r="V825" s="93" t="s">
        <v>402</v>
      </c>
      <c r="W825" s="93" t="s">
        <v>24</v>
      </c>
    </row>
    <row r="826" spans="1:23" x14ac:dyDescent="0.15">
      <c r="A826" s="93" t="s">
        <v>7706</v>
      </c>
      <c r="B826" s="93" t="s">
        <v>7707</v>
      </c>
      <c r="C826" s="93">
        <v>6720</v>
      </c>
      <c r="D826" s="93" t="s">
        <v>24</v>
      </c>
      <c r="E826" s="93" t="s">
        <v>24</v>
      </c>
      <c r="F826" s="93" t="s">
        <v>7</v>
      </c>
      <c r="G826" s="93" t="s">
        <v>7183</v>
      </c>
      <c r="H826" s="93" t="s">
        <v>400</v>
      </c>
      <c r="I826" s="93" t="s">
        <v>111</v>
      </c>
      <c r="J826" s="93" t="s">
        <v>7105</v>
      </c>
      <c r="K826" s="93" t="s">
        <v>111</v>
      </c>
      <c r="L826" s="93" t="s">
        <v>111</v>
      </c>
      <c r="M826" s="93" t="s">
        <v>111</v>
      </c>
      <c r="N826" s="93" t="s">
        <v>111</v>
      </c>
      <c r="O826" s="93" t="s">
        <v>111</v>
      </c>
      <c r="P826" s="93" t="s">
        <v>111</v>
      </c>
      <c r="Q826" s="93" t="s">
        <v>111</v>
      </c>
      <c r="R826" s="93" t="s">
        <v>111</v>
      </c>
      <c r="S826" s="93" t="s">
        <v>111</v>
      </c>
      <c r="T826" s="93" t="s">
        <v>116</v>
      </c>
      <c r="U826" s="94">
        <v>44596.56527777778</v>
      </c>
      <c r="V826" s="93" t="s">
        <v>402</v>
      </c>
      <c r="W826" s="93" t="s">
        <v>24</v>
      </c>
    </row>
    <row r="827" spans="1:23" x14ac:dyDescent="0.15">
      <c r="A827" s="93" t="s">
        <v>7708</v>
      </c>
      <c r="B827" s="93" t="s">
        <v>7709</v>
      </c>
      <c r="C827" s="93">
        <v>372</v>
      </c>
      <c r="D827" s="93" t="s">
        <v>24</v>
      </c>
      <c r="E827" s="93" t="s">
        <v>24</v>
      </c>
      <c r="F827" s="93" t="s">
        <v>7</v>
      </c>
      <c r="G827" s="93" t="s">
        <v>7183</v>
      </c>
      <c r="H827" s="93" t="s">
        <v>400</v>
      </c>
      <c r="I827" s="93" t="s">
        <v>111</v>
      </c>
      <c r="J827" s="93" t="s">
        <v>7105</v>
      </c>
      <c r="K827" s="93" t="s">
        <v>111</v>
      </c>
      <c r="L827" s="93" t="s">
        <v>111</v>
      </c>
      <c r="M827" s="93" t="s">
        <v>111</v>
      </c>
      <c r="N827" s="93" t="s">
        <v>111</v>
      </c>
      <c r="O827" s="93" t="s">
        <v>111</v>
      </c>
      <c r="P827" s="93" t="s">
        <v>111</v>
      </c>
      <c r="Q827" s="93" t="s">
        <v>111</v>
      </c>
      <c r="R827" s="93" t="s">
        <v>111</v>
      </c>
      <c r="S827" s="93" t="s">
        <v>111</v>
      </c>
      <c r="T827" s="93" t="s">
        <v>116</v>
      </c>
      <c r="U827" s="94">
        <v>44596.561111111114</v>
      </c>
      <c r="V827" s="93" t="s">
        <v>402</v>
      </c>
      <c r="W827" s="93" t="s">
        <v>24</v>
      </c>
    </row>
    <row r="828" spans="1:23" x14ac:dyDescent="0.15">
      <c r="A828" s="93" t="s">
        <v>7710</v>
      </c>
      <c r="B828" s="93" t="s">
        <v>7711</v>
      </c>
      <c r="C828" s="93">
        <v>949</v>
      </c>
      <c r="D828" s="93" t="s">
        <v>24</v>
      </c>
      <c r="E828" s="93" t="s">
        <v>24</v>
      </c>
      <c r="F828" s="93" t="s">
        <v>7</v>
      </c>
      <c r="G828" s="93" t="s">
        <v>7183</v>
      </c>
      <c r="H828" s="93" t="s">
        <v>400</v>
      </c>
      <c r="I828" s="93" t="s">
        <v>111</v>
      </c>
      <c r="J828" s="93" t="s">
        <v>7105</v>
      </c>
      <c r="K828" s="93" t="s">
        <v>111</v>
      </c>
      <c r="L828" s="93" t="s">
        <v>111</v>
      </c>
      <c r="M828" s="93" t="s">
        <v>111</v>
      </c>
      <c r="N828" s="93" t="s">
        <v>111</v>
      </c>
      <c r="O828" s="93" t="s">
        <v>111</v>
      </c>
      <c r="P828" s="93" t="s">
        <v>111</v>
      </c>
      <c r="Q828" s="93" t="s">
        <v>111</v>
      </c>
      <c r="R828" s="93" t="s">
        <v>111</v>
      </c>
      <c r="S828" s="93" t="s">
        <v>111</v>
      </c>
      <c r="T828" s="93" t="s">
        <v>116</v>
      </c>
      <c r="U828" s="94">
        <v>44596.56527777778</v>
      </c>
      <c r="V828" s="93" t="s">
        <v>402</v>
      </c>
      <c r="W828" s="93" t="s">
        <v>24</v>
      </c>
    </row>
    <row r="829" spans="1:23" x14ac:dyDescent="0.15">
      <c r="A829" s="93" t="s">
        <v>7712</v>
      </c>
      <c r="B829" s="93" t="s">
        <v>7713</v>
      </c>
      <c r="C829" s="93">
        <v>1488</v>
      </c>
      <c r="D829" s="93" t="s">
        <v>24</v>
      </c>
      <c r="E829" s="93" t="s">
        <v>24</v>
      </c>
      <c r="F829" s="93" t="s">
        <v>7</v>
      </c>
      <c r="G829" s="93" t="s">
        <v>7183</v>
      </c>
      <c r="H829" s="93" t="s">
        <v>400</v>
      </c>
      <c r="I829" s="93" t="s">
        <v>111</v>
      </c>
      <c r="J829" s="93" t="s">
        <v>7105</v>
      </c>
      <c r="K829" s="93" t="s">
        <v>111</v>
      </c>
      <c r="L829" s="93" t="s">
        <v>111</v>
      </c>
      <c r="M829" s="93" t="s">
        <v>111</v>
      </c>
      <c r="N829" s="93" t="s">
        <v>111</v>
      </c>
      <c r="O829" s="93" t="s">
        <v>111</v>
      </c>
      <c r="P829" s="93" t="s">
        <v>111</v>
      </c>
      <c r="Q829" s="93" t="s">
        <v>111</v>
      </c>
      <c r="R829" s="93" t="s">
        <v>111</v>
      </c>
      <c r="S829" s="93" t="s">
        <v>111</v>
      </c>
      <c r="T829" s="93" t="s">
        <v>116</v>
      </c>
      <c r="U829" s="94">
        <v>44596.605555555558</v>
      </c>
      <c r="V829" s="93" t="s">
        <v>402</v>
      </c>
      <c r="W829" s="93" t="s">
        <v>24</v>
      </c>
    </row>
    <row r="830" spans="1:23" x14ac:dyDescent="0.15">
      <c r="A830" s="93" t="s">
        <v>7714</v>
      </c>
      <c r="B830" s="93" t="s">
        <v>7715</v>
      </c>
      <c r="C830" s="93">
        <v>1862</v>
      </c>
      <c r="D830" s="93" t="s">
        <v>24</v>
      </c>
      <c r="E830" s="93" t="s">
        <v>24</v>
      </c>
      <c r="F830" s="93" t="s">
        <v>7</v>
      </c>
      <c r="G830" s="93" t="s">
        <v>7183</v>
      </c>
      <c r="H830" s="93" t="s">
        <v>400</v>
      </c>
      <c r="I830" s="93" t="s">
        <v>111</v>
      </c>
      <c r="J830" s="93" t="s">
        <v>7105</v>
      </c>
      <c r="K830" s="93" t="s">
        <v>111</v>
      </c>
      <c r="L830" s="93" t="s">
        <v>111</v>
      </c>
      <c r="M830" s="93" t="s">
        <v>111</v>
      </c>
      <c r="N830" s="93" t="s">
        <v>111</v>
      </c>
      <c r="O830" s="93" t="s">
        <v>111</v>
      </c>
      <c r="P830" s="93" t="s">
        <v>111</v>
      </c>
      <c r="Q830" s="93" t="s">
        <v>111</v>
      </c>
      <c r="R830" s="93" t="s">
        <v>2</v>
      </c>
      <c r="S830" s="93" t="s">
        <v>111</v>
      </c>
      <c r="T830" s="93" t="s">
        <v>116</v>
      </c>
      <c r="U830" s="94">
        <v>44596.556250000001</v>
      </c>
      <c r="V830" s="93" t="s">
        <v>402</v>
      </c>
      <c r="W830" s="93" t="s">
        <v>24</v>
      </c>
    </row>
    <row r="831" spans="1:23" x14ac:dyDescent="0.15">
      <c r="A831" s="93" t="s">
        <v>7716</v>
      </c>
      <c r="B831" s="93" t="s">
        <v>7717</v>
      </c>
      <c r="C831" s="93">
        <v>4749</v>
      </c>
      <c r="D831" s="93" t="s">
        <v>24</v>
      </c>
      <c r="E831" s="93" t="s">
        <v>24</v>
      </c>
      <c r="F831" s="93" t="s">
        <v>7</v>
      </c>
      <c r="G831" s="93" t="s">
        <v>7183</v>
      </c>
      <c r="H831" s="93" t="s">
        <v>400</v>
      </c>
      <c r="I831" s="93" t="s">
        <v>111</v>
      </c>
      <c r="J831" s="93" t="s">
        <v>7105</v>
      </c>
      <c r="K831" s="93" t="s">
        <v>111</v>
      </c>
      <c r="L831" s="93" t="s">
        <v>111</v>
      </c>
      <c r="M831" s="93" t="s">
        <v>111</v>
      </c>
      <c r="N831" s="93" t="s">
        <v>111</v>
      </c>
      <c r="O831" s="93" t="s">
        <v>111</v>
      </c>
      <c r="P831" s="93" t="s">
        <v>111</v>
      </c>
      <c r="Q831" s="93" t="s">
        <v>111</v>
      </c>
      <c r="R831" s="93" t="s">
        <v>2</v>
      </c>
      <c r="S831" s="93" t="s">
        <v>111</v>
      </c>
      <c r="T831" s="93" t="s">
        <v>116</v>
      </c>
      <c r="U831" s="94">
        <v>44596.556250000001</v>
      </c>
      <c r="V831" s="93" t="s">
        <v>402</v>
      </c>
      <c r="W831" s="93" t="s">
        <v>24</v>
      </c>
    </row>
    <row r="832" spans="1:23" x14ac:dyDescent="0.15">
      <c r="A832" s="93" t="s">
        <v>7718</v>
      </c>
      <c r="B832" s="93" t="s">
        <v>7719</v>
      </c>
      <c r="C832" s="93">
        <v>7448</v>
      </c>
      <c r="D832" s="93" t="s">
        <v>24</v>
      </c>
      <c r="E832" s="93" t="s">
        <v>24</v>
      </c>
      <c r="F832" s="93" t="s">
        <v>7</v>
      </c>
      <c r="G832" s="93" t="s">
        <v>7183</v>
      </c>
      <c r="H832" s="93" t="s">
        <v>400</v>
      </c>
      <c r="I832" s="93" t="s">
        <v>111</v>
      </c>
      <c r="J832" s="93" t="s">
        <v>7105</v>
      </c>
      <c r="K832" s="93" t="s">
        <v>111</v>
      </c>
      <c r="L832" s="93" t="s">
        <v>111</v>
      </c>
      <c r="M832" s="93" t="s">
        <v>111</v>
      </c>
      <c r="N832" s="93" t="s">
        <v>111</v>
      </c>
      <c r="O832" s="93" t="s">
        <v>111</v>
      </c>
      <c r="P832" s="93" t="s">
        <v>111</v>
      </c>
      <c r="Q832" s="93" t="s">
        <v>111</v>
      </c>
      <c r="R832" s="93" t="s">
        <v>111</v>
      </c>
      <c r="S832" s="93" t="s">
        <v>111</v>
      </c>
      <c r="T832" s="93" t="s">
        <v>116</v>
      </c>
      <c r="U832" s="94">
        <v>44596.578472222223</v>
      </c>
      <c r="V832" s="93" t="s">
        <v>402</v>
      </c>
      <c r="W832" s="93" t="s">
        <v>24</v>
      </c>
    </row>
    <row r="833" spans="1:23" x14ac:dyDescent="0.15">
      <c r="A833" s="93" t="s">
        <v>7720</v>
      </c>
      <c r="B833" s="93" t="s">
        <v>7721</v>
      </c>
      <c r="C833" s="93">
        <v>408</v>
      </c>
      <c r="D833" s="93" t="s">
        <v>24</v>
      </c>
      <c r="E833" s="93" t="s">
        <v>24</v>
      </c>
      <c r="F833" s="93" t="s">
        <v>7</v>
      </c>
      <c r="G833" s="93" t="s">
        <v>7183</v>
      </c>
      <c r="H833" s="93" t="s">
        <v>400</v>
      </c>
      <c r="I833" s="93" t="s">
        <v>111</v>
      </c>
      <c r="J833" s="93" t="s">
        <v>7105</v>
      </c>
      <c r="K833" s="93" t="s">
        <v>111</v>
      </c>
      <c r="L833" s="93" t="s">
        <v>111</v>
      </c>
      <c r="M833" s="93" t="s">
        <v>111</v>
      </c>
      <c r="N833" s="93" t="s">
        <v>111</v>
      </c>
      <c r="O833" s="93" t="s">
        <v>111</v>
      </c>
      <c r="P833" s="93" t="s">
        <v>111</v>
      </c>
      <c r="Q833" s="93" t="s">
        <v>111</v>
      </c>
      <c r="R833" s="93" t="s">
        <v>111</v>
      </c>
      <c r="S833" s="93" t="s">
        <v>111</v>
      </c>
      <c r="T833" s="93" t="s">
        <v>116</v>
      </c>
      <c r="U833" s="94">
        <v>44596.583333333336</v>
      </c>
      <c r="V833" s="93" t="s">
        <v>402</v>
      </c>
      <c r="W833" s="93" t="s">
        <v>24</v>
      </c>
    </row>
    <row r="834" spans="1:23" x14ac:dyDescent="0.15">
      <c r="A834" s="93" t="s">
        <v>7722</v>
      </c>
      <c r="B834" s="93" t="s">
        <v>7723</v>
      </c>
      <c r="C834" s="93">
        <v>1041</v>
      </c>
      <c r="D834" s="93" t="s">
        <v>24</v>
      </c>
      <c r="E834" s="93" t="s">
        <v>24</v>
      </c>
      <c r="F834" s="93" t="s">
        <v>7</v>
      </c>
      <c r="G834" s="93" t="s">
        <v>7183</v>
      </c>
      <c r="H834" s="93" t="s">
        <v>400</v>
      </c>
      <c r="I834" s="93" t="s">
        <v>111</v>
      </c>
      <c r="J834" s="93" t="s">
        <v>7105</v>
      </c>
      <c r="K834" s="93" t="s">
        <v>111</v>
      </c>
      <c r="L834" s="93" t="s">
        <v>111</v>
      </c>
      <c r="M834" s="93" t="s">
        <v>111</v>
      </c>
      <c r="N834" s="93" t="s">
        <v>111</v>
      </c>
      <c r="O834" s="93" t="s">
        <v>111</v>
      </c>
      <c r="P834" s="93" t="s">
        <v>111</v>
      </c>
      <c r="Q834" s="93" t="s">
        <v>111</v>
      </c>
      <c r="R834" s="93" t="s">
        <v>111</v>
      </c>
      <c r="S834" s="93" t="s">
        <v>111</v>
      </c>
      <c r="T834" s="93" t="s">
        <v>116</v>
      </c>
      <c r="U834" s="94">
        <v>44596.609722222223</v>
      </c>
      <c r="V834" s="93" t="s">
        <v>402</v>
      </c>
      <c r="W834" s="93" t="s">
        <v>24</v>
      </c>
    </row>
    <row r="835" spans="1:23" x14ac:dyDescent="0.15">
      <c r="A835" s="93" t="s">
        <v>7724</v>
      </c>
      <c r="B835" s="93" t="s">
        <v>7725</v>
      </c>
      <c r="C835" s="93">
        <v>1632</v>
      </c>
      <c r="D835" s="93" t="s">
        <v>24</v>
      </c>
      <c r="E835" s="93" t="s">
        <v>24</v>
      </c>
      <c r="F835" s="93" t="s">
        <v>7</v>
      </c>
      <c r="G835" s="93" t="s">
        <v>7183</v>
      </c>
      <c r="H835" s="93" t="s">
        <v>400</v>
      </c>
      <c r="I835" s="93" t="s">
        <v>111</v>
      </c>
      <c r="J835" s="93" t="s">
        <v>7105</v>
      </c>
      <c r="K835" s="93" t="s">
        <v>111</v>
      </c>
      <c r="L835" s="93" t="s">
        <v>111</v>
      </c>
      <c r="M835" s="93" t="s">
        <v>111</v>
      </c>
      <c r="N835" s="93" t="s">
        <v>111</v>
      </c>
      <c r="O835" s="93" t="s">
        <v>111</v>
      </c>
      <c r="P835" s="93" t="s">
        <v>111</v>
      </c>
      <c r="Q835" s="93" t="s">
        <v>111</v>
      </c>
      <c r="R835" s="93" t="s">
        <v>111</v>
      </c>
      <c r="S835" s="93" t="s">
        <v>111</v>
      </c>
      <c r="T835" s="93" t="s">
        <v>116</v>
      </c>
      <c r="U835" s="94">
        <v>44596.578472222223</v>
      </c>
      <c r="V835" s="93" t="s">
        <v>402</v>
      </c>
      <c r="W835" s="93" t="s">
        <v>24</v>
      </c>
    </row>
    <row r="836" spans="1:23" x14ac:dyDescent="0.15">
      <c r="A836" s="93" t="s">
        <v>7726</v>
      </c>
      <c r="B836" s="93" t="s">
        <v>7727</v>
      </c>
      <c r="C836" s="93">
        <v>2040</v>
      </c>
      <c r="D836" s="93" t="s">
        <v>24</v>
      </c>
      <c r="E836" s="93" t="s">
        <v>24</v>
      </c>
      <c r="F836" s="93" t="s">
        <v>7</v>
      </c>
      <c r="G836" s="93" t="s">
        <v>7183</v>
      </c>
      <c r="H836" s="93" t="s">
        <v>400</v>
      </c>
      <c r="I836" s="93" t="s">
        <v>111</v>
      </c>
      <c r="J836" s="93" t="s">
        <v>7105</v>
      </c>
      <c r="K836" s="93" t="s">
        <v>111</v>
      </c>
      <c r="L836" s="93" t="s">
        <v>111</v>
      </c>
      <c r="M836" s="93" t="s">
        <v>111</v>
      </c>
      <c r="N836" s="93" t="s">
        <v>111</v>
      </c>
      <c r="O836" s="93" t="s">
        <v>111</v>
      </c>
      <c r="P836" s="93" t="s">
        <v>111</v>
      </c>
      <c r="Q836" s="93" t="s">
        <v>111</v>
      </c>
      <c r="R836" s="93" t="s">
        <v>111</v>
      </c>
      <c r="S836" s="93" t="s">
        <v>111</v>
      </c>
      <c r="T836" s="93" t="s">
        <v>116</v>
      </c>
      <c r="U836" s="94">
        <v>44596.556250000001</v>
      </c>
      <c r="V836" s="93" t="s">
        <v>402</v>
      </c>
      <c r="W836" s="93" t="s">
        <v>24</v>
      </c>
    </row>
    <row r="837" spans="1:23" x14ac:dyDescent="0.15">
      <c r="A837" s="93" t="s">
        <v>7728</v>
      </c>
      <c r="B837" s="93" t="s">
        <v>7729</v>
      </c>
      <c r="C837" s="93">
        <v>5202</v>
      </c>
      <c r="D837" s="93" t="s">
        <v>24</v>
      </c>
      <c r="E837" s="93" t="s">
        <v>24</v>
      </c>
      <c r="F837" s="93" t="s">
        <v>7</v>
      </c>
      <c r="G837" s="93" t="s">
        <v>7183</v>
      </c>
      <c r="H837" s="93" t="s">
        <v>400</v>
      </c>
      <c r="I837" s="93" t="s">
        <v>111</v>
      </c>
      <c r="J837" s="93" t="s">
        <v>7105</v>
      </c>
      <c r="K837" s="93" t="s">
        <v>111</v>
      </c>
      <c r="L837" s="93" t="s">
        <v>111</v>
      </c>
      <c r="M837" s="93" t="s">
        <v>111</v>
      </c>
      <c r="N837" s="93" t="s">
        <v>111</v>
      </c>
      <c r="O837" s="93" t="s">
        <v>111</v>
      </c>
      <c r="P837" s="93" t="s">
        <v>111</v>
      </c>
      <c r="Q837" s="93" t="s">
        <v>111</v>
      </c>
      <c r="R837" s="93" t="s">
        <v>111</v>
      </c>
      <c r="S837" s="93" t="s">
        <v>111</v>
      </c>
      <c r="T837" s="93" t="s">
        <v>116</v>
      </c>
      <c r="U837" s="94">
        <v>44596.570138888892</v>
      </c>
      <c r="V837" s="93" t="s">
        <v>402</v>
      </c>
      <c r="W837" s="93" t="s">
        <v>24</v>
      </c>
    </row>
    <row r="838" spans="1:23" x14ac:dyDescent="0.15">
      <c r="A838" s="93" t="s">
        <v>7730</v>
      </c>
      <c r="B838" s="93" t="s">
        <v>7731</v>
      </c>
      <c r="C838" s="93">
        <v>8160</v>
      </c>
      <c r="D838" s="93" t="s">
        <v>24</v>
      </c>
      <c r="E838" s="93" t="s">
        <v>24</v>
      </c>
      <c r="F838" s="93" t="s">
        <v>7</v>
      </c>
      <c r="G838" s="93" t="s">
        <v>7183</v>
      </c>
      <c r="H838" s="93" t="s">
        <v>400</v>
      </c>
      <c r="I838" s="93" t="s">
        <v>111</v>
      </c>
      <c r="J838" s="93" t="s">
        <v>7105</v>
      </c>
      <c r="K838" s="93" t="s">
        <v>111</v>
      </c>
      <c r="L838" s="93" t="s">
        <v>111</v>
      </c>
      <c r="M838" s="93" t="s">
        <v>111</v>
      </c>
      <c r="N838" s="93" t="s">
        <v>111</v>
      </c>
      <c r="O838" s="93" t="s">
        <v>111</v>
      </c>
      <c r="P838" s="93" t="s">
        <v>111</v>
      </c>
      <c r="Q838" s="93" t="s">
        <v>111</v>
      </c>
      <c r="R838" s="93" t="s">
        <v>111</v>
      </c>
      <c r="S838" s="93" t="s">
        <v>111</v>
      </c>
      <c r="T838" s="93" t="s">
        <v>116</v>
      </c>
      <c r="U838" s="94">
        <v>44596.56527777778</v>
      </c>
      <c r="V838" s="93" t="s">
        <v>402</v>
      </c>
      <c r="W838" s="93" t="s">
        <v>24</v>
      </c>
    </row>
    <row r="839" spans="1:23" x14ac:dyDescent="0.15">
      <c r="A839" s="93" t="s">
        <v>7732</v>
      </c>
      <c r="B839" s="93" t="s">
        <v>7733</v>
      </c>
      <c r="C839" s="93">
        <v>444</v>
      </c>
      <c r="D839" s="93" t="s">
        <v>24</v>
      </c>
      <c r="E839" s="93" t="s">
        <v>24</v>
      </c>
      <c r="F839" s="93" t="s">
        <v>7</v>
      </c>
      <c r="G839" s="93" t="s">
        <v>7183</v>
      </c>
      <c r="H839" s="93" t="s">
        <v>400</v>
      </c>
      <c r="I839" s="93" t="s">
        <v>111</v>
      </c>
      <c r="J839" s="93" t="s">
        <v>7105</v>
      </c>
      <c r="K839" s="93" t="s">
        <v>111</v>
      </c>
      <c r="L839" s="93" t="s">
        <v>111</v>
      </c>
      <c r="M839" s="93" t="s">
        <v>111</v>
      </c>
      <c r="N839" s="93" t="s">
        <v>111</v>
      </c>
      <c r="O839" s="93" t="s">
        <v>111</v>
      </c>
      <c r="P839" s="93" t="s">
        <v>111</v>
      </c>
      <c r="Q839" s="93" t="s">
        <v>111</v>
      </c>
      <c r="R839" s="93" t="s">
        <v>111</v>
      </c>
      <c r="S839" s="93" t="s">
        <v>111</v>
      </c>
      <c r="T839" s="93" t="s">
        <v>116</v>
      </c>
      <c r="U839" s="94">
        <v>44596.609722222223</v>
      </c>
      <c r="V839" s="93" t="s">
        <v>402</v>
      </c>
      <c r="W839" s="93" t="s">
        <v>24</v>
      </c>
    </row>
    <row r="840" spans="1:23" x14ac:dyDescent="0.15">
      <c r="A840" s="93" t="s">
        <v>7734</v>
      </c>
      <c r="B840" s="93" t="s">
        <v>7735</v>
      </c>
      <c r="C840" s="93">
        <v>1133</v>
      </c>
      <c r="D840" s="93" t="s">
        <v>24</v>
      </c>
      <c r="E840" s="93" t="s">
        <v>24</v>
      </c>
      <c r="F840" s="93" t="s">
        <v>7</v>
      </c>
      <c r="G840" s="93" t="s">
        <v>7183</v>
      </c>
      <c r="H840" s="93" t="s">
        <v>400</v>
      </c>
      <c r="I840" s="93" t="s">
        <v>111</v>
      </c>
      <c r="J840" s="93" t="s">
        <v>7105</v>
      </c>
      <c r="K840" s="93" t="s">
        <v>111</v>
      </c>
      <c r="L840" s="93" t="s">
        <v>111</v>
      </c>
      <c r="M840" s="93" t="s">
        <v>111</v>
      </c>
      <c r="N840" s="93" t="s">
        <v>111</v>
      </c>
      <c r="O840" s="93" t="s">
        <v>111</v>
      </c>
      <c r="P840" s="93" t="s">
        <v>111</v>
      </c>
      <c r="Q840" s="93" t="s">
        <v>111</v>
      </c>
      <c r="R840" s="93" t="s">
        <v>111</v>
      </c>
      <c r="S840" s="93" t="s">
        <v>111</v>
      </c>
      <c r="T840" s="93" t="s">
        <v>116</v>
      </c>
      <c r="U840" s="94">
        <v>44596.570138888892</v>
      </c>
      <c r="V840" s="93" t="s">
        <v>402</v>
      </c>
      <c r="W840" s="93" t="s">
        <v>24</v>
      </c>
    </row>
    <row r="841" spans="1:23" x14ac:dyDescent="0.15">
      <c r="A841" s="93" t="s">
        <v>7736</v>
      </c>
      <c r="B841" s="93" t="s">
        <v>7737</v>
      </c>
      <c r="C841" s="93">
        <v>1776</v>
      </c>
      <c r="D841" s="93" t="s">
        <v>24</v>
      </c>
      <c r="E841" s="93" t="s">
        <v>24</v>
      </c>
      <c r="F841" s="93" t="s">
        <v>7</v>
      </c>
      <c r="G841" s="93" t="s">
        <v>7183</v>
      </c>
      <c r="H841" s="93" t="s">
        <v>400</v>
      </c>
      <c r="I841" s="93" t="s">
        <v>111</v>
      </c>
      <c r="J841" s="93" t="s">
        <v>7105</v>
      </c>
      <c r="K841" s="93" t="s">
        <v>111</v>
      </c>
      <c r="L841" s="93" t="s">
        <v>111</v>
      </c>
      <c r="M841" s="93" t="s">
        <v>111</v>
      </c>
      <c r="N841" s="93" t="s">
        <v>111</v>
      </c>
      <c r="O841" s="93" t="s">
        <v>111</v>
      </c>
      <c r="P841" s="93" t="s">
        <v>111</v>
      </c>
      <c r="Q841" s="93" t="s">
        <v>111</v>
      </c>
      <c r="R841" s="93" t="s">
        <v>2</v>
      </c>
      <c r="S841" s="93" t="s">
        <v>111</v>
      </c>
      <c r="T841" s="93" t="s">
        <v>116</v>
      </c>
      <c r="U841" s="94">
        <v>44596.603472222225</v>
      </c>
      <c r="V841" s="93" t="s">
        <v>402</v>
      </c>
      <c r="W841" s="93" t="s">
        <v>24</v>
      </c>
    </row>
    <row r="842" spans="1:23" x14ac:dyDescent="0.15">
      <c r="A842" s="93" t="s">
        <v>7738</v>
      </c>
      <c r="B842" s="93" t="s">
        <v>7739</v>
      </c>
      <c r="C842" s="93">
        <v>2223</v>
      </c>
      <c r="D842" s="93" t="s">
        <v>24</v>
      </c>
      <c r="E842" s="93" t="s">
        <v>24</v>
      </c>
      <c r="F842" s="93" t="s">
        <v>7</v>
      </c>
      <c r="G842" s="93" t="s">
        <v>7183</v>
      </c>
      <c r="H842" s="93" t="s">
        <v>400</v>
      </c>
      <c r="I842" s="93" t="s">
        <v>111</v>
      </c>
      <c r="J842" s="93" t="s">
        <v>7105</v>
      </c>
      <c r="K842" s="93" t="s">
        <v>111</v>
      </c>
      <c r="L842" s="93" t="s">
        <v>111</v>
      </c>
      <c r="M842" s="93" t="s">
        <v>111</v>
      </c>
      <c r="N842" s="93" t="s">
        <v>111</v>
      </c>
      <c r="O842" s="93" t="s">
        <v>111</v>
      </c>
      <c r="P842" s="93" t="s">
        <v>111</v>
      </c>
      <c r="Q842" s="93" t="s">
        <v>111</v>
      </c>
      <c r="R842" s="93" t="s">
        <v>111</v>
      </c>
      <c r="S842" s="93" t="s">
        <v>111</v>
      </c>
      <c r="T842" s="93" t="s">
        <v>116</v>
      </c>
      <c r="U842" s="94">
        <v>44596.561805555553</v>
      </c>
      <c r="V842" s="93" t="s">
        <v>402</v>
      </c>
      <c r="W842" s="93" t="s">
        <v>24</v>
      </c>
    </row>
    <row r="843" spans="1:23" x14ac:dyDescent="0.15">
      <c r="A843" s="93" t="s">
        <v>7740</v>
      </c>
      <c r="B843" s="93" t="s">
        <v>7741</v>
      </c>
      <c r="C843" s="93">
        <v>5669</v>
      </c>
      <c r="D843" s="93" t="s">
        <v>24</v>
      </c>
      <c r="E843" s="93" t="s">
        <v>24</v>
      </c>
      <c r="F843" s="93" t="s">
        <v>7</v>
      </c>
      <c r="G843" s="93" t="s">
        <v>7183</v>
      </c>
      <c r="H843" s="93" t="s">
        <v>400</v>
      </c>
      <c r="I843" s="93" t="s">
        <v>111</v>
      </c>
      <c r="J843" s="93" t="s">
        <v>7105</v>
      </c>
      <c r="K843" s="93" t="s">
        <v>111</v>
      </c>
      <c r="L843" s="93" t="s">
        <v>111</v>
      </c>
      <c r="M843" s="93" t="s">
        <v>111</v>
      </c>
      <c r="N843" s="93" t="s">
        <v>111</v>
      </c>
      <c r="O843" s="93" t="s">
        <v>111</v>
      </c>
      <c r="P843" s="93" t="s">
        <v>111</v>
      </c>
      <c r="Q843" s="93" t="s">
        <v>111</v>
      </c>
      <c r="R843" s="93" t="s">
        <v>111</v>
      </c>
      <c r="S843" s="93" t="s">
        <v>111</v>
      </c>
      <c r="T843" s="93" t="s">
        <v>116</v>
      </c>
      <c r="U843" s="94">
        <v>44596.56527777778</v>
      </c>
      <c r="V843" s="93" t="s">
        <v>402</v>
      </c>
      <c r="W843" s="93" t="s">
        <v>24</v>
      </c>
    </row>
    <row r="844" spans="1:23" x14ac:dyDescent="0.15">
      <c r="A844" s="93" t="s">
        <v>7742</v>
      </c>
      <c r="B844" s="93" t="s">
        <v>7743</v>
      </c>
      <c r="C844" s="93">
        <v>8892</v>
      </c>
      <c r="D844" s="93" t="s">
        <v>24</v>
      </c>
      <c r="E844" s="93" t="s">
        <v>24</v>
      </c>
      <c r="F844" s="93" t="s">
        <v>7</v>
      </c>
      <c r="G844" s="93" t="s">
        <v>7183</v>
      </c>
      <c r="H844" s="93" t="s">
        <v>400</v>
      </c>
      <c r="I844" s="93" t="s">
        <v>111</v>
      </c>
      <c r="J844" s="93" t="s">
        <v>7105</v>
      </c>
      <c r="K844" s="93" t="s">
        <v>111</v>
      </c>
      <c r="L844" s="93" t="s">
        <v>111</v>
      </c>
      <c r="M844" s="93" t="s">
        <v>111</v>
      </c>
      <c r="N844" s="93" t="s">
        <v>111</v>
      </c>
      <c r="O844" s="93" t="s">
        <v>111</v>
      </c>
      <c r="P844" s="93" t="s">
        <v>111</v>
      </c>
      <c r="Q844" s="93" t="s">
        <v>111</v>
      </c>
      <c r="R844" s="93" t="s">
        <v>111</v>
      </c>
      <c r="S844" s="93" t="s">
        <v>111</v>
      </c>
      <c r="T844" s="93" t="s">
        <v>116</v>
      </c>
      <c r="U844" s="94">
        <v>44596.606249999997</v>
      </c>
      <c r="V844" s="93" t="s">
        <v>402</v>
      </c>
      <c r="W844" s="93" t="s">
        <v>24</v>
      </c>
    </row>
    <row r="845" spans="1:23" x14ac:dyDescent="0.15">
      <c r="A845" s="93" t="s">
        <v>7744</v>
      </c>
      <c r="B845" s="93" t="s">
        <v>7745</v>
      </c>
      <c r="C845" s="93">
        <v>12</v>
      </c>
      <c r="D845" s="93" t="s">
        <v>24</v>
      </c>
      <c r="E845" s="93" t="s">
        <v>24</v>
      </c>
      <c r="F845" s="93" t="s">
        <v>7</v>
      </c>
      <c r="G845" s="93" t="s">
        <v>7183</v>
      </c>
      <c r="H845" s="93" t="s">
        <v>400</v>
      </c>
      <c r="I845" s="93" t="s">
        <v>111</v>
      </c>
      <c r="J845" s="93" t="s">
        <v>7105</v>
      </c>
      <c r="K845" s="93" t="s">
        <v>111</v>
      </c>
      <c r="L845" s="93" t="s">
        <v>111</v>
      </c>
      <c r="M845" s="93" t="s">
        <v>111</v>
      </c>
      <c r="N845" s="93" t="s">
        <v>111</v>
      </c>
      <c r="O845" s="93" t="s">
        <v>111</v>
      </c>
      <c r="P845" s="93" t="s">
        <v>111</v>
      </c>
      <c r="Q845" s="93" t="s">
        <v>111</v>
      </c>
      <c r="R845" s="93" t="s">
        <v>2</v>
      </c>
      <c r="S845" s="93" t="s">
        <v>111</v>
      </c>
      <c r="T845" s="93" t="s">
        <v>116</v>
      </c>
      <c r="U845" s="94">
        <v>44596.582638888889</v>
      </c>
      <c r="V845" s="93" t="s">
        <v>402</v>
      </c>
      <c r="W845" s="93" t="s">
        <v>24</v>
      </c>
    </row>
    <row r="846" spans="1:23" x14ac:dyDescent="0.15">
      <c r="A846" s="93" t="s">
        <v>7746</v>
      </c>
      <c r="B846" s="93" t="s">
        <v>7747</v>
      </c>
      <c r="C846" s="93">
        <v>31</v>
      </c>
      <c r="D846" s="93" t="s">
        <v>24</v>
      </c>
      <c r="E846" s="93" t="s">
        <v>24</v>
      </c>
      <c r="F846" s="93" t="s">
        <v>7</v>
      </c>
      <c r="G846" s="93" t="s">
        <v>7183</v>
      </c>
      <c r="H846" s="93" t="s">
        <v>400</v>
      </c>
      <c r="I846" s="93" t="s">
        <v>111</v>
      </c>
      <c r="J846" s="93" t="s">
        <v>7105</v>
      </c>
      <c r="K846" s="93" t="s">
        <v>111</v>
      </c>
      <c r="L846" s="93" t="s">
        <v>111</v>
      </c>
      <c r="M846" s="93" t="s">
        <v>111</v>
      </c>
      <c r="N846" s="93" t="s">
        <v>111</v>
      </c>
      <c r="O846" s="93" t="s">
        <v>111</v>
      </c>
      <c r="P846" s="93" t="s">
        <v>111</v>
      </c>
      <c r="Q846" s="93" t="s">
        <v>111</v>
      </c>
      <c r="R846" s="93" t="s">
        <v>111</v>
      </c>
      <c r="S846" s="93" t="s">
        <v>111</v>
      </c>
      <c r="T846" s="93" t="s">
        <v>116</v>
      </c>
      <c r="U846" s="94">
        <v>44596.582638888889</v>
      </c>
      <c r="V846" s="93" t="s">
        <v>402</v>
      </c>
      <c r="W846" s="93" t="s">
        <v>24</v>
      </c>
    </row>
    <row r="847" spans="1:23" x14ac:dyDescent="0.15">
      <c r="A847" s="93" t="s">
        <v>7748</v>
      </c>
      <c r="B847" s="93" t="s">
        <v>7749</v>
      </c>
      <c r="C847" s="93">
        <v>48</v>
      </c>
      <c r="D847" s="93" t="s">
        <v>24</v>
      </c>
      <c r="E847" s="93" t="s">
        <v>24</v>
      </c>
      <c r="F847" s="93" t="s">
        <v>7</v>
      </c>
      <c r="G847" s="93" t="s">
        <v>7183</v>
      </c>
      <c r="H847" s="93" t="s">
        <v>400</v>
      </c>
      <c r="I847" s="93" t="s">
        <v>111</v>
      </c>
      <c r="J847" s="93" t="s">
        <v>7105</v>
      </c>
      <c r="K847" s="93" t="s">
        <v>111</v>
      </c>
      <c r="L847" s="93" t="s">
        <v>111</v>
      </c>
      <c r="M847" s="93" t="s">
        <v>111</v>
      </c>
      <c r="N847" s="93" t="s">
        <v>111</v>
      </c>
      <c r="O847" s="93" t="s">
        <v>111</v>
      </c>
      <c r="P847" s="93" t="s">
        <v>111</v>
      </c>
      <c r="Q847" s="93" t="s">
        <v>111</v>
      </c>
      <c r="R847" s="93" t="s">
        <v>111</v>
      </c>
      <c r="S847" s="93" t="s">
        <v>111</v>
      </c>
      <c r="T847" s="93" t="s">
        <v>116</v>
      </c>
      <c r="U847" s="94">
        <v>44596.609722222223</v>
      </c>
      <c r="V847" s="93" t="s">
        <v>402</v>
      </c>
      <c r="W847" s="93" t="s">
        <v>24</v>
      </c>
    </row>
    <row r="848" spans="1:23" x14ac:dyDescent="0.15">
      <c r="A848" s="93" t="s">
        <v>7750</v>
      </c>
      <c r="B848" s="93" t="s">
        <v>7751</v>
      </c>
      <c r="C848" s="93">
        <v>26</v>
      </c>
      <c r="D848" s="93" t="s">
        <v>24</v>
      </c>
      <c r="E848" s="93" t="s">
        <v>24</v>
      </c>
      <c r="F848" s="93" t="s">
        <v>7</v>
      </c>
      <c r="G848" s="93" t="s">
        <v>7183</v>
      </c>
      <c r="H848" s="93" t="s">
        <v>400</v>
      </c>
      <c r="I848" s="93" t="s">
        <v>111</v>
      </c>
      <c r="J848" s="93" t="s">
        <v>7105</v>
      </c>
      <c r="K848" s="93" t="s">
        <v>111</v>
      </c>
      <c r="L848" s="93" t="s">
        <v>111</v>
      </c>
      <c r="M848" s="93" t="s">
        <v>111</v>
      </c>
      <c r="N848" s="93" t="s">
        <v>111</v>
      </c>
      <c r="O848" s="93" t="s">
        <v>111</v>
      </c>
      <c r="P848" s="93" t="s">
        <v>111</v>
      </c>
      <c r="Q848" s="93" t="s">
        <v>111</v>
      </c>
      <c r="R848" s="93" t="s">
        <v>111</v>
      </c>
      <c r="S848" s="93" t="s">
        <v>111</v>
      </c>
      <c r="T848" s="93" t="s">
        <v>116</v>
      </c>
      <c r="U848" s="94">
        <v>44596.561111111114</v>
      </c>
      <c r="V848" s="93" t="s">
        <v>402</v>
      </c>
      <c r="W848" s="93" t="s">
        <v>24</v>
      </c>
    </row>
    <row r="849" spans="1:23" x14ac:dyDescent="0.15">
      <c r="A849" s="93" t="s">
        <v>7752</v>
      </c>
      <c r="B849" s="93" t="s">
        <v>7753</v>
      </c>
      <c r="C849" s="93">
        <v>67</v>
      </c>
      <c r="D849" s="93" t="s">
        <v>24</v>
      </c>
      <c r="E849" s="93" t="s">
        <v>24</v>
      </c>
      <c r="F849" s="93" t="s">
        <v>7</v>
      </c>
      <c r="G849" s="93" t="s">
        <v>7183</v>
      </c>
      <c r="H849" s="93" t="s">
        <v>400</v>
      </c>
      <c r="I849" s="93" t="s">
        <v>111</v>
      </c>
      <c r="J849" s="93" t="s">
        <v>7105</v>
      </c>
      <c r="K849" s="93" t="s">
        <v>111</v>
      </c>
      <c r="L849" s="93" t="s">
        <v>111</v>
      </c>
      <c r="M849" s="93" t="s">
        <v>111</v>
      </c>
      <c r="N849" s="93" t="s">
        <v>111</v>
      </c>
      <c r="O849" s="93" t="s">
        <v>111</v>
      </c>
      <c r="P849" s="93" t="s">
        <v>111</v>
      </c>
      <c r="Q849" s="93" t="s">
        <v>111</v>
      </c>
      <c r="R849" s="93" t="s">
        <v>111</v>
      </c>
      <c r="S849" s="93" t="s">
        <v>111</v>
      </c>
      <c r="T849" s="93" t="s">
        <v>116</v>
      </c>
      <c r="U849" s="94">
        <v>44596.600694444445</v>
      </c>
      <c r="V849" s="93" t="s">
        <v>402</v>
      </c>
      <c r="W849" s="93" t="s">
        <v>24</v>
      </c>
    </row>
    <row r="850" spans="1:23" x14ac:dyDescent="0.15">
      <c r="A850" s="93" t="s">
        <v>7754</v>
      </c>
      <c r="B850" s="93" t="s">
        <v>7755</v>
      </c>
      <c r="C850" s="93">
        <v>104</v>
      </c>
      <c r="D850" s="93" t="s">
        <v>24</v>
      </c>
      <c r="E850" s="93" t="s">
        <v>24</v>
      </c>
      <c r="F850" s="93" t="s">
        <v>7</v>
      </c>
      <c r="G850" s="93" t="s">
        <v>7183</v>
      </c>
      <c r="H850" s="93" t="s">
        <v>400</v>
      </c>
      <c r="I850" s="93" t="s">
        <v>111</v>
      </c>
      <c r="J850" s="93" t="s">
        <v>7105</v>
      </c>
      <c r="K850" s="93" t="s">
        <v>111</v>
      </c>
      <c r="L850" s="93" t="s">
        <v>111</v>
      </c>
      <c r="M850" s="93" t="s">
        <v>111</v>
      </c>
      <c r="N850" s="93" t="s">
        <v>111</v>
      </c>
      <c r="O850" s="93" t="s">
        <v>111</v>
      </c>
      <c r="P850" s="93" t="s">
        <v>111</v>
      </c>
      <c r="Q850" s="93" t="s">
        <v>111</v>
      </c>
      <c r="R850" s="93" t="s">
        <v>111</v>
      </c>
      <c r="S850" s="93" t="s">
        <v>111</v>
      </c>
      <c r="T850" s="93" t="s">
        <v>116</v>
      </c>
      <c r="U850" s="94">
        <v>44596.613194444442</v>
      </c>
      <c r="V850" s="93" t="s">
        <v>402</v>
      </c>
      <c r="W850" s="93" t="s">
        <v>24</v>
      </c>
    </row>
    <row r="851" spans="1:23" x14ac:dyDescent="0.15">
      <c r="A851" s="93" t="s">
        <v>7756</v>
      </c>
      <c r="B851" s="93" t="s">
        <v>7757</v>
      </c>
      <c r="C851" s="93">
        <v>227</v>
      </c>
      <c r="D851" s="93" t="s">
        <v>24</v>
      </c>
      <c r="E851" s="93" t="s">
        <v>24</v>
      </c>
      <c r="F851" s="93" t="s">
        <v>399</v>
      </c>
      <c r="G851" s="93" t="s">
        <v>7183</v>
      </c>
      <c r="H851" s="93" t="s">
        <v>400</v>
      </c>
      <c r="I851" s="93" t="s">
        <v>111</v>
      </c>
      <c r="J851" s="93" t="s">
        <v>7105</v>
      </c>
      <c r="K851" s="93" t="s">
        <v>111</v>
      </c>
      <c r="L851" s="93" t="s">
        <v>111</v>
      </c>
      <c r="M851" s="93" t="s">
        <v>111</v>
      </c>
      <c r="N851" s="93" t="s">
        <v>111</v>
      </c>
      <c r="O851" s="93" t="s">
        <v>111</v>
      </c>
      <c r="P851" s="93" t="s">
        <v>111</v>
      </c>
      <c r="Q851" s="93" t="s">
        <v>228</v>
      </c>
      <c r="R851" s="93" t="s">
        <v>111</v>
      </c>
      <c r="S851" s="93" t="s">
        <v>115</v>
      </c>
      <c r="T851" s="93" t="s">
        <v>116</v>
      </c>
      <c r="U851" s="94">
        <v>44610.111111111109</v>
      </c>
      <c r="V851" s="93" t="s">
        <v>7072</v>
      </c>
      <c r="W851" s="93" t="s">
        <v>24</v>
      </c>
    </row>
    <row r="852" spans="1:23" x14ac:dyDescent="0.15">
      <c r="A852" s="93" t="s">
        <v>7758</v>
      </c>
      <c r="B852" s="93" t="s">
        <v>7759</v>
      </c>
      <c r="C852" s="93">
        <v>453</v>
      </c>
      <c r="D852" s="93" t="s">
        <v>24</v>
      </c>
      <c r="E852" s="93" t="s">
        <v>24</v>
      </c>
      <c r="F852" s="93" t="s">
        <v>399</v>
      </c>
      <c r="G852" s="93" t="s">
        <v>7183</v>
      </c>
      <c r="H852" s="93" t="s">
        <v>400</v>
      </c>
      <c r="I852" s="93" t="s">
        <v>111</v>
      </c>
      <c r="J852" s="93" t="s">
        <v>7105</v>
      </c>
      <c r="K852" s="93" t="s">
        <v>111</v>
      </c>
      <c r="L852" s="93" t="s">
        <v>111</v>
      </c>
      <c r="M852" s="93" t="s">
        <v>111</v>
      </c>
      <c r="N852" s="93" t="s">
        <v>111</v>
      </c>
      <c r="O852" s="93" t="s">
        <v>111</v>
      </c>
      <c r="P852" s="93" t="s">
        <v>111</v>
      </c>
      <c r="Q852" s="93" t="s">
        <v>228</v>
      </c>
      <c r="R852" s="93" t="s">
        <v>111</v>
      </c>
      <c r="S852" s="93" t="s">
        <v>115</v>
      </c>
      <c r="T852" s="93" t="s">
        <v>116</v>
      </c>
      <c r="U852" s="94">
        <v>44610.088888888888</v>
      </c>
      <c r="V852" s="93" t="s">
        <v>7072</v>
      </c>
      <c r="W852" s="93" t="s">
        <v>24</v>
      </c>
    </row>
    <row r="853" spans="1:23" x14ac:dyDescent="0.15">
      <c r="A853" s="93" t="s">
        <v>7760</v>
      </c>
      <c r="B853" s="93" t="s">
        <v>7761</v>
      </c>
      <c r="C853" s="93">
        <v>683</v>
      </c>
      <c r="D853" s="93" t="s">
        <v>24</v>
      </c>
      <c r="E853" s="93" t="s">
        <v>24</v>
      </c>
      <c r="F853" s="93" t="s">
        <v>399</v>
      </c>
      <c r="G853" s="93" t="s">
        <v>7183</v>
      </c>
      <c r="H853" s="93" t="s">
        <v>400</v>
      </c>
      <c r="I853" s="93" t="s">
        <v>111</v>
      </c>
      <c r="J853" s="93" t="s">
        <v>7105</v>
      </c>
      <c r="K853" s="93" t="s">
        <v>111</v>
      </c>
      <c r="L853" s="93" t="s">
        <v>111</v>
      </c>
      <c r="M853" s="93" t="s">
        <v>111</v>
      </c>
      <c r="N853" s="93" t="s">
        <v>111</v>
      </c>
      <c r="O853" s="93" t="s">
        <v>111</v>
      </c>
      <c r="P853" s="93" t="s">
        <v>111</v>
      </c>
      <c r="Q853" s="93" t="s">
        <v>228</v>
      </c>
      <c r="R853" s="93" t="s">
        <v>111</v>
      </c>
      <c r="S853" s="93" t="s">
        <v>115</v>
      </c>
      <c r="T853" s="93" t="s">
        <v>116</v>
      </c>
      <c r="U853" s="94">
        <v>44610.095833333333</v>
      </c>
      <c r="V853" s="93" t="s">
        <v>7072</v>
      </c>
      <c r="W853" s="93" t="s">
        <v>24</v>
      </c>
    </row>
    <row r="854" spans="1:23" x14ac:dyDescent="0.15">
      <c r="A854" s="93" t="s">
        <v>7762</v>
      </c>
      <c r="B854" s="93" t="s">
        <v>7763</v>
      </c>
      <c r="C854" s="93">
        <v>15</v>
      </c>
      <c r="D854" s="93" t="s">
        <v>24</v>
      </c>
      <c r="E854" s="93" t="s">
        <v>24</v>
      </c>
      <c r="F854" s="93" t="s">
        <v>399</v>
      </c>
      <c r="G854" s="93" t="s">
        <v>7183</v>
      </c>
      <c r="H854" s="93" t="s">
        <v>400</v>
      </c>
      <c r="I854" s="93" t="s">
        <v>111</v>
      </c>
      <c r="J854" s="93" t="s">
        <v>7105</v>
      </c>
      <c r="K854" s="93" t="s">
        <v>111</v>
      </c>
      <c r="L854" s="93" t="s">
        <v>111</v>
      </c>
      <c r="M854" s="93" t="s">
        <v>111</v>
      </c>
      <c r="N854" s="93" t="s">
        <v>111</v>
      </c>
      <c r="O854" s="93" t="s">
        <v>111</v>
      </c>
      <c r="P854" s="93" t="s">
        <v>111</v>
      </c>
      <c r="Q854" s="93" t="s">
        <v>228</v>
      </c>
      <c r="R854" s="93" t="s">
        <v>111</v>
      </c>
      <c r="S854" s="93" t="s">
        <v>115</v>
      </c>
      <c r="T854" s="93" t="s">
        <v>116</v>
      </c>
      <c r="U854" s="94">
        <v>44610.117361111108</v>
      </c>
      <c r="V854" s="93" t="s">
        <v>7072</v>
      </c>
      <c r="W854" s="93" t="s">
        <v>24</v>
      </c>
    </row>
    <row r="855" spans="1:23" x14ac:dyDescent="0.15">
      <c r="A855" s="93" t="s">
        <v>7764</v>
      </c>
      <c r="B855" s="93" t="s">
        <v>7765</v>
      </c>
      <c r="C855" s="93">
        <v>30</v>
      </c>
      <c r="D855" s="93" t="s">
        <v>24</v>
      </c>
      <c r="E855" s="93" t="s">
        <v>24</v>
      </c>
      <c r="F855" s="93" t="s">
        <v>399</v>
      </c>
      <c r="G855" s="93" t="s">
        <v>7183</v>
      </c>
      <c r="H855" s="93" t="s">
        <v>400</v>
      </c>
      <c r="I855" s="93" t="s">
        <v>111</v>
      </c>
      <c r="J855" s="93" t="s">
        <v>7105</v>
      </c>
      <c r="K855" s="93" t="s">
        <v>111</v>
      </c>
      <c r="L855" s="93" t="s">
        <v>111</v>
      </c>
      <c r="M855" s="93" t="s">
        <v>111</v>
      </c>
      <c r="N855" s="93" t="s">
        <v>111</v>
      </c>
      <c r="O855" s="93" t="s">
        <v>111</v>
      </c>
      <c r="P855" s="93" t="s">
        <v>111</v>
      </c>
      <c r="Q855" s="93" t="s">
        <v>228</v>
      </c>
      <c r="R855" s="93" t="s">
        <v>111</v>
      </c>
      <c r="S855" s="93" t="s">
        <v>115</v>
      </c>
      <c r="T855" s="93" t="s">
        <v>116</v>
      </c>
      <c r="U855" s="94">
        <v>44610.07916666667</v>
      </c>
      <c r="V855" s="93" t="s">
        <v>7072</v>
      </c>
      <c r="W855" s="93" t="s">
        <v>24</v>
      </c>
    </row>
    <row r="856" spans="1:23" x14ac:dyDescent="0.15">
      <c r="A856" s="93" t="s">
        <v>7766</v>
      </c>
      <c r="B856" s="93" t="s">
        <v>7767</v>
      </c>
      <c r="C856" s="93">
        <v>45</v>
      </c>
      <c r="D856" s="93" t="s">
        <v>24</v>
      </c>
      <c r="E856" s="93" t="s">
        <v>24</v>
      </c>
      <c r="F856" s="93" t="s">
        <v>399</v>
      </c>
      <c r="G856" s="93" t="s">
        <v>7183</v>
      </c>
      <c r="H856" s="93" t="s">
        <v>400</v>
      </c>
      <c r="I856" s="93" t="s">
        <v>111</v>
      </c>
      <c r="J856" s="93" t="s">
        <v>7105</v>
      </c>
      <c r="K856" s="93" t="s">
        <v>111</v>
      </c>
      <c r="L856" s="93" t="s">
        <v>111</v>
      </c>
      <c r="M856" s="93" t="s">
        <v>111</v>
      </c>
      <c r="N856" s="93" t="s">
        <v>111</v>
      </c>
      <c r="O856" s="93" t="s">
        <v>111</v>
      </c>
      <c r="P856" s="93" t="s">
        <v>111</v>
      </c>
      <c r="Q856" s="93" t="s">
        <v>228</v>
      </c>
      <c r="R856" s="93" t="s">
        <v>111</v>
      </c>
      <c r="S856" s="93" t="s">
        <v>115</v>
      </c>
      <c r="T856" s="93" t="s">
        <v>116</v>
      </c>
      <c r="U856" s="94">
        <v>44610.111111111109</v>
      </c>
      <c r="V856" s="93" t="s">
        <v>7072</v>
      </c>
      <c r="W856" s="93" t="s">
        <v>24</v>
      </c>
    </row>
    <row r="857" spans="1:23" x14ac:dyDescent="0.15">
      <c r="A857" s="93" t="s">
        <v>1072</v>
      </c>
      <c r="B857" s="93" t="s">
        <v>7768</v>
      </c>
      <c r="C857" s="93">
        <v>7</v>
      </c>
      <c r="D857" s="93" t="s">
        <v>24</v>
      </c>
      <c r="E857" s="93" t="s">
        <v>24</v>
      </c>
      <c r="F857" s="93" t="s">
        <v>7</v>
      </c>
      <c r="G857" s="93" t="s">
        <v>7183</v>
      </c>
      <c r="H857" s="93" t="s">
        <v>400</v>
      </c>
      <c r="I857" s="93" t="s">
        <v>111</v>
      </c>
      <c r="J857" s="93" t="s">
        <v>7105</v>
      </c>
      <c r="K857" s="93" t="s">
        <v>111</v>
      </c>
      <c r="L857" s="93" t="s">
        <v>111</v>
      </c>
      <c r="M857" s="93" t="s">
        <v>111</v>
      </c>
      <c r="N857" s="93" t="s">
        <v>111</v>
      </c>
      <c r="O857" s="93" t="s">
        <v>111</v>
      </c>
      <c r="P857" s="93" t="s">
        <v>111</v>
      </c>
      <c r="Q857" s="93" t="s">
        <v>228</v>
      </c>
      <c r="R857" s="93" t="s">
        <v>111</v>
      </c>
      <c r="S857" s="93" t="s">
        <v>115</v>
      </c>
      <c r="T857" s="93" t="s">
        <v>116</v>
      </c>
      <c r="U857" s="94">
        <v>44610.079861111109</v>
      </c>
      <c r="V857" s="93" t="s">
        <v>7336</v>
      </c>
      <c r="W857" s="93" t="s">
        <v>24</v>
      </c>
    </row>
    <row r="858" spans="1:23" x14ac:dyDescent="0.15">
      <c r="A858" s="93" t="s">
        <v>1074</v>
      </c>
      <c r="B858" s="93" t="s">
        <v>7769</v>
      </c>
      <c r="C858" s="93">
        <v>18</v>
      </c>
      <c r="D858" s="93" t="s">
        <v>24</v>
      </c>
      <c r="E858" s="93" t="s">
        <v>24</v>
      </c>
      <c r="F858" s="93" t="s">
        <v>7</v>
      </c>
      <c r="G858" s="93" t="s">
        <v>7183</v>
      </c>
      <c r="H858" s="93" t="s">
        <v>400</v>
      </c>
      <c r="I858" s="93" t="s">
        <v>111</v>
      </c>
      <c r="J858" s="93" t="s">
        <v>7105</v>
      </c>
      <c r="K858" s="93" t="s">
        <v>111</v>
      </c>
      <c r="L858" s="93" t="s">
        <v>111</v>
      </c>
      <c r="M858" s="93" t="s">
        <v>111</v>
      </c>
      <c r="N858" s="93" t="s">
        <v>111</v>
      </c>
      <c r="O858" s="93" t="s">
        <v>111</v>
      </c>
      <c r="P858" s="93" t="s">
        <v>111</v>
      </c>
      <c r="Q858" s="93" t="s">
        <v>228</v>
      </c>
      <c r="R858" s="93" t="s">
        <v>111</v>
      </c>
      <c r="S858" s="93" t="s">
        <v>115</v>
      </c>
      <c r="T858" s="93" t="s">
        <v>116</v>
      </c>
      <c r="U858" s="94">
        <v>44610.079861111109</v>
      </c>
      <c r="V858" s="93" t="s">
        <v>7336</v>
      </c>
      <c r="W858" s="93" t="s">
        <v>24</v>
      </c>
    </row>
    <row r="859" spans="1:23" x14ac:dyDescent="0.15">
      <c r="A859" s="93" t="s">
        <v>1076</v>
      </c>
      <c r="B859" s="93" t="s">
        <v>7770</v>
      </c>
      <c r="C859" s="93">
        <v>28</v>
      </c>
      <c r="D859" s="93" t="s">
        <v>24</v>
      </c>
      <c r="E859" s="93" t="s">
        <v>24</v>
      </c>
      <c r="F859" s="93" t="s">
        <v>7</v>
      </c>
      <c r="G859" s="93" t="s">
        <v>7183</v>
      </c>
      <c r="H859" s="93" t="s">
        <v>400</v>
      </c>
      <c r="I859" s="93" t="s">
        <v>111</v>
      </c>
      <c r="J859" s="93" t="s">
        <v>7105</v>
      </c>
      <c r="K859" s="93" t="s">
        <v>111</v>
      </c>
      <c r="L859" s="93" t="s">
        <v>111</v>
      </c>
      <c r="M859" s="93" t="s">
        <v>111</v>
      </c>
      <c r="N859" s="93" t="s">
        <v>111</v>
      </c>
      <c r="O859" s="93" t="s">
        <v>111</v>
      </c>
      <c r="P859" s="93" t="s">
        <v>111</v>
      </c>
      <c r="Q859" s="93" t="s">
        <v>228</v>
      </c>
      <c r="R859" s="93" t="s">
        <v>111</v>
      </c>
      <c r="S859" s="93" t="s">
        <v>115</v>
      </c>
      <c r="T859" s="93" t="s">
        <v>116</v>
      </c>
      <c r="U859" s="94">
        <v>44610.071527777778</v>
      </c>
      <c r="V859" s="93" t="s">
        <v>7336</v>
      </c>
      <c r="W859" s="93" t="s">
        <v>24</v>
      </c>
    </row>
    <row r="860" spans="1:23" x14ac:dyDescent="0.15">
      <c r="A860" s="93" t="s">
        <v>1078</v>
      </c>
      <c r="B860" s="93" t="s">
        <v>7771</v>
      </c>
      <c r="C860" s="93">
        <v>6</v>
      </c>
      <c r="D860" s="93" t="s">
        <v>24</v>
      </c>
      <c r="E860" s="93" t="s">
        <v>24</v>
      </c>
      <c r="F860" s="93" t="s">
        <v>7</v>
      </c>
      <c r="G860" s="93" t="s">
        <v>7183</v>
      </c>
      <c r="H860" s="93" t="s">
        <v>400</v>
      </c>
      <c r="I860" s="93" t="s">
        <v>111</v>
      </c>
      <c r="J860" s="93" t="s">
        <v>7105</v>
      </c>
      <c r="K860" s="93" t="s">
        <v>111</v>
      </c>
      <c r="L860" s="93" t="s">
        <v>111</v>
      </c>
      <c r="M860" s="93" t="s">
        <v>111</v>
      </c>
      <c r="N860" s="93" t="s">
        <v>111</v>
      </c>
      <c r="O860" s="93" t="s">
        <v>111</v>
      </c>
      <c r="P860" s="93" t="s">
        <v>111</v>
      </c>
      <c r="Q860" s="93" t="s">
        <v>228</v>
      </c>
      <c r="R860" s="93" t="s">
        <v>111</v>
      </c>
      <c r="S860" s="93" t="s">
        <v>115</v>
      </c>
      <c r="T860" s="93" t="s">
        <v>116</v>
      </c>
      <c r="U860" s="94">
        <v>44610.089583333334</v>
      </c>
      <c r="V860" s="93" t="s">
        <v>7336</v>
      </c>
      <c r="W860" s="93" t="s">
        <v>24</v>
      </c>
    </row>
    <row r="861" spans="1:23" x14ac:dyDescent="0.15">
      <c r="A861" s="93" t="s">
        <v>1080</v>
      </c>
      <c r="B861" s="93" t="s">
        <v>7772</v>
      </c>
      <c r="C861" s="93">
        <v>16</v>
      </c>
      <c r="D861" s="93" t="s">
        <v>24</v>
      </c>
      <c r="E861" s="93" t="s">
        <v>24</v>
      </c>
      <c r="F861" s="93" t="s">
        <v>7</v>
      </c>
      <c r="G861" s="93" t="s">
        <v>7183</v>
      </c>
      <c r="H861" s="93" t="s">
        <v>400</v>
      </c>
      <c r="I861" s="93" t="s">
        <v>111</v>
      </c>
      <c r="J861" s="93" t="s">
        <v>7105</v>
      </c>
      <c r="K861" s="93" t="s">
        <v>111</v>
      </c>
      <c r="L861" s="93" t="s">
        <v>111</v>
      </c>
      <c r="M861" s="93" t="s">
        <v>111</v>
      </c>
      <c r="N861" s="93" t="s">
        <v>111</v>
      </c>
      <c r="O861" s="93" t="s">
        <v>111</v>
      </c>
      <c r="P861" s="93" t="s">
        <v>111</v>
      </c>
      <c r="Q861" s="93" t="s">
        <v>228</v>
      </c>
      <c r="R861" s="93" t="s">
        <v>111</v>
      </c>
      <c r="S861" s="93" t="s">
        <v>115</v>
      </c>
      <c r="T861" s="93" t="s">
        <v>116</v>
      </c>
      <c r="U861" s="94">
        <v>44610.097916666666</v>
      </c>
      <c r="V861" s="93" t="s">
        <v>7336</v>
      </c>
      <c r="W861" s="93" t="s">
        <v>24</v>
      </c>
    </row>
    <row r="862" spans="1:23" x14ac:dyDescent="0.15">
      <c r="A862" s="93" t="s">
        <v>1082</v>
      </c>
      <c r="B862" s="93" t="s">
        <v>7773</v>
      </c>
      <c r="C862" s="93">
        <v>24</v>
      </c>
      <c r="D862" s="93" t="s">
        <v>24</v>
      </c>
      <c r="E862" s="93" t="s">
        <v>24</v>
      </c>
      <c r="F862" s="93" t="s">
        <v>7</v>
      </c>
      <c r="G862" s="93" t="s">
        <v>7183</v>
      </c>
      <c r="H862" s="93" t="s">
        <v>400</v>
      </c>
      <c r="I862" s="93" t="s">
        <v>111</v>
      </c>
      <c r="J862" s="93" t="s">
        <v>7105</v>
      </c>
      <c r="K862" s="93" t="s">
        <v>111</v>
      </c>
      <c r="L862" s="93" t="s">
        <v>111</v>
      </c>
      <c r="M862" s="93" t="s">
        <v>111</v>
      </c>
      <c r="N862" s="93" t="s">
        <v>111</v>
      </c>
      <c r="O862" s="93" t="s">
        <v>111</v>
      </c>
      <c r="P862" s="93" t="s">
        <v>111</v>
      </c>
      <c r="Q862" s="93" t="s">
        <v>228</v>
      </c>
      <c r="R862" s="93" t="s">
        <v>111</v>
      </c>
      <c r="S862" s="93" t="s">
        <v>115</v>
      </c>
      <c r="T862" s="93" t="s">
        <v>116</v>
      </c>
      <c r="U862" s="94">
        <v>44610.113888888889</v>
      </c>
      <c r="V862" s="93" t="s">
        <v>7336</v>
      </c>
      <c r="W862" s="93" t="s">
        <v>24</v>
      </c>
    </row>
    <row r="863" spans="1:23" x14ac:dyDescent="0.15">
      <c r="A863" s="93" t="s">
        <v>1084</v>
      </c>
      <c r="B863" s="93" t="s">
        <v>7774</v>
      </c>
      <c r="C863" s="93">
        <v>9</v>
      </c>
      <c r="D863" s="93" t="s">
        <v>24</v>
      </c>
      <c r="E863" s="93" t="s">
        <v>24</v>
      </c>
      <c r="F863" s="93" t="s">
        <v>7</v>
      </c>
      <c r="G863" s="93" t="s">
        <v>7183</v>
      </c>
      <c r="H863" s="93" t="s">
        <v>400</v>
      </c>
      <c r="I863" s="93" t="s">
        <v>111</v>
      </c>
      <c r="J863" s="93" t="s">
        <v>7105</v>
      </c>
      <c r="K863" s="93" t="s">
        <v>111</v>
      </c>
      <c r="L863" s="93" t="s">
        <v>111</v>
      </c>
      <c r="M863" s="93" t="s">
        <v>111</v>
      </c>
      <c r="N863" s="93" t="s">
        <v>111</v>
      </c>
      <c r="O863" s="93" t="s">
        <v>111</v>
      </c>
      <c r="P863" s="93" t="s">
        <v>111</v>
      </c>
      <c r="Q863" s="93" t="s">
        <v>228</v>
      </c>
      <c r="R863" s="93" t="s">
        <v>111</v>
      </c>
      <c r="S863" s="93" t="s">
        <v>115</v>
      </c>
      <c r="T863" s="93" t="s">
        <v>116</v>
      </c>
      <c r="U863" s="94">
        <v>44610.072916666664</v>
      </c>
      <c r="V863" s="93" t="s">
        <v>7336</v>
      </c>
      <c r="W863" s="93" t="s">
        <v>24</v>
      </c>
    </row>
    <row r="864" spans="1:23" x14ac:dyDescent="0.15">
      <c r="A864" s="93" t="s">
        <v>1086</v>
      </c>
      <c r="B864" s="93" t="s">
        <v>7775</v>
      </c>
      <c r="C864" s="93">
        <v>23</v>
      </c>
      <c r="D864" s="93" t="s">
        <v>24</v>
      </c>
      <c r="E864" s="93" t="s">
        <v>24</v>
      </c>
      <c r="F864" s="93" t="s">
        <v>7</v>
      </c>
      <c r="G864" s="93" t="s">
        <v>7183</v>
      </c>
      <c r="H864" s="93" t="s">
        <v>400</v>
      </c>
      <c r="I864" s="93" t="s">
        <v>111</v>
      </c>
      <c r="J864" s="93" t="s">
        <v>7105</v>
      </c>
      <c r="K864" s="93" t="s">
        <v>111</v>
      </c>
      <c r="L864" s="93" t="s">
        <v>111</v>
      </c>
      <c r="M864" s="93" t="s">
        <v>111</v>
      </c>
      <c r="N864" s="93" t="s">
        <v>111</v>
      </c>
      <c r="O864" s="93" t="s">
        <v>111</v>
      </c>
      <c r="P864" s="93" t="s">
        <v>111</v>
      </c>
      <c r="Q864" s="93" t="s">
        <v>228</v>
      </c>
      <c r="R864" s="93" t="s">
        <v>111</v>
      </c>
      <c r="S864" s="93" t="s">
        <v>115</v>
      </c>
      <c r="T864" s="93" t="s">
        <v>116</v>
      </c>
      <c r="U864" s="94">
        <v>44610.120833333334</v>
      </c>
      <c r="V864" s="93" t="s">
        <v>7336</v>
      </c>
      <c r="W864" s="93" t="s">
        <v>24</v>
      </c>
    </row>
    <row r="865" spans="1:23" x14ac:dyDescent="0.15">
      <c r="A865" s="93" t="s">
        <v>1088</v>
      </c>
      <c r="B865" s="93" t="s">
        <v>7776</v>
      </c>
      <c r="C865" s="93">
        <v>36</v>
      </c>
      <c r="D865" s="93" t="s">
        <v>24</v>
      </c>
      <c r="E865" s="93" t="s">
        <v>24</v>
      </c>
      <c r="F865" s="93" t="s">
        <v>7</v>
      </c>
      <c r="G865" s="93" t="s">
        <v>7183</v>
      </c>
      <c r="H865" s="93" t="s">
        <v>400</v>
      </c>
      <c r="I865" s="93" t="s">
        <v>111</v>
      </c>
      <c r="J865" s="93" t="s">
        <v>7105</v>
      </c>
      <c r="K865" s="93" t="s">
        <v>111</v>
      </c>
      <c r="L865" s="93" t="s">
        <v>111</v>
      </c>
      <c r="M865" s="93" t="s">
        <v>111</v>
      </c>
      <c r="N865" s="93" t="s">
        <v>111</v>
      </c>
      <c r="O865" s="93" t="s">
        <v>111</v>
      </c>
      <c r="P865" s="93" t="s">
        <v>111</v>
      </c>
      <c r="Q865" s="93" t="s">
        <v>228</v>
      </c>
      <c r="R865" s="93" t="s">
        <v>111</v>
      </c>
      <c r="S865" s="93" t="s">
        <v>115</v>
      </c>
      <c r="T865" s="93" t="s">
        <v>116</v>
      </c>
      <c r="U865" s="94">
        <v>44610.090277777781</v>
      </c>
      <c r="V865" s="93" t="s">
        <v>7336</v>
      </c>
      <c r="W865" s="93" t="s">
        <v>24</v>
      </c>
    </row>
    <row r="866" spans="1:23" x14ac:dyDescent="0.15">
      <c r="A866" s="93" t="s">
        <v>1096</v>
      </c>
      <c r="B866" s="93" t="s">
        <v>7777</v>
      </c>
      <c r="C866" s="93">
        <v>15</v>
      </c>
      <c r="D866" s="93" t="s">
        <v>24</v>
      </c>
      <c r="E866" s="93" t="s">
        <v>24</v>
      </c>
      <c r="F866" s="93" t="s">
        <v>7</v>
      </c>
      <c r="G866" s="93" t="s">
        <v>7183</v>
      </c>
      <c r="H866" s="93" t="s">
        <v>400</v>
      </c>
      <c r="I866" s="93" t="s">
        <v>111</v>
      </c>
      <c r="J866" s="93" t="s">
        <v>7105</v>
      </c>
      <c r="K866" s="93" t="s">
        <v>111</v>
      </c>
      <c r="L866" s="93" t="s">
        <v>111</v>
      </c>
      <c r="M866" s="93" t="s">
        <v>111</v>
      </c>
      <c r="N866" s="93" t="s">
        <v>111</v>
      </c>
      <c r="O866" s="93" t="s">
        <v>111</v>
      </c>
      <c r="P866" s="93" t="s">
        <v>111</v>
      </c>
      <c r="Q866" s="93" t="s">
        <v>228</v>
      </c>
      <c r="R866" s="93" t="s">
        <v>111</v>
      </c>
      <c r="S866" s="93" t="s">
        <v>115</v>
      </c>
      <c r="T866" s="93" t="s">
        <v>116</v>
      </c>
      <c r="U866" s="94">
        <v>44610.113888888889</v>
      </c>
      <c r="V866" s="93" t="s">
        <v>7336</v>
      </c>
      <c r="W866" s="93" t="s">
        <v>24</v>
      </c>
    </row>
    <row r="867" spans="1:23" x14ac:dyDescent="0.15">
      <c r="A867" s="93" t="s">
        <v>1098</v>
      </c>
      <c r="B867" s="93" t="s">
        <v>7778</v>
      </c>
      <c r="C867" s="93">
        <v>39</v>
      </c>
      <c r="D867" s="93" t="s">
        <v>24</v>
      </c>
      <c r="E867" s="93" t="s">
        <v>24</v>
      </c>
      <c r="F867" s="93" t="s">
        <v>7</v>
      </c>
      <c r="G867" s="93" t="s">
        <v>7183</v>
      </c>
      <c r="H867" s="93" t="s">
        <v>400</v>
      </c>
      <c r="I867" s="93" t="s">
        <v>111</v>
      </c>
      <c r="J867" s="93" t="s">
        <v>7105</v>
      </c>
      <c r="K867" s="93" t="s">
        <v>111</v>
      </c>
      <c r="L867" s="93" t="s">
        <v>111</v>
      </c>
      <c r="M867" s="93" t="s">
        <v>111</v>
      </c>
      <c r="N867" s="93" t="s">
        <v>111</v>
      </c>
      <c r="O867" s="93" t="s">
        <v>111</v>
      </c>
      <c r="P867" s="93" t="s">
        <v>111</v>
      </c>
      <c r="Q867" s="93" t="s">
        <v>228</v>
      </c>
      <c r="R867" s="93" t="s">
        <v>111</v>
      </c>
      <c r="S867" s="93" t="s">
        <v>115</v>
      </c>
      <c r="T867" s="93" t="s">
        <v>116</v>
      </c>
      <c r="U867" s="94">
        <v>44610.080555555556</v>
      </c>
      <c r="V867" s="93" t="s">
        <v>7336</v>
      </c>
      <c r="W867" s="93" t="s">
        <v>24</v>
      </c>
    </row>
    <row r="868" spans="1:23" x14ac:dyDescent="0.15">
      <c r="A868" s="93" t="s">
        <v>1100</v>
      </c>
      <c r="B868" s="93" t="s">
        <v>7779</v>
      </c>
      <c r="C868" s="93">
        <v>60</v>
      </c>
      <c r="D868" s="93" t="s">
        <v>24</v>
      </c>
      <c r="E868" s="93" t="s">
        <v>24</v>
      </c>
      <c r="F868" s="93" t="s">
        <v>7</v>
      </c>
      <c r="G868" s="93" t="s">
        <v>7183</v>
      </c>
      <c r="H868" s="93" t="s">
        <v>400</v>
      </c>
      <c r="I868" s="93" t="s">
        <v>111</v>
      </c>
      <c r="J868" s="93" t="s">
        <v>7105</v>
      </c>
      <c r="K868" s="93" t="s">
        <v>111</v>
      </c>
      <c r="L868" s="93" t="s">
        <v>111</v>
      </c>
      <c r="M868" s="93" t="s">
        <v>111</v>
      </c>
      <c r="N868" s="93" t="s">
        <v>111</v>
      </c>
      <c r="O868" s="93" t="s">
        <v>111</v>
      </c>
      <c r="P868" s="93" t="s">
        <v>111</v>
      </c>
      <c r="Q868" s="93" t="s">
        <v>228</v>
      </c>
      <c r="R868" s="93" t="s">
        <v>111</v>
      </c>
      <c r="S868" s="93" t="s">
        <v>115</v>
      </c>
      <c r="T868" s="93" t="s">
        <v>116</v>
      </c>
      <c r="U868" s="94">
        <v>44610.058333333334</v>
      </c>
      <c r="V868" s="93" t="s">
        <v>7336</v>
      </c>
      <c r="W868" s="93" t="s">
        <v>24</v>
      </c>
    </row>
    <row r="869" spans="1:23" x14ac:dyDescent="0.15">
      <c r="A869" s="93" t="s">
        <v>1102</v>
      </c>
      <c r="B869" s="93" t="s">
        <v>7780</v>
      </c>
      <c r="C869" s="93">
        <v>15</v>
      </c>
      <c r="D869" s="93" t="s">
        <v>24</v>
      </c>
      <c r="E869" s="93" t="s">
        <v>24</v>
      </c>
      <c r="F869" s="93" t="s">
        <v>7</v>
      </c>
      <c r="G869" s="93" t="s">
        <v>7183</v>
      </c>
      <c r="H869" s="93" t="s">
        <v>400</v>
      </c>
      <c r="I869" s="93" t="s">
        <v>111</v>
      </c>
      <c r="J869" s="93" t="s">
        <v>7105</v>
      </c>
      <c r="K869" s="93" t="s">
        <v>111</v>
      </c>
      <c r="L869" s="93" t="s">
        <v>111</v>
      </c>
      <c r="M869" s="93" t="s">
        <v>111</v>
      </c>
      <c r="N869" s="93" t="s">
        <v>111</v>
      </c>
      <c r="O869" s="93" t="s">
        <v>111</v>
      </c>
      <c r="P869" s="93" t="s">
        <v>111</v>
      </c>
      <c r="Q869" s="93" t="s">
        <v>228</v>
      </c>
      <c r="R869" s="93" t="s">
        <v>111</v>
      </c>
      <c r="S869" s="93" t="s">
        <v>115</v>
      </c>
      <c r="T869" s="93" t="s">
        <v>116</v>
      </c>
      <c r="U869" s="94">
        <v>44610.0625</v>
      </c>
      <c r="V869" s="93" t="s">
        <v>7336</v>
      </c>
      <c r="W869" s="93" t="s">
        <v>24</v>
      </c>
    </row>
    <row r="870" spans="1:23" x14ac:dyDescent="0.15">
      <c r="A870" s="93" t="s">
        <v>1104</v>
      </c>
      <c r="B870" s="93" t="s">
        <v>7781</v>
      </c>
      <c r="C870" s="93">
        <v>39</v>
      </c>
      <c r="D870" s="93" t="s">
        <v>24</v>
      </c>
      <c r="E870" s="93" t="s">
        <v>24</v>
      </c>
      <c r="F870" s="93" t="s">
        <v>7</v>
      </c>
      <c r="G870" s="93" t="s">
        <v>7183</v>
      </c>
      <c r="H870" s="93" t="s">
        <v>400</v>
      </c>
      <c r="I870" s="93" t="s">
        <v>111</v>
      </c>
      <c r="J870" s="93" t="s">
        <v>7105</v>
      </c>
      <c r="K870" s="93" t="s">
        <v>111</v>
      </c>
      <c r="L870" s="93" t="s">
        <v>111</v>
      </c>
      <c r="M870" s="93" t="s">
        <v>111</v>
      </c>
      <c r="N870" s="93" t="s">
        <v>111</v>
      </c>
      <c r="O870" s="93" t="s">
        <v>111</v>
      </c>
      <c r="P870" s="93" t="s">
        <v>111</v>
      </c>
      <c r="Q870" s="93" t="s">
        <v>228</v>
      </c>
      <c r="R870" s="93" t="s">
        <v>111</v>
      </c>
      <c r="S870" s="93" t="s">
        <v>115</v>
      </c>
      <c r="T870" s="93" t="s">
        <v>116</v>
      </c>
      <c r="U870" s="94">
        <v>44610.071527777778</v>
      </c>
      <c r="V870" s="93" t="s">
        <v>7336</v>
      </c>
      <c r="W870" s="93" t="s">
        <v>24</v>
      </c>
    </row>
    <row r="871" spans="1:23" x14ac:dyDescent="0.15">
      <c r="A871" s="93" t="s">
        <v>1106</v>
      </c>
      <c r="B871" s="93" t="s">
        <v>7782</v>
      </c>
      <c r="C871" s="93">
        <v>60</v>
      </c>
      <c r="D871" s="93" t="s">
        <v>24</v>
      </c>
      <c r="E871" s="93" t="s">
        <v>24</v>
      </c>
      <c r="F871" s="93" t="s">
        <v>7</v>
      </c>
      <c r="G871" s="93" t="s">
        <v>7183</v>
      </c>
      <c r="H871" s="93" t="s">
        <v>400</v>
      </c>
      <c r="I871" s="93" t="s">
        <v>111</v>
      </c>
      <c r="J871" s="93" t="s">
        <v>7105</v>
      </c>
      <c r="K871" s="93" t="s">
        <v>111</v>
      </c>
      <c r="L871" s="93" t="s">
        <v>111</v>
      </c>
      <c r="M871" s="93" t="s">
        <v>111</v>
      </c>
      <c r="N871" s="93" t="s">
        <v>111</v>
      </c>
      <c r="O871" s="93" t="s">
        <v>111</v>
      </c>
      <c r="P871" s="93" t="s">
        <v>111</v>
      </c>
      <c r="Q871" s="93" t="s">
        <v>228</v>
      </c>
      <c r="R871" s="93" t="s">
        <v>111</v>
      </c>
      <c r="S871" s="93" t="s">
        <v>115</v>
      </c>
      <c r="T871" s="93" t="s">
        <v>116</v>
      </c>
      <c r="U871" s="94">
        <v>44610.097916666666</v>
      </c>
      <c r="V871" s="93" t="s">
        <v>7336</v>
      </c>
      <c r="W871" s="93" t="s">
        <v>24</v>
      </c>
    </row>
    <row r="872" spans="1:23" x14ac:dyDescent="0.15">
      <c r="A872" s="93" t="s">
        <v>1108</v>
      </c>
      <c r="B872" s="93" t="s">
        <v>7783</v>
      </c>
      <c r="C872" s="93">
        <v>15</v>
      </c>
      <c r="D872" s="93" t="s">
        <v>24</v>
      </c>
      <c r="E872" s="93" t="s">
        <v>24</v>
      </c>
      <c r="F872" s="93" t="s">
        <v>7</v>
      </c>
      <c r="G872" s="93" t="s">
        <v>7183</v>
      </c>
      <c r="H872" s="93" t="s">
        <v>400</v>
      </c>
      <c r="I872" s="93" t="s">
        <v>111</v>
      </c>
      <c r="J872" s="93" t="s">
        <v>7105</v>
      </c>
      <c r="K872" s="93" t="s">
        <v>111</v>
      </c>
      <c r="L872" s="93" t="s">
        <v>111</v>
      </c>
      <c r="M872" s="93" t="s">
        <v>111</v>
      </c>
      <c r="N872" s="93" t="s">
        <v>111</v>
      </c>
      <c r="O872" s="93" t="s">
        <v>111</v>
      </c>
      <c r="P872" s="93" t="s">
        <v>111</v>
      </c>
      <c r="Q872" s="93" t="s">
        <v>228</v>
      </c>
      <c r="R872" s="93" t="s">
        <v>111</v>
      </c>
      <c r="S872" s="93" t="s">
        <v>115</v>
      </c>
      <c r="T872" s="93" t="s">
        <v>116</v>
      </c>
      <c r="U872" s="94">
        <v>44610.118750000001</v>
      </c>
      <c r="V872" s="93" t="s">
        <v>7336</v>
      </c>
      <c r="W872" s="93" t="s">
        <v>24</v>
      </c>
    </row>
    <row r="873" spans="1:23" x14ac:dyDescent="0.15">
      <c r="A873" s="93" t="s">
        <v>1110</v>
      </c>
      <c r="B873" s="93" t="s">
        <v>7784</v>
      </c>
      <c r="C873" s="93">
        <v>39</v>
      </c>
      <c r="D873" s="93" t="s">
        <v>24</v>
      </c>
      <c r="E873" s="93" t="s">
        <v>24</v>
      </c>
      <c r="F873" s="93" t="s">
        <v>7</v>
      </c>
      <c r="G873" s="93" t="s">
        <v>7183</v>
      </c>
      <c r="H873" s="93" t="s">
        <v>400</v>
      </c>
      <c r="I873" s="93" t="s">
        <v>111</v>
      </c>
      <c r="J873" s="93" t="s">
        <v>7105</v>
      </c>
      <c r="K873" s="93" t="s">
        <v>111</v>
      </c>
      <c r="L873" s="93" t="s">
        <v>111</v>
      </c>
      <c r="M873" s="93" t="s">
        <v>111</v>
      </c>
      <c r="N873" s="93" t="s">
        <v>111</v>
      </c>
      <c r="O873" s="93" t="s">
        <v>111</v>
      </c>
      <c r="P873" s="93" t="s">
        <v>111</v>
      </c>
      <c r="Q873" s="93" t="s">
        <v>228</v>
      </c>
      <c r="R873" s="93" t="s">
        <v>111</v>
      </c>
      <c r="S873" s="93" t="s">
        <v>115</v>
      </c>
      <c r="T873" s="93" t="s">
        <v>116</v>
      </c>
      <c r="U873" s="94">
        <v>44610.080555555556</v>
      </c>
      <c r="V873" s="93" t="s">
        <v>7336</v>
      </c>
      <c r="W873" s="93" t="s">
        <v>24</v>
      </c>
    </row>
    <row r="874" spans="1:23" x14ac:dyDescent="0.15">
      <c r="A874" s="93" t="s">
        <v>1112</v>
      </c>
      <c r="B874" s="93" t="s">
        <v>7785</v>
      </c>
      <c r="C874" s="93">
        <v>60</v>
      </c>
      <c r="D874" s="93" t="s">
        <v>24</v>
      </c>
      <c r="E874" s="93" t="s">
        <v>24</v>
      </c>
      <c r="F874" s="93" t="s">
        <v>7</v>
      </c>
      <c r="G874" s="93" t="s">
        <v>7183</v>
      </c>
      <c r="H874" s="93" t="s">
        <v>400</v>
      </c>
      <c r="I874" s="93" t="s">
        <v>111</v>
      </c>
      <c r="J874" s="93" t="s">
        <v>7105</v>
      </c>
      <c r="K874" s="93" t="s">
        <v>111</v>
      </c>
      <c r="L874" s="93" t="s">
        <v>111</v>
      </c>
      <c r="M874" s="93" t="s">
        <v>111</v>
      </c>
      <c r="N874" s="93" t="s">
        <v>111</v>
      </c>
      <c r="O874" s="93" t="s">
        <v>111</v>
      </c>
      <c r="P874" s="93" t="s">
        <v>111</v>
      </c>
      <c r="Q874" s="93" t="s">
        <v>228</v>
      </c>
      <c r="R874" s="93" t="s">
        <v>111</v>
      </c>
      <c r="S874" s="93" t="s">
        <v>115</v>
      </c>
      <c r="T874" s="93" t="s">
        <v>116</v>
      </c>
      <c r="U874" s="94">
        <v>44610.0625</v>
      </c>
      <c r="V874" s="93" t="s">
        <v>7336</v>
      </c>
      <c r="W874" s="93" t="s">
        <v>24</v>
      </c>
    </row>
    <row r="875" spans="1:23" x14ac:dyDescent="0.15">
      <c r="A875" s="93" t="s">
        <v>1114</v>
      </c>
      <c r="B875" s="93" t="s">
        <v>7786</v>
      </c>
      <c r="C875" s="93">
        <v>10</v>
      </c>
      <c r="D875" s="93" t="s">
        <v>24</v>
      </c>
      <c r="E875" s="93" t="s">
        <v>24</v>
      </c>
      <c r="F875" s="93" t="s">
        <v>7</v>
      </c>
      <c r="G875" s="93" t="s">
        <v>7183</v>
      </c>
      <c r="H875" s="93" t="s">
        <v>400</v>
      </c>
      <c r="I875" s="93" t="s">
        <v>111</v>
      </c>
      <c r="J875" s="93" t="s">
        <v>7105</v>
      </c>
      <c r="K875" s="93" t="s">
        <v>111</v>
      </c>
      <c r="L875" s="93" t="s">
        <v>111</v>
      </c>
      <c r="M875" s="93" t="s">
        <v>111</v>
      </c>
      <c r="N875" s="93" t="s">
        <v>111</v>
      </c>
      <c r="O875" s="93" t="s">
        <v>111</v>
      </c>
      <c r="P875" s="93" t="s">
        <v>111</v>
      </c>
      <c r="Q875" s="93" t="s">
        <v>228</v>
      </c>
      <c r="R875" s="93" t="s">
        <v>111</v>
      </c>
      <c r="S875" s="93" t="s">
        <v>115</v>
      </c>
      <c r="T875" s="93" t="s">
        <v>116</v>
      </c>
      <c r="U875" s="94">
        <v>44610.097916666666</v>
      </c>
      <c r="V875" s="93" t="s">
        <v>7336</v>
      </c>
      <c r="W875" s="93" t="s">
        <v>24</v>
      </c>
    </row>
    <row r="876" spans="1:23" x14ac:dyDescent="0.15">
      <c r="A876" s="93" t="s">
        <v>1116</v>
      </c>
      <c r="B876" s="93" t="s">
        <v>7787</v>
      </c>
      <c r="C876" s="93">
        <v>26</v>
      </c>
      <c r="D876" s="93" t="s">
        <v>24</v>
      </c>
      <c r="E876" s="93" t="s">
        <v>24</v>
      </c>
      <c r="F876" s="93" t="s">
        <v>7</v>
      </c>
      <c r="G876" s="93" t="s">
        <v>7183</v>
      </c>
      <c r="H876" s="93" t="s">
        <v>400</v>
      </c>
      <c r="I876" s="93" t="s">
        <v>111</v>
      </c>
      <c r="J876" s="93" t="s">
        <v>7105</v>
      </c>
      <c r="K876" s="93" t="s">
        <v>111</v>
      </c>
      <c r="L876" s="93" t="s">
        <v>111</v>
      </c>
      <c r="M876" s="93" t="s">
        <v>111</v>
      </c>
      <c r="N876" s="93" t="s">
        <v>111</v>
      </c>
      <c r="O876" s="93" t="s">
        <v>111</v>
      </c>
      <c r="P876" s="93" t="s">
        <v>111</v>
      </c>
      <c r="Q876" s="93" t="s">
        <v>228</v>
      </c>
      <c r="R876" s="93" t="s">
        <v>111</v>
      </c>
      <c r="S876" s="93" t="s">
        <v>115</v>
      </c>
      <c r="T876" s="93" t="s">
        <v>116</v>
      </c>
      <c r="U876" s="94">
        <v>44610.064583333333</v>
      </c>
      <c r="V876" s="93" t="s">
        <v>7336</v>
      </c>
      <c r="W876" s="93" t="s">
        <v>24</v>
      </c>
    </row>
    <row r="877" spans="1:23" x14ac:dyDescent="0.15">
      <c r="A877" s="93" t="s">
        <v>1118</v>
      </c>
      <c r="B877" s="93" t="s">
        <v>7788</v>
      </c>
      <c r="C877" s="93">
        <v>40</v>
      </c>
      <c r="D877" s="93" t="s">
        <v>24</v>
      </c>
      <c r="E877" s="93" t="s">
        <v>24</v>
      </c>
      <c r="F877" s="93" t="s">
        <v>7</v>
      </c>
      <c r="G877" s="93" t="s">
        <v>7183</v>
      </c>
      <c r="H877" s="93" t="s">
        <v>400</v>
      </c>
      <c r="I877" s="93" t="s">
        <v>111</v>
      </c>
      <c r="J877" s="93" t="s">
        <v>7105</v>
      </c>
      <c r="K877" s="93" t="s">
        <v>111</v>
      </c>
      <c r="L877" s="93" t="s">
        <v>111</v>
      </c>
      <c r="M877" s="93" t="s">
        <v>111</v>
      </c>
      <c r="N877" s="93" t="s">
        <v>111</v>
      </c>
      <c r="O877" s="93" t="s">
        <v>111</v>
      </c>
      <c r="P877" s="93" t="s">
        <v>111</v>
      </c>
      <c r="Q877" s="93" t="s">
        <v>228</v>
      </c>
      <c r="R877" s="93" t="s">
        <v>111</v>
      </c>
      <c r="S877" s="93" t="s">
        <v>115</v>
      </c>
      <c r="T877" s="93" t="s">
        <v>116</v>
      </c>
      <c r="U877" s="94">
        <v>44610.120833333334</v>
      </c>
      <c r="V877" s="93" t="s">
        <v>7336</v>
      </c>
      <c r="W877" s="93" t="s">
        <v>24</v>
      </c>
    </row>
    <row r="878" spans="1:23" x14ac:dyDescent="0.15">
      <c r="A878" s="93" t="s">
        <v>1120</v>
      </c>
      <c r="B878" s="93" t="s">
        <v>7789</v>
      </c>
      <c r="C878" s="93">
        <v>15</v>
      </c>
      <c r="D878" s="93" t="s">
        <v>24</v>
      </c>
      <c r="E878" s="93" t="s">
        <v>24</v>
      </c>
      <c r="F878" s="93" t="s">
        <v>7</v>
      </c>
      <c r="G878" s="93" t="s">
        <v>7183</v>
      </c>
      <c r="H878" s="93" t="s">
        <v>400</v>
      </c>
      <c r="I878" s="93" t="s">
        <v>111</v>
      </c>
      <c r="J878" s="93" t="s">
        <v>7105</v>
      </c>
      <c r="K878" s="93" t="s">
        <v>111</v>
      </c>
      <c r="L878" s="93" t="s">
        <v>111</v>
      </c>
      <c r="M878" s="93" t="s">
        <v>111</v>
      </c>
      <c r="N878" s="93" t="s">
        <v>111</v>
      </c>
      <c r="O878" s="93" t="s">
        <v>111</v>
      </c>
      <c r="P878" s="93" t="s">
        <v>111</v>
      </c>
      <c r="Q878" s="93" t="s">
        <v>228</v>
      </c>
      <c r="R878" s="93" t="s">
        <v>111</v>
      </c>
      <c r="S878" s="93" t="s">
        <v>115</v>
      </c>
      <c r="T878" s="93" t="s">
        <v>116</v>
      </c>
      <c r="U878" s="94">
        <v>44610.081944444442</v>
      </c>
      <c r="V878" s="93" t="s">
        <v>7336</v>
      </c>
      <c r="W878" s="93" t="s">
        <v>24</v>
      </c>
    </row>
    <row r="879" spans="1:23" x14ac:dyDescent="0.15">
      <c r="A879" s="93" t="s">
        <v>1122</v>
      </c>
      <c r="B879" s="93" t="s">
        <v>7790</v>
      </c>
      <c r="C879" s="93">
        <v>39</v>
      </c>
      <c r="D879" s="93" t="s">
        <v>24</v>
      </c>
      <c r="E879" s="93" t="s">
        <v>24</v>
      </c>
      <c r="F879" s="93" t="s">
        <v>7</v>
      </c>
      <c r="G879" s="93" t="s">
        <v>7183</v>
      </c>
      <c r="H879" s="93" t="s">
        <v>400</v>
      </c>
      <c r="I879" s="93" t="s">
        <v>111</v>
      </c>
      <c r="J879" s="93" t="s">
        <v>7105</v>
      </c>
      <c r="K879" s="93" t="s">
        <v>111</v>
      </c>
      <c r="L879" s="93" t="s">
        <v>111</v>
      </c>
      <c r="M879" s="93" t="s">
        <v>111</v>
      </c>
      <c r="N879" s="93" t="s">
        <v>111</v>
      </c>
      <c r="O879" s="93" t="s">
        <v>111</v>
      </c>
      <c r="P879" s="93" t="s">
        <v>111</v>
      </c>
      <c r="Q879" s="93" t="s">
        <v>228</v>
      </c>
      <c r="R879" s="93" t="s">
        <v>111</v>
      </c>
      <c r="S879" s="93" t="s">
        <v>115</v>
      </c>
      <c r="T879" s="93" t="s">
        <v>116</v>
      </c>
      <c r="U879" s="94">
        <v>44610.097916666666</v>
      </c>
      <c r="V879" s="93" t="s">
        <v>7336</v>
      </c>
      <c r="W879" s="93" t="s">
        <v>24</v>
      </c>
    </row>
    <row r="880" spans="1:23" x14ac:dyDescent="0.15">
      <c r="A880" s="93" t="s">
        <v>1124</v>
      </c>
      <c r="B880" s="93" t="s">
        <v>7791</v>
      </c>
      <c r="C880" s="93">
        <v>60</v>
      </c>
      <c r="D880" s="93" t="s">
        <v>24</v>
      </c>
      <c r="E880" s="93" t="s">
        <v>24</v>
      </c>
      <c r="F880" s="93" t="s">
        <v>7</v>
      </c>
      <c r="G880" s="93" t="s">
        <v>7183</v>
      </c>
      <c r="H880" s="93" t="s">
        <v>400</v>
      </c>
      <c r="I880" s="93" t="s">
        <v>111</v>
      </c>
      <c r="J880" s="93" t="s">
        <v>7105</v>
      </c>
      <c r="K880" s="93" t="s">
        <v>111</v>
      </c>
      <c r="L880" s="93" t="s">
        <v>111</v>
      </c>
      <c r="M880" s="93" t="s">
        <v>111</v>
      </c>
      <c r="N880" s="93" t="s">
        <v>111</v>
      </c>
      <c r="O880" s="93" t="s">
        <v>111</v>
      </c>
      <c r="P880" s="93" t="s">
        <v>111</v>
      </c>
      <c r="Q880" s="93" t="s">
        <v>228</v>
      </c>
      <c r="R880" s="93" t="s">
        <v>111</v>
      </c>
      <c r="S880" s="93" t="s">
        <v>115</v>
      </c>
      <c r="T880" s="93" t="s">
        <v>116</v>
      </c>
      <c r="U880" s="94">
        <v>44610.058333333334</v>
      </c>
      <c r="V880" s="93" t="s">
        <v>7336</v>
      </c>
      <c r="W880" s="93" t="s">
        <v>24</v>
      </c>
    </row>
    <row r="881" spans="1:23" x14ac:dyDescent="0.15">
      <c r="A881" s="93" t="s">
        <v>1090</v>
      </c>
      <c r="B881" s="93" t="s">
        <v>7792</v>
      </c>
      <c r="C881" s="93">
        <v>12</v>
      </c>
      <c r="D881" s="93" t="s">
        <v>24</v>
      </c>
      <c r="E881" s="93" t="s">
        <v>24</v>
      </c>
      <c r="F881" s="93" t="s">
        <v>7</v>
      </c>
      <c r="G881" s="93" t="s">
        <v>7183</v>
      </c>
      <c r="H881" s="93" t="s">
        <v>400</v>
      </c>
      <c r="I881" s="93" t="s">
        <v>111</v>
      </c>
      <c r="J881" s="93" t="s">
        <v>7105</v>
      </c>
      <c r="K881" s="93" t="s">
        <v>111</v>
      </c>
      <c r="L881" s="93" t="s">
        <v>111</v>
      </c>
      <c r="M881" s="93" t="s">
        <v>111</v>
      </c>
      <c r="N881" s="93" t="s">
        <v>111</v>
      </c>
      <c r="O881" s="93" t="s">
        <v>111</v>
      </c>
      <c r="P881" s="93" t="s">
        <v>111</v>
      </c>
      <c r="Q881" s="93" t="s">
        <v>228</v>
      </c>
      <c r="R881" s="93" t="s">
        <v>111</v>
      </c>
      <c r="S881" s="93" t="s">
        <v>115</v>
      </c>
      <c r="T881" s="93" t="s">
        <v>116</v>
      </c>
      <c r="U881" s="94">
        <v>44610.056944444441</v>
      </c>
      <c r="V881" s="93" t="s">
        <v>7336</v>
      </c>
      <c r="W881" s="93" t="s">
        <v>24</v>
      </c>
    </row>
    <row r="882" spans="1:23" x14ac:dyDescent="0.15">
      <c r="A882" s="93" t="s">
        <v>1092</v>
      </c>
      <c r="B882" s="93" t="s">
        <v>7793</v>
      </c>
      <c r="C882" s="93">
        <v>31</v>
      </c>
      <c r="D882" s="93" t="s">
        <v>24</v>
      </c>
      <c r="E882" s="93" t="s">
        <v>24</v>
      </c>
      <c r="F882" s="93" t="s">
        <v>7</v>
      </c>
      <c r="G882" s="93" t="s">
        <v>7183</v>
      </c>
      <c r="H882" s="93" t="s">
        <v>400</v>
      </c>
      <c r="I882" s="93" t="s">
        <v>111</v>
      </c>
      <c r="J882" s="93" t="s">
        <v>7105</v>
      </c>
      <c r="K882" s="93" t="s">
        <v>111</v>
      </c>
      <c r="L882" s="93" t="s">
        <v>111</v>
      </c>
      <c r="M882" s="93" t="s">
        <v>111</v>
      </c>
      <c r="N882" s="93" t="s">
        <v>111</v>
      </c>
      <c r="O882" s="93" t="s">
        <v>111</v>
      </c>
      <c r="P882" s="93" t="s">
        <v>111</v>
      </c>
      <c r="Q882" s="93" t="s">
        <v>228</v>
      </c>
      <c r="R882" s="93" t="s">
        <v>111</v>
      </c>
      <c r="S882" s="93" t="s">
        <v>115</v>
      </c>
      <c r="T882" s="93" t="s">
        <v>116</v>
      </c>
      <c r="U882" s="94">
        <v>44610.072916666664</v>
      </c>
      <c r="V882" s="93" t="s">
        <v>7336</v>
      </c>
      <c r="W882" s="93" t="s">
        <v>24</v>
      </c>
    </row>
    <row r="883" spans="1:23" x14ac:dyDescent="0.15">
      <c r="A883" s="93" t="s">
        <v>1094</v>
      </c>
      <c r="B883" s="93" t="s">
        <v>7794</v>
      </c>
      <c r="C883" s="93">
        <v>48</v>
      </c>
      <c r="D883" s="93" t="s">
        <v>24</v>
      </c>
      <c r="E883" s="93" t="s">
        <v>24</v>
      </c>
      <c r="F883" s="93" t="s">
        <v>7</v>
      </c>
      <c r="G883" s="93" t="s">
        <v>7183</v>
      </c>
      <c r="H883" s="93" t="s">
        <v>400</v>
      </c>
      <c r="I883" s="93" t="s">
        <v>111</v>
      </c>
      <c r="J883" s="93" t="s">
        <v>7105</v>
      </c>
      <c r="K883" s="93" t="s">
        <v>111</v>
      </c>
      <c r="L883" s="93" t="s">
        <v>111</v>
      </c>
      <c r="M883" s="93" t="s">
        <v>111</v>
      </c>
      <c r="N883" s="93" t="s">
        <v>111</v>
      </c>
      <c r="O883" s="93" t="s">
        <v>111</v>
      </c>
      <c r="P883" s="93" t="s">
        <v>111</v>
      </c>
      <c r="Q883" s="93" t="s">
        <v>228</v>
      </c>
      <c r="R883" s="93" t="s">
        <v>111</v>
      </c>
      <c r="S883" s="93" t="s">
        <v>115</v>
      </c>
      <c r="T883" s="93" t="s">
        <v>116</v>
      </c>
      <c r="U883" s="94">
        <v>44610.097916666666</v>
      </c>
      <c r="V883" s="93" t="s">
        <v>7336</v>
      </c>
      <c r="W883" s="93" t="s">
        <v>24</v>
      </c>
    </row>
    <row r="884" spans="1:23" x14ac:dyDescent="0.15">
      <c r="A884" s="93" t="s">
        <v>1126</v>
      </c>
      <c r="B884" s="93" t="s">
        <v>3861</v>
      </c>
      <c r="C884" s="93">
        <v>23</v>
      </c>
      <c r="D884" s="93" t="s">
        <v>24</v>
      </c>
      <c r="E884" s="93" t="s">
        <v>24</v>
      </c>
      <c r="F884" s="93" t="s">
        <v>7</v>
      </c>
      <c r="G884" s="93" t="s">
        <v>7183</v>
      </c>
      <c r="H884" s="93" t="s">
        <v>400</v>
      </c>
      <c r="I884" s="93" t="s">
        <v>111</v>
      </c>
      <c r="J884" s="93" t="s">
        <v>118</v>
      </c>
      <c r="K884" s="93">
        <v>3</v>
      </c>
      <c r="L884" s="93" t="s">
        <v>111</v>
      </c>
      <c r="M884" s="93" t="s">
        <v>111</v>
      </c>
      <c r="N884" s="93" t="s">
        <v>111</v>
      </c>
      <c r="O884" s="93" t="s">
        <v>111</v>
      </c>
      <c r="P884" s="93" t="s">
        <v>111</v>
      </c>
      <c r="Q884" s="93" t="s">
        <v>228</v>
      </c>
      <c r="R884" s="93" t="s">
        <v>2</v>
      </c>
      <c r="S884" s="93" t="s">
        <v>115</v>
      </c>
      <c r="T884" s="93" t="s">
        <v>116</v>
      </c>
      <c r="U884" s="94">
        <v>44610.06527777778</v>
      </c>
      <c r="V884" s="93" t="s">
        <v>7336</v>
      </c>
      <c r="W884" s="93" t="s">
        <v>24</v>
      </c>
    </row>
    <row r="885" spans="1:23" x14ac:dyDescent="0.15">
      <c r="A885" s="93" t="s">
        <v>1128</v>
      </c>
      <c r="B885" s="93" t="s">
        <v>3862</v>
      </c>
      <c r="C885" s="93">
        <v>59</v>
      </c>
      <c r="D885" s="93" t="s">
        <v>24</v>
      </c>
      <c r="E885" s="93" t="s">
        <v>24</v>
      </c>
      <c r="F885" s="93" t="s">
        <v>7</v>
      </c>
      <c r="G885" s="93" t="s">
        <v>7183</v>
      </c>
      <c r="H885" s="93" t="s">
        <v>400</v>
      </c>
      <c r="I885" s="93" t="s">
        <v>111</v>
      </c>
      <c r="J885" s="93" t="s">
        <v>118</v>
      </c>
      <c r="K885" s="93">
        <v>3</v>
      </c>
      <c r="L885" s="93" t="s">
        <v>111</v>
      </c>
      <c r="M885" s="93" t="s">
        <v>111</v>
      </c>
      <c r="N885" s="93" t="s">
        <v>111</v>
      </c>
      <c r="O885" s="93" t="s">
        <v>111</v>
      </c>
      <c r="P885" s="93" t="s">
        <v>111</v>
      </c>
      <c r="Q885" s="93" t="s">
        <v>228</v>
      </c>
      <c r="R885" s="93" t="s">
        <v>2</v>
      </c>
      <c r="S885" s="93" t="s">
        <v>115</v>
      </c>
      <c r="T885" s="93" t="s">
        <v>116</v>
      </c>
      <c r="U885" s="94">
        <v>44610.09097222222</v>
      </c>
      <c r="V885" s="93" t="s">
        <v>7336</v>
      </c>
      <c r="W885" s="93" t="s">
        <v>24</v>
      </c>
    </row>
    <row r="886" spans="1:23" x14ac:dyDescent="0.15">
      <c r="A886" s="93" t="s">
        <v>1130</v>
      </c>
      <c r="B886" s="93" t="s">
        <v>3863</v>
      </c>
      <c r="C886" s="93">
        <v>92</v>
      </c>
      <c r="D886" s="93" t="s">
        <v>24</v>
      </c>
      <c r="E886" s="93" t="s">
        <v>24</v>
      </c>
      <c r="F886" s="93" t="s">
        <v>7</v>
      </c>
      <c r="G886" s="93" t="s">
        <v>7183</v>
      </c>
      <c r="H886" s="93" t="s">
        <v>400</v>
      </c>
      <c r="I886" s="93" t="s">
        <v>111</v>
      </c>
      <c r="J886" s="93" t="s">
        <v>118</v>
      </c>
      <c r="K886" s="93">
        <v>3</v>
      </c>
      <c r="L886" s="93" t="s">
        <v>111</v>
      </c>
      <c r="M886" s="93" t="s">
        <v>111</v>
      </c>
      <c r="N886" s="93" t="s">
        <v>111</v>
      </c>
      <c r="O886" s="93" t="s">
        <v>111</v>
      </c>
      <c r="P886" s="93" t="s">
        <v>111</v>
      </c>
      <c r="Q886" s="93" t="s">
        <v>228</v>
      </c>
      <c r="R886" s="93" t="s">
        <v>2</v>
      </c>
      <c r="S886" s="93" t="s">
        <v>115</v>
      </c>
      <c r="T886" s="93" t="s">
        <v>116</v>
      </c>
      <c r="U886" s="94">
        <v>44610.074999999997</v>
      </c>
      <c r="V886" s="93" t="s">
        <v>7336</v>
      </c>
      <c r="W886" s="93" t="s">
        <v>24</v>
      </c>
    </row>
    <row r="887" spans="1:23" x14ac:dyDescent="0.15">
      <c r="A887" s="93" t="s">
        <v>999</v>
      </c>
      <c r="B887" s="93" t="s">
        <v>7795</v>
      </c>
      <c r="C887" s="93">
        <v>8</v>
      </c>
      <c r="D887" s="93" t="s">
        <v>24</v>
      </c>
      <c r="E887" s="93" t="s">
        <v>24</v>
      </c>
      <c r="F887" s="93" t="s">
        <v>7</v>
      </c>
      <c r="G887" s="93" t="s">
        <v>7183</v>
      </c>
      <c r="H887" s="93" t="s">
        <v>400</v>
      </c>
      <c r="I887" s="93" t="s">
        <v>111</v>
      </c>
      <c r="J887" s="93" t="s">
        <v>7105</v>
      </c>
      <c r="K887" s="93" t="s">
        <v>111</v>
      </c>
      <c r="L887" s="93" t="s">
        <v>111</v>
      </c>
      <c r="M887" s="93" t="s">
        <v>111</v>
      </c>
      <c r="N887" s="93" t="s">
        <v>111</v>
      </c>
      <c r="O887" s="93" t="s">
        <v>111</v>
      </c>
      <c r="P887" s="93" t="s">
        <v>111</v>
      </c>
      <c r="Q887" s="93" t="s">
        <v>228</v>
      </c>
      <c r="R887" s="93" t="s">
        <v>2</v>
      </c>
      <c r="S887" s="93" t="s">
        <v>115</v>
      </c>
      <c r="T887" s="93" t="s">
        <v>116</v>
      </c>
      <c r="U887" s="94">
        <v>44610.088194444441</v>
      </c>
      <c r="V887" s="93" t="s">
        <v>7072</v>
      </c>
      <c r="W887" s="93" t="s">
        <v>24</v>
      </c>
    </row>
    <row r="888" spans="1:23" x14ac:dyDescent="0.15">
      <c r="A888" s="93" t="s">
        <v>1000</v>
      </c>
      <c r="B888" s="93" t="s">
        <v>7796</v>
      </c>
      <c r="C888" s="93">
        <v>21</v>
      </c>
      <c r="D888" s="93" t="s">
        <v>24</v>
      </c>
      <c r="E888" s="93" t="s">
        <v>24</v>
      </c>
      <c r="F888" s="93" t="s">
        <v>7</v>
      </c>
      <c r="G888" s="93" t="s">
        <v>7183</v>
      </c>
      <c r="H888" s="93" t="s">
        <v>400</v>
      </c>
      <c r="I888" s="93" t="s">
        <v>111</v>
      </c>
      <c r="J888" s="93" t="s">
        <v>7105</v>
      </c>
      <c r="K888" s="93" t="s">
        <v>111</v>
      </c>
      <c r="L888" s="93" t="s">
        <v>111</v>
      </c>
      <c r="M888" s="93" t="s">
        <v>111</v>
      </c>
      <c r="N888" s="93" t="s">
        <v>111</v>
      </c>
      <c r="O888" s="93" t="s">
        <v>111</v>
      </c>
      <c r="P888" s="93" t="s">
        <v>111</v>
      </c>
      <c r="Q888" s="93" t="s">
        <v>228</v>
      </c>
      <c r="R888" s="93" t="s">
        <v>2</v>
      </c>
      <c r="S888" s="93" t="s">
        <v>115</v>
      </c>
      <c r="T888" s="93" t="s">
        <v>116</v>
      </c>
      <c r="U888" s="94">
        <v>44610.061805555553</v>
      </c>
      <c r="V888" s="93" t="s">
        <v>7072</v>
      </c>
      <c r="W888" s="93" t="s">
        <v>24</v>
      </c>
    </row>
    <row r="889" spans="1:23" x14ac:dyDescent="0.15">
      <c r="A889" s="93" t="s">
        <v>1001</v>
      </c>
      <c r="B889" s="93" t="s">
        <v>7797</v>
      </c>
      <c r="C889" s="93">
        <v>32</v>
      </c>
      <c r="D889" s="93" t="s">
        <v>24</v>
      </c>
      <c r="E889" s="93" t="s">
        <v>24</v>
      </c>
      <c r="F889" s="93" t="s">
        <v>7</v>
      </c>
      <c r="G889" s="93" t="s">
        <v>7183</v>
      </c>
      <c r="H889" s="93" t="s">
        <v>400</v>
      </c>
      <c r="I889" s="93" t="s">
        <v>111</v>
      </c>
      <c r="J889" s="93" t="s">
        <v>7105</v>
      </c>
      <c r="K889" s="93" t="s">
        <v>111</v>
      </c>
      <c r="L889" s="93" t="s">
        <v>111</v>
      </c>
      <c r="M889" s="93" t="s">
        <v>111</v>
      </c>
      <c r="N889" s="93" t="s">
        <v>111</v>
      </c>
      <c r="O889" s="93" t="s">
        <v>111</v>
      </c>
      <c r="P889" s="93" t="s">
        <v>111</v>
      </c>
      <c r="Q889" s="93" t="s">
        <v>228</v>
      </c>
      <c r="R889" s="93" t="s">
        <v>2</v>
      </c>
      <c r="S889" s="93" t="s">
        <v>115</v>
      </c>
      <c r="T889" s="93" t="s">
        <v>116</v>
      </c>
      <c r="U889" s="94">
        <v>44610.11041666667</v>
      </c>
      <c r="V889" s="93" t="s">
        <v>7072</v>
      </c>
      <c r="W889" s="93" t="s">
        <v>24</v>
      </c>
    </row>
    <row r="890" spans="1:23" x14ac:dyDescent="0.15">
      <c r="A890" s="93" t="s">
        <v>1002</v>
      </c>
      <c r="B890" s="93" t="s">
        <v>7798</v>
      </c>
      <c r="C890" s="93">
        <v>11</v>
      </c>
      <c r="D890" s="93" t="s">
        <v>24</v>
      </c>
      <c r="E890" s="93" t="s">
        <v>24</v>
      </c>
      <c r="F890" s="93" t="s">
        <v>7</v>
      </c>
      <c r="G890" s="93" t="s">
        <v>7183</v>
      </c>
      <c r="H890" s="93" t="s">
        <v>400</v>
      </c>
      <c r="I890" s="93" t="s">
        <v>111</v>
      </c>
      <c r="J890" s="93" t="s">
        <v>7105</v>
      </c>
      <c r="K890" s="93" t="s">
        <v>111</v>
      </c>
      <c r="L890" s="93" t="s">
        <v>111</v>
      </c>
      <c r="M890" s="93" t="s">
        <v>111</v>
      </c>
      <c r="N890" s="93" t="s">
        <v>111</v>
      </c>
      <c r="O890" s="93" t="s">
        <v>111</v>
      </c>
      <c r="P890" s="93" t="s">
        <v>111</v>
      </c>
      <c r="Q890" s="93" t="s">
        <v>228</v>
      </c>
      <c r="R890" s="93" t="s">
        <v>2</v>
      </c>
      <c r="S890" s="93" t="s">
        <v>115</v>
      </c>
      <c r="T890" s="93" t="s">
        <v>116</v>
      </c>
      <c r="U890" s="94">
        <v>44610.109722222223</v>
      </c>
      <c r="V890" s="93" t="s">
        <v>7072</v>
      </c>
      <c r="W890" s="93" t="s">
        <v>24</v>
      </c>
    </row>
    <row r="891" spans="1:23" x14ac:dyDescent="0.15">
      <c r="A891" s="93" t="s">
        <v>1003</v>
      </c>
      <c r="B891" s="93" t="s">
        <v>7799</v>
      </c>
      <c r="C891" s="93">
        <v>29</v>
      </c>
      <c r="D891" s="93" t="s">
        <v>24</v>
      </c>
      <c r="E891" s="93" t="s">
        <v>24</v>
      </c>
      <c r="F891" s="93" t="s">
        <v>7</v>
      </c>
      <c r="G891" s="93" t="s">
        <v>7183</v>
      </c>
      <c r="H891" s="93" t="s">
        <v>400</v>
      </c>
      <c r="I891" s="93" t="s">
        <v>111</v>
      </c>
      <c r="J891" s="93" t="s">
        <v>7105</v>
      </c>
      <c r="K891" s="93" t="s">
        <v>111</v>
      </c>
      <c r="L891" s="93" t="s">
        <v>111</v>
      </c>
      <c r="M891" s="93" t="s">
        <v>111</v>
      </c>
      <c r="N891" s="93" t="s">
        <v>111</v>
      </c>
      <c r="O891" s="93" t="s">
        <v>111</v>
      </c>
      <c r="P891" s="93" t="s">
        <v>111</v>
      </c>
      <c r="Q891" s="93" t="s">
        <v>228</v>
      </c>
      <c r="R891" s="93" t="s">
        <v>2</v>
      </c>
      <c r="S891" s="93" t="s">
        <v>115</v>
      </c>
      <c r="T891" s="93" t="s">
        <v>116</v>
      </c>
      <c r="U891" s="94">
        <v>44610.077777777777</v>
      </c>
      <c r="V891" s="93" t="s">
        <v>7072</v>
      </c>
      <c r="W891" s="93" t="s">
        <v>24</v>
      </c>
    </row>
    <row r="892" spans="1:23" x14ac:dyDescent="0.15">
      <c r="A892" s="93" t="s">
        <v>1004</v>
      </c>
      <c r="B892" s="93" t="s">
        <v>7800</v>
      </c>
      <c r="C892" s="93">
        <v>44</v>
      </c>
      <c r="D892" s="93" t="s">
        <v>24</v>
      </c>
      <c r="E892" s="93" t="s">
        <v>24</v>
      </c>
      <c r="F892" s="93" t="s">
        <v>7</v>
      </c>
      <c r="G892" s="93" t="s">
        <v>7183</v>
      </c>
      <c r="H892" s="93" t="s">
        <v>400</v>
      </c>
      <c r="I892" s="93" t="s">
        <v>111</v>
      </c>
      <c r="J892" s="93" t="s">
        <v>7105</v>
      </c>
      <c r="K892" s="93" t="s">
        <v>111</v>
      </c>
      <c r="L892" s="93" t="s">
        <v>111</v>
      </c>
      <c r="M892" s="93" t="s">
        <v>111</v>
      </c>
      <c r="N892" s="93" t="s">
        <v>111</v>
      </c>
      <c r="O892" s="93" t="s">
        <v>111</v>
      </c>
      <c r="P892" s="93" t="s">
        <v>111</v>
      </c>
      <c r="Q892" s="93" t="s">
        <v>228</v>
      </c>
      <c r="R892" s="93" t="s">
        <v>2</v>
      </c>
      <c r="S892" s="93" t="s">
        <v>115</v>
      </c>
      <c r="T892" s="93" t="s">
        <v>116</v>
      </c>
      <c r="U892" s="94">
        <v>44610.127083333333</v>
      </c>
      <c r="V892" s="93" t="s">
        <v>7072</v>
      </c>
      <c r="W892" s="93" t="s">
        <v>24</v>
      </c>
    </row>
    <row r="893" spans="1:23" x14ac:dyDescent="0.15">
      <c r="A893" s="93" t="s">
        <v>1005</v>
      </c>
      <c r="B893" s="93" t="s">
        <v>7801</v>
      </c>
      <c r="C893" s="93">
        <v>14</v>
      </c>
      <c r="D893" s="93" t="s">
        <v>24</v>
      </c>
      <c r="E893" s="93" t="s">
        <v>24</v>
      </c>
      <c r="F893" s="93" t="s">
        <v>7</v>
      </c>
      <c r="G893" s="93" t="s">
        <v>7183</v>
      </c>
      <c r="H893" s="93" t="s">
        <v>400</v>
      </c>
      <c r="I893" s="93" t="s">
        <v>111</v>
      </c>
      <c r="J893" s="93" t="s">
        <v>7105</v>
      </c>
      <c r="K893" s="93" t="s">
        <v>111</v>
      </c>
      <c r="L893" s="93" t="s">
        <v>111</v>
      </c>
      <c r="M893" s="93" t="s">
        <v>111</v>
      </c>
      <c r="N893" s="93" t="s">
        <v>111</v>
      </c>
      <c r="O893" s="93" t="s">
        <v>111</v>
      </c>
      <c r="P893" s="93" t="s">
        <v>111</v>
      </c>
      <c r="Q893" s="93" t="s">
        <v>228</v>
      </c>
      <c r="R893" s="93" t="s">
        <v>2</v>
      </c>
      <c r="S893" s="93" t="s">
        <v>115</v>
      </c>
      <c r="T893" s="93" t="s">
        <v>116</v>
      </c>
      <c r="U893" s="94">
        <v>44610.12777777778</v>
      </c>
      <c r="V893" s="93" t="s">
        <v>7072</v>
      </c>
      <c r="W893" s="93" t="s">
        <v>24</v>
      </c>
    </row>
    <row r="894" spans="1:23" x14ac:dyDescent="0.15">
      <c r="A894" s="93" t="s">
        <v>1006</v>
      </c>
      <c r="B894" s="93" t="s">
        <v>7802</v>
      </c>
      <c r="C894" s="93">
        <v>36</v>
      </c>
      <c r="D894" s="93" t="s">
        <v>24</v>
      </c>
      <c r="E894" s="93" t="s">
        <v>24</v>
      </c>
      <c r="F894" s="93" t="s">
        <v>7</v>
      </c>
      <c r="G894" s="93" t="s">
        <v>7183</v>
      </c>
      <c r="H894" s="93" t="s">
        <v>400</v>
      </c>
      <c r="I894" s="93" t="s">
        <v>111</v>
      </c>
      <c r="J894" s="93" t="s">
        <v>7105</v>
      </c>
      <c r="K894" s="93" t="s">
        <v>111</v>
      </c>
      <c r="L894" s="93" t="s">
        <v>111</v>
      </c>
      <c r="M894" s="93" t="s">
        <v>111</v>
      </c>
      <c r="N894" s="93" t="s">
        <v>111</v>
      </c>
      <c r="O894" s="93" t="s">
        <v>111</v>
      </c>
      <c r="P894" s="93" t="s">
        <v>111</v>
      </c>
      <c r="Q894" s="93" t="s">
        <v>228</v>
      </c>
      <c r="R894" s="93" t="s">
        <v>2</v>
      </c>
      <c r="S894" s="93" t="s">
        <v>115</v>
      </c>
      <c r="T894" s="93" t="s">
        <v>116</v>
      </c>
      <c r="U894" s="94">
        <v>44610.070138888892</v>
      </c>
      <c r="V894" s="93" t="s">
        <v>7072</v>
      </c>
      <c r="W894" s="93" t="s">
        <v>24</v>
      </c>
    </row>
    <row r="895" spans="1:23" x14ac:dyDescent="0.15">
      <c r="A895" s="93" t="s">
        <v>1007</v>
      </c>
      <c r="B895" s="93" t="s">
        <v>7803</v>
      </c>
      <c r="C895" s="93">
        <v>56</v>
      </c>
      <c r="D895" s="93" t="s">
        <v>24</v>
      </c>
      <c r="E895" s="93" t="s">
        <v>24</v>
      </c>
      <c r="F895" s="93" t="s">
        <v>7</v>
      </c>
      <c r="G895" s="93" t="s">
        <v>7183</v>
      </c>
      <c r="H895" s="93" t="s">
        <v>400</v>
      </c>
      <c r="I895" s="93" t="s">
        <v>111</v>
      </c>
      <c r="J895" s="93" t="s">
        <v>7105</v>
      </c>
      <c r="K895" s="93" t="s">
        <v>111</v>
      </c>
      <c r="L895" s="93" t="s">
        <v>111</v>
      </c>
      <c r="M895" s="93" t="s">
        <v>111</v>
      </c>
      <c r="N895" s="93" t="s">
        <v>111</v>
      </c>
      <c r="O895" s="93" t="s">
        <v>111</v>
      </c>
      <c r="P895" s="93" t="s">
        <v>111</v>
      </c>
      <c r="Q895" s="93" t="s">
        <v>228</v>
      </c>
      <c r="R895" s="93" t="s">
        <v>2</v>
      </c>
      <c r="S895" s="93" t="s">
        <v>115</v>
      </c>
      <c r="T895" s="93" t="s">
        <v>116</v>
      </c>
      <c r="U895" s="94">
        <v>44610.116666666669</v>
      </c>
      <c r="V895" s="93" t="s">
        <v>7072</v>
      </c>
      <c r="W895" s="93" t="s">
        <v>24</v>
      </c>
    </row>
    <row r="896" spans="1:23" x14ac:dyDescent="0.15">
      <c r="A896" s="93" t="s">
        <v>1008</v>
      </c>
      <c r="B896" s="93" t="s">
        <v>7804</v>
      </c>
      <c r="C896" s="93">
        <v>20</v>
      </c>
      <c r="D896" s="93" t="s">
        <v>24</v>
      </c>
      <c r="E896" s="93" t="s">
        <v>24</v>
      </c>
      <c r="F896" s="93" t="s">
        <v>7</v>
      </c>
      <c r="G896" s="93" t="s">
        <v>7183</v>
      </c>
      <c r="H896" s="93" t="s">
        <v>400</v>
      </c>
      <c r="I896" s="93" t="s">
        <v>111</v>
      </c>
      <c r="J896" s="93" t="s">
        <v>7105</v>
      </c>
      <c r="K896" s="93" t="s">
        <v>111</v>
      </c>
      <c r="L896" s="93" t="s">
        <v>111</v>
      </c>
      <c r="M896" s="93" t="s">
        <v>111</v>
      </c>
      <c r="N896" s="93" t="s">
        <v>111</v>
      </c>
      <c r="O896" s="93" t="s">
        <v>111</v>
      </c>
      <c r="P896" s="93" t="s">
        <v>111</v>
      </c>
      <c r="Q896" s="93" t="s">
        <v>228</v>
      </c>
      <c r="R896" s="93" t="s">
        <v>2</v>
      </c>
      <c r="S896" s="93" t="s">
        <v>115</v>
      </c>
      <c r="T896" s="93" t="s">
        <v>116</v>
      </c>
      <c r="U896" s="94">
        <v>44610.061111111114</v>
      </c>
      <c r="V896" s="93" t="s">
        <v>7072</v>
      </c>
      <c r="W896" s="93" t="s">
        <v>24</v>
      </c>
    </row>
    <row r="897" spans="1:23" x14ac:dyDescent="0.15">
      <c r="A897" s="93" t="s">
        <v>1009</v>
      </c>
      <c r="B897" s="93" t="s">
        <v>7805</v>
      </c>
      <c r="C897" s="93">
        <v>51</v>
      </c>
      <c r="D897" s="93" t="s">
        <v>24</v>
      </c>
      <c r="E897" s="93" t="s">
        <v>24</v>
      </c>
      <c r="F897" s="93" t="s">
        <v>7</v>
      </c>
      <c r="G897" s="93" t="s">
        <v>7183</v>
      </c>
      <c r="H897" s="93" t="s">
        <v>400</v>
      </c>
      <c r="I897" s="93" t="s">
        <v>111</v>
      </c>
      <c r="J897" s="93" t="s">
        <v>7105</v>
      </c>
      <c r="K897" s="93" t="s">
        <v>111</v>
      </c>
      <c r="L897" s="93" t="s">
        <v>111</v>
      </c>
      <c r="M897" s="93" t="s">
        <v>111</v>
      </c>
      <c r="N897" s="93" t="s">
        <v>111</v>
      </c>
      <c r="O897" s="93" t="s">
        <v>111</v>
      </c>
      <c r="P897" s="93" t="s">
        <v>111</v>
      </c>
      <c r="Q897" s="93" t="s">
        <v>228</v>
      </c>
      <c r="R897" s="93" t="s">
        <v>2</v>
      </c>
      <c r="S897" s="93" t="s">
        <v>115</v>
      </c>
      <c r="T897" s="93" t="s">
        <v>116</v>
      </c>
      <c r="U897" s="94">
        <v>44610.061805555553</v>
      </c>
      <c r="V897" s="93" t="s">
        <v>7072</v>
      </c>
      <c r="W897" s="93" t="s">
        <v>24</v>
      </c>
    </row>
    <row r="898" spans="1:23" x14ac:dyDescent="0.15">
      <c r="A898" s="93" t="s">
        <v>1010</v>
      </c>
      <c r="B898" s="93" t="s">
        <v>7806</v>
      </c>
      <c r="C898" s="93">
        <v>80</v>
      </c>
      <c r="D898" s="93" t="s">
        <v>24</v>
      </c>
      <c r="E898" s="93" t="s">
        <v>24</v>
      </c>
      <c r="F898" s="93" t="s">
        <v>7</v>
      </c>
      <c r="G898" s="93" t="s">
        <v>7183</v>
      </c>
      <c r="H898" s="93" t="s">
        <v>400</v>
      </c>
      <c r="I898" s="93" t="s">
        <v>111</v>
      </c>
      <c r="J898" s="93" t="s">
        <v>7105</v>
      </c>
      <c r="K898" s="93" t="s">
        <v>111</v>
      </c>
      <c r="L898" s="93" t="s">
        <v>111</v>
      </c>
      <c r="M898" s="93" t="s">
        <v>111</v>
      </c>
      <c r="N898" s="93" t="s">
        <v>111</v>
      </c>
      <c r="O898" s="93" t="s">
        <v>111</v>
      </c>
      <c r="P898" s="93" t="s">
        <v>111</v>
      </c>
      <c r="Q898" s="93" t="s">
        <v>228</v>
      </c>
      <c r="R898" s="93" t="s">
        <v>2</v>
      </c>
      <c r="S898" s="93" t="s">
        <v>115</v>
      </c>
      <c r="T898" s="93" t="s">
        <v>116</v>
      </c>
      <c r="U898" s="94">
        <v>44610.128472222219</v>
      </c>
      <c r="V898" s="93" t="s">
        <v>7072</v>
      </c>
      <c r="W898" s="93" t="s">
        <v>24</v>
      </c>
    </row>
    <row r="899" spans="1:23" x14ac:dyDescent="0.15">
      <c r="A899" s="93" t="s">
        <v>1011</v>
      </c>
      <c r="B899" s="93" t="s">
        <v>7807</v>
      </c>
      <c r="C899" s="93">
        <v>15</v>
      </c>
      <c r="D899" s="93" t="s">
        <v>24</v>
      </c>
      <c r="E899" s="93" t="s">
        <v>24</v>
      </c>
      <c r="F899" s="93" t="s">
        <v>7</v>
      </c>
      <c r="G899" s="93" t="s">
        <v>7183</v>
      </c>
      <c r="H899" s="93" t="s">
        <v>400</v>
      </c>
      <c r="I899" s="93" t="s">
        <v>111</v>
      </c>
      <c r="J899" s="93" t="s">
        <v>7105</v>
      </c>
      <c r="K899" s="93" t="s">
        <v>111</v>
      </c>
      <c r="L899" s="93" t="s">
        <v>111</v>
      </c>
      <c r="M899" s="93" t="s">
        <v>111</v>
      </c>
      <c r="N899" s="93" t="s">
        <v>111</v>
      </c>
      <c r="O899" s="93" t="s">
        <v>111</v>
      </c>
      <c r="P899" s="93" t="s">
        <v>111</v>
      </c>
      <c r="Q899" s="93" t="s">
        <v>228</v>
      </c>
      <c r="R899" s="93" t="s">
        <v>2</v>
      </c>
      <c r="S899" s="93" t="s">
        <v>115</v>
      </c>
      <c r="T899" s="93" t="s">
        <v>116</v>
      </c>
      <c r="U899" s="94">
        <v>44610.12777777778</v>
      </c>
      <c r="V899" s="93" t="s">
        <v>7072</v>
      </c>
      <c r="W899" s="93" t="s">
        <v>24</v>
      </c>
    </row>
    <row r="900" spans="1:23" x14ac:dyDescent="0.15">
      <c r="A900" s="93" t="s">
        <v>1012</v>
      </c>
      <c r="B900" s="93" t="s">
        <v>7808</v>
      </c>
      <c r="C900" s="93">
        <v>39</v>
      </c>
      <c r="D900" s="93" t="s">
        <v>24</v>
      </c>
      <c r="E900" s="93" t="s">
        <v>24</v>
      </c>
      <c r="F900" s="93" t="s">
        <v>7</v>
      </c>
      <c r="G900" s="93" t="s">
        <v>7183</v>
      </c>
      <c r="H900" s="93" t="s">
        <v>400</v>
      </c>
      <c r="I900" s="93" t="s">
        <v>111</v>
      </c>
      <c r="J900" s="93" t="s">
        <v>7105</v>
      </c>
      <c r="K900" s="93" t="s">
        <v>111</v>
      </c>
      <c r="L900" s="93" t="s">
        <v>111</v>
      </c>
      <c r="M900" s="93" t="s">
        <v>111</v>
      </c>
      <c r="N900" s="93" t="s">
        <v>111</v>
      </c>
      <c r="O900" s="93" t="s">
        <v>111</v>
      </c>
      <c r="P900" s="93" t="s">
        <v>111</v>
      </c>
      <c r="Q900" s="93" t="s">
        <v>228</v>
      </c>
      <c r="R900" s="93" t="s">
        <v>2</v>
      </c>
      <c r="S900" s="93" t="s">
        <v>115</v>
      </c>
      <c r="T900" s="93" t="s">
        <v>116</v>
      </c>
      <c r="U900" s="94">
        <v>44610.095138888886</v>
      </c>
      <c r="V900" s="93" t="s">
        <v>7072</v>
      </c>
      <c r="W900" s="93" t="s">
        <v>24</v>
      </c>
    </row>
    <row r="901" spans="1:23" x14ac:dyDescent="0.15">
      <c r="A901" s="93" t="s">
        <v>1013</v>
      </c>
      <c r="B901" s="93" t="s">
        <v>7809</v>
      </c>
      <c r="C901" s="93">
        <v>60</v>
      </c>
      <c r="D901" s="93" t="s">
        <v>24</v>
      </c>
      <c r="E901" s="93" t="s">
        <v>24</v>
      </c>
      <c r="F901" s="93" t="s">
        <v>7</v>
      </c>
      <c r="G901" s="93" t="s">
        <v>7183</v>
      </c>
      <c r="H901" s="93" t="s">
        <v>400</v>
      </c>
      <c r="I901" s="93" t="s">
        <v>111</v>
      </c>
      <c r="J901" s="93" t="s">
        <v>7105</v>
      </c>
      <c r="K901" s="93" t="s">
        <v>111</v>
      </c>
      <c r="L901" s="93" t="s">
        <v>111</v>
      </c>
      <c r="M901" s="93" t="s">
        <v>111</v>
      </c>
      <c r="N901" s="93" t="s">
        <v>111</v>
      </c>
      <c r="O901" s="93" t="s">
        <v>111</v>
      </c>
      <c r="P901" s="93" t="s">
        <v>111</v>
      </c>
      <c r="Q901" s="93" t="s">
        <v>228</v>
      </c>
      <c r="R901" s="93" t="s">
        <v>2</v>
      </c>
      <c r="S901" s="93" t="s">
        <v>115</v>
      </c>
      <c r="T901" s="93" t="s">
        <v>116</v>
      </c>
      <c r="U901" s="94">
        <v>44610.12777777778</v>
      </c>
      <c r="V901" s="93" t="s">
        <v>7072</v>
      </c>
      <c r="W901" s="93" t="s">
        <v>24</v>
      </c>
    </row>
    <row r="902" spans="1:23" x14ac:dyDescent="0.15">
      <c r="A902" s="93" t="s">
        <v>1014</v>
      </c>
      <c r="B902" s="93" t="s">
        <v>7810</v>
      </c>
      <c r="C902" s="93">
        <v>21</v>
      </c>
      <c r="D902" s="93" t="s">
        <v>24</v>
      </c>
      <c r="E902" s="93" t="s">
        <v>24</v>
      </c>
      <c r="F902" s="93" t="s">
        <v>7</v>
      </c>
      <c r="G902" s="93" t="s">
        <v>7183</v>
      </c>
      <c r="H902" s="93" t="s">
        <v>400</v>
      </c>
      <c r="I902" s="93" t="s">
        <v>111</v>
      </c>
      <c r="J902" s="93" t="s">
        <v>7105</v>
      </c>
      <c r="K902" s="93" t="s">
        <v>111</v>
      </c>
      <c r="L902" s="93" t="s">
        <v>111</v>
      </c>
      <c r="M902" s="93" t="s">
        <v>111</v>
      </c>
      <c r="N902" s="93" t="s">
        <v>111</v>
      </c>
      <c r="O902" s="93" t="s">
        <v>111</v>
      </c>
      <c r="P902" s="93" t="s">
        <v>111</v>
      </c>
      <c r="Q902" s="93" t="s">
        <v>228</v>
      </c>
      <c r="R902" s="93" t="s">
        <v>2</v>
      </c>
      <c r="S902" s="93" t="s">
        <v>115</v>
      </c>
      <c r="T902" s="93" t="s">
        <v>116</v>
      </c>
      <c r="U902" s="94">
        <v>44610.055555555555</v>
      </c>
      <c r="V902" s="93" t="s">
        <v>7072</v>
      </c>
      <c r="W902" s="93" t="s">
        <v>24</v>
      </c>
    </row>
    <row r="903" spans="1:23" x14ac:dyDescent="0.15">
      <c r="A903" s="93" t="s">
        <v>1015</v>
      </c>
      <c r="B903" s="93" t="s">
        <v>7811</v>
      </c>
      <c r="C903" s="93">
        <v>54</v>
      </c>
      <c r="D903" s="93" t="s">
        <v>24</v>
      </c>
      <c r="E903" s="93" t="s">
        <v>24</v>
      </c>
      <c r="F903" s="93" t="s">
        <v>7</v>
      </c>
      <c r="G903" s="93" t="s">
        <v>7183</v>
      </c>
      <c r="H903" s="93" t="s">
        <v>400</v>
      </c>
      <c r="I903" s="93" t="s">
        <v>111</v>
      </c>
      <c r="J903" s="93" t="s">
        <v>7105</v>
      </c>
      <c r="K903" s="93" t="s">
        <v>111</v>
      </c>
      <c r="L903" s="93" t="s">
        <v>111</v>
      </c>
      <c r="M903" s="93" t="s">
        <v>111</v>
      </c>
      <c r="N903" s="93" t="s">
        <v>111</v>
      </c>
      <c r="O903" s="93" t="s">
        <v>111</v>
      </c>
      <c r="P903" s="93" t="s">
        <v>111</v>
      </c>
      <c r="Q903" s="93" t="s">
        <v>228</v>
      </c>
      <c r="R903" s="93" t="s">
        <v>2</v>
      </c>
      <c r="S903" s="93" t="s">
        <v>115</v>
      </c>
      <c r="T903" s="93" t="s">
        <v>116</v>
      </c>
      <c r="U903" s="94">
        <v>44610.070138888892</v>
      </c>
      <c r="V903" s="93" t="s">
        <v>7072</v>
      </c>
      <c r="W903" s="93" t="s">
        <v>24</v>
      </c>
    </row>
    <row r="904" spans="1:23" x14ac:dyDescent="0.15">
      <c r="A904" s="93" t="s">
        <v>1016</v>
      </c>
      <c r="B904" s="93" t="s">
        <v>7812</v>
      </c>
      <c r="C904" s="93">
        <v>84</v>
      </c>
      <c r="D904" s="93" t="s">
        <v>24</v>
      </c>
      <c r="E904" s="93" t="s">
        <v>24</v>
      </c>
      <c r="F904" s="93" t="s">
        <v>7</v>
      </c>
      <c r="G904" s="93" t="s">
        <v>7183</v>
      </c>
      <c r="H904" s="93" t="s">
        <v>400</v>
      </c>
      <c r="I904" s="93" t="s">
        <v>111</v>
      </c>
      <c r="J904" s="93" t="s">
        <v>7105</v>
      </c>
      <c r="K904" s="93" t="s">
        <v>111</v>
      </c>
      <c r="L904" s="93" t="s">
        <v>111</v>
      </c>
      <c r="M904" s="93" t="s">
        <v>111</v>
      </c>
      <c r="N904" s="93" t="s">
        <v>111</v>
      </c>
      <c r="O904" s="93" t="s">
        <v>111</v>
      </c>
      <c r="P904" s="93" t="s">
        <v>111</v>
      </c>
      <c r="Q904" s="93" t="s">
        <v>228</v>
      </c>
      <c r="R904" s="93" t="s">
        <v>2</v>
      </c>
      <c r="S904" s="93" t="s">
        <v>115</v>
      </c>
      <c r="T904" s="93" t="s">
        <v>116</v>
      </c>
      <c r="U904" s="94">
        <v>44610.087500000001</v>
      </c>
      <c r="V904" s="93" t="s">
        <v>7072</v>
      </c>
      <c r="W904" s="93" t="s">
        <v>24</v>
      </c>
    </row>
    <row r="905" spans="1:23" x14ac:dyDescent="0.15">
      <c r="A905" s="93" t="s">
        <v>1017</v>
      </c>
      <c r="B905" s="93" t="s">
        <v>7813</v>
      </c>
      <c r="C905" s="93">
        <v>45</v>
      </c>
      <c r="D905" s="93" t="s">
        <v>24</v>
      </c>
      <c r="E905" s="93" t="s">
        <v>24</v>
      </c>
      <c r="F905" s="93" t="s">
        <v>7</v>
      </c>
      <c r="G905" s="93" t="s">
        <v>7183</v>
      </c>
      <c r="H905" s="93" t="s">
        <v>400</v>
      </c>
      <c r="I905" s="93" t="s">
        <v>111</v>
      </c>
      <c r="J905" s="93" t="s">
        <v>7105</v>
      </c>
      <c r="K905" s="93" t="s">
        <v>111</v>
      </c>
      <c r="L905" s="93" t="s">
        <v>111</v>
      </c>
      <c r="M905" s="93" t="s">
        <v>111</v>
      </c>
      <c r="N905" s="93" t="s">
        <v>111</v>
      </c>
      <c r="O905" s="93" t="s">
        <v>111</v>
      </c>
      <c r="P905" s="93" t="s">
        <v>111</v>
      </c>
      <c r="Q905" s="93" t="s">
        <v>228</v>
      </c>
      <c r="R905" s="93" t="s">
        <v>2</v>
      </c>
      <c r="S905" s="93" t="s">
        <v>115</v>
      </c>
      <c r="T905" s="93" t="s">
        <v>116</v>
      </c>
      <c r="U905" s="94">
        <v>44610.077777777777</v>
      </c>
      <c r="V905" s="93" t="s">
        <v>7072</v>
      </c>
      <c r="W905" s="93" t="s">
        <v>24</v>
      </c>
    </row>
    <row r="906" spans="1:23" x14ac:dyDescent="0.15">
      <c r="A906" s="93" t="s">
        <v>1018</v>
      </c>
      <c r="B906" s="93" t="s">
        <v>7814</v>
      </c>
      <c r="C906" s="93">
        <v>115</v>
      </c>
      <c r="D906" s="93" t="s">
        <v>24</v>
      </c>
      <c r="E906" s="93" t="s">
        <v>24</v>
      </c>
      <c r="F906" s="93" t="s">
        <v>7</v>
      </c>
      <c r="G906" s="93" t="s">
        <v>7183</v>
      </c>
      <c r="H906" s="93" t="s">
        <v>400</v>
      </c>
      <c r="I906" s="93" t="s">
        <v>111</v>
      </c>
      <c r="J906" s="93" t="s">
        <v>7105</v>
      </c>
      <c r="K906" s="93" t="s">
        <v>111</v>
      </c>
      <c r="L906" s="93" t="s">
        <v>111</v>
      </c>
      <c r="M906" s="93" t="s">
        <v>111</v>
      </c>
      <c r="N906" s="93" t="s">
        <v>111</v>
      </c>
      <c r="O906" s="93" t="s">
        <v>111</v>
      </c>
      <c r="P906" s="93" t="s">
        <v>111</v>
      </c>
      <c r="Q906" s="93" t="s">
        <v>228</v>
      </c>
      <c r="R906" s="93" t="s">
        <v>2</v>
      </c>
      <c r="S906" s="93" t="s">
        <v>115</v>
      </c>
      <c r="T906" s="93" t="s">
        <v>116</v>
      </c>
      <c r="U906" s="94">
        <v>44610.12777777778</v>
      </c>
      <c r="V906" s="93" t="s">
        <v>7072</v>
      </c>
      <c r="W906" s="93" t="s">
        <v>24</v>
      </c>
    </row>
    <row r="907" spans="1:23" x14ac:dyDescent="0.15">
      <c r="A907" s="93" t="s">
        <v>1019</v>
      </c>
      <c r="B907" s="93" t="s">
        <v>7815</v>
      </c>
      <c r="C907" s="93">
        <v>180</v>
      </c>
      <c r="D907" s="93" t="s">
        <v>24</v>
      </c>
      <c r="E907" s="93" t="s">
        <v>24</v>
      </c>
      <c r="F907" s="93" t="s">
        <v>7</v>
      </c>
      <c r="G907" s="93" t="s">
        <v>7183</v>
      </c>
      <c r="H907" s="93" t="s">
        <v>400</v>
      </c>
      <c r="I907" s="93" t="s">
        <v>111</v>
      </c>
      <c r="J907" s="93" t="s">
        <v>7105</v>
      </c>
      <c r="K907" s="93" t="s">
        <v>111</v>
      </c>
      <c r="L907" s="93" t="s">
        <v>111</v>
      </c>
      <c r="M907" s="93" t="s">
        <v>111</v>
      </c>
      <c r="N907" s="93" t="s">
        <v>111</v>
      </c>
      <c r="O907" s="93" t="s">
        <v>111</v>
      </c>
      <c r="P907" s="93" t="s">
        <v>111</v>
      </c>
      <c r="Q907" s="93" t="s">
        <v>228</v>
      </c>
      <c r="R907" s="93" t="s">
        <v>2</v>
      </c>
      <c r="S907" s="93" t="s">
        <v>115</v>
      </c>
      <c r="T907" s="93" t="s">
        <v>116</v>
      </c>
      <c r="U907" s="94">
        <v>44610.11041666667</v>
      </c>
      <c r="V907" s="93" t="s">
        <v>7072</v>
      </c>
      <c r="W907" s="93" t="s">
        <v>24</v>
      </c>
    </row>
    <row r="908" spans="1:23" x14ac:dyDescent="0.15">
      <c r="A908" s="93" t="s">
        <v>1020</v>
      </c>
      <c r="B908" s="93" t="s">
        <v>7816</v>
      </c>
      <c r="C908" s="93">
        <v>27</v>
      </c>
      <c r="D908" s="93" t="s">
        <v>24</v>
      </c>
      <c r="E908" s="93" t="s">
        <v>24</v>
      </c>
      <c r="F908" s="93" t="s">
        <v>7</v>
      </c>
      <c r="G908" s="93" t="s">
        <v>7183</v>
      </c>
      <c r="H908" s="93" t="s">
        <v>400</v>
      </c>
      <c r="I908" s="93" t="s">
        <v>111</v>
      </c>
      <c r="J908" s="93" t="s">
        <v>7105</v>
      </c>
      <c r="K908" s="93" t="s">
        <v>111</v>
      </c>
      <c r="L908" s="93" t="s">
        <v>111</v>
      </c>
      <c r="M908" s="93" t="s">
        <v>111</v>
      </c>
      <c r="N908" s="93" t="s">
        <v>111</v>
      </c>
      <c r="O908" s="93" t="s">
        <v>111</v>
      </c>
      <c r="P908" s="93" t="s">
        <v>111</v>
      </c>
      <c r="Q908" s="93" t="s">
        <v>228</v>
      </c>
      <c r="R908" s="93" t="s">
        <v>2</v>
      </c>
      <c r="S908" s="93" t="s">
        <v>115</v>
      </c>
      <c r="T908" s="93" t="s">
        <v>116</v>
      </c>
      <c r="U908" s="94">
        <v>44610.116666666669</v>
      </c>
      <c r="V908" s="93" t="s">
        <v>7072</v>
      </c>
      <c r="W908" s="93" t="s">
        <v>24</v>
      </c>
    </row>
    <row r="909" spans="1:23" x14ac:dyDescent="0.15">
      <c r="A909" s="93" t="s">
        <v>1021</v>
      </c>
      <c r="B909" s="93" t="s">
        <v>7817</v>
      </c>
      <c r="C909" s="93">
        <v>69</v>
      </c>
      <c r="D909" s="93" t="s">
        <v>24</v>
      </c>
      <c r="E909" s="93" t="s">
        <v>24</v>
      </c>
      <c r="F909" s="93" t="s">
        <v>7</v>
      </c>
      <c r="G909" s="93" t="s">
        <v>7183</v>
      </c>
      <c r="H909" s="93" t="s">
        <v>400</v>
      </c>
      <c r="I909" s="93" t="s">
        <v>111</v>
      </c>
      <c r="J909" s="93" t="s">
        <v>7105</v>
      </c>
      <c r="K909" s="93" t="s">
        <v>111</v>
      </c>
      <c r="L909" s="93" t="s">
        <v>111</v>
      </c>
      <c r="M909" s="93" t="s">
        <v>111</v>
      </c>
      <c r="N909" s="93" t="s">
        <v>111</v>
      </c>
      <c r="O909" s="93" t="s">
        <v>111</v>
      </c>
      <c r="P909" s="93" t="s">
        <v>111</v>
      </c>
      <c r="Q909" s="93" t="s">
        <v>228</v>
      </c>
      <c r="R909" s="93" t="s">
        <v>2</v>
      </c>
      <c r="S909" s="93" t="s">
        <v>115</v>
      </c>
      <c r="T909" s="93" t="s">
        <v>116</v>
      </c>
      <c r="U909" s="94">
        <v>44610.104861111111</v>
      </c>
      <c r="V909" s="93" t="s">
        <v>7072</v>
      </c>
      <c r="W909" s="93" t="s">
        <v>24</v>
      </c>
    </row>
    <row r="910" spans="1:23" x14ac:dyDescent="0.15">
      <c r="A910" s="93" t="s">
        <v>1022</v>
      </c>
      <c r="B910" s="93" t="s">
        <v>7818</v>
      </c>
      <c r="C910" s="93">
        <v>108</v>
      </c>
      <c r="D910" s="93" t="s">
        <v>24</v>
      </c>
      <c r="E910" s="93" t="s">
        <v>24</v>
      </c>
      <c r="F910" s="93" t="s">
        <v>7</v>
      </c>
      <c r="G910" s="93" t="s">
        <v>7183</v>
      </c>
      <c r="H910" s="93" t="s">
        <v>400</v>
      </c>
      <c r="I910" s="93" t="s">
        <v>111</v>
      </c>
      <c r="J910" s="93" t="s">
        <v>7105</v>
      </c>
      <c r="K910" s="93" t="s">
        <v>111</v>
      </c>
      <c r="L910" s="93" t="s">
        <v>111</v>
      </c>
      <c r="M910" s="93" t="s">
        <v>111</v>
      </c>
      <c r="N910" s="93" t="s">
        <v>111</v>
      </c>
      <c r="O910" s="93" t="s">
        <v>111</v>
      </c>
      <c r="P910" s="93" t="s">
        <v>111</v>
      </c>
      <c r="Q910" s="93" t="s">
        <v>228</v>
      </c>
      <c r="R910" s="93" t="s">
        <v>2</v>
      </c>
      <c r="S910" s="93" t="s">
        <v>115</v>
      </c>
      <c r="T910" s="93" t="s">
        <v>116</v>
      </c>
      <c r="U910" s="94">
        <v>44610.087500000001</v>
      </c>
      <c r="V910" s="93" t="s">
        <v>7072</v>
      </c>
      <c r="W910" s="93" t="s">
        <v>24</v>
      </c>
    </row>
    <row r="911" spans="1:23" x14ac:dyDescent="0.15">
      <c r="A911" s="93" t="s">
        <v>1023</v>
      </c>
      <c r="B911" s="93" t="s">
        <v>7819</v>
      </c>
      <c r="C911" s="93">
        <v>39</v>
      </c>
      <c r="D911" s="93" t="s">
        <v>24</v>
      </c>
      <c r="E911" s="93" t="s">
        <v>24</v>
      </c>
      <c r="F911" s="93" t="s">
        <v>7</v>
      </c>
      <c r="G911" s="93" t="s">
        <v>7183</v>
      </c>
      <c r="H911" s="93" t="s">
        <v>400</v>
      </c>
      <c r="I911" s="93" t="s">
        <v>111</v>
      </c>
      <c r="J911" s="93" t="s">
        <v>7105</v>
      </c>
      <c r="K911" s="93" t="s">
        <v>111</v>
      </c>
      <c r="L911" s="93" t="s">
        <v>111</v>
      </c>
      <c r="M911" s="93" t="s">
        <v>111</v>
      </c>
      <c r="N911" s="93" t="s">
        <v>111</v>
      </c>
      <c r="O911" s="93" t="s">
        <v>111</v>
      </c>
      <c r="P911" s="93" t="s">
        <v>111</v>
      </c>
      <c r="Q911" s="93" t="s">
        <v>228</v>
      </c>
      <c r="R911" s="93" t="s">
        <v>2</v>
      </c>
      <c r="S911" s="93" t="s">
        <v>115</v>
      </c>
      <c r="T911" s="93" t="s">
        <v>116</v>
      </c>
      <c r="U911" s="94">
        <v>44610.116666666669</v>
      </c>
      <c r="V911" s="93" t="s">
        <v>7072</v>
      </c>
      <c r="W911" s="93" t="s">
        <v>24</v>
      </c>
    </row>
    <row r="912" spans="1:23" x14ac:dyDescent="0.15">
      <c r="A912" s="93" t="s">
        <v>1024</v>
      </c>
      <c r="B912" s="93" t="s">
        <v>7820</v>
      </c>
      <c r="C912" s="93">
        <v>100</v>
      </c>
      <c r="D912" s="93" t="s">
        <v>24</v>
      </c>
      <c r="E912" s="93" t="s">
        <v>24</v>
      </c>
      <c r="F912" s="93" t="s">
        <v>7</v>
      </c>
      <c r="G912" s="93" t="s">
        <v>7183</v>
      </c>
      <c r="H912" s="93" t="s">
        <v>400</v>
      </c>
      <c r="I912" s="93" t="s">
        <v>111</v>
      </c>
      <c r="J912" s="93" t="s">
        <v>7105</v>
      </c>
      <c r="K912" s="93" t="s">
        <v>111</v>
      </c>
      <c r="L912" s="93" t="s">
        <v>111</v>
      </c>
      <c r="M912" s="93" t="s">
        <v>111</v>
      </c>
      <c r="N912" s="93" t="s">
        <v>111</v>
      </c>
      <c r="O912" s="93" t="s">
        <v>111</v>
      </c>
      <c r="P912" s="93" t="s">
        <v>111</v>
      </c>
      <c r="Q912" s="93" t="s">
        <v>228</v>
      </c>
      <c r="R912" s="93" t="s">
        <v>2</v>
      </c>
      <c r="S912" s="93" t="s">
        <v>115</v>
      </c>
      <c r="T912" s="93" t="s">
        <v>116</v>
      </c>
      <c r="U912" s="94">
        <v>44610.104861111111</v>
      </c>
      <c r="V912" s="93" t="s">
        <v>7072</v>
      </c>
      <c r="W912" s="93" t="s">
        <v>24</v>
      </c>
    </row>
    <row r="913" spans="1:23" x14ac:dyDescent="0.15">
      <c r="A913" s="93" t="s">
        <v>1025</v>
      </c>
      <c r="B913" s="93" t="s">
        <v>7821</v>
      </c>
      <c r="C913" s="93">
        <v>156</v>
      </c>
      <c r="D913" s="93" t="s">
        <v>24</v>
      </c>
      <c r="E913" s="93" t="s">
        <v>24</v>
      </c>
      <c r="F913" s="93" t="s">
        <v>7</v>
      </c>
      <c r="G913" s="93" t="s">
        <v>7183</v>
      </c>
      <c r="H913" s="93" t="s">
        <v>400</v>
      </c>
      <c r="I913" s="93" t="s">
        <v>111</v>
      </c>
      <c r="J913" s="93" t="s">
        <v>7105</v>
      </c>
      <c r="K913" s="93" t="s">
        <v>111</v>
      </c>
      <c r="L913" s="93" t="s">
        <v>111</v>
      </c>
      <c r="M913" s="93" t="s">
        <v>111</v>
      </c>
      <c r="N913" s="93" t="s">
        <v>111</v>
      </c>
      <c r="O913" s="93" t="s">
        <v>111</v>
      </c>
      <c r="P913" s="93" t="s">
        <v>111</v>
      </c>
      <c r="Q913" s="93" t="s">
        <v>228</v>
      </c>
      <c r="R913" s="93" t="s">
        <v>2</v>
      </c>
      <c r="S913" s="93" t="s">
        <v>115</v>
      </c>
      <c r="T913" s="93" t="s">
        <v>116</v>
      </c>
      <c r="U913" s="94">
        <v>44610.105555555558</v>
      </c>
      <c r="V913" s="93" t="s">
        <v>7072</v>
      </c>
      <c r="W913" s="93" t="s">
        <v>24</v>
      </c>
    </row>
    <row r="914" spans="1:23" x14ac:dyDescent="0.15">
      <c r="A914" s="93" t="s">
        <v>1026</v>
      </c>
      <c r="B914" s="93" t="s">
        <v>7822</v>
      </c>
      <c r="C914" s="93">
        <v>39</v>
      </c>
      <c r="D914" s="93" t="s">
        <v>24</v>
      </c>
      <c r="E914" s="93" t="s">
        <v>24</v>
      </c>
      <c r="F914" s="93" t="s">
        <v>7</v>
      </c>
      <c r="G914" s="93" t="s">
        <v>7183</v>
      </c>
      <c r="H914" s="93" t="s">
        <v>400</v>
      </c>
      <c r="I914" s="93" t="s">
        <v>111</v>
      </c>
      <c r="J914" s="93" t="s">
        <v>7105</v>
      </c>
      <c r="K914" s="93" t="s">
        <v>111</v>
      </c>
      <c r="L914" s="93" t="s">
        <v>111</v>
      </c>
      <c r="M914" s="93" t="s">
        <v>111</v>
      </c>
      <c r="N914" s="93" t="s">
        <v>111</v>
      </c>
      <c r="O914" s="93" t="s">
        <v>111</v>
      </c>
      <c r="P914" s="93" t="s">
        <v>111</v>
      </c>
      <c r="Q914" s="93" t="s">
        <v>228</v>
      </c>
      <c r="R914" s="93" t="s">
        <v>2</v>
      </c>
      <c r="S914" s="93" t="s">
        <v>115</v>
      </c>
      <c r="T914" s="93" t="s">
        <v>116</v>
      </c>
      <c r="U914" s="94">
        <v>44610.105555555558</v>
      </c>
      <c r="V914" s="93" t="s">
        <v>7072</v>
      </c>
      <c r="W914" s="93" t="s">
        <v>24</v>
      </c>
    </row>
    <row r="915" spans="1:23" x14ac:dyDescent="0.15">
      <c r="A915" s="93" t="s">
        <v>1027</v>
      </c>
      <c r="B915" s="93" t="s">
        <v>7823</v>
      </c>
      <c r="C915" s="93">
        <v>100</v>
      </c>
      <c r="D915" s="93" t="s">
        <v>24</v>
      </c>
      <c r="E915" s="93" t="s">
        <v>24</v>
      </c>
      <c r="F915" s="93" t="s">
        <v>7</v>
      </c>
      <c r="G915" s="93" t="s">
        <v>7183</v>
      </c>
      <c r="H915" s="93" t="s">
        <v>400</v>
      </c>
      <c r="I915" s="93" t="s">
        <v>111</v>
      </c>
      <c r="J915" s="93" t="s">
        <v>7105</v>
      </c>
      <c r="K915" s="93" t="s">
        <v>111</v>
      </c>
      <c r="L915" s="93" t="s">
        <v>111</v>
      </c>
      <c r="M915" s="93" t="s">
        <v>111</v>
      </c>
      <c r="N915" s="93" t="s">
        <v>111</v>
      </c>
      <c r="O915" s="93" t="s">
        <v>111</v>
      </c>
      <c r="P915" s="93" t="s">
        <v>111</v>
      </c>
      <c r="Q915" s="93" t="s">
        <v>228</v>
      </c>
      <c r="R915" s="93" t="s">
        <v>2</v>
      </c>
      <c r="S915" s="93" t="s">
        <v>115</v>
      </c>
      <c r="T915" s="93" t="s">
        <v>116</v>
      </c>
      <c r="U915" s="94">
        <v>44610.104861111111</v>
      </c>
      <c r="V915" s="93" t="s">
        <v>7072</v>
      </c>
      <c r="W915" s="93" t="s">
        <v>24</v>
      </c>
    </row>
    <row r="916" spans="1:23" x14ac:dyDescent="0.15">
      <c r="A916" s="93" t="s">
        <v>1028</v>
      </c>
      <c r="B916" s="93" t="s">
        <v>7824</v>
      </c>
      <c r="C916" s="93">
        <v>156</v>
      </c>
      <c r="D916" s="93" t="s">
        <v>24</v>
      </c>
      <c r="E916" s="93" t="s">
        <v>24</v>
      </c>
      <c r="F916" s="93" t="s">
        <v>7</v>
      </c>
      <c r="G916" s="93" t="s">
        <v>7183</v>
      </c>
      <c r="H916" s="93" t="s">
        <v>400</v>
      </c>
      <c r="I916" s="93" t="s">
        <v>111</v>
      </c>
      <c r="J916" s="93" t="s">
        <v>7105</v>
      </c>
      <c r="K916" s="93" t="s">
        <v>111</v>
      </c>
      <c r="L916" s="93" t="s">
        <v>111</v>
      </c>
      <c r="M916" s="93" t="s">
        <v>111</v>
      </c>
      <c r="N916" s="93" t="s">
        <v>111</v>
      </c>
      <c r="O916" s="93" t="s">
        <v>111</v>
      </c>
      <c r="P916" s="93" t="s">
        <v>111</v>
      </c>
      <c r="Q916" s="93" t="s">
        <v>228</v>
      </c>
      <c r="R916" s="93" t="s">
        <v>2</v>
      </c>
      <c r="S916" s="93" t="s">
        <v>115</v>
      </c>
      <c r="T916" s="93" t="s">
        <v>116</v>
      </c>
      <c r="U916" s="94">
        <v>44610.077777777777</v>
      </c>
      <c r="V916" s="93" t="s">
        <v>7072</v>
      </c>
      <c r="W916" s="93" t="s">
        <v>24</v>
      </c>
    </row>
    <row r="917" spans="1:23" x14ac:dyDescent="0.15">
      <c r="A917" s="93" t="s">
        <v>1029</v>
      </c>
      <c r="B917" s="93" t="s">
        <v>7825</v>
      </c>
      <c r="C917" s="93">
        <v>54</v>
      </c>
      <c r="D917" s="93" t="s">
        <v>24</v>
      </c>
      <c r="E917" s="93" t="s">
        <v>24</v>
      </c>
      <c r="F917" s="93" t="s">
        <v>7</v>
      </c>
      <c r="G917" s="93" t="s">
        <v>7183</v>
      </c>
      <c r="H917" s="93" t="s">
        <v>400</v>
      </c>
      <c r="I917" s="93" t="s">
        <v>111</v>
      </c>
      <c r="J917" s="93" t="s">
        <v>7105</v>
      </c>
      <c r="K917" s="93" t="s">
        <v>111</v>
      </c>
      <c r="L917" s="93" t="s">
        <v>111</v>
      </c>
      <c r="M917" s="93" t="s">
        <v>111</v>
      </c>
      <c r="N917" s="93" t="s">
        <v>111</v>
      </c>
      <c r="O917" s="93" t="s">
        <v>111</v>
      </c>
      <c r="P917" s="93" t="s">
        <v>111</v>
      </c>
      <c r="Q917" s="93" t="s">
        <v>228</v>
      </c>
      <c r="R917" s="93" t="s">
        <v>2</v>
      </c>
      <c r="S917" s="93" t="s">
        <v>115</v>
      </c>
      <c r="T917" s="93" t="s">
        <v>116</v>
      </c>
      <c r="U917" s="94">
        <v>44610.116666666669</v>
      </c>
      <c r="V917" s="93" t="s">
        <v>7072</v>
      </c>
      <c r="W917" s="93" t="s">
        <v>24</v>
      </c>
    </row>
    <row r="918" spans="1:23" x14ac:dyDescent="0.15">
      <c r="A918" s="93" t="s">
        <v>1030</v>
      </c>
      <c r="B918" s="93" t="s">
        <v>7826</v>
      </c>
      <c r="C918" s="93">
        <v>138</v>
      </c>
      <c r="D918" s="93" t="s">
        <v>24</v>
      </c>
      <c r="E918" s="93" t="s">
        <v>24</v>
      </c>
      <c r="F918" s="93" t="s">
        <v>7</v>
      </c>
      <c r="G918" s="93" t="s">
        <v>7183</v>
      </c>
      <c r="H918" s="93" t="s">
        <v>400</v>
      </c>
      <c r="I918" s="93" t="s">
        <v>111</v>
      </c>
      <c r="J918" s="93" t="s">
        <v>7105</v>
      </c>
      <c r="K918" s="93" t="s">
        <v>111</v>
      </c>
      <c r="L918" s="93" t="s">
        <v>111</v>
      </c>
      <c r="M918" s="93" t="s">
        <v>111</v>
      </c>
      <c r="N918" s="93" t="s">
        <v>111</v>
      </c>
      <c r="O918" s="93" t="s">
        <v>111</v>
      </c>
      <c r="P918" s="93" t="s">
        <v>111</v>
      </c>
      <c r="Q918" s="93" t="s">
        <v>228</v>
      </c>
      <c r="R918" s="93" t="s">
        <v>2</v>
      </c>
      <c r="S918" s="93" t="s">
        <v>115</v>
      </c>
      <c r="T918" s="93" t="s">
        <v>116</v>
      </c>
      <c r="U918" s="94">
        <v>44610.105555555558</v>
      </c>
      <c r="V918" s="93" t="s">
        <v>7072</v>
      </c>
      <c r="W918" s="93" t="s">
        <v>24</v>
      </c>
    </row>
    <row r="919" spans="1:23" x14ac:dyDescent="0.15">
      <c r="A919" s="93" t="s">
        <v>1031</v>
      </c>
      <c r="B919" s="93" t="s">
        <v>7827</v>
      </c>
      <c r="C919" s="93">
        <v>216</v>
      </c>
      <c r="D919" s="93" t="s">
        <v>24</v>
      </c>
      <c r="E919" s="93" t="s">
        <v>24</v>
      </c>
      <c r="F919" s="93" t="s">
        <v>7</v>
      </c>
      <c r="G919" s="93" t="s">
        <v>7183</v>
      </c>
      <c r="H919" s="93" t="s">
        <v>400</v>
      </c>
      <c r="I919" s="93" t="s">
        <v>111</v>
      </c>
      <c r="J919" s="93" t="s">
        <v>7105</v>
      </c>
      <c r="K919" s="93" t="s">
        <v>111</v>
      </c>
      <c r="L919" s="93" t="s">
        <v>111</v>
      </c>
      <c r="M919" s="93" t="s">
        <v>111</v>
      </c>
      <c r="N919" s="93" t="s">
        <v>111</v>
      </c>
      <c r="O919" s="93" t="s">
        <v>111</v>
      </c>
      <c r="P919" s="93" t="s">
        <v>111</v>
      </c>
      <c r="Q919" s="93" t="s">
        <v>228</v>
      </c>
      <c r="R919" s="93" t="s">
        <v>2</v>
      </c>
      <c r="S919" s="93" t="s">
        <v>115</v>
      </c>
      <c r="T919" s="93" t="s">
        <v>116</v>
      </c>
      <c r="U919" s="94">
        <v>44610.104861111111</v>
      </c>
      <c r="V919" s="93" t="s">
        <v>7072</v>
      </c>
      <c r="W919" s="93" t="s">
        <v>24</v>
      </c>
    </row>
    <row r="920" spans="1:23" x14ac:dyDescent="0.15">
      <c r="A920" s="93" t="s">
        <v>1032</v>
      </c>
      <c r="B920" s="93" t="s">
        <v>7828</v>
      </c>
      <c r="C920" s="93">
        <v>48</v>
      </c>
      <c r="D920" s="93" t="s">
        <v>24</v>
      </c>
      <c r="E920" s="93" t="s">
        <v>24</v>
      </c>
      <c r="F920" s="93" t="s">
        <v>7</v>
      </c>
      <c r="G920" s="93" t="s">
        <v>7183</v>
      </c>
      <c r="H920" s="93" t="s">
        <v>400</v>
      </c>
      <c r="I920" s="93" t="s">
        <v>111</v>
      </c>
      <c r="J920" s="93" t="s">
        <v>7105</v>
      </c>
      <c r="K920" s="93" t="s">
        <v>111</v>
      </c>
      <c r="L920" s="93" t="s">
        <v>111</v>
      </c>
      <c r="M920" s="93" t="s">
        <v>111</v>
      </c>
      <c r="N920" s="93" t="s">
        <v>111</v>
      </c>
      <c r="O920" s="93" t="s">
        <v>111</v>
      </c>
      <c r="P920" s="93" t="s">
        <v>111</v>
      </c>
      <c r="Q920" s="93" t="s">
        <v>228</v>
      </c>
      <c r="R920" s="93" t="s">
        <v>2</v>
      </c>
      <c r="S920" s="93" t="s">
        <v>115</v>
      </c>
      <c r="T920" s="93" t="s">
        <v>116</v>
      </c>
      <c r="U920" s="94">
        <v>44610.12777777778</v>
      </c>
      <c r="V920" s="93" t="s">
        <v>7072</v>
      </c>
      <c r="W920" s="93" t="s">
        <v>24</v>
      </c>
    </row>
    <row r="921" spans="1:23" x14ac:dyDescent="0.15">
      <c r="A921" s="93" t="s">
        <v>1033</v>
      </c>
      <c r="B921" s="93" t="s">
        <v>7829</v>
      </c>
      <c r="C921" s="93">
        <v>123</v>
      </c>
      <c r="D921" s="93" t="s">
        <v>24</v>
      </c>
      <c r="E921" s="93" t="s">
        <v>24</v>
      </c>
      <c r="F921" s="93" t="s">
        <v>7</v>
      </c>
      <c r="G921" s="93" t="s">
        <v>7183</v>
      </c>
      <c r="H921" s="93" t="s">
        <v>400</v>
      </c>
      <c r="I921" s="93" t="s">
        <v>111</v>
      </c>
      <c r="J921" s="93" t="s">
        <v>7105</v>
      </c>
      <c r="K921" s="93" t="s">
        <v>111</v>
      </c>
      <c r="L921" s="93" t="s">
        <v>111</v>
      </c>
      <c r="M921" s="93" t="s">
        <v>111</v>
      </c>
      <c r="N921" s="93" t="s">
        <v>111</v>
      </c>
      <c r="O921" s="93" t="s">
        <v>111</v>
      </c>
      <c r="P921" s="93" t="s">
        <v>111</v>
      </c>
      <c r="Q921" s="93" t="s">
        <v>228</v>
      </c>
      <c r="R921" s="93" t="s">
        <v>2</v>
      </c>
      <c r="S921" s="93" t="s">
        <v>115</v>
      </c>
      <c r="T921" s="93" t="s">
        <v>116</v>
      </c>
      <c r="U921" s="94">
        <v>44610.11041666667</v>
      </c>
      <c r="V921" s="93" t="s">
        <v>7072</v>
      </c>
      <c r="W921" s="93" t="s">
        <v>24</v>
      </c>
    </row>
    <row r="922" spans="1:23" x14ac:dyDescent="0.15">
      <c r="A922" s="93" t="s">
        <v>1034</v>
      </c>
      <c r="B922" s="93" t="s">
        <v>7830</v>
      </c>
      <c r="C922" s="93">
        <v>192</v>
      </c>
      <c r="D922" s="93" t="s">
        <v>24</v>
      </c>
      <c r="E922" s="93" t="s">
        <v>24</v>
      </c>
      <c r="F922" s="93" t="s">
        <v>7</v>
      </c>
      <c r="G922" s="93" t="s">
        <v>7183</v>
      </c>
      <c r="H922" s="93" t="s">
        <v>400</v>
      </c>
      <c r="I922" s="93" t="s">
        <v>111</v>
      </c>
      <c r="J922" s="93" t="s">
        <v>7105</v>
      </c>
      <c r="K922" s="93" t="s">
        <v>111</v>
      </c>
      <c r="L922" s="93" t="s">
        <v>111</v>
      </c>
      <c r="M922" s="93" t="s">
        <v>111</v>
      </c>
      <c r="N922" s="93" t="s">
        <v>111</v>
      </c>
      <c r="O922" s="93" t="s">
        <v>111</v>
      </c>
      <c r="P922" s="93" t="s">
        <v>111</v>
      </c>
      <c r="Q922" s="93" t="s">
        <v>228</v>
      </c>
      <c r="R922" s="93" t="s">
        <v>2</v>
      </c>
      <c r="S922" s="93" t="s">
        <v>115</v>
      </c>
      <c r="T922" s="93" t="s">
        <v>116</v>
      </c>
      <c r="U922" s="94">
        <v>44610.055555555555</v>
      </c>
      <c r="V922" s="93" t="s">
        <v>7072</v>
      </c>
      <c r="W922" s="93" t="s">
        <v>24</v>
      </c>
    </row>
    <row r="923" spans="1:23" x14ac:dyDescent="0.15">
      <c r="A923" s="93" t="s">
        <v>951</v>
      </c>
      <c r="B923" s="93" t="s">
        <v>952</v>
      </c>
      <c r="C923" s="93">
        <v>8</v>
      </c>
      <c r="D923" s="93" t="s">
        <v>24</v>
      </c>
      <c r="E923" s="93" t="s">
        <v>24</v>
      </c>
      <c r="F923" s="93" t="s">
        <v>7</v>
      </c>
      <c r="G923" s="93" t="s">
        <v>7183</v>
      </c>
      <c r="H923" s="93" t="s">
        <v>400</v>
      </c>
      <c r="I923" s="93" t="s">
        <v>111</v>
      </c>
      <c r="J923" s="93" t="s">
        <v>118</v>
      </c>
      <c r="K923" s="93">
        <v>3</v>
      </c>
      <c r="L923" s="93" t="s">
        <v>111</v>
      </c>
      <c r="M923" s="93" t="s">
        <v>111</v>
      </c>
      <c r="N923" s="93" t="s">
        <v>111</v>
      </c>
      <c r="O923" s="93" t="s">
        <v>111</v>
      </c>
      <c r="P923" s="93" t="s">
        <v>111</v>
      </c>
      <c r="Q923" s="93" t="s">
        <v>228</v>
      </c>
      <c r="R923" s="93" t="s">
        <v>2</v>
      </c>
      <c r="S923" s="93" t="s">
        <v>115</v>
      </c>
      <c r="T923" s="93" t="s">
        <v>116</v>
      </c>
      <c r="U923" s="94">
        <v>44610.106249999997</v>
      </c>
      <c r="V923" s="93" t="s">
        <v>402</v>
      </c>
      <c r="W923" s="93" t="s">
        <v>24</v>
      </c>
    </row>
    <row r="924" spans="1:23" x14ac:dyDescent="0.15">
      <c r="A924" s="93" t="s">
        <v>953</v>
      </c>
      <c r="B924" s="93" t="s">
        <v>954</v>
      </c>
      <c r="C924" s="93">
        <v>32</v>
      </c>
      <c r="D924" s="93" t="s">
        <v>24</v>
      </c>
      <c r="E924" s="93" t="s">
        <v>24</v>
      </c>
      <c r="F924" s="93" t="s">
        <v>7</v>
      </c>
      <c r="G924" s="93" t="s">
        <v>7183</v>
      </c>
      <c r="H924" s="93" t="s">
        <v>400</v>
      </c>
      <c r="I924" s="93" t="s">
        <v>111</v>
      </c>
      <c r="J924" s="93" t="s">
        <v>118</v>
      </c>
      <c r="K924" s="93">
        <v>3</v>
      </c>
      <c r="L924" s="93" t="s">
        <v>111</v>
      </c>
      <c r="M924" s="93" t="s">
        <v>111</v>
      </c>
      <c r="N924" s="93" t="s">
        <v>111</v>
      </c>
      <c r="O924" s="93" t="s">
        <v>111</v>
      </c>
      <c r="P924" s="93" t="s">
        <v>111</v>
      </c>
      <c r="Q924" s="93" t="s">
        <v>228</v>
      </c>
      <c r="R924" s="93" t="s">
        <v>2</v>
      </c>
      <c r="S924" s="93" t="s">
        <v>115</v>
      </c>
      <c r="T924" s="93" t="s">
        <v>116</v>
      </c>
      <c r="U924" s="94">
        <v>44610.113888888889</v>
      </c>
      <c r="V924" s="93" t="s">
        <v>402</v>
      </c>
      <c r="W924" s="93" t="s">
        <v>24</v>
      </c>
    </row>
    <row r="925" spans="1:23" x14ac:dyDescent="0.15">
      <c r="A925" s="93" t="s">
        <v>955</v>
      </c>
      <c r="B925" s="93" t="s">
        <v>956</v>
      </c>
      <c r="C925" s="93">
        <v>18</v>
      </c>
      <c r="D925" s="93" t="s">
        <v>24</v>
      </c>
      <c r="E925" s="93" t="s">
        <v>24</v>
      </c>
      <c r="F925" s="93" t="s">
        <v>7</v>
      </c>
      <c r="G925" s="93" t="s">
        <v>7183</v>
      </c>
      <c r="H925" s="93" t="s">
        <v>400</v>
      </c>
      <c r="I925" s="93" t="s">
        <v>111</v>
      </c>
      <c r="J925" s="93" t="s">
        <v>118</v>
      </c>
      <c r="K925" s="93">
        <v>3</v>
      </c>
      <c r="L925" s="93" t="s">
        <v>111</v>
      </c>
      <c r="M925" s="93" t="s">
        <v>111</v>
      </c>
      <c r="N925" s="93" t="s">
        <v>111</v>
      </c>
      <c r="O925" s="93" t="s">
        <v>111</v>
      </c>
      <c r="P925" s="93" t="s">
        <v>111</v>
      </c>
      <c r="Q925" s="93" t="s">
        <v>228</v>
      </c>
      <c r="R925" s="93" t="s">
        <v>2</v>
      </c>
      <c r="S925" s="93" t="s">
        <v>115</v>
      </c>
      <c r="T925" s="93" t="s">
        <v>116</v>
      </c>
      <c r="U925" s="94">
        <v>44610.121527777781</v>
      </c>
      <c r="V925" s="93" t="s">
        <v>402</v>
      </c>
      <c r="W925" s="93" t="s">
        <v>24</v>
      </c>
    </row>
    <row r="926" spans="1:23" x14ac:dyDescent="0.15">
      <c r="A926" s="93" t="s">
        <v>957</v>
      </c>
      <c r="B926" s="93" t="s">
        <v>958</v>
      </c>
      <c r="C926" s="93">
        <v>36</v>
      </c>
      <c r="D926" s="93" t="s">
        <v>24</v>
      </c>
      <c r="E926" s="93" t="s">
        <v>24</v>
      </c>
      <c r="F926" s="93" t="s">
        <v>7</v>
      </c>
      <c r="G926" s="93" t="s">
        <v>7183</v>
      </c>
      <c r="H926" s="93" t="s">
        <v>400</v>
      </c>
      <c r="I926" s="93" t="s">
        <v>111</v>
      </c>
      <c r="J926" s="93" t="s">
        <v>118</v>
      </c>
      <c r="K926" s="93">
        <v>3</v>
      </c>
      <c r="L926" s="93" t="s">
        <v>111</v>
      </c>
      <c r="M926" s="93" t="s">
        <v>111</v>
      </c>
      <c r="N926" s="93" t="s">
        <v>111</v>
      </c>
      <c r="O926" s="93" t="s">
        <v>111</v>
      </c>
      <c r="P926" s="93" t="s">
        <v>111</v>
      </c>
      <c r="Q926" s="93" t="s">
        <v>228</v>
      </c>
      <c r="R926" s="93" t="s">
        <v>2</v>
      </c>
      <c r="S926" s="93" t="s">
        <v>115</v>
      </c>
      <c r="T926" s="93" t="s">
        <v>116</v>
      </c>
      <c r="U926" s="94">
        <v>44610.059027777781</v>
      </c>
      <c r="V926" s="93" t="s">
        <v>402</v>
      </c>
      <c r="W926" s="93" t="s">
        <v>24</v>
      </c>
    </row>
    <row r="927" spans="1:23" x14ac:dyDescent="0.15">
      <c r="A927" s="93" t="s">
        <v>959</v>
      </c>
      <c r="B927" s="93" t="s">
        <v>960</v>
      </c>
      <c r="C927" s="93">
        <v>92</v>
      </c>
      <c r="D927" s="93" t="s">
        <v>24</v>
      </c>
      <c r="E927" s="93" t="s">
        <v>24</v>
      </c>
      <c r="F927" s="93" t="s">
        <v>7</v>
      </c>
      <c r="G927" s="93" t="s">
        <v>7183</v>
      </c>
      <c r="H927" s="93" t="s">
        <v>400</v>
      </c>
      <c r="I927" s="93" t="s">
        <v>111</v>
      </c>
      <c r="J927" s="93" t="s">
        <v>118</v>
      </c>
      <c r="K927" s="93">
        <v>3</v>
      </c>
      <c r="L927" s="93" t="s">
        <v>111</v>
      </c>
      <c r="M927" s="93" t="s">
        <v>111</v>
      </c>
      <c r="N927" s="93" t="s">
        <v>111</v>
      </c>
      <c r="O927" s="93" t="s">
        <v>111</v>
      </c>
      <c r="P927" s="93" t="s">
        <v>111</v>
      </c>
      <c r="Q927" s="93" t="s">
        <v>228</v>
      </c>
      <c r="R927" s="93" t="s">
        <v>2</v>
      </c>
      <c r="S927" s="93" t="s">
        <v>115</v>
      </c>
      <c r="T927" s="93" t="s">
        <v>116</v>
      </c>
      <c r="U927" s="94">
        <v>44610.121527777781</v>
      </c>
      <c r="V927" s="93" t="s">
        <v>402</v>
      </c>
      <c r="W927" s="93" t="s">
        <v>24</v>
      </c>
    </row>
    <row r="928" spans="1:23" x14ac:dyDescent="0.15">
      <c r="A928" s="93" t="s">
        <v>466</v>
      </c>
      <c r="B928" s="93" t="s">
        <v>467</v>
      </c>
      <c r="C928" s="93">
        <v>13</v>
      </c>
      <c r="D928" s="93" t="s">
        <v>24</v>
      </c>
      <c r="E928" s="93" t="s">
        <v>24</v>
      </c>
      <c r="F928" s="93" t="s">
        <v>7</v>
      </c>
      <c r="G928" s="93" t="s">
        <v>7183</v>
      </c>
      <c r="H928" s="93" t="s">
        <v>118</v>
      </c>
      <c r="I928" s="93" t="s">
        <v>111</v>
      </c>
      <c r="J928" s="93" t="s">
        <v>7105</v>
      </c>
      <c r="K928" s="93" t="s">
        <v>111</v>
      </c>
      <c r="L928" s="93" t="s">
        <v>111</v>
      </c>
      <c r="M928" s="93" t="s">
        <v>111</v>
      </c>
      <c r="N928" s="93" t="s">
        <v>111</v>
      </c>
      <c r="O928" s="93" t="s">
        <v>111</v>
      </c>
      <c r="P928" s="93" t="s">
        <v>111</v>
      </c>
      <c r="Q928" s="93" t="s">
        <v>111</v>
      </c>
      <c r="R928" s="93" t="s">
        <v>2</v>
      </c>
      <c r="S928" s="93" t="s">
        <v>111</v>
      </c>
      <c r="T928" s="93" t="s">
        <v>116</v>
      </c>
      <c r="U928" s="94">
        <v>44596.574999999997</v>
      </c>
      <c r="V928" s="93" t="s">
        <v>7072</v>
      </c>
      <c r="W928" s="93" t="s">
        <v>24</v>
      </c>
    </row>
    <row r="929" spans="1:23" x14ac:dyDescent="0.15">
      <c r="A929" s="93" t="s">
        <v>468</v>
      </c>
      <c r="B929" s="93" t="s">
        <v>469</v>
      </c>
      <c r="C929" s="93">
        <v>34</v>
      </c>
      <c r="D929" s="93" t="s">
        <v>24</v>
      </c>
      <c r="E929" s="93" t="s">
        <v>24</v>
      </c>
      <c r="F929" s="93" t="s">
        <v>7</v>
      </c>
      <c r="G929" s="93" t="s">
        <v>7183</v>
      </c>
      <c r="H929" s="93" t="s">
        <v>118</v>
      </c>
      <c r="I929" s="93" t="s">
        <v>111</v>
      </c>
      <c r="J929" s="93" t="s">
        <v>7105</v>
      </c>
      <c r="K929" s="93" t="s">
        <v>111</v>
      </c>
      <c r="L929" s="93" t="s">
        <v>111</v>
      </c>
      <c r="M929" s="93" t="s">
        <v>111</v>
      </c>
      <c r="N929" s="93" t="s">
        <v>111</v>
      </c>
      <c r="O929" s="93" t="s">
        <v>111</v>
      </c>
      <c r="P929" s="93" t="s">
        <v>111</v>
      </c>
      <c r="Q929" s="93" t="s">
        <v>111</v>
      </c>
      <c r="R929" s="93" t="s">
        <v>2</v>
      </c>
      <c r="S929" s="93" t="s">
        <v>111</v>
      </c>
      <c r="T929" s="93" t="s">
        <v>116</v>
      </c>
      <c r="U929" s="94">
        <v>44596.574999999997</v>
      </c>
      <c r="V929" s="93" t="s">
        <v>7072</v>
      </c>
      <c r="W929" s="93" t="s">
        <v>24</v>
      </c>
    </row>
    <row r="930" spans="1:23" x14ac:dyDescent="0.15">
      <c r="A930" s="93" t="s">
        <v>470</v>
      </c>
      <c r="B930" s="93" t="s">
        <v>471</v>
      </c>
      <c r="C930" s="93">
        <v>52</v>
      </c>
      <c r="D930" s="93" t="s">
        <v>24</v>
      </c>
      <c r="E930" s="93" t="s">
        <v>24</v>
      </c>
      <c r="F930" s="93" t="s">
        <v>7</v>
      </c>
      <c r="G930" s="93" t="s">
        <v>7183</v>
      </c>
      <c r="H930" s="93" t="s">
        <v>118</v>
      </c>
      <c r="I930" s="93" t="s">
        <v>111</v>
      </c>
      <c r="J930" s="93" t="s">
        <v>7105</v>
      </c>
      <c r="K930" s="93" t="s">
        <v>111</v>
      </c>
      <c r="L930" s="93" t="s">
        <v>111</v>
      </c>
      <c r="M930" s="93" t="s">
        <v>111</v>
      </c>
      <c r="N930" s="93" t="s">
        <v>111</v>
      </c>
      <c r="O930" s="93" t="s">
        <v>111</v>
      </c>
      <c r="P930" s="93" t="s">
        <v>111</v>
      </c>
      <c r="Q930" s="93" t="s">
        <v>111</v>
      </c>
      <c r="R930" s="93" t="s">
        <v>2</v>
      </c>
      <c r="S930" s="93" t="s">
        <v>111</v>
      </c>
      <c r="T930" s="93" t="s">
        <v>116</v>
      </c>
      <c r="U930" s="94">
        <v>44596.61041666667</v>
      </c>
      <c r="V930" s="93" t="s">
        <v>7072</v>
      </c>
      <c r="W930" s="93" t="s">
        <v>24</v>
      </c>
    </row>
    <row r="931" spans="1:23" x14ac:dyDescent="0.15">
      <c r="A931" s="93" t="s">
        <v>472</v>
      </c>
      <c r="B931" s="93" t="s">
        <v>473</v>
      </c>
      <c r="C931" s="93">
        <v>66</v>
      </c>
      <c r="D931" s="93" t="s">
        <v>24</v>
      </c>
      <c r="E931" s="93" t="s">
        <v>24</v>
      </c>
      <c r="F931" s="93" t="s">
        <v>7</v>
      </c>
      <c r="G931" s="93" t="s">
        <v>7183</v>
      </c>
      <c r="H931" s="93" t="s">
        <v>118</v>
      </c>
      <c r="I931" s="93" t="s">
        <v>111</v>
      </c>
      <c r="J931" s="93" t="s">
        <v>7105</v>
      </c>
      <c r="K931" s="93" t="s">
        <v>111</v>
      </c>
      <c r="L931" s="93" t="s">
        <v>111</v>
      </c>
      <c r="M931" s="93" t="s">
        <v>111</v>
      </c>
      <c r="N931" s="93" t="s">
        <v>111</v>
      </c>
      <c r="O931" s="93" t="s">
        <v>111</v>
      </c>
      <c r="P931" s="93" t="s">
        <v>111</v>
      </c>
      <c r="Q931" s="93" t="s">
        <v>111</v>
      </c>
      <c r="R931" s="93" t="s">
        <v>2</v>
      </c>
      <c r="S931" s="93" t="s">
        <v>111</v>
      </c>
      <c r="T931" s="93" t="s">
        <v>116</v>
      </c>
      <c r="U931" s="94">
        <v>44596.606249999997</v>
      </c>
      <c r="V931" s="93" t="s">
        <v>7072</v>
      </c>
      <c r="W931" s="93" t="s">
        <v>24</v>
      </c>
    </row>
    <row r="932" spans="1:23" x14ac:dyDescent="0.15">
      <c r="A932" s="93" t="s">
        <v>474</v>
      </c>
      <c r="B932" s="93" t="s">
        <v>475</v>
      </c>
      <c r="C932" s="93">
        <v>169</v>
      </c>
      <c r="D932" s="93" t="s">
        <v>24</v>
      </c>
      <c r="E932" s="93" t="s">
        <v>24</v>
      </c>
      <c r="F932" s="93" t="s">
        <v>7</v>
      </c>
      <c r="G932" s="93" t="s">
        <v>7183</v>
      </c>
      <c r="H932" s="93" t="s">
        <v>118</v>
      </c>
      <c r="I932" s="93" t="s">
        <v>111</v>
      </c>
      <c r="J932" s="93" t="s">
        <v>7105</v>
      </c>
      <c r="K932" s="93" t="s">
        <v>111</v>
      </c>
      <c r="L932" s="93" t="s">
        <v>111</v>
      </c>
      <c r="M932" s="93" t="s">
        <v>111</v>
      </c>
      <c r="N932" s="93" t="s">
        <v>111</v>
      </c>
      <c r="O932" s="93" t="s">
        <v>111</v>
      </c>
      <c r="P932" s="93" t="s">
        <v>111</v>
      </c>
      <c r="Q932" s="93" t="s">
        <v>111</v>
      </c>
      <c r="R932" s="93" t="s">
        <v>2</v>
      </c>
      <c r="S932" s="93" t="s">
        <v>111</v>
      </c>
      <c r="T932" s="93" t="s">
        <v>116</v>
      </c>
      <c r="U932" s="94">
        <v>44596.584027777775</v>
      </c>
      <c r="V932" s="93" t="s">
        <v>7072</v>
      </c>
      <c r="W932" s="93" t="s">
        <v>24</v>
      </c>
    </row>
    <row r="933" spans="1:23" x14ac:dyDescent="0.15">
      <c r="A933" s="93" t="s">
        <v>476</v>
      </c>
      <c r="B933" s="93" t="s">
        <v>477</v>
      </c>
      <c r="C933" s="93">
        <v>264</v>
      </c>
      <c r="D933" s="93" t="s">
        <v>24</v>
      </c>
      <c r="E933" s="93" t="s">
        <v>24</v>
      </c>
      <c r="F933" s="93" t="s">
        <v>7</v>
      </c>
      <c r="G933" s="93" t="s">
        <v>7183</v>
      </c>
      <c r="H933" s="93" t="s">
        <v>118</v>
      </c>
      <c r="I933" s="93" t="s">
        <v>111</v>
      </c>
      <c r="J933" s="93" t="s">
        <v>7105</v>
      </c>
      <c r="K933" s="93" t="s">
        <v>111</v>
      </c>
      <c r="L933" s="93" t="s">
        <v>111</v>
      </c>
      <c r="M933" s="93" t="s">
        <v>111</v>
      </c>
      <c r="N933" s="93" t="s">
        <v>111</v>
      </c>
      <c r="O933" s="93" t="s">
        <v>111</v>
      </c>
      <c r="P933" s="93" t="s">
        <v>111</v>
      </c>
      <c r="Q933" s="93" t="s">
        <v>111</v>
      </c>
      <c r="R933" s="93" t="s">
        <v>2</v>
      </c>
      <c r="S933" s="93" t="s">
        <v>111</v>
      </c>
      <c r="T933" s="93" t="s">
        <v>116</v>
      </c>
      <c r="U933" s="94">
        <v>44596.613194444442</v>
      </c>
      <c r="V933" s="93" t="s">
        <v>7072</v>
      </c>
      <c r="W933" s="93" t="s">
        <v>24</v>
      </c>
    </row>
    <row r="934" spans="1:23" x14ac:dyDescent="0.15">
      <c r="A934" s="93" t="s">
        <v>478</v>
      </c>
      <c r="B934" s="93" t="s">
        <v>479</v>
      </c>
      <c r="C934" s="93">
        <v>21</v>
      </c>
      <c r="D934" s="93" t="s">
        <v>24</v>
      </c>
      <c r="E934" s="93" t="s">
        <v>24</v>
      </c>
      <c r="F934" s="93" t="s">
        <v>7</v>
      </c>
      <c r="G934" s="93" t="s">
        <v>7183</v>
      </c>
      <c r="H934" s="93" t="s">
        <v>118</v>
      </c>
      <c r="I934" s="93" t="s">
        <v>111</v>
      </c>
      <c r="J934" s="93" t="s">
        <v>7105</v>
      </c>
      <c r="K934" s="93" t="s">
        <v>111</v>
      </c>
      <c r="L934" s="93" t="s">
        <v>111</v>
      </c>
      <c r="M934" s="93" t="s">
        <v>111</v>
      </c>
      <c r="N934" s="93" t="s">
        <v>111</v>
      </c>
      <c r="O934" s="93" t="s">
        <v>111</v>
      </c>
      <c r="P934" s="93" t="s">
        <v>111</v>
      </c>
      <c r="Q934" s="93" t="s">
        <v>111</v>
      </c>
      <c r="R934" s="93" t="s">
        <v>2</v>
      </c>
      <c r="S934" s="93" t="s">
        <v>111</v>
      </c>
      <c r="T934" s="93" t="s">
        <v>116</v>
      </c>
      <c r="U934" s="94">
        <v>44596.570833333331</v>
      </c>
      <c r="V934" s="93" t="s">
        <v>7072</v>
      </c>
      <c r="W934" s="93" t="s">
        <v>24</v>
      </c>
    </row>
    <row r="935" spans="1:23" x14ac:dyDescent="0.15">
      <c r="A935" s="93" t="s">
        <v>480</v>
      </c>
      <c r="B935" s="93" t="s">
        <v>481</v>
      </c>
      <c r="C935" s="93">
        <v>54</v>
      </c>
      <c r="D935" s="93" t="s">
        <v>24</v>
      </c>
      <c r="E935" s="93" t="s">
        <v>24</v>
      </c>
      <c r="F935" s="93" t="s">
        <v>7</v>
      </c>
      <c r="G935" s="93" t="s">
        <v>7183</v>
      </c>
      <c r="H935" s="93" t="s">
        <v>118</v>
      </c>
      <c r="I935" s="93" t="s">
        <v>111</v>
      </c>
      <c r="J935" s="93" t="s">
        <v>7105</v>
      </c>
      <c r="K935" s="93" t="s">
        <v>111</v>
      </c>
      <c r="L935" s="93" t="s">
        <v>111</v>
      </c>
      <c r="M935" s="93" t="s">
        <v>111</v>
      </c>
      <c r="N935" s="93" t="s">
        <v>111</v>
      </c>
      <c r="O935" s="93" t="s">
        <v>111</v>
      </c>
      <c r="P935" s="93" t="s">
        <v>111</v>
      </c>
      <c r="Q935" s="93" t="s">
        <v>111</v>
      </c>
      <c r="R935" s="93" t="s">
        <v>2</v>
      </c>
      <c r="S935" s="93" t="s">
        <v>111</v>
      </c>
      <c r="T935" s="93" t="s">
        <v>116</v>
      </c>
      <c r="U935" s="94">
        <v>44596.578472222223</v>
      </c>
      <c r="V935" s="93" t="s">
        <v>7072</v>
      </c>
      <c r="W935" s="93" t="s">
        <v>24</v>
      </c>
    </row>
    <row r="936" spans="1:23" x14ac:dyDescent="0.15">
      <c r="A936" s="93" t="s">
        <v>482</v>
      </c>
      <c r="B936" s="93" t="s">
        <v>483</v>
      </c>
      <c r="C936" s="93">
        <v>84</v>
      </c>
      <c r="D936" s="93" t="s">
        <v>24</v>
      </c>
      <c r="E936" s="93" t="s">
        <v>24</v>
      </c>
      <c r="F936" s="93" t="s">
        <v>7</v>
      </c>
      <c r="G936" s="93" t="s">
        <v>7183</v>
      </c>
      <c r="H936" s="93" t="s">
        <v>118</v>
      </c>
      <c r="I936" s="93" t="s">
        <v>111</v>
      </c>
      <c r="J936" s="93" t="s">
        <v>7105</v>
      </c>
      <c r="K936" s="93" t="s">
        <v>111</v>
      </c>
      <c r="L936" s="93" t="s">
        <v>111</v>
      </c>
      <c r="M936" s="93" t="s">
        <v>111</v>
      </c>
      <c r="N936" s="93" t="s">
        <v>111</v>
      </c>
      <c r="O936" s="93" t="s">
        <v>111</v>
      </c>
      <c r="P936" s="93" t="s">
        <v>111</v>
      </c>
      <c r="Q936" s="93" t="s">
        <v>111</v>
      </c>
      <c r="R936" s="93" t="s">
        <v>2</v>
      </c>
      <c r="S936" s="93" t="s">
        <v>111</v>
      </c>
      <c r="T936" s="93" t="s">
        <v>116</v>
      </c>
      <c r="U936" s="94">
        <v>44596.565972222219</v>
      </c>
      <c r="V936" s="93" t="s">
        <v>7072</v>
      </c>
      <c r="W936" s="93" t="s">
        <v>24</v>
      </c>
    </row>
    <row r="937" spans="1:23" x14ac:dyDescent="0.15">
      <c r="A937" s="93" t="s">
        <v>484</v>
      </c>
      <c r="B937" s="93" t="s">
        <v>485</v>
      </c>
      <c r="C937" s="93">
        <v>39</v>
      </c>
      <c r="D937" s="93" t="s">
        <v>24</v>
      </c>
      <c r="E937" s="93" t="s">
        <v>24</v>
      </c>
      <c r="F937" s="93" t="s">
        <v>7</v>
      </c>
      <c r="G937" s="93" t="s">
        <v>7183</v>
      </c>
      <c r="H937" s="93" t="s">
        <v>118</v>
      </c>
      <c r="I937" s="93" t="s">
        <v>111</v>
      </c>
      <c r="J937" s="93" t="s">
        <v>7105</v>
      </c>
      <c r="K937" s="93" t="s">
        <v>111</v>
      </c>
      <c r="L937" s="93" t="s">
        <v>111</v>
      </c>
      <c r="M937" s="93" t="s">
        <v>111</v>
      </c>
      <c r="N937" s="93" t="s">
        <v>111</v>
      </c>
      <c r="O937" s="93" t="s">
        <v>111</v>
      </c>
      <c r="P937" s="93" t="s">
        <v>111</v>
      </c>
      <c r="Q937" s="93" t="s">
        <v>111</v>
      </c>
      <c r="R937" s="93" t="s">
        <v>2</v>
      </c>
      <c r="S937" s="93" t="s">
        <v>111</v>
      </c>
      <c r="T937" s="93" t="s">
        <v>116</v>
      </c>
      <c r="U937" s="94">
        <v>44596.574999999997</v>
      </c>
      <c r="V937" s="93" t="s">
        <v>7072</v>
      </c>
      <c r="W937" s="93" t="s">
        <v>24</v>
      </c>
    </row>
    <row r="938" spans="1:23" x14ac:dyDescent="0.15">
      <c r="A938" s="93" t="s">
        <v>486</v>
      </c>
      <c r="B938" s="93" t="s">
        <v>487</v>
      </c>
      <c r="C938" s="93">
        <v>100</v>
      </c>
      <c r="D938" s="93" t="s">
        <v>24</v>
      </c>
      <c r="E938" s="93" t="s">
        <v>24</v>
      </c>
      <c r="F938" s="93" t="s">
        <v>7</v>
      </c>
      <c r="G938" s="93" t="s">
        <v>7183</v>
      </c>
      <c r="H938" s="93" t="s">
        <v>118</v>
      </c>
      <c r="I938" s="93" t="s">
        <v>111</v>
      </c>
      <c r="J938" s="93" t="s">
        <v>7105</v>
      </c>
      <c r="K938" s="93" t="s">
        <v>111</v>
      </c>
      <c r="L938" s="93" t="s">
        <v>111</v>
      </c>
      <c r="M938" s="93" t="s">
        <v>111</v>
      </c>
      <c r="N938" s="93" t="s">
        <v>111</v>
      </c>
      <c r="O938" s="93" t="s">
        <v>111</v>
      </c>
      <c r="P938" s="93" t="s">
        <v>111</v>
      </c>
      <c r="Q938" s="93" t="s">
        <v>111</v>
      </c>
      <c r="R938" s="93" t="s">
        <v>2</v>
      </c>
      <c r="S938" s="93" t="s">
        <v>111</v>
      </c>
      <c r="T938" s="93" t="s">
        <v>116</v>
      </c>
      <c r="U938" s="94">
        <v>44596.584027777775</v>
      </c>
      <c r="V938" s="93" t="s">
        <v>7072</v>
      </c>
      <c r="W938" s="93" t="s">
        <v>24</v>
      </c>
    </row>
    <row r="939" spans="1:23" x14ac:dyDescent="0.15">
      <c r="A939" s="93" t="s">
        <v>488</v>
      </c>
      <c r="B939" s="93" t="s">
        <v>489</v>
      </c>
      <c r="C939" s="93">
        <v>156</v>
      </c>
      <c r="D939" s="93" t="s">
        <v>24</v>
      </c>
      <c r="E939" s="93" t="s">
        <v>24</v>
      </c>
      <c r="F939" s="93" t="s">
        <v>7</v>
      </c>
      <c r="G939" s="93" t="s">
        <v>7183</v>
      </c>
      <c r="H939" s="93" t="s">
        <v>118</v>
      </c>
      <c r="I939" s="93" t="s">
        <v>111</v>
      </c>
      <c r="J939" s="93" t="s">
        <v>7105</v>
      </c>
      <c r="K939" s="93" t="s">
        <v>111</v>
      </c>
      <c r="L939" s="93" t="s">
        <v>111</v>
      </c>
      <c r="M939" s="93" t="s">
        <v>111</v>
      </c>
      <c r="N939" s="93" t="s">
        <v>111</v>
      </c>
      <c r="O939" s="93" t="s">
        <v>111</v>
      </c>
      <c r="P939" s="93" t="s">
        <v>111</v>
      </c>
      <c r="Q939" s="93" t="s">
        <v>111</v>
      </c>
      <c r="R939" s="93" t="s">
        <v>2</v>
      </c>
      <c r="S939" s="93" t="s">
        <v>111</v>
      </c>
      <c r="T939" s="93" t="s">
        <v>116</v>
      </c>
      <c r="U939" s="94">
        <v>44596.613194444442</v>
      </c>
      <c r="V939" s="93" t="s">
        <v>7072</v>
      </c>
      <c r="W939" s="93" t="s">
        <v>24</v>
      </c>
    </row>
    <row r="940" spans="1:23" x14ac:dyDescent="0.15">
      <c r="A940" s="93" t="s">
        <v>490</v>
      </c>
      <c r="B940" s="93" t="s">
        <v>491</v>
      </c>
      <c r="C940" s="93">
        <v>48</v>
      </c>
      <c r="D940" s="93" t="s">
        <v>24</v>
      </c>
      <c r="E940" s="93" t="s">
        <v>24</v>
      </c>
      <c r="F940" s="93" t="s">
        <v>7</v>
      </c>
      <c r="G940" s="93" t="s">
        <v>7183</v>
      </c>
      <c r="H940" s="93" t="s">
        <v>118</v>
      </c>
      <c r="I940" s="93" t="s">
        <v>111</v>
      </c>
      <c r="J940" s="93" t="s">
        <v>7105</v>
      </c>
      <c r="K940" s="93" t="s">
        <v>111</v>
      </c>
      <c r="L940" s="93" t="s">
        <v>111</v>
      </c>
      <c r="M940" s="93" t="s">
        <v>111</v>
      </c>
      <c r="N940" s="93" t="s">
        <v>111</v>
      </c>
      <c r="O940" s="93" t="s">
        <v>111</v>
      </c>
      <c r="P940" s="93" t="s">
        <v>111</v>
      </c>
      <c r="Q940" s="93" t="s">
        <v>111</v>
      </c>
      <c r="R940" s="93" t="s">
        <v>2</v>
      </c>
      <c r="S940" s="93" t="s">
        <v>111</v>
      </c>
      <c r="T940" s="93" t="s">
        <v>116</v>
      </c>
      <c r="U940" s="94">
        <v>44596.556944444441</v>
      </c>
      <c r="V940" s="93" t="s">
        <v>7072</v>
      </c>
      <c r="W940" s="93" t="s">
        <v>24</v>
      </c>
    </row>
    <row r="941" spans="1:23" x14ac:dyDescent="0.15">
      <c r="A941" s="93" t="s">
        <v>492</v>
      </c>
      <c r="B941" s="93" t="s">
        <v>493</v>
      </c>
      <c r="C941" s="93">
        <v>123</v>
      </c>
      <c r="D941" s="93" t="s">
        <v>24</v>
      </c>
      <c r="E941" s="93" t="s">
        <v>24</v>
      </c>
      <c r="F941" s="93" t="s">
        <v>7</v>
      </c>
      <c r="G941" s="93" t="s">
        <v>7183</v>
      </c>
      <c r="H941" s="93" t="s">
        <v>118</v>
      </c>
      <c r="I941" s="93" t="s">
        <v>111</v>
      </c>
      <c r="J941" s="93" t="s">
        <v>7105</v>
      </c>
      <c r="K941" s="93" t="s">
        <v>111</v>
      </c>
      <c r="L941" s="93" t="s">
        <v>111</v>
      </c>
      <c r="M941" s="93" t="s">
        <v>111</v>
      </c>
      <c r="N941" s="93" t="s">
        <v>111</v>
      </c>
      <c r="O941" s="93" t="s">
        <v>111</v>
      </c>
      <c r="P941" s="93" t="s">
        <v>111</v>
      </c>
      <c r="Q941" s="93" t="s">
        <v>111</v>
      </c>
      <c r="R941" s="93" t="s">
        <v>2</v>
      </c>
      <c r="S941" s="93" t="s">
        <v>111</v>
      </c>
      <c r="T941" s="93" t="s">
        <v>116</v>
      </c>
      <c r="U941" s="94">
        <v>44596.57916666667</v>
      </c>
      <c r="V941" s="93" t="s">
        <v>7072</v>
      </c>
      <c r="W941" s="93" t="s">
        <v>24</v>
      </c>
    </row>
    <row r="942" spans="1:23" x14ac:dyDescent="0.15">
      <c r="A942" s="93" t="s">
        <v>494</v>
      </c>
      <c r="B942" s="93" t="s">
        <v>495</v>
      </c>
      <c r="C942" s="93">
        <v>192</v>
      </c>
      <c r="D942" s="93" t="s">
        <v>24</v>
      </c>
      <c r="E942" s="93" t="s">
        <v>24</v>
      </c>
      <c r="F942" s="93" t="s">
        <v>7</v>
      </c>
      <c r="G942" s="93" t="s">
        <v>7183</v>
      </c>
      <c r="H942" s="93" t="s">
        <v>118</v>
      </c>
      <c r="I942" s="93" t="s">
        <v>111</v>
      </c>
      <c r="J942" s="93" t="s">
        <v>7105</v>
      </c>
      <c r="K942" s="93" t="s">
        <v>111</v>
      </c>
      <c r="L942" s="93" t="s">
        <v>111</v>
      </c>
      <c r="M942" s="93" t="s">
        <v>111</v>
      </c>
      <c r="N942" s="93" t="s">
        <v>111</v>
      </c>
      <c r="O942" s="93" t="s">
        <v>111</v>
      </c>
      <c r="P942" s="93" t="s">
        <v>111</v>
      </c>
      <c r="Q942" s="93" t="s">
        <v>111</v>
      </c>
      <c r="R942" s="93" t="s">
        <v>2</v>
      </c>
      <c r="S942" s="93" t="s">
        <v>111</v>
      </c>
      <c r="T942" s="93" t="s">
        <v>116</v>
      </c>
      <c r="U942" s="94">
        <v>44596.613194444442</v>
      </c>
      <c r="V942" s="93" t="s">
        <v>7072</v>
      </c>
      <c r="W942" s="93" t="s">
        <v>24</v>
      </c>
    </row>
    <row r="943" spans="1:23" x14ac:dyDescent="0.15">
      <c r="A943" s="93" t="s">
        <v>7831</v>
      </c>
      <c r="B943" s="93" t="s">
        <v>7832</v>
      </c>
      <c r="C943" s="93">
        <v>27</v>
      </c>
      <c r="D943" s="93" t="s">
        <v>24</v>
      </c>
      <c r="E943" s="93" t="s">
        <v>24</v>
      </c>
      <c r="F943" s="93" t="s">
        <v>7</v>
      </c>
      <c r="G943" s="93" t="s">
        <v>7183</v>
      </c>
      <c r="H943" s="93" t="s">
        <v>400</v>
      </c>
      <c r="I943" s="93" t="s">
        <v>111</v>
      </c>
      <c r="J943" s="93" t="s">
        <v>118</v>
      </c>
      <c r="K943" s="93">
        <v>3</v>
      </c>
      <c r="L943" s="93" t="s">
        <v>111</v>
      </c>
      <c r="M943" s="93" t="s">
        <v>111</v>
      </c>
      <c r="N943" s="93" t="s">
        <v>111</v>
      </c>
      <c r="O943" s="93" t="s">
        <v>111</v>
      </c>
      <c r="P943" s="93" t="s">
        <v>111</v>
      </c>
      <c r="Q943" s="93" t="s">
        <v>228</v>
      </c>
      <c r="R943" s="93" t="s">
        <v>2</v>
      </c>
      <c r="S943" s="93" t="s">
        <v>115</v>
      </c>
      <c r="T943" s="93" t="s">
        <v>116</v>
      </c>
      <c r="U943" s="94">
        <v>44602.407638888886</v>
      </c>
      <c r="V943" s="93" t="s">
        <v>402</v>
      </c>
      <c r="W943" s="93" t="s">
        <v>24</v>
      </c>
    </row>
    <row r="944" spans="1:23" x14ac:dyDescent="0.15">
      <c r="A944" s="93" t="s">
        <v>7833</v>
      </c>
      <c r="B944" s="93" t="s">
        <v>7834</v>
      </c>
      <c r="C944" s="93">
        <v>69</v>
      </c>
      <c r="D944" s="93" t="s">
        <v>24</v>
      </c>
      <c r="E944" s="93" t="s">
        <v>24</v>
      </c>
      <c r="F944" s="93" t="s">
        <v>7</v>
      </c>
      <c r="G944" s="93" t="s">
        <v>7183</v>
      </c>
      <c r="H944" s="93" t="s">
        <v>400</v>
      </c>
      <c r="I944" s="93" t="s">
        <v>111</v>
      </c>
      <c r="J944" s="93" t="s">
        <v>118</v>
      </c>
      <c r="K944" s="93">
        <v>3</v>
      </c>
      <c r="L944" s="93" t="s">
        <v>111</v>
      </c>
      <c r="M944" s="93" t="s">
        <v>111</v>
      </c>
      <c r="N944" s="93" t="s">
        <v>111</v>
      </c>
      <c r="O944" s="93" t="s">
        <v>111</v>
      </c>
      <c r="P944" s="93" t="s">
        <v>111</v>
      </c>
      <c r="Q944" s="93" t="s">
        <v>228</v>
      </c>
      <c r="R944" s="93" t="s">
        <v>2</v>
      </c>
      <c r="S944" s="93" t="s">
        <v>115</v>
      </c>
      <c r="T944" s="93" t="s">
        <v>116</v>
      </c>
      <c r="U944" s="94">
        <v>44602.407638888886</v>
      </c>
      <c r="V944" s="93" t="s">
        <v>402</v>
      </c>
      <c r="W944" s="93" t="s">
        <v>24</v>
      </c>
    </row>
    <row r="945" spans="1:23" x14ac:dyDescent="0.15">
      <c r="A945" s="93" t="s">
        <v>7835</v>
      </c>
      <c r="B945" s="93" t="s">
        <v>7836</v>
      </c>
      <c r="C945" s="93">
        <v>108</v>
      </c>
      <c r="D945" s="93" t="s">
        <v>24</v>
      </c>
      <c r="E945" s="93" t="s">
        <v>24</v>
      </c>
      <c r="F945" s="93" t="s">
        <v>7</v>
      </c>
      <c r="G945" s="93" t="s">
        <v>7183</v>
      </c>
      <c r="H945" s="93" t="s">
        <v>400</v>
      </c>
      <c r="I945" s="93" t="s">
        <v>111</v>
      </c>
      <c r="J945" s="93" t="s">
        <v>118</v>
      </c>
      <c r="K945" s="93">
        <v>3</v>
      </c>
      <c r="L945" s="93" t="s">
        <v>111</v>
      </c>
      <c r="M945" s="93" t="s">
        <v>111</v>
      </c>
      <c r="N945" s="93" t="s">
        <v>111</v>
      </c>
      <c r="O945" s="93" t="s">
        <v>111</v>
      </c>
      <c r="P945" s="93" t="s">
        <v>111</v>
      </c>
      <c r="Q945" s="93" t="s">
        <v>228</v>
      </c>
      <c r="R945" s="93" t="s">
        <v>2</v>
      </c>
      <c r="S945" s="93" t="s">
        <v>115</v>
      </c>
      <c r="T945" s="93" t="s">
        <v>116</v>
      </c>
      <c r="U945" s="94">
        <v>44602.407638888886</v>
      </c>
      <c r="V945" s="93" t="s">
        <v>402</v>
      </c>
      <c r="W945" s="93" t="s">
        <v>24</v>
      </c>
    </row>
    <row r="946" spans="1:23" x14ac:dyDescent="0.15">
      <c r="A946" s="93" t="s">
        <v>496</v>
      </c>
      <c r="B946" s="93" t="s">
        <v>497</v>
      </c>
      <c r="C946" s="93">
        <v>42</v>
      </c>
      <c r="D946" s="93" t="s">
        <v>24</v>
      </c>
      <c r="E946" s="93" t="s">
        <v>24</v>
      </c>
      <c r="F946" s="93" t="s">
        <v>7</v>
      </c>
      <c r="G946" s="93" t="s">
        <v>7183</v>
      </c>
      <c r="H946" s="93" t="s">
        <v>118</v>
      </c>
      <c r="I946" s="93" t="s">
        <v>111</v>
      </c>
      <c r="J946" s="93" t="s">
        <v>7105</v>
      </c>
      <c r="K946" s="93" t="s">
        <v>111</v>
      </c>
      <c r="L946" s="93" t="s">
        <v>111</v>
      </c>
      <c r="M946" s="93" t="s">
        <v>111</v>
      </c>
      <c r="N946" s="93" t="s">
        <v>111</v>
      </c>
      <c r="O946" s="93" t="s">
        <v>111</v>
      </c>
      <c r="P946" s="93" t="s">
        <v>111</v>
      </c>
      <c r="Q946" s="93" t="s">
        <v>111</v>
      </c>
      <c r="R946" s="93" t="s">
        <v>2</v>
      </c>
      <c r="S946" s="93" t="s">
        <v>111</v>
      </c>
      <c r="T946" s="93" t="s">
        <v>116</v>
      </c>
      <c r="U946" s="94">
        <v>44596.574999999997</v>
      </c>
      <c r="V946" s="93" t="s">
        <v>7072</v>
      </c>
      <c r="W946" s="93" t="s">
        <v>24</v>
      </c>
    </row>
    <row r="947" spans="1:23" x14ac:dyDescent="0.15">
      <c r="A947" s="93" t="s">
        <v>498</v>
      </c>
      <c r="B947" s="93" t="s">
        <v>499</v>
      </c>
      <c r="C947" s="93">
        <v>108</v>
      </c>
      <c r="D947" s="93" t="s">
        <v>24</v>
      </c>
      <c r="E947" s="93" t="s">
        <v>24</v>
      </c>
      <c r="F947" s="93" t="s">
        <v>7</v>
      </c>
      <c r="G947" s="93" t="s">
        <v>7183</v>
      </c>
      <c r="H947" s="93" t="s">
        <v>118</v>
      </c>
      <c r="I947" s="93" t="s">
        <v>111</v>
      </c>
      <c r="J947" s="93" t="s">
        <v>7105</v>
      </c>
      <c r="K947" s="93" t="s">
        <v>111</v>
      </c>
      <c r="L947" s="93" t="s">
        <v>111</v>
      </c>
      <c r="M947" s="93" t="s">
        <v>111</v>
      </c>
      <c r="N947" s="93" t="s">
        <v>111</v>
      </c>
      <c r="O947" s="93" t="s">
        <v>111</v>
      </c>
      <c r="P947" s="93" t="s">
        <v>111</v>
      </c>
      <c r="Q947" s="93" t="s">
        <v>111</v>
      </c>
      <c r="R947" s="93" t="s">
        <v>2</v>
      </c>
      <c r="S947" s="93" t="s">
        <v>111</v>
      </c>
      <c r="T947" s="93" t="s">
        <v>116</v>
      </c>
      <c r="U947" s="94">
        <v>44596.565972222219</v>
      </c>
      <c r="V947" s="93" t="s">
        <v>7072</v>
      </c>
      <c r="W947" s="93" t="s">
        <v>24</v>
      </c>
    </row>
    <row r="948" spans="1:23" x14ac:dyDescent="0.15">
      <c r="A948" s="93" t="s">
        <v>500</v>
      </c>
      <c r="B948" s="93" t="s">
        <v>501</v>
      </c>
      <c r="C948" s="93">
        <v>168</v>
      </c>
      <c r="D948" s="93" t="s">
        <v>24</v>
      </c>
      <c r="E948" s="93" t="s">
        <v>24</v>
      </c>
      <c r="F948" s="93" t="s">
        <v>7</v>
      </c>
      <c r="G948" s="93" t="s">
        <v>7183</v>
      </c>
      <c r="H948" s="93" t="s">
        <v>118</v>
      </c>
      <c r="I948" s="93" t="s">
        <v>111</v>
      </c>
      <c r="J948" s="93" t="s">
        <v>7105</v>
      </c>
      <c r="K948" s="93" t="s">
        <v>111</v>
      </c>
      <c r="L948" s="93" t="s">
        <v>111</v>
      </c>
      <c r="M948" s="93" t="s">
        <v>111</v>
      </c>
      <c r="N948" s="93" t="s">
        <v>111</v>
      </c>
      <c r="O948" s="93" t="s">
        <v>111</v>
      </c>
      <c r="P948" s="93" t="s">
        <v>111</v>
      </c>
      <c r="Q948" s="93" t="s">
        <v>111</v>
      </c>
      <c r="R948" s="93" t="s">
        <v>2</v>
      </c>
      <c r="S948" s="93" t="s">
        <v>111</v>
      </c>
      <c r="T948" s="93" t="s">
        <v>116</v>
      </c>
      <c r="U948" s="94">
        <v>44596.570833333331</v>
      </c>
      <c r="V948" s="93" t="s">
        <v>7072</v>
      </c>
      <c r="W948" s="93" t="s">
        <v>24</v>
      </c>
    </row>
    <row r="949" spans="1:23" x14ac:dyDescent="0.15">
      <c r="A949" s="93" t="s">
        <v>502</v>
      </c>
      <c r="B949" s="93" t="s">
        <v>503</v>
      </c>
      <c r="C949" s="93">
        <v>480</v>
      </c>
      <c r="D949" s="93" t="s">
        <v>24</v>
      </c>
      <c r="E949" s="93" t="s">
        <v>24</v>
      </c>
      <c r="F949" s="93" t="s">
        <v>7</v>
      </c>
      <c r="G949" s="93" t="s">
        <v>7183</v>
      </c>
      <c r="H949" s="93" t="s">
        <v>118</v>
      </c>
      <c r="I949" s="93" t="s">
        <v>111</v>
      </c>
      <c r="J949" s="93" t="s">
        <v>7105</v>
      </c>
      <c r="K949" s="93" t="s">
        <v>111</v>
      </c>
      <c r="L949" s="93" t="s">
        <v>111</v>
      </c>
      <c r="M949" s="93" t="s">
        <v>111</v>
      </c>
      <c r="N949" s="93" t="s">
        <v>111</v>
      </c>
      <c r="O949" s="93" t="s">
        <v>111</v>
      </c>
      <c r="P949" s="93" t="s">
        <v>111</v>
      </c>
      <c r="Q949" s="93" t="s">
        <v>111</v>
      </c>
      <c r="R949" s="93" t="s">
        <v>2</v>
      </c>
      <c r="S949" s="93" t="s">
        <v>111</v>
      </c>
      <c r="T949" s="93" t="s">
        <v>116</v>
      </c>
      <c r="U949" s="94">
        <v>44596.602083333331</v>
      </c>
      <c r="V949" s="93" t="s">
        <v>7072</v>
      </c>
      <c r="W949" s="93" t="s">
        <v>24</v>
      </c>
    </row>
    <row r="950" spans="1:23" x14ac:dyDescent="0.15">
      <c r="A950" s="93" t="s">
        <v>504</v>
      </c>
      <c r="B950" s="93" t="s">
        <v>505</v>
      </c>
      <c r="C950" s="93">
        <v>1224</v>
      </c>
      <c r="D950" s="93" t="s">
        <v>24</v>
      </c>
      <c r="E950" s="93" t="s">
        <v>24</v>
      </c>
      <c r="F950" s="93" t="s">
        <v>7</v>
      </c>
      <c r="G950" s="93" t="s">
        <v>7183</v>
      </c>
      <c r="H950" s="93" t="s">
        <v>118</v>
      </c>
      <c r="I950" s="93" t="s">
        <v>111</v>
      </c>
      <c r="J950" s="93" t="s">
        <v>7105</v>
      </c>
      <c r="K950" s="93" t="s">
        <v>111</v>
      </c>
      <c r="L950" s="93" t="s">
        <v>111</v>
      </c>
      <c r="M950" s="93" t="s">
        <v>111</v>
      </c>
      <c r="N950" s="93" t="s">
        <v>111</v>
      </c>
      <c r="O950" s="93" t="s">
        <v>111</v>
      </c>
      <c r="P950" s="93" t="s">
        <v>111</v>
      </c>
      <c r="Q950" s="93" t="s">
        <v>111</v>
      </c>
      <c r="R950" s="93" t="s">
        <v>2</v>
      </c>
      <c r="S950" s="93" t="s">
        <v>111</v>
      </c>
      <c r="T950" s="93" t="s">
        <v>116</v>
      </c>
      <c r="U950" s="94">
        <v>44596.561805555553</v>
      </c>
      <c r="V950" s="93" t="s">
        <v>7072</v>
      </c>
      <c r="W950" s="93" t="s">
        <v>24</v>
      </c>
    </row>
    <row r="951" spans="1:23" x14ac:dyDescent="0.15">
      <c r="A951" s="93" t="s">
        <v>506</v>
      </c>
      <c r="B951" s="93" t="s">
        <v>507</v>
      </c>
      <c r="C951" s="93">
        <v>1920</v>
      </c>
      <c r="D951" s="93" t="s">
        <v>24</v>
      </c>
      <c r="E951" s="93" t="s">
        <v>24</v>
      </c>
      <c r="F951" s="93" t="s">
        <v>7</v>
      </c>
      <c r="G951" s="93" t="s">
        <v>7183</v>
      </c>
      <c r="H951" s="93" t="s">
        <v>118</v>
      </c>
      <c r="I951" s="93" t="s">
        <v>111</v>
      </c>
      <c r="J951" s="93" t="s">
        <v>7105</v>
      </c>
      <c r="K951" s="93" t="s">
        <v>111</v>
      </c>
      <c r="L951" s="93" t="s">
        <v>111</v>
      </c>
      <c r="M951" s="93" t="s">
        <v>111</v>
      </c>
      <c r="N951" s="93" t="s">
        <v>111</v>
      </c>
      <c r="O951" s="93" t="s">
        <v>111</v>
      </c>
      <c r="P951" s="93" t="s">
        <v>111</v>
      </c>
      <c r="Q951" s="93" t="s">
        <v>111</v>
      </c>
      <c r="R951" s="93" t="s">
        <v>2</v>
      </c>
      <c r="S951" s="93" t="s">
        <v>111</v>
      </c>
      <c r="T951" s="93" t="s">
        <v>116</v>
      </c>
      <c r="U951" s="94">
        <v>44596.602083333331</v>
      </c>
      <c r="V951" s="93" t="s">
        <v>7072</v>
      </c>
      <c r="W951" s="93" t="s">
        <v>24</v>
      </c>
    </row>
    <row r="952" spans="1:23" x14ac:dyDescent="0.15">
      <c r="A952" s="93" t="s">
        <v>508</v>
      </c>
      <c r="B952" s="93" t="s">
        <v>509</v>
      </c>
      <c r="C952" s="93">
        <v>2400</v>
      </c>
      <c r="D952" s="93" t="s">
        <v>24</v>
      </c>
      <c r="E952" s="93" t="s">
        <v>24</v>
      </c>
      <c r="F952" s="93" t="s">
        <v>7</v>
      </c>
      <c r="G952" s="93" t="s">
        <v>7183</v>
      </c>
      <c r="H952" s="93" t="s">
        <v>118</v>
      </c>
      <c r="I952" s="93" t="s">
        <v>111</v>
      </c>
      <c r="J952" s="93" t="s">
        <v>7105</v>
      </c>
      <c r="K952" s="93" t="s">
        <v>111</v>
      </c>
      <c r="L952" s="93" t="s">
        <v>111</v>
      </c>
      <c r="M952" s="93" t="s">
        <v>111</v>
      </c>
      <c r="N952" s="93" t="s">
        <v>111</v>
      </c>
      <c r="O952" s="93" t="s">
        <v>111</v>
      </c>
      <c r="P952" s="93" t="s">
        <v>111</v>
      </c>
      <c r="Q952" s="93" t="s">
        <v>111</v>
      </c>
      <c r="R952" s="93" t="s">
        <v>2</v>
      </c>
      <c r="S952" s="93" t="s">
        <v>111</v>
      </c>
      <c r="T952" s="93" t="s">
        <v>116</v>
      </c>
      <c r="U952" s="94">
        <v>44596.584027777775</v>
      </c>
      <c r="V952" s="93" t="s">
        <v>7072</v>
      </c>
      <c r="W952" s="93" t="s">
        <v>24</v>
      </c>
    </row>
    <row r="953" spans="1:23" x14ac:dyDescent="0.15">
      <c r="A953" s="93" t="s">
        <v>510</v>
      </c>
      <c r="B953" s="93" t="s">
        <v>511</v>
      </c>
      <c r="C953" s="93">
        <v>6120</v>
      </c>
      <c r="D953" s="93" t="s">
        <v>24</v>
      </c>
      <c r="E953" s="93" t="s">
        <v>24</v>
      </c>
      <c r="F953" s="93" t="s">
        <v>7</v>
      </c>
      <c r="G953" s="93" t="s">
        <v>7183</v>
      </c>
      <c r="H953" s="93" t="s">
        <v>118</v>
      </c>
      <c r="I953" s="93" t="s">
        <v>111</v>
      </c>
      <c r="J953" s="93" t="s">
        <v>7105</v>
      </c>
      <c r="K953" s="93" t="s">
        <v>111</v>
      </c>
      <c r="L953" s="93" t="s">
        <v>111</v>
      </c>
      <c r="M953" s="93" t="s">
        <v>111</v>
      </c>
      <c r="N953" s="93" t="s">
        <v>111</v>
      </c>
      <c r="O953" s="93" t="s">
        <v>111</v>
      </c>
      <c r="P953" s="93" t="s">
        <v>111</v>
      </c>
      <c r="Q953" s="93" t="s">
        <v>111</v>
      </c>
      <c r="R953" s="93" t="s">
        <v>2</v>
      </c>
      <c r="S953" s="93" t="s">
        <v>111</v>
      </c>
      <c r="T953" s="93" t="s">
        <v>116</v>
      </c>
      <c r="U953" s="94">
        <v>44596.613888888889</v>
      </c>
      <c r="V953" s="93" t="s">
        <v>7072</v>
      </c>
      <c r="W953" s="93" t="s">
        <v>24</v>
      </c>
    </row>
    <row r="954" spans="1:23" x14ac:dyDescent="0.15">
      <c r="A954" s="93" t="s">
        <v>512</v>
      </c>
      <c r="B954" s="93" t="s">
        <v>513</v>
      </c>
      <c r="C954" s="93">
        <v>9600</v>
      </c>
      <c r="D954" s="93" t="s">
        <v>24</v>
      </c>
      <c r="E954" s="93" t="s">
        <v>24</v>
      </c>
      <c r="F954" s="93" t="s">
        <v>7</v>
      </c>
      <c r="G954" s="93" t="s">
        <v>7183</v>
      </c>
      <c r="H954" s="93" t="s">
        <v>118</v>
      </c>
      <c r="I954" s="93" t="s">
        <v>111</v>
      </c>
      <c r="J954" s="93" t="s">
        <v>7105</v>
      </c>
      <c r="K954" s="93" t="s">
        <v>111</v>
      </c>
      <c r="L954" s="93" t="s">
        <v>111</v>
      </c>
      <c r="M954" s="93" t="s">
        <v>111</v>
      </c>
      <c r="N954" s="93" t="s">
        <v>111</v>
      </c>
      <c r="O954" s="93" t="s">
        <v>111</v>
      </c>
      <c r="P954" s="93" t="s">
        <v>111</v>
      </c>
      <c r="Q954" s="93" t="s">
        <v>111</v>
      </c>
      <c r="R954" s="93" t="s">
        <v>2</v>
      </c>
      <c r="S954" s="93" t="s">
        <v>111</v>
      </c>
      <c r="T954" s="93" t="s">
        <v>116</v>
      </c>
      <c r="U954" s="94">
        <v>44596.561805555553</v>
      </c>
      <c r="V954" s="93" t="s">
        <v>7072</v>
      </c>
      <c r="W954" s="93" t="s">
        <v>24</v>
      </c>
    </row>
    <row r="955" spans="1:23" x14ac:dyDescent="0.15">
      <c r="A955" s="93" t="s">
        <v>514</v>
      </c>
      <c r="B955" s="93" t="s">
        <v>515</v>
      </c>
      <c r="C955" s="93">
        <v>180</v>
      </c>
      <c r="D955" s="93" t="s">
        <v>24</v>
      </c>
      <c r="E955" s="93" t="s">
        <v>24</v>
      </c>
      <c r="F955" s="93" t="s">
        <v>7</v>
      </c>
      <c r="G955" s="93" t="s">
        <v>7183</v>
      </c>
      <c r="H955" s="93" t="s">
        <v>118</v>
      </c>
      <c r="I955" s="93" t="s">
        <v>111</v>
      </c>
      <c r="J955" s="93" t="s">
        <v>7105</v>
      </c>
      <c r="K955" s="93" t="s">
        <v>111</v>
      </c>
      <c r="L955" s="93" t="s">
        <v>111</v>
      </c>
      <c r="M955" s="93" t="s">
        <v>111</v>
      </c>
      <c r="N955" s="93" t="s">
        <v>111</v>
      </c>
      <c r="O955" s="93" t="s">
        <v>111</v>
      </c>
      <c r="P955" s="93" t="s">
        <v>111</v>
      </c>
      <c r="Q955" s="93" t="s">
        <v>111</v>
      </c>
      <c r="R955" s="93" t="s">
        <v>2</v>
      </c>
      <c r="S955" s="93" t="s">
        <v>111</v>
      </c>
      <c r="T955" s="93" t="s">
        <v>116</v>
      </c>
      <c r="U955" s="94">
        <v>44596.584027777775</v>
      </c>
      <c r="V955" s="93" t="s">
        <v>7072</v>
      </c>
      <c r="W955" s="93" t="s">
        <v>24</v>
      </c>
    </row>
    <row r="956" spans="1:23" x14ac:dyDescent="0.15">
      <c r="A956" s="93" t="s">
        <v>516</v>
      </c>
      <c r="B956" s="93" t="s">
        <v>517</v>
      </c>
      <c r="C956" s="93">
        <v>459</v>
      </c>
      <c r="D956" s="93" t="s">
        <v>24</v>
      </c>
      <c r="E956" s="93" t="s">
        <v>24</v>
      </c>
      <c r="F956" s="93" t="s">
        <v>7</v>
      </c>
      <c r="G956" s="93" t="s">
        <v>7183</v>
      </c>
      <c r="H956" s="93" t="s">
        <v>118</v>
      </c>
      <c r="I956" s="93" t="s">
        <v>111</v>
      </c>
      <c r="J956" s="93" t="s">
        <v>7105</v>
      </c>
      <c r="K956" s="93" t="s">
        <v>111</v>
      </c>
      <c r="L956" s="93" t="s">
        <v>111</v>
      </c>
      <c r="M956" s="93" t="s">
        <v>111</v>
      </c>
      <c r="N956" s="93" t="s">
        <v>111</v>
      </c>
      <c r="O956" s="93" t="s">
        <v>111</v>
      </c>
      <c r="P956" s="93" t="s">
        <v>111</v>
      </c>
      <c r="Q956" s="93" t="s">
        <v>111</v>
      </c>
      <c r="R956" s="93" t="s">
        <v>2</v>
      </c>
      <c r="S956" s="93" t="s">
        <v>111</v>
      </c>
      <c r="T956" s="93" t="s">
        <v>116</v>
      </c>
      <c r="U956" s="94">
        <v>44596.61041666667</v>
      </c>
      <c r="V956" s="93" t="s">
        <v>7072</v>
      </c>
      <c r="W956" s="93" t="s">
        <v>24</v>
      </c>
    </row>
    <row r="957" spans="1:23" x14ac:dyDescent="0.15">
      <c r="A957" s="93" t="s">
        <v>518</v>
      </c>
      <c r="B957" s="93" t="s">
        <v>519</v>
      </c>
      <c r="C957" s="93">
        <v>720</v>
      </c>
      <c r="D957" s="93" t="s">
        <v>24</v>
      </c>
      <c r="E957" s="93" t="s">
        <v>24</v>
      </c>
      <c r="F957" s="93" t="s">
        <v>7</v>
      </c>
      <c r="G957" s="93" t="s">
        <v>7183</v>
      </c>
      <c r="H957" s="93" t="s">
        <v>118</v>
      </c>
      <c r="I957" s="93" t="s">
        <v>111</v>
      </c>
      <c r="J957" s="93" t="s">
        <v>7105</v>
      </c>
      <c r="K957" s="93" t="s">
        <v>111</v>
      </c>
      <c r="L957" s="93" t="s">
        <v>111</v>
      </c>
      <c r="M957" s="93" t="s">
        <v>111</v>
      </c>
      <c r="N957" s="93" t="s">
        <v>111</v>
      </c>
      <c r="O957" s="93" t="s">
        <v>111</v>
      </c>
      <c r="P957" s="93" t="s">
        <v>111</v>
      </c>
      <c r="Q957" s="93" t="s">
        <v>111</v>
      </c>
      <c r="R957" s="93" t="s">
        <v>2</v>
      </c>
      <c r="S957" s="93" t="s">
        <v>111</v>
      </c>
      <c r="T957" s="93" t="s">
        <v>116</v>
      </c>
      <c r="U957" s="94">
        <v>44596.561805555553</v>
      </c>
      <c r="V957" s="93" t="s">
        <v>7072</v>
      </c>
      <c r="W957" s="93" t="s">
        <v>24</v>
      </c>
    </row>
    <row r="958" spans="1:23" x14ac:dyDescent="0.15">
      <c r="A958" s="93" t="s">
        <v>520</v>
      </c>
      <c r="B958" s="93" t="s">
        <v>521</v>
      </c>
      <c r="C958" s="93">
        <v>840</v>
      </c>
      <c r="D958" s="93" t="s">
        <v>24</v>
      </c>
      <c r="E958" s="93" t="s">
        <v>24</v>
      </c>
      <c r="F958" s="93" t="s">
        <v>7</v>
      </c>
      <c r="G958" s="93" t="s">
        <v>7183</v>
      </c>
      <c r="H958" s="93" t="s">
        <v>118</v>
      </c>
      <c r="I958" s="93" t="s">
        <v>111</v>
      </c>
      <c r="J958" s="93" t="s">
        <v>7105</v>
      </c>
      <c r="K958" s="93" t="s">
        <v>111</v>
      </c>
      <c r="L958" s="93" t="s">
        <v>111</v>
      </c>
      <c r="M958" s="93" t="s">
        <v>111</v>
      </c>
      <c r="N958" s="93" t="s">
        <v>111</v>
      </c>
      <c r="O958" s="93" t="s">
        <v>111</v>
      </c>
      <c r="P958" s="93" t="s">
        <v>111</v>
      </c>
      <c r="Q958" s="93" t="s">
        <v>111</v>
      </c>
      <c r="R958" s="93" t="s">
        <v>2</v>
      </c>
      <c r="S958" s="93" t="s">
        <v>111</v>
      </c>
      <c r="T958" s="93" t="s">
        <v>116</v>
      </c>
      <c r="U958" s="94">
        <v>44596.575694444444</v>
      </c>
      <c r="V958" s="93" t="s">
        <v>7072</v>
      </c>
      <c r="W958" s="93" t="s">
        <v>24</v>
      </c>
    </row>
    <row r="959" spans="1:23" x14ac:dyDescent="0.15">
      <c r="A959" s="93" t="s">
        <v>522</v>
      </c>
      <c r="B959" s="93" t="s">
        <v>523</v>
      </c>
      <c r="C959" s="93">
        <v>2142</v>
      </c>
      <c r="D959" s="93" t="s">
        <v>24</v>
      </c>
      <c r="E959" s="93" t="s">
        <v>24</v>
      </c>
      <c r="F959" s="93" t="s">
        <v>7</v>
      </c>
      <c r="G959" s="93" t="s">
        <v>7183</v>
      </c>
      <c r="H959" s="93" t="s">
        <v>118</v>
      </c>
      <c r="I959" s="93" t="s">
        <v>111</v>
      </c>
      <c r="J959" s="93" t="s">
        <v>7105</v>
      </c>
      <c r="K959" s="93" t="s">
        <v>111</v>
      </c>
      <c r="L959" s="93" t="s">
        <v>111</v>
      </c>
      <c r="M959" s="93" t="s">
        <v>111</v>
      </c>
      <c r="N959" s="93" t="s">
        <v>111</v>
      </c>
      <c r="O959" s="93" t="s">
        <v>111</v>
      </c>
      <c r="P959" s="93" t="s">
        <v>111</v>
      </c>
      <c r="Q959" s="93" t="s">
        <v>111</v>
      </c>
      <c r="R959" s="93" t="s">
        <v>2</v>
      </c>
      <c r="S959" s="93" t="s">
        <v>111</v>
      </c>
      <c r="T959" s="93" t="s">
        <v>116</v>
      </c>
      <c r="U959" s="94">
        <v>44596.575694444444</v>
      </c>
      <c r="V959" s="93" t="s">
        <v>7072</v>
      </c>
      <c r="W959" s="93" t="s">
        <v>24</v>
      </c>
    </row>
    <row r="960" spans="1:23" x14ac:dyDescent="0.15">
      <c r="A960" s="93" t="s">
        <v>524</v>
      </c>
      <c r="B960" s="93" t="s">
        <v>525</v>
      </c>
      <c r="C960" s="93">
        <v>3360</v>
      </c>
      <c r="D960" s="93" t="s">
        <v>24</v>
      </c>
      <c r="E960" s="93" t="s">
        <v>24</v>
      </c>
      <c r="F960" s="93" t="s">
        <v>7</v>
      </c>
      <c r="G960" s="93" t="s">
        <v>7183</v>
      </c>
      <c r="H960" s="93" t="s">
        <v>118</v>
      </c>
      <c r="I960" s="93" t="s">
        <v>111</v>
      </c>
      <c r="J960" s="93" t="s">
        <v>7105</v>
      </c>
      <c r="K960" s="93" t="s">
        <v>111</v>
      </c>
      <c r="L960" s="93" t="s">
        <v>111</v>
      </c>
      <c r="M960" s="93" t="s">
        <v>111</v>
      </c>
      <c r="N960" s="93" t="s">
        <v>111</v>
      </c>
      <c r="O960" s="93" t="s">
        <v>111</v>
      </c>
      <c r="P960" s="93" t="s">
        <v>111</v>
      </c>
      <c r="Q960" s="93" t="s">
        <v>111</v>
      </c>
      <c r="R960" s="93" t="s">
        <v>2</v>
      </c>
      <c r="S960" s="93" t="s">
        <v>111</v>
      </c>
      <c r="T960" s="93" t="s">
        <v>116</v>
      </c>
      <c r="U960" s="94">
        <v>44596.57916666667</v>
      </c>
      <c r="V960" s="93" t="s">
        <v>7072</v>
      </c>
      <c r="W960" s="93" t="s">
        <v>24</v>
      </c>
    </row>
    <row r="961" spans="1:23" x14ac:dyDescent="0.15">
      <c r="A961" s="93" t="s">
        <v>526</v>
      </c>
      <c r="B961" s="93" t="s">
        <v>527</v>
      </c>
      <c r="C961" s="93">
        <v>3600</v>
      </c>
      <c r="D961" s="93" t="s">
        <v>24</v>
      </c>
      <c r="E961" s="93" t="s">
        <v>24</v>
      </c>
      <c r="F961" s="93" t="s">
        <v>7</v>
      </c>
      <c r="G961" s="93" t="s">
        <v>7183</v>
      </c>
      <c r="H961" s="93" t="s">
        <v>118</v>
      </c>
      <c r="I961" s="93" t="s">
        <v>111</v>
      </c>
      <c r="J961" s="93" t="s">
        <v>7105</v>
      </c>
      <c r="K961" s="93" t="s">
        <v>111</v>
      </c>
      <c r="L961" s="93" t="s">
        <v>111</v>
      </c>
      <c r="M961" s="93" t="s">
        <v>111</v>
      </c>
      <c r="N961" s="93" t="s">
        <v>111</v>
      </c>
      <c r="O961" s="93" t="s">
        <v>111</v>
      </c>
      <c r="P961" s="93" t="s">
        <v>111</v>
      </c>
      <c r="Q961" s="93" t="s">
        <v>111</v>
      </c>
      <c r="R961" s="93" t="s">
        <v>2</v>
      </c>
      <c r="S961" s="93" t="s">
        <v>111</v>
      </c>
      <c r="T961" s="93" t="s">
        <v>116</v>
      </c>
      <c r="U961" s="94">
        <v>44596.565972222219</v>
      </c>
      <c r="V961" s="93" t="s">
        <v>7072</v>
      </c>
      <c r="W961" s="93" t="s">
        <v>24</v>
      </c>
    </row>
    <row r="962" spans="1:23" x14ac:dyDescent="0.15">
      <c r="A962" s="93" t="s">
        <v>528</v>
      </c>
      <c r="B962" s="93" t="s">
        <v>529</v>
      </c>
      <c r="C962" s="93">
        <v>9180</v>
      </c>
      <c r="D962" s="93" t="s">
        <v>24</v>
      </c>
      <c r="E962" s="93" t="s">
        <v>24</v>
      </c>
      <c r="F962" s="93" t="s">
        <v>7</v>
      </c>
      <c r="G962" s="93" t="s">
        <v>7183</v>
      </c>
      <c r="H962" s="93" t="s">
        <v>118</v>
      </c>
      <c r="I962" s="93" t="s">
        <v>111</v>
      </c>
      <c r="J962" s="93" t="s">
        <v>7105</v>
      </c>
      <c r="K962" s="93" t="s">
        <v>111</v>
      </c>
      <c r="L962" s="93" t="s">
        <v>111</v>
      </c>
      <c r="M962" s="93" t="s">
        <v>111</v>
      </c>
      <c r="N962" s="93" t="s">
        <v>111</v>
      </c>
      <c r="O962" s="93" t="s">
        <v>111</v>
      </c>
      <c r="P962" s="93" t="s">
        <v>111</v>
      </c>
      <c r="Q962" s="93" t="s">
        <v>111</v>
      </c>
      <c r="R962" s="93" t="s">
        <v>2</v>
      </c>
      <c r="S962" s="93" t="s">
        <v>111</v>
      </c>
      <c r="T962" s="93" t="s">
        <v>116</v>
      </c>
      <c r="U962" s="94">
        <v>44596.570833333331</v>
      </c>
      <c r="V962" s="93" t="s">
        <v>7072</v>
      </c>
      <c r="W962" s="93" t="s">
        <v>24</v>
      </c>
    </row>
    <row r="963" spans="1:23" x14ac:dyDescent="0.15">
      <c r="A963" s="93" t="s">
        <v>530</v>
      </c>
      <c r="B963" s="93" t="s">
        <v>531</v>
      </c>
      <c r="C963" s="93">
        <v>14400</v>
      </c>
      <c r="D963" s="93" t="s">
        <v>24</v>
      </c>
      <c r="E963" s="93" t="s">
        <v>24</v>
      </c>
      <c r="F963" s="93" t="s">
        <v>7</v>
      </c>
      <c r="G963" s="93" t="s">
        <v>7183</v>
      </c>
      <c r="H963" s="93" t="s">
        <v>118</v>
      </c>
      <c r="I963" s="93" t="s">
        <v>111</v>
      </c>
      <c r="J963" s="93" t="s">
        <v>7105</v>
      </c>
      <c r="K963" s="93" t="s">
        <v>111</v>
      </c>
      <c r="L963" s="93" t="s">
        <v>111</v>
      </c>
      <c r="M963" s="93" t="s">
        <v>111</v>
      </c>
      <c r="N963" s="93" t="s">
        <v>111</v>
      </c>
      <c r="O963" s="93" t="s">
        <v>111</v>
      </c>
      <c r="P963" s="93" t="s">
        <v>111</v>
      </c>
      <c r="Q963" s="93" t="s">
        <v>111</v>
      </c>
      <c r="R963" s="93" t="s">
        <v>2</v>
      </c>
      <c r="S963" s="93" t="s">
        <v>111</v>
      </c>
      <c r="T963" s="93" t="s">
        <v>116</v>
      </c>
      <c r="U963" s="94">
        <v>44596.584027777775</v>
      </c>
      <c r="V963" s="93" t="s">
        <v>7072</v>
      </c>
      <c r="W963" s="93" t="s">
        <v>24</v>
      </c>
    </row>
    <row r="964" spans="1:23" x14ac:dyDescent="0.15">
      <c r="A964" s="93" t="s">
        <v>532</v>
      </c>
      <c r="B964" s="93" t="s">
        <v>533</v>
      </c>
      <c r="C964" s="93">
        <v>222</v>
      </c>
      <c r="D964" s="93" t="s">
        <v>24</v>
      </c>
      <c r="E964" s="93" t="s">
        <v>24</v>
      </c>
      <c r="F964" s="93" t="s">
        <v>7</v>
      </c>
      <c r="G964" s="93" t="s">
        <v>7183</v>
      </c>
      <c r="H964" s="93" t="s">
        <v>118</v>
      </c>
      <c r="I964" s="93" t="s">
        <v>111</v>
      </c>
      <c r="J964" s="93" t="s">
        <v>7105</v>
      </c>
      <c r="K964" s="93" t="s">
        <v>111</v>
      </c>
      <c r="L964" s="93" t="s">
        <v>111</v>
      </c>
      <c r="M964" s="93" t="s">
        <v>111</v>
      </c>
      <c r="N964" s="93" t="s">
        <v>111</v>
      </c>
      <c r="O964" s="93" t="s">
        <v>111</v>
      </c>
      <c r="P964" s="93" t="s">
        <v>111</v>
      </c>
      <c r="Q964" s="93" t="s">
        <v>111</v>
      </c>
      <c r="R964" s="93" t="s">
        <v>2</v>
      </c>
      <c r="S964" s="93" t="s">
        <v>111</v>
      </c>
      <c r="T964" s="93" t="s">
        <v>116</v>
      </c>
      <c r="U964" s="94">
        <v>44596.602083333331</v>
      </c>
      <c r="V964" s="93" t="s">
        <v>7072</v>
      </c>
      <c r="W964" s="93" t="s">
        <v>24</v>
      </c>
    </row>
    <row r="965" spans="1:23" x14ac:dyDescent="0.15">
      <c r="A965" s="93" t="s">
        <v>534</v>
      </c>
      <c r="B965" s="93" t="s">
        <v>535</v>
      </c>
      <c r="C965" s="93">
        <v>567</v>
      </c>
      <c r="D965" s="93" t="s">
        <v>24</v>
      </c>
      <c r="E965" s="93" t="s">
        <v>24</v>
      </c>
      <c r="F965" s="93" t="s">
        <v>7</v>
      </c>
      <c r="G965" s="93" t="s">
        <v>7183</v>
      </c>
      <c r="H965" s="93" t="s">
        <v>118</v>
      </c>
      <c r="I965" s="93" t="s">
        <v>111</v>
      </c>
      <c r="J965" s="93" t="s">
        <v>7105</v>
      </c>
      <c r="K965" s="93" t="s">
        <v>111</v>
      </c>
      <c r="L965" s="93" t="s">
        <v>111</v>
      </c>
      <c r="M965" s="93" t="s">
        <v>111</v>
      </c>
      <c r="N965" s="93" t="s">
        <v>111</v>
      </c>
      <c r="O965" s="93" t="s">
        <v>111</v>
      </c>
      <c r="P965" s="93" t="s">
        <v>111</v>
      </c>
      <c r="Q965" s="93" t="s">
        <v>111</v>
      </c>
      <c r="R965" s="93" t="s">
        <v>2</v>
      </c>
      <c r="S965" s="93" t="s">
        <v>111</v>
      </c>
      <c r="T965" s="93" t="s">
        <v>116</v>
      </c>
      <c r="U965" s="94">
        <v>44596.613888888889</v>
      </c>
      <c r="V965" s="93" t="s">
        <v>7072</v>
      </c>
      <c r="W965" s="93" t="s">
        <v>24</v>
      </c>
    </row>
    <row r="966" spans="1:23" x14ac:dyDescent="0.15">
      <c r="A966" s="93" t="s">
        <v>536</v>
      </c>
      <c r="B966" s="93" t="s">
        <v>537</v>
      </c>
      <c r="C966" s="93">
        <v>888</v>
      </c>
      <c r="D966" s="93" t="s">
        <v>24</v>
      </c>
      <c r="E966" s="93" t="s">
        <v>24</v>
      </c>
      <c r="F966" s="93" t="s">
        <v>7</v>
      </c>
      <c r="G966" s="93" t="s">
        <v>7183</v>
      </c>
      <c r="H966" s="93" t="s">
        <v>118</v>
      </c>
      <c r="I966" s="93" t="s">
        <v>111</v>
      </c>
      <c r="J966" s="93" t="s">
        <v>7105</v>
      </c>
      <c r="K966" s="93" t="s">
        <v>111</v>
      </c>
      <c r="L966" s="93" t="s">
        <v>111</v>
      </c>
      <c r="M966" s="93" t="s">
        <v>111</v>
      </c>
      <c r="N966" s="93" t="s">
        <v>111</v>
      </c>
      <c r="O966" s="93" t="s">
        <v>111</v>
      </c>
      <c r="P966" s="93" t="s">
        <v>111</v>
      </c>
      <c r="Q966" s="93" t="s">
        <v>111</v>
      </c>
      <c r="R966" s="93" t="s">
        <v>2</v>
      </c>
      <c r="S966" s="93" t="s">
        <v>111</v>
      </c>
      <c r="T966" s="93" t="s">
        <v>116</v>
      </c>
      <c r="U966" s="94">
        <v>44596.570833333331</v>
      </c>
      <c r="V966" s="93" t="s">
        <v>7072</v>
      </c>
      <c r="W966" s="93" t="s">
        <v>24</v>
      </c>
    </row>
    <row r="967" spans="1:23" x14ac:dyDescent="0.15">
      <c r="A967" s="93" t="s">
        <v>538</v>
      </c>
      <c r="B967" s="93" t="s">
        <v>539</v>
      </c>
      <c r="C967" s="93">
        <v>1080</v>
      </c>
      <c r="D967" s="93" t="s">
        <v>24</v>
      </c>
      <c r="E967" s="93" t="s">
        <v>24</v>
      </c>
      <c r="F967" s="93" t="s">
        <v>7</v>
      </c>
      <c r="G967" s="93" t="s">
        <v>7183</v>
      </c>
      <c r="H967" s="93" t="s">
        <v>118</v>
      </c>
      <c r="I967" s="93" t="s">
        <v>111</v>
      </c>
      <c r="J967" s="93" t="s">
        <v>7105</v>
      </c>
      <c r="K967" s="93" t="s">
        <v>111</v>
      </c>
      <c r="L967" s="93" t="s">
        <v>111</v>
      </c>
      <c r="M967" s="93" t="s">
        <v>111</v>
      </c>
      <c r="N967" s="93" t="s">
        <v>111</v>
      </c>
      <c r="O967" s="93" t="s">
        <v>111</v>
      </c>
      <c r="P967" s="93" t="s">
        <v>111</v>
      </c>
      <c r="Q967" s="93" t="s">
        <v>111</v>
      </c>
      <c r="R967" s="93" t="s">
        <v>2</v>
      </c>
      <c r="S967" s="93" t="s">
        <v>111</v>
      </c>
      <c r="T967" s="93" t="s">
        <v>116</v>
      </c>
      <c r="U967" s="94">
        <v>44596.602083333331</v>
      </c>
      <c r="V967" s="93" t="s">
        <v>7072</v>
      </c>
      <c r="W967" s="93" t="s">
        <v>24</v>
      </c>
    </row>
    <row r="968" spans="1:23" x14ac:dyDescent="0.15">
      <c r="A968" s="93" t="s">
        <v>540</v>
      </c>
      <c r="B968" s="93" t="s">
        <v>541</v>
      </c>
      <c r="C968" s="93">
        <v>2754</v>
      </c>
      <c r="D968" s="93" t="s">
        <v>24</v>
      </c>
      <c r="E968" s="93" t="s">
        <v>24</v>
      </c>
      <c r="F968" s="93" t="s">
        <v>7</v>
      </c>
      <c r="G968" s="93" t="s">
        <v>7183</v>
      </c>
      <c r="H968" s="93" t="s">
        <v>118</v>
      </c>
      <c r="I968" s="93" t="s">
        <v>111</v>
      </c>
      <c r="J968" s="93" t="s">
        <v>7105</v>
      </c>
      <c r="K968" s="93" t="s">
        <v>111</v>
      </c>
      <c r="L968" s="93" t="s">
        <v>111</v>
      </c>
      <c r="M968" s="93" t="s">
        <v>111</v>
      </c>
      <c r="N968" s="93" t="s">
        <v>111</v>
      </c>
      <c r="O968" s="93" t="s">
        <v>111</v>
      </c>
      <c r="P968" s="93" t="s">
        <v>111</v>
      </c>
      <c r="Q968" s="93" t="s">
        <v>111</v>
      </c>
      <c r="R968" s="93" t="s">
        <v>2</v>
      </c>
      <c r="S968" s="93" t="s">
        <v>111</v>
      </c>
      <c r="T968" s="93" t="s">
        <v>116</v>
      </c>
      <c r="U968" s="94">
        <v>44596.613888888889</v>
      </c>
      <c r="V968" s="93" t="s">
        <v>7072</v>
      </c>
      <c r="W968" s="93" t="s">
        <v>24</v>
      </c>
    </row>
    <row r="969" spans="1:23" x14ac:dyDescent="0.15">
      <c r="A969" s="93" t="s">
        <v>542</v>
      </c>
      <c r="B969" s="93" t="s">
        <v>543</v>
      </c>
      <c r="C969" s="93">
        <v>4320</v>
      </c>
      <c r="D969" s="93" t="s">
        <v>24</v>
      </c>
      <c r="E969" s="93" t="s">
        <v>24</v>
      </c>
      <c r="F969" s="93" t="s">
        <v>7</v>
      </c>
      <c r="G969" s="93" t="s">
        <v>7183</v>
      </c>
      <c r="H969" s="93" t="s">
        <v>118</v>
      </c>
      <c r="I969" s="93" t="s">
        <v>111</v>
      </c>
      <c r="J969" s="93" t="s">
        <v>7105</v>
      </c>
      <c r="K969" s="93" t="s">
        <v>111</v>
      </c>
      <c r="L969" s="93" t="s">
        <v>111</v>
      </c>
      <c r="M969" s="93" t="s">
        <v>111</v>
      </c>
      <c r="N969" s="93" t="s">
        <v>111</v>
      </c>
      <c r="O969" s="93" t="s">
        <v>111</v>
      </c>
      <c r="P969" s="93" t="s">
        <v>111</v>
      </c>
      <c r="Q969" s="93" t="s">
        <v>111</v>
      </c>
      <c r="R969" s="93" t="s">
        <v>2</v>
      </c>
      <c r="S969" s="93" t="s">
        <v>111</v>
      </c>
      <c r="T969" s="93" t="s">
        <v>116</v>
      </c>
      <c r="U969" s="94">
        <v>44596.570833333331</v>
      </c>
      <c r="V969" s="93" t="s">
        <v>7072</v>
      </c>
      <c r="W969" s="93" t="s">
        <v>24</v>
      </c>
    </row>
    <row r="970" spans="1:23" x14ac:dyDescent="0.15">
      <c r="A970" s="93" t="s">
        <v>544</v>
      </c>
      <c r="B970" s="93" t="s">
        <v>545</v>
      </c>
      <c r="C970" s="93">
        <v>4560</v>
      </c>
      <c r="D970" s="93" t="s">
        <v>24</v>
      </c>
      <c r="E970" s="93" t="s">
        <v>24</v>
      </c>
      <c r="F970" s="93" t="s">
        <v>7</v>
      </c>
      <c r="G970" s="93" t="s">
        <v>7183</v>
      </c>
      <c r="H970" s="93" t="s">
        <v>118</v>
      </c>
      <c r="I970" s="93" t="s">
        <v>111</v>
      </c>
      <c r="J970" s="93" t="s">
        <v>7105</v>
      </c>
      <c r="K970" s="93" t="s">
        <v>111</v>
      </c>
      <c r="L970" s="93" t="s">
        <v>111</v>
      </c>
      <c r="M970" s="93" t="s">
        <v>111</v>
      </c>
      <c r="N970" s="93" t="s">
        <v>111</v>
      </c>
      <c r="O970" s="93" t="s">
        <v>111</v>
      </c>
      <c r="P970" s="93" t="s">
        <v>111</v>
      </c>
      <c r="Q970" s="93" t="s">
        <v>111</v>
      </c>
      <c r="R970" s="93" t="s">
        <v>2</v>
      </c>
      <c r="S970" s="93" t="s">
        <v>111</v>
      </c>
      <c r="T970" s="93" t="s">
        <v>116</v>
      </c>
      <c r="U970" s="94">
        <v>44596.61041666667</v>
      </c>
      <c r="V970" s="93" t="s">
        <v>7072</v>
      </c>
      <c r="W970" s="93" t="s">
        <v>24</v>
      </c>
    </row>
    <row r="971" spans="1:23" x14ac:dyDescent="0.15">
      <c r="A971" s="93" t="s">
        <v>546</v>
      </c>
      <c r="B971" s="93" t="s">
        <v>547</v>
      </c>
      <c r="C971" s="93">
        <v>11628</v>
      </c>
      <c r="D971" s="93" t="s">
        <v>24</v>
      </c>
      <c r="E971" s="93" t="s">
        <v>24</v>
      </c>
      <c r="F971" s="93" t="s">
        <v>7</v>
      </c>
      <c r="G971" s="93" t="s">
        <v>7183</v>
      </c>
      <c r="H971" s="93" t="s">
        <v>118</v>
      </c>
      <c r="I971" s="93" t="s">
        <v>111</v>
      </c>
      <c r="J971" s="93" t="s">
        <v>7105</v>
      </c>
      <c r="K971" s="93" t="s">
        <v>111</v>
      </c>
      <c r="L971" s="93" t="s">
        <v>111</v>
      </c>
      <c r="M971" s="93" t="s">
        <v>111</v>
      </c>
      <c r="N971" s="93" t="s">
        <v>111</v>
      </c>
      <c r="O971" s="93" t="s">
        <v>111</v>
      </c>
      <c r="P971" s="93" t="s">
        <v>111</v>
      </c>
      <c r="Q971" s="93" t="s">
        <v>111</v>
      </c>
      <c r="R971" s="93" t="s">
        <v>2</v>
      </c>
      <c r="S971" s="93" t="s">
        <v>111</v>
      </c>
      <c r="T971" s="93" t="s">
        <v>116</v>
      </c>
      <c r="U971" s="94">
        <v>44596.561805555553</v>
      </c>
      <c r="V971" s="93" t="s">
        <v>7072</v>
      </c>
      <c r="W971" s="93" t="s">
        <v>24</v>
      </c>
    </row>
    <row r="972" spans="1:23" x14ac:dyDescent="0.15">
      <c r="A972" s="93" t="s">
        <v>548</v>
      </c>
      <c r="B972" s="93" t="s">
        <v>549</v>
      </c>
      <c r="C972" s="93">
        <v>18240</v>
      </c>
      <c r="D972" s="93" t="s">
        <v>24</v>
      </c>
      <c r="E972" s="93" t="s">
        <v>24</v>
      </c>
      <c r="F972" s="93" t="s">
        <v>7</v>
      </c>
      <c r="G972" s="93" t="s">
        <v>7183</v>
      </c>
      <c r="H972" s="93" t="s">
        <v>118</v>
      </c>
      <c r="I972" s="93" t="s">
        <v>111</v>
      </c>
      <c r="J972" s="93" t="s">
        <v>7105</v>
      </c>
      <c r="K972" s="93" t="s">
        <v>111</v>
      </c>
      <c r="L972" s="93" t="s">
        <v>111</v>
      </c>
      <c r="M972" s="93" t="s">
        <v>111</v>
      </c>
      <c r="N972" s="93" t="s">
        <v>111</v>
      </c>
      <c r="O972" s="93" t="s">
        <v>111</v>
      </c>
      <c r="P972" s="93" t="s">
        <v>111</v>
      </c>
      <c r="Q972" s="93" t="s">
        <v>111</v>
      </c>
      <c r="R972" s="93" t="s">
        <v>2</v>
      </c>
      <c r="S972" s="93" t="s">
        <v>111</v>
      </c>
      <c r="T972" s="93" t="s">
        <v>116</v>
      </c>
      <c r="U972" s="94">
        <v>44596.602083333331</v>
      </c>
      <c r="V972" s="93" t="s">
        <v>7072</v>
      </c>
      <c r="W972" s="93" t="s">
        <v>24</v>
      </c>
    </row>
    <row r="973" spans="1:23" x14ac:dyDescent="0.15">
      <c r="A973" s="93" t="s">
        <v>550</v>
      </c>
      <c r="B973" s="93" t="s">
        <v>551</v>
      </c>
      <c r="C973" s="93">
        <v>264</v>
      </c>
      <c r="D973" s="93" t="s">
        <v>24</v>
      </c>
      <c r="E973" s="93" t="s">
        <v>24</v>
      </c>
      <c r="F973" s="93" t="s">
        <v>7</v>
      </c>
      <c r="G973" s="93" t="s">
        <v>7183</v>
      </c>
      <c r="H973" s="93" t="s">
        <v>118</v>
      </c>
      <c r="I973" s="93" t="s">
        <v>111</v>
      </c>
      <c r="J973" s="93" t="s">
        <v>7105</v>
      </c>
      <c r="K973" s="93" t="s">
        <v>111</v>
      </c>
      <c r="L973" s="93" t="s">
        <v>111</v>
      </c>
      <c r="M973" s="93" t="s">
        <v>111</v>
      </c>
      <c r="N973" s="93" t="s">
        <v>111</v>
      </c>
      <c r="O973" s="93" t="s">
        <v>111</v>
      </c>
      <c r="P973" s="93" t="s">
        <v>111</v>
      </c>
      <c r="Q973" s="93" t="s">
        <v>111</v>
      </c>
      <c r="R973" s="93" t="s">
        <v>2</v>
      </c>
      <c r="S973" s="93" t="s">
        <v>111</v>
      </c>
      <c r="T973" s="93" t="s">
        <v>116</v>
      </c>
      <c r="U973" s="94">
        <v>44596.565972222219</v>
      </c>
      <c r="V973" s="93" t="s">
        <v>7072</v>
      </c>
      <c r="W973" s="93" t="s">
        <v>24</v>
      </c>
    </row>
    <row r="974" spans="1:23" x14ac:dyDescent="0.15">
      <c r="A974" s="93" t="s">
        <v>552</v>
      </c>
      <c r="B974" s="93" t="s">
        <v>553</v>
      </c>
      <c r="C974" s="93">
        <v>674</v>
      </c>
      <c r="D974" s="93" t="s">
        <v>24</v>
      </c>
      <c r="E974" s="93" t="s">
        <v>24</v>
      </c>
      <c r="F974" s="93" t="s">
        <v>7</v>
      </c>
      <c r="G974" s="93" t="s">
        <v>7183</v>
      </c>
      <c r="H974" s="93" t="s">
        <v>118</v>
      </c>
      <c r="I974" s="93" t="s">
        <v>111</v>
      </c>
      <c r="J974" s="93" t="s">
        <v>7105</v>
      </c>
      <c r="K974" s="93" t="s">
        <v>111</v>
      </c>
      <c r="L974" s="93" t="s">
        <v>111</v>
      </c>
      <c r="M974" s="93" t="s">
        <v>111</v>
      </c>
      <c r="N974" s="93" t="s">
        <v>111</v>
      </c>
      <c r="O974" s="93" t="s">
        <v>111</v>
      </c>
      <c r="P974" s="93" t="s">
        <v>111</v>
      </c>
      <c r="Q974" s="93" t="s">
        <v>111</v>
      </c>
      <c r="R974" s="93" t="s">
        <v>2</v>
      </c>
      <c r="S974" s="93" t="s">
        <v>111</v>
      </c>
      <c r="T974" s="93" t="s">
        <v>116</v>
      </c>
      <c r="U974" s="94">
        <v>44596.556944444441</v>
      </c>
      <c r="V974" s="93" t="s">
        <v>7072</v>
      </c>
      <c r="W974" s="93" t="s">
        <v>24</v>
      </c>
    </row>
    <row r="975" spans="1:23" x14ac:dyDescent="0.15">
      <c r="A975" s="93" t="s">
        <v>554</v>
      </c>
      <c r="B975" s="93" t="s">
        <v>555</v>
      </c>
      <c r="C975" s="93">
        <v>1056</v>
      </c>
      <c r="D975" s="93" t="s">
        <v>24</v>
      </c>
      <c r="E975" s="93" t="s">
        <v>24</v>
      </c>
      <c r="F975" s="93" t="s">
        <v>7</v>
      </c>
      <c r="G975" s="93" t="s">
        <v>7183</v>
      </c>
      <c r="H975" s="93" t="s">
        <v>118</v>
      </c>
      <c r="I975" s="93" t="s">
        <v>111</v>
      </c>
      <c r="J975" s="93" t="s">
        <v>7105</v>
      </c>
      <c r="K975" s="93" t="s">
        <v>111</v>
      </c>
      <c r="L975" s="93" t="s">
        <v>111</v>
      </c>
      <c r="M975" s="93" t="s">
        <v>111</v>
      </c>
      <c r="N975" s="93" t="s">
        <v>111</v>
      </c>
      <c r="O975" s="93" t="s">
        <v>111</v>
      </c>
      <c r="P975" s="93" t="s">
        <v>111</v>
      </c>
      <c r="Q975" s="93" t="s">
        <v>111</v>
      </c>
      <c r="R975" s="93" t="s">
        <v>2</v>
      </c>
      <c r="S975" s="93" t="s">
        <v>111</v>
      </c>
      <c r="T975" s="93" t="s">
        <v>116</v>
      </c>
      <c r="U975" s="94">
        <v>44596.57916666667</v>
      </c>
      <c r="V975" s="93" t="s">
        <v>7072</v>
      </c>
      <c r="W975" s="93" t="s">
        <v>24</v>
      </c>
    </row>
    <row r="976" spans="1:23" x14ac:dyDescent="0.15">
      <c r="A976" s="93" t="s">
        <v>556</v>
      </c>
      <c r="B976" s="93" t="s">
        <v>557</v>
      </c>
      <c r="C976" s="93">
        <v>1260</v>
      </c>
      <c r="D976" s="93" t="s">
        <v>24</v>
      </c>
      <c r="E976" s="93" t="s">
        <v>24</v>
      </c>
      <c r="F976" s="93" t="s">
        <v>7</v>
      </c>
      <c r="G976" s="93" t="s">
        <v>7183</v>
      </c>
      <c r="H976" s="93" t="s">
        <v>118</v>
      </c>
      <c r="I976" s="93" t="s">
        <v>111</v>
      </c>
      <c r="J976" s="93" t="s">
        <v>7105</v>
      </c>
      <c r="K976" s="93" t="s">
        <v>111</v>
      </c>
      <c r="L976" s="93" t="s">
        <v>111</v>
      </c>
      <c r="M976" s="93" t="s">
        <v>111</v>
      </c>
      <c r="N976" s="93" t="s">
        <v>111</v>
      </c>
      <c r="O976" s="93" t="s">
        <v>111</v>
      </c>
      <c r="P976" s="93" t="s">
        <v>111</v>
      </c>
      <c r="Q976" s="93" t="s">
        <v>111</v>
      </c>
      <c r="R976" s="93" t="s">
        <v>2</v>
      </c>
      <c r="S976" s="93" t="s">
        <v>111</v>
      </c>
      <c r="T976" s="93" t="s">
        <v>116</v>
      </c>
      <c r="U976" s="94">
        <v>44596.57916666667</v>
      </c>
      <c r="V976" s="93" t="s">
        <v>7072</v>
      </c>
      <c r="W976" s="93" t="s">
        <v>24</v>
      </c>
    </row>
    <row r="977" spans="1:23" x14ac:dyDescent="0.15">
      <c r="A977" s="93" t="s">
        <v>558</v>
      </c>
      <c r="B977" s="93" t="s">
        <v>559</v>
      </c>
      <c r="C977" s="93">
        <v>3213</v>
      </c>
      <c r="D977" s="93" t="s">
        <v>24</v>
      </c>
      <c r="E977" s="93" t="s">
        <v>24</v>
      </c>
      <c r="F977" s="93" t="s">
        <v>7</v>
      </c>
      <c r="G977" s="93" t="s">
        <v>7183</v>
      </c>
      <c r="H977" s="93" t="s">
        <v>118</v>
      </c>
      <c r="I977" s="93" t="s">
        <v>111</v>
      </c>
      <c r="J977" s="93" t="s">
        <v>7105</v>
      </c>
      <c r="K977" s="93" t="s">
        <v>111</v>
      </c>
      <c r="L977" s="93" t="s">
        <v>111</v>
      </c>
      <c r="M977" s="93" t="s">
        <v>111</v>
      </c>
      <c r="N977" s="93" t="s">
        <v>111</v>
      </c>
      <c r="O977" s="93" t="s">
        <v>111</v>
      </c>
      <c r="P977" s="93" t="s">
        <v>111</v>
      </c>
      <c r="Q977" s="93" t="s">
        <v>111</v>
      </c>
      <c r="R977" s="93" t="s">
        <v>2</v>
      </c>
      <c r="S977" s="93" t="s">
        <v>111</v>
      </c>
      <c r="T977" s="93" t="s">
        <v>116</v>
      </c>
      <c r="U977" s="94">
        <v>44596.565972222219</v>
      </c>
      <c r="V977" s="93" t="s">
        <v>7072</v>
      </c>
      <c r="W977" s="93" t="s">
        <v>24</v>
      </c>
    </row>
    <row r="978" spans="1:23" x14ac:dyDescent="0.15">
      <c r="A978" s="93" t="s">
        <v>560</v>
      </c>
      <c r="B978" s="93" t="s">
        <v>561</v>
      </c>
      <c r="C978" s="93">
        <v>5040</v>
      </c>
      <c r="D978" s="93" t="s">
        <v>24</v>
      </c>
      <c r="E978" s="93" t="s">
        <v>24</v>
      </c>
      <c r="F978" s="93" t="s">
        <v>7</v>
      </c>
      <c r="G978" s="93" t="s">
        <v>7183</v>
      </c>
      <c r="H978" s="93" t="s">
        <v>118</v>
      </c>
      <c r="I978" s="93" t="s">
        <v>111</v>
      </c>
      <c r="J978" s="93" t="s">
        <v>7105</v>
      </c>
      <c r="K978" s="93" t="s">
        <v>111</v>
      </c>
      <c r="L978" s="93" t="s">
        <v>111</v>
      </c>
      <c r="M978" s="93" t="s">
        <v>111</v>
      </c>
      <c r="N978" s="93" t="s">
        <v>111</v>
      </c>
      <c r="O978" s="93" t="s">
        <v>111</v>
      </c>
      <c r="P978" s="93" t="s">
        <v>111</v>
      </c>
      <c r="Q978" s="93" t="s">
        <v>111</v>
      </c>
      <c r="R978" s="93" t="s">
        <v>2</v>
      </c>
      <c r="S978" s="93" t="s">
        <v>111</v>
      </c>
      <c r="T978" s="93" t="s">
        <v>116</v>
      </c>
      <c r="U978" s="94">
        <v>44596.606249999997</v>
      </c>
      <c r="V978" s="93" t="s">
        <v>7072</v>
      </c>
      <c r="W978" s="93" t="s">
        <v>24</v>
      </c>
    </row>
    <row r="979" spans="1:23" x14ac:dyDescent="0.15">
      <c r="A979" s="93" t="s">
        <v>562</v>
      </c>
      <c r="B979" s="93" t="s">
        <v>563</v>
      </c>
      <c r="C979" s="93">
        <v>5400</v>
      </c>
      <c r="D979" s="93" t="s">
        <v>24</v>
      </c>
      <c r="E979" s="93" t="s">
        <v>24</v>
      </c>
      <c r="F979" s="93" t="s">
        <v>7</v>
      </c>
      <c r="G979" s="93" t="s">
        <v>7183</v>
      </c>
      <c r="H979" s="93" t="s">
        <v>118</v>
      </c>
      <c r="I979" s="93" t="s">
        <v>111</v>
      </c>
      <c r="J979" s="93" t="s">
        <v>7105</v>
      </c>
      <c r="K979" s="93" t="s">
        <v>111</v>
      </c>
      <c r="L979" s="93" t="s">
        <v>111</v>
      </c>
      <c r="M979" s="93" t="s">
        <v>111</v>
      </c>
      <c r="N979" s="93" t="s">
        <v>111</v>
      </c>
      <c r="O979" s="93" t="s">
        <v>111</v>
      </c>
      <c r="P979" s="93" t="s">
        <v>111</v>
      </c>
      <c r="Q979" s="93" t="s">
        <v>111</v>
      </c>
      <c r="R979" s="93" t="s">
        <v>2</v>
      </c>
      <c r="S979" s="93" t="s">
        <v>111</v>
      </c>
      <c r="T979" s="93" t="s">
        <v>116</v>
      </c>
      <c r="U979" s="94">
        <v>44596.613888888889</v>
      </c>
      <c r="V979" s="93" t="s">
        <v>7072</v>
      </c>
      <c r="W979" s="93" t="s">
        <v>24</v>
      </c>
    </row>
    <row r="980" spans="1:23" x14ac:dyDescent="0.15">
      <c r="A980" s="93" t="s">
        <v>564</v>
      </c>
      <c r="B980" s="93" t="s">
        <v>565</v>
      </c>
      <c r="C980" s="93">
        <v>13770</v>
      </c>
      <c r="D980" s="93" t="s">
        <v>24</v>
      </c>
      <c r="E980" s="93" t="s">
        <v>24</v>
      </c>
      <c r="F980" s="93" t="s">
        <v>7</v>
      </c>
      <c r="G980" s="93" t="s">
        <v>7183</v>
      </c>
      <c r="H980" s="93" t="s">
        <v>118</v>
      </c>
      <c r="I980" s="93" t="s">
        <v>111</v>
      </c>
      <c r="J980" s="93" t="s">
        <v>7105</v>
      </c>
      <c r="K980" s="93" t="s">
        <v>111</v>
      </c>
      <c r="L980" s="93" t="s">
        <v>111</v>
      </c>
      <c r="M980" s="93" t="s">
        <v>111</v>
      </c>
      <c r="N980" s="93" t="s">
        <v>111</v>
      </c>
      <c r="O980" s="93" t="s">
        <v>111</v>
      </c>
      <c r="P980" s="93" t="s">
        <v>111</v>
      </c>
      <c r="Q980" s="93" t="s">
        <v>111</v>
      </c>
      <c r="R980" s="93" t="s">
        <v>2</v>
      </c>
      <c r="S980" s="93" t="s">
        <v>111</v>
      </c>
      <c r="T980" s="93" t="s">
        <v>116</v>
      </c>
      <c r="U980" s="94">
        <v>44596.571527777778</v>
      </c>
      <c r="V980" s="93" t="s">
        <v>7072</v>
      </c>
      <c r="W980" s="93" t="s">
        <v>24</v>
      </c>
    </row>
    <row r="981" spans="1:23" x14ac:dyDescent="0.15">
      <c r="A981" s="93" t="s">
        <v>566</v>
      </c>
      <c r="B981" s="93" t="s">
        <v>567</v>
      </c>
      <c r="C981" s="93">
        <v>21600</v>
      </c>
      <c r="D981" s="93" t="s">
        <v>24</v>
      </c>
      <c r="E981" s="93" t="s">
        <v>24</v>
      </c>
      <c r="F981" s="93" t="s">
        <v>7</v>
      </c>
      <c r="G981" s="93" t="s">
        <v>7183</v>
      </c>
      <c r="H981" s="93" t="s">
        <v>118</v>
      </c>
      <c r="I981" s="93" t="s">
        <v>111</v>
      </c>
      <c r="J981" s="93" t="s">
        <v>7105</v>
      </c>
      <c r="K981" s="93" t="s">
        <v>111</v>
      </c>
      <c r="L981" s="93" t="s">
        <v>111</v>
      </c>
      <c r="M981" s="93" t="s">
        <v>111</v>
      </c>
      <c r="N981" s="93" t="s">
        <v>111</v>
      </c>
      <c r="O981" s="93" t="s">
        <v>111</v>
      </c>
      <c r="P981" s="93" t="s">
        <v>111</v>
      </c>
      <c r="Q981" s="93" t="s">
        <v>111</v>
      </c>
      <c r="R981" s="93" t="s">
        <v>2</v>
      </c>
      <c r="S981" s="93" t="s">
        <v>111</v>
      </c>
      <c r="T981" s="93" t="s">
        <v>116</v>
      </c>
      <c r="U981" s="94">
        <v>44596.565972222219</v>
      </c>
      <c r="V981" s="93" t="s">
        <v>7072</v>
      </c>
      <c r="W981" s="93" t="s">
        <v>24</v>
      </c>
    </row>
    <row r="982" spans="1:23" x14ac:dyDescent="0.15">
      <c r="A982" s="93" t="s">
        <v>568</v>
      </c>
      <c r="B982" s="93" t="s">
        <v>569</v>
      </c>
      <c r="C982" s="93">
        <v>300</v>
      </c>
      <c r="D982" s="93" t="s">
        <v>24</v>
      </c>
      <c r="E982" s="93" t="s">
        <v>24</v>
      </c>
      <c r="F982" s="93" t="s">
        <v>7</v>
      </c>
      <c r="G982" s="93" t="s">
        <v>7183</v>
      </c>
      <c r="H982" s="93" t="s">
        <v>118</v>
      </c>
      <c r="I982" s="93" t="s">
        <v>111</v>
      </c>
      <c r="J982" s="93" t="s">
        <v>7105</v>
      </c>
      <c r="K982" s="93" t="s">
        <v>111</v>
      </c>
      <c r="L982" s="93" t="s">
        <v>111</v>
      </c>
      <c r="M982" s="93" t="s">
        <v>111</v>
      </c>
      <c r="N982" s="93" t="s">
        <v>111</v>
      </c>
      <c r="O982" s="93" t="s">
        <v>111</v>
      </c>
      <c r="P982" s="93" t="s">
        <v>111</v>
      </c>
      <c r="Q982" s="93" t="s">
        <v>111</v>
      </c>
      <c r="R982" s="93" t="s">
        <v>2</v>
      </c>
      <c r="S982" s="93" t="s">
        <v>111</v>
      </c>
      <c r="T982" s="93" t="s">
        <v>116</v>
      </c>
      <c r="U982" s="94">
        <v>44596.556944444441</v>
      </c>
      <c r="V982" s="93" t="s">
        <v>7072</v>
      </c>
      <c r="W982" s="93" t="s">
        <v>24</v>
      </c>
    </row>
    <row r="983" spans="1:23" x14ac:dyDescent="0.15">
      <c r="A983" s="93" t="s">
        <v>570</v>
      </c>
      <c r="B983" s="93" t="s">
        <v>571</v>
      </c>
      <c r="C983" s="93">
        <v>765</v>
      </c>
      <c r="D983" s="93" t="s">
        <v>24</v>
      </c>
      <c r="E983" s="93" t="s">
        <v>24</v>
      </c>
      <c r="F983" s="93" t="s">
        <v>7</v>
      </c>
      <c r="G983" s="93" t="s">
        <v>7183</v>
      </c>
      <c r="H983" s="93" t="s">
        <v>118</v>
      </c>
      <c r="I983" s="93" t="s">
        <v>111</v>
      </c>
      <c r="J983" s="93" t="s">
        <v>7105</v>
      </c>
      <c r="K983" s="93" t="s">
        <v>111</v>
      </c>
      <c r="L983" s="93" t="s">
        <v>111</v>
      </c>
      <c r="M983" s="93" t="s">
        <v>111</v>
      </c>
      <c r="N983" s="93" t="s">
        <v>111</v>
      </c>
      <c r="O983" s="93" t="s">
        <v>111</v>
      </c>
      <c r="P983" s="93" t="s">
        <v>111</v>
      </c>
      <c r="Q983" s="93" t="s">
        <v>111</v>
      </c>
      <c r="R983" s="93" t="s">
        <v>2</v>
      </c>
      <c r="S983" s="93" t="s">
        <v>111</v>
      </c>
      <c r="T983" s="93" t="s">
        <v>116</v>
      </c>
      <c r="U983" s="94">
        <v>44596.570833333331</v>
      </c>
      <c r="V983" s="93" t="s">
        <v>7072</v>
      </c>
      <c r="W983" s="93" t="s">
        <v>24</v>
      </c>
    </row>
    <row r="984" spans="1:23" x14ac:dyDescent="0.15">
      <c r="A984" s="93" t="s">
        <v>572</v>
      </c>
      <c r="B984" s="93" t="s">
        <v>573</v>
      </c>
      <c r="C984" s="93">
        <v>1200</v>
      </c>
      <c r="D984" s="93" t="s">
        <v>24</v>
      </c>
      <c r="E984" s="93" t="s">
        <v>24</v>
      </c>
      <c r="F984" s="93" t="s">
        <v>7</v>
      </c>
      <c r="G984" s="93" t="s">
        <v>7183</v>
      </c>
      <c r="H984" s="93" t="s">
        <v>118</v>
      </c>
      <c r="I984" s="93" t="s">
        <v>111</v>
      </c>
      <c r="J984" s="93" t="s">
        <v>7105</v>
      </c>
      <c r="K984" s="93" t="s">
        <v>111</v>
      </c>
      <c r="L984" s="93" t="s">
        <v>111</v>
      </c>
      <c r="M984" s="93" t="s">
        <v>111</v>
      </c>
      <c r="N984" s="93" t="s">
        <v>111</v>
      </c>
      <c r="O984" s="93" t="s">
        <v>111</v>
      </c>
      <c r="P984" s="93" t="s">
        <v>111</v>
      </c>
      <c r="Q984" s="93" t="s">
        <v>111</v>
      </c>
      <c r="R984" s="93" t="s">
        <v>2</v>
      </c>
      <c r="S984" s="93" t="s">
        <v>111</v>
      </c>
      <c r="T984" s="93" t="s">
        <v>116</v>
      </c>
      <c r="U984" s="94">
        <v>44596.565972222219</v>
      </c>
      <c r="V984" s="93" t="s">
        <v>7072</v>
      </c>
      <c r="W984" s="93" t="s">
        <v>24</v>
      </c>
    </row>
    <row r="985" spans="1:23" x14ac:dyDescent="0.15">
      <c r="A985" s="93" t="s">
        <v>574</v>
      </c>
      <c r="B985" s="93" t="s">
        <v>575</v>
      </c>
      <c r="C985" s="93">
        <v>1440</v>
      </c>
      <c r="D985" s="93" t="s">
        <v>24</v>
      </c>
      <c r="E985" s="93" t="s">
        <v>24</v>
      </c>
      <c r="F985" s="93" t="s">
        <v>7</v>
      </c>
      <c r="G985" s="93" t="s">
        <v>7183</v>
      </c>
      <c r="H985" s="93" t="s">
        <v>118</v>
      </c>
      <c r="I985" s="93" t="s">
        <v>111</v>
      </c>
      <c r="J985" s="93" t="s">
        <v>7105</v>
      </c>
      <c r="K985" s="93" t="s">
        <v>111</v>
      </c>
      <c r="L985" s="93" t="s">
        <v>111</v>
      </c>
      <c r="M985" s="93" t="s">
        <v>111</v>
      </c>
      <c r="N985" s="93" t="s">
        <v>111</v>
      </c>
      <c r="O985" s="93" t="s">
        <v>111</v>
      </c>
      <c r="P985" s="93" t="s">
        <v>111</v>
      </c>
      <c r="Q985" s="93" t="s">
        <v>111</v>
      </c>
      <c r="R985" s="93" t="s">
        <v>2</v>
      </c>
      <c r="S985" s="93" t="s">
        <v>111</v>
      </c>
      <c r="T985" s="93" t="s">
        <v>116</v>
      </c>
      <c r="U985" s="94">
        <v>44596.584027777775</v>
      </c>
      <c r="V985" s="93" t="s">
        <v>7072</v>
      </c>
      <c r="W985" s="93" t="s">
        <v>24</v>
      </c>
    </row>
    <row r="986" spans="1:23" x14ac:dyDescent="0.15">
      <c r="A986" s="93" t="s">
        <v>576</v>
      </c>
      <c r="B986" s="93" t="s">
        <v>577</v>
      </c>
      <c r="C986" s="93">
        <v>3672</v>
      </c>
      <c r="D986" s="93" t="s">
        <v>24</v>
      </c>
      <c r="E986" s="93" t="s">
        <v>24</v>
      </c>
      <c r="F986" s="93" t="s">
        <v>7</v>
      </c>
      <c r="G986" s="93" t="s">
        <v>7183</v>
      </c>
      <c r="H986" s="93" t="s">
        <v>118</v>
      </c>
      <c r="I986" s="93" t="s">
        <v>111</v>
      </c>
      <c r="J986" s="93" t="s">
        <v>7105</v>
      </c>
      <c r="K986" s="93" t="s">
        <v>111</v>
      </c>
      <c r="L986" s="93" t="s">
        <v>111</v>
      </c>
      <c r="M986" s="93" t="s">
        <v>111</v>
      </c>
      <c r="N986" s="93" t="s">
        <v>111</v>
      </c>
      <c r="O986" s="93" t="s">
        <v>111</v>
      </c>
      <c r="P986" s="93" t="s">
        <v>111</v>
      </c>
      <c r="Q986" s="93" t="s">
        <v>111</v>
      </c>
      <c r="R986" s="93" t="s">
        <v>2</v>
      </c>
      <c r="S986" s="93" t="s">
        <v>111</v>
      </c>
      <c r="T986" s="93" t="s">
        <v>116</v>
      </c>
      <c r="U986" s="94">
        <v>44596.613888888889</v>
      </c>
      <c r="V986" s="93" t="s">
        <v>7072</v>
      </c>
      <c r="W986" s="93" t="s">
        <v>24</v>
      </c>
    </row>
    <row r="987" spans="1:23" x14ac:dyDescent="0.15">
      <c r="A987" s="93" t="s">
        <v>578</v>
      </c>
      <c r="B987" s="93" t="s">
        <v>579</v>
      </c>
      <c r="C987" s="93">
        <v>5760</v>
      </c>
      <c r="D987" s="93" t="s">
        <v>24</v>
      </c>
      <c r="E987" s="93" t="s">
        <v>24</v>
      </c>
      <c r="F987" s="93" t="s">
        <v>7</v>
      </c>
      <c r="G987" s="93" t="s">
        <v>7183</v>
      </c>
      <c r="H987" s="93" t="s">
        <v>118</v>
      </c>
      <c r="I987" s="93" t="s">
        <v>111</v>
      </c>
      <c r="J987" s="93" t="s">
        <v>7105</v>
      </c>
      <c r="K987" s="93" t="s">
        <v>111</v>
      </c>
      <c r="L987" s="93" t="s">
        <v>111</v>
      </c>
      <c r="M987" s="93" t="s">
        <v>111</v>
      </c>
      <c r="N987" s="93" t="s">
        <v>111</v>
      </c>
      <c r="O987" s="93" t="s">
        <v>111</v>
      </c>
      <c r="P987" s="93" t="s">
        <v>111</v>
      </c>
      <c r="Q987" s="93" t="s">
        <v>111</v>
      </c>
      <c r="R987" s="93" t="s">
        <v>2</v>
      </c>
      <c r="S987" s="93" t="s">
        <v>111</v>
      </c>
      <c r="T987" s="93" t="s">
        <v>116</v>
      </c>
      <c r="U987" s="94">
        <v>44596.556944444441</v>
      </c>
      <c r="V987" s="93" t="s">
        <v>7072</v>
      </c>
      <c r="W987" s="93" t="s">
        <v>24</v>
      </c>
    </row>
    <row r="988" spans="1:23" x14ac:dyDescent="0.15">
      <c r="A988" s="93" t="s">
        <v>580</v>
      </c>
      <c r="B988" s="93" t="s">
        <v>581</v>
      </c>
      <c r="C988" s="93">
        <v>6000</v>
      </c>
      <c r="D988" s="93" t="s">
        <v>24</v>
      </c>
      <c r="E988" s="93" t="s">
        <v>24</v>
      </c>
      <c r="F988" s="93" t="s">
        <v>7</v>
      </c>
      <c r="G988" s="93" t="s">
        <v>7183</v>
      </c>
      <c r="H988" s="93" t="s">
        <v>118</v>
      </c>
      <c r="I988" s="93" t="s">
        <v>111</v>
      </c>
      <c r="J988" s="93" t="s">
        <v>7105</v>
      </c>
      <c r="K988" s="93" t="s">
        <v>111</v>
      </c>
      <c r="L988" s="93" t="s">
        <v>111</v>
      </c>
      <c r="M988" s="93" t="s">
        <v>111</v>
      </c>
      <c r="N988" s="93" t="s">
        <v>111</v>
      </c>
      <c r="O988" s="93" t="s">
        <v>111</v>
      </c>
      <c r="P988" s="93" t="s">
        <v>111</v>
      </c>
      <c r="Q988" s="93" t="s">
        <v>111</v>
      </c>
      <c r="R988" s="93" t="s">
        <v>2</v>
      </c>
      <c r="S988" s="93" t="s">
        <v>111</v>
      </c>
      <c r="T988" s="93" t="s">
        <v>116</v>
      </c>
      <c r="U988" s="94">
        <v>44596.556944444441</v>
      </c>
      <c r="V988" s="93" t="s">
        <v>7072</v>
      </c>
      <c r="W988" s="93" t="s">
        <v>24</v>
      </c>
    </row>
    <row r="989" spans="1:23" x14ac:dyDescent="0.15">
      <c r="A989" s="93" t="s">
        <v>582</v>
      </c>
      <c r="B989" s="93" t="s">
        <v>583</v>
      </c>
      <c r="C989" s="93">
        <v>15300</v>
      </c>
      <c r="D989" s="93" t="s">
        <v>24</v>
      </c>
      <c r="E989" s="93" t="s">
        <v>24</v>
      </c>
      <c r="F989" s="93" t="s">
        <v>7</v>
      </c>
      <c r="G989" s="93" t="s">
        <v>7183</v>
      </c>
      <c r="H989" s="93" t="s">
        <v>118</v>
      </c>
      <c r="I989" s="93" t="s">
        <v>111</v>
      </c>
      <c r="J989" s="93" t="s">
        <v>7105</v>
      </c>
      <c r="K989" s="93" t="s">
        <v>111</v>
      </c>
      <c r="L989" s="93" t="s">
        <v>111</v>
      </c>
      <c r="M989" s="93" t="s">
        <v>111</v>
      </c>
      <c r="N989" s="93" t="s">
        <v>111</v>
      </c>
      <c r="O989" s="93" t="s">
        <v>111</v>
      </c>
      <c r="P989" s="93" t="s">
        <v>111</v>
      </c>
      <c r="Q989" s="93" t="s">
        <v>111</v>
      </c>
      <c r="R989" s="93" t="s">
        <v>2</v>
      </c>
      <c r="S989" s="93" t="s">
        <v>111</v>
      </c>
      <c r="T989" s="93" t="s">
        <v>116</v>
      </c>
      <c r="U989" s="94">
        <v>44596.57916666667</v>
      </c>
      <c r="V989" s="93" t="s">
        <v>7072</v>
      </c>
      <c r="W989" s="93" t="s">
        <v>24</v>
      </c>
    </row>
    <row r="990" spans="1:23" x14ac:dyDescent="0.15">
      <c r="A990" s="93" t="s">
        <v>584</v>
      </c>
      <c r="B990" s="93" t="s">
        <v>585</v>
      </c>
      <c r="C990" s="93">
        <v>24000</v>
      </c>
      <c r="D990" s="93" t="s">
        <v>24</v>
      </c>
      <c r="E990" s="93" t="s">
        <v>24</v>
      </c>
      <c r="F990" s="93" t="s">
        <v>7</v>
      </c>
      <c r="G990" s="93" t="s">
        <v>7183</v>
      </c>
      <c r="H990" s="93" t="s">
        <v>118</v>
      </c>
      <c r="I990" s="93" t="s">
        <v>111</v>
      </c>
      <c r="J990" s="93" t="s">
        <v>7105</v>
      </c>
      <c r="K990" s="93" t="s">
        <v>111</v>
      </c>
      <c r="L990" s="93" t="s">
        <v>111</v>
      </c>
      <c r="M990" s="93" t="s">
        <v>111</v>
      </c>
      <c r="N990" s="93" t="s">
        <v>111</v>
      </c>
      <c r="O990" s="93" t="s">
        <v>111</v>
      </c>
      <c r="P990" s="93" t="s">
        <v>111</v>
      </c>
      <c r="Q990" s="93" t="s">
        <v>111</v>
      </c>
      <c r="R990" s="93" t="s">
        <v>2</v>
      </c>
      <c r="S990" s="93" t="s">
        <v>111</v>
      </c>
      <c r="T990" s="93" t="s">
        <v>116</v>
      </c>
      <c r="U990" s="94">
        <v>44596.556944444441</v>
      </c>
      <c r="V990" s="93" t="s">
        <v>7072</v>
      </c>
      <c r="W990" s="93" t="s">
        <v>24</v>
      </c>
    </row>
    <row r="991" spans="1:23" x14ac:dyDescent="0.15">
      <c r="A991" s="93" t="s">
        <v>586</v>
      </c>
      <c r="B991" s="93" t="s">
        <v>587</v>
      </c>
      <c r="C991" s="93">
        <v>336</v>
      </c>
      <c r="D991" s="93" t="s">
        <v>24</v>
      </c>
      <c r="E991" s="93" t="s">
        <v>24</v>
      </c>
      <c r="F991" s="93" t="s">
        <v>7</v>
      </c>
      <c r="G991" s="93" t="s">
        <v>7183</v>
      </c>
      <c r="H991" s="93" t="s">
        <v>118</v>
      </c>
      <c r="I991" s="93" t="s">
        <v>111</v>
      </c>
      <c r="J991" s="93" t="s">
        <v>7105</v>
      </c>
      <c r="K991" s="93" t="s">
        <v>111</v>
      </c>
      <c r="L991" s="93" t="s">
        <v>111</v>
      </c>
      <c r="M991" s="93" t="s">
        <v>111</v>
      </c>
      <c r="N991" s="93" t="s">
        <v>111</v>
      </c>
      <c r="O991" s="93" t="s">
        <v>111</v>
      </c>
      <c r="P991" s="93" t="s">
        <v>111</v>
      </c>
      <c r="Q991" s="93" t="s">
        <v>111</v>
      </c>
      <c r="R991" s="93" t="s">
        <v>2</v>
      </c>
      <c r="S991" s="93" t="s">
        <v>111</v>
      </c>
      <c r="T991" s="93" t="s">
        <v>116</v>
      </c>
      <c r="U991" s="94">
        <v>44596.561805555553</v>
      </c>
      <c r="V991" s="93" t="s">
        <v>7072</v>
      </c>
      <c r="W991" s="93" t="s">
        <v>24</v>
      </c>
    </row>
    <row r="992" spans="1:23" x14ac:dyDescent="0.15">
      <c r="A992" s="93" t="s">
        <v>588</v>
      </c>
      <c r="B992" s="93" t="s">
        <v>589</v>
      </c>
      <c r="C992" s="93">
        <v>857</v>
      </c>
      <c r="D992" s="93" t="s">
        <v>24</v>
      </c>
      <c r="E992" s="93" t="s">
        <v>24</v>
      </c>
      <c r="F992" s="93" t="s">
        <v>7</v>
      </c>
      <c r="G992" s="93" t="s">
        <v>7183</v>
      </c>
      <c r="H992" s="93" t="s">
        <v>118</v>
      </c>
      <c r="I992" s="93" t="s">
        <v>111</v>
      </c>
      <c r="J992" s="93" t="s">
        <v>7105</v>
      </c>
      <c r="K992" s="93" t="s">
        <v>111</v>
      </c>
      <c r="L992" s="93" t="s">
        <v>111</v>
      </c>
      <c r="M992" s="93" t="s">
        <v>111</v>
      </c>
      <c r="N992" s="93" t="s">
        <v>111</v>
      </c>
      <c r="O992" s="93" t="s">
        <v>111</v>
      </c>
      <c r="P992" s="93" t="s">
        <v>111</v>
      </c>
      <c r="Q992" s="93" t="s">
        <v>111</v>
      </c>
      <c r="R992" s="93" t="s">
        <v>2</v>
      </c>
      <c r="S992" s="93" t="s">
        <v>111</v>
      </c>
      <c r="T992" s="93" t="s">
        <v>116</v>
      </c>
      <c r="U992" s="94">
        <v>44596.565972222219</v>
      </c>
      <c r="V992" s="93" t="s">
        <v>7072</v>
      </c>
      <c r="W992" s="93" t="s">
        <v>24</v>
      </c>
    </row>
    <row r="993" spans="1:23" x14ac:dyDescent="0.15">
      <c r="A993" s="93" t="s">
        <v>590</v>
      </c>
      <c r="B993" s="93" t="s">
        <v>591</v>
      </c>
      <c r="C993" s="93">
        <v>1344</v>
      </c>
      <c r="D993" s="93" t="s">
        <v>24</v>
      </c>
      <c r="E993" s="93" t="s">
        <v>24</v>
      </c>
      <c r="F993" s="93" t="s">
        <v>7</v>
      </c>
      <c r="G993" s="93" t="s">
        <v>7183</v>
      </c>
      <c r="H993" s="93" t="s">
        <v>118</v>
      </c>
      <c r="I993" s="93" t="s">
        <v>111</v>
      </c>
      <c r="J993" s="93" t="s">
        <v>7105</v>
      </c>
      <c r="K993" s="93" t="s">
        <v>111</v>
      </c>
      <c r="L993" s="93" t="s">
        <v>111</v>
      </c>
      <c r="M993" s="93" t="s">
        <v>111</v>
      </c>
      <c r="N993" s="93" t="s">
        <v>111</v>
      </c>
      <c r="O993" s="93" t="s">
        <v>111</v>
      </c>
      <c r="P993" s="93" t="s">
        <v>111</v>
      </c>
      <c r="Q993" s="93" t="s">
        <v>111</v>
      </c>
      <c r="R993" s="93" t="s">
        <v>2</v>
      </c>
      <c r="S993" s="93" t="s">
        <v>111</v>
      </c>
      <c r="T993" s="93" t="s">
        <v>116</v>
      </c>
      <c r="U993" s="94">
        <v>44596.606249999997</v>
      </c>
      <c r="V993" s="93" t="s">
        <v>7072</v>
      </c>
      <c r="W993" s="93" t="s">
        <v>24</v>
      </c>
    </row>
    <row r="994" spans="1:23" x14ac:dyDescent="0.15">
      <c r="A994" s="93" t="s">
        <v>592</v>
      </c>
      <c r="B994" s="93" t="s">
        <v>593</v>
      </c>
      <c r="C994" s="93">
        <v>1680</v>
      </c>
      <c r="D994" s="93" t="s">
        <v>24</v>
      </c>
      <c r="E994" s="93" t="s">
        <v>24</v>
      </c>
      <c r="F994" s="93" t="s">
        <v>7</v>
      </c>
      <c r="G994" s="93" t="s">
        <v>7183</v>
      </c>
      <c r="H994" s="93" t="s">
        <v>118</v>
      </c>
      <c r="I994" s="93" t="s">
        <v>111</v>
      </c>
      <c r="J994" s="93" t="s">
        <v>7105</v>
      </c>
      <c r="K994" s="93" t="s">
        <v>111</v>
      </c>
      <c r="L994" s="93" t="s">
        <v>111</v>
      </c>
      <c r="M994" s="93" t="s">
        <v>111</v>
      </c>
      <c r="N994" s="93" t="s">
        <v>111</v>
      </c>
      <c r="O994" s="93" t="s">
        <v>111</v>
      </c>
      <c r="P994" s="93" t="s">
        <v>111</v>
      </c>
      <c r="Q994" s="93" t="s">
        <v>111</v>
      </c>
      <c r="R994" s="93" t="s">
        <v>2</v>
      </c>
      <c r="S994" s="93" t="s">
        <v>111</v>
      </c>
      <c r="T994" s="93" t="s">
        <v>116</v>
      </c>
      <c r="U994" s="94">
        <v>44596.575694444444</v>
      </c>
      <c r="V994" s="93" t="s">
        <v>7072</v>
      </c>
      <c r="W994" s="93" t="s">
        <v>24</v>
      </c>
    </row>
    <row r="995" spans="1:23" x14ac:dyDescent="0.15">
      <c r="A995" s="93" t="s">
        <v>594</v>
      </c>
      <c r="B995" s="93" t="s">
        <v>595</v>
      </c>
      <c r="C995" s="93">
        <v>4284</v>
      </c>
      <c r="D995" s="93" t="s">
        <v>24</v>
      </c>
      <c r="E995" s="93" t="s">
        <v>24</v>
      </c>
      <c r="F995" s="93" t="s">
        <v>7</v>
      </c>
      <c r="G995" s="93" t="s">
        <v>7183</v>
      </c>
      <c r="H995" s="93" t="s">
        <v>118</v>
      </c>
      <c r="I995" s="93" t="s">
        <v>111</v>
      </c>
      <c r="J995" s="93" t="s">
        <v>7105</v>
      </c>
      <c r="K995" s="93" t="s">
        <v>111</v>
      </c>
      <c r="L995" s="93" t="s">
        <v>111</v>
      </c>
      <c r="M995" s="93" t="s">
        <v>111</v>
      </c>
      <c r="N995" s="93" t="s">
        <v>111</v>
      </c>
      <c r="O995" s="93" t="s">
        <v>111</v>
      </c>
      <c r="P995" s="93" t="s">
        <v>111</v>
      </c>
      <c r="Q995" s="93" t="s">
        <v>111</v>
      </c>
      <c r="R995" s="93" t="s">
        <v>2</v>
      </c>
      <c r="S995" s="93" t="s">
        <v>111</v>
      </c>
      <c r="T995" s="93" t="s">
        <v>116</v>
      </c>
      <c r="U995" s="94">
        <v>44596.613888888889</v>
      </c>
      <c r="V995" s="93" t="s">
        <v>7072</v>
      </c>
      <c r="W995" s="93" t="s">
        <v>24</v>
      </c>
    </row>
    <row r="996" spans="1:23" x14ac:dyDescent="0.15">
      <c r="A996" s="93" t="s">
        <v>596</v>
      </c>
      <c r="B996" s="93" t="s">
        <v>597</v>
      </c>
      <c r="C996" s="93">
        <v>6720</v>
      </c>
      <c r="D996" s="93" t="s">
        <v>24</v>
      </c>
      <c r="E996" s="93" t="s">
        <v>24</v>
      </c>
      <c r="F996" s="93" t="s">
        <v>7</v>
      </c>
      <c r="G996" s="93" t="s">
        <v>7183</v>
      </c>
      <c r="H996" s="93" t="s">
        <v>118</v>
      </c>
      <c r="I996" s="93" t="s">
        <v>111</v>
      </c>
      <c r="J996" s="93" t="s">
        <v>7105</v>
      </c>
      <c r="K996" s="93" t="s">
        <v>111</v>
      </c>
      <c r="L996" s="93" t="s">
        <v>111</v>
      </c>
      <c r="M996" s="93" t="s">
        <v>111</v>
      </c>
      <c r="N996" s="93" t="s">
        <v>111</v>
      </c>
      <c r="O996" s="93" t="s">
        <v>111</v>
      </c>
      <c r="P996" s="93" t="s">
        <v>111</v>
      </c>
      <c r="Q996" s="93" t="s">
        <v>111</v>
      </c>
      <c r="R996" s="93" t="s">
        <v>2</v>
      </c>
      <c r="S996" s="93" t="s">
        <v>111</v>
      </c>
      <c r="T996" s="93" t="s">
        <v>116</v>
      </c>
      <c r="U996" s="94">
        <v>44596.575694444444</v>
      </c>
      <c r="V996" s="93" t="s">
        <v>7072</v>
      </c>
      <c r="W996" s="93" t="s">
        <v>24</v>
      </c>
    </row>
    <row r="997" spans="1:23" x14ac:dyDescent="0.15">
      <c r="A997" s="93" t="s">
        <v>598</v>
      </c>
      <c r="B997" s="93" t="s">
        <v>599</v>
      </c>
      <c r="C997" s="93">
        <v>372</v>
      </c>
      <c r="D997" s="93" t="s">
        <v>24</v>
      </c>
      <c r="E997" s="93" t="s">
        <v>24</v>
      </c>
      <c r="F997" s="93" t="s">
        <v>7</v>
      </c>
      <c r="G997" s="93" t="s">
        <v>7183</v>
      </c>
      <c r="H997" s="93" t="s">
        <v>118</v>
      </c>
      <c r="I997" s="93" t="s">
        <v>111</v>
      </c>
      <c r="J997" s="93" t="s">
        <v>7105</v>
      </c>
      <c r="K997" s="93" t="s">
        <v>111</v>
      </c>
      <c r="L997" s="93" t="s">
        <v>111</v>
      </c>
      <c r="M997" s="93" t="s">
        <v>111</v>
      </c>
      <c r="N997" s="93" t="s">
        <v>111</v>
      </c>
      <c r="O997" s="93" t="s">
        <v>111</v>
      </c>
      <c r="P997" s="93" t="s">
        <v>111</v>
      </c>
      <c r="Q997" s="93" t="s">
        <v>111</v>
      </c>
      <c r="R997" s="93" t="s">
        <v>2</v>
      </c>
      <c r="S997" s="93" t="s">
        <v>111</v>
      </c>
      <c r="T997" s="93" t="s">
        <v>116</v>
      </c>
      <c r="U997" s="94">
        <v>44596.575694444444</v>
      </c>
      <c r="V997" s="93" t="s">
        <v>7072</v>
      </c>
      <c r="W997" s="93" t="s">
        <v>24</v>
      </c>
    </row>
    <row r="998" spans="1:23" x14ac:dyDescent="0.15">
      <c r="A998" s="93" t="s">
        <v>600</v>
      </c>
      <c r="B998" s="93" t="s">
        <v>601</v>
      </c>
      <c r="C998" s="93">
        <v>949</v>
      </c>
      <c r="D998" s="93" t="s">
        <v>24</v>
      </c>
      <c r="E998" s="93" t="s">
        <v>24</v>
      </c>
      <c r="F998" s="93" t="s">
        <v>7</v>
      </c>
      <c r="G998" s="93" t="s">
        <v>7183</v>
      </c>
      <c r="H998" s="93" t="s">
        <v>118</v>
      </c>
      <c r="I998" s="93" t="s">
        <v>111</v>
      </c>
      <c r="J998" s="93" t="s">
        <v>7105</v>
      </c>
      <c r="K998" s="93" t="s">
        <v>111</v>
      </c>
      <c r="L998" s="93" t="s">
        <v>111</v>
      </c>
      <c r="M998" s="93" t="s">
        <v>111</v>
      </c>
      <c r="N998" s="93" t="s">
        <v>111</v>
      </c>
      <c r="O998" s="93" t="s">
        <v>111</v>
      </c>
      <c r="P998" s="93" t="s">
        <v>111</v>
      </c>
      <c r="Q998" s="93" t="s">
        <v>111</v>
      </c>
      <c r="R998" s="93" t="s">
        <v>2</v>
      </c>
      <c r="S998" s="93" t="s">
        <v>111</v>
      </c>
      <c r="T998" s="93" t="s">
        <v>116</v>
      </c>
      <c r="U998" s="94">
        <v>44596.61041666667</v>
      </c>
      <c r="V998" s="93" t="s">
        <v>7072</v>
      </c>
      <c r="W998" s="93" t="s">
        <v>24</v>
      </c>
    </row>
    <row r="999" spans="1:23" x14ac:dyDescent="0.15">
      <c r="A999" s="93" t="s">
        <v>602</v>
      </c>
      <c r="B999" s="93" t="s">
        <v>603</v>
      </c>
      <c r="C999" s="93">
        <v>1488</v>
      </c>
      <c r="D999" s="93" t="s">
        <v>24</v>
      </c>
      <c r="E999" s="93" t="s">
        <v>24</v>
      </c>
      <c r="F999" s="93" t="s">
        <v>7</v>
      </c>
      <c r="G999" s="93" t="s">
        <v>7183</v>
      </c>
      <c r="H999" s="93" t="s">
        <v>118</v>
      </c>
      <c r="I999" s="93" t="s">
        <v>111</v>
      </c>
      <c r="J999" s="93" t="s">
        <v>7105</v>
      </c>
      <c r="K999" s="93" t="s">
        <v>111</v>
      </c>
      <c r="L999" s="93" t="s">
        <v>111</v>
      </c>
      <c r="M999" s="93" t="s">
        <v>111</v>
      </c>
      <c r="N999" s="93" t="s">
        <v>111</v>
      </c>
      <c r="O999" s="93" t="s">
        <v>111</v>
      </c>
      <c r="P999" s="93" t="s">
        <v>111</v>
      </c>
      <c r="Q999" s="93" t="s">
        <v>111</v>
      </c>
      <c r="R999" s="93" t="s">
        <v>2</v>
      </c>
      <c r="S999" s="93" t="s">
        <v>111</v>
      </c>
      <c r="T999" s="93" t="s">
        <v>116</v>
      </c>
      <c r="U999" s="94">
        <v>44596.575694444444</v>
      </c>
      <c r="V999" s="93" t="s">
        <v>7072</v>
      </c>
      <c r="W999" s="93" t="s">
        <v>24</v>
      </c>
    </row>
    <row r="1000" spans="1:23" x14ac:dyDescent="0.15">
      <c r="A1000" s="93" t="s">
        <v>604</v>
      </c>
      <c r="B1000" s="93" t="s">
        <v>605</v>
      </c>
      <c r="C1000" s="93">
        <v>1862</v>
      </c>
      <c r="D1000" s="93" t="s">
        <v>24</v>
      </c>
      <c r="E1000" s="93" t="s">
        <v>24</v>
      </c>
      <c r="F1000" s="93" t="s">
        <v>7</v>
      </c>
      <c r="G1000" s="93" t="s">
        <v>7183</v>
      </c>
      <c r="H1000" s="93" t="s">
        <v>118</v>
      </c>
      <c r="I1000" s="93" t="s">
        <v>111</v>
      </c>
      <c r="J1000" s="93" t="s">
        <v>7105</v>
      </c>
      <c r="K1000" s="93" t="s">
        <v>111</v>
      </c>
      <c r="L1000" s="93" t="s">
        <v>111</v>
      </c>
      <c r="M1000" s="93" t="s">
        <v>111</v>
      </c>
      <c r="N1000" s="93" t="s">
        <v>111</v>
      </c>
      <c r="O1000" s="93" t="s">
        <v>111</v>
      </c>
      <c r="P1000" s="93" t="s">
        <v>111</v>
      </c>
      <c r="Q1000" s="93" t="s">
        <v>111</v>
      </c>
      <c r="R1000" s="93" t="s">
        <v>2</v>
      </c>
      <c r="S1000" s="93" t="s">
        <v>111</v>
      </c>
      <c r="T1000" s="93" t="s">
        <v>116</v>
      </c>
      <c r="U1000" s="94">
        <v>44596.602083333331</v>
      </c>
      <c r="V1000" s="93" t="s">
        <v>7072</v>
      </c>
      <c r="W1000" s="93" t="s">
        <v>24</v>
      </c>
    </row>
    <row r="1001" spans="1:23" x14ac:dyDescent="0.15">
      <c r="A1001" s="93" t="s">
        <v>606</v>
      </c>
      <c r="B1001" s="93" t="s">
        <v>607</v>
      </c>
      <c r="C1001" s="93">
        <v>4749</v>
      </c>
      <c r="D1001" s="93" t="s">
        <v>24</v>
      </c>
      <c r="E1001" s="93" t="s">
        <v>24</v>
      </c>
      <c r="F1001" s="93" t="s">
        <v>7</v>
      </c>
      <c r="G1001" s="93" t="s">
        <v>7183</v>
      </c>
      <c r="H1001" s="93" t="s">
        <v>118</v>
      </c>
      <c r="I1001" s="93" t="s">
        <v>111</v>
      </c>
      <c r="J1001" s="93" t="s">
        <v>7105</v>
      </c>
      <c r="K1001" s="93" t="s">
        <v>111</v>
      </c>
      <c r="L1001" s="93" t="s">
        <v>111</v>
      </c>
      <c r="M1001" s="93" t="s">
        <v>111</v>
      </c>
      <c r="N1001" s="93" t="s">
        <v>111</v>
      </c>
      <c r="O1001" s="93" t="s">
        <v>111</v>
      </c>
      <c r="P1001" s="93" t="s">
        <v>111</v>
      </c>
      <c r="Q1001" s="93" t="s">
        <v>111</v>
      </c>
      <c r="R1001" s="93" t="s">
        <v>2</v>
      </c>
      <c r="S1001" s="93" t="s">
        <v>111</v>
      </c>
      <c r="T1001" s="93" t="s">
        <v>116</v>
      </c>
      <c r="U1001" s="94">
        <v>44596.561805555553</v>
      </c>
      <c r="V1001" s="93" t="s">
        <v>7072</v>
      </c>
      <c r="W1001" s="93" t="s">
        <v>24</v>
      </c>
    </row>
    <row r="1002" spans="1:23" x14ac:dyDescent="0.15">
      <c r="A1002" s="93" t="s">
        <v>608</v>
      </c>
      <c r="B1002" s="93" t="s">
        <v>609</v>
      </c>
      <c r="C1002" s="93">
        <v>7448</v>
      </c>
      <c r="D1002" s="93" t="s">
        <v>24</v>
      </c>
      <c r="E1002" s="93" t="s">
        <v>24</v>
      </c>
      <c r="F1002" s="93" t="s">
        <v>7</v>
      </c>
      <c r="G1002" s="93" t="s">
        <v>7183</v>
      </c>
      <c r="H1002" s="93" t="s">
        <v>118</v>
      </c>
      <c r="I1002" s="93" t="s">
        <v>111</v>
      </c>
      <c r="J1002" s="93" t="s">
        <v>7105</v>
      </c>
      <c r="K1002" s="93" t="s">
        <v>111</v>
      </c>
      <c r="L1002" s="93" t="s">
        <v>111</v>
      </c>
      <c r="M1002" s="93" t="s">
        <v>111</v>
      </c>
      <c r="N1002" s="93" t="s">
        <v>111</v>
      </c>
      <c r="O1002" s="93" t="s">
        <v>111</v>
      </c>
      <c r="P1002" s="93" t="s">
        <v>111</v>
      </c>
      <c r="Q1002" s="93" t="s">
        <v>111</v>
      </c>
      <c r="R1002" s="93" t="s">
        <v>2</v>
      </c>
      <c r="S1002" s="93" t="s">
        <v>111</v>
      </c>
      <c r="T1002" s="93" t="s">
        <v>116</v>
      </c>
      <c r="U1002" s="94">
        <v>44596.602083333331</v>
      </c>
      <c r="V1002" s="93" t="s">
        <v>7072</v>
      </c>
      <c r="W1002" s="93" t="s">
        <v>24</v>
      </c>
    </row>
    <row r="1003" spans="1:23" x14ac:dyDescent="0.15">
      <c r="A1003" s="93" t="s">
        <v>610</v>
      </c>
      <c r="B1003" s="93" t="s">
        <v>611</v>
      </c>
      <c r="C1003" s="93">
        <v>408</v>
      </c>
      <c r="D1003" s="93" t="s">
        <v>24</v>
      </c>
      <c r="E1003" s="93" t="s">
        <v>24</v>
      </c>
      <c r="F1003" s="93" t="s">
        <v>7</v>
      </c>
      <c r="G1003" s="93" t="s">
        <v>7183</v>
      </c>
      <c r="H1003" s="93" t="s">
        <v>118</v>
      </c>
      <c r="I1003" s="93" t="s">
        <v>111</v>
      </c>
      <c r="J1003" s="93" t="s">
        <v>7105</v>
      </c>
      <c r="K1003" s="93" t="s">
        <v>111</v>
      </c>
      <c r="L1003" s="93" t="s">
        <v>111</v>
      </c>
      <c r="M1003" s="93" t="s">
        <v>111</v>
      </c>
      <c r="N1003" s="93" t="s">
        <v>111</v>
      </c>
      <c r="O1003" s="93" t="s">
        <v>111</v>
      </c>
      <c r="P1003" s="93" t="s">
        <v>111</v>
      </c>
      <c r="Q1003" s="93" t="s">
        <v>111</v>
      </c>
      <c r="R1003" s="93" t="s">
        <v>2</v>
      </c>
      <c r="S1003" s="93" t="s">
        <v>111</v>
      </c>
      <c r="T1003" s="93" t="s">
        <v>116</v>
      </c>
      <c r="U1003" s="94">
        <v>44596.61041666667</v>
      </c>
      <c r="V1003" s="93" t="s">
        <v>7072</v>
      </c>
      <c r="W1003" s="93" t="s">
        <v>24</v>
      </c>
    </row>
    <row r="1004" spans="1:23" x14ac:dyDescent="0.15">
      <c r="A1004" s="93" t="s">
        <v>612</v>
      </c>
      <c r="B1004" s="93" t="s">
        <v>613</v>
      </c>
      <c r="C1004" s="93">
        <v>1041</v>
      </c>
      <c r="D1004" s="93" t="s">
        <v>24</v>
      </c>
      <c r="E1004" s="93" t="s">
        <v>24</v>
      </c>
      <c r="F1004" s="93" t="s">
        <v>7</v>
      </c>
      <c r="G1004" s="93" t="s">
        <v>7183</v>
      </c>
      <c r="H1004" s="93" t="s">
        <v>118</v>
      </c>
      <c r="I1004" s="93" t="s">
        <v>111</v>
      </c>
      <c r="J1004" s="93" t="s">
        <v>7105</v>
      </c>
      <c r="K1004" s="93" t="s">
        <v>111</v>
      </c>
      <c r="L1004" s="93" t="s">
        <v>111</v>
      </c>
      <c r="M1004" s="93" t="s">
        <v>111</v>
      </c>
      <c r="N1004" s="93" t="s">
        <v>111</v>
      </c>
      <c r="O1004" s="93" t="s">
        <v>111</v>
      </c>
      <c r="P1004" s="93" t="s">
        <v>111</v>
      </c>
      <c r="Q1004" s="93" t="s">
        <v>111</v>
      </c>
      <c r="R1004" s="93" t="s">
        <v>2</v>
      </c>
      <c r="S1004" s="93" t="s">
        <v>111</v>
      </c>
      <c r="T1004" s="93" t="s">
        <v>116</v>
      </c>
      <c r="U1004" s="94">
        <v>44596.570833333331</v>
      </c>
      <c r="V1004" s="93" t="s">
        <v>7072</v>
      </c>
      <c r="W1004" s="93" t="s">
        <v>24</v>
      </c>
    </row>
    <row r="1005" spans="1:23" x14ac:dyDescent="0.15">
      <c r="A1005" s="93" t="s">
        <v>614</v>
      </c>
      <c r="B1005" s="93" t="s">
        <v>615</v>
      </c>
      <c r="C1005" s="93">
        <v>1632</v>
      </c>
      <c r="D1005" s="93" t="s">
        <v>24</v>
      </c>
      <c r="E1005" s="93" t="s">
        <v>24</v>
      </c>
      <c r="F1005" s="93" t="s">
        <v>7</v>
      </c>
      <c r="G1005" s="93" t="s">
        <v>7183</v>
      </c>
      <c r="H1005" s="93" t="s">
        <v>118</v>
      </c>
      <c r="I1005" s="93" t="s">
        <v>111</v>
      </c>
      <c r="J1005" s="93" t="s">
        <v>7105</v>
      </c>
      <c r="K1005" s="93" t="s">
        <v>111</v>
      </c>
      <c r="L1005" s="93" t="s">
        <v>111</v>
      </c>
      <c r="M1005" s="93" t="s">
        <v>111</v>
      </c>
      <c r="N1005" s="93" t="s">
        <v>111</v>
      </c>
      <c r="O1005" s="93" t="s">
        <v>111</v>
      </c>
      <c r="P1005" s="93" t="s">
        <v>111</v>
      </c>
      <c r="Q1005" s="93" t="s">
        <v>111</v>
      </c>
      <c r="R1005" s="93" t="s">
        <v>2</v>
      </c>
      <c r="S1005" s="93" t="s">
        <v>111</v>
      </c>
      <c r="T1005" s="93" t="s">
        <v>116</v>
      </c>
      <c r="U1005" s="94">
        <v>44596.602083333331</v>
      </c>
      <c r="V1005" s="93" t="s">
        <v>7072</v>
      </c>
      <c r="W1005" s="93" t="s">
        <v>24</v>
      </c>
    </row>
    <row r="1006" spans="1:23" x14ac:dyDescent="0.15">
      <c r="A1006" s="93" t="s">
        <v>616</v>
      </c>
      <c r="B1006" s="93" t="s">
        <v>617</v>
      </c>
      <c r="C1006" s="93">
        <v>2040</v>
      </c>
      <c r="D1006" s="93" t="s">
        <v>24</v>
      </c>
      <c r="E1006" s="93" t="s">
        <v>24</v>
      </c>
      <c r="F1006" s="93" t="s">
        <v>7</v>
      </c>
      <c r="G1006" s="93" t="s">
        <v>7183</v>
      </c>
      <c r="H1006" s="93" t="s">
        <v>118</v>
      </c>
      <c r="I1006" s="93" t="s">
        <v>111</v>
      </c>
      <c r="J1006" s="93" t="s">
        <v>7105</v>
      </c>
      <c r="K1006" s="93" t="s">
        <v>111</v>
      </c>
      <c r="L1006" s="93" t="s">
        <v>111</v>
      </c>
      <c r="M1006" s="93" t="s">
        <v>111</v>
      </c>
      <c r="N1006" s="93" t="s">
        <v>111</v>
      </c>
      <c r="O1006" s="93" t="s">
        <v>111</v>
      </c>
      <c r="P1006" s="93" t="s">
        <v>111</v>
      </c>
      <c r="Q1006" s="93" t="s">
        <v>111</v>
      </c>
      <c r="R1006" s="93" t="s">
        <v>2</v>
      </c>
      <c r="S1006" s="93" t="s">
        <v>111</v>
      </c>
      <c r="T1006" s="93" t="s">
        <v>116</v>
      </c>
      <c r="U1006" s="94">
        <v>44596.575694444444</v>
      </c>
      <c r="V1006" s="93" t="s">
        <v>7072</v>
      </c>
      <c r="W1006" s="93" t="s">
        <v>24</v>
      </c>
    </row>
    <row r="1007" spans="1:23" x14ac:dyDescent="0.15">
      <c r="A1007" s="93" t="s">
        <v>618</v>
      </c>
      <c r="B1007" s="93" t="s">
        <v>619</v>
      </c>
      <c r="C1007" s="93">
        <v>5202</v>
      </c>
      <c r="D1007" s="93" t="s">
        <v>24</v>
      </c>
      <c r="E1007" s="93" t="s">
        <v>24</v>
      </c>
      <c r="F1007" s="93" t="s">
        <v>7</v>
      </c>
      <c r="G1007" s="93" t="s">
        <v>7183</v>
      </c>
      <c r="H1007" s="93" t="s">
        <v>118</v>
      </c>
      <c r="I1007" s="93" t="s">
        <v>111</v>
      </c>
      <c r="J1007" s="93" t="s">
        <v>7105</v>
      </c>
      <c r="K1007" s="93" t="s">
        <v>111</v>
      </c>
      <c r="L1007" s="93" t="s">
        <v>111</v>
      </c>
      <c r="M1007" s="93" t="s">
        <v>111</v>
      </c>
      <c r="N1007" s="93" t="s">
        <v>111</v>
      </c>
      <c r="O1007" s="93" t="s">
        <v>111</v>
      </c>
      <c r="P1007" s="93" t="s">
        <v>111</v>
      </c>
      <c r="Q1007" s="93" t="s">
        <v>111</v>
      </c>
      <c r="R1007" s="93" t="s">
        <v>2</v>
      </c>
      <c r="S1007" s="93" t="s">
        <v>111</v>
      </c>
      <c r="T1007" s="93" t="s">
        <v>116</v>
      </c>
      <c r="U1007" s="94">
        <v>44596.584027777775</v>
      </c>
      <c r="V1007" s="93" t="s">
        <v>7072</v>
      </c>
      <c r="W1007" s="93" t="s">
        <v>24</v>
      </c>
    </row>
    <row r="1008" spans="1:23" x14ac:dyDescent="0.15">
      <c r="A1008" s="93" t="s">
        <v>620</v>
      </c>
      <c r="B1008" s="93" t="s">
        <v>621</v>
      </c>
      <c r="C1008" s="93">
        <v>8160</v>
      </c>
      <c r="D1008" s="93" t="s">
        <v>24</v>
      </c>
      <c r="E1008" s="93" t="s">
        <v>24</v>
      </c>
      <c r="F1008" s="93" t="s">
        <v>7</v>
      </c>
      <c r="G1008" s="93" t="s">
        <v>7183</v>
      </c>
      <c r="H1008" s="93" t="s">
        <v>118</v>
      </c>
      <c r="I1008" s="93" t="s">
        <v>111</v>
      </c>
      <c r="J1008" s="93" t="s">
        <v>7105</v>
      </c>
      <c r="K1008" s="93" t="s">
        <v>111</v>
      </c>
      <c r="L1008" s="93" t="s">
        <v>111</v>
      </c>
      <c r="M1008" s="93" t="s">
        <v>111</v>
      </c>
      <c r="N1008" s="93" t="s">
        <v>111</v>
      </c>
      <c r="O1008" s="93" t="s">
        <v>111</v>
      </c>
      <c r="P1008" s="93" t="s">
        <v>111</v>
      </c>
      <c r="Q1008" s="93" t="s">
        <v>111</v>
      </c>
      <c r="R1008" s="93" t="s">
        <v>2</v>
      </c>
      <c r="S1008" s="93" t="s">
        <v>111</v>
      </c>
      <c r="T1008" s="93" t="s">
        <v>116</v>
      </c>
      <c r="U1008" s="94">
        <v>44596.575694444444</v>
      </c>
      <c r="V1008" s="93" t="s">
        <v>7072</v>
      </c>
      <c r="W1008" s="93" t="s">
        <v>24</v>
      </c>
    </row>
    <row r="1009" spans="1:23" x14ac:dyDescent="0.15">
      <c r="A1009" s="93" t="s">
        <v>622</v>
      </c>
      <c r="B1009" s="93" t="s">
        <v>623</v>
      </c>
      <c r="C1009" s="93">
        <v>444</v>
      </c>
      <c r="D1009" s="93" t="s">
        <v>24</v>
      </c>
      <c r="E1009" s="93" t="s">
        <v>24</v>
      </c>
      <c r="F1009" s="93" t="s">
        <v>7</v>
      </c>
      <c r="G1009" s="93" t="s">
        <v>7183</v>
      </c>
      <c r="H1009" s="93" t="s">
        <v>118</v>
      </c>
      <c r="I1009" s="93" t="s">
        <v>111</v>
      </c>
      <c r="J1009" s="93" t="s">
        <v>7105</v>
      </c>
      <c r="K1009" s="93" t="s">
        <v>111</v>
      </c>
      <c r="L1009" s="93" t="s">
        <v>111</v>
      </c>
      <c r="M1009" s="93" t="s">
        <v>111</v>
      </c>
      <c r="N1009" s="93" t="s">
        <v>111</v>
      </c>
      <c r="O1009" s="93" t="s">
        <v>111</v>
      </c>
      <c r="P1009" s="93" t="s">
        <v>111</v>
      </c>
      <c r="Q1009" s="93" t="s">
        <v>111</v>
      </c>
      <c r="R1009" s="93" t="s">
        <v>2</v>
      </c>
      <c r="S1009" s="93" t="s">
        <v>111</v>
      </c>
      <c r="T1009" s="93" t="s">
        <v>116</v>
      </c>
      <c r="U1009" s="94">
        <v>44596.575694444444</v>
      </c>
      <c r="V1009" s="93" t="s">
        <v>7072</v>
      </c>
      <c r="W1009" s="93" t="s">
        <v>24</v>
      </c>
    </row>
    <row r="1010" spans="1:23" x14ac:dyDescent="0.15">
      <c r="A1010" s="93" t="s">
        <v>624</v>
      </c>
      <c r="B1010" s="93" t="s">
        <v>625</v>
      </c>
      <c r="C1010" s="93">
        <v>1133</v>
      </c>
      <c r="D1010" s="93" t="s">
        <v>24</v>
      </c>
      <c r="E1010" s="93" t="s">
        <v>24</v>
      </c>
      <c r="F1010" s="93" t="s">
        <v>7</v>
      </c>
      <c r="G1010" s="93" t="s">
        <v>7183</v>
      </c>
      <c r="H1010" s="93" t="s">
        <v>118</v>
      </c>
      <c r="I1010" s="93" t="s">
        <v>111</v>
      </c>
      <c r="J1010" s="93" t="s">
        <v>7105</v>
      </c>
      <c r="K1010" s="93" t="s">
        <v>111</v>
      </c>
      <c r="L1010" s="93" t="s">
        <v>111</v>
      </c>
      <c r="M1010" s="93" t="s">
        <v>111</v>
      </c>
      <c r="N1010" s="93" t="s">
        <v>111</v>
      </c>
      <c r="O1010" s="93" t="s">
        <v>111</v>
      </c>
      <c r="P1010" s="93" t="s">
        <v>111</v>
      </c>
      <c r="Q1010" s="93" t="s">
        <v>111</v>
      </c>
      <c r="R1010" s="93" t="s">
        <v>2</v>
      </c>
      <c r="S1010" s="93" t="s">
        <v>111</v>
      </c>
      <c r="T1010" s="93" t="s">
        <v>116</v>
      </c>
      <c r="U1010" s="94">
        <v>44596.61041666667</v>
      </c>
      <c r="V1010" s="93" t="s">
        <v>7072</v>
      </c>
      <c r="W1010" s="93" t="s">
        <v>24</v>
      </c>
    </row>
    <row r="1011" spans="1:23" x14ac:dyDescent="0.15">
      <c r="A1011" s="93" t="s">
        <v>626</v>
      </c>
      <c r="B1011" s="93" t="s">
        <v>627</v>
      </c>
      <c r="C1011" s="93">
        <v>1776</v>
      </c>
      <c r="D1011" s="93" t="s">
        <v>24</v>
      </c>
      <c r="E1011" s="93" t="s">
        <v>24</v>
      </c>
      <c r="F1011" s="93" t="s">
        <v>7</v>
      </c>
      <c r="G1011" s="93" t="s">
        <v>7183</v>
      </c>
      <c r="H1011" s="93" t="s">
        <v>118</v>
      </c>
      <c r="I1011" s="93" t="s">
        <v>111</v>
      </c>
      <c r="J1011" s="93" t="s">
        <v>7105</v>
      </c>
      <c r="K1011" s="93" t="s">
        <v>111</v>
      </c>
      <c r="L1011" s="93" t="s">
        <v>111</v>
      </c>
      <c r="M1011" s="93" t="s">
        <v>111</v>
      </c>
      <c r="N1011" s="93" t="s">
        <v>111</v>
      </c>
      <c r="O1011" s="93" t="s">
        <v>111</v>
      </c>
      <c r="P1011" s="93" t="s">
        <v>111</v>
      </c>
      <c r="Q1011" s="93" t="s">
        <v>111</v>
      </c>
      <c r="R1011" s="93" t="s">
        <v>2</v>
      </c>
      <c r="S1011" s="93" t="s">
        <v>111</v>
      </c>
      <c r="T1011" s="93" t="s">
        <v>116</v>
      </c>
      <c r="U1011" s="94">
        <v>44596.575694444444</v>
      </c>
      <c r="V1011" s="93" t="s">
        <v>7072</v>
      </c>
      <c r="W1011" s="93" t="s">
        <v>24</v>
      </c>
    </row>
    <row r="1012" spans="1:23" x14ac:dyDescent="0.15">
      <c r="A1012" s="93" t="s">
        <v>628</v>
      </c>
      <c r="B1012" s="93" t="s">
        <v>629</v>
      </c>
      <c r="C1012" s="93">
        <v>2223</v>
      </c>
      <c r="D1012" s="93" t="s">
        <v>24</v>
      </c>
      <c r="E1012" s="93" t="s">
        <v>24</v>
      </c>
      <c r="F1012" s="93" t="s">
        <v>7</v>
      </c>
      <c r="G1012" s="93" t="s">
        <v>7183</v>
      </c>
      <c r="H1012" s="93" t="s">
        <v>118</v>
      </c>
      <c r="I1012" s="93" t="s">
        <v>111</v>
      </c>
      <c r="J1012" s="93" t="s">
        <v>7105</v>
      </c>
      <c r="K1012" s="93" t="s">
        <v>111</v>
      </c>
      <c r="L1012" s="93" t="s">
        <v>111</v>
      </c>
      <c r="M1012" s="93" t="s">
        <v>111</v>
      </c>
      <c r="N1012" s="93" t="s">
        <v>111</v>
      </c>
      <c r="O1012" s="93" t="s">
        <v>111</v>
      </c>
      <c r="P1012" s="93" t="s">
        <v>111</v>
      </c>
      <c r="Q1012" s="93" t="s">
        <v>111</v>
      </c>
      <c r="R1012" s="93" t="s">
        <v>2</v>
      </c>
      <c r="S1012" s="93" t="s">
        <v>111</v>
      </c>
      <c r="T1012" s="93" t="s">
        <v>116</v>
      </c>
      <c r="U1012" s="94">
        <v>44596.561805555553</v>
      </c>
      <c r="V1012" s="93" t="s">
        <v>7072</v>
      </c>
      <c r="W1012" s="93" t="s">
        <v>24</v>
      </c>
    </row>
    <row r="1013" spans="1:23" x14ac:dyDescent="0.15">
      <c r="A1013" s="93" t="s">
        <v>630</v>
      </c>
      <c r="B1013" s="93" t="s">
        <v>631</v>
      </c>
      <c r="C1013" s="93">
        <v>5669</v>
      </c>
      <c r="D1013" s="93" t="s">
        <v>24</v>
      </c>
      <c r="E1013" s="93" t="s">
        <v>24</v>
      </c>
      <c r="F1013" s="93" t="s">
        <v>7</v>
      </c>
      <c r="G1013" s="93" t="s">
        <v>7183</v>
      </c>
      <c r="H1013" s="93" t="s">
        <v>118</v>
      </c>
      <c r="I1013" s="93" t="s">
        <v>111</v>
      </c>
      <c r="J1013" s="93" t="s">
        <v>7105</v>
      </c>
      <c r="K1013" s="93" t="s">
        <v>111</v>
      </c>
      <c r="L1013" s="93" t="s">
        <v>111</v>
      </c>
      <c r="M1013" s="93" t="s">
        <v>111</v>
      </c>
      <c r="N1013" s="93" t="s">
        <v>111</v>
      </c>
      <c r="O1013" s="93" t="s">
        <v>111</v>
      </c>
      <c r="P1013" s="93" t="s">
        <v>111</v>
      </c>
      <c r="Q1013" s="93" t="s">
        <v>111</v>
      </c>
      <c r="R1013" s="93" t="s">
        <v>2</v>
      </c>
      <c r="S1013" s="93" t="s">
        <v>111</v>
      </c>
      <c r="T1013" s="93" t="s">
        <v>116</v>
      </c>
      <c r="U1013" s="94">
        <v>44596.61041666667</v>
      </c>
      <c r="V1013" s="93" t="s">
        <v>7072</v>
      </c>
      <c r="W1013" s="93" t="s">
        <v>24</v>
      </c>
    </row>
    <row r="1014" spans="1:23" x14ac:dyDescent="0.15">
      <c r="A1014" s="93" t="s">
        <v>632</v>
      </c>
      <c r="B1014" s="93" t="s">
        <v>633</v>
      </c>
      <c r="C1014" s="93">
        <v>8892</v>
      </c>
      <c r="D1014" s="93" t="s">
        <v>24</v>
      </c>
      <c r="E1014" s="93" t="s">
        <v>24</v>
      </c>
      <c r="F1014" s="93" t="s">
        <v>7</v>
      </c>
      <c r="G1014" s="93" t="s">
        <v>7183</v>
      </c>
      <c r="H1014" s="93" t="s">
        <v>118</v>
      </c>
      <c r="I1014" s="93" t="s">
        <v>111</v>
      </c>
      <c r="J1014" s="93" t="s">
        <v>7105</v>
      </c>
      <c r="K1014" s="93" t="s">
        <v>111</v>
      </c>
      <c r="L1014" s="93" t="s">
        <v>111</v>
      </c>
      <c r="M1014" s="93" t="s">
        <v>111</v>
      </c>
      <c r="N1014" s="93" t="s">
        <v>111</v>
      </c>
      <c r="O1014" s="93" t="s">
        <v>111</v>
      </c>
      <c r="P1014" s="93" t="s">
        <v>111</v>
      </c>
      <c r="Q1014" s="93" t="s">
        <v>111</v>
      </c>
      <c r="R1014" s="93" t="s">
        <v>2</v>
      </c>
      <c r="S1014" s="93" t="s">
        <v>111</v>
      </c>
      <c r="T1014" s="93" t="s">
        <v>116</v>
      </c>
      <c r="U1014" s="94">
        <v>44596.606249999997</v>
      </c>
      <c r="V1014" s="93" t="s">
        <v>7072</v>
      </c>
      <c r="W1014" s="93" t="s">
        <v>24</v>
      </c>
    </row>
    <row r="1015" spans="1:23" x14ac:dyDescent="0.15">
      <c r="A1015" s="93" t="s">
        <v>634</v>
      </c>
      <c r="B1015" s="93" t="s">
        <v>635</v>
      </c>
      <c r="C1015" s="93">
        <v>12</v>
      </c>
      <c r="D1015" s="93" t="s">
        <v>24</v>
      </c>
      <c r="E1015" s="93" t="s">
        <v>24</v>
      </c>
      <c r="F1015" s="93" t="s">
        <v>7</v>
      </c>
      <c r="G1015" s="93" t="s">
        <v>7183</v>
      </c>
      <c r="H1015" s="93" t="s">
        <v>118</v>
      </c>
      <c r="I1015" s="93" t="s">
        <v>111</v>
      </c>
      <c r="J1015" s="93" t="s">
        <v>7105</v>
      </c>
      <c r="K1015" s="93" t="s">
        <v>111</v>
      </c>
      <c r="L1015" s="93" t="s">
        <v>111</v>
      </c>
      <c r="M1015" s="93" t="s">
        <v>111</v>
      </c>
      <c r="N1015" s="93" t="s">
        <v>111</v>
      </c>
      <c r="O1015" s="93" t="s">
        <v>111</v>
      </c>
      <c r="P1015" s="93" t="s">
        <v>111</v>
      </c>
      <c r="Q1015" s="93" t="s">
        <v>111</v>
      </c>
      <c r="R1015" s="93" t="s">
        <v>2</v>
      </c>
      <c r="S1015" s="93" t="s">
        <v>111</v>
      </c>
      <c r="T1015" s="93" t="s">
        <v>116</v>
      </c>
      <c r="U1015" s="94">
        <v>44596.574999999997</v>
      </c>
      <c r="V1015" s="93" t="s">
        <v>7072</v>
      </c>
      <c r="W1015" s="93" t="s">
        <v>24</v>
      </c>
    </row>
    <row r="1016" spans="1:23" x14ac:dyDescent="0.15">
      <c r="A1016" s="93" t="s">
        <v>636</v>
      </c>
      <c r="B1016" s="93" t="s">
        <v>637</v>
      </c>
      <c r="C1016" s="93">
        <v>31</v>
      </c>
      <c r="D1016" s="93" t="s">
        <v>24</v>
      </c>
      <c r="E1016" s="93" t="s">
        <v>24</v>
      </c>
      <c r="F1016" s="93" t="s">
        <v>7</v>
      </c>
      <c r="G1016" s="93" t="s">
        <v>7183</v>
      </c>
      <c r="H1016" s="93" t="s">
        <v>118</v>
      </c>
      <c r="I1016" s="93" t="s">
        <v>111</v>
      </c>
      <c r="J1016" s="93" t="s">
        <v>7105</v>
      </c>
      <c r="K1016" s="93" t="s">
        <v>111</v>
      </c>
      <c r="L1016" s="93" t="s">
        <v>111</v>
      </c>
      <c r="M1016" s="93" t="s">
        <v>111</v>
      </c>
      <c r="N1016" s="93" t="s">
        <v>111</v>
      </c>
      <c r="O1016" s="93" t="s">
        <v>111</v>
      </c>
      <c r="P1016" s="93" t="s">
        <v>111</v>
      </c>
      <c r="Q1016" s="93" t="s">
        <v>111</v>
      </c>
      <c r="R1016" s="93" t="s">
        <v>2</v>
      </c>
      <c r="S1016" s="93" t="s">
        <v>111</v>
      </c>
      <c r="T1016" s="93" t="s">
        <v>116</v>
      </c>
      <c r="U1016" s="94">
        <v>44596.565972222219</v>
      </c>
      <c r="V1016" s="93" t="s">
        <v>7072</v>
      </c>
      <c r="W1016" s="93" t="s">
        <v>24</v>
      </c>
    </row>
    <row r="1017" spans="1:23" x14ac:dyDescent="0.15">
      <c r="A1017" s="93" t="s">
        <v>638</v>
      </c>
      <c r="B1017" s="93" t="s">
        <v>639</v>
      </c>
      <c r="C1017" s="93">
        <v>48</v>
      </c>
      <c r="D1017" s="93" t="s">
        <v>24</v>
      </c>
      <c r="E1017" s="93" t="s">
        <v>24</v>
      </c>
      <c r="F1017" s="93" t="s">
        <v>7</v>
      </c>
      <c r="G1017" s="93" t="s">
        <v>7183</v>
      </c>
      <c r="H1017" s="93" t="s">
        <v>118</v>
      </c>
      <c r="I1017" s="93" t="s">
        <v>111</v>
      </c>
      <c r="J1017" s="93" t="s">
        <v>7105</v>
      </c>
      <c r="K1017" s="93" t="s">
        <v>111</v>
      </c>
      <c r="L1017" s="93" t="s">
        <v>111</v>
      </c>
      <c r="M1017" s="93" t="s">
        <v>111</v>
      </c>
      <c r="N1017" s="93" t="s">
        <v>111</v>
      </c>
      <c r="O1017" s="93" t="s">
        <v>111</v>
      </c>
      <c r="P1017" s="93" t="s">
        <v>111</v>
      </c>
      <c r="Q1017" s="93" t="s">
        <v>111</v>
      </c>
      <c r="R1017" s="93" t="s">
        <v>2</v>
      </c>
      <c r="S1017" s="93" t="s">
        <v>111</v>
      </c>
      <c r="T1017" s="93" t="s">
        <v>116</v>
      </c>
      <c r="U1017" s="94">
        <v>44596.574999999997</v>
      </c>
      <c r="V1017" s="93" t="s">
        <v>7072</v>
      </c>
      <c r="W1017" s="93" t="s">
        <v>24</v>
      </c>
    </row>
    <row r="1018" spans="1:23" x14ac:dyDescent="0.15">
      <c r="A1018" s="93" t="s">
        <v>640</v>
      </c>
      <c r="B1018" s="93" t="s">
        <v>30</v>
      </c>
      <c r="C1018" s="93">
        <v>17.940000000000001</v>
      </c>
      <c r="D1018" s="93" t="s">
        <v>24</v>
      </c>
      <c r="E1018" s="93" t="s">
        <v>24</v>
      </c>
      <c r="F1018" s="93" t="s">
        <v>7</v>
      </c>
      <c r="G1018" s="93" t="s">
        <v>7183</v>
      </c>
      <c r="H1018" s="93" t="s">
        <v>400</v>
      </c>
      <c r="I1018" s="93" t="s">
        <v>111</v>
      </c>
      <c r="J1018" s="93" t="s">
        <v>7105</v>
      </c>
      <c r="K1018" s="93" t="s">
        <v>111</v>
      </c>
      <c r="L1018" s="93" t="s">
        <v>111</v>
      </c>
      <c r="M1018" s="93" t="s">
        <v>111</v>
      </c>
      <c r="N1018" s="93" t="s">
        <v>111</v>
      </c>
      <c r="O1018" s="93" t="s">
        <v>111</v>
      </c>
      <c r="P1018" s="93" t="s">
        <v>111</v>
      </c>
      <c r="Q1018" s="93" t="s">
        <v>111</v>
      </c>
      <c r="R1018" s="93" t="s">
        <v>2</v>
      </c>
      <c r="S1018" s="93" t="s">
        <v>111</v>
      </c>
      <c r="T1018" s="93" t="s">
        <v>116</v>
      </c>
      <c r="U1018" s="94">
        <v>44596.574999999997</v>
      </c>
      <c r="V1018" s="93" t="s">
        <v>7072</v>
      </c>
      <c r="W1018" s="93" t="s">
        <v>24</v>
      </c>
    </row>
    <row r="1019" spans="1:23" x14ac:dyDescent="0.15">
      <c r="A1019" s="93" t="s">
        <v>641</v>
      </c>
      <c r="B1019" s="93" t="s">
        <v>31</v>
      </c>
      <c r="C1019" s="93">
        <v>46.23</v>
      </c>
      <c r="D1019" s="93" t="s">
        <v>24</v>
      </c>
      <c r="E1019" s="93" t="s">
        <v>24</v>
      </c>
      <c r="F1019" s="93" t="s">
        <v>7</v>
      </c>
      <c r="G1019" s="93" t="s">
        <v>7183</v>
      </c>
      <c r="H1019" s="93" t="s">
        <v>400</v>
      </c>
      <c r="I1019" s="93" t="s">
        <v>111</v>
      </c>
      <c r="J1019" s="93" t="s">
        <v>7105</v>
      </c>
      <c r="K1019" s="93" t="s">
        <v>111</v>
      </c>
      <c r="L1019" s="93" t="s">
        <v>111</v>
      </c>
      <c r="M1019" s="93" t="s">
        <v>111</v>
      </c>
      <c r="N1019" s="93" t="s">
        <v>111</v>
      </c>
      <c r="O1019" s="93" t="s">
        <v>111</v>
      </c>
      <c r="P1019" s="93" t="s">
        <v>111</v>
      </c>
      <c r="Q1019" s="93" t="s">
        <v>111</v>
      </c>
      <c r="R1019" s="93" t="s">
        <v>2</v>
      </c>
      <c r="S1019" s="93" t="s">
        <v>111</v>
      </c>
      <c r="T1019" s="93" t="s">
        <v>116</v>
      </c>
      <c r="U1019" s="94">
        <v>44596.606249999997</v>
      </c>
      <c r="V1019" s="93" t="s">
        <v>7072</v>
      </c>
      <c r="W1019" s="93" t="s">
        <v>24</v>
      </c>
    </row>
    <row r="1020" spans="1:23" x14ac:dyDescent="0.15">
      <c r="A1020" s="93" t="s">
        <v>642</v>
      </c>
      <c r="B1020" s="93" t="s">
        <v>32</v>
      </c>
      <c r="C1020" s="93">
        <v>71.760000000000005</v>
      </c>
      <c r="D1020" s="93" t="s">
        <v>24</v>
      </c>
      <c r="E1020" s="93" t="s">
        <v>24</v>
      </c>
      <c r="F1020" s="93" t="s">
        <v>7</v>
      </c>
      <c r="G1020" s="93" t="s">
        <v>7183</v>
      </c>
      <c r="H1020" s="93" t="s">
        <v>400</v>
      </c>
      <c r="I1020" s="93" t="s">
        <v>111</v>
      </c>
      <c r="J1020" s="93" t="s">
        <v>7105</v>
      </c>
      <c r="K1020" s="93" t="s">
        <v>111</v>
      </c>
      <c r="L1020" s="93" t="s">
        <v>111</v>
      </c>
      <c r="M1020" s="93" t="s">
        <v>111</v>
      </c>
      <c r="N1020" s="93" t="s">
        <v>111</v>
      </c>
      <c r="O1020" s="93" t="s">
        <v>111</v>
      </c>
      <c r="P1020" s="93" t="s">
        <v>111</v>
      </c>
      <c r="Q1020" s="93" t="s">
        <v>111</v>
      </c>
      <c r="R1020" s="93" t="s">
        <v>2</v>
      </c>
      <c r="S1020" s="93" t="s">
        <v>111</v>
      </c>
      <c r="T1020" s="93" t="s">
        <v>116</v>
      </c>
      <c r="U1020" s="94">
        <v>44596.584027777775</v>
      </c>
      <c r="V1020" s="93" t="s">
        <v>7072</v>
      </c>
      <c r="W1020" s="93" t="s">
        <v>24</v>
      </c>
    </row>
    <row r="1021" spans="1:23" x14ac:dyDescent="0.15">
      <c r="A1021" s="93" t="s">
        <v>87</v>
      </c>
      <c r="B1021" s="93" t="s">
        <v>380</v>
      </c>
      <c r="C1021" s="93">
        <v>12</v>
      </c>
      <c r="D1021" s="93" t="s">
        <v>24</v>
      </c>
      <c r="E1021" s="93" t="s">
        <v>24</v>
      </c>
      <c r="F1021" s="93" t="s">
        <v>7</v>
      </c>
      <c r="G1021" s="93" t="s">
        <v>7183</v>
      </c>
      <c r="H1021" s="93" t="s">
        <v>400</v>
      </c>
      <c r="I1021" s="93" t="s">
        <v>111</v>
      </c>
      <c r="J1021" s="93" t="s">
        <v>118</v>
      </c>
      <c r="K1021" s="93">
        <v>3</v>
      </c>
      <c r="L1021" s="93" t="s">
        <v>111</v>
      </c>
      <c r="M1021" s="93" t="s">
        <v>111</v>
      </c>
      <c r="N1021" s="93" t="s">
        <v>111</v>
      </c>
      <c r="O1021" s="93" t="s">
        <v>111</v>
      </c>
      <c r="P1021" s="93" t="s">
        <v>111</v>
      </c>
      <c r="Q1021" s="93" t="s">
        <v>228</v>
      </c>
      <c r="R1021" s="93" t="s">
        <v>2</v>
      </c>
      <c r="S1021" s="93" t="s">
        <v>115</v>
      </c>
      <c r="T1021" s="93" t="s">
        <v>116</v>
      </c>
      <c r="U1021" s="94">
        <v>44610.128472222219</v>
      </c>
      <c r="V1021" s="93" t="s">
        <v>7336</v>
      </c>
      <c r="W1021" s="93" t="s">
        <v>24</v>
      </c>
    </row>
    <row r="1022" spans="1:23" x14ac:dyDescent="0.15">
      <c r="A1022" s="93" t="s">
        <v>88</v>
      </c>
      <c r="B1022" s="93" t="s">
        <v>381</v>
      </c>
      <c r="C1022" s="93">
        <v>31</v>
      </c>
      <c r="D1022" s="93" t="s">
        <v>24</v>
      </c>
      <c r="E1022" s="93" t="s">
        <v>24</v>
      </c>
      <c r="F1022" s="93" t="s">
        <v>7</v>
      </c>
      <c r="G1022" s="93" t="s">
        <v>7183</v>
      </c>
      <c r="H1022" s="93" t="s">
        <v>400</v>
      </c>
      <c r="I1022" s="93" t="s">
        <v>111</v>
      </c>
      <c r="J1022" s="93" t="s">
        <v>118</v>
      </c>
      <c r="K1022" s="93">
        <v>3</v>
      </c>
      <c r="L1022" s="93" t="s">
        <v>111</v>
      </c>
      <c r="M1022" s="93" t="s">
        <v>111</v>
      </c>
      <c r="N1022" s="93" t="s">
        <v>111</v>
      </c>
      <c r="O1022" s="93" t="s">
        <v>111</v>
      </c>
      <c r="P1022" s="93" t="s">
        <v>111</v>
      </c>
      <c r="Q1022" s="93" t="s">
        <v>228</v>
      </c>
      <c r="R1022" s="93" t="s">
        <v>2</v>
      </c>
      <c r="S1022" s="93" t="s">
        <v>115</v>
      </c>
      <c r="T1022" s="93" t="s">
        <v>116</v>
      </c>
      <c r="U1022" s="94">
        <v>44610.082638888889</v>
      </c>
      <c r="V1022" s="93" t="s">
        <v>7336</v>
      </c>
      <c r="W1022" s="93" t="s">
        <v>24</v>
      </c>
    </row>
    <row r="1023" spans="1:23" x14ac:dyDescent="0.15">
      <c r="A1023" s="93" t="s">
        <v>89</v>
      </c>
      <c r="B1023" s="93" t="s">
        <v>382</v>
      </c>
      <c r="C1023" s="93">
        <v>48</v>
      </c>
      <c r="D1023" s="93" t="s">
        <v>24</v>
      </c>
      <c r="E1023" s="93" t="s">
        <v>24</v>
      </c>
      <c r="F1023" s="93" t="s">
        <v>7</v>
      </c>
      <c r="G1023" s="93" t="s">
        <v>7183</v>
      </c>
      <c r="H1023" s="93" t="s">
        <v>400</v>
      </c>
      <c r="I1023" s="93" t="s">
        <v>111</v>
      </c>
      <c r="J1023" s="93" t="s">
        <v>118</v>
      </c>
      <c r="K1023" s="93">
        <v>3</v>
      </c>
      <c r="L1023" s="93" t="s">
        <v>111</v>
      </c>
      <c r="M1023" s="93" t="s">
        <v>111</v>
      </c>
      <c r="N1023" s="93" t="s">
        <v>111</v>
      </c>
      <c r="O1023" s="93" t="s">
        <v>111</v>
      </c>
      <c r="P1023" s="93" t="s">
        <v>111</v>
      </c>
      <c r="Q1023" s="93" t="s">
        <v>228</v>
      </c>
      <c r="R1023" s="93" t="s">
        <v>2</v>
      </c>
      <c r="S1023" s="93" t="s">
        <v>115</v>
      </c>
      <c r="T1023" s="93" t="s">
        <v>116</v>
      </c>
      <c r="U1023" s="94">
        <v>44610.128472222219</v>
      </c>
      <c r="V1023" s="93" t="s">
        <v>7336</v>
      </c>
      <c r="W1023" s="93" t="s">
        <v>24</v>
      </c>
    </row>
    <row r="1024" spans="1:23" x14ac:dyDescent="0.15">
      <c r="A1024" s="93" t="s">
        <v>6535</v>
      </c>
      <c r="B1024" s="93" t="s">
        <v>7837</v>
      </c>
      <c r="C1024" s="93">
        <v>20</v>
      </c>
      <c r="D1024" s="93" t="s">
        <v>24</v>
      </c>
      <c r="E1024" s="93" t="s">
        <v>24</v>
      </c>
      <c r="F1024" s="93" t="s">
        <v>7</v>
      </c>
      <c r="G1024" s="93" t="s">
        <v>7183</v>
      </c>
      <c r="H1024" s="93" t="s">
        <v>400</v>
      </c>
      <c r="I1024" s="93" t="s">
        <v>111</v>
      </c>
      <c r="J1024" s="93" t="s">
        <v>118</v>
      </c>
      <c r="K1024" s="93">
        <v>3</v>
      </c>
      <c r="L1024" s="93" t="s">
        <v>111</v>
      </c>
      <c r="M1024" s="93" t="s">
        <v>111</v>
      </c>
      <c r="N1024" s="93" t="s">
        <v>111</v>
      </c>
      <c r="O1024" s="93" t="s">
        <v>111</v>
      </c>
      <c r="P1024" s="93" t="s">
        <v>111</v>
      </c>
      <c r="Q1024" s="93" t="s">
        <v>228</v>
      </c>
      <c r="R1024" s="93" t="s">
        <v>2</v>
      </c>
      <c r="S1024" s="93" t="s">
        <v>115</v>
      </c>
      <c r="T1024" s="93" t="s">
        <v>116</v>
      </c>
      <c r="U1024" s="94">
        <v>44596.611805555556</v>
      </c>
      <c r="V1024" s="93" t="s">
        <v>7336</v>
      </c>
      <c r="W1024" s="93" t="s">
        <v>24</v>
      </c>
    </row>
    <row r="1025" spans="1:23" x14ac:dyDescent="0.15">
      <c r="A1025" s="93" t="s">
        <v>6537</v>
      </c>
      <c r="B1025" s="93" t="s">
        <v>7838</v>
      </c>
      <c r="C1025" s="93">
        <v>51</v>
      </c>
      <c r="D1025" s="93" t="s">
        <v>24</v>
      </c>
      <c r="E1025" s="93" t="s">
        <v>24</v>
      </c>
      <c r="F1025" s="93" t="s">
        <v>7</v>
      </c>
      <c r="G1025" s="93" t="s">
        <v>7183</v>
      </c>
      <c r="H1025" s="93" t="s">
        <v>400</v>
      </c>
      <c r="I1025" s="93" t="s">
        <v>111</v>
      </c>
      <c r="J1025" s="93" t="s">
        <v>118</v>
      </c>
      <c r="K1025" s="93">
        <v>3</v>
      </c>
      <c r="L1025" s="93" t="s">
        <v>111</v>
      </c>
      <c r="M1025" s="93" t="s">
        <v>111</v>
      </c>
      <c r="N1025" s="93" t="s">
        <v>111</v>
      </c>
      <c r="O1025" s="93" t="s">
        <v>111</v>
      </c>
      <c r="P1025" s="93" t="s">
        <v>111</v>
      </c>
      <c r="Q1025" s="93" t="s">
        <v>228</v>
      </c>
      <c r="R1025" s="93" t="s">
        <v>2</v>
      </c>
      <c r="S1025" s="93" t="s">
        <v>115</v>
      </c>
      <c r="T1025" s="93" t="s">
        <v>116</v>
      </c>
      <c r="U1025" s="94">
        <v>44596.558333333334</v>
      </c>
      <c r="V1025" s="93" t="s">
        <v>7336</v>
      </c>
      <c r="W1025" s="93" t="s">
        <v>24</v>
      </c>
    </row>
    <row r="1026" spans="1:23" x14ac:dyDescent="0.15">
      <c r="A1026" s="93" t="s">
        <v>6539</v>
      </c>
      <c r="B1026" s="93" t="s">
        <v>7839</v>
      </c>
      <c r="C1026" s="93">
        <v>80</v>
      </c>
      <c r="D1026" s="93" t="s">
        <v>24</v>
      </c>
      <c r="E1026" s="93" t="s">
        <v>24</v>
      </c>
      <c r="F1026" s="93" t="s">
        <v>7</v>
      </c>
      <c r="G1026" s="93" t="s">
        <v>7183</v>
      </c>
      <c r="H1026" s="93" t="s">
        <v>400</v>
      </c>
      <c r="I1026" s="93" t="s">
        <v>111</v>
      </c>
      <c r="J1026" s="93" t="s">
        <v>118</v>
      </c>
      <c r="K1026" s="93">
        <v>3</v>
      </c>
      <c r="L1026" s="93" t="s">
        <v>111</v>
      </c>
      <c r="M1026" s="93" t="s">
        <v>111</v>
      </c>
      <c r="N1026" s="93" t="s">
        <v>111</v>
      </c>
      <c r="O1026" s="93" t="s">
        <v>111</v>
      </c>
      <c r="P1026" s="93" t="s">
        <v>111</v>
      </c>
      <c r="Q1026" s="93" t="s">
        <v>228</v>
      </c>
      <c r="R1026" s="93" t="s">
        <v>2</v>
      </c>
      <c r="S1026" s="93" t="s">
        <v>115</v>
      </c>
      <c r="T1026" s="93" t="s">
        <v>116</v>
      </c>
      <c r="U1026" s="94">
        <v>44596.603472222225</v>
      </c>
      <c r="V1026" s="93" t="s">
        <v>7336</v>
      </c>
      <c r="W1026" s="93" t="s">
        <v>24</v>
      </c>
    </row>
    <row r="1027" spans="1:23" x14ac:dyDescent="0.15">
      <c r="A1027" s="93" t="s">
        <v>1132</v>
      </c>
      <c r="B1027" s="93" t="s">
        <v>7840</v>
      </c>
      <c r="C1027" s="93">
        <v>33</v>
      </c>
      <c r="D1027" s="93" t="s">
        <v>24</v>
      </c>
      <c r="E1027" s="93" t="s">
        <v>24</v>
      </c>
      <c r="F1027" s="93" t="s">
        <v>7</v>
      </c>
      <c r="G1027" s="93" t="s">
        <v>7183</v>
      </c>
      <c r="H1027" s="93" t="s">
        <v>400</v>
      </c>
      <c r="I1027" s="93" t="s">
        <v>111</v>
      </c>
      <c r="J1027" s="93" t="s">
        <v>118</v>
      </c>
      <c r="K1027" s="93">
        <v>3</v>
      </c>
      <c r="L1027" s="93" t="s">
        <v>111</v>
      </c>
      <c r="M1027" s="93" t="s">
        <v>111</v>
      </c>
      <c r="N1027" s="93" t="s">
        <v>111</v>
      </c>
      <c r="O1027" s="93" t="s">
        <v>111</v>
      </c>
      <c r="P1027" s="93" t="s">
        <v>111</v>
      </c>
      <c r="Q1027" s="93" t="s">
        <v>228</v>
      </c>
      <c r="R1027" s="93" t="s">
        <v>2</v>
      </c>
      <c r="S1027" s="93" t="s">
        <v>115</v>
      </c>
      <c r="T1027" s="93" t="s">
        <v>116</v>
      </c>
      <c r="U1027" s="94">
        <v>44610.082638888889</v>
      </c>
      <c r="V1027" s="93" t="s">
        <v>7336</v>
      </c>
      <c r="W1027" s="93" t="s">
        <v>24</v>
      </c>
    </row>
    <row r="1028" spans="1:23" x14ac:dyDescent="0.15">
      <c r="A1028" s="93" t="s">
        <v>1133</v>
      </c>
      <c r="B1028" s="93" t="s">
        <v>7841</v>
      </c>
      <c r="C1028" s="93">
        <v>84</v>
      </c>
      <c r="D1028" s="93" t="s">
        <v>24</v>
      </c>
      <c r="E1028" s="93" t="s">
        <v>24</v>
      </c>
      <c r="F1028" s="93" t="s">
        <v>7</v>
      </c>
      <c r="G1028" s="93" t="s">
        <v>7183</v>
      </c>
      <c r="H1028" s="93" t="s">
        <v>400</v>
      </c>
      <c r="I1028" s="93" t="s">
        <v>111</v>
      </c>
      <c r="J1028" s="93" t="s">
        <v>118</v>
      </c>
      <c r="K1028" s="93">
        <v>3</v>
      </c>
      <c r="L1028" s="93" t="s">
        <v>111</v>
      </c>
      <c r="M1028" s="93" t="s">
        <v>111</v>
      </c>
      <c r="N1028" s="93" t="s">
        <v>111</v>
      </c>
      <c r="O1028" s="93" t="s">
        <v>111</v>
      </c>
      <c r="P1028" s="93" t="s">
        <v>111</v>
      </c>
      <c r="Q1028" s="93" t="s">
        <v>228</v>
      </c>
      <c r="R1028" s="93" t="s">
        <v>2</v>
      </c>
      <c r="S1028" s="93" t="s">
        <v>115</v>
      </c>
      <c r="T1028" s="93" t="s">
        <v>116</v>
      </c>
      <c r="U1028" s="94">
        <v>44610.128472222219</v>
      </c>
      <c r="V1028" s="93" t="s">
        <v>7336</v>
      </c>
      <c r="W1028" s="93" t="s">
        <v>24</v>
      </c>
    </row>
    <row r="1029" spans="1:23" x14ac:dyDescent="0.15">
      <c r="A1029" s="93" t="s">
        <v>1134</v>
      </c>
      <c r="B1029" s="93" t="s">
        <v>7842</v>
      </c>
      <c r="C1029" s="93">
        <v>132</v>
      </c>
      <c r="D1029" s="93" t="s">
        <v>24</v>
      </c>
      <c r="E1029" s="93" t="s">
        <v>24</v>
      </c>
      <c r="F1029" s="93" t="s">
        <v>7</v>
      </c>
      <c r="G1029" s="93" t="s">
        <v>7183</v>
      </c>
      <c r="H1029" s="93" t="s">
        <v>400</v>
      </c>
      <c r="I1029" s="93" t="s">
        <v>111</v>
      </c>
      <c r="J1029" s="93" t="s">
        <v>118</v>
      </c>
      <c r="K1029" s="93">
        <v>3</v>
      </c>
      <c r="L1029" s="93" t="s">
        <v>111</v>
      </c>
      <c r="M1029" s="93" t="s">
        <v>111</v>
      </c>
      <c r="N1029" s="93" t="s">
        <v>111</v>
      </c>
      <c r="O1029" s="93" t="s">
        <v>111</v>
      </c>
      <c r="P1029" s="93" t="s">
        <v>111</v>
      </c>
      <c r="Q1029" s="93" t="s">
        <v>228</v>
      </c>
      <c r="R1029" s="93" t="s">
        <v>2</v>
      </c>
      <c r="S1029" s="93" t="s">
        <v>115</v>
      </c>
      <c r="T1029" s="93" t="s">
        <v>116</v>
      </c>
      <c r="U1029" s="94">
        <v>44610.099305555559</v>
      </c>
      <c r="V1029" s="93" t="s">
        <v>7336</v>
      </c>
      <c r="W1029" s="93" t="s">
        <v>24</v>
      </c>
    </row>
    <row r="1030" spans="1:23" x14ac:dyDescent="0.15">
      <c r="A1030" s="93" t="s">
        <v>7843</v>
      </c>
      <c r="B1030" s="93" t="s">
        <v>7844</v>
      </c>
      <c r="C1030" s="93">
        <v>86.22</v>
      </c>
      <c r="D1030" s="93" t="s">
        <v>24</v>
      </c>
      <c r="E1030" s="93" t="s">
        <v>24</v>
      </c>
      <c r="F1030" s="93" t="s">
        <v>7</v>
      </c>
      <c r="G1030" s="93" t="s">
        <v>7183</v>
      </c>
      <c r="H1030" s="93" t="s">
        <v>400</v>
      </c>
      <c r="I1030" s="93" t="s">
        <v>111</v>
      </c>
      <c r="J1030" s="93" t="s">
        <v>7105</v>
      </c>
      <c r="K1030" s="93" t="s">
        <v>111</v>
      </c>
      <c r="L1030" s="93" t="s">
        <v>111</v>
      </c>
      <c r="M1030" s="93" t="s">
        <v>111</v>
      </c>
      <c r="N1030" s="93" t="s">
        <v>111</v>
      </c>
      <c r="O1030" s="93" t="s">
        <v>111</v>
      </c>
      <c r="P1030" s="93" t="s">
        <v>111</v>
      </c>
      <c r="Q1030" s="93" t="s">
        <v>111</v>
      </c>
      <c r="R1030" s="93" t="s">
        <v>2</v>
      </c>
      <c r="S1030" s="93" t="s">
        <v>111</v>
      </c>
      <c r="T1030" s="93" t="s">
        <v>116</v>
      </c>
      <c r="U1030" s="94">
        <v>44596.5625</v>
      </c>
      <c r="V1030" s="93" t="s">
        <v>402</v>
      </c>
      <c r="W1030" s="93" t="s">
        <v>24</v>
      </c>
    </row>
    <row r="1031" spans="1:23" x14ac:dyDescent="0.15">
      <c r="A1031" s="93" t="s">
        <v>7845</v>
      </c>
      <c r="B1031" s="93" t="s">
        <v>7846</v>
      </c>
      <c r="C1031" s="93">
        <v>172.43</v>
      </c>
      <c r="D1031" s="93" t="s">
        <v>24</v>
      </c>
      <c r="E1031" s="93" t="s">
        <v>24</v>
      </c>
      <c r="F1031" s="93" t="s">
        <v>7</v>
      </c>
      <c r="G1031" s="93" t="s">
        <v>7183</v>
      </c>
      <c r="H1031" s="93" t="s">
        <v>400</v>
      </c>
      <c r="I1031" s="93" t="s">
        <v>111</v>
      </c>
      <c r="J1031" s="93" t="s">
        <v>7105</v>
      </c>
      <c r="K1031" s="93" t="s">
        <v>111</v>
      </c>
      <c r="L1031" s="93" t="s">
        <v>111</v>
      </c>
      <c r="M1031" s="93" t="s">
        <v>111</v>
      </c>
      <c r="N1031" s="93" t="s">
        <v>111</v>
      </c>
      <c r="O1031" s="93" t="s">
        <v>111</v>
      </c>
      <c r="P1031" s="93" t="s">
        <v>111</v>
      </c>
      <c r="Q1031" s="93" t="s">
        <v>111</v>
      </c>
      <c r="R1031" s="93" t="s">
        <v>2</v>
      </c>
      <c r="S1031" s="93" t="s">
        <v>111</v>
      </c>
      <c r="T1031" s="93" t="s">
        <v>116</v>
      </c>
      <c r="U1031" s="94">
        <v>44596.606944444444</v>
      </c>
      <c r="V1031" s="93" t="s">
        <v>402</v>
      </c>
      <c r="W1031" s="93" t="s">
        <v>24</v>
      </c>
    </row>
    <row r="1032" spans="1:23" x14ac:dyDescent="0.15">
      <c r="A1032" s="93" t="s">
        <v>7847</v>
      </c>
      <c r="B1032" s="93" t="s">
        <v>7848</v>
      </c>
      <c r="C1032" s="93">
        <v>200.58</v>
      </c>
      <c r="D1032" s="93" t="s">
        <v>24</v>
      </c>
      <c r="E1032" s="93" t="s">
        <v>24</v>
      </c>
      <c r="F1032" s="93" t="s">
        <v>7</v>
      </c>
      <c r="G1032" s="93" t="s">
        <v>7183</v>
      </c>
      <c r="H1032" s="93" t="s">
        <v>400</v>
      </c>
      <c r="I1032" s="93" t="s">
        <v>111</v>
      </c>
      <c r="J1032" s="93" t="s">
        <v>7105</v>
      </c>
      <c r="K1032" s="93" t="s">
        <v>111</v>
      </c>
      <c r="L1032" s="93" t="s">
        <v>111</v>
      </c>
      <c r="M1032" s="93" t="s">
        <v>111</v>
      </c>
      <c r="N1032" s="93" t="s">
        <v>111</v>
      </c>
      <c r="O1032" s="93" t="s">
        <v>111</v>
      </c>
      <c r="P1032" s="93" t="s">
        <v>111</v>
      </c>
      <c r="Q1032" s="93" t="s">
        <v>111</v>
      </c>
      <c r="R1032" s="93" t="s">
        <v>2</v>
      </c>
      <c r="S1032" s="93" t="s">
        <v>111</v>
      </c>
      <c r="T1032" s="93" t="s">
        <v>116</v>
      </c>
      <c r="U1032" s="94">
        <v>44596.566666666666</v>
      </c>
      <c r="V1032" s="93" t="s">
        <v>402</v>
      </c>
      <c r="W1032" s="93" t="s">
        <v>24</v>
      </c>
    </row>
    <row r="1033" spans="1:23" x14ac:dyDescent="0.15">
      <c r="A1033" s="93" t="s">
        <v>7849</v>
      </c>
      <c r="B1033" s="93" t="s">
        <v>7850</v>
      </c>
      <c r="C1033" s="93">
        <v>46.92</v>
      </c>
      <c r="D1033" s="93" t="s">
        <v>24</v>
      </c>
      <c r="E1033" s="93" t="s">
        <v>24</v>
      </c>
      <c r="F1033" s="93" t="s">
        <v>7</v>
      </c>
      <c r="G1033" s="93" t="s">
        <v>7183</v>
      </c>
      <c r="H1033" s="93" t="s">
        <v>400</v>
      </c>
      <c r="I1033" s="93" t="s">
        <v>111</v>
      </c>
      <c r="J1033" s="93" t="s">
        <v>7105</v>
      </c>
      <c r="K1033" s="93" t="s">
        <v>111</v>
      </c>
      <c r="L1033" s="93" t="s">
        <v>111</v>
      </c>
      <c r="M1033" s="93" t="s">
        <v>111</v>
      </c>
      <c r="N1033" s="93" t="s">
        <v>111</v>
      </c>
      <c r="O1033" s="93" t="s">
        <v>111</v>
      </c>
      <c r="P1033" s="93" t="s">
        <v>111</v>
      </c>
      <c r="Q1033" s="93" t="s">
        <v>111</v>
      </c>
      <c r="R1033" s="93" t="s">
        <v>2</v>
      </c>
      <c r="S1033" s="93" t="s">
        <v>111</v>
      </c>
      <c r="T1033" s="93" t="s">
        <v>116</v>
      </c>
      <c r="U1033" s="94">
        <v>44596.579861111109</v>
      </c>
      <c r="V1033" s="93" t="s">
        <v>402</v>
      </c>
      <c r="W1033" s="93" t="s">
        <v>24</v>
      </c>
    </row>
    <row r="1034" spans="1:23" x14ac:dyDescent="0.15">
      <c r="A1034" s="93" t="s">
        <v>7851</v>
      </c>
      <c r="B1034" s="93" t="s">
        <v>7852</v>
      </c>
      <c r="C1034" s="93">
        <v>119.65</v>
      </c>
      <c r="D1034" s="93" t="s">
        <v>24</v>
      </c>
      <c r="E1034" s="93" t="s">
        <v>24</v>
      </c>
      <c r="F1034" s="93" t="s">
        <v>7</v>
      </c>
      <c r="G1034" s="93" t="s">
        <v>7183</v>
      </c>
      <c r="H1034" s="93" t="s">
        <v>400</v>
      </c>
      <c r="I1034" s="93" t="s">
        <v>111</v>
      </c>
      <c r="J1034" s="93" t="s">
        <v>7105</v>
      </c>
      <c r="K1034" s="93" t="s">
        <v>111</v>
      </c>
      <c r="L1034" s="93" t="s">
        <v>111</v>
      </c>
      <c r="M1034" s="93" t="s">
        <v>111</v>
      </c>
      <c r="N1034" s="93" t="s">
        <v>111</v>
      </c>
      <c r="O1034" s="93" t="s">
        <v>111</v>
      </c>
      <c r="P1034" s="93" t="s">
        <v>111</v>
      </c>
      <c r="Q1034" s="93" t="s">
        <v>111</v>
      </c>
      <c r="R1034" s="93" t="s">
        <v>2</v>
      </c>
      <c r="S1034" s="93" t="s">
        <v>111</v>
      </c>
      <c r="T1034" s="93" t="s">
        <v>116</v>
      </c>
      <c r="U1034" s="94">
        <v>44596.611111111109</v>
      </c>
      <c r="V1034" s="93" t="s">
        <v>402</v>
      </c>
      <c r="W1034" s="93" t="s">
        <v>24</v>
      </c>
    </row>
    <row r="1035" spans="1:23" x14ac:dyDescent="0.15">
      <c r="A1035" s="93" t="s">
        <v>7853</v>
      </c>
      <c r="B1035" s="93" t="s">
        <v>7854</v>
      </c>
      <c r="C1035" s="93">
        <v>60.72</v>
      </c>
      <c r="D1035" s="93" t="s">
        <v>24</v>
      </c>
      <c r="E1035" s="93" t="s">
        <v>24</v>
      </c>
      <c r="F1035" s="93" t="s">
        <v>7</v>
      </c>
      <c r="G1035" s="93" t="s">
        <v>7183</v>
      </c>
      <c r="H1035" s="93" t="s">
        <v>400</v>
      </c>
      <c r="I1035" s="93" t="s">
        <v>111</v>
      </c>
      <c r="J1035" s="93" t="s">
        <v>7105</v>
      </c>
      <c r="K1035" s="93" t="s">
        <v>111</v>
      </c>
      <c r="L1035" s="93" t="s">
        <v>111</v>
      </c>
      <c r="M1035" s="93" t="s">
        <v>111</v>
      </c>
      <c r="N1035" s="93" t="s">
        <v>111</v>
      </c>
      <c r="O1035" s="93" t="s">
        <v>111</v>
      </c>
      <c r="P1035" s="93" t="s">
        <v>111</v>
      </c>
      <c r="Q1035" s="93" t="s">
        <v>111</v>
      </c>
      <c r="R1035" s="93" t="s">
        <v>2</v>
      </c>
      <c r="S1035" s="93" t="s">
        <v>111</v>
      </c>
      <c r="T1035" s="93" t="s">
        <v>116</v>
      </c>
      <c r="U1035" s="94">
        <v>44596.571527777778</v>
      </c>
      <c r="V1035" s="93" t="s">
        <v>402</v>
      </c>
      <c r="W1035" s="93" t="s">
        <v>24</v>
      </c>
    </row>
    <row r="1036" spans="1:23" x14ac:dyDescent="0.15">
      <c r="A1036" s="93" t="s">
        <v>7855</v>
      </c>
      <c r="B1036" s="93" t="s">
        <v>7856</v>
      </c>
      <c r="C1036" s="93">
        <v>154.84</v>
      </c>
      <c r="D1036" s="93" t="s">
        <v>24</v>
      </c>
      <c r="E1036" s="93" t="s">
        <v>24</v>
      </c>
      <c r="F1036" s="93" t="s">
        <v>7</v>
      </c>
      <c r="G1036" s="93" t="s">
        <v>7183</v>
      </c>
      <c r="H1036" s="93" t="s">
        <v>400</v>
      </c>
      <c r="I1036" s="93" t="s">
        <v>111</v>
      </c>
      <c r="J1036" s="93" t="s">
        <v>7105</v>
      </c>
      <c r="K1036" s="93" t="s">
        <v>111</v>
      </c>
      <c r="L1036" s="93" t="s">
        <v>111</v>
      </c>
      <c r="M1036" s="93" t="s">
        <v>111</v>
      </c>
      <c r="N1036" s="93" t="s">
        <v>111</v>
      </c>
      <c r="O1036" s="93" t="s">
        <v>111</v>
      </c>
      <c r="P1036" s="93" t="s">
        <v>111</v>
      </c>
      <c r="Q1036" s="93" t="s">
        <v>111</v>
      </c>
      <c r="R1036" s="93" t="s">
        <v>2</v>
      </c>
      <c r="S1036" s="93" t="s">
        <v>111</v>
      </c>
      <c r="T1036" s="93" t="s">
        <v>116</v>
      </c>
      <c r="U1036" s="94">
        <v>44596.602777777778</v>
      </c>
      <c r="V1036" s="93" t="s">
        <v>402</v>
      </c>
      <c r="W1036" s="93" t="s">
        <v>24</v>
      </c>
    </row>
    <row r="1037" spans="1:23" x14ac:dyDescent="0.15">
      <c r="A1037" s="93" t="s">
        <v>7857</v>
      </c>
      <c r="B1037" s="93" t="s">
        <v>7858</v>
      </c>
      <c r="C1037" s="93">
        <v>114.37</v>
      </c>
      <c r="D1037" s="93" t="s">
        <v>24</v>
      </c>
      <c r="E1037" s="93" t="s">
        <v>24</v>
      </c>
      <c r="F1037" s="93" t="s">
        <v>7</v>
      </c>
      <c r="G1037" s="93" t="s">
        <v>7183</v>
      </c>
      <c r="H1037" s="93" t="s">
        <v>400</v>
      </c>
      <c r="I1037" s="93" t="s">
        <v>111</v>
      </c>
      <c r="J1037" s="93" t="s">
        <v>7105</v>
      </c>
      <c r="K1037" s="93" t="s">
        <v>111</v>
      </c>
      <c r="L1037" s="93" t="s">
        <v>111</v>
      </c>
      <c r="M1037" s="93" t="s">
        <v>111</v>
      </c>
      <c r="N1037" s="93" t="s">
        <v>111</v>
      </c>
      <c r="O1037" s="93" t="s">
        <v>111</v>
      </c>
      <c r="P1037" s="93" t="s">
        <v>111</v>
      </c>
      <c r="Q1037" s="93" t="s">
        <v>111</v>
      </c>
      <c r="R1037" s="93" t="s">
        <v>2</v>
      </c>
      <c r="S1037" s="93" t="s">
        <v>111</v>
      </c>
      <c r="T1037" s="93" t="s">
        <v>116</v>
      </c>
      <c r="U1037" s="94">
        <v>44596.613888888889</v>
      </c>
      <c r="V1037" s="93" t="s">
        <v>402</v>
      </c>
      <c r="W1037" s="93" t="s">
        <v>24</v>
      </c>
    </row>
    <row r="1038" spans="1:23" x14ac:dyDescent="0.15">
      <c r="A1038" s="93" t="s">
        <v>7859</v>
      </c>
      <c r="B1038" s="93" t="s">
        <v>7860</v>
      </c>
      <c r="C1038" s="93">
        <v>195.3</v>
      </c>
      <c r="D1038" s="93" t="s">
        <v>24</v>
      </c>
      <c r="E1038" s="93" t="s">
        <v>24</v>
      </c>
      <c r="F1038" s="93" t="s">
        <v>7</v>
      </c>
      <c r="G1038" s="93" t="s">
        <v>7183</v>
      </c>
      <c r="H1038" s="93" t="s">
        <v>400</v>
      </c>
      <c r="I1038" s="93" t="s">
        <v>111</v>
      </c>
      <c r="J1038" s="93" t="s">
        <v>7105</v>
      </c>
      <c r="K1038" s="93" t="s">
        <v>111</v>
      </c>
      <c r="L1038" s="93" t="s">
        <v>111</v>
      </c>
      <c r="M1038" s="93" t="s">
        <v>111</v>
      </c>
      <c r="N1038" s="93" t="s">
        <v>111</v>
      </c>
      <c r="O1038" s="93" t="s">
        <v>111</v>
      </c>
      <c r="P1038" s="93" t="s">
        <v>111</v>
      </c>
      <c r="Q1038" s="93" t="s">
        <v>111</v>
      </c>
      <c r="R1038" s="93" t="s">
        <v>2</v>
      </c>
      <c r="S1038" s="93" t="s">
        <v>111</v>
      </c>
      <c r="T1038" s="93" t="s">
        <v>116</v>
      </c>
      <c r="U1038" s="94">
        <v>44596.579861111109</v>
      </c>
      <c r="V1038" s="93" t="s">
        <v>402</v>
      </c>
      <c r="W1038" s="93" t="s">
        <v>24</v>
      </c>
    </row>
    <row r="1039" spans="1:23" x14ac:dyDescent="0.15">
      <c r="A1039" s="93" t="s">
        <v>7861</v>
      </c>
      <c r="B1039" s="93" t="s">
        <v>7862</v>
      </c>
      <c r="C1039" s="93">
        <v>200.58</v>
      </c>
      <c r="D1039" s="93" t="s">
        <v>24</v>
      </c>
      <c r="E1039" s="93" t="s">
        <v>24</v>
      </c>
      <c r="F1039" s="93" t="s">
        <v>7</v>
      </c>
      <c r="G1039" s="93" t="s">
        <v>7183</v>
      </c>
      <c r="H1039" s="93" t="s">
        <v>400</v>
      </c>
      <c r="I1039" s="93" t="s">
        <v>111</v>
      </c>
      <c r="J1039" s="93" t="s">
        <v>7105</v>
      </c>
      <c r="K1039" s="93" t="s">
        <v>111</v>
      </c>
      <c r="L1039" s="93" t="s">
        <v>111</v>
      </c>
      <c r="M1039" s="93" t="s">
        <v>111</v>
      </c>
      <c r="N1039" s="93" t="s">
        <v>111</v>
      </c>
      <c r="O1039" s="93" t="s">
        <v>111</v>
      </c>
      <c r="P1039" s="93" t="s">
        <v>111</v>
      </c>
      <c r="Q1039" s="93" t="s">
        <v>111</v>
      </c>
      <c r="R1039" s="93" t="s">
        <v>2</v>
      </c>
      <c r="S1039" s="93" t="s">
        <v>111</v>
      </c>
      <c r="T1039" s="93" t="s">
        <v>116</v>
      </c>
      <c r="U1039" s="94">
        <v>44596.606944444444</v>
      </c>
      <c r="V1039" s="93" t="s">
        <v>402</v>
      </c>
      <c r="W1039" s="93" t="s">
        <v>24</v>
      </c>
    </row>
    <row r="1040" spans="1:23" x14ac:dyDescent="0.15">
      <c r="A1040" s="93" t="s">
        <v>7863</v>
      </c>
      <c r="B1040" s="93" t="s">
        <v>7864</v>
      </c>
      <c r="C1040" s="93">
        <v>225.22</v>
      </c>
      <c r="D1040" s="93" t="s">
        <v>24</v>
      </c>
      <c r="E1040" s="93" t="s">
        <v>24</v>
      </c>
      <c r="F1040" s="93" t="s">
        <v>7</v>
      </c>
      <c r="G1040" s="93" t="s">
        <v>7183</v>
      </c>
      <c r="H1040" s="93" t="s">
        <v>400</v>
      </c>
      <c r="I1040" s="93" t="s">
        <v>111</v>
      </c>
      <c r="J1040" s="93" t="s">
        <v>7105</v>
      </c>
      <c r="K1040" s="93" t="s">
        <v>111</v>
      </c>
      <c r="L1040" s="93" t="s">
        <v>111</v>
      </c>
      <c r="M1040" s="93" t="s">
        <v>111</v>
      </c>
      <c r="N1040" s="93" t="s">
        <v>111</v>
      </c>
      <c r="O1040" s="93" t="s">
        <v>111</v>
      </c>
      <c r="P1040" s="93" t="s">
        <v>111</v>
      </c>
      <c r="Q1040" s="93" t="s">
        <v>111</v>
      </c>
      <c r="R1040" s="93" t="s">
        <v>2</v>
      </c>
      <c r="S1040" s="93" t="s">
        <v>111</v>
      </c>
      <c r="T1040" s="93" t="s">
        <v>116</v>
      </c>
      <c r="U1040" s="94">
        <v>44596.613888888889</v>
      </c>
      <c r="V1040" s="93" t="s">
        <v>402</v>
      </c>
      <c r="W1040" s="93" t="s">
        <v>24</v>
      </c>
    </row>
    <row r="1041" spans="1:23" x14ac:dyDescent="0.15">
      <c r="A1041" s="93" t="s">
        <v>7865</v>
      </c>
      <c r="B1041" s="93" t="s">
        <v>7866</v>
      </c>
      <c r="C1041" s="93">
        <v>380.05</v>
      </c>
      <c r="D1041" s="93" t="s">
        <v>24</v>
      </c>
      <c r="E1041" s="93" t="s">
        <v>24</v>
      </c>
      <c r="F1041" s="93" t="s">
        <v>7</v>
      </c>
      <c r="G1041" s="93" t="s">
        <v>7183</v>
      </c>
      <c r="H1041" s="93" t="s">
        <v>400</v>
      </c>
      <c r="I1041" s="93" t="s">
        <v>111</v>
      </c>
      <c r="J1041" s="93" t="s">
        <v>7105</v>
      </c>
      <c r="K1041" s="93" t="s">
        <v>111</v>
      </c>
      <c r="L1041" s="93" t="s">
        <v>111</v>
      </c>
      <c r="M1041" s="93" t="s">
        <v>111</v>
      </c>
      <c r="N1041" s="93" t="s">
        <v>111</v>
      </c>
      <c r="O1041" s="93" t="s">
        <v>111</v>
      </c>
      <c r="P1041" s="93" t="s">
        <v>111</v>
      </c>
      <c r="Q1041" s="93" t="s">
        <v>111</v>
      </c>
      <c r="R1041" s="93" t="s">
        <v>2</v>
      </c>
      <c r="S1041" s="93" t="s">
        <v>111</v>
      </c>
      <c r="T1041" s="93" t="s">
        <v>116</v>
      </c>
      <c r="U1041" s="94">
        <v>44596.557638888888</v>
      </c>
      <c r="V1041" s="93" t="s">
        <v>402</v>
      </c>
      <c r="W1041" s="93" t="s">
        <v>24</v>
      </c>
    </row>
    <row r="1042" spans="1:23" x14ac:dyDescent="0.15">
      <c r="A1042" s="93" t="s">
        <v>7867</v>
      </c>
      <c r="B1042" s="93" t="s">
        <v>7868</v>
      </c>
      <c r="C1042" s="93">
        <v>40.47</v>
      </c>
      <c r="D1042" s="93" t="s">
        <v>24</v>
      </c>
      <c r="E1042" s="93" t="s">
        <v>24</v>
      </c>
      <c r="F1042" s="93" t="s">
        <v>7</v>
      </c>
      <c r="G1042" s="93" t="s">
        <v>7183</v>
      </c>
      <c r="H1042" s="93" t="s">
        <v>400</v>
      </c>
      <c r="I1042" s="93" t="s">
        <v>111</v>
      </c>
      <c r="J1042" s="93" t="s">
        <v>7105</v>
      </c>
      <c r="K1042" s="93" t="s">
        <v>111</v>
      </c>
      <c r="L1042" s="93" t="s">
        <v>111</v>
      </c>
      <c r="M1042" s="93" t="s">
        <v>111</v>
      </c>
      <c r="N1042" s="93" t="s">
        <v>111</v>
      </c>
      <c r="O1042" s="93" t="s">
        <v>111</v>
      </c>
      <c r="P1042" s="93" t="s">
        <v>111</v>
      </c>
      <c r="Q1042" s="93" t="s">
        <v>111</v>
      </c>
      <c r="R1042" s="93" t="s">
        <v>2</v>
      </c>
      <c r="S1042" s="93" t="s">
        <v>111</v>
      </c>
      <c r="T1042" s="93" t="s">
        <v>116</v>
      </c>
      <c r="U1042" s="94">
        <v>44596.606944444444</v>
      </c>
      <c r="V1042" s="93" t="s">
        <v>402</v>
      </c>
      <c r="W1042" s="93" t="s">
        <v>24</v>
      </c>
    </row>
    <row r="1043" spans="1:23" x14ac:dyDescent="0.15">
      <c r="A1043" s="93" t="s">
        <v>7869</v>
      </c>
      <c r="B1043" s="93" t="s">
        <v>7870</v>
      </c>
      <c r="C1043" s="93">
        <v>91.49</v>
      </c>
      <c r="D1043" s="93" t="s">
        <v>24</v>
      </c>
      <c r="E1043" s="93" t="s">
        <v>24</v>
      </c>
      <c r="F1043" s="93" t="s">
        <v>7</v>
      </c>
      <c r="G1043" s="93" t="s">
        <v>7183</v>
      </c>
      <c r="H1043" s="93" t="s">
        <v>400</v>
      </c>
      <c r="I1043" s="93" t="s">
        <v>111</v>
      </c>
      <c r="J1043" s="93" t="s">
        <v>7105</v>
      </c>
      <c r="K1043" s="93" t="s">
        <v>111</v>
      </c>
      <c r="L1043" s="93" t="s">
        <v>111</v>
      </c>
      <c r="M1043" s="93" t="s">
        <v>111</v>
      </c>
      <c r="N1043" s="93" t="s">
        <v>111</v>
      </c>
      <c r="O1043" s="93" t="s">
        <v>111</v>
      </c>
      <c r="P1043" s="93" t="s">
        <v>111</v>
      </c>
      <c r="Q1043" s="93" t="s">
        <v>111</v>
      </c>
      <c r="R1043" s="93" t="s">
        <v>2</v>
      </c>
      <c r="S1043" s="93" t="s">
        <v>111</v>
      </c>
      <c r="T1043" s="93" t="s">
        <v>116</v>
      </c>
      <c r="U1043" s="94">
        <v>44596.613888888889</v>
      </c>
      <c r="V1043" s="93" t="s">
        <v>402</v>
      </c>
      <c r="W1043" s="93" t="s">
        <v>24</v>
      </c>
    </row>
    <row r="1044" spans="1:23" x14ac:dyDescent="0.15">
      <c r="A1044" s="93" t="s">
        <v>7871</v>
      </c>
      <c r="B1044" s="93" t="s">
        <v>7872</v>
      </c>
      <c r="C1044" s="93">
        <v>441.63</v>
      </c>
      <c r="D1044" s="93" t="s">
        <v>24</v>
      </c>
      <c r="E1044" s="93" t="s">
        <v>24</v>
      </c>
      <c r="F1044" s="93" t="s">
        <v>7</v>
      </c>
      <c r="G1044" s="93" t="s">
        <v>7183</v>
      </c>
      <c r="H1044" s="93" t="s">
        <v>400</v>
      </c>
      <c r="I1044" s="93" t="s">
        <v>111</v>
      </c>
      <c r="J1044" s="93" t="s">
        <v>7105</v>
      </c>
      <c r="K1044" s="93" t="s">
        <v>111</v>
      </c>
      <c r="L1044" s="93" t="s">
        <v>111</v>
      </c>
      <c r="M1044" s="93" t="s">
        <v>111</v>
      </c>
      <c r="N1044" s="93" t="s">
        <v>111</v>
      </c>
      <c r="O1044" s="93" t="s">
        <v>111</v>
      </c>
      <c r="P1044" s="93" t="s">
        <v>111</v>
      </c>
      <c r="Q1044" s="93" t="s">
        <v>111</v>
      </c>
      <c r="R1044" s="93" t="s">
        <v>2</v>
      </c>
      <c r="S1044" s="93" t="s">
        <v>111</v>
      </c>
      <c r="T1044" s="93" t="s">
        <v>116</v>
      </c>
      <c r="U1044" s="94">
        <v>44596.566666666666</v>
      </c>
      <c r="V1044" s="93" t="s">
        <v>402</v>
      </c>
      <c r="W1044" s="93" t="s">
        <v>24</v>
      </c>
    </row>
    <row r="1045" spans="1:23" x14ac:dyDescent="0.15">
      <c r="A1045" s="93" t="s">
        <v>7873</v>
      </c>
      <c r="B1045" s="93" t="s">
        <v>7874</v>
      </c>
      <c r="C1045" s="93">
        <v>533.13</v>
      </c>
      <c r="D1045" s="93" t="s">
        <v>24</v>
      </c>
      <c r="E1045" s="93" t="s">
        <v>24</v>
      </c>
      <c r="F1045" s="93" t="s">
        <v>7</v>
      </c>
      <c r="G1045" s="93" t="s">
        <v>7183</v>
      </c>
      <c r="H1045" s="93" t="s">
        <v>400</v>
      </c>
      <c r="I1045" s="93" t="s">
        <v>111</v>
      </c>
      <c r="J1045" s="93" t="s">
        <v>7105</v>
      </c>
      <c r="K1045" s="93" t="s">
        <v>111</v>
      </c>
      <c r="L1045" s="93" t="s">
        <v>111</v>
      </c>
      <c r="M1045" s="93" t="s">
        <v>111</v>
      </c>
      <c r="N1045" s="93" t="s">
        <v>111</v>
      </c>
      <c r="O1045" s="93" t="s">
        <v>111</v>
      </c>
      <c r="P1045" s="93" t="s">
        <v>111</v>
      </c>
      <c r="Q1045" s="93" t="s">
        <v>111</v>
      </c>
      <c r="R1045" s="93" t="s">
        <v>2</v>
      </c>
      <c r="S1045" s="93" t="s">
        <v>111</v>
      </c>
      <c r="T1045" s="93" t="s">
        <v>116</v>
      </c>
      <c r="U1045" s="94">
        <v>44596.584722222222</v>
      </c>
      <c r="V1045" s="93" t="s">
        <v>402</v>
      </c>
      <c r="W1045" s="93" t="s">
        <v>24</v>
      </c>
    </row>
    <row r="1046" spans="1:23" x14ac:dyDescent="0.15">
      <c r="A1046" s="93" t="s">
        <v>7875</v>
      </c>
      <c r="B1046" s="93" t="s">
        <v>7876</v>
      </c>
      <c r="C1046" s="93">
        <v>738.99</v>
      </c>
      <c r="D1046" s="93" t="s">
        <v>24</v>
      </c>
      <c r="E1046" s="93" t="s">
        <v>24</v>
      </c>
      <c r="F1046" s="93" t="s">
        <v>7</v>
      </c>
      <c r="G1046" s="93" t="s">
        <v>7183</v>
      </c>
      <c r="H1046" s="93" t="s">
        <v>400</v>
      </c>
      <c r="I1046" s="93" t="s">
        <v>111</v>
      </c>
      <c r="J1046" s="93" t="s">
        <v>7105</v>
      </c>
      <c r="K1046" s="93" t="s">
        <v>111</v>
      </c>
      <c r="L1046" s="93" t="s">
        <v>111</v>
      </c>
      <c r="M1046" s="93" t="s">
        <v>111</v>
      </c>
      <c r="N1046" s="93" t="s">
        <v>111</v>
      </c>
      <c r="O1046" s="93" t="s">
        <v>111</v>
      </c>
      <c r="P1046" s="93" t="s">
        <v>111</v>
      </c>
      <c r="Q1046" s="93" t="s">
        <v>111</v>
      </c>
      <c r="R1046" s="93" t="s">
        <v>2</v>
      </c>
      <c r="S1046" s="93" t="s">
        <v>111</v>
      </c>
      <c r="T1046" s="93" t="s">
        <v>116</v>
      </c>
      <c r="U1046" s="94">
        <v>44596.566666666666</v>
      </c>
      <c r="V1046" s="93" t="s">
        <v>402</v>
      </c>
      <c r="W1046" s="93" t="s">
        <v>24</v>
      </c>
    </row>
    <row r="1047" spans="1:23" x14ac:dyDescent="0.15">
      <c r="A1047" s="93" t="s">
        <v>7877</v>
      </c>
      <c r="B1047" s="93" t="s">
        <v>7878</v>
      </c>
      <c r="C1047" s="93">
        <v>369.5</v>
      </c>
      <c r="D1047" s="93" t="s">
        <v>24</v>
      </c>
      <c r="E1047" s="93" t="s">
        <v>24</v>
      </c>
      <c r="F1047" s="93" t="s">
        <v>7</v>
      </c>
      <c r="G1047" s="93" t="s">
        <v>7183</v>
      </c>
      <c r="H1047" s="93" t="s">
        <v>400</v>
      </c>
      <c r="I1047" s="93" t="s">
        <v>111</v>
      </c>
      <c r="J1047" s="93" t="s">
        <v>7105</v>
      </c>
      <c r="K1047" s="93" t="s">
        <v>111</v>
      </c>
      <c r="L1047" s="93" t="s">
        <v>111</v>
      </c>
      <c r="M1047" s="93" t="s">
        <v>111</v>
      </c>
      <c r="N1047" s="93" t="s">
        <v>111</v>
      </c>
      <c r="O1047" s="93" t="s">
        <v>111</v>
      </c>
      <c r="P1047" s="93" t="s">
        <v>111</v>
      </c>
      <c r="Q1047" s="93" t="s">
        <v>111</v>
      </c>
      <c r="R1047" s="93" t="s">
        <v>2</v>
      </c>
      <c r="S1047" s="93" t="s">
        <v>111</v>
      </c>
      <c r="T1047" s="93" t="s">
        <v>116</v>
      </c>
      <c r="U1047" s="94">
        <v>44596.584722222222</v>
      </c>
      <c r="V1047" s="93" t="s">
        <v>402</v>
      </c>
      <c r="W1047" s="93" t="s">
        <v>24</v>
      </c>
    </row>
    <row r="1048" spans="1:23" x14ac:dyDescent="0.15">
      <c r="A1048" s="93" t="s">
        <v>7879</v>
      </c>
      <c r="B1048" s="93" t="s">
        <v>7880</v>
      </c>
      <c r="C1048" s="93">
        <v>160</v>
      </c>
      <c r="D1048" s="93" t="s">
        <v>24</v>
      </c>
      <c r="E1048" s="93" t="s">
        <v>24</v>
      </c>
      <c r="F1048" s="93" t="s">
        <v>126</v>
      </c>
      <c r="G1048" s="93" t="s">
        <v>7881</v>
      </c>
      <c r="H1048" s="93" t="s">
        <v>118</v>
      </c>
      <c r="I1048" s="93" t="s">
        <v>111</v>
      </c>
      <c r="J1048" s="93" t="s">
        <v>7105</v>
      </c>
      <c r="K1048" s="93" t="s">
        <v>111</v>
      </c>
      <c r="L1048" s="93" t="s">
        <v>111</v>
      </c>
      <c r="M1048" s="93" t="s">
        <v>111</v>
      </c>
      <c r="N1048" s="93" t="s">
        <v>111</v>
      </c>
      <c r="O1048" s="93" t="s">
        <v>111</v>
      </c>
      <c r="P1048" s="93" t="s">
        <v>111</v>
      </c>
      <c r="Q1048" s="93" t="s">
        <v>111</v>
      </c>
      <c r="R1048" s="93" t="s">
        <v>2</v>
      </c>
      <c r="S1048" s="93" t="s">
        <v>111</v>
      </c>
      <c r="T1048" s="93" t="s">
        <v>116</v>
      </c>
      <c r="U1048" s="94">
        <v>44610.123611111114</v>
      </c>
      <c r="V1048" s="93" t="s">
        <v>7072</v>
      </c>
      <c r="W1048" s="93" t="s">
        <v>24</v>
      </c>
    </row>
    <row r="1049" spans="1:23" x14ac:dyDescent="0.15">
      <c r="A1049" s="93" t="s">
        <v>7882</v>
      </c>
      <c r="B1049" s="93" t="s">
        <v>7883</v>
      </c>
      <c r="C1049" s="93">
        <v>200</v>
      </c>
      <c r="D1049" s="93" t="s">
        <v>24</v>
      </c>
      <c r="E1049" s="93" t="s">
        <v>24</v>
      </c>
      <c r="F1049" s="93" t="s">
        <v>126</v>
      </c>
      <c r="G1049" s="93" t="s">
        <v>7881</v>
      </c>
      <c r="H1049" s="93" t="s">
        <v>118</v>
      </c>
      <c r="I1049" s="93" t="s">
        <v>111</v>
      </c>
      <c r="J1049" s="93" t="s">
        <v>7105</v>
      </c>
      <c r="K1049" s="93" t="s">
        <v>111</v>
      </c>
      <c r="L1049" s="93" t="s">
        <v>111</v>
      </c>
      <c r="M1049" s="93" t="s">
        <v>111</v>
      </c>
      <c r="N1049" s="93" t="s">
        <v>111</v>
      </c>
      <c r="O1049" s="93" t="s">
        <v>111</v>
      </c>
      <c r="P1049" s="93" t="s">
        <v>111</v>
      </c>
      <c r="Q1049" s="93" t="s">
        <v>111</v>
      </c>
      <c r="R1049" s="93" t="s">
        <v>2</v>
      </c>
      <c r="S1049" s="93" t="s">
        <v>111</v>
      </c>
      <c r="T1049" s="93" t="s">
        <v>116</v>
      </c>
      <c r="U1049" s="94">
        <v>44610.076388888891</v>
      </c>
      <c r="V1049" s="93" t="s">
        <v>7072</v>
      </c>
      <c r="W1049" s="93" t="s">
        <v>24</v>
      </c>
    </row>
    <row r="1050" spans="1:23" x14ac:dyDescent="0.15">
      <c r="A1050" s="93" t="s">
        <v>7884</v>
      </c>
      <c r="B1050" s="93" t="s">
        <v>7885</v>
      </c>
      <c r="C1050" s="93">
        <v>40</v>
      </c>
      <c r="D1050" s="93" t="s">
        <v>24</v>
      </c>
      <c r="E1050" s="93" t="s">
        <v>24</v>
      </c>
      <c r="F1050" s="93" t="s">
        <v>126</v>
      </c>
      <c r="G1050" s="93" t="s">
        <v>7881</v>
      </c>
      <c r="H1050" s="93" t="s">
        <v>118</v>
      </c>
      <c r="I1050" s="93" t="s">
        <v>111</v>
      </c>
      <c r="J1050" s="93" t="s">
        <v>7105</v>
      </c>
      <c r="K1050" s="93" t="s">
        <v>111</v>
      </c>
      <c r="L1050" s="93" t="s">
        <v>111</v>
      </c>
      <c r="M1050" s="93" t="s">
        <v>111</v>
      </c>
      <c r="N1050" s="93" t="s">
        <v>111</v>
      </c>
      <c r="O1050" s="93" t="s">
        <v>111</v>
      </c>
      <c r="P1050" s="93" t="s">
        <v>111</v>
      </c>
      <c r="Q1050" s="93" t="s">
        <v>111</v>
      </c>
      <c r="R1050" s="93" t="s">
        <v>2</v>
      </c>
      <c r="S1050" s="93" t="s">
        <v>111</v>
      </c>
      <c r="T1050" s="93" t="s">
        <v>116</v>
      </c>
      <c r="U1050" s="94">
        <v>44609.253472222219</v>
      </c>
      <c r="V1050" s="93" t="s">
        <v>7072</v>
      </c>
      <c r="W1050" s="93" t="s">
        <v>24</v>
      </c>
    </row>
    <row r="1051" spans="1:23" x14ac:dyDescent="0.15">
      <c r="A1051" s="93" t="s">
        <v>7886</v>
      </c>
      <c r="B1051" s="93" t="s">
        <v>7887</v>
      </c>
      <c r="C1051" s="93">
        <v>70</v>
      </c>
      <c r="D1051" s="93" t="s">
        <v>24</v>
      </c>
      <c r="E1051" s="93" t="s">
        <v>24</v>
      </c>
      <c r="F1051" s="93" t="s">
        <v>126</v>
      </c>
      <c r="G1051" s="93" t="s">
        <v>7881</v>
      </c>
      <c r="H1051" s="93" t="s">
        <v>118</v>
      </c>
      <c r="I1051" s="93" t="s">
        <v>111</v>
      </c>
      <c r="J1051" s="93" t="s">
        <v>7105</v>
      </c>
      <c r="K1051" s="93" t="s">
        <v>111</v>
      </c>
      <c r="L1051" s="93" t="s">
        <v>111</v>
      </c>
      <c r="M1051" s="93" t="s">
        <v>111</v>
      </c>
      <c r="N1051" s="93" t="s">
        <v>111</v>
      </c>
      <c r="O1051" s="93" t="s">
        <v>111</v>
      </c>
      <c r="P1051" s="93" t="s">
        <v>111</v>
      </c>
      <c r="Q1051" s="93" t="s">
        <v>111</v>
      </c>
      <c r="R1051" s="93" t="s">
        <v>2</v>
      </c>
      <c r="S1051" s="93" t="s">
        <v>111</v>
      </c>
      <c r="T1051" s="93" t="s">
        <v>116</v>
      </c>
      <c r="U1051" s="94">
        <v>44610.114583333336</v>
      </c>
      <c r="V1051" s="93" t="s">
        <v>7072</v>
      </c>
      <c r="W1051" s="93" t="s">
        <v>24</v>
      </c>
    </row>
    <row r="1052" spans="1:23" x14ac:dyDescent="0.15">
      <c r="A1052" s="93" t="s">
        <v>7888</v>
      </c>
      <c r="B1052" s="93" t="s">
        <v>7889</v>
      </c>
      <c r="C1052" s="93">
        <v>120</v>
      </c>
      <c r="D1052" s="93" t="s">
        <v>24</v>
      </c>
      <c r="E1052" s="93" t="s">
        <v>24</v>
      </c>
      <c r="F1052" s="93" t="s">
        <v>126</v>
      </c>
      <c r="G1052" s="93" t="s">
        <v>7881</v>
      </c>
      <c r="H1052" s="93" t="s">
        <v>118</v>
      </c>
      <c r="I1052" s="93" t="s">
        <v>111</v>
      </c>
      <c r="J1052" s="93" t="s">
        <v>7105</v>
      </c>
      <c r="K1052" s="93" t="s">
        <v>111</v>
      </c>
      <c r="L1052" s="93" t="s">
        <v>111</v>
      </c>
      <c r="M1052" s="93" t="s">
        <v>111</v>
      </c>
      <c r="N1052" s="93" t="s">
        <v>111</v>
      </c>
      <c r="O1052" s="93" t="s">
        <v>111</v>
      </c>
      <c r="P1052" s="93" t="s">
        <v>111</v>
      </c>
      <c r="Q1052" s="93" t="s">
        <v>111</v>
      </c>
      <c r="R1052" s="93" t="s">
        <v>2</v>
      </c>
      <c r="S1052" s="93" t="s">
        <v>111</v>
      </c>
      <c r="T1052" s="93" t="s">
        <v>116</v>
      </c>
      <c r="U1052" s="94">
        <v>44610.076388888891</v>
      </c>
      <c r="V1052" s="93" t="s">
        <v>7072</v>
      </c>
      <c r="W1052" s="93" t="s">
        <v>24</v>
      </c>
    </row>
    <row r="1053" spans="1:23" x14ac:dyDescent="0.15">
      <c r="A1053" s="93" t="s">
        <v>7890</v>
      </c>
      <c r="B1053" s="93" t="s">
        <v>7891</v>
      </c>
      <c r="C1053" s="93">
        <v>320</v>
      </c>
      <c r="D1053" s="93" t="s">
        <v>24</v>
      </c>
      <c r="E1053" s="93" t="s">
        <v>24</v>
      </c>
      <c r="F1053" s="93" t="s">
        <v>126</v>
      </c>
      <c r="G1053" s="93" t="s">
        <v>7881</v>
      </c>
      <c r="H1053" s="93" t="s">
        <v>118</v>
      </c>
      <c r="I1053" s="93" t="s">
        <v>111</v>
      </c>
      <c r="J1053" s="93" t="s">
        <v>7105</v>
      </c>
      <c r="K1053" s="93" t="s">
        <v>111</v>
      </c>
      <c r="L1053" s="93" t="s">
        <v>111</v>
      </c>
      <c r="M1053" s="93" t="s">
        <v>111</v>
      </c>
      <c r="N1053" s="93" t="s">
        <v>111</v>
      </c>
      <c r="O1053" s="93" t="s">
        <v>111</v>
      </c>
      <c r="P1053" s="93" t="s">
        <v>111</v>
      </c>
      <c r="Q1053" s="93" t="s">
        <v>111</v>
      </c>
      <c r="R1053" s="93" t="s">
        <v>2</v>
      </c>
      <c r="S1053" s="93" t="s">
        <v>111</v>
      </c>
      <c r="T1053" s="93" t="s">
        <v>116</v>
      </c>
      <c r="U1053" s="94">
        <v>44610.066666666666</v>
      </c>
      <c r="V1053" s="93" t="s">
        <v>7072</v>
      </c>
      <c r="W1053" s="93" t="s">
        <v>24</v>
      </c>
    </row>
    <row r="1054" spans="1:23" x14ac:dyDescent="0.15">
      <c r="A1054" s="93" t="s">
        <v>7892</v>
      </c>
      <c r="B1054" s="93" t="s">
        <v>7893</v>
      </c>
      <c r="C1054" s="93">
        <v>8.89</v>
      </c>
      <c r="D1054" s="93" t="s">
        <v>24</v>
      </c>
      <c r="E1054" s="93" t="s">
        <v>24</v>
      </c>
      <c r="F1054" s="93" t="s">
        <v>126</v>
      </c>
      <c r="G1054" s="93" t="s">
        <v>7881</v>
      </c>
      <c r="H1054" s="93" t="s">
        <v>118</v>
      </c>
      <c r="I1054" s="93" t="s">
        <v>111</v>
      </c>
      <c r="J1054" s="93" t="s">
        <v>7105</v>
      </c>
      <c r="K1054" s="93" t="s">
        <v>111</v>
      </c>
      <c r="L1054" s="93" t="s">
        <v>111</v>
      </c>
      <c r="M1054" s="93" t="s">
        <v>111</v>
      </c>
      <c r="N1054" s="93" t="s">
        <v>111</v>
      </c>
      <c r="O1054" s="93" t="s">
        <v>111</v>
      </c>
      <c r="P1054" s="93" t="s">
        <v>111</v>
      </c>
      <c r="Q1054" s="93" t="s">
        <v>111</v>
      </c>
      <c r="R1054" s="93" t="s">
        <v>2</v>
      </c>
      <c r="S1054" s="93" t="s">
        <v>111</v>
      </c>
      <c r="T1054" s="93" t="s">
        <v>116</v>
      </c>
      <c r="U1054" s="94">
        <v>44610.107638888891</v>
      </c>
      <c r="V1054" s="93" t="s">
        <v>7072</v>
      </c>
      <c r="W1054" s="93" t="s">
        <v>24</v>
      </c>
    </row>
    <row r="1055" spans="1:23" x14ac:dyDescent="0.15">
      <c r="A1055" s="93" t="s">
        <v>7894</v>
      </c>
      <c r="B1055" s="93" t="s">
        <v>7895</v>
      </c>
      <c r="C1055" s="93">
        <v>400</v>
      </c>
      <c r="D1055" s="93" t="s">
        <v>24</v>
      </c>
      <c r="E1055" s="93" t="s">
        <v>24</v>
      </c>
      <c r="F1055" s="93" t="s">
        <v>126</v>
      </c>
      <c r="G1055" s="93" t="s">
        <v>7881</v>
      </c>
      <c r="H1055" s="93" t="s">
        <v>118</v>
      </c>
      <c r="I1055" s="93" t="s">
        <v>111</v>
      </c>
      <c r="J1055" s="93" t="s">
        <v>7105</v>
      </c>
      <c r="K1055" s="93" t="s">
        <v>111</v>
      </c>
      <c r="L1055" s="93" t="s">
        <v>111</v>
      </c>
      <c r="M1055" s="93" t="s">
        <v>111</v>
      </c>
      <c r="N1055" s="93" t="s">
        <v>111</v>
      </c>
      <c r="O1055" s="93" t="s">
        <v>111</v>
      </c>
      <c r="P1055" s="93" t="s">
        <v>111</v>
      </c>
      <c r="Q1055" s="93" t="s">
        <v>111</v>
      </c>
      <c r="R1055" s="93" t="s">
        <v>2</v>
      </c>
      <c r="S1055" s="93" t="s">
        <v>111</v>
      </c>
      <c r="T1055" s="93" t="s">
        <v>116</v>
      </c>
      <c r="U1055" s="94">
        <v>44610.054166666669</v>
      </c>
      <c r="V1055" s="93" t="s">
        <v>7072</v>
      </c>
      <c r="W1055" s="93" t="s">
        <v>24</v>
      </c>
    </row>
    <row r="1056" spans="1:23" x14ac:dyDescent="0.15">
      <c r="A1056" s="93" t="s">
        <v>7896</v>
      </c>
      <c r="B1056" s="93" t="s">
        <v>7897</v>
      </c>
      <c r="C1056" s="93">
        <v>11.11</v>
      </c>
      <c r="D1056" s="93" t="s">
        <v>24</v>
      </c>
      <c r="E1056" s="93" t="s">
        <v>24</v>
      </c>
      <c r="F1056" s="93" t="s">
        <v>126</v>
      </c>
      <c r="G1056" s="93" t="s">
        <v>7881</v>
      </c>
      <c r="H1056" s="93" t="s">
        <v>118</v>
      </c>
      <c r="I1056" s="93" t="s">
        <v>111</v>
      </c>
      <c r="J1056" s="93" t="s">
        <v>7105</v>
      </c>
      <c r="K1056" s="93" t="s">
        <v>111</v>
      </c>
      <c r="L1056" s="93" t="s">
        <v>111</v>
      </c>
      <c r="M1056" s="93" t="s">
        <v>111</v>
      </c>
      <c r="N1056" s="93" t="s">
        <v>111</v>
      </c>
      <c r="O1056" s="93" t="s">
        <v>111</v>
      </c>
      <c r="P1056" s="93" t="s">
        <v>111</v>
      </c>
      <c r="Q1056" s="93" t="s">
        <v>111</v>
      </c>
      <c r="R1056" s="93" t="s">
        <v>2</v>
      </c>
      <c r="S1056" s="93" t="s">
        <v>111</v>
      </c>
      <c r="T1056" s="93" t="s">
        <v>116</v>
      </c>
      <c r="U1056" s="94">
        <v>44610.101388888892</v>
      </c>
      <c r="V1056" s="93" t="s">
        <v>7072</v>
      </c>
      <c r="W1056" s="93" t="s">
        <v>24</v>
      </c>
    </row>
    <row r="1057" spans="1:23" x14ac:dyDescent="0.15">
      <c r="A1057" s="93" t="s">
        <v>7898</v>
      </c>
      <c r="B1057" s="93" t="s">
        <v>7899</v>
      </c>
      <c r="C1057" s="93">
        <v>80</v>
      </c>
      <c r="D1057" s="93" t="s">
        <v>24</v>
      </c>
      <c r="E1057" s="93" t="s">
        <v>24</v>
      </c>
      <c r="F1057" s="93" t="s">
        <v>126</v>
      </c>
      <c r="G1057" s="93" t="s">
        <v>7881</v>
      </c>
      <c r="H1057" s="93" t="s">
        <v>118</v>
      </c>
      <c r="I1057" s="93" t="s">
        <v>111</v>
      </c>
      <c r="J1057" s="93" t="s">
        <v>7105</v>
      </c>
      <c r="K1057" s="93" t="s">
        <v>111</v>
      </c>
      <c r="L1057" s="93" t="s">
        <v>111</v>
      </c>
      <c r="M1057" s="93" t="s">
        <v>111</v>
      </c>
      <c r="N1057" s="93" t="s">
        <v>111</v>
      </c>
      <c r="O1057" s="93" t="s">
        <v>111</v>
      </c>
      <c r="P1057" s="93" t="s">
        <v>111</v>
      </c>
      <c r="Q1057" s="93" t="s">
        <v>111</v>
      </c>
      <c r="R1057" s="93" t="s">
        <v>2</v>
      </c>
      <c r="S1057" s="93" t="s">
        <v>111</v>
      </c>
      <c r="T1057" s="93" t="s">
        <v>116</v>
      </c>
      <c r="U1057" s="94">
        <v>44609.240972222222</v>
      </c>
      <c r="V1057" s="93" t="s">
        <v>7072</v>
      </c>
      <c r="W1057" s="93" t="s">
        <v>24</v>
      </c>
    </row>
    <row r="1058" spans="1:23" x14ac:dyDescent="0.15">
      <c r="A1058" s="93" t="s">
        <v>7900</v>
      </c>
      <c r="B1058" s="93" t="s">
        <v>7901</v>
      </c>
      <c r="C1058" s="93">
        <v>140</v>
      </c>
      <c r="D1058" s="93" t="s">
        <v>24</v>
      </c>
      <c r="E1058" s="93" t="s">
        <v>24</v>
      </c>
      <c r="F1058" s="93" t="s">
        <v>126</v>
      </c>
      <c r="G1058" s="93" t="s">
        <v>7881</v>
      </c>
      <c r="H1058" s="93" t="s">
        <v>118</v>
      </c>
      <c r="I1058" s="93" t="s">
        <v>111</v>
      </c>
      <c r="J1058" s="93" t="s">
        <v>7105</v>
      </c>
      <c r="K1058" s="93" t="s">
        <v>111</v>
      </c>
      <c r="L1058" s="93" t="s">
        <v>111</v>
      </c>
      <c r="M1058" s="93" t="s">
        <v>111</v>
      </c>
      <c r="N1058" s="93" t="s">
        <v>111</v>
      </c>
      <c r="O1058" s="93" t="s">
        <v>111</v>
      </c>
      <c r="P1058" s="93" t="s">
        <v>111</v>
      </c>
      <c r="Q1058" s="93" t="s">
        <v>111</v>
      </c>
      <c r="R1058" s="93" t="s">
        <v>2</v>
      </c>
      <c r="S1058" s="93" t="s">
        <v>111</v>
      </c>
      <c r="T1058" s="93" t="s">
        <v>116</v>
      </c>
      <c r="U1058" s="94">
        <v>44610.123611111114</v>
      </c>
      <c r="V1058" s="93" t="s">
        <v>7072</v>
      </c>
      <c r="W1058" s="93" t="s">
        <v>24</v>
      </c>
    </row>
    <row r="1059" spans="1:23" x14ac:dyDescent="0.15">
      <c r="A1059" s="93" t="s">
        <v>7902</v>
      </c>
      <c r="B1059" s="93" t="s">
        <v>7903</v>
      </c>
      <c r="C1059" s="93">
        <v>240</v>
      </c>
      <c r="D1059" s="93" t="s">
        <v>24</v>
      </c>
      <c r="E1059" s="93" t="s">
        <v>24</v>
      </c>
      <c r="F1059" s="93" t="s">
        <v>126</v>
      </c>
      <c r="G1059" s="93" t="s">
        <v>7881</v>
      </c>
      <c r="H1059" s="93" t="s">
        <v>118</v>
      </c>
      <c r="I1059" s="93" t="s">
        <v>111</v>
      </c>
      <c r="J1059" s="93" t="s">
        <v>7105</v>
      </c>
      <c r="K1059" s="93" t="s">
        <v>111</v>
      </c>
      <c r="L1059" s="93" t="s">
        <v>111</v>
      </c>
      <c r="M1059" s="93" t="s">
        <v>111</v>
      </c>
      <c r="N1059" s="93" t="s">
        <v>111</v>
      </c>
      <c r="O1059" s="93" t="s">
        <v>111</v>
      </c>
      <c r="P1059" s="93" t="s">
        <v>111</v>
      </c>
      <c r="Q1059" s="93" t="s">
        <v>111</v>
      </c>
      <c r="R1059" s="93" t="s">
        <v>2</v>
      </c>
      <c r="S1059" s="93" t="s">
        <v>111</v>
      </c>
      <c r="T1059" s="93" t="s">
        <v>116</v>
      </c>
      <c r="U1059" s="94">
        <v>44610.054166666669</v>
      </c>
      <c r="V1059" s="93" t="s">
        <v>7072</v>
      </c>
      <c r="W1059" s="93" t="s">
        <v>24</v>
      </c>
    </row>
    <row r="1060" spans="1:23" x14ac:dyDescent="0.15">
      <c r="A1060" s="93" t="s">
        <v>7904</v>
      </c>
      <c r="B1060" s="93" t="s">
        <v>7905</v>
      </c>
      <c r="C1060" s="93">
        <v>6.67</v>
      </c>
      <c r="D1060" s="93" t="s">
        <v>24</v>
      </c>
      <c r="E1060" s="93" t="s">
        <v>24</v>
      </c>
      <c r="F1060" s="93" t="s">
        <v>126</v>
      </c>
      <c r="G1060" s="93" t="s">
        <v>7881</v>
      </c>
      <c r="H1060" s="93" t="s">
        <v>118</v>
      </c>
      <c r="I1060" s="93" t="s">
        <v>111</v>
      </c>
      <c r="J1060" s="93" t="s">
        <v>7105</v>
      </c>
      <c r="K1060" s="93" t="s">
        <v>111</v>
      </c>
      <c r="L1060" s="93" t="s">
        <v>111</v>
      </c>
      <c r="M1060" s="93" t="s">
        <v>111</v>
      </c>
      <c r="N1060" s="93" t="s">
        <v>111</v>
      </c>
      <c r="O1060" s="93" t="s">
        <v>111</v>
      </c>
      <c r="P1060" s="93" t="s">
        <v>111</v>
      </c>
      <c r="Q1060" s="93" t="s">
        <v>111</v>
      </c>
      <c r="R1060" s="93" t="s">
        <v>2</v>
      </c>
      <c r="S1060" s="93" t="s">
        <v>111</v>
      </c>
      <c r="T1060" s="93" t="s">
        <v>116</v>
      </c>
      <c r="U1060" s="94">
        <v>44610.107638888891</v>
      </c>
      <c r="V1060" s="93" t="s">
        <v>7072</v>
      </c>
      <c r="W1060" s="93" t="s">
        <v>24</v>
      </c>
    </row>
    <row r="1061" spans="1:23" x14ac:dyDescent="0.15">
      <c r="A1061" s="93" t="s">
        <v>7906</v>
      </c>
      <c r="B1061" s="93" t="s">
        <v>7907</v>
      </c>
      <c r="C1061" s="93">
        <v>120</v>
      </c>
      <c r="D1061" s="93" t="s">
        <v>24</v>
      </c>
      <c r="E1061" s="93" t="s">
        <v>24</v>
      </c>
      <c r="F1061" s="93" t="s">
        <v>126</v>
      </c>
      <c r="G1061" s="93" t="s">
        <v>7881</v>
      </c>
      <c r="H1061" s="93" t="s">
        <v>118</v>
      </c>
      <c r="I1061" s="93" t="s">
        <v>111</v>
      </c>
      <c r="J1061" s="93" t="s">
        <v>7105</v>
      </c>
      <c r="K1061" s="93" t="s">
        <v>111</v>
      </c>
      <c r="L1061" s="93" t="s">
        <v>111</v>
      </c>
      <c r="M1061" s="93" t="s">
        <v>111</v>
      </c>
      <c r="N1061" s="93" t="s">
        <v>111</v>
      </c>
      <c r="O1061" s="93" t="s">
        <v>111</v>
      </c>
      <c r="P1061" s="93" t="s">
        <v>111</v>
      </c>
      <c r="Q1061" s="93" t="s">
        <v>111</v>
      </c>
      <c r="R1061" s="93" t="s">
        <v>2</v>
      </c>
      <c r="S1061" s="93" t="s">
        <v>111</v>
      </c>
      <c r="T1061" s="93" t="s">
        <v>116</v>
      </c>
      <c r="U1061" s="94">
        <v>44610.084722222222</v>
      </c>
      <c r="V1061" s="93" t="s">
        <v>7072</v>
      </c>
      <c r="W1061" s="93" t="s">
        <v>24</v>
      </c>
    </row>
    <row r="1062" spans="1:23" x14ac:dyDescent="0.15">
      <c r="A1062" s="93" t="s">
        <v>7908</v>
      </c>
      <c r="B1062" s="93" t="s">
        <v>7909</v>
      </c>
      <c r="C1062" s="93">
        <v>210</v>
      </c>
      <c r="D1062" s="93" t="s">
        <v>24</v>
      </c>
      <c r="E1062" s="93" t="s">
        <v>24</v>
      </c>
      <c r="F1062" s="93" t="s">
        <v>126</v>
      </c>
      <c r="G1062" s="93" t="s">
        <v>7881</v>
      </c>
      <c r="H1062" s="93" t="s">
        <v>118</v>
      </c>
      <c r="I1062" s="93" t="s">
        <v>111</v>
      </c>
      <c r="J1062" s="93" t="s">
        <v>7105</v>
      </c>
      <c r="K1062" s="93" t="s">
        <v>111</v>
      </c>
      <c r="L1062" s="93" t="s">
        <v>111</v>
      </c>
      <c r="M1062" s="93" t="s">
        <v>111</v>
      </c>
      <c r="N1062" s="93" t="s">
        <v>111</v>
      </c>
      <c r="O1062" s="93" t="s">
        <v>111</v>
      </c>
      <c r="P1062" s="93" t="s">
        <v>111</v>
      </c>
      <c r="Q1062" s="93" t="s">
        <v>111</v>
      </c>
      <c r="R1062" s="93" t="s">
        <v>2</v>
      </c>
      <c r="S1062" s="93" t="s">
        <v>111</v>
      </c>
      <c r="T1062" s="93" t="s">
        <v>116</v>
      </c>
      <c r="U1062" s="94">
        <v>44610.092361111114</v>
      </c>
      <c r="V1062" s="93" t="s">
        <v>7072</v>
      </c>
      <c r="W1062" s="93" t="s">
        <v>24</v>
      </c>
    </row>
    <row r="1063" spans="1:23" x14ac:dyDescent="0.15">
      <c r="A1063" s="93" t="s">
        <v>7910</v>
      </c>
      <c r="B1063" s="93" t="s">
        <v>7911</v>
      </c>
      <c r="C1063" s="93">
        <v>160</v>
      </c>
      <c r="D1063" s="93" t="s">
        <v>24</v>
      </c>
      <c r="E1063" s="93" t="s">
        <v>9</v>
      </c>
      <c r="F1063" s="93" t="s">
        <v>7912</v>
      </c>
      <c r="G1063" s="93" t="s">
        <v>7881</v>
      </c>
      <c r="H1063" s="93" t="s">
        <v>118</v>
      </c>
      <c r="I1063" s="93" t="s">
        <v>111</v>
      </c>
      <c r="J1063" s="93" t="s">
        <v>118</v>
      </c>
      <c r="K1063" s="93">
        <v>3</v>
      </c>
      <c r="L1063" s="93" t="s">
        <v>111</v>
      </c>
      <c r="M1063" s="93" t="s">
        <v>111</v>
      </c>
      <c r="N1063" s="93" t="s">
        <v>111</v>
      </c>
      <c r="O1063" s="93" t="s">
        <v>111</v>
      </c>
      <c r="P1063" s="93" t="s">
        <v>111</v>
      </c>
      <c r="Q1063" s="93" t="s">
        <v>228</v>
      </c>
      <c r="R1063" s="93" t="s">
        <v>2</v>
      </c>
      <c r="S1063" s="93" t="s">
        <v>115</v>
      </c>
      <c r="T1063" s="93" t="s">
        <v>116</v>
      </c>
      <c r="U1063" s="94">
        <v>44596.557638888888</v>
      </c>
      <c r="V1063" s="93" t="s">
        <v>7913</v>
      </c>
      <c r="W1063" s="93" t="s">
        <v>24</v>
      </c>
    </row>
    <row r="1064" spans="1:23" x14ac:dyDescent="0.15">
      <c r="A1064" s="93" t="s">
        <v>7914</v>
      </c>
      <c r="B1064" s="93" t="s">
        <v>7915</v>
      </c>
      <c r="C1064" s="93">
        <v>320</v>
      </c>
      <c r="D1064" s="93" t="s">
        <v>24</v>
      </c>
      <c r="E1064" s="93" t="s">
        <v>9</v>
      </c>
      <c r="F1064" s="93" t="s">
        <v>7912</v>
      </c>
      <c r="G1064" s="93" t="s">
        <v>7881</v>
      </c>
      <c r="H1064" s="93" t="s">
        <v>118</v>
      </c>
      <c r="I1064" s="93" t="s">
        <v>111</v>
      </c>
      <c r="J1064" s="93" t="s">
        <v>118</v>
      </c>
      <c r="K1064" s="93">
        <v>3</v>
      </c>
      <c r="L1064" s="93" t="s">
        <v>111</v>
      </c>
      <c r="M1064" s="93" t="s">
        <v>111</v>
      </c>
      <c r="N1064" s="93" t="s">
        <v>111</v>
      </c>
      <c r="O1064" s="93" t="s">
        <v>111</v>
      </c>
      <c r="P1064" s="93" t="s">
        <v>111</v>
      </c>
      <c r="Q1064" s="93" t="s">
        <v>228</v>
      </c>
      <c r="R1064" s="93" t="s">
        <v>2</v>
      </c>
      <c r="S1064" s="93" t="s">
        <v>115</v>
      </c>
      <c r="T1064" s="93" t="s">
        <v>116</v>
      </c>
      <c r="U1064" s="94">
        <v>44596.607638888891</v>
      </c>
      <c r="V1064" s="93" t="s">
        <v>7913</v>
      </c>
      <c r="W1064" s="93" t="s">
        <v>24</v>
      </c>
    </row>
    <row r="1065" spans="1:23" x14ac:dyDescent="0.15">
      <c r="A1065" s="93" t="s">
        <v>7916</v>
      </c>
      <c r="B1065" s="93" t="s">
        <v>7917</v>
      </c>
      <c r="C1065" s="93">
        <v>200</v>
      </c>
      <c r="D1065" s="93" t="s">
        <v>24</v>
      </c>
      <c r="E1065" s="93" t="s">
        <v>9</v>
      </c>
      <c r="F1065" s="93" t="s">
        <v>7912</v>
      </c>
      <c r="G1065" s="93" t="s">
        <v>7881</v>
      </c>
      <c r="H1065" s="93" t="s">
        <v>118</v>
      </c>
      <c r="I1065" s="93" t="s">
        <v>111</v>
      </c>
      <c r="J1065" s="93" t="s">
        <v>118</v>
      </c>
      <c r="K1065" s="93">
        <v>3</v>
      </c>
      <c r="L1065" s="93" t="s">
        <v>111</v>
      </c>
      <c r="M1065" s="93" t="s">
        <v>111</v>
      </c>
      <c r="N1065" s="93" t="s">
        <v>111</v>
      </c>
      <c r="O1065" s="93" t="s">
        <v>111</v>
      </c>
      <c r="P1065" s="93" t="s">
        <v>111</v>
      </c>
      <c r="Q1065" s="93" t="s">
        <v>228</v>
      </c>
      <c r="R1065" s="93" t="s">
        <v>2</v>
      </c>
      <c r="S1065" s="93" t="s">
        <v>115</v>
      </c>
      <c r="T1065" s="93" t="s">
        <v>116</v>
      </c>
      <c r="U1065" s="94">
        <v>44596.607638888891</v>
      </c>
      <c r="V1065" s="93" t="s">
        <v>7913</v>
      </c>
      <c r="W1065" s="93" t="s">
        <v>24</v>
      </c>
    </row>
    <row r="1066" spans="1:23" x14ac:dyDescent="0.15">
      <c r="A1066" s="93" t="s">
        <v>7918</v>
      </c>
      <c r="B1066" s="93" t="s">
        <v>7919</v>
      </c>
      <c r="C1066" s="93">
        <v>400</v>
      </c>
      <c r="D1066" s="93" t="s">
        <v>24</v>
      </c>
      <c r="E1066" s="93" t="s">
        <v>9</v>
      </c>
      <c r="F1066" s="93" t="s">
        <v>7912</v>
      </c>
      <c r="G1066" s="93" t="s">
        <v>7881</v>
      </c>
      <c r="H1066" s="93" t="s">
        <v>118</v>
      </c>
      <c r="I1066" s="93" t="s">
        <v>111</v>
      </c>
      <c r="J1066" s="93" t="s">
        <v>118</v>
      </c>
      <c r="K1066" s="93">
        <v>3</v>
      </c>
      <c r="L1066" s="93" t="s">
        <v>111</v>
      </c>
      <c r="M1066" s="93" t="s">
        <v>111</v>
      </c>
      <c r="N1066" s="93" t="s">
        <v>111</v>
      </c>
      <c r="O1066" s="93" t="s">
        <v>111</v>
      </c>
      <c r="P1066" s="93" t="s">
        <v>111</v>
      </c>
      <c r="Q1066" s="93" t="s">
        <v>228</v>
      </c>
      <c r="R1066" s="93" t="s">
        <v>2</v>
      </c>
      <c r="S1066" s="93" t="s">
        <v>115</v>
      </c>
      <c r="T1066" s="93" t="s">
        <v>116</v>
      </c>
      <c r="U1066" s="94">
        <v>44596.614583333336</v>
      </c>
      <c r="V1066" s="93" t="s">
        <v>7913</v>
      </c>
      <c r="W1066" s="93" t="s">
        <v>24</v>
      </c>
    </row>
    <row r="1067" spans="1:23" x14ac:dyDescent="0.15">
      <c r="A1067" s="93" t="s">
        <v>7920</v>
      </c>
      <c r="B1067" s="93" t="s">
        <v>7921</v>
      </c>
      <c r="C1067" s="93">
        <v>40</v>
      </c>
      <c r="D1067" s="93" t="s">
        <v>24</v>
      </c>
      <c r="E1067" s="93" t="s">
        <v>9</v>
      </c>
      <c r="F1067" s="93" t="s">
        <v>7912</v>
      </c>
      <c r="G1067" s="93" t="s">
        <v>7881</v>
      </c>
      <c r="H1067" s="93" t="s">
        <v>118</v>
      </c>
      <c r="I1067" s="93" t="s">
        <v>111</v>
      </c>
      <c r="J1067" s="93" t="s">
        <v>118</v>
      </c>
      <c r="K1067" s="93">
        <v>3</v>
      </c>
      <c r="L1067" s="93" t="s">
        <v>111</v>
      </c>
      <c r="M1067" s="93" t="s">
        <v>111</v>
      </c>
      <c r="N1067" s="93" t="s">
        <v>111</v>
      </c>
      <c r="O1067" s="93" t="s">
        <v>111</v>
      </c>
      <c r="P1067" s="93" t="s">
        <v>111</v>
      </c>
      <c r="Q1067" s="93" t="s">
        <v>111</v>
      </c>
      <c r="R1067" s="93" t="s">
        <v>2</v>
      </c>
      <c r="S1067" s="93" t="s">
        <v>111</v>
      </c>
      <c r="T1067" s="93" t="s">
        <v>116</v>
      </c>
      <c r="U1067" s="94">
        <v>44610.064583333333</v>
      </c>
      <c r="V1067" s="93" t="s">
        <v>7913</v>
      </c>
      <c r="W1067" s="93" t="s">
        <v>24</v>
      </c>
    </row>
    <row r="1068" spans="1:23" x14ac:dyDescent="0.15">
      <c r="A1068" s="93" t="s">
        <v>7922</v>
      </c>
      <c r="B1068" s="93" t="s">
        <v>7923</v>
      </c>
      <c r="C1068" s="93">
        <v>80</v>
      </c>
      <c r="D1068" s="93" t="s">
        <v>24</v>
      </c>
      <c r="E1068" s="93" t="s">
        <v>9</v>
      </c>
      <c r="F1068" s="93" t="s">
        <v>7912</v>
      </c>
      <c r="G1068" s="93" t="s">
        <v>7881</v>
      </c>
      <c r="H1068" s="93" t="s">
        <v>118</v>
      </c>
      <c r="I1068" s="93" t="s">
        <v>111</v>
      </c>
      <c r="J1068" s="93" t="s">
        <v>7105</v>
      </c>
      <c r="K1068" s="93" t="s">
        <v>111</v>
      </c>
      <c r="L1068" s="93" t="s">
        <v>111</v>
      </c>
      <c r="M1068" s="93" t="s">
        <v>111</v>
      </c>
      <c r="N1068" s="93" t="s">
        <v>111</v>
      </c>
      <c r="O1068" s="93" t="s">
        <v>111</v>
      </c>
      <c r="P1068" s="93" t="s">
        <v>111</v>
      </c>
      <c r="Q1068" s="93" t="s">
        <v>228</v>
      </c>
      <c r="R1068" s="93" t="s">
        <v>2</v>
      </c>
      <c r="S1068" s="93" t="s">
        <v>115</v>
      </c>
      <c r="T1068" s="93" t="s">
        <v>116</v>
      </c>
      <c r="U1068" s="94">
        <v>44610.072916666664</v>
      </c>
      <c r="V1068" s="93" t="s">
        <v>7913</v>
      </c>
      <c r="W1068" s="93" t="s">
        <v>24</v>
      </c>
    </row>
    <row r="1069" spans="1:23" x14ac:dyDescent="0.15">
      <c r="A1069" s="93" t="s">
        <v>7924</v>
      </c>
      <c r="B1069" s="93" t="s">
        <v>7925</v>
      </c>
      <c r="C1069" s="93">
        <v>120</v>
      </c>
      <c r="D1069" s="93" t="s">
        <v>24</v>
      </c>
      <c r="E1069" s="93" t="s">
        <v>9</v>
      </c>
      <c r="F1069" s="93" t="s">
        <v>7912</v>
      </c>
      <c r="G1069" s="93" t="s">
        <v>7881</v>
      </c>
      <c r="H1069" s="93" t="s">
        <v>118</v>
      </c>
      <c r="I1069" s="93" t="s">
        <v>111</v>
      </c>
      <c r="J1069" s="93" t="s">
        <v>7105</v>
      </c>
      <c r="K1069" s="93" t="s">
        <v>111</v>
      </c>
      <c r="L1069" s="93" t="s">
        <v>111</v>
      </c>
      <c r="M1069" s="93" t="s">
        <v>111</v>
      </c>
      <c r="N1069" s="93" t="s">
        <v>111</v>
      </c>
      <c r="O1069" s="93" t="s">
        <v>111</v>
      </c>
      <c r="P1069" s="93" t="s">
        <v>111</v>
      </c>
      <c r="Q1069" s="93" t="s">
        <v>111</v>
      </c>
      <c r="R1069" s="93" t="s">
        <v>2</v>
      </c>
      <c r="S1069" s="93" t="s">
        <v>111</v>
      </c>
      <c r="T1069" s="93" t="s">
        <v>116</v>
      </c>
      <c r="U1069" s="94">
        <v>44610.105555555558</v>
      </c>
      <c r="V1069" s="93" t="s">
        <v>7913</v>
      </c>
      <c r="W1069" s="93" t="s">
        <v>24</v>
      </c>
    </row>
    <row r="1070" spans="1:23" x14ac:dyDescent="0.15">
      <c r="A1070" s="93" t="s">
        <v>7926</v>
      </c>
      <c r="B1070" s="93" t="s">
        <v>7927</v>
      </c>
      <c r="C1070" s="93">
        <v>70</v>
      </c>
      <c r="D1070" s="93" t="s">
        <v>24</v>
      </c>
      <c r="E1070" s="93" t="s">
        <v>9</v>
      </c>
      <c r="F1070" s="93" t="s">
        <v>7912</v>
      </c>
      <c r="G1070" s="93" t="s">
        <v>7881</v>
      </c>
      <c r="H1070" s="93" t="s">
        <v>118</v>
      </c>
      <c r="I1070" s="93" t="s">
        <v>111</v>
      </c>
      <c r="J1070" s="93" t="s">
        <v>118</v>
      </c>
      <c r="K1070" s="93">
        <v>3</v>
      </c>
      <c r="L1070" s="93" t="s">
        <v>111</v>
      </c>
      <c r="M1070" s="93" t="s">
        <v>111</v>
      </c>
      <c r="N1070" s="93" t="s">
        <v>111</v>
      </c>
      <c r="O1070" s="93" t="s">
        <v>111</v>
      </c>
      <c r="P1070" s="93" t="s">
        <v>111</v>
      </c>
      <c r="Q1070" s="93" t="s">
        <v>111</v>
      </c>
      <c r="R1070" s="93" t="s">
        <v>2</v>
      </c>
      <c r="S1070" s="93" t="s">
        <v>111</v>
      </c>
      <c r="T1070" s="93" t="s">
        <v>116</v>
      </c>
      <c r="U1070" s="94">
        <v>44610.064583333333</v>
      </c>
      <c r="V1070" s="93" t="s">
        <v>7913</v>
      </c>
      <c r="W1070" s="93" t="s">
        <v>24</v>
      </c>
    </row>
    <row r="1071" spans="1:23" x14ac:dyDescent="0.15">
      <c r="A1071" s="93" t="s">
        <v>7928</v>
      </c>
      <c r="B1071" s="93" t="s">
        <v>7929</v>
      </c>
      <c r="C1071" s="93">
        <v>140</v>
      </c>
      <c r="D1071" s="93" t="s">
        <v>24</v>
      </c>
      <c r="E1071" s="93" t="s">
        <v>9</v>
      </c>
      <c r="F1071" s="93" t="s">
        <v>7912</v>
      </c>
      <c r="G1071" s="93" t="s">
        <v>7881</v>
      </c>
      <c r="H1071" s="93" t="s">
        <v>118</v>
      </c>
      <c r="I1071" s="93" t="s">
        <v>111</v>
      </c>
      <c r="J1071" s="93" t="s">
        <v>118</v>
      </c>
      <c r="K1071" s="93">
        <v>3</v>
      </c>
      <c r="L1071" s="93" t="s">
        <v>111</v>
      </c>
      <c r="M1071" s="93" t="s">
        <v>111</v>
      </c>
      <c r="N1071" s="93" t="s">
        <v>111</v>
      </c>
      <c r="O1071" s="93" t="s">
        <v>111</v>
      </c>
      <c r="P1071" s="93" t="s">
        <v>111</v>
      </c>
      <c r="Q1071" s="93" t="s">
        <v>228</v>
      </c>
      <c r="R1071" s="93" t="s">
        <v>2</v>
      </c>
      <c r="S1071" s="93" t="s">
        <v>115</v>
      </c>
      <c r="T1071" s="93" t="s">
        <v>116</v>
      </c>
      <c r="U1071" s="94">
        <v>44628.552777777775</v>
      </c>
      <c r="V1071" s="93" t="s">
        <v>7913</v>
      </c>
      <c r="W1071" s="93" t="s">
        <v>24</v>
      </c>
    </row>
    <row r="1072" spans="1:23" x14ac:dyDescent="0.15">
      <c r="A1072" s="93" t="s">
        <v>7930</v>
      </c>
      <c r="B1072" s="93" t="s">
        <v>7931</v>
      </c>
      <c r="C1072" s="93">
        <v>210</v>
      </c>
      <c r="D1072" s="93" t="s">
        <v>24</v>
      </c>
      <c r="E1072" s="93" t="s">
        <v>9</v>
      </c>
      <c r="F1072" s="93" t="s">
        <v>7912</v>
      </c>
      <c r="G1072" s="93" t="s">
        <v>7881</v>
      </c>
      <c r="H1072" s="93" t="s">
        <v>118</v>
      </c>
      <c r="I1072" s="93" t="s">
        <v>111</v>
      </c>
      <c r="J1072" s="93" t="s">
        <v>7105</v>
      </c>
      <c r="K1072" s="93" t="s">
        <v>111</v>
      </c>
      <c r="L1072" s="93" t="s">
        <v>111</v>
      </c>
      <c r="M1072" s="93" t="s">
        <v>111</v>
      </c>
      <c r="N1072" s="93" t="s">
        <v>111</v>
      </c>
      <c r="O1072" s="93" t="s">
        <v>111</v>
      </c>
      <c r="P1072" s="93" t="s">
        <v>111</v>
      </c>
      <c r="Q1072" s="93" t="s">
        <v>111</v>
      </c>
      <c r="R1072" s="93" t="s">
        <v>2</v>
      </c>
      <c r="S1072" s="93" t="s">
        <v>111</v>
      </c>
      <c r="T1072" s="93" t="s">
        <v>116</v>
      </c>
      <c r="U1072" s="94">
        <v>44610.098611111112</v>
      </c>
      <c r="V1072" s="93" t="s">
        <v>7913</v>
      </c>
      <c r="W1072" s="93" t="s">
        <v>24</v>
      </c>
    </row>
    <row r="1073" spans="1:23" x14ac:dyDescent="0.15">
      <c r="A1073" s="93" t="s">
        <v>7932</v>
      </c>
      <c r="B1073" s="93" t="s">
        <v>7933</v>
      </c>
      <c r="C1073" s="93">
        <v>120</v>
      </c>
      <c r="D1073" s="93" t="s">
        <v>24</v>
      </c>
      <c r="E1073" s="93" t="s">
        <v>9</v>
      </c>
      <c r="F1073" s="93" t="s">
        <v>7912</v>
      </c>
      <c r="G1073" s="93" t="s">
        <v>7881</v>
      </c>
      <c r="H1073" s="93" t="s">
        <v>118</v>
      </c>
      <c r="I1073" s="93" t="s">
        <v>111</v>
      </c>
      <c r="J1073" s="93" t="s">
        <v>7105</v>
      </c>
      <c r="K1073" s="93" t="s">
        <v>111</v>
      </c>
      <c r="L1073" s="93" t="s">
        <v>111</v>
      </c>
      <c r="M1073" s="93" t="s">
        <v>111</v>
      </c>
      <c r="N1073" s="93" t="s">
        <v>111</v>
      </c>
      <c r="O1073" s="93" t="s">
        <v>111</v>
      </c>
      <c r="P1073" s="93" t="s">
        <v>111</v>
      </c>
      <c r="Q1073" s="93" t="s">
        <v>228</v>
      </c>
      <c r="R1073" s="93" t="s">
        <v>2</v>
      </c>
      <c r="S1073" s="93" t="s">
        <v>115</v>
      </c>
      <c r="T1073" s="93" t="s">
        <v>116</v>
      </c>
      <c r="U1073" s="94">
        <v>44596.557638888888</v>
      </c>
      <c r="V1073" s="93" t="s">
        <v>7913</v>
      </c>
      <c r="W1073" s="93" t="s">
        <v>24</v>
      </c>
    </row>
    <row r="1074" spans="1:23" x14ac:dyDescent="0.15">
      <c r="A1074" s="93" t="s">
        <v>7934</v>
      </c>
      <c r="B1074" s="93" t="s">
        <v>7935</v>
      </c>
      <c r="C1074" s="93">
        <v>240</v>
      </c>
      <c r="D1074" s="93" t="s">
        <v>24</v>
      </c>
      <c r="E1074" s="93" t="s">
        <v>9</v>
      </c>
      <c r="F1074" s="93" t="s">
        <v>7912</v>
      </c>
      <c r="G1074" s="93" t="s">
        <v>7881</v>
      </c>
      <c r="H1074" s="93" t="s">
        <v>118</v>
      </c>
      <c r="I1074" s="93" t="s">
        <v>111</v>
      </c>
      <c r="J1074" s="93" t="s">
        <v>118</v>
      </c>
      <c r="K1074" s="93">
        <v>3</v>
      </c>
      <c r="L1074" s="93" t="s">
        <v>111</v>
      </c>
      <c r="M1074" s="93" t="s">
        <v>111</v>
      </c>
      <c r="N1074" s="93" t="s">
        <v>111</v>
      </c>
      <c r="O1074" s="93" t="s">
        <v>111</v>
      </c>
      <c r="P1074" s="93" t="s">
        <v>111</v>
      </c>
      <c r="Q1074" s="93" t="s">
        <v>228</v>
      </c>
      <c r="R1074" s="93" t="s">
        <v>2</v>
      </c>
      <c r="S1074" s="93" t="s">
        <v>115</v>
      </c>
      <c r="T1074" s="93" t="s">
        <v>116</v>
      </c>
      <c r="U1074" s="94">
        <v>44596.607638888891</v>
      </c>
      <c r="V1074" s="93" t="s">
        <v>7913</v>
      </c>
      <c r="W1074" s="93" t="s">
        <v>24</v>
      </c>
    </row>
    <row r="1075" spans="1:23" x14ac:dyDescent="0.15">
      <c r="A1075" s="93" t="s">
        <v>7936</v>
      </c>
      <c r="B1075" s="93" t="s">
        <v>7937</v>
      </c>
      <c r="C1075" s="93">
        <v>26</v>
      </c>
      <c r="D1075" s="93" t="s">
        <v>24</v>
      </c>
      <c r="E1075" s="93" t="s">
        <v>24</v>
      </c>
      <c r="F1075" s="93" t="s">
        <v>7070</v>
      </c>
      <c r="G1075" s="93" t="s">
        <v>7108</v>
      </c>
      <c r="H1075" s="93" t="s">
        <v>118</v>
      </c>
      <c r="I1075" s="93" t="s">
        <v>111</v>
      </c>
      <c r="J1075" s="93" t="s">
        <v>118</v>
      </c>
      <c r="K1075" s="93">
        <v>3</v>
      </c>
      <c r="L1075" s="93" t="s">
        <v>111</v>
      </c>
      <c r="M1075" s="93" t="s">
        <v>111</v>
      </c>
      <c r="N1075" s="93" t="s">
        <v>111</v>
      </c>
      <c r="O1075" s="93" t="s">
        <v>111</v>
      </c>
      <c r="P1075" s="93" t="s">
        <v>111</v>
      </c>
      <c r="Q1075" s="93" t="s">
        <v>228</v>
      </c>
      <c r="R1075" s="93" t="s">
        <v>2</v>
      </c>
      <c r="S1075" s="93" t="s">
        <v>115</v>
      </c>
      <c r="T1075" s="93" t="s">
        <v>116</v>
      </c>
      <c r="U1075" s="94">
        <v>44602.407638888886</v>
      </c>
      <c r="V1075" s="93" t="s">
        <v>402</v>
      </c>
      <c r="W1075" s="93" t="s">
        <v>24</v>
      </c>
    </row>
    <row r="1076" spans="1:23" x14ac:dyDescent="0.15">
      <c r="A1076" s="93" t="s">
        <v>7938</v>
      </c>
      <c r="B1076" s="93" t="s">
        <v>7939</v>
      </c>
      <c r="C1076" s="93">
        <v>29</v>
      </c>
      <c r="D1076" s="93" t="s">
        <v>24</v>
      </c>
      <c r="E1076" s="93" t="s">
        <v>24</v>
      </c>
      <c r="F1076" s="93" t="s">
        <v>7070</v>
      </c>
      <c r="G1076" s="93" t="s">
        <v>7108</v>
      </c>
      <c r="H1076" s="93" t="s">
        <v>118</v>
      </c>
      <c r="I1076" s="93" t="s">
        <v>111</v>
      </c>
      <c r="J1076" s="93" t="s">
        <v>118</v>
      </c>
      <c r="K1076" s="93">
        <v>3</v>
      </c>
      <c r="L1076" s="93" t="s">
        <v>111</v>
      </c>
      <c r="M1076" s="93" t="s">
        <v>111</v>
      </c>
      <c r="N1076" s="93" t="s">
        <v>111</v>
      </c>
      <c r="O1076" s="93" t="s">
        <v>111</v>
      </c>
      <c r="P1076" s="93" t="s">
        <v>111</v>
      </c>
      <c r="Q1076" s="93" t="s">
        <v>228</v>
      </c>
      <c r="R1076" s="93" t="s">
        <v>2</v>
      </c>
      <c r="S1076" s="93" t="s">
        <v>115</v>
      </c>
      <c r="T1076" s="93" t="s">
        <v>116</v>
      </c>
      <c r="U1076" s="94">
        <v>44602.90625</v>
      </c>
      <c r="V1076" s="93" t="s">
        <v>402</v>
      </c>
      <c r="W1076" s="93" t="s">
        <v>24</v>
      </c>
    </row>
    <row r="1077" spans="1:23" x14ac:dyDescent="0.15">
      <c r="A1077" s="93" t="s">
        <v>7940</v>
      </c>
      <c r="B1077" s="93" t="s">
        <v>7941</v>
      </c>
      <c r="C1077" s="93">
        <v>15</v>
      </c>
      <c r="D1077" s="93" t="s">
        <v>24</v>
      </c>
      <c r="E1077" s="93" t="s">
        <v>24</v>
      </c>
      <c r="F1077" s="93" t="s">
        <v>7070</v>
      </c>
      <c r="G1077" s="93" t="s">
        <v>7108</v>
      </c>
      <c r="H1077" s="93" t="s">
        <v>118</v>
      </c>
      <c r="I1077" s="93" t="s">
        <v>111</v>
      </c>
      <c r="J1077" s="93" t="s">
        <v>118</v>
      </c>
      <c r="K1077" s="93">
        <v>3</v>
      </c>
      <c r="L1077" s="93" t="s">
        <v>111</v>
      </c>
      <c r="M1077" s="93" t="s">
        <v>111</v>
      </c>
      <c r="N1077" s="93" t="s">
        <v>111</v>
      </c>
      <c r="O1077" s="93" t="s">
        <v>111</v>
      </c>
      <c r="P1077" s="93" t="s">
        <v>111</v>
      </c>
      <c r="Q1077" s="93" t="s">
        <v>228</v>
      </c>
      <c r="R1077" s="93" t="s">
        <v>2</v>
      </c>
      <c r="S1077" s="93" t="s">
        <v>115</v>
      </c>
      <c r="T1077" s="93" t="s">
        <v>116</v>
      </c>
      <c r="U1077" s="94">
        <v>44628.904861111114</v>
      </c>
      <c r="V1077" s="93" t="s">
        <v>402</v>
      </c>
      <c r="W1077" s="93" t="s">
        <v>24</v>
      </c>
    </row>
    <row r="1078" spans="1:23" x14ac:dyDescent="0.15">
      <c r="A1078" s="93" t="s">
        <v>7942</v>
      </c>
      <c r="B1078" s="93" t="s">
        <v>7943</v>
      </c>
      <c r="C1078" s="93">
        <v>21</v>
      </c>
      <c r="D1078" s="93" t="s">
        <v>24</v>
      </c>
      <c r="E1078" s="93" t="s">
        <v>24</v>
      </c>
      <c r="F1078" s="93" t="s">
        <v>7070</v>
      </c>
      <c r="G1078" s="93" t="s">
        <v>7108</v>
      </c>
      <c r="H1078" s="93" t="s">
        <v>118</v>
      </c>
      <c r="I1078" s="93" t="s">
        <v>111</v>
      </c>
      <c r="J1078" s="93" t="s">
        <v>118</v>
      </c>
      <c r="K1078" s="93">
        <v>3</v>
      </c>
      <c r="L1078" s="93" t="s">
        <v>111</v>
      </c>
      <c r="M1078" s="93" t="s">
        <v>111</v>
      </c>
      <c r="N1078" s="93" t="s">
        <v>111</v>
      </c>
      <c r="O1078" s="93" t="s">
        <v>111</v>
      </c>
      <c r="P1078" s="93" t="s">
        <v>111</v>
      </c>
      <c r="Q1078" s="93" t="s">
        <v>228</v>
      </c>
      <c r="R1078" s="93" t="s">
        <v>2</v>
      </c>
      <c r="S1078" s="93" t="s">
        <v>115</v>
      </c>
      <c r="T1078" s="93" t="s">
        <v>116</v>
      </c>
      <c r="U1078" s="94">
        <v>44628.902083333334</v>
      </c>
      <c r="V1078" s="93" t="s">
        <v>402</v>
      </c>
      <c r="W1078" s="93" t="s">
        <v>24</v>
      </c>
    </row>
    <row r="1079" spans="1:23" x14ac:dyDescent="0.15">
      <c r="A1079" s="93" t="s">
        <v>7033</v>
      </c>
      <c r="B1079" s="93" t="s">
        <v>7034</v>
      </c>
      <c r="C1079" s="93">
        <v>66</v>
      </c>
      <c r="D1079" s="93" t="s">
        <v>24</v>
      </c>
      <c r="E1079" s="93" t="s">
        <v>24</v>
      </c>
      <c r="F1079" s="93" t="s">
        <v>7070</v>
      </c>
      <c r="G1079" s="93" t="s">
        <v>7108</v>
      </c>
      <c r="H1079" s="93" t="s">
        <v>400</v>
      </c>
      <c r="I1079" s="93" t="s">
        <v>111</v>
      </c>
      <c r="J1079" s="93" t="s">
        <v>7105</v>
      </c>
      <c r="K1079" s="93" t="s">
        <v>111</v>
      </c>
      <c r="L1079" s="93" t="s">
        <v>111</v>
      </c>
      <c r="M1079" s="93" t="s">
        <v>111</v>
      </c>
      <c r="N1079" s="93" t="s">
        <v>111</v>
      </c>
      <c r="O1079" s="93" t="s">
        <v>111</v>
      </c>
      <c r="P1079" s="93" t="s">
        <v>111</v>
      </c>
      <c r="Q1079" s="93" t="s">
        <v>228</v>
      </c>
      <c r="R1079" s="93" t="s">
        <v>111</v>
      </c>
      <c r="S1079" s="93" t="s">
        <v>115</v>
      </c>
      <c r="T1079" s="93" t="s">
        <v>116</v>
      </c>
      <c r="U1079" s="94">
        <v>44610.057638888888</v>
      </c>
      <c r="V1079" s="93" t="s">
        <v>402</v>
      </c>
      <c r="W1079" s="93" t="s">
        <v>24</v>
      </c>
    </row>
    <row r="1080" spans="1:23" x14ac:dyDescent="0.15">
      <c r="A1080" s="93" t="s">
        <v>7944</v>
      </c>
      <c r="B1080" s="93" t="s">
        <v>7945</v>
      </c>
      <c r="C1080" s="93">
        <v>27</v>
      </c>
      <c r="D1080" s="93" t="s">
        <v>24</v>
      </c>
      <c r="E1080" s="93" t="s">
        <v>24</v>
      </c>
      <c r="F1080" s="93" t="s">
        <v>7070</v>
      </c>
      <c r="G1080" s="93" t="s">
        <v>7108</v>
      </c>
      <c r="H1080" s="93" t="s">
        <v>118</v>
      </c>
      <c r="I1080" s="93" t="s">
        <v>111</v>
      </c>
      <c r="J1080" s="93" t="s">
        <v>118</v>
      </c>
      <c r="K1080" s="93">
        <v>3</v>
      </c>
      <c r="L1080" s="93" t="s">
        <v>111</v>
      </c>
      <c r="M1080" s="93" t="s">
        <v>111</v>
      </c>
      <c r="N1080" s="93" t="s">
        <v>111</v>
      </c>
      <c r="O1080" s="93" t="s">
        <v>111</v>
      </c>
      <c r="P1080" s="93" t="s">
        <v>111</v>
      </c>
      <c r="Q1080" s="93" t="s">
        <v>228</v>
      </c>
      <c r="R1080" s="93" t="s">
        <v>2</v>
      </c>
      <c r="S1080" s="93" t="s">
        <v>115</v>
      </c>
      <c r="T1080" s="93" t="s">
        <v>116</v>
      </c>
      <c r="U1080" s="94">
        <v>44597.554166666669</v>
      </c>
      <c r="V1080" s="93" t="s">
        <v>402</v>
      </c>
      <c r="W1080" s="93" t="s">
        <v>24</v>
      </c>
    </row>
    <row r="1081" spans="1:23" x14ac:dyDescent="0.15">
      <c r="A1081" s="93" t="s">
        <v>7946</v>
      </c>
      <c r="B1081" s="93" t="s">
        <v>7947</v>
      </c>
      <c r="C1081" s="93">
        <v>39</v>
      </c>
      <c r="D1081" s="93" t="s">
        <v>24</v>
      </c>
      <c r="E1081" s="93" t="s">
        <v>24</v>
      </c>
      <c r="F1081" s="93" t="s">
        <v>7070</v>
      </c>
      <c r="G1081" s="93" t="s">
        <v>7108</v>
      </c>
      <c r="H1081" s="93" t="s">
        <v>118</v>
      </c>
      <c r="I1081" s="93" t="s">
        <v>111</v>
      </c>
      <c r="J1081" s="93" t="s">
        <v>118</v>
      </c>
      <c r="K1081" s="93">
        <v>3</v>
      </c>
      <c r="L1081" s="93" t="s">
        <v>111</v>
      </c>
      <c r="M1081" s="93" t="s">
        <v>111</v>
      </c>
      <c r="N1081" s="93" t="s">
        <v>111</v>
      </c>
      <c r="O1081" s="93" t="s">
        <v>111</v>
      </c>
      <c r="P1081" s="93" t="s">
        <v>111</v>
      </c>
      <c r="Q1081" s="93" t="s">
        <v>228</v>
      </c>
      <c r="R1081" s="93" t="s">
        <v>2</v>
      </c>
      <c r="S1081" s="93" t="s">
        <v>115</v>
      </c>
      <c r="T1081" s="93" t="s">
        <v>116</v>
      </c>
      <c r="U1081" s="94">
        <v>44602.408333333333</v>
      </c>
      <c r="V1081" s="93" t="s">
        <v>402</v>
      </c>
      <c r="W1081" s="93" t="s">
        <v>24</v>
      </c>
    </row>
    <row r="1082" spans="1:23" x14ac:dyDescent="0.15">
      <c r="A1082" s="93" t="s">
        <v>7043</v>
      </c>
      <c r="B1082" s="93" t="s">
        <v>7044</v>
      </c>
      <c r="C1082" s="93">
        <v>69</v>
      </c>
      <c r="D1082" s="93" t="s">
        <v>24</v>
      </c>
      <c r="E1082" s="93" t="s">
        <v>24</v>
      </c>
      <c r="F1082" s="93" t="s">
        <v>7070</v>
      </c>
      <c r="G1082" s="93" t="s">
        <v>7108</v>
      </c>
      <c r="H1082" s="93" t="s">
        <v>400</v>
      </c>
      <c r="I1082" s="93" t="s">
        <v>111</v>
      </c>
      <c r="J1082" s="93" t="s">
        <v>7105</v>
      </c>
      <c r="K1082" s="93" t="s">
        <v>111</v>
      </c>
      <c r="L1082" s="93" t="s">
        <v>111</v>
      </c>
      <c r="M1082" s="93" t="s">
        <v>111</v>
      </c>
      <c r="N1082" s="93" t="s">
        <v>111</v>
      </c>
      <c r="O1082" s="93" t="s">
        <v>111</v>
      </c>
      <c r="P1082" s="93" t="s">
        <v>111</v>
      </c>
      <c r="Q1082" s="93" t="s">
        <v>228</v>
      </c>
      <c r="R1082" s="93" t="s">
        <v>111</v>
      </c>
      <c r="S1082" s="93" t="s">
        <v>115</v>
      </c>
      <c r="T1082" s="93" t="s">
        <v>116</v>
      </c>
      <c r="U1082" s="94">
        <v>44610.063888888886</v>
      </c>
      <c r="V1082" s="93" t="s">
        <v>402</v>
      </c>
      <c r="W1082" s="93" t="s">
        <v>24</v>
      </c>
    </row>
    <row r="1083" spans="1:23" x14ac:dyDescent="0.15">
      <c r="A1083" s="93" t="s">
        <v>7948</v>
      </c>
      <c r="B1083" s="93" t="s">
        <v>7949</v>
      </c>
      <c r="C1083" s="93">
        <v>45</v>
      </c>
      <c r="D1083" s="93" t="s">
        <v>24</v>
      </c>
      <c r="E1083" s="93" t="s">
        <v>24</v>
      </c>
      <c r="F1083" s="93" t="s">
        <v>7070</v>
      </c>
      <c r="G1083" s="93" t="s">
        <v>7108</v>
      </c>
      <c r="H1083" s="93" t="s">
        <v>118</v>
      </c>
      <c r="I1083" s="93" t="s">
        <v>111</v>
      </c>
      <c r="J1083" s="93" t="s">
        <v>118</v>
      </c>
      <c r="K1083" s="93">
        <v>3</v>
      </c>
      <c r="L1083" s="93" t="s">
        <v>111</v>
      </c>
      <c r="M1083" s="93" t="s">
        <v>111</v>
      </c>
      <c r="N1083" s="93" t="s">
        <v>111</v>
      </c>
      <c r="O1083" s="93" t="s">
        <v>111</v>
      </c>
      <c r="P1083" s="93" t="s">
        <v>111</v>
      </c>
      <c r="Q1083" s="93" t="s">
        <v>228</v>
      </c>
      <c r="R1083" s="93" t="s">
        <v>2</v>
      </c>
      <c r="S1083" s="93" t="s">
        <v>115</v>
      </c>
      <c r="T1083" s="93" t="s">
        <v>116</v>
      </c>
      <c r="U1083" s="94">
        <v>44597.554166666669</v>
      </c>
      <c r="V1083" s="93" t="s">
        <v>402</v>
      </c>
      <c r="W1083" s="93" t="s">
        <v>24</v>
      </c>
    </row>
    <row r="1084" spans="1:23" x14ac:dyDescent="0.15">
      <c r="A1084" s="93" t="s">
        <v>7950</v>
      </c>
      <c r="B1084" s="93" t="s">
        <v>7951</v>
      </c>
      <c r="C1084" s="93">
        <v>63</v>
      </c>
      <c r="D1084" s="93" t="s">
        <v>24</v>
      </c>
      <c r="E1084" s="93" t="s">
        <v>24</v>
      </c>
      <c r="F1084" s="93" t="s">
        <v>7070</v>
      </c>
      <c r="G1084" s="93" t="s">
        <v>7108</v>
      </c>
      <c r="H1084" s="93" t="s">
        <v>118</v>
      </c>
      <c r="I1084" s="93" t="s">
        <v>111</v>
      </c>
      <c r="J1084" s="93" t="s">
        <v>118</v>
      </c>
      <c r="K1084" s="93">
        <v>3</v>
      </c>
      <c r="L1084" s="93" t="s">
        <v>111</v>
      </c>
      <c r="M1084" s="93" t="s">
        <v>111</v>
      </c>
      <c r="N1084" s="93" t="s">
        <v>111</v>
      </c>
      <c r="O1084" s="93" t="s">
        <v>111</v>
      </c>
      <c r="P1084" s="93" t="s">
        <v>111</v>
      </c>
      <c r="Q1084" s="93" t="s">
        <v>228</v>
      </c>
      <c r="R1084" s="93" t="s">
        <v>2</v>
      </c>
      <c r="S1084" s="93" t="s">
        <v>115</v>
      </c>
      <c r="T1084" s="93" t="s">
        <v>116</v>
      </c>
      <c r="U1084" s="94">
        <v>44597.554166666669</v>
      </c>
      <c r="V1084" s="93" t="s">
        <v>120</v>
      </c>
      <c r="W1084" s="93" t="s">
        <v>24</v>
      </c>
    </row>
    <row r="1085" spans="1:23" x14ac:dyDescent="0.15">
      <c r="A1085" s="93" t="s">
        <v>7952</v>
      </c>
      <c r="B1085" s="93" t="s">
        <v>7953</v>
      </c>
      <c r="C1085" s="93">
        <v>54</v>
      </c>
      <c r="D1085" s="93" t="s">
        <v>24</v>
      </c>
      <c r="E1085" s="93" t="s">
        <v>24</v>
      </c>
      <c r="F1085" s="93" t="s">
        <v>7070</v>
      </c>
      <c r="G1085" s="93" t="s">
        <v>7108</v>
      </c>
      <c r="H1085" s="93" t="s">
        <v>118</v>
      </c>
      <c r="I1085" s="93" t="s">
        <v>111</v>
      </c>
      <c r="J1085" s="93" t="s">
        <v>118</v>
      </c>
      <c r="K1085" s="93">
        <v>3</v>
      </c>
      <c r="L1085" s="93" t="s">
        <v>111</v>
      </c>
      <c r="M1085" s="93" t="s">
        <v>111</v>
      </c>
      <c r="N1085" s="93" t="s">
        <v>111</v>
      </c>
      <c r="O1085" s="93" t="s">
        <v>111</v>
      </c>
      <c r="P1085" s="93" t="s">
        <v>111</v>
      </c>
      <c r="Q1085" s="93" t="s">
        <v>228</v>
      </c>
      <c r="R1085" s="93" t="s">
        <v>2</v>
      </c>
      <c r="S1085" s="93" t="s">
        <v>115</v>
      </c>
      <c r="T1085" s="93" t="s">
        <v>116</v>
      </c>
      <c r="U1085" s="94">
        <v>44597.554166666669</v>
      </c>
      <c r="V1085" s="93" t="s">
        <v>402</v>
      </c>
      <c r="W1085" s="93" t="s">
        <v>24</v>
      </c>
    </row>
    <row r="1086" spans="1:23" x14ac:dyDescent="0.15">
      <c r="A1086" s="93" t="s">
        <v>7954</v>
      </c>
      <c r="B1086" s="93" t="s">
        <v>7955</v>
      </c>
      <c r="C1086" s="93">
        <v>285</v>
      </c>
      <c r="D1086" s="93" t="s">
        <v>24</v>
      </c>
      <c r="E1086" s="93" t="s">
        <v>24</v>
      </c>
      <c r="F1086" s="93" t="s">
        <v>5978</v>
      </c>
      <c r="G1086" s="93" t="s">
        <v>7108</v>
      </c>
      <c r="H1086" s="93" t="s">
        <v>118</v>
      </c>
      <c r="I1086" s="93" t="s">
        <v>111</v>
      </c>
      <c r="J1086" s="93" t="s">
        <v>118</v>
      </c>
      <c r="K1086" s="93">
        <v>3</v>
      </c>
      <c r="L1086" s="93" t="s">
        <v>111</v>
      </c>
      <c r="M1086" s="93" t="s">
        <v>111</v>
      </c>
      <c r="N1086" s="93" t="s">
        <v>111</v>
      </c>
      <c r="O1086" s="93" t="s">
        <v>111</v>
      </c>
      <c r="P1086" s="93" t="s">
        <v>111</v>
      </c>
      <c r="Q1086" s="93" t="s">
        <v>228</v>
      </c>
      <c r="R1086" s="93" t="s">
        <v>2</v>
      </c>
      <c r="S1086" s="93" t="s">
        <v>115</v>
      </c>
      <c r="T1086" s="93" t="s">
        <v>116</v>
      </c>
      <c r="U1086" s="94">
        <v>44602.408333333333</v>
      </c>
      <c r="V1086" s="93" t="s">
        <v>402</v>
      </c>
      <c r="W1086" s="93" t="s">
        <v>24</v>
      </c>
    </row>
    <row r="1087" spans="1:23" x14ac:dyDescent="0.15">
      <c r="A1087" s="93" t="s">
        <v>7956</v>
      </c>
      <c r="B1087" s="93" t="s">
        <v>7957</v>
      </c>
      <c r="C1087" s="93">
        <v>19</v>
      </c>
      <c r="D1087" s="93" t="s">
        <v>24</v>
      </c>
      <c r="E1087" s="93" t="s">
        <v>24</v>
      </c>
      <c r="F1087" s="93" t="s">
        <v>5978</v>
      </c>
      <c r="G1087" s="93" t="s">
        <v>7108</v>
      </c>
      <c r="H1087" s="93" t="s">
        <v>118</v>
      </c>
      <c r="I1087" s="93" t="s">
        <v>111</v>
      </c>
      <c r="J1087" s="93" t="s">
        <v>118</v>
      </c>
      <c r="K1087" s="93">
        <v>3</v>
      </c>
      <c r="L1087" s="93" t="s">
        <v>111</v>
      </c>
      <c r="M1087" s="93" t="s">
        <v>111</v>
      </c>
      <c r="N1087" s="93" t="s">
        <v>111</v>
      </c>
      <c r="O1087" s="93" t="s">
        <v>111</v>
      </c>
      <c r="P1087" s="93" t="s">
        <v>111</v>
      </c>
      <c r="Q1087" s="93" t="s">
        <v>228</v>
      </c>
      <c r="R1087" s="93" t="s">
        <v>2</v>
      </c>
      <c r="S1087" s="93" t="s">
        <v>115</v>
      </c>
      <c r="T1087" s="93" t="s">
        <v>116</v>
      </c>
      <c r="U1087" s="94">
        <v>44602.408333333333</v>
      </c>
      <c r="V1087" s="93" t="s">
        <v>402</v>
      </c>
      <c r="W1087" s="93" t="s">
        <v>24</v>
      </c>
    </row>
    <row r="1088" spans="1:23" x14ac:dyDescent="0.15">
      <c r="A1088" s="93" t="s">
        <v>6281</v>
      </c>
      <c r="B1088" s="93" t="s">
        <v>7958</v>
      </c>
      <c r="C1088" s="93">
        <v>12</v>
      </c>
      <c r="D1088" s="93" t="s">
        <v>24</v>
      </c>
      <c r="E1088" s="93" t="s">
        <v>24</v>
      </c>
      <c r="F1088" s="93" t="s">
        <v>7070</v>
      </c>
      <c r="G1088" s="93" t="s">
        <v>7108</v>
      </c>
      <c r="H1088" s="93" t="s">
        <v>118</v>
      </c>
      <c r="I1088" s="93" t="s">
        <v>111</v>
      </c>
      <c r="J1088" s="93" t="s">
        <v>118</v>
      </c>
      <c r="K1088" s="93">
        <v>3</v>
      </c>
      <c r="L1088" s="93" t="s">
        <v>111</v>
      </c>
      <c r="M1088" s="93" t="s">
        <v>111</v>
      </c>
      <c r="N1088" s="93" t="s">
        <v>111</v>
      </c>
      <c r="O1088" s="93" t="s">
        <v>111</v>
      </c>
      <c r="P1088" s="93" t="s">
        <v>111</v>
      </c>
      <c r="Q1088" s="93" t="s">
        <v>228</v>
      </c>
      <c r="R1088" s="93" t="s">
        <v>2</v>
      </c>
      <c r="S1088" s="93" t="s">
        <v>115</v>
      </c>
      <c r="T1088" s="93" t="s">
        <v>116</v>
      </c>
      <c r="U1088" s="94">
        <v>44596.614583333336</v>
      </c>
      <c r="V1088" s="93" t="s">
        <v>402</v>
      </c>
      <c r="W1088" s="93" t="s">
        <v>24</v>
      </c>
    </row>
    <row r="1089" spans="1:23" x14ac:dyDescent="0.15">
      <c r="A1089" s="93" t="s">
        <v>5942</v>
      </c>
      <c r="B1089" s="93" t="s">
        <v>6678</v>
      </c>
      <c r="C1089" s="93">
        <v>15</v>
      </c>
      <c r="D1089" s="93" t="s">
        <v>9</v>
      </c>
      <c r="E1089" s="93" t="s">
        <v>24</v>
      </c>
      <c r="F1089" s="93" t="s">
        <v>7070</v>
      </c>
      <c r="G1089" s="93" t="s">
        <v>7108</v>
      </c>
      <c r="H1089" s="93" t="s">
        <v>118</v>
      </c>
      <c r="I1089" s="93" t="s">
        <v>111</v>
      </c>
      <c r="J1089" s="93" t="s">
        <v>7105</v>
      </c>
      <c r="K1089" s="93" t="s">
        <v>111</v>
      </c>
      <c r="L1089" s="93" t="s">
        <v>111</v>
      </c>
      <c r="M1089" s="93" t="s">
        <v>111</v>
      </c>
      <c r="N1089" s="93" t="s">
        <v>111</v>
      </c>
      <c r="O1089" s="93" t="s">
        <v>111</v>
      </c>
      <c r="P1089" s="93" t="s">
        <v>111</v>
      </c>
      <c r="Q1089" s="93" t="s">
        <v>111</v>
      </c>
      <c r="R1089" s="93" t="s">
        <v>111</v>
      </c>
      <c r="S1089" s="93" t="s">
        <v>115</v>
      </c>
      <c r="T1089" s="93" t="s">
        <v>116</v>
      </c>
      <c r="U1089" s="94">
        <v>44596.604861111111</v>
      </c>
      <c r="V1089" s="93" t="s">
        <v>7959</v>
      </c>
      <c r="W1089" s="93" t="s">
        <v>24</v>
      </c>
    </row>
    <row r="1090" spans="1:23" x14ac:dyDescent="0.15">
      <c r="A1090" s="93" t="s">
        <v>5944</v>
      </c>
      <c r="B1090" s="93" t="s">
        <v>5945</v>
      </c>
      <c r="C1090" s="93">
        <v>19.5</v>
      </c>
      <c r="D1090" s="93" t="s">
        <v>24</v>
      </c>
      <c r="E1090" s="93" t="s">
        <v>24</v>
      </c>
      <c r="F1090" s="93" t="s">
        <v>7070</v>
      </c>
      <c r="G1090" s="93" t="s">
        <v>7108</v>
      </c>
      <c r="H1090" s="93" t="s">
        <v>118</v>
      </c>
      <c r="I1090" s="93" t="s">
        <v>111</v>
      </c>
      <c r="J1090" s="93" t="s">
        <v>7105</v>
      </c>
      <c r="K1090" s="93" t="s">
        <v>111</v>
      </c>
      <c r="L1090" s="93" t="s">
        <v>111</v>
      </c>
      <c r="M1090" s="93" t="s">
        <v>111</v>
      </c>
      <c r="N1090" s="93" t="s">
        <v>111</v>
      </c>
      <c r="O1090" s="93" t="s">
        <v>111</v>
      </c>
      <c r="P1090" s="93" t="s">
        <v>111</v>
      </c>
      <c r="Q1090" s="93" t="s">
        <v>111</v>
      </c>
      <c r="R1090" s="93" t="s">
        <v>111</v>
      </c>
      <c r="S1090" s="93" t="s">
        <v>115</v>
      </c>
      <c r="T1090" s="93" t="s">
        <v>116</v>
      </c>
      <c r="U1090" s="94">
        <v>44596.612500000003</v>
      </c>
      <c r="V1090" s="93" t="s">
        <v>7959</v>
      </c>
      <c r="W1090" s="93" t="s">
        <v>24</v>
      </c>
    </row>
    <row r="1091" spans="1:23" x14ac:dyDescent="0.15">
      <c r="A1091" s="93" t="s">
        <v>7960</v>
      </c>
      <c r="B1091" s="93" t="s">
        <v>7961</v>
      </c>
      <c r="C1091" s="93">
        <v>15</v>
      </c>
      <c r="D1091" s="93" t="s">
        <v>24</v>
      </c>
      <c r="E1091" s="93" t="s">
        <v>24</v>
      </c>
      <c r="F1091" s="93" t="s">
        <v>7</v>
      </c>
      <c r="G1091" s="93" t="s">
        <v>7108</v>
      </c>
      <c r="H1091" s="93" t="s">
        <v>118</v>
      </c>
      <c r="I1091" s="93" t="s">
        <v>111</v>
      </c>
      <c r="J1091" s="93" t="s">
        <v>118</v>
      </c>
      <c r="K1091" s="93">
        <v>3</v>
      </c>
      <c r="L1091" s="93" t="s">
        <v>111</v>
      </c>
      <c r="M1091" s="93" t="s">
        <v>111</v>
      </c>
      <c r="N1091" s="93" t="s">
        <v>111</v>
      </c>
      <c r="O1091" s="93" t="s">
        <v>111</v>
      </c>
      <c r="P1091" s="93" t="s">
        <v>111</v>
      </c>
      <c r="Q1091" s="93" t="s">
        <v>228</v>
      </c>
      <c r="R1091" s="93" t="s">
        <v>2</v>
      </c>
      <c r="S1091" s="93" t="s">
        <v>115</v>
      </c>
      <c r="T1091" s="93" t="s">
        <v>116</v>
      </c>
      <c r="U1091" s="94">
        <v>44597.553472222222</v>
      </c>
      <c r="V1091" s="93" t="s">
        <v>7913</v>
      </c>
      <c r="W1091" s="93" t="s">
        <v>24</v>
      </c>
    </row>
    <row r="1092" spans="1:23" x14ac:dyDescent="0.15">
      <c r="A1092" s="93" t="s">
        <v>7962</v>
      </c>
      <c r="B1092" s="93" t="s">
        <v>7963</v>
      </c>
      <c r="C1092" s="93">
        <v>46</v>
      </c>
      <c r="D1092" s="93" t="s">
        <v>24</v>
      </c>
      <c r="E1092" s="93" t="s">
        <v>24</v>
      </c>
      <c r="F1092" s="93" t="s">
        <v>7070</v>
      </c>
      <c r="G1092" s="93" t="s">
        <v>7108</v>
      </c>
      <c r="H1092" s="93" t="s">
        <v>118</v>
      </c>
      <c r="I1092" s="93" t="s">
        <v>111</v>
      </c>
      <c r="J1092" s="93" t="s">
        <v>118</v>
      </c>
      <c r="K1092" s="93">
        <v>3</v>
      </c>
      <c r="L1092" s="93" t="s">
        <v>111</v>
      </c>
      <c r="M1092" s="93" t="s">
        <v>111</v>
      </c>
      <c r="N1092" s="93" t="s">
        <v>111</v>
      </c>
      <c r="O1092" s="93" t="s">
        <v>111</v>
      </c>
      <c r="P1092" s="93" t="s">
        <v>111</v>
      </c>
      <c r="Q1092" s="93" t="s">
        <v>228</v>
      </c>
      <c r="R1092" s="93" t="s">
        <v>2</v>
      </c>
      <c r="S1092" s="93" t="s">
        <v>115</v>
      </c>
      <c r="T1092" s="93" t="s">
        <v>116</v>
      </c>
      <c r="U1092" s="94">
        <v>44602.408333333333</v>
      </c>
      <c r="V1092" s="93" t="s">
        <v>402</v>
      </c>
      <c r="W1092" s="93" t="s">
        <v>24</v>
      </c>
    </row>
    <row r="1093" spans="1:23" x14ac:dyDescent="0.15">
      <c r="A1093" s="93" t="s">
        <v>7964</v>
      </c>
      <c r="B1093" s="93" t="s">
        <v>7965</v>
      </c>
      <c r="C1093" s="93">
        <v>51</v>
      </c>
      <c r="D1093" s="93" t="s">
        <v>24</v>
      </c>
      <c r="E1093" s="93" t="s">
        <v>24</v>
      </c>
      <c r="F1093" s="93" t="s">
        <v>7070</v>
      </c>
      <c r="G1093" s="93" t="s">
        <v>7108</v>
      </c>
      <c r="H1093" s="93" t="s">
        <v>118</v>
      </c>
      <c r="I1093" s="93" t="s">
        <v>111</v>
      </c>
      <c r="J1093" s="93" t="s">
        <v>118</v>
      </c>
      <c r="K1093" s="93">
        <v>3</v>
      </c>
      <c r="L1093" s="93" t="s">
        <v>111</v>
      </c>
      <c r="M1093" s="93" t="s">
        <v>111</v>
      </c>
      <c r="N1093" s="93" t="s">
        <v>111</v>
      </c>
      <c r="O1093" s="93" t="s">
        <v>111</v>
      </c>
      <c r="P1093" s="93" t="s">
        <v>111</v>
      </c>
      <c r="Q1093" s="93" t="s">
        <v>228</v>
      </c>
      <c r="R1093" s="93" t="s">
        <v>2</v>
      </c>
      <c r="S1093" s="93" t="s">
        <v>115</v>
      </c>
      <c r="T1093" s="93" t="s">
        <v>116</v>
      </c>
      <c r="U1093" s="94">
        <v>44602.90347222222</v>
      </c>
      <c r="V1093" s="93" t="s">
        <v>402</v>
      </c>
      <c r="W1093" s="93" t="s">
        <v>24</v>
      </c>
    </row>
    <row r="1094" spans="1:23" x14ac:dyDescent="0.15">
      <c r="A1094" s="93" t="s">
        <v>7024</v>
      </c>
      <c r="B1094" s="93" t="s">
        <v>7026</v>
      </c>
      <c r="C1094" s="93">
        <v>80</v>
      </c>
      <c r="D1094" s="93" t="s">
        <v>24</v>
      </c>
      <c r="E1094" s="93" t="s">
        <v>24</v>
      </c>
      <c r="F1094" s="93" t="s">
        <v>7070</v>
      </c>
      <c r="G1094" s="93" t="s">
        <v>7108</v>
      </c>
      <c r="H1094" s="93" t="s">
        <v>400</v>
      </c>
      <c r="I1094" s="93" t="s">
        <v>111</v>
      </c>
      <c r="J1094" s="93" t="s">
        <v>7105</v>
      </c>
      <c r="K1094" s="93" t="s">
        <v>111</v>
      </c>
      <c r="L1094" s="93" t="s">
        <v>111</v>
      </c>
      <c r="M1094" s="93" t="s">
        <v>111</v>
      </c>
      <c r="N1094" s="93" t="s">
        <v>111</v>
      </c>
      <c r="O1094" s="93" t="s">
        <v>111</v>
      </c>
      <c r="P1094" s="93" t="s">
        <v>111</v>
      </c>
      <c r="Q1094" s="93" t="s">
        <v>228</v>
      </c>
      <c r="R1094" s="93" t="s">
        <v>111</v>
      </c>
      <c r="S1094" s="93" t="s">
        <v>115</v>
      </c>
      <c r="T1094" s="93" t="s">
        <v>116</v>
      </c>
      <c r="U1094" s="94">
        <v>44610.119444444441</v>
      </c>
      <c r="V1094" s="93" t="s">
        <v>402</v>
      </c>
      <c r="W1094" s="93" t="s">
        <v>24</v>
      </c>
    </row>
    <row r="1095" spans="1:23" x14ac:dyDescent="0.15">
      <c r="A1095" s="93" t="s">
        <v>7966</v>
      </c>
      <c r="B1095" s="93" t="s">
        <v>7967</v>
      </c>
      <c r="C1095" s="93">
        <v>26</v>
      </c>
      <c r="D1095" s="93" t="s">
        <v>24</v>
      </c>
      <c r="E1095" s="93" t="s">
        <v>24</v>
      </c>
      <c r="F1095" s="93" t="s">
        <v>7070</v>
      </c>
      <c r="G1095" s="93" t="s">
        <v>7108</v>
      </c>
      <c r="H1095" s="93" t="s">
        <v>118</v>
      </c>
      <c r="I1095" s="93" t="s">
        <v>111</v>
      </c>
      <c r="J1095" s="93" t="s">
        <v>118</v>
      </c>
      <c r="K1095" s="93">
        <v>3</v>
      </c>
      <c r="L1095" s="93" t="s">
        <v>111</v>
      </c>
      <c r="M1095" s="93" t="s">
        <v>111</v>
      </c>
      <c r="N1095" s="93" t="s">
        <v>111</v>
      </c>
      <c r="O1095" s="93" t="s">
        <v>111</v>
      </c>
      <c r="P1095" s="93" t="s">
        <v>111</v>
      </c>
      <c r="Q1095" s="93" t="s">
        <v>228</v>
      </c>
      <c r="R1095" s="93" t="s">
        <v>2</v>
      </c>
      <c r="S1095" s="93" t="s">
        <v>115</v>
      </c>
      <c r="T1095" s="93" t="s">
        <v>116</v>
      </c>
      <c r="U1095" s="94">
        <v>44628.905555555553</v>
      </c>
      <c r="V1095" s="93" t="s">
        <v>402</v>
      </c>
      <c r="W1095" s="93" t="s">
        <v>24</v>
      </c>
    </row>
    <row r="1096" spans="1:23" x14ac:dyDescent="0.15">
      <c r="A1096" s="93" t="s">
        <v>7968</v>
      </c>
      <c r="B1096" s="93" t="s">
        <v>7969</v>
      </c>
      <c r="C1096" s="93">
        <v>37</v>
      </c>
      <c r="D1096" s="93" t="s">
        <v>24</v>
      </c>
      <c r="E1096" s="93" t="s">
        <v>24</v>
      </c>
      <c r="F1096" s="93" t="s">
        <v>7070</v>
      </c>
      <c r="G1096" s="93" t="s">
        <v>7108</v>
      </c>
      <c r="H1096" s="93" t="s">
        <v>118</v>
      </c>
      <c r="I1096" s="93" t="s">
        <v>111</v>
      </c>
      <c r="J1096" s="93" t="s">
        <v>118</v>
      </c>
      <c r="K1096" s="93">
        <v>3</v>
      </c>
      <c r="L1096" s="93" t="s">
        <v>111</v>
      </c>
      <c r="M1096" s="93" t="s">
        <v>111</v>
      </c>
      <c r="N1096" s="93" t="s">
        <v>111</v>
      </c>
      <c r="O1096" s="93" t="s">
        <v>111</v>
      </c>
      <c r="P1096" s="93" t="s">
        <v>111</v>
      </c>
      <c r="Q1096" s="93" t="s">
        <v>228</v>
      </c>
      <c r="R1096" s="93" t="s">
        <v>2</v>
      </c>
      <c r="S1096" s="93" t="s">
        <v>115</v>
      </c>
      <c r="T1096" s="93" t="s">
        <v>116</v>
      </c>
      <c r="U1096" s="94">
        <v>44628.905555555553</v>
      </c>
      <c r="V1096" s="93" t="s">
        <v>402</v>
      </c>
      <c r="W1096" s="93" t="s">
        <v>24</v>
      </c>
    </row>
    <row r="1097" spans="1:23" x14ac:dyDescent="0.15">
      <c r="A1097" s="93" t="s">
        <v>7035</v>
      </c>
      <c r="B1097" s="93" t="s">
        <v>7036</v>
      </c>
      <c r="C1097" s="93">
        <v>117</v>
      </c>
      <c r="D1097" s="93" t="s">
        <v>24</v>
      </c>
      <c r="E1097" s="93" t="s">
        <v>24</v>
      </c>
      <c r="F1097" s="93" t="s">
        <v>7070</v>
      </c>
      <c r="G1097" s="93" t="s">
        <v>7108</v>
      </c>
      <c r="H1097" s="93" t="s">
        <v>400</v>
      </c>
      <c r="I1097" s="93" t="s">
        <v>111</v>
      </c>
      <c r="J1097" s="93" t="s">
        <v>7105</v>
      </c>
      <c r="K1097" s="93" t="s">
        <v>111</v>
      </c>
      <c r="L1097" s="93" t="s">
        <v>111</v>
      </c>
      <c r="M1097" s="93" t="s">
        <v>111</v>
      </c>
      <c r="N1097" s="93" t="s">
        <v>111</v>
      </c>
      <c r="O1097" s="93" t="s">
        <v>111</v>
      </c>
      <c r="P1097" s="93" t="s">
        <v>111</v>
      </c>
      <c r="Q1097" s="93" t="s">
        <v>228</v>
      </c>
      <c r="R1097" s="93" t="s">
        <v>111</v>
      </c>
      <c r="S1097" s="93" t="s">
        <v>115</v>
      </c>
      <c r="T1097" s="93" t="s">
        <v>116</v>
      </c>
      <c r="U1097" s="94">
        <v>44610.081250000003</v>
      </c>
      <c r="V1097" s="93" t="s">
        <v>402</v>
      </c>
      <c r="W1097" s="93" t="s">
        <v>24</v>
      </c>
    </row>
    <row r="1098" spans="1:23" x14ac:dyDescent="0.15">
      <c r="A1098" s="93" t="s">
        <v>7970</v>
      </c>
      <c r="B1098" s="93" t="s">
        <v>7971</v>
      </c>
      <c r="C1098" s="93">
        <v>48</v>
      </c>
      <c r="D1098" s="93" t="s">
        <v>24</v>
      </c>
      <c r="E1098" s="93" t="s">
        <v>24</v>
      </c>
      <c r="F1098" s="93" t="s">
        <v>7070</v>
      </c>
      <c r="G1098" s="93" t="s">
        <v>7108</v>
      </c>
      <c r="H1098" s="93" t="s">
        <v>118</v>
      </c>
      <c r="I1098" s="93" t="s">
        <v>111</v>
      </c>
      <c r="J1098" s="93" t="s">
        <v>118</v>
      </c>
      <c r="K1098" s="93">
        <v>3</v>
      </c>
      <c r="L1098" s="93" t="s">
        <v>111</v>
      </c>
      <c r="M1098" s="93" t="s">
        <v>111</v>
      </c>
      <c r="N1098" s="93" t="s">
        <v>111</v>
      </c>
      <c r="O1098" s="93" t="s">
        <v>111</v>
      </c>
      <c r="P1098" s="93" t="s">
        <v>111</v>
      </c>
      <c r="Q1098" s="93" t="s">
        <v>228</v>
      </c>
      <c r="R1098" s="93" t="s">
        <v>2</v>
      </c>
      <c r="S1098" s="93" t="s">
        <v>115</v>
      </c>
      <c r="T1098" s="93" t="s">
        <v>116</v>
      </c>
      <c r="U1098" s="94">
        <v>44597.554166666669</v>
      </c>
      <c r="V1098" s="93" t="s">
        <v>402</v>
      </c>
      <c r="W1098" s="93" t="s">
        <v>24</v>
      </c>
    </row>
    <row r="1099" spans="1:23" x14ac:dyDescent="0.15">
      <c r="A1099" s="93" t="s">
        <v>7972</v>
      </c>
      <c r="B1099" s="93" t="s">
        <v>7973</v>
      </c>
      <c r="C1099" s="93">
        <v>69</v>
      </c>
      <c r="D1099" s="93" t="s">
        <v>24</v>
      </c>
      <c r="E1099" s="93" t="s">
        <v>24</v>
      </c>
      <c r="F1099" s="93" t="s">
        <v>7070</v>
      </c>
      <c r="G1099" s="93" t="s">
        <v>7108</v>
      </c>
      <c r="H1099" s="93" t="s">
        <v>118</v>
      </c>
      <c r="I1099" s="93" t="s">
        <v>111</v>
      </c>
      <c r="J1099" s="93" t="s">
        <v>118</v>
      </c>
      <c r="K1099" s="93">
        <v>3</v>
      </c>
      <c r="L1099" s="93" t="s">
        <v>111</v>
      </c>
      <c r="M1099" s="93" t="s">
        <v>111</v>
      </c>
      <c r="N1099" s="93" t="s">
        <v>111</v>
      </c>
      <c r="O1099" s="93" t="s">
        <v>111</v>
      </c>
      <c r="P1099" s="93" t="s">
        <v>111</v>
      </c>
      <c r="Q1099" s="93" t="s">
        <v>228</v>
      </c>
      <c r="R1099" s="93" t="s">
        <v>2</v>
      </c>
      <c r="S1099" s="93" t="s">
        <v>115</v>
      </c>
      <c r="T1099" s="93" t="s">
        <v>116</v>
      </c>
      <c r="U1099" s="94">
        <v>44602.408333333333</v>
      </c>
      <c r="V1099" s="93" t="s">
        <v>402</v>
      </c>
      <c r="W1099" s="93" t="s">
        <v>24</v>
      </c>
    </row>
    <row r="1100" spans="1:23" x14ac:dyDescent="0.15">
      <c r="A1100" s="93" t="s">
        <v>7045</v>
      </c>
      <c r="B1100" s="93" t="s">
        <v>7046</v>
      </c>
      <c r="C1100" s="93">
        <v>123</v>
      </c>
      <c r="D1100" s="93" t="s">
        <v>24</v>
      </c>
      <c r="E1100" s="93" t="s">
        <v>24</v>
      </c>
      <c r="F1100" s="93" t="s">
        <v>7070</v>
      </c>
      <c r="G1100" s="93" t="s">
        <v>7108</v>
      </c>
      <c r="H1100" s="93" t="s">
        <v>400</v>
      </c>
      <c r="I1100" s="93" t="s">
        <v>111</v>
      </c>
      <c r="J1100" s="93" t="s">
        <v>7105</v>
      </c>
      <c r="K1100" s="93" t="s">
        <v>111</v>
      </c>
      <c r="L1100" s="93" t="s">
        <v>111</v>
      </c>
      <c r="M1100" s="93" t="s">
        <v>111</v>
      </c>
      <c r="N1100" s="93" t="s">
        <v>111</v>
      </c>
      <c r="O1100" s="93" t="s">
        <v>111</v>
      </c>
      <c r="P1100" s="93" t="s">
        <v>111</v>
      </c>
      <c r="Q1100" s="93" t="s">
        <v>228</v>
      </c>
      <c r="R1100" s="93" t="s">
        <v>111</v>
      </c>
      <c r="S1100" s="93" t="s">
        <v>115</v>
      </c>
      <c r="T1100" s="93" t="s">
        <v>116</v>
      </c>
      <c r="U1100" s="94">
        <v>44610.113194444442</v>
      </c>
      <c r="V1100" s="93" t="s">
        <v>402</v>
      </c>
      <c r="W1100" s="93" t="s">
        <v>24</v>
      </c>
    </row>
    <row r="1101" spans="1:23" x14ac:dyDescent="0.15">
      <c r="A1101" s="93" t="s">
        <v>7974</v>
      </c>
      <c r="B1101" s="93" t="s">
        <v>7975</v>
      </c>
      <c r="C1101" s="93">
        <v>80</v>
      </c>
      <c r="D1101" s="93" t="s">
        <v>24</v>
      </c>
      <c r="E1101" s="93" t="s">
        <v>24</v>
      </c>
      <c r="F1101" s="93" t="s">
        <v>7070</v>
      </c>
      <c r="G1101" s="93" t="s">
        <v>7108</v>
      </c>
      <c r="H1101" s="93" t="s">
        <v>118</v>
      </c>
      <c r="I1101" s="93" t="s">
        <v>111</v>
      </c>
      <c r="J1101" s="93" t="s">
        <v>118</v>
      </c>
      <c r="K1101" s="93">
        <v>3</v>
      </c>
      <c r="L1101" s="93" t="s">
        <v>111</v>
      </c>
      <c r="M1101" s="93" t="s">
        <v>111</v>
      </c>
      <c r="N1101" s="93" t="s">
        <v>111</v>
      </c>
      <c r="O1101" s="93" t="s">
        <v>111</v>
      </c>
      <c r="P1101" s="93" t="s">
        <v>111</v>
      </c>
      <c r="Q1101" s="93" t="s">
        <v>228</v>
      </c>
      <c r="R1101" s="93" t="s">
        <v>2</v>
      </c>
      <c r="S1101" s="93" t="s">
        <v>115</v>
      </c>
      <c r="T1101" s="93" t="s">
        <v>116</v>
      </c>
      <c r="U1101" s="94">
        <v>44597.554166666669</v>
      </c>
      <c r="V1101" s="93" t="s">
        <v>402</v>
      </c>
      <c r="W1101" s="93" t="s">
        <v>24</v>
      </c>
    </row>
    <row r="1102" spans="1:23" x14ac:dyDescent="0.15">
      <c r="A1102" s="93" t="s">
        <v>7976</v>
      </c>
      <c r="B1102" s="93" t="s">
        <v>7977</v>
      </c>
      <c r="C1102" s="93">
        <v>112</v>
      </c>
      <c r="D1102" s="93" t="s">
        <v>24</v>
      </c>
      <c r="E1102" s="93" t="s">
        <v>24</v>
      </c>
      <c r="F1102" s="93" t="s">
        <v>7070</v>
      </c>
      <c r="G1102" s="93" t="s">
        <v>7108</v>
      </c>
      <c r="H1102" s="93" t="s">
        <v>118</v>
      </c>
      <c r="I1102" s="93" t="s">
        <v>111</v>
      </c>
      <c r="J1102" s="93" t="s">
        <v>118</v>
      </c>
      <c r="K1102" s="93">
        <v>3</v>
      </c>
      <c r="L1102" s="93" t="s">
        <v>111</v>
      </c>
      <c r="M1102" s="93" t="s">
        <v>111</v>
      </c>
      <c r="N1102" s="93" t="s">
        <v>111</v>
      </c>
      <c r="O1102" s="93" t="s">
        <v>111</v>
      </c>
      <c r="P1102" s="93" t="s">
        <v>111</v>
      </c>
      <c r="Q1102" s="93" t="s">
        <v>228</v>
      </c>
      <c r="R1102" s="93" t="s">
        <v>2</v>
      </c>
      <c r="S1102" s="93" t="s">
        <v>115</v>
      </c>
      <c r="T1102" s="93" t="s">
        <v>116</v>
      </c>
      <c r="U1102" s="94">
        <v>44597.554166666669</v>
      </c>
      <c r="V1102" s="93" t="s">
        <v>402</v>
      </c>
      <c r="W1102" s="93" t="s">
        <v>24</v>
      </c>
    </row>
    <row r="1103" spans="1:23" x14ac:dyDescent="0.15">
      <c r="A1103" s="93" t="s">
        <v>7978</v>
      </c>
      <c r="B1103" s="93" t="s">
        <v>7979</v>
      </c>
      <c r="C1103" s="93">
        <v>96</v>
      </c>
      <c r="D1103" s="93" t="s">
        <v>24</v>
      </c>
      <c r="E1103" s="93" t="s">
        <v>24</v>
      </c>
      <c r="F1103" s="93" t="s">
        <v>7070</v>
      </c>
      <c r="G1103" s="93" t="s">
        <v>7108</v>
      </c>
      <c r="H1103" s="93" t="s">
        <v>118</v>
      </c>
      <c r="I1103" s="93" t="s">
        <v>111</v>
      </c>
      <c r="J1103" s="93" t="s">
        <v>118</v>
      </c>
      <c r="K1103" s="93">
        <v>3</v>
      </c>
      <c r="L1103" s="93" t="s">
        <v>111</v>
      </c>
      <c r="M1103" s="93" t="s">
        <v>111</v>
      </c>
      <c r="N1103" s="93" t="s">
        <v>111</v>
      </c>
      <c r="O1103" s="93" t="s">
        <v>111</v>
      </c>
      <c r="P1103" s="93" t="s">
        <v>111</v>
      </c>
      <c r="Q1103" s="93" t="s">
        <v>228</v>
      </c>
      <c r="R1103" s="93" t="s">
        <v>2</v>
      </c>
      <c r="S1103" s="93" t="s">
        <v>115</v>
      </c>
      <c r="T1103" s="93" t="s">
        <v>116</v>
      </c>
      <c r="U1103" s="94">
        <v>44597.554166666669</v>
      </c>
      <c r="V1103" s="93" t="s">
        <v>402</v>
      </c>
      <c r="W1103" s="93" t="s">
        <v>24</v>
      </c>
    </row>
    <row r="1104" spans="1:23" x14ac:dyDescent="0.15">
      <c r="A1104" s="93" t="s">
        <v>7980</v>
      </c>
      <c r="B1104" s="93" t="s">
        <v>7981</v>
      </c>
      <c r="C1104" s="93">
        <v>508</v>
      </c>
      <c r="D1104" s="93" t="s">
        <v>24</v>
      </c>
      <c r="E1104" s="93" t="s">
        <v>24</v>
      </c>
      <c r="F1104" s="93" t="s">
        <v>5978</v>
      </c>
      <c r="G1104" s="93" t="s">
        <v>7108</v>
      </c>
      <c r="H1104" s="93" t="s">
        <v>118</v>
      </c>
      <c r="I1104" s="93" t="s">
        <v>111</v>
      </c>
      <c r="J1104" s="93" t="s">
        <v>118</v>
      </c>
      <c r="K1104" s="93">
        <v>3</v>
      </c>
      <c r="L1104" s="93" t="s">
        <v>111</v>
      </c>
      <c r="M1104" s="93" t="s">
        <v>111</v>
      </c>
      <c r="N1104" s="93" t="s">
        <v>111</v>
      </c>
      <c r="O1104" s="93" t="s">
        <v>111</v>
      </c>
      <c r="P1104" s="93" t="s">
        <v>111</v>
      </c>
      <c r="Q1104" s="93" t="s">
        <v>228</v>
      </c>
      <c r="R1104" s="93" t="s">
        <v>2</v>
      </c>
      <c r="S1104" s="93" t="s">
        <v>115</v>
      </c>
      <c r="T1104" s="93" t="s">
        <v>116</v>
      </c>
      <c r="U1104" s="94">
        <v>44602.408333333333</v>
      </c>
      <c r="V1104" s="93" t="s">
        <v>402</v>
      </c>
      <c r="W1104" s="93" t="s">
        <v>24</v>
      </c>
    </row>
    <row r="1105" spans="1:23" x14ac:dyDescent="0.15">
      <c r="A1105" s="93" t="s">
        <v>7982</v>
      </c>
      <c r="B1105" s="93" t="s">
        <v>7983</v>
      </c>
      <c r="C1105" s="93">
        <v>33</v>
      </c>
      <c r="D1105" s="93" t="s">
        <v>24</v>
      </c>
      <c r="E1105" s="93" t="s">
        <v>24</v>
      </c>
      <c r="F1105" s="93" t="s">
        <v>5978</v>
      </c>
      <c r="G1105" s="93" t="s">
        <v>7108</v>
      </c>
      <c r="H1105" s="93" t="s">
        <v>118</v>
      </c>
      <c r="I1105" s="93" t="s">
        <v>111</v>
      </c>
      <c r="J1105" s="93" t="s">
        <v>118</v>
      </c>
      <c r="K1105" s="93">
        <v>3</v>
      </c>
      <c r="L1105" s="93" t="s">
        <v>111</v>
      </c>
      <c r="M1105" s="93" t="s">
        <v>111</v>
      </c>
      <c r="N1105" s="93" t="s">
        <v>111</v>
      </c>
      <c r="O1105" s="93" t="s">
        <v>111</v>
      </c>
      <c r="P1105" s="93" t="s">
        <v>111</v>
      </c>
      <c r="Q1105" s="93" t="s">
        <v>228</v>
      </c>
      <c r="R1105" s="93" t="s">
        <v>2</v>
      </c>
      <c r="S1105" s="93" t="s">
        <v>115</v>
      </c>
      <c r="T1105" s="93" t="s">
        <v>116</v>
      </c>
      <c r="U1105" s="94">
        <v>44602.408333333333</v>
      </c>
      <c r="V1105" s="93" t="s">
        <v>402</v>
      </c>
      <c r="W1105" s="93" t="s">
        <v>24</v>
      </c>
    </row>
    <row r="1106" spans="1:23" x14ac:dyDescent="0.15">
      <c r="A1106" s="93" t="s">
        <v>6282</v>
      </c>
      <c r="B1106" s="93" t="s">
        <v>7984</v>
      </c>
      <c r="C1106" s="93">
        <v>22</v>
      </c>
      <c r="D1106" s="93" t="s">
        <v>24</v>
      </c>
      <c r="E1106" s="93" t="s">
        <v>24</v>
      </c>
      <c r="F1106" s="93" t="s">
        <v>7070</v>
      </c>
      <c r="G1106" s="93" t="s">
        <v>7108</v>
      </c>
      <c r="H1106" s="93" t="s">
        <v>118</v>
      </c>
      <c r="I1106" s="93" t="s">
        <v>111</v>
      </c>
      <c r="J1106" s="93" t="s">
        <v>118</v>
      </c>
      <c r="K1106" s="93">
        <v>3</v>
      </c>
      <c r="L1106" s="93" t="s">
        <v>111</v>
      </c>
      <c r="M1106" s="93" t="s">
        <v>111</v>
      </c>
      <c r="N1106" s="93" t="s">
        <v>111</v>
      </c>
      <c r="O1106" s="93" t="s">
        <v>111</v>
      </c>
      <c r="P1106" s="93" t="s">
        <v>111</v>
      </c>
      <c r="Q1106" s="93" t="s">
        <v>228</v>
      </c>
      <c r="R1106" s="93" t="s">
        <v>2</v>
      </c>
      <c r="S1106" s="93" t="s">
        <v>115</v>
      </c>
      <c r="T1106" s="93" t="s">
        <v>116</v>
      </c>
      <c r="U1106" s="94">
        <v>44596.576388888891</v>
      </c>
      <c r="V1106" s="93" t="s">
        <v>402</v>
      </c>
      <c r="W1106" s="93" t="s">
        <v>24</v>
      </c>
    </row>
    <row r="1107" spans="1:23" x14ac:dyDescent="0.15">
      <c r="A1107" s="93" t="s">
        <v>7985</v>
      </c>
      <c r="B1107" s="93" t="s">
        <v>7986</v>
      </c>
      <c r="C1107" s="93">
        <v>70</v>
      </c>
      <c r="D1107" s="93" t="s">
        <v>24</v>
      </c>
      <c r="E1107" s="93" t="s">
        <v>24</v>
      </c>
      <c r="F1107" s="93" t="s">
        <v>7070</v>
      </c>
      <c r="G1107" s="93" t="s">
        <v>7108</v>
      </c>
      <c r="H1107" s="93" t="s">
        <v>118</v>
      </c>
      <c r="I1107" s="93" t="s">
        <v>111</v>
      </c>
      <c r="J1107" s="93" t="s">
        <v>118</v>
      </c>
      <c r="K1107" s="93">
        <v>3</v>
      </c>
      <c r="L1107" s="93" t="s">
        <v>111</v>
      </c>
      <c r="M1107" s="93" t="s">
        <v>111</v>
      </c>
      <c r="N1107" s="93" t="s">
        <v>111</v>
      </c>
      <c r="O1107" s="93" t="s">
        <v>111</v>
      </c>
      <c r="P1107" s="93" t="s">
        <v>111</v>
      </c>
      <c r="Q1107" s="93" t="s">
        <v>228</v>
      </c>
      <c r="R1107" s="93" t="s">
        <v>2</v>
      </c>
      <c r="S1107" s="93" t="s">
        <v>115</v>
      </c>
      <c r="T1107" s="93" t="s">
        <v>116</v>
      </c>
      <c r="U1107" s="94">
        <v>44596.615277777775</v>
      </c>
      <c r="V1107" s="93" t="s">
        <v>402</v>
      </c>
      <c r="W1107" s="93" t="s">
        <v>24</v>
      </c>
    </row>
    <row r="1108" spans="1:23" x14ac:dyDescent="0.15">
      <c r="A1108" s="93" t="s">
        <v>5943</v>
      </c>
      <c r="B1108" s="93" t="s">
        <v>6679</v>
      </c>
      <c r="C1108" s="93">
        <v>26.5</v>
      </c>
      <c r="D1108" s="93" t="s">
        <v>9</v>
      </c>
      <c r="E1108" s="93" t="s">
        <v>24</v>
      </c>
      <c r="F1108" s="93" t="s">
        <v>7070</v>
      </c>
      <c r="G1108" s="93" t="s">
        <v>7108</v>
      </c>
      <c r="H1108" s="93" t="s">
        <v>118</v>
      </c>
      <c r="I1108" s="93" t="s">
        <v>111</v>
      </c>
      <c r="J1108" s="93" t="s">
        <v>7105</v>
      </c>
      <c r="K1108" s="93" t="s">
        <v>111</v>
      </c>
      <c r="L1108" s="93" t="s">
        <v>111</v>
      </c>
      <c r="M1108" s="93" t="s">
        <v>111</v>
      </c>
      <c r="N1108" s="93" t="s">
        <v>111</v>
      </c>
      <c r="O1108" s="93" t="s">
        <v>111</v>
      </c>
      <c r="P1108" s="93" t="s">
        <v>111</v>
      </c>
      <c r="Q1108" s="93" t="s">
        <v>111</v>
      </c>
      <c r="R1108" s="93" t="s">
        <v>111</v>
      </c>
      <c r="S1108" s="93" t="s">
        <v>115</v>
      </c>
      <c r="T1108" s="93" t="s">
        <v>116</v>
      </c>
      <c r="U1108" s="94">
        <v>44596.612500000003</v>
      </c>
      <c r="V1108" s="93" t="s">
        <v>402</v>
      </c>
      <c r="W1108" s="93" t="s">
        <v>24</v>
      </c>
    </row>
    <row r="1109" spans="1:23" x14ac:dyDescent="0.15">
      <c r="A1109" s="93" t="s">
        <v>5946</v>
      </c>
      <c r="B1109" s="93" t="s">
        <v>5947</v>
      </c>
      <c r="C1109" s="93">
        <v>34.75</v>
      </c>
      <c r="D1109" s="93" t="s">
        <v>24</v>
      </c>
      <c r="E1109" s="93" t="s">
        <v>24</v>
      </c>
      <c r="F1109" s="93" t="s">
        <v>7070</v>
      </c>
      <c r="G1109" s="93" t="s">
        <v>7108</v>
      </c>
      <c r="H1109" s="93" t="s">
        <v>118</v>
      </c>
      <c r="I1109" s="93" t="s">
        <v>111</v>
      </c>
      <c r="J1109" s="93" t="s">
        <v>118</v>
      </c>
      <c r="K1109" s="93">
        <v>3</v>
      </c>
      <c r="L1109" s="93" t="s">
        <v>111</v>
      </c>
      <c r="M1109" s="93" t="s">
        <v>111</v>
      </c>
      <c r="N1109" s="93" t="s">
        <v>111</v>
      </c>
      <c r="O1109" s="93" t="s">
        <v>111</v>
      </c>
      <c r="P1109" s="93" t="s">
        <v>111</v>
      </c>
      <c r="Q1109" s="93" t="s">
        <v>111</v>
      </c>
      <c r="R1109" s="93" t="s">
        <v>111</v>
      </c>
      <c r="S1109" s="93" t="s">
        <v>115</v>
      </c>
      <c r="T1109" s="93" t="s">
        <v>116</v>
      </c>
      <c r="U1109" s="94">
        <v>44596.600694444445</v>
      </c>
      <c r="V1109" s="93" t="s">
        <v>7959</v>
      </c>
      <c r="W1109" s="93" t="s">
        <v>24</v>
      </c>
    </row>
    <row r="1110" spans="1:23" x14ac:dyDescent="0.15">
      <c r="A1110" s="93" t="s">
        <v>7987</v>
      </c>
      <c r="B1110" s="93" t="s">
        <v>7988</v>
      </c>
      <c r="C1110" s="93">
        <v>26.5</v>
      </c>
      <c r="D1110" s="93" t="s">
        <v>24</v>
      </c>
      <c r="E1110" s="93" t="s">
        <v>24</v>
      </c>
      <c r="F1110" s="93" t="s">
        <v>7</v>
      </c>
      <c r="G1110" s="93" t="s">
        <v>7108</v>
      </c>
      <c r="H1110" s="93" t="s">
        <v>118</v>
      </c>
      <c r="I1110" s="93" t="s">
        <v>111</v>
      </c>
      <c r="J1110" s="93" t="s">
        <v>118</v>
      </c>
      <c r="K1110" s="93">
        <v>3</v>
      </c>
      <c r="L1110" s="93" t="s">
        <v>111</v>
      </c>
      <c r="M1110" s="93" t="s">
        <v>111</v>
      </c>
      <c r="N1110" s="93" t="s">
        <v>111</v>
      </c>
      <c r="O1110" s="93" t="s">
        <v>111</v>
      </c>
      <c r="P1110" s="93" t="s">
        <v>111</v>
      </c>
      <c r="Q1110" s="93" t="s">
        <v>228</v>
      </c>
      <c r="R1110" s="93" t="s">
        <v>2</v>
      </c>
      <c r="S1110" s="93" t="s">
        <v>115</v>
      </c>
      <c r="T1110" s="93" t="s">
        <v>116</v>
      </c>
      <c r="U1110" s="94">
        <v>44597.553472222222</v>
      </c>
      <c r="V1110" s="93" t="s">
        <v>7913</v>
      </c>
      <c r="W1110" s="93" t="s">
        <v>24</v>
      </c>
    </row>
    <row r="1111" spans="1:23" x14ac:dyDescent="0.15">
      <c r="A1111" s="93" t="s">
        <v>7989</v>
      </c>
      <c r="B1111" s="93" t="s">
        <v>7990</v>
      </c>
      <c r="C1111" s="93">
        <v>667</v>
      </c>
      <c r="D1111" s="93" t="s">
        <v>24</v>
      </c>
      <c r="E1111" s="93" t="s">
        <v>24</v>
      </c>
      <c r="F1111" s="93" t="s">
        <v>5978</v>
      </c>
      <c r="G1111" s="93" t="s">
        <v>7108</v>
      </c>
      <c r="H1111" s="93" t="s">
        <v>118</v>
      </c>
      <c r="I1111" s="93" t="s">
        <v>111</v>
      </c>
      <c r="J1111" s="93" t="s">
        <v>118</v>
      </c>
      <c r="K1111" s="93">
        <v>3</v>
      </c>
      <c r="L1111" s="93" t="s">
        <v>111</v>
      </c>
      <c r="M1111" s="93" t="s">
        <v>111</v>
      </c>
      <c r="N1111" s="93" t="s">
        <v>111</v>
      </c>
      <c r="O1111" s="93" t="s">
        <v>111</v>
      </c>
      <c r="P1111" s="93" t="s">
        <v>111</v>
      </c>
      <c r="Q1111" s="93" t="s">
        <v>228</v>
      </c>
      <c r="R1111" s="93" t="s">
        <v>2</v>
      </c>
      <c r="S1111" s="93" t="s">
        <v>115</v>
      </c>
      <c r="T1111" s="93" t="s">
        <v>116</v>
      </c>
      <c r="U1111" s="94">
        <v>44602.408333333333</v>
      </c>
      <c r="V1111" s="93" t="s">
        <v>402</v>
      </c>
      <c r="W1111" s="93" t="s">
        <v>24</v>
      </c>
    </row>
    <row r="1112" spans="1:23" x14ac:dyDescent="0.15">
      <c r="A1112" s="93" t="s">
        <v>7991</v>
      </c>
      <c r="B1112" s="93" t="s">
        <v>7992</v>
      </c>
      <c r="C1112" s="93">
        <v>44</v>
      </c>
      <c r="D1112" s="93" t="s">
        <v>24</v>
      </c>
      <c r="E1112" s="93" t="s">
        <v>24</v>
      </c>
      <c r="F1112" s="93" t="s">
        <v>5978</v>
      </c>
      <c r="G1112" s="93" t="s">
        <v>7108</v>
      </c>
      <c r="H1112" s="93" t="s">
        <v>118</v>
      </c>
      <c r="I1112" s="93" t="s">
        <v>111</v>
      </c>
      <c r="J1112" s="93" t="s">
        <v>118</v>
      </c>
      <c r="K1112" s="93">
        <v>3</v>
      </c>
      <c r="L1112" s="93" t="s">
        <v>111</v>
      </c>
      <c r="M1112" s="93" t="s">
        <v>111</v>
      </c>
      <c r="N1112" s="93" t="s">
        <v>111</v>
      </c>
      <c r="O1112" s="93" t="s">
        <v>111</v>
      </c>
      <c r="P1112" s="93" t="s">
        <v>111</v>
      </c>
      <c r="Q1112" s="93" t="s">
        <v>228</v>
      </c>
      <c r="R1112" s="93" t="s">
        <v>2</v>
      </c>
      <c r="S1112" s="93" t="s">
        <v>115</v>
      </c>
      <c r="T1112" s="93" t="s">
        <v>116</v>
      </c>
      <c r="U1112" s="94">
        <v>44602.408333333333</v>
      </c>
      <c r="V1112" s="93" t="s">
        <v>402</v>
      </c>
      <c r="W1112" s="93" t="s">
        <v>24</v>
      </c>
    </row>
    <row r="1113" spans="1:23" x14ac:dyDescent="0.15">
      <c r="A1113" s="93" t="s">
        <v>7993</v>
      </c>
      <c r="B1113" s="93" t="s">
        <v>7994</v>
      </c>
      <c r="C1113" s="93">
        <v>761</v>
      </c>
      <c r="D1113" s="93" t="s">
        <v>24</v>
      </c>
      <c r="E1113" s="93" t="s">
        <v>24</v>
      </c>
      <c r="F1113" s="93" t="s">
        <v>5978</v>
      </c>
      <c r="G1113" s="93" t="s">
        <v>7108</v>
      </c>
      <c r="H1113" s="93" t="s">
        <v>118</v>
      </c>
      <c r="I1113" s="93" t="s">
        <v>111</v>
      </c>
      <c r="J1113" s="93" t="s">
        <v>118</v>
      </c>
      <c r="K1113" s="93">
        <v>3</v>
      </c>
      <c r="L1113" s="93" t="s">
        <v>111</v>
      </c>
      <c r="M1113" s="93" t="s">
        <v>111</v>
      </c>
      <c r="N1113" s="93" t="s">
        <v>111</v>
      </c>
      <c r="O1113" s="93" t="s">
        <v>111</v>
      </c>
      <c r="P1113" s="93" t="s">
        <v>111</v>
      </c>
      <c r="Q1113" s="93" t="s">
        <v>228</v>
      </c>
      <c r="R1113" s="93" t="s">
        <v>2</v>
      </c>
      <c r="S1113" s="93" t="s">
        <v>115</v>
      </c>
      <c r="T1113" s="93" t="s">
        <v>116</v>
      </c>
      <c r="U1113" s="94">
        <v>44602.408333333333</v>
      </c>
      <c r="V1113" s="93" t="s">
        <v>402</v>
      </c>
      <c r="W1113" s="93" t="s">
        <v>24</v>
      </c>
    </row>
    <row r="1114" spans="1:23" x14ac:dyDescent="0.15">
      <c r="A1114" s="93" t="s">
        <v>7995</v>
      </c>
      <c r="B1114" s="93" t="s">
        <v>7996</v>
      </c>
      <c r="C1114" s="93">
        <v>50</v>
      </c>
      <c r="D1114" s="93" t="s">
        <v>24</v>
      </c>
      <c r="E1114" s="93" t="s">
        <v>24</v>
      </c>
      <c r="F1114" s="93" t="s">
        <v>5978</v>
      </c>
      <c r="G1114" s="93" t="s">
        <v>7108</v>
      </c>
      <c r="H1114" s="93" t="s">
        <v>118</v>
      </c>
      <c r="I1114" s="93" t="s">
        <v>111</v>
      </c>
      <c r="J1114" s="93" t="s">
        <v>118</v>
      </c>
      <c r="K1114" s="93">
        <v>3</v>
      </c>
      <c r="L1114" s="93" t="s">
        <v>111</v>
      </c>
      <c r="M1114" s="93" t="s">
        <v>111</v>
      </c>
      <c r="N1114" s="93" t="s">
        <v>111</v>
      </c>
      <c r="O1114" s="93" t="s">
        <v>111</v>
      </c>
      <c r="P1114" s="93" t="s">
        <v>111</v>
      </c>
      <c r="Q1114" s="93" t="s">
        <v>228</v>
      </c>
      <c r="R1114" s="93" t="s">
        <v>2</v>
      </c>
      <c r="S1114" s="93" t="s">
        <v>115</v>
      </c>
      <c r="T1114" s="93" t="s">
        <v>116</v>
      </c>
      <c r="U1114" s="94">
        <v>44602.408333333333</v>
      </c>
      <c r="V1114" s="93" t="s">
        <v>402</v>
      </c>
      <c r="W1114" s="93" t="s">
        <v>24</v>
      </c>
    </row>
    <row r="1115" spans="1:23" x14ac:dyDescent="0.15">
      <c r="A1115" s="93" t="s">
        <v>4113</v>
      </c>
      <c r="B1115" s="93" t="s">
        <v>4114</v>
      </c>
      <c r="C1115" s="93">
        <v>1.67</v>
      </c>
      <c r="D1115" s="93" t="s">
        <v>24</v>
      </c>
      <c r="E1115" s="93" t="s">
        <v>24</v>
      </c>
      <c r="F1115" s="93" t="s">
        <v>70</v>
      </c>
      <c r="G1115" s="93" t="s">
        <v>7997</v>
      </c>
      <c r="H1115" s="93" t="s">
        <v>400</v>
      </c>
      <c r="I1115" s="93" t="s">
        <v>111</v>
      </c>
      <c r="J1115" s="93" t="s">
        <v>118</v>
      </c>
      <c r="K1115" s="93">
        <v>3</v>
      </c>
      <c r="L1115" s="93" t="s">
        <v>111</v>
      </c>
      <c r="M1115" s="93" t="s">
        <v>111</v>
      </c>
      <c r="N1115" s="93" t="s">
        <v>111</v>
      </c>
      <c r="O1115" s="93" t="s">
        <v>111</v>
      </c>
      <c r="P1115" s="93" t="s">
        <v>111</v>
      </c>
      <c r="Q1115" s="93" t="s">
        <v>228</v>
      </c>
      <c r="R1115" s="93" t="s">
        <v>2</v>
      </c>
      <c r="S1115" s="93" t="s">
        <v>115</v>
      </c>
      <c r="T1115" s="93" t="s">
        <v>116</v>
      </c>
      <c r="U1115" s="94">
        <v>44596.602777777778</v>
      </c>
      <c r="V1115" s="93" t="s">
        <v>402</v>
      </c>
      <c r="W1115" s="93" t="s">
        <v>24</v>
      </c>
    </row>
    <row r="1116" spans="1:23" x14ac:dyDescent="0.15">
      <c r="A1116" s="93" t="s">
        <v>643</v>
      </c>
      <c r="B1116" s="93" t="s">
        <v>644</v>
      </c>
      <c r="C1116" s="93">
        <v>50000</v>
      </c>
      <c r="D1116" s="93" t="s">
        <v>24</v>
      </c>
      <c r="E1116" s="93" t="s">
        <v>24</v>
      </c>
      <c r="F1116" s="93" t="s">
        <v>70</v>
      </c>
      <c r="G1116" s="93" t="s">
        <v>7997</v>
      </c>
      <c r="H1116" s="93" t="s">
        <v>400</v>
      </c>
      <c r="I1116" s="93" t="s">
        <v>111</v>
      </c>
      <c r="J1116" s="93" t="s">
        <v>7105</v>
      </c>
      <c r="K1116" s="93" t="s">
        <v>111</v>
      </c>
      <c r="L1116" s="93" t="s">
        <v>111</v>
      </c>
      <c r="M1116" s="93" t="s">
        <v>111</v>
      </c>
      <c r="N1116" s="93" t="s">
        <v>111</v>
      </c>
      <c r="O1116" s="93" t="s">
        <v>111</v>
      </c>
      <c r="P1116" s="93" t="s">
        <v>111</v>
      </c>
      <c r="Q1116" s="93" t="s">
        <v>111</v>
      </c>
      <c r="R1116" s="93" t="s">
        <v>2</v>
      </c>
      <c r="S1116" s="93" t="s">
        <v>111</v>
      </c>
      <c r="T1116" s="93" t="s">
        <v>116</v>
      </c>
      <c r="U1116" s="94">
        <v>44588.109027777777</v>
      </c>
      <c r="V1116" s="93" t="s">
        <v>402</v>
      </c>
      <c r="W1116" s="93" t="s">
        <v>24</v>
      </c>
    </row>
    <row r="1117" spans="1:23" x14ac:dyDescent="0.15">
      <c r="A1117" s="93" t="s">
        <v>7998</v>
      </c>
      <c r="B1117" s="93" t="s">
        <v>7999</v>
      </c>
      <c r="C1117" s="93">
        <v>8125</v>
      </c>
      <c r="D1117" s="93" t="s">
        <v>24</v>
      </c>
      <c r="E1117" s="93" t="s">
        <v>24</v>
      </c>
      <c r="F1117" s="93" t="s">
        <v>70</v>
      </c>
      <c r="G1117" s="93" t="s">
        <v>7997</v>
      </c>
      <c r="H1117" s="93" t="s">
        <v>400</v>
      </c>
      <c r="I1117" s="93" t="s">
        <v>111</v>
      </c>
      <c r="J1117" s="93" t="s">
        <v>118</v>
      </c>
      <c r="K1117" s="93">
        <v>3</v>
      </c>
      <c r="L1117" s="93" t="s">
        <v>111</v>
      </c>
      <c r="M1117" s="93" t="s">
        <v>111</v>
      </c>
      <c r="N1117" s="93" t="s">
        <v>111</v>
      </c>
      <c r="O1117" s="93" t="s">
        <v>111</v>
      </c>
      <c r="P1117" s="93" t="s">
        <v>111</v>
      </c>
      <c r="Q1117" s="93" t="s">
        <v>228</v>
      </c>
      <c r="R1117" s="93" t="s">
        <v>2</v>
      </c>
      <c r="S1117" s="93" t="s">
        <v>115</v>
      </c>
      <c r="T1117" s="93" t="s">
        <v>116</v>
      </c>
      <c r="U1117" s="94">
        <v>44595.059027777781</v>
      </c>
      <c r="V1117" s="93" t="s">
        <v>402</v>
      </c>
      <c r="W1117" s="93" t="s">
        <v>24</v>
      </c>
    </row>
    <row r="1118" spans="1:23" x14ac:dyDescent="0.15">
      <c r="A1118" s="93" t="s">
        <v>8000</v>
      </c>
      <c r="B1118" s="93" t="s">
        <v>8001</v>
      </c>
      <c r="C1118" s="93">
        <v>8125</v>
      </c>
      <c r="D1118" s="93" t="s">
        <v>24</v>
      </c>
      <c r="E1118" s="93" t="s">
        <v>24</v>
      </c>
      <c r="F1118" s="93" t="s">
        <v>70</v>
      </c>
      <c r="G1118" s="93" t="s">
        <v>7997</v>
      </c>
      <c r="H1118" s="93" t="s">
        <v>400</v>
      </c>
      <c r="I1118" s="93" t="s">
        <v>111</v>
      </c>
      <c r="J1118" s="93" t="s">
        <v>118</v>
      </c>
      <c r="K1118" s="93">
        <v>3</v>
      </c>
      <c r="L1118" s="93" t="s">
        <v>111</v>
      </c>
      <c r="M1118" s="93" t="s">
        <v>111</v>
      </c>
      <c r="N1118" s="93" t="s">
        <v>111</v>
      </c>
      <c r="O1118" s="93" t="s">
        <v>111</v>
      </c>
      <c r="P1118" s="93" t="s">
        <v>111</v>
      </c>
      <c r="Q1118" s="93" t="s">
        <v>228</v>
      </c>
      <c r="R1118" s="93" t="s">
        <v>2</v>
      </c>
      <c r="S1118" s="93" t="s">
        <v>115</v>
      </c>
      <c r="T1118" s="93" t="s">
        <v>116</v>
      </c>
      <c r="U1118" s="94">
        <v>44588.143750000003</v>
      </c>
      <c r="V1118" s="93" t="s">
        <v>402</v>
      </c>
      <c r="W1118" s="93" t="s">
        <v>24</v>
      </c>
    </row>
    <row r="1119" spans="1:23" x14ac:dyDescent="0.15">
      <c r="A1119" s="93" t="s">
        <v>8002</v>
      </c>
      <c r="B1119" s="93" t="s">
        <v>8003</v>
      </c>
      <c r="C1119" s="93">
        <v>8</v>
      </c>
      <c r="D1119" s="93" t="s">
        <v>24</v>
      </c>
      <c r="E1119" s="93" t="s">
        <v>24</v>
      </c>
      <c r="F1119" s="93" t="s">
        <v>4125</v>
      </c>
      <c r="G1119" s="93" t="s">
        <v>8004</v>
      </c>
      <c r="H1119" s="93" t="s">
        <v>118</v>
      </c>
      <c r="I1119" s="93" t="s">
        <v>111</v>
      </c>
      <c r="J1119" s="93" t="s">
        <v>118</v>
      </c>
      <c r="K1119" s="93">
        <v>3</v>
      </c>
      <c r="L1119" s="93" t="s">
        <v>111</v>
      </c>
      <c r="M1119" s="93" t="s">
        <v>111</v>
      </c>
      <c r="N1119" s="93" t="s">
        <v>111</v>
      </c>
      <c r="O1119" s="93" t="s">
        <v>111</v>
      </c>
      <c r="P1119" s="93" t="s">
        <v>111</v>
      </c>
      <c r="Q1119" s="93" t="s">
        <v>228</v>
      </c>
      <c r="R1119" s="93" t="s">
        <v>2</v>
      </c>
      <c r="S1119" s="93" t="s">
        <v>115</v>
      </c>
      <c r="T1119" s="93" t="s">
        <v>116</v>
      </c>
      <c r="U1119" s="94">
        <v>44602.408333333333</v>
      </c>
      <c r="V1119" s="93" t="s">
        <v>120</v>
      </c>
      <c r="W1119" s="93" t="s">
        <v>24</v>
      </c>
    </row>
    <row r="1120" spans="1:23" x14ac:dyDescent="0.15">
      <c r="A1120" s="93" t="s">
        <v>8005</v>
      </c>
      <c r="B1120" s="93" t="s">
        <v>8006</v>
      </c>
      <c r="C1120" s="93">
        <v>16</v>
      </c>
      <c r="D1120" s="93" t="s">
        <v>24</v>
      </c>
      <c r="E1120" s="93" t="s">
        <v>24</v>
      </c>
      <c r="F1120" s="93" t="s">
        <v>4125</v>
      </c>
      <c r="G1120" s="93" t="s">
        <v>8004</v>
      </c>
      <c r="H1120" s="93" t="s">
        <v>118</v>
      </c>
      <c r="I1120" s="93" t="s">
        <v>111</v>
      </c>
      <c r="J1120" s="93" t="s">
        <v>118</v>
      </c>
      <c r="K1120" s="93">
        <v>3</v>
      </c>
      <c r="L1120" s="93" t="s">
        <v>111</v>
      </c>
      <c r="M1120" s="93" t="s">
        <v>111</v>
      </c>
      <c r="N1120" s="93" t="s">
        <v>111</v>
      </c>
      <c r="O1120" s="93" t="s">
        <v>111</v>
      </c>
      <c r="P1120" s="93" t="s">
        <v>111</v>
      </c>
      <c r="Q1120" s="93" t="s">
        <v>228</v>
      </c>
      <c r="R1120" s="93" t="s">
        <v>2</v>
      </c>
      <c r="S1120" s="93" t="s">
        <v>115</v>
      </c>
      <c r="T1120" s="93" t="s">
        <v>116</v>
      </c>
      <c r="U1120" s="94">
        <v>44602.408333333333</v>
      </c>
      <c r="V1120" s="93" t="s">
        <v>120</v>
      </c>
      <c r="W1120" s="93" t="s">
        <v>24</v>
      </c>
    </row>
    <row r="1121" spans="1:23" x14ac:dyDescent="0.15">
      <c r="A1121" s="93" t="s">
        <v>8007</v>
      </c>
      <c r="B1121" s="93" t="s">
        <v>8008</v>
      </c>
      <c r="C1121" s="93">
        <v>24</v>
      </c>
      <c r="D1121" s="93" t="s">
        <v>24</v>
      </c>
      <c r="E1121" s="93" t="s">
        <v>24</v>
      </c>
      <c r="F1121" s="93" t="s">
        <v>4125</v>
      </c>
      <c r="G1121" s="93" t="s">
        <v>8004</v>
      </c>
      <c r="H1121" s="93" t="s">
        <v>118</v>
      </c>
      <c r="I1121" s="93" t="s">
        <v>111</v>
      </c>
      <c r="J1121" s="93" t="s">
        <v>118</v>
      </c>
      <c r="K1121" s="93">
        <v>3</v>
      </c>
      <c r="L1121" s="93" t="s">
        <v>111</v>
      </c>
      <c r="M1121" s="93" t="s">
        <v>111</v>
      </c>
      <c r="N1121" s="93" t="s">
        <v>111</v>
      </c>
      <c r="O1121" s="93" t="s">
        <v>111</v>
      </c>
      <c r="P1121" s="93" t="s">
        <v>111</v>
      </c>
      <c r="Q1121" s="93" t="s">
        <v>228</v>
      </c>
      <c r="R1121" s="93" t="s">
        <v>2</v>
      </c>
      <c r="S1121" s="93" t="s">
        <v>115</v>
      </c>
      <c r="T1121" s="93" t="s">
        <v>116</v>
      </c>
      <c r="U1121" s="94">
        <v>44602.408333333333</v>
      </c>
      <c r="V1121" s="93" t="s">
        <v>120</v>
      </c>
      <c r="W1121" s="93" t="s">
        <v>24</v>
      </c>
    </row>
    <row r="1122" spans="1:23" x14ac:dyDescent="0.15">
      <c r="A1122" s="93" t="s">
        <v>8009</v>
      </c>
      <c r="B1122" s="93" t="s">
        <v>8010</v>
      </c>
      <c r="C1122" s="93">
        <v>30</v>
      </c>
      <c r="D1122" s="93" t="s">
        <v>24</v>
      </c>
      <c r="E1122" s="93" t="s">
        <v>24</v>
      </c>
      <c r="F1122" s="93" t="s">
        <v>4125</v>
      </c>
      <c r="G1122" s="93" t="s">
        <v>8004</v>
      </c>
      <c r="H1122" s="93" t="s">
        <v>118</v>
      </c>
      <c r="I1122" s="93" t="s">
        <v>111</v>
      </c>
      <c r="J1122" s="93" t="s">
        <v>118</v>
      </c>
      <c r="K1122" s="93">
        <v>3</v>
      </c>
      <c r="L1122" s="93" t="s">
        <v>111</v>
      </c>
      <c r="M1122" s="93" t="s">
        <v>111</v>
      </c>
      <c r="N1122" s="93" t="s">
        <v>111</v>
      </c>
      <c r="O1122" s="93" t="s">
        <v>111</v>
      </c>
      <c r="P1122" s="93" t="s">
        <v>111</v>
      </c>
      <c r="Q1122" s="93" t="s">
        <v>228</v>
      </c>
      <c r="R1122" s="93" t="s">
        <v>2</v>
      </c>
      <c r="S1122" s="93" t="s">
        <v>115</v>
      </c>
      <c r="T1122" s="93" t="s">
        <v>116</v>
      </c>
      <c r="U1122" s="94">
        <v>44630.552777777775</v>
      </c>
      <c r="V1122" s="93" t="s">
        <v>120</v>
      </c>
      <c r="W1122" s="93" t="s">
        <v>24</v>
      </c>
    </row>
    <row r="1123" spans="1:23" x14ac:dyDescent="0.15">
      <c r="A1123" s="93" t="s">
        <v>8011</v>
      </c>
      <c r="B1123" s="93" t="s">
        <v>8012</v>
      </c>
      <c r="C1123" s="93">
        <v>60</v>
      </c>
      <c r="D1123" s="93" t="s">
        <v>24</v>
      </c>
      <c r="E1123" s="93" t="s">
        <v>24</v>
      </c>
      <c r="F1123" s="93" t="s">
        <v>4125</v>
      </c>
      <c r="G1123" s="93" t="s">
        <v>8004</v>
      </c>
      <c r="H1123" s="93" t="s">
        <v>118</v>
      </c>
      <c r="I1123" s="93" t="s">
        <v>111</v>
      </c>
      <c r="J1123" s="93" t="s">
        <v>118</v>
      </c>
      <c r="K1123" s="93">
        <v>3</v>
      </c>
      <c r="L1123" s="93" t="s">
        <v>111</v>
      </c>
      <c r="M1123" s="93" t="s">
        <v>111</v>
      </c>
      <c r="N1123" s="93" t="s">
        <v>111</v>
      </c>
      <c r="O1123" s="93" t="s">
        <v>111</v>
      </c>
      <c r="P1123" s="93" t="s">
        <v>111</v>
      </c>
      <c r="Q1123" s="93" t="s">
        <v>228</v>
      </c>
      <c r="R1123" s="93" t="s">
        <v>2</v>
      </c>
      <c r="S1123" s="93" t="s">
        <v>115</v>
      </c>
      <c r="T1123" s="93" t="s">
        <v>116</v>
      </c>
      <c r="U1123" s="94">
        <v>44630.552777777775</v>
      </c>
      <c r="V1123" s="93" t="s">
        <v>120</v>
      </c>
      <c r="W1123" s="93" t="s">
        <v>24</v>
      </c>
    </row>
    <row r="1124" spans="1:23" x14ac:dyDescent="0.15">
      <c r="A1124" s="93" t="s">
        <v>8013</v>
      </c>
      <c r="B1124" s="93" t="s">
        <v>8014</v>
      </c>
      <c r="C1124" s="93">
        <v>90</v>
      </c>
      <c r="D1124" s="93" t="s">
        <v>24</v>
      </c>
      <c r="E1124" s="93" t="s">
        <v>24</v>
      </c>
      <c r="F1124" s="93" t="s">
        <v>4125</v>
      </c>
      <c r="G1124" s="93" t="s">
        <v>8004</v>
      </c>
      <c r="H1124" s="93" t="s">
        <v>118</v>
      </c>
      <c r="I1124" s="93" t="s">
        <v>111</v>
      </c>
      <c r="J1124" s="93" t="s">
        <v>118</v>
      </c>
      <c r="K1124" s="93">
        <v>3</v>
      </c>
      <c r="L1124" s="93" t="s">
        <v>111</v>
      </c>
      <c r="M1124" s="93" t="s">
        <v>111</v>
      </c>
      <c r="N1124" s="93" t="s">
        <v>111</v>
      </c>
      <c r="O1124" s="93" t="s">
        <v>111</v>
      </c>
      <c r="P1124" s="93" t="s">
        <v>111</v>
      </c>
      <c r="Q1124" s="93" t="s">
        <v>228</v>
      </c>
      <c r="R1124" s="93" t="s">
        <v>2</v>
      </c>
      <c r="S1124" s="93" t="s">
        <v>115</v>
      </c>
      <c r="T1124" s="93" t="s">
        <v>116</v>
      </c>
      <c r="U1124" s="94">
        <v>44630.552777777775</v>
      </c>
      <c r="V1124" s="93" t="s">
        <v>120</v>
      </c>
      <c r="W1124" s="93" t="s">
        <v>24</v>
      </c>
    </row>
    <row r="1125" spans="1:23" x14ac:dyDescent="0.15">
      <c r="A1125" s="93" t="s">
        <v>8015</v>
      </c>
      <c r="B1125" s="93" t="s">
        <v>8016</v>
      </c>
      <c r="C1125" s="93">
        <v>50</v>
      </c>
      <c r="D1125" s="93" t="s">
        <v>24</v>
      </c>
      <c r="E1125" s="93" t="s">
        <v>24</v>
      </c>
      <c r="F1125" s="93" t="s">
        <v>4128</v>
      </c>
      <c r="G1125" s="93" t="s">
        <v>8004</v>
      </c>
      <c r="H1125" s="93" t="s">
        <v>118</v>
      </c>
      <c r="I1125" s="93" t="s">
        <v>111</v>
      </c>
      <c r="J1125" s="93" t="s">
        <v>118</v>
      </c>
      <c r="K1125" s="93">
        <v>3</v>
      </c>
      <c r="L1125" s="93" t="s">
        <v>111</v>
      </c>
      <c r="M1125" s="93" t="s">
        <v>111</v>
      </c>
      <c r="N1125" s="93" t="s">
        <v>111</v>
      </c>
      <c r="O1125" s="93" t="s">
        <v>111</v>
      </c>
      <c r="P1125" s="93" t="s">
        <v>111</v>
      </c>
      <c r="Q1125" s="93" t="s">
        <v>228</v>
      </c>
      <c r="R1125" s="93" t="s">
        <v>2</v>
      </c>
      <c r="S1125" s="93" t="s">
        <v>115</v>
      </c>
      <c r="T1125" s="93" t="s">
        <v>116</v>
      </c>
      <c r="U1125" s="94">
        <v>44630.552777777775</v>
      </c>
      <c r="V1125" s="93" t="s">
        <v>120</v>
      </c>
      <c r="W1125" s="93" t="s">
        <v>24</v>
      </c>
    </row>
    <row r="1126" spans="1:23" x14ac:dyDescent="0.15">
      <c r="A1126" s="93" t="s">
        <v>8017</v>
      </c>
      <c r="B1126" s="93" t="s">
        <v>8018</v>
      </c>
      <c r="C1126" s="93">
        <v>100</v>
      </c>
      <c r="D1126" s="93" t="s">
        <v>24</v>
      </c>
      <c r="E1126" s="93" t="s">
        <v>24</v>
      </c>
      <c r="F1126" s="93" t="s">
        <v>4128</v>
      </c>
      <c r="G1126" s="93" t="s">
        <v>8004</v>
      </c>
      <c r="H1126" s="93" t="s">
        <v>118</v>
      </c>
      <c r="I1126" s="93" t="s">
        <v>111</v>
      </c>
      <c r="J1126" s="93" t="s">
        <v>118</v>
      </c>
      <c r="K1126" s="93">
        <v>3</v>
      </c>
      <c r="L1126" s="93" t="s">
        <v>111</v>
      </c>
      <c r="M1126" s="93" t="s">
        <v>111</v>
      </c>
      <c r="N1126" s="93" t="s">
        <v>111</v>
      </c>
      <c r="O1126" s="93" t="s">
        <v>111</v>
      </c>
      <c r="P1126" s="93" t="s">
        <v>111</v>
      </c>
      <c r="Q1126" s="93" t="s">
        <v>228</v>
      </c>
      <c r="R1126" s="93" t="s">
        <v>2</v>
      </c>
      <c r="S1126" s="93" t="s">
        <v>115</v>
      </c>
      <c r="T1126" s="93" t="s">
        <v>116</v>
      </c>
      <c r="U1126" s="94">
        <v>44630.552777777775</v>
      </c>
      <c r="V1126" s="93" t="s">
        <v>120</v>
      </c>
      <c r="W1126" s="93" t="s">
        <v>24</v>
      </c>
    </row>
    <row r="1127" spans="1:23" x14ac:dyDescent="0.15">
      <c r="A1127" s="93" t="s">
        <v>8019</v>
      </c>
      <c r="B1127" s="93" t="s">
        <v>8020</v>
      </c>
      <c r="C1127" s="93">
        <v>150</v>
      </c>
      <c r="D1127" s="93" t="s">
        <v>24</v>
      </c>
      <c r="E1127" s="93" t="s">
        <v>24</v>
      </c>
      <c r="F1127" s="93" t="s">
        <v>4128</v>
      </c>
      <c r="G1127" s="93" t="s">
        <v>8004</v>
      </c>
      <c r="H1127" s="93" t="s">
        <v>118</v>
      </c>
      <c r="I1127" s="93" t="s">
        <v>111</v>
      </c>
      <c r="J1127" s="93" t="s">
        <v>118</v>
      </c>
      <c r="K1127" s="93">
        <v>3</v>
      </c>
      <c r="L1127" s="93" t="s">
        <v>111</v>
      </c>
      <c r="M1127" s="93" t="s">
        <v>111</v>
      </c>
      <c r="N1127" s="93" t="s">
        <v>111</v>
      </c>
      <c r="O1127" s="93" t="s">
        <v>111</v>
      </c>
      <c r="P1127" s="93" t="s">
        <v>111</v>
      </c>
      <c r="Q1127" s="93" t="s">
        <v>228</v>
      </c>
      <c r="R1127" s="93" t="s">
        <v>2</v>
      </c>
      <c r="S1127" s="93" t="s">
        <v>115</v>
      </c>
      <c r="T1127" s="93" t="s">
        <v>116</v>
      </c>
      <c r="U1127" s="94">
        <v>44630.553472222222</v>
      </c>
      <c r="V1127" s="93" t="s">
        <v>120</v>
      </c>
      <c r="W1127" s="93" t="s">
        <v>24</v>
      </c>
    </row>
    <row r="1128" spans="1:23" x14ac:dyDescent="0.15">
      <c r="A1128" s="93" t="s">
        <v>1148</v>
      </c>
      <c r="B1128" s="93" t="s">
        <v>8021</v>
      </c>
      <c r="C1128" s="93">
        <v>8</v>
      </c>
      <c r="D1128" s="93" t="s">
        <v>24</v>
      </c>
      <c r="E1128" s="93" t="s">
        <v>24</v>
      </c>
      <c r="F1128" s="93" t="s">
        <v>4125</v>
      </c>
      <c r="G1128" s="93" t="s">
        <v>8022</v>
      </c>
      <c r="H1128" s="93" t="s">
        <v>118</v>
      </c>
      <c r="I1128" s="93" t="s">
        <v>111</v>
      </c>
      <c r="J1128" s="93" t="s">
        <v>118</v>
      </c>
      <c r="K1128" s="93">
        <v>3</v>
      </c>
      <c r="L1128" s="93" t="s">
        <v>111</v>
      </c>
      <c r="M1128" s="93" t="s">
        <v>111</v>
      </c>
      <c r="N1128" s="93" t="s">
        <v>111</v>
      </c>
      <c r="O1128" s="93" t="s">
        <v>111</v>
      </c>
      <c r="P1128" s="93" t="s">
        <v>111</v>
      </c>
      <c r="Q1128" s="93" t="s">
        <v>228</v>
      </c>
      <c r="R1128" s="93" t="s">
        <v>2</v>
      </c>
      <c r="S1128" s="93" t="s">
        <v>115</v>
      </c>
      <c r="T1128" s="93" t="s">
        <v>116</v>
      </c>
      <c r="U1128" s="94">
        <v>44610.090277777781</v>
      </c>
      <c r="V1128" s="93" t="s">
        <v>120</v>
      </c>
      <c r="W1128" s="93" t="s">
        <v>24</v>
      </c>
    </row>
    <row r="1129" spans="1:23" x14ac:dyDescent="0.15">
      <c r="A1129" s="93" t="s">
        <v>1149</v>
      </c>
      <c r="B1129" s="93" t="s">
        <v>8023</v>
      </c>
      <c r="C1129" s="93">
        <v>16</v>
      </c>
      <c r="D1129" s="93" t="s">
        <v>24</v>
      </c>
      <c r="E1129" s="93" t="s">
        <v>24</v>
      </c>
      <c r="F1129" s="93" t="s">
        <v>4125</v>
      </c>
      <c r="G1129" s="93" t="s">
        <v>8022</v>
      </c>
      <c r="H1129" s="93" t="s">
        <v>118</v>
      </c>
      <c r="I1129" s="93" t="s">
        <v>111</v>
      </c>
      <c r="J1129" s="93" t="s">
        <v>118</v>
      </c>
      <c r="K1129" s="93">
        <v>3</v>
      </c>
      <c r="L1129" s="93" t="s">
        <v>111</v>
      </c>
      <c r="M1129" s="93" t="s">
        <v>111</v>
      </c>
      <c r="N1129" s="93" t="s">
        <v>111</v>
      </c>
      <c r="O1129" s="93" t="s">
        <v>111</v>
      </c>
      <c r="P1129" s="93" t="s">
        <v>111</v>
      </c>
      <c r="Q1129" s="93" t="s">
        <v>228</v>
      </c>
      <c r="R1129" s="93" t="s">
        <v>2</v>
      </c>
      <c r="S1129" s="93" t="s">
        <v>115</v>
      </c>
      <c r="T1129" s="93" t="s">
        <v>116</v>
      </c>
      <c r="U1129" s="94">
        <v>44610.128472222219</v>
      </c>
      <c r="V1129" s="93" t="s">
        <v>120</v>
      </c>
      <c r="W1129" s="93" t="s">
        <v>24</v>
      </c>
    </row>
    <row r="1130" spans="1:23" x14ac:dyDescent="0.15">
      <c r="A1130" s="93" t="s">
        <v>1150</v>
      </c>
      <c r="B1130" s="93" t="s">
        <v>8024</v>
      </c>
      <c r="C1130" s="93">
        <v>24</v>
      </c>
      <c r="D1130" s="93" t="s">
        <v>24</v>
      </c>
      <c r="E1130" s="93" t="s">
        <v>24</v>
      </c>
      <c r="F1130" s="93" t="s">
        <v>4125</v>
      </c>
      <c r="G1130" s="93" t="s">
        <v>8022</v>
      </c>
      <c r="H1130" s="93" t="s">
        <v>118</v>
      </c>
      <c r="I1130" s="93" t="s">
        <v>111</v>
      </c>
      <c r="J1130" s="93" t="s">
        <v>118</v>
      </c>
      <c r="K1130" s="93">
        <v>3</v>
      </c>
      <c r="L1130" s="93" t="s">
        <v>111</v>
      </c>
      <c r="M1130" s="93" t="s">
        <v>111</v>
      </c>
      <c r="N1130" s="93" t="s">
        <v>111</v>
      </c>
      <c r="O1130" s="93" t="s">
        <v>111</v>
      </c>
      <c r="P1130" s="93" t="s">
        <v>111</v>
      </c>
      <c r="Q1130" s="93" t="s">
        <v>228</v>
      </c>
      <c r="R1130" s="93" t="s">
        <v>2</v>
      </c>
      <c r="S1130" s="93" t="s">
        <v>115</v>
      </c>
      <c r="T1130" s="93" t="s">
        <v>116</v>
      </c>
      <c r="U1130" s="94">
        <v>44610.058333333334</v>
      </c>
      <c r="V1130" s="93" t="s">
        <v>120</v>
      </c>
      <c r="W1130" s="93" t="s">
        <v>24</v>
      </c>
    </row>
    <row r="1131" spans="1:23" x14ac:dyDescent="0.15">
      <c r="A1131" s="93" t="s">
        <v>1151</v>
      </c>
      <c r="B1131" s="93" t="s">
        <v>8025</v>
      </c>
      <c r="C1131" s="93">
        <v>30</v>
      </c>
      <c r="D1131" s="93" t="s">
        <v>24</v>
      </c>
      <c r="E1131" s="93" t="s">
        <v>24</v>
      </c>
      <c r="F1131" s="93" t="s">
        <v>4125</v>
      </c>
      <c r="G1131" s="93" t="s">
        <v>8022</v>
      </c>
      <c r="H1131" s="93" t="s">
        <v>118</v>
      </c>
      <c r="I1131" s="93" t="s">
        <v>111</v>
      </c>
      <c r="J1131" s="93" t="s">
        <v>118</v>
      </c>
      <c r="K1131" s="93">
        <v>3</v>
      </c>
      <c r="L1131" s="93" t="s">
        <v>111</v>
      </c>
      <c r="M1131" s="93" t="s">
        <v>111</v>
      </c>
      <c r="N1131" s="93" t="s">
        <v>111</v>
      </c>
      <c r="O1131" s="93" t="s">
        <v>111</v>
      </c>
      <c r="P1131" s="93" t="s">
        <v>111</v>
      </c>
      <c r="Q1131" s="93" t="s">
        <v>228</v>
      </c>
      <c r="R1131" s="93" t="s">
        <v>2</v>
      </c>
      <c r="S1131" s="93" t="s">
        <v>115</v>
      </c>
      <c r="T1131" s="93" t="s">
        <v>116</v>
      </c>
      <c r="U1131" s="94">
        <v>44610.105555555558</v>
      </c>
      <c r="V1131" s="93" t="s">
        <v>120</v>
      </c>
      <c r="W1131" s="93" t="s">
        <v>24</v>
      </c>
    </row>
    <row r="1132" spans="1:23" x14ac:dyDescent="0.15">
      <c r="A1132" s="93" t="s">
        <v>1152</v>
      </c>
      <c r="B1132" s="93" t="s">
        <v>8026</v>
      </c>
      <c r="C1132" s="93">
        <v>60</v>
      </c>
      <c r="D1132" s="93" t="s">
        <v>24</v>
      </c>
      <c r="E1132" s="93" t="s">
        <v>24</v>
      </c>
      <c r="F1132" s="93" t="s">
        <v>4125</v>
      </c>
      <c r="G1132" s="93" t="s">
        <v>8022</v>
      </c>
      <c r="H1132" s="93" t="s">
        <v>118</v>
      </c>
      <c r="I1132" s="93" t="s">
        <v>111</v>
      </c>
      <c r="J1132" s="93" t="s">
        <v>118</v>
      </c>
      <c r="K1132" s="93">
        <v>3</v>
      </c>
      <c r="L1132" s="93" t="s">
        <v>111</v>
      </c>
      <c r="M1132" s="93" t="s">
        <v>111</v>
      </c>
      <c r="N1132" s="93" t="s">
        <v>111</v>
      </c>
      <c r="O1132" s="93" t="s">
        <v>111</v>
      </c>
      <c r="P1132" s="93" t="s">
        <v>111</v>
      </c>
      <c r="Q1132" s="93" t="s">
        <v>228</v>
      </c>
      <c r="R1132" s="93" t="s">
        <v>2</v>
      </c>
      <c r="S1132" s="93" t="s">
        <v>115</v>
      </c>
      <c r="T1132" s="93" t="s">
        <v>116</v>
      </c>
      <c r="U1132" s="94">
        <v>44610.082638888889</v>
      </c>
      <c r="V1132" s="93" t="s">
        <v>120</v>
      </c>
      <c r="W1132" s="93" t="s">
        <v>24</v>
      </c>
    </row>
    <row r="1133" spans="1:23" x14ac:dyDescent="0.15">
      <c r="A1133" s="93" t="s">
        <v>1153</v>
      </c>
      <c r="B1133" s="93" t="s">
        <v>8027</v>
      </c>
      <c r="C1133" s="93">
        <v>90</v>
      </c>
      <c r="D1133" s="93" t="s">
        <v>24</v>
      </c>
      <c r="E1133" s="93" t="s">
        <v>24</v>
      </c>
      <c r="F1133" s="93" t="s">
        <v>4125</v>
      </c>
      <c r="G1133" s="93" t="s">
        <v>8022</v>
      </c>
      <c r="H1133" s="93" t="s">
        <v>118</v>
      </c>
      <c r="I1133" s="93" t="s">
        <v>111</v>
      </c>
      <c r="J1133" s="93" t="s">
        <v>118</v>
      </c>
      <c r="K1133" s="93">
        <v>3</v>
      </c>
      <c r="L1133" s="93" t="s">
        <v>111</v>
      </c>
      <c r="M1133" s="93" t="s">
        <v>111</v>
      </c>
      <c r="N1133" s="93" t="s">
        <v>111</v>
      </c>
      <c r="O1133" s="93" t="s">
        <v>111</v>
      </c>
      <c r="P1133" s="93" t="s">
        <v>111</v>
      </c>
      <c r="Q1133" s="93" t="s">
        <v>228</v>
      </c>
      <c r="R1133" s="93" t="s">
        <v>2</v>
      </c>
      <c r="S1133" s="93" t="s">
        <v>115</v>
      </c>
      <c r="T1133" s="93" t="s">
        <v>116</v>
      </c>
      <c r="U1133" s="94">
        <v>44610.090277777781</v>
      </c>
      <c r="V1133" s="93" t="s">
        <v>120</v>
      </c>
      <c r="W1133" s="93" t="s">
        <v>24</v>
      </c>
    </row>
    <row r="1134" spans="1:23" x14ac:dyDescent="0.15">
      <c r="A1134" s="93" t="s">
        <v>661</v>
      </c>
      <c r="B1134" s="93" t="s">
        <v>8028</v>
      </c>
      <c r="C1134" s="93">
        <v>50</v>
      </c>
      <c r="D1134" s="93" t="s">
        <v>24</v>
      </c>
      <c r="E1134" s="93" t="s">
        <v>9</v>
      </c>
      <c r="F1134" s="93" t="s">
        <v>4128</v>
      </c>
      <c r="G1134" s="93" t="s">
        <v>8004</v>
      </c>
      <c r="H1134" s="93" t="s">
        <v>118</v>
      </c>
      <c r="I1134" s="93" t="s">
        <v>111</v>
      </c>
      <c r="J1134" s="93" t="s">
        <v>118</v>
      </c>
      <c r="K1134" s="93">
        <v>3</v>
      </c>
      <c r="L1134" s="93" t="s">
        <v>111</v>
      </c>
      <c r="M1134" s="93" t="s">
        <v>111</v>
      </c>
      <c r="N1134" s="93" t="s">
        <v>111</v>
      </c>
      <c r="O1134" s="93" t="s">
        <v>111</v>
      </c>
      <c r="P1134" s="93" t="s">
        <v>111</v>
      </c>
      <c r="Q1134" s="93" t="s">
        <v>228</v>
      </c>
      <c r="R1134" s="93" t="s">
        <v>2</v>
      </c>
      <c r="S1134" s="93" t="s">
        <v>115</v>
      </c>
      <c r="T1134" s="93" t="s">
        <v>116</v>
      </c>
      <c r="U1134" s="94">
        <v>44588.269444444442</v>
      </c>
      <c r="V1134" s="93" t="s">
        <v>120</v>
      </c>
      <c r="W1134" s="93" t="s">
        <v>24</v>
      </c>
    </row>
    <row r="1135" spans="1:23" x14ac:dyDescent="0.15">
      <c r="A1135" s="93" t="s">
        <v>8029</v>
      </c>
      <c r="B1135" s="93" t="s">
        <v>8030</v>
      </c>
      <c r="C1135" s="93">
        <v>300</v>
      </c>
      <c r="D1135" s="93" t="s">
        <v>24</v>
      </c>
      <c r="E1135" s="93" t="s">
        <v>9</v>
      </c>
      <c r="F1135" s="93" t="s">
        <v>4128</v>
      </c>
      <c r="G1135" s="93" t="s">
        <v>8004</v>
      </c>
      <c r="H1135" s="93" t="s">
        <v>118</v>
      </c>
      <c r="I1135" s="93" t="s">
        <v>111</v>
      </c>
      <c r="J1135" s="93" t="s">
        <v>118</v>
      </c>
      <c r="K1135" s="93">
        <v>3</v>
      </c>
      <c r="L1135" s="93" t="s">
        <v>111</v>
      </c>
      <c r="M1135" s="93" t="s">
        <v>111</v>
      </c>
      <c r="N1135" s="93" t="s">
        <v>111</v>
      </c>
      <c r="O1135" s="93" t="s">
        <v>111</v>
      </c>
      <c r="P1135" s="93" t="s">
        <v>111</v>
      </c>
      <c r="Q1135" s="93" t="s">
        <v>228</v>
      </c>
      <c r="R1135" s="93" t="s">
        <v>2</v>
      </c>
      <c r="S1135" s="93" t="s">
        <v>115</v>
      </c>
      <c r="T1135" s="93" t="s">
        <v>116</v>
      </c>
      <c r="U1135" s="94">
        <v>44596.567361111112</v>
      </c>
      <c r="V1135" s="93" t="s">
        <v>120</v>
      </c>
      <c r="W1135" s="93" t="s">
        <v>24</v>
      </c>
    </row>
    <row r="1136" spans="1:23" x14ac:dyDescent="0.15">
      <c r="A1136" s="93" t="s">
        <v>662</v>
      </c>
      <c r="B1136" s="93" t="s">
        <v>8031</v>
      </c>
      <c r="C1136" s="93">
        <v>100</v>
      </c>
      <c r="D1136" s="93" t="s">
        <v>24</v>
      </c>
      <c r="E1136" s="93" t="s">
        <v>9</v>
      </c>
      <c r="F1136" s="93" t="s">
        <v>4128</v>
      </c>
      <c r="G1136" s="93" t="s">
        <v>8004</v>
      </c>
      <c r="H1136" s="93" t="s">
        <v>118</v>
      </c>
      <c r="I1136" s="93" t="s">
        <v>111</v>
      </c>
      <c r="J1136" s="93" t="s">
        <v>118</v>
      </c>
      <c r="K1136" s="93">
        <v>3</v>
      </c>
      <c r="L1136" s="93" t="s">
        <v>111</v>
      </c>
      <c r="M1136" s="93" t="s">
        <v>111</v>
      </c>
      <c r="N1136" s="93" t="s">
        <v>111</v>
      </c>
      <c r="O1136" s="93" t="s">
        <v>111</v>
      </c>
      <c r="P1136" s="93" t="s">
        <v>111</v>
      </c>
      <c r="Q1136" s="93" t="s">
        <v>228</v>
      </c>
      <c r="R1136" s="93" t="s">
        <v>2</v>
      </c>
      <c r="S1136" s="93" t="s">
        <v>115</v>
      </c>
      <c r="T1136" s="93" t="s">
        <v>116</v>
      </c>
      <c r="U1136" s="94">
        <v>44602.408333333333</v>
      </c>
      <c r="V1136" s="93" t="s">
        <v>120</v>
      </c>
      <c r="W1136" s="93" t="s">
        <v>24</v>
      </c>
    </row>
    <row r="1137" spans="1:23" x14ac:dyDescent="0.15">
      <c r="A1137" s="93" t="s">
        <v>663</v>
      </c>
      <c r="B1137" s="93" t="s">
        <v>8032</v>
      </c>
      <c r="C1137" s="93">
        <v>150</v>
      </c>
      <c r="D1137" s="93" t="s">
        <v>24</v>
      </c>
      <c r="E1137" s="93" t="s">
        <v>9</v>
      </c>
      <c r="F1137" s="93" t="s">
        <v>4128</v>
      </c>
      <c r="G1137" s="93" t="s">
        <v>8004</v>
      </c>
      <c r="H1137" s="93" t="s">
        <v>118</v>
      </c>
      <c r="I1137" s="93" t="s">
        <v>111</v>
      </c>
      <c r="J1137" s="93" t="s">
        <v>118</v>
      </c>
      <c r="K1137" s="93">
        <v>3</v>
      </c>
      <c r="L1137" s="93" t="s">
        <v>111</v>
      </c>
      <c r="M1137" s="93" t="s">
        <v>111</v>
      </c>
      <c r="N1137" s="93" t="s">
        <v>111</v>
      </c>
      <c r="O1137" s="93" t="s">
        <v>111</v>
      </c>
      <c r="P1137" s="93" t="s">
        <v>111</v>
      </c>
      <c r="Q1137" s="93" t="s">
        <v>228</v>
      </c>
      <c r="R1137" s="93" t="s">
        <v>2</v>
      </c>
      <c r="S1137" s="93" t="s">
        <v>115</v>
      </c>
      <c r="T1137" s="93" t="s">
        <v>116</v>
      </c>
      <c r="U1137" s="94">
        <v>44588.270138888889</v>
      </c>
      <c r="V1137" s="93" t="s">
        <v>120</v>
      </c>
      <c r="W1137" s="93" t="s">
        <v>24</v>
      </c>
    </row>
    <row r="1138" spans="1:23" x14ac:dyDescent="0.15">
      <c r="A1138" s="93" t="s">
        <v>1154</v>
      </c>
      <c r="B1138" s="93" t="s">
        <v>8033</v>
      </c>
      <c r="C1138" s="93">
        <v>15</v>
      </c>
      <c r="D1138" s="93" t="s">
        <v>24</v>
      </c>
      <c r="E1138" s="93" t="s">
        <v>24</v>
      </c>
      <c r="F1138" s="93" t="s">
        <v>4125</v>
      </c>
      <c r="G1138" s="93" t="s">
        <v>8022</v>
      </c>
      <c r="H1138" s="93" t="s">
        <v>118</v>
      </c>
      <c r="I1138" s="93" t="s">
        <v>111</v>
      </c>
      <c r="J1138" s="93" t="s">
        <v>118</v>
      </c>
      <c r="K1138" s="93">
        <v>3</v>
      </c>
      <c r="L1138" s="93" t="s">
        <v>111</v>
      </c>
      <c r="M1138" s="93" t="s">
        <v>111</v>
      </c>
      <c r="N1138" s="93" t="s">
        <v>111</v>
      </c>
      <c r="O1138" s="93" t="s">
        <v>111</v>
      </c>
      <c r="P1138" s="93" t="s">
        <v>111</v>
      </c>
      <c r="Q1138" s="93" t="s">
        <v>228</v>
      </c>
      <c r="R1138" s="93" t="s">
        <v>2</v>
      </c>
      <c r="S1138" s="93" t="s">
        <v>115</v>
      </c>
      <c r="T1138" s="93" t="s">
        <v>116</v>
      </c>
      <c r="U1138" s="94">
        <v>44596.558333333334</v>
      </c>
      <c r="V1138" s="93" t="s">
        <v>402</v>
      </c>
      <c r="W1138" s="93" t="s">
        <v>24</v>
      </c>
    </row>
    <row r="1139" spans="1:23" x14ac:dyDescent="0.15">
      <c r="A1139" s="93" t="s">
        <v>8034</v>
      </c>
      <c r="B1139" s="93" t="s">
        <v>8035</v>
      </c>
      <c r="C1139" s="93">
        <v>90</v>
      </c>
      <c r="D1139" s="93" t="s">
        <v>24</v>
      </c>
      <c r="E1139" s="93" t="s">
        <v>24</v>
      </c>
      <c r="F1139" s="93" t="s">
        <v>4125</v>
      </c>
      <c r="G1139" s="93" t="s">
        <v>8022</v>
      </c>
      <c r="H1139" s="93" t="s">
        <v>118</v>
      </c>
      <c r="I1139" s="93" t="s">
        <v>111</v>
      </c>
      <c r="J1139" s="93" t="s">
        <v>118</v>
      </c>
      <c r="K1139" s="93">
        <v>3</v>
      </c>
      <c r="L1139" s="93" t="s">
        <v>111</v>
      </c>
      <c r="M1139" s="93" t="s">
        <v>111</v>
      </c>
      <c r="N1139" s="93" t="s">
        <v>111</v>
      </c>
      <c r="O1139" s="93" t="s">
        <v>111</v>
      </c>
      <c r="P1139" s="93" t="s">
        <v>111</v>
      </c>
      <c r="Q1139" s="93" t="s">
        <v>228</v>
      </c>
      <c r="R1139" s="93" t="s">
        <v>2</v>
      </c>
      <c r="S1139" s="93" t="s">
        <v>115</v>
      </c>
      <c r="T1139" s="93" t="s">
        <v>116</v>
      </c>
      <c r="U1139" s="94">
        <v>44600.059027777781</v>
      </c>
      <c r="V1139" s="93" t="s">
        <v>402</v>
      </c>
      <c r="W1139" s="93" t="s">
        <v>24</v>
      </c>
    </row>
    <row r="1140" spans="1:23" x14ac:dyDescent="0.15">
      <c r="A1140" s="93" t="s">
        <v>1155</v>
      </c>
      <c r="B1140" s="93" t="s">
        <v>8036</v>
      </c>
      <c r="C1140" s="93">
        <v>30</v>
      </c>
      <c r="D1140" s="93" t="s">
        <v>24</v>
      </c>
      <c r="E1140" s="93" t="s">
        <v>24</v>
      </c>
      <c r="F1140" s="93" t="s">
        <v>4125</v>
      </c>
      <c r="G1140" s="93" t="s">
        <v>8022</v>
      </c>
      <c r="H1140" s="93" t="s">
        <v>118</v>
      </c>
      <c r="I1140" s="93" t="s">
        <v>111</v>
      </c>
      <c r="J1140" s="93" t="s">
        <v>118</v>
      </c>
      <c r="K1140" s="93">
        <v>3</v>
      </c>
      <c r="L1140" s="93" t="s">
        <v>111</v>
      </c>
      <c r="M1140" s="93" t="s">
        <v>111</v>
      </c>
      <c r="N1140" s="93" t="s">
        <v>111</v>
      </c>
      <c r="O1140" s="93" t="s">
        <v>111</v>
      </c>
      <c r="P1140" s="93" t="s">
        <v>111</v>
      </c>
      <c r="Q1140" s="93" t="s">
        <v>228</v>
      </c>
      <c r="R1140" s="93" t="s">
        <v>2</v>
      </c>
      <c r="S1140" s="93" t="s">
        <v>115</v>
      </c>
      <c r="T1140" s="93" t="s">
        <v>116</v>
      </c>
      <c r="U1140" s="94">
        <v>44596.580555555556</v>
      </c>
      <c r="V1140" s="93" t="s">
        <v>402</v>
      </c>
      <c r="W1140" s="93" t="s">
        <v>24</v>
      </c>
    </row>
    <row r="1141" spans="1:23" x14ac:dyDescent="0.15">
      <c r="A1141" s="93" t="s">
        <v>1156</v>
      </c>
      <c r="B1141" s="93" t="s">
        <v>8037</v>
      </c>
      <c r="C1141" s="93">
        <v>45</v>
      </c>
      <c r="D1141" s="93" t="s">
        <v>24</v>
      </c>
      <c r="E1141" s="93" t="s">
        <v>24</v>
      </c>
      <c r="F1141" s="93" t="s">
        <v>4125</v>
      </c>
      <c r="G1141" s="93" t="s">
        <v>8022</v>
      </c>
      <c r="H1141" s="93" t="s">
        <v>118</v>
      </c>
      <c r="I1141" s="93" t="s">
        <v>111</v>
      </c>
      <c r="J1141" s="93" t="s">
        <v>118</v>
      </c>
      <c r="K1141" s="93">
        <v>3</v>
      </c>
      <c r="L1141" s="93" t="s">
        <v>111</v>
      </c>
      <c r="M1141" s="93" t="s">
        <v>111</v>
      </c>
      <c r="N1141" s="93" t="s">
        <v>111</v>
      </c>
      <c r="O1141" s="93" t="s">
        <v>111</v>
      </c>
      <c r="P1141" s="93" t="s">
        <v>111</v>
      </c>
      <c r="Q1141" s="93" t="s">
        <v>228</v>
      </c>
      <c r="R1141" s="93" t="s">
        <v>2</v>
      </c>
      <c r="S1141" s="93" t="s">
        <v>115</v>
      </c>
      <c r="T1141" s="93" t="s">
        <v>116</v>
      </c>
      <c r="U1141" s="94">
        <v>44596.614583333336</v>
      </c>
      <c r="V1141" s="93" t="s">
        <v>402</v>
      </c>
      <c r="W1141" s="93" t="s">
        <v>24</v>
      </c>
    </row>
    <row r="1142" spans="1:23" x14ac:dyDescent="0.15">
      <c r="A1142" s="93" t="s">
        <v>1157</v>
      </c>
      <c r="B1142" s="93" t="s">
        <v>8038</v>
      </c>
      <c r="C1142" s="93">
        <v>35</v>
      </c>
      <c r="D1142" s="93" t="s">
        <v>24</v>
      </c>
      <c r="E1142" s="93" t="s">
        <v>24</v>
      </c>
      <c r="F1142" s="93" t="s">
        <v>4125</v>
      </c>
      <c r="G1142" s="93" t="s">
        <v>8022</v>
      </c>
      <c r="H1142" s="93" t="s">
        <v>118</v>
      </c>
      <c r="I1142" s="93" t="s">
        <v>111</v>
      </c>
      <c r="J1142" s="93" t="s">
        <v>118</v>
      </c>
      <c r="K1142" s="93">
        <v>3</v>
      </c>
      <c r="L1142" s="93" t="s">
        <v>111</v>
      </c>
      <c r="M1142" s="93" t="s">
        <v>111</v>
      </c>
      <c r="N1142" s="93" t="s">
        <v>111</v>
      </c>
      <c r="O1142" s="93" t="s">
        <v>111</v>
      </c>
      <c r="P1142" s="93" t="s">
        <v>111</v>
      </c>
      <c r="Q1142" s="93" t="s">
        <v>228</v>
      </c>
      <c r="R1142" s="93" t="s">
        <v>2</v>
      </c>
      <c r="S1142" s="93" t="s">
        <v>115</v>
      </c>
      <c r="T1142" s="93" t="s">
        <v>116</v>
      </c>
      <c r="U1142" s="94">
        <v>44596.558333333334</v>
      </c>
      <c r="V1142" s="93" t="s">
        <v>402</v>
      </c>
      <c r="W1142" s="93" t="s">
        <v>24</v>
      </c>
    </row>
    <row r="1143" spans="1:23" x14ac:dyDescent="0.15">
      <c r="A1143" s="93" t="s">
        <v>8039</v>
      </c>
      <c r="B1143" s="93" t="s">
        <v>8040</v>
      </c>
      <c r="C1143" s="93">
        <v>210</v>
      </c>
      <c r="D1143" s="93" t="s">
        <v>24</v>
      </c>
      <c r="E1143" s="93" t="s">
        <v>24</v>
      </c>
      <c r="F1143" s="93" t="s">
        <v>4125</v>
      </c>
      <c r="G1143" s="93" t="s">
        <v>8022</v>
      </c>
      <c r="H1143" s="93" t="s">
        <v>118</v>
      </c>
      <c r="I1143" s="93" t="s">
        <v>111</v>
      </c>
      <c r="J1143" s="93" t="s">
        <v>118</v>
      </c>
      <c r="K1143" s="93">
        <v>3</v>
      </c>
      <c r="L1143" s="93" t="s">
        <v>111</v>
      </c>
      <c r="M1143" s="93" t="s">
        <v>111</v>
      </c>
      <c r="N1143" s="93" t="s">
        <v>111</v>
      </c>
      <c r="O1143" s="93" t="s">
        <v>111</v>
      </c>
      <c r="P1143" s="93" t="s">
        <v>111</v>
      </c>
      <c r="Q1143" s="93" t="s">
        <v>228</v>
      </c>
      <c r="R1143" s="93" t="s">
        <v>2</v>
      </c>
      <c r="S1143" s="93" t="s">
        <v>115</v>
      </c>
      <c r="T1143" s="93" t="s">
        <v>116</v>
      </c>
      <c r="U1143" s="94">
        <v>44600.059027777781</v>
      </c>
      <c r="V1143" s="93" t="s">
        <v>402</v>
      </c>
      <c r="W1143" s="93" t="s">
        <v>24</v>
      </c>
    </row>
    <row r="1144" spans="1:23" x14ac:dyDescent="0.15">
      <c r="A1144" s="93" t="s">
        <v>1158</v>
      </c>
      <c r="B1144" s="93" t="s">
        <v>8041</v>
      </c>
      <c r="C1144" s="93">
        <v>70</v>
      </c>
      <c r="D1144" s="93" t="s">
        <v>24</v>
      </c>
      <c r="E1144" s="93" t="s">
        <v>24</v>
      </c>
      <c r="F1144" s="93" t="s">
        <v>4125</v>
      </c>
      <c r="G1144" s="93" t="s">
        <v>8022</v>
      </c>
      <c r="H1144" s="93" t="s">
        <v>118</v>
      </c>
      <c r="I1144" s="93" t="s">
        <v>111</v>
      </c>
      <c r="J1144" s="93" t="s">
        <v>118</v>
      </c>
      <c r="K1144" s="93">
        <v>3</v>
      </c>
      <c r="L1144" s="93" t="s">
        <v>111</v>
      </c>
      <c r="M1144" s="93" t="s">
        <v>111</v>
      </c>
      <c r="N1144" s="93" t="s">
        <v>111</v>
      </c>
      <c r="O1144" s="93" t="s">
        <v>111</v>
      </c>
      <c r="P1144" s="93" t="s">
        <v>111</v>
      </c>
      <c r="Q1144" s="93" t="s">
        <v>228</v>
      </c>
      <c r="R1144" s="93" t="s">
        <v>2</v>
      </c>
      <c r="S1144" s="93" t="s">
        <v>115</v>
      </c>
      <c r="T1144" s="93" t="s">
        <v>116</v>
      </c>
      <c r="U1144" s="94">
        <v>44596.611111111109</v>
      </c>
      <c r="V1144" s="93" t="s">
        <v>402</v>
      </c>
      <c r="W1144" s="93" t="s">
        <v>24</v>
      </c>
    </row>
    <row r="1145" spans="1:23" x14ac:dyDescent="0.15">
      <c r="A1145" s="93" t="s">
        <v>1159</v>
      </c>
      <c r="B1145" s="93" t="s">
        <v>8042</v>
      </c>
      <c r="C1145" s="93">
        <v>105</v>
      </c>
      <c r="D1145" s="93" t="s">
        <v>24</v>
      </c>
      <c r="E1145" s="93" t="s">
        <v>24</v>
      </c>
      <c r="F1145" s="93" t="s">
        <v>4125</v>
      </c>
      <c r="G1145" s="93" t="s">
        <v>8022</v>
      </c>
      <c r="H1145" s="93" t="s">
        <v>118</v>
      </c>
      <c r="I1145" s="93" t="s">
        <v>111</v>
      </c>
      <c r="J1145" s="93" t="s">
        <v>118</v>
      </c>
      <c r="K1145" s="93">
        <v>3</v>
      </c>
      <c r="L1145" s="93" t="s">
        <v>111</v>
      </c>
      <c r="M1145" s="93" t="s">
        <v>111</v>
      </c>
      <c r="N1145" s="93" t="s">
        <v>111</v>
      </c>
      <c r="O1145" s="93" t="s">
        <v>111</v>
      </c>
      <c r="P1145" s="93" t="s">
        <v>111</v>
      </c>
      <c r="Q1145" s="93" t="s">
        <v>228</v>
      </c>
      <c r="R1145" s="93" t="s">
        <v>2</v>
      </c>
      <c r="S1145" s="93" t="s">
        <v>115</v>
      </c>
      <c r="T1145" s="93" t="s">
        <v>116</v>
      </c>
      <c r="U1145" s="94">
        <v>44596.602777777778</v>
      </c>
      <c r="V1145" s="93" t="s">
        <v>402</v>
      </c>
      <c r="W1145" s="93" t="s">
        <v>24</v>
      </c>
    </row>
    <row r="1146" spans="1:23" x14ac:dyDescent="0.15">
      <c r="A1146" s="93" t="s">
        <v>8043</v>
      </c>
      <c r="B1146" s="93" t="s">
        <v>8044</v>
      </c>
      <c r="C1146" s="93">
        <v>20</v>
      </c>
      <c r="D1146" s="93" t="s">
        <v>24</v>
      </c>
      <c r="E1146" s="93" t="s">
        <v>24</v>
      </c>
      <c r="F1146" s="93" t="s">
        <v>4125</v>
      </c>
      <c r="G1146" s="93" t="s">
        <v>8022</v>
      </c>
      <c r="H1146" s="93" t="s">
        <v>118</v>
      </c>
      <c r="I1146" s="93" t="s">
        <v>111</v>
      </c>
      <c r="J1146" s="93" t="s">
        <v>118</v>
      </c>
      <c r="K1146" s="93">
        <v>3</v>
      </c>
      <c r="L1146" s="93" t="s">
        <v>111</v>
      </c>
      <c r="M1146" s="93" t="s">
        <v>111</v>
      </c>
      <c r="N1146" s="93" t="s">
        <v>111</v>
      </c>
      <c r="O1146" s="93" t="s">
        <v>111</v>
      </c>
      <c r="P1146" s="93" t="s">
        <v>111</v>
      </c>
      <c r="Q1146" s="93" t="s">
        <v>228</v>
      </c>
      <c r="R1146" s="93" t="s">
        <v>2</v>
      </c>
      <c r="S1146" s="93" t="s">
        <v>115</v>
      </c>
      <c r="T1146" s="93" t="s">
        <v>116</v>
      </c>
      <c r="U1146" s="94">
        <v>44642.552777777775</v>
      </c>
      <c r="V1146" s="93" t="s">
        <v>402</v>
      </c>
      <c r="W1146" s="93" t="s">
        <v>24</v>
      </c>
    </row>
    <row r="1147" spans="1:23" x14ac:dyDescent="0.15">
      <c r="A1147" s="93" t="s">
        <v>8045</v>
      </c>
      <c r="B1147" s="93" t="s">
        <v>8046</v>
      </c>
      <c r="C1147" s="93">
        <v>120</v>
      </c>
      <c r="D1147" s="93" t="s">
        <v>24</v>
      </c>
      <c r="E1147" s="93" t="s">
        <v>24</v>
      </c>
      <c r="F1147" s="93" t="s">
        <v>4125</v>
      </c>
      <c r="G1147" s="93" t="s">
        <v>8022</v>
      </c>
      <c r="H1147" s="93" t="s">
        <v>118</v>
      </c>
      <c r="I1147" s="93" t="s">
        <v>111</v>
      </c>
      <c r="J1147" s="93" t="s">
        <v>118</v>
      </c>
      <c r="K1147" s="93">
        <v>3</v>
      </c>
      <c r="L1147" s="93" t="s">
        <v>111</v>
      </c>
      <c r="M1147" s="93" t="s">
        <v>111</v>
      </c>
      <c r="N1147" s="93" t="s">
        <v>111</v>
      </c>
      <c r="O1147" s="93" t="s">
        <v>111</v>
      </c>
      <c r="P1147" s="93" t="s">
        <v>111</v>
      </c>
      <c r="Q1147" s="93" t="s">
        <v>228</v>
      </c>
      <c r="R1147" s="93" t="s">
        <v>2</v>
      </c>
      <c r="S1147" s="93" t="s">
        <v>115</v>
      </c>
      <c r="T1147" s="93" t="s">
        <v>116</v>
      </c>
      <c r="U1147" s="94">
        <v>44642.552777777775</v>
      </c>
      <c r="V1147" s="93" t="s">
        <v>402</v>
      </c>
      <c r="W1147" s="93" t="s">
        <v>24</v>
      </c>
    </row>
    <row r="1148" spans="1:23" x14ac:dyDescent="0.15">
      <c r="A1148" s="93" t="s">
        <v>8047</v>
      </c>
      <c r="B1148" s="93" t="s">
        <v>8048</v>
      </c>
      <c r="C1148" s="93">
        <v>60</v>
      </c>
      <c r="D1148" s="93" t="s">
        <v>24</v>
      </c>
      <c r="E1148" s="93" t="s">
        <v>24</v>
      </c>
      <c r="F1148" s="93" t="s">
        <v>4125</v>
      </c>
      <c r="G1148" s="93" t="s">
        <v>8022</v>
      </c>
      <c r="H1148" s="93" t="s">
        <v>118</v>
      </c>
      <c r="I1148" s="93" t="s">
        <v>111</v>
      </c>
      <c r="J1148" s="93" t="s">
        <v>118</v>
      </c>
      <c r="K1148" s="93">
        <v>3</v>
      </c>
      <c r="L1148" s="93" t="s">
        <v>111</v>
      </c>
      <c r="M1148" s="93" t="s">
        <v>111</v>
      </c>
      <c r="N1148" s="93" t="s">
        <v>111</v>
      </c>
      <c r="O1148" s="93" t="s">
        <v>111</v>
      </c>
      <c r="P1148" s="93" t="s">
        <v>111</v>
      </c>
      <c r="Q1148" s="93" t="s">
        <v>228</v>
      </c>
      <c r="R1148" s="93" t="s">
        <v>2</v>
      </c>
      <c r="S1148" s="93" t="s">
        <v>115</v>
      </c>
      <c r="T1148" s="93" t="s">
        <v>116</v>
      </c>
      <c r="U1148" s="94">
        <v>44642.552777777775</v>
      </c>
      <c r="V1148" s="93" t="s">
        <v>402</v>
      </c>
      <c r="W1148" s="93" t="s">
        <v>24</v>
      </c>
    </row>
    <row r="1149" spans="1:23" x14ac:dyDescent="0.15">
      <c r="A1149" s="93" t="s">
        <v>8049</v>
      </c>
      <c r="B1149" s="93" t="s">
        <v>8050</v>
      </c>
      <c r="C1149" s="93">
        <v>267</v>
      </c>
      <c r="D1149" s="93" t="s">
        <v>24</v>
      </c>
      <c r="E1149" s="93" t="s">
        <v>24</v>
      </c>
      <c r="F1149" s="93" t="s">
        <v>4125</v>
      </c>
      <c r="G1149" s="93" t="s">
        <v>8022</v>
      </c>
      <c r="H1149" s="93" t="s">
        <v>118</v>
      </c>
      <c r="I1149" s="93" t="s">
        <v>111</v>
      </c>
      <c r="J1149" s="93" t="s">
        <v>118</v>
      </c>
      <c r="K1149" s="93">
        <v>3</v>
      </c>
      <c r="L1149" s="93" t="s">
        <v>111</v>
      </c>
      <c r="M1149" s="93" t="s">
        <v>111</v>
      </c>
      <c r="N1149" s="93" t="s">
        <v>111</v>
      </c>
      <c r="O1149" s="93" t="s">
        <v>111</v>
      </c>
      <c r="P1149" s="93" t="s">
        <v>111</v>
      </c>
      <c r="Q1149" s="93" t="s">
        <v>228</v>
      </c>
      <c r="R1149" s="93" t="s">
        <v>2</v>
      </c>
      <c r="S1149" s="93" t="s">
        <v>115</v>
      </c>
      <c r="T1149" s="93" t="s">
        <v>116</v>
      </c>
      <c r="U1149" s="94">
        <v>44596.580555555556</v>
      </c>
      <c r="V1149" s="93" t="s">
        <v>402</v>
      </c>
      <c r="W1149" s="93" t="s">
        <v>24</v>
      </c>
    </row>
    <row r="1150" spans="1:23" x14ac:dyDescent="0.15">
      <c r="A1150" s="93" t="s">
        <v>8051</v>
      </c>
      <c r="B1150" s="93" t="s">
        <v>8052</v>
      </c>
      <c r="C1150" s="93">
        <v>1600</v>
      </c>
      <c r="D1150" s="93" t="s">
        <v>24</v>
      </c>
      <c r="E1150" s="93" t="s">
        <v>24</v>
      </c>
      <c r="F1150" s="93" t="s">
        <v>4125</v>
      </c>
      <c r="G1150" s="93" t="s">
        <v>8004</v>
      </c>
      <c r="H1150" s="93" t="s">
        <v>118</v>
      </c>
      <c r="I1150" s="93" t="s">
        <v>111</v>
      </c>
      <c r="J1150" s="93" t="s">
        <v>118</v>
      </c>
      <c r="K1150" s="93">
        <v>3</v>
      </c>
      <c r="L1150" s="93" t="s">
        <v>111</v>
      </c>
      <c r="M1150" s="93" t="s">
        <v>111</v>
      </c>
      <c r="N1150" s="93" t="s">
        <v>111</v>
      </c>
      <c r="O1150" s="93" t="s">
        <v>111</v>
      </c>
      <c r="P1150" s="93" t="s">
        <v>111</v>
      </c>
      <c r="Q1150" s="93" t="s">
        <v>228</v>
      </c>
      <c r="R1150" s="93" t="s">
        <v>2</v>
      </c>
      <c r="S1150" s="93" t="s">
        <v>115</v>
      </c>
      <c r="T1150" s="93" t="s">
        <v>116</v>
      </c>
      <c r="U1150" s="94">
        <v>44597.554166666669</v>
      </c>
      <c r="V1150" s="93" t="s">
        <v>402</v>
      </c>
      <c r="W1150" s="93" t="s">
        <v>24</v>
      </c>
    </row>
    <row r="1151" spans="1:23" x14ac:dyDescent="0.15">
      <c r="A1151" s="93" t="s">
        <v>8053</v>
      </c>
      <c r="B1151" s="93" t="s">
        <v>8054</v>
      </c>
      <c r="C1151" s="93">
        <v>533</v>
      </c>
      <c r="D1151" s="93" t="s">
        <v>24</v>
      </c>
      <c r="E1151" s="93" t="s">
        <v>24</v>
      </c>
      <c r="F1151" s="93" t="s">
        <v>4125</v>
      </c>
      <c r="G1151" s="93" t="s">
        <v>8022</v>
      </c>
      <c r="H1151" s="93" t="s">
        <v>118</v>
      </c>
      <c r="I1151" s="93" t="s">
        <v>111</v>
      </c>
      <c r="J1151" s="93" t="s">
        <v>118</v>
      </c>
      <c r="K1151" s="93">
        <v>3</v>
      </c>
      <c r="L1151" s="93" t="s">
        <v>111</v>
      </c>
      <c r="M1151" s="93" t="s">
        <v>111</v>
      </c>
      <c r="N1151" s="93" t="s">
        <v>111</v>
      </c>
      <c r="O1151" s="93" t="s">
        <v>111</v>
      </c>
      <c r="P1151" s="93" t="s">
        <v>111</v>
      </c>
      <c r="Q1151" s="93" t="s">
        <v>228</v>
      </c>
      <c r="R1151" s="93" t="s">
        <v>2</v>
      </c>
      <c r="S1151" s="93" t="s">
        <v>115</v>
      </c>
      <c r="T1151" s="93" t="s">
        <v>116</v>
      </c>
      <c r="U1151" s="94">
        <v>44596.603472222225</v>
      </c>
      <c r="V1151" s="93" t="s">
        <v>402</v>
      </c>
      <c r="W1151" s="93" t="s">
        <v>24</v>
      </c>
    </row>
    <row r="1152" spans="1:23" x14ac:dyDescent="0.15">
      <c r="A1152" s="93" t="s">
        <v>8055</v>
      </c>
      <c r="B1152" s="93" t="s">
        <v>8056</v>
      </c>
      <c r="C1152" s="93">
        <v>800</v>
      </c>
      <c r="D1152" s="93" t="s">
        <v>24</v>
      </c>
      <c r="E1152" s="93" t="s">
        <v>24</v>
      </c>
      <c r="F1152" s="93" t="s">
        <v>4125</v>
      </c>
      <c r="G1152" s="93" t="s">
        <v>8022</v>
      </c>
      <c r="H1152" s="93" t="s">
        <v>118</v>
      </c>
      <c r="I1152" s="93" t="s">
        <v>111</v>
      </c>
      <c r="J1152" s="93" t="s">
        <v>118</v>
      </c>
      <c r="K1152" s="93">
        <v>3</v>
      </c>
      <c r="L1152" s="93" t="s">
        <v>111</v>
      </c>
      <c r="M1152" s="93" t="s">
        <v>111</v>
      </c>
      <c r="N1152" s="93" t="s">
        <v>111</v>
      </c>
      <c r="O1152" s="93" t="s">
        <v>111</v>
      </c>
      <c r="P1152" s="93" t="s">
        <v>111</v>
      </c>
      <c r="Q1152" s="93" t="s">
        <v>228</v>
      </c>
      <c r="R1152" s="93" t="s">
        <v>2</v>
      </c>
      <c r="S1152" s="93" t="s">
        <v>115</v>
      </c>
      <c r="T1152" s="93" t="s">
        <v>116</v>
      </c>
      <c r="U1152" s="94">
        <v>44600.059027777781</v>
      </c>
      <c r="V1152" s="93" t="s">
        <v>402</v>
      </c>
      <c r="W1152" s="93" t="s">
        <v>24</v>
      </c>
    </row>
    <row r="1153" spans="1:23" x14ac:dyDescent="0.15">
      <c r="A1153" s="93" t="s">
        <v>8057</v>
      </c>
      <c r="B1153" s="93" t="s">
        <v>8058</v>
      </c>
      <c r="C1153" s="93">
        <v>25.45</v>
      </c>
      <c r="D1153" s="93" t="s">
        <v>24</v>
      </c>
      <c r="E1153" s="93" t="s">
        <v>24</v>
      </c>
      <c r="F1153" s="93" t="s">
        <v>7070</v>
      </c>
      <c r="G1153" s="93" t="s">
        <v>8059</v>
      </c>
      <c r="H1153" s="93" t="s">
        <v>11</v>
      </c>
      <c r="I1153" s="93" t="s">
        <v>111</v>
      </c>
      <c r="J1153" s="93" t="s">
        <v>33</v>
      </c>
      <c r="K1153" s="93">
        <v>90</v>
      </c>
      <c r="L1153" s="93">
        <v>3.0880000000000001</v>
      </c>
      <c r="M1153" s="93" t="s">
        <v>113</v>
      </c>
      <c r="N1153" s="93">
        <v>2</v>
      </c>
      <c r="O1153" s="93">
        <v>6</v>
      </c>
      <c r="P1153" s="93">
        <v>5.6</v>
      </c>
      <c r="Q1153" s="93" t="s">
        <v>385</v>
      </c>
      <c r="R1153" s="93" t="s">
        <v>20</v>
      </c>
      <c r="S1153" s="93" t="s">
        <v>115</v>
      </c>
      <c r="T1153" s="93" t="s">
        <v>116</v>
      </c>
      <c r="U1153" s="94">
        <v>44642.586805555555</v>
      </c>
      <c r="V1153" s="93" t="s">
        <v>8060</v>
      </c>
      <c r="W1153" s="93" t="s">
        <v>9</v>
      </c>
    </row>
    <row r="1154" spans="1:23" x14ac:dyDescent="0.15">
      <c r="A1154" s="93" t="s">
        <v>8061</v>
      </c>
      <c r="B1154" s="93" t="s">
        <v>8062</v>
      </c>
      <c r="C1154" s="93">
        <v>394.2</v>
      </c>
      <c r="D1154" s="93" t="s">
        <v>9</v>
      </c>
      <c r="E1154" s="93" t="s">
        <v>24</v>
      </c>
      <c r="F1154" s="93" t="s">
        <v>33</v>
      </c>
      <c r="G1154" s="93" t="s">
        <v>8063</v>
      </c>
      <c r="H1154" s="93" t="s">
        <v>8064</v>
      </c>
      <c r="I1154" s="93" t="s">
        <v>111</v>
      </c>
      <c r="J1154" s="93" t="s">
        <v>33</v>
      </c>
      <c r="K1154" s="93">
        <v>90</v>
      </c>
      <c r="L1154" s="93">
        <v>2.4500000000000002</v>
      </c>
      <c r="M1154" s="93" t="s">
        <v>113</v>
      </c>
      <c r="N1154" s="93">
        <v>9.3000000000000007</v>
      </c>
      <c r="O1154" s="93">
        <v>26.7</v>
      </c>
      <c r="P1154" s="93">
        <v>37.700000000000003</v>
      </c>
      <c r="Q1154" s="93" t="s">
        <v>7166</v>
      </c>
      <c r="R1154" s="93" t="s">
        <v>16</v>
      </c>
      <c r="S1154" s="93" t="s">
        <v>383</v>
      </c>
      <c r="T1154" s="93" t="s">
        <v>116</v>
      </c>
      <c r="U1154" s="94">
        <v>44642.489583333336</v>
      </c>
      <c r="V1154" s="93" t="s">
        <v>33</v>
      </c>
      <c r="W1154" s="93" t="s">
        <v>9</v>
      </c>
    </row>
    <row r="1155" spans="1:23" x14ac:dyDescent="0.15">
      <c r="A1155" s="93" t="s">
        <v>8065</v>
      </c>
      <c r="B1155" s="93" t="s">
        <v>8066</v>
      </c>
      <c r="C1155" s="93">
        <v>394.2</v>
      </c>
      <c r="D1155" s="93" t="s">
        <v>9</v>
      </c>
      <c r="E1155" s="93" t="s">
        <v>24</v>
      </c>
      <c r="F1155" s="93" t="s">
        <v>33</v>
      </c>
      <c r="G1155" s="93" t="s">
        <v>8063</v>
      </c>
      <c r="H1155" s="93" t="s">
        <v>8064</v>
      </c>
      <c r="I1155" s="93" t="s">
        <v>111</v>
      </c>
      <c r="J1155" s="93" t="s">
        <v>33</v>
      </c>
      <c r="K1155" s="93">
        <v>90</v>
      </c>
      <c r="L1155" s="93">
        <v>2.4500000000000002</v>
      </c>
      <c r="M1155" s="93" t="s">
        <v>113</v>
      </c>
      <c r="N1155" s="93">
        <v>9.3000000000000007</v>
      </c>
      <c r="O1155" s="93">
        <v>26.7</v>
      </c>
      <c r="P1155" s="93">
        <v>37.700000000000003</v>
      </c>
      <c r="Q1155" s="93" t="s">
        <v>7166</v>
      </c>
      <c r="R1155" s="93" t="s">
        <v>16</v>
      </c>
      <c r="S1155" s="93" t="s">
        <v>383</v>
      </c>
      <c r="T1155" s="93" t="s">
        <v>116</v>
      </c>
      <c r="U1155" s="94">
        <v>44642.46597222222</v>
      </c>
      <c r="V1155" s="93" t="s">
        <v>33</v>
      </c>
      <c r="W1155" s="93" t="s">
        <v>9</v>
      </c>
    </row>
    <row r="1156" spans="1:23" x14ac:dyDescent="0.15">
      <c r="A1156" s="93" t="s">
        <v>8067</v>
      </c>
      <c r="B1156" s="93" t="s">
        <v>8068</v>
      </c>
      <c r="C1156" s="93">
        <v>394.2</v>
      </c>
      <c r="D1156" s="93" t="s">
        <v>9</v>
      </c>
      <c r="E1156" s="93" t="s">
        <v>9</v>
      </c>
      <c r="F1156" s="93" t="s">
        <v>8069</v>
      </c>
      <c r="G1156" s="93" t="s">
        <v>8063</v>
      </c>
      <c r="H1156" s="93" t="s">
        <v>8064</v>
      </c>
      <c r="I1156" s="93" t="s">
        <v>111</v>
      </c>
      <c r="J1156" s="93" t="s">
        <v>33</v>
      </c>
      <c r="K1156" s="93">
        <v>90</v>
      </c>
      <c r="L1156" s="93">
        <v>2.4500000000000002</v>
      </c>
      <c r="M1156" s="93" t="s">
        <v>113</v>
      </c>
      <c r="N1156" s="93">
        <v>9.3000000000000007</v>
      </c>
      <c r="O1156" s="93">
        <v>37.700000000000003</v>
      </c>
      <c r="P1156" s="93">
        <v>26.7</v>
      </c>
      <c r="Q1156" s="93" t="s">
        <v>7166</v>
      </c>
      <c r="R1156" s="93" t="s">
        <v>20</v>
      </c>
      <c r="S1156" s="93" t="s">
        <v>383</v>
      </c>
      <c r="T1156" s="93" t="s">
        <v>116</v>
      </c>
      <c r="U1156" s="94">
        <v>44642.511805555558</v>
      </c>
      <c r="V1156" s="93" t="s">
        <v>33</v>
      </c>
      <c r="W1156" s="93" t="s">
        <v>9</v>
      </c>
    </row>
    <row r="1157" spans="1:23" x14ac:dyDescent="0.15">
      <c r="A1157" s="93" t="s">
        <v>8070</v>
      </c>
      <c r="B1157" s="93" t="s">
        <v>8071</v>
      </c>
      <c r="C1157" s="93">
        <v>280.8</v>
      </c>
      <c r="D1157" s="93" t="s">
        <v>9</v>
      </c>
      <c r="E1157" s="93" t="s">
        <v>24</v>
      </c>
      <c r="F1157" s="93" t="s">
        <v>33</v>
      </c>
      <c r="G1157" s="93" t="s">
        <v>8072</v>
      </c>
      <c r="H1157" s="93" t="s">
        <v>8064</v>
      </c>
      <c r="I1157" s="93" t="s">
        <v>111</v>
      </c>
      <c r="J1157" s="93" t="s">
        <v>33</v>
      </c>
      <c r="K1157" s="93">
        <v>90</v>
      </c>
      <c r="L1157" s="93">
        <v>2.1</v>
      </c>
      <c r="M1157" s="93" t="s">
        <v>113</v>
      </c>
      <c r="N1157" s="93">
        <v>9.3000000000000007</v>
      </c>
      <c r="O1157" s="93">
        <v>26.7</v>
      </c>
      <c r="P1157" s="93">
        <v>37.700000000000003</v>
      </c>
      <c r="Q1157" s="93" t="s">
        <v>7166</v>
      </c>
      <c r="R1157" s="93" t="s">
        <v>16</v>
      </c>
      <c r="S1157" s="93" t="s">
        <v>383</v>
      </c>
      <c r="T1157" s="93" t="s">
        <v>116</v>
      </c>
      <c r="U1157" s="94">
        <v>44642.556250000001</v>
      </c>
      <c r="V1157" s="93" t="s">
        <v>33</v>
      </c>
      <c r="W1157" s="93" t="s">
        <v>9</v>
      </c>
    </row>
    <row r="1158" spans="1:23" x14ac:dyDescent="0.15">
      <c r="A1158" s="93" t="s">
        <v>8073</v>
      </c>
      <c r="B1158" s="93" t="s">
        <v>8074</v>
      </c>
      <c r="C1158" s="93">
        <v>280.8</v>
      </c>
      <c r="D1158" s="93" t="s">
        <v>9</v>
      </c>
      <c r="E1158" s="93" t="s">
        <v>24</v>
      </c>
      <c r="F1158" s="93" t="s">
        <v>33</v>
      </c>
      <c r="G1158" s="93" t="s">
        <v>8072</v>
      </c>
      <c r="H1158" s="93" t="s">
        <v>8064</v>
      </c>
      <c r="I1158" s="93" t="s">
        <v>111</v>
      </c>
      <c r="J1158" s="93" t="s">
        <v>33</v>
      </c>
      <c r="K1158" s="93">
        <v>90</v>
      </c>
      <c r="L1158" s="93">
        <v>2.1</v>
      </c>
      <c r="M1158" s="93" t="s">
        <v>113</v>
      </c>
      <c r="N1158" s="93">
        <v>9.3000000000000007</v>
      </c>
      <c r="O1158" s="93">
        <v>26.7</v>
      </c>
      <c r="P1158" s="93">
        <v>37.700000000000003</v>
      </c>
      <c r="Q1158" s="93" t="s">
        <v>7166</v>
      </c>
      <c r="R1158" s="93" t="s">
        <v>16</v>
      </c>
      <c r="S1158" s="93" t="s">
        <v>383</v>
      </c>
      <c r="T1158" s="93" t="s">
        <v>116</v>
      </c>
      <c r="U1158" s="94">
        <v>44642.46597222222</v>
      </c>
      <c r="V1158" s="93" t="s">
        <v>33</v>
      </c>
      <c r="W1158" s="93" t="s">
        <v>9</v>
      </c>
    </row>
    <row r="1159" spans="1:23" x14ac:dyDescent="0.15">
      <c r="A1159" s="93" t="s">
        <v>8075</v>
      </c>
      <c r="B1159" s="93" t="s">
        <v>8076</v>
      </c>
      <c r="C1159" s="93">
        <v>280.8</v>
      </c>
      <c r="D1159" s="93" t="s">
        <v>9</v>
      </c>
      <c r="E1159" s="93" t="s">
        <v>9</v>
      </c>
      <c r="F1159" s="93" t="s">
        <v>8069</v>
      </c>
      <c r="G1159" s="93" t="s">
        <v>8072</v>
      </c>
      <c r="H1159" s="93" t="s">
        <v>8064</v>
      </c>
      <c r="I1159" s="93" t="s">
        <v>111</v>
      </c>
      <c r="J1159" s="93" t="s">
        <v>33</v>
      </c>
      <c r="K1159" s="93">
        <v>90</v>
      </c>
      <c r="L1159" s="93">
        <v>2.1</v>
      </c>
      <c r="M1159" s="93" t="s">
        <v>113</v>
      </c>
      <c r="N1159" s="93">
        <v>9.3000000000000007</v>
      </c>
      <c r="O1159" s="93">
        <v>26.7</v>
      </c>
      <c r="P1159" s="93">
        <v>37.700000000000003</v>
      </c>
      <c r="Q1159" s="93" t="s">
        <v>8077</v>
      </c>
      <c r="R1159" s="93" t="s">
        <v>20</v>
      </c>
      <c r="S1159" s="93" t="s">
        <v>383</v>
      </c>
      <c r="T1159" s="93" t="s">
        <v>116</v>
      </c>
      <c r="U1159" s="94">
        <v>44642.555555555555</v>
      </c>
      <c r="V1159" s="93" t="s">
        <v>33</v>
      </c>
      <c r="W1159" s="93" t="s">
        <v>9</v>
      </c>
    </row>
    <row r="1160" spans="1:23" x14ac:dyDescent="0.15">
      <c r="A1160" s="93" t="s">
        <v>8078</v>
      </c>
      <c r="B1160" s="93" t="s">
        <v>8079</v>
      </c>
      <c r="C1160" s="93">
        <v>745.2</v>
      </c>
      <c r="D1160" s="93" t="s">
        <v>9</v>
      </c>
      <c r="E1160" s="93" t="s">
        <v>24</v>
      </c>
      <c r="F1160" s="93" t="s">
        <v>33</v>
      </c>
      <c r="G1160" s="93" t="s">
        <v>8080</v>
      </c>
      <c r="H1160" s="93" t="s">
        <v>8064</v>
      </c>
      <c r="I1160" s="93" t="s">
        <v>111</v>
      </c>
      <c r="J1160" s="93" t="s">
        <v>33</v>
      </c>
      <c r="K1160" s="93">
        <v>90</v>
      </c>
      <c r="L1160" s="93">
        <v>4.55</v>
      </c>
      <c r="M1160" s="93" t="s">
        <v>113</v>
      </c>
      <c r="N1160" s="93">
        <v>48.4</v>
      </c>
      <c r="O1160" s="93">
        <v>9.3000000000000007</v>
      </c>
      <c r="P1160" s="93">
        <v>34.299999999999997</v>
      </c>
      <c r="Q1160" s="93" t="s">
        <v>7166</v>
      </c>
      <c r="R1160" s="93" t="s">
        <v>16</v>
      </c>
      <c r="S1160" s="93" t="s">
        <v>383</v>
      </c>
      <c r="T1160" s="93" t="s">
        <v>116</v>
      </c>
      <c r="U1160" s="94">
        <v>44642.423611111109</v>
      </c>
      <c r="V1160" s="93" t="s">
        <v>33</v>
      </c>
      <c r="W1160" s="93" t="s">
        <v>9</v>
      </c>
    </row>
    <row r="1161" spans="1:23" x14ac:dyDescent="0.15">
      <c r="A1161" s="93" t="s">
        <v>8081</v>
      </c>
      <c r="B1161" s="93" t="s">
        <v>8082</v>
      </c>
      <c r="C1161" s="93">
        <v>745.2</v>
      </c>
      <c r="D1161" s="93" t="s">
        <v>9</v>
      </c>
      <c r="E1161" s="93" t="s">
        <v>24</v>
      </c>
      <c r="F1161" s="93" t="s">
        <v>33</v>
      </c>
      <c r="G1161" s="93" t="s">
        <v>8080</v>
      </c>
      <c r="H1161" s="93" t="s">
        <v>8064</v>
      </c>
      <c r="I1161" s="93" t="s">
        <v>111</v>
      </c>
      <c r="J1161" s="93" t="s">
        <v>33</v>
      </c>
      <c r="K1161" s="93">
        <v>90</v>
      </c>
      <c r="L1161" s="93">
        <v>4.55</v>
      </c>
      <c r="M1161" s="93" t="s">
        <v>113</v>
      </c>
      <c r="N1161" s="93">
        <v>48.4</v>
      </c>
      <c r="O1161" s="93">
        <v>9.3000000000000007</v>
      </c>
      <c r="P1161" s="93">
        <v>34.299999999999997</v>
      </c>
      <c r="Q1161" s="93" t="s">
        <v>7166</v>
      </c>
      <c r="R1161" s="93" t="s">
        <v>16</v>
      </c>
      <c r="S1161" s="93" t="s">
        <v>383</v>
      </c>
      <c r="T1161" s="93" t="s">
        <v>116</v>
      </c>
      <c r="U1161" s="94">
        <v>44642.511111111111</v>
      </c>
      <c r="V1161" s="93" t="s">
        <v>33</v>
      </c>
      <c r="W1161" s="93" t="s">
        <v>9</v>
      </c>
    </row>
    <row r="1162" spans="1:23" x14ac:dyDescent="0.15">
      <c r="A1162" s="93" t="s">
        <v>8083</v>
      </c>
      <c r="B1162" s="93" t="s">
        <v>8084</v>
      </c>
      <c r="C1162" s="93">
        <v>745.2</v>
      </c>
      <c r="D1162" s="93" t="s">
        <v>9</v>
      </c>
      <c r="E1162" s="93" t="s">
        <v>9</v>
      </c>
      <c r="F1162" s="93" t="s">
        <v>8069</v>
      </c>
      <c r="G1162" s="93" t="s">
        <v>8080</v>
      </c>
      <c r="H1162" s="93" t="s">
        <v>8064</v>
      </c>
      <c r="I1162" s="93" t="s">
        <v>111</v>
      </c>
      <c r="J1162" s="93" t="s">
        <v>33</v>
      </c>
      <c r="K1162" s="93">
        <v>90</v>
      </c>
      <c r="L1162" s="93">
        <v>4.55</v>
      </c>
      <c r="M1162" s="93" t="s">
        <v>113</v>
      </c>
      <c r="N1162" s="93">
        <v>48.4</v>
      </c>
      <c r="O1162" s="93">
        <v>9.3000000000000007</v>
      </c>
      <c r="P1162" s="93">
        <v>343</v>
      </c>
      <c r="Q1162" s="93" t="s">
        <v>7166</v>
      </c>
      <c r="R1162" s="93" t="s">
        <v>20</v>
      </c>
      <c r="S1162" s="93" t="s">
        <v>383</v>
      </c>
      <c r="T1162" s="93" t="s">
        <v>116</v>
      </c>
      <c r="U1162" s="94">
        <v>44642.588194444441</v>
      </c>
      <c r="V1162" s="93" t="s">
        <v>33</v>
      </c>
      <c r="W1162" s="93" t="s">
        <v>9</v>
      </c>
    </row>
    <row r="1163" spans="1:23" x14ac:dyDescent="0.15">
      <c r="A1163" s="93" t="s">
        <v>8085</v>
      </c>
      <c r="B1163" s="93" t="s">
        <v>8086</v>
      </c>
      <c r="C1163" s="93">
        <v>513</v>
      </c>
      <c r="D1163" s="93" t="s">
        <v>9</v>
      </c>
      <c r="E1163" s="93" t="s">
        <v>24</v>
      </c>
      <c r="F1163" s="93" t="s">
        <v>33</v>
      </c>
      <c r="G1163" s="93" t="s">
        <v>8087</v>
      </c>
      <c r="H1163" s="93" t="s">
        <v>8064</v>
      </c>
      <c r="I1163" s="93" t="s">
        <v>111</v>
      </c>
      <c r="J1163" s="93" t="s">
        <v>33</v>
      </c>
      <c r="K1163" s="93">
        <v>90</v>
      </c>
      <c r="L1163" s="93">
        <v>3.3</v>
      </c>
      <c r="M1163" s="93" t="s">
        <v>113</v>
      </c>
      <c r="N1163" s="93">
        <v>48.4</v>
      </c>
      <c r="O1163" s="93">
        <v>9.3000000000000007</v>
      </c>
      <c r="P1163" s="93">
        <v>30.3</v>
      </c>
      <c r="Q1163" s="93" t="s">
        <v>7166</v>
      </c>
      <c r="R1163" s="93" t="s">
        <v>16</v>
      </c>
      <c r="S1163" s="93" t="s">
        <v>383</v>
      </c>
      <c r="T1163" s="93" t="s">
        <v>116</v>
      </c>
      <c r="U1163" s="94">
        <v>44642.445833333331</v>
      </c>
      <c r="V1163" s="93" t="s">
        <v>33</v>
      </c>
      <c r="W1163" s="93" t="s">
        <v>9</v>
      </c>
    </row>
    <row r="1164" spans="1:23" x14ac:dyDescent="0.15">
      <c r="A1164" s="93" t="s">
        <v>8088</v>
      </c>
      <c r="B1164" s="93" t="s">
        <v>8089</v>
      </c>
      <c r="C1164" s="93">
        <v>513</v>
      </c>
      <c r="D1164" s="93" t="s">
        <v>9</v>
      </c>
      <c r="E1164" s="93" t="s">
        <v>24</v>
      </c>
      <c r="F1164" s="93" t="s">
        <v>33</v>
      </c>
      <c r="G1164" s="93" t="s">
        <v>8087</v>
      </c>
      <c r="H1164" s="93" t="s">
        <v>8064</v>
      </c>
      <c r="I1164" s="93" t="s">
        <v>111</v>
      </c>
      <c r="J1164" s="93" t="s">
        <v>33</v>
      </c>
      <c r="K1164" s="93">
        <v>90</v>
      </c>
      <c r="L1164" s="93">
        <v>3.3</v>
      </c>
      <c r="M1164" s="93" t="s">
        <v>113</v>
      </c>
      <c r="N1164" s="93">
        <v>48.4</v>
      </c>
      <c r="O1164" s="93">
        <v>9.3000000000000007</v>
      </c>
      <c r="P1164" s="93">
        <v>30.3</v>
      </c>
      <c r="Q1164" s="93" t="s">
        <v>7166</v>
      </c>
      <c r="R1164" s="93" t="s">
        <v>16</v>
      </c>
      <c r="S1164" s="93" t="s">
        <v>383</v>
      </c>
      <c r="T1164" s="93" t="s">
        <v>116</v>
      </c>
      <c r="U1164" s="94">
        <v>44642.587500000001</v>
      </c>
      <c r="V1164" s="93" t="s">
        <v>33</v>
      </c>
      <c r="W1164" s="93" t="s">
        <v>9</v>
      </c>
    </row>
    <row r="1165" spans="1:23" x14ac:dyDescent="0.15">
      <c r="A1165" s="93" t="s">
        <v>8090</v>
      </c>
      <c r="B1165" s="93" t="s">
        <v>8091</v>
      </c>
      <c r="C1165" s="93">
        <v>513</v>
      </c>
      <c r="D1165" s="93" t="s">
        <v>9</v>
      </c>
      <c r="E1165" s="93" t="s">
        <v>9</v>
      </c>
      <c r="F1165" s="93" t="s">
        <v>8069</v>
      </c>
      <c r="G1165" s="93" t="s">
        <v>8087</v>
      </c>
      <c r="H1165" s="93" t="s">
        <v>8064</v>
      </c>
      <c r="I1165" s="93" t="s">
        <v>111</v>
      </c>
      <c r="J1165" s="93" t="s">
        <v>33</v>
      </c>
      <c r="K1165" s="93">
        <v>90</v>
      </c>
      <c r="L1165" s="93">
        <v>3.3</v>
      </c>
      <c r="M1165" s="93" t="s">
        <v>113</v>
      </c>
      <c r="N1165" s="93">
        <v>48.4</v>
      </c>
      <c r="O1165" s="93">
        <v>9.3000000000000007</v>
      </c>
      <c r="P1165" s="93">
        <v>30.3</v>
      </c>
      <c r="Q1165" s="93" t="s">
        <v>7166</v>
      </c>
      <c r="R1165" s="93" t="s">
        <v>20</v>
      </c>
      <c r="S1165" s="93" t="s">
        <v>383</v>
      </c>
      <c r="T1165" s="93" t="s">
        <v>116</v>
      </c>
      <c r="U1165" s="94">
        <v>44642.588194444441</v>
      </c>
      <c r="V1165" s="93" t="s">
        <v>33</v>
      </c>
      <c r="W1165" s="93" t="s">
        <v>9</v>
      </c>
    </row>
    <row r="1166" spans="1:23" x14ac:dyDescent="0.15">
      <c r="A1166" s="93" t="s">
        <v>8092</v>
      </c>
      <c r="B1166" s="93" t="s">
        <v>8093</v>
      </c>
      <c r="C1166" s="93">
        <v>750.6</v>
      </c>
      <c r="D1166" s="93" t="s">
        <v>9</v>
      </c>
      <c r="E1166" s="93" t="s">
        <v>9</v>
      </c>
      <c r="F1166" s="93" t="s">
        <v>33</v>
      </c>
      <c r="G1166" s="93" t="s">
        <v>8094</v>
      </c>
      <c r="H1166" s="93" t="s">
        <v>8064</v>
      </c>
      <c r="I1166" s="93" t="s">
        <v>111</v>
      </c>
      <c r="J1166" s="93" t="s">
        <v>33</v>
      </c>
      <c r="K1166" s="93">
        <v>90</v>
      </c>
      <c r="L1166" s="93">
        <v>2.6</v>
      </c>
      <c r="M1166" s="93" t="s">
        <v>113</v>
      </c>
      <c r="N1166" s="93">
        <v>9.3000000000000007</v>
      </c>
      <c r="O1166" s="93">
        <v>26.7</v>
      </c>
      <c r="P1166" s="93">
        <v>37.700000000000003</v>
      </c>
      <c r="Q1166" s="93" t="s">
        <v>8095</v>
      </c>
      <c r="R1166" s="93" t="s">
        <v>16</v>
      </c>
      <c r="S1166" s="93" t="s">
        <v>383</v>
      </c>
      <c r="T1166" s="93" t="s">
        <v>116</v>
      </c>
      <c r="U1166" s="94">
        <v>44642.427777777775</v>
      </c>
      <c r="V1166" s="93" t="s">
        <v>33</v>
      </c>
      <c r="W1166" s="93" t="s">
        <v>9</v>
      </c>
    </row>
    <row r="1167" spans="1:23" x14ac:dyDescent="0.15">
      <c r="A1167" s="93" t="s">
        <v>8096</v>
      </c>
      <c r="B1167" s="93" t="s">
        <v>8097</v>
      </c>
      <c r="C1167" s="93">
        <v>750.6</v>
      </c>
      <c r="D1167" s="93" t="s">
        <v>9</v>
      </c>
      <c r="E1167" s="93" t="s">
        <v>9</v>
      </c>
      <c r="F1167" s="93" t="s">
        <v>33</v>
      </c>
      <c r="G1167" s="93" t="s">
        <v>8094</v>
      </c>
      <c r="H1167" s="93" t="s">
        <v>8064</v>
      </c>
      <c r="I1167" s="93" t="s">
        <v>111</v>
      </c>
      <c r="J1167" s="93" t="s">
        <v>33</v>
      </c>
      <c r="K1167" s="93">
        <v>90</v>
      </c>
      <c r="L1167" s="93">
        <v>2.7519999999999998</v>
      </c>
      <c r="M1167" s="93" t="s">
        <v>113</v>
      </c>
      <c r="N1167" s="93">
        <v>9.3000000000000007</v>
      </c>
      <c r="O1167" s="93">
        <v>26.7</v>
      </c>
      <c r="P1167" s="93">
        <v>37.700000000000003</v>
      </c>
      <c r="Q1167" s="93" t="s">
        <v>8077</v>
      </c>
      <c r="R1167" s="93" t="s">
        <v>16</v>
      </c>
      <c r="S1167" s="93" t="s">
        <v>384</v>
      </c>
      <c r="T1167" s="93" t="s">
        <v>116</v>
      </c>
      <c r="U1167" s="94">
        <v>44642.427777777775</v>
      </c>
      <c r="V1167" s="93" t="s">
        <v>33</v>
      </c>
      <c r="W1167" s="93" t="s">
        <v>9</v>
      </c>
    </row>
    <row r="1168" spans="1:23" x14ac:dyDescent="0.15">
      <c r="A1168" s="93" t="s">
        <v>8098</v>
      </c>
      <c r="B1168" s="93" t="s">
        <v>8099</v>
      </c>
      <c r="C1168" s="93">
        <v>750.6</v>
      </c>
      <c r="D1168" s="93" t="s">
        <v>9</v>
      </c>
      <c r="E1168" s="93" t="s">
        <v>9</v>
      </c>
      <c r="F1168" s="93" t="s">
        <v>33</v>
      </c>
      <c r="G1168" s="93" t="s">
        <v>8094</v>
      </c>
      <c r="H1168" s="93" t="s">
        <v>8064</v>
      </c>
      <c r="I1168" s="93" t="s">
        <v>111</v>
      </c>
      <c r="J1168" s="93" t="s">
        <v>33</v>
      </c>
      <c r="K1168" s="93">
        <v>90</v>
      </c>
      <c r="L1168" s="93">
        <v>2.71</v>
      </c>
      <c r="M1168" s="93" t="s">
        <v>113</v>
      </c>
      <c r="N1168" s="93">
        <v>9.3000000000000007</v>
      </c>
      <c r="O1168" s="93">
        <v>26.7</v>
      </c>
      <c r="P1168" s="93">
        <v>37.700000000000003</v>
      </c>
      <c r="Q1168" s="93" t="s">
        <v>8077</v>
      </c>
      <c r="R1168" s="93" t="s">
        <v>16</v>
      </c>
      <c r="S1168" s="93" t="s">
        <v>384</v>
      </c>
      <c r="T1168" s="93" t="s">
        <v>116</v>
      </c>
      <c r="U1168" s="94">
        <v>44642.47152777778</v>
      </c>
      <c r="V1168" s="93" t="s">
        <v>33</v>
      </c>
      <c r="W1168" s="93" t="s">
        <v>9</v>
      </c>
    </row>
    <row r="1169" spans="1:23" x14ac:dyDescent="0.15">
      <c r="A1169" s="93" t="s">
        <v>8100</v>
      </c>
      <c r="B1169" s="93" t="s">
        <v>8101</v>
      </c>
      <c r="C1169" s="93">
        <v>750.6</v>
      </c>
      <c r="D1169" s="93" t="s">
        <v>9</v>
      </c>
      <c r="E1169" s="93" t="s">
        <v>9</v>
      </c>
      <c r="F1169" s="93" t="s">
        <v>33</v>
      </c>
      <c r="G1169" s="93" t="s">
        <v>8094</v>
      </c>
      <c r="H1169" s="93" t="s">
        <v>8064</v>
      </c>
      <c r="I1169" s="93" t="s">
        <v>111</v>
      </c>
      <c r="J1169" s="93" t="s">
        <v>33</v>
      </c>
      <c r="K1169" s="93">
        <v>90</v>
      </c>
      <c r="L1169" s="93">
        <v>2.7210000000000001</v>
      </c>
      <c r="M1169" s="93" t="s">
        <v>113</v>
      </c>
      <c r="N1169" s="93">
        <v>9.3000000000000007</v>
      </c>
      <c r="O1169" s="93">
        <v>26.7</v>
      </c>
      <c r="P1169" s="93">
        <v>37.700000000000003</v>
      </c>
      <c r="Q1169" s="93" t="s">
        <v>8077</v>
      </c>
      <c r="R1169" s="93" t="s">
        <v>16</v>
      </c>
      <c r="S1169" s="93" t="s">
        <v>384</v>
      </c>
      <c r="T1169" s="93" t="s">
        <v>116</v>
      </c>
      <c r="U1169" s="94">
        <v>44642.47152777778</v>
      </c>
      <c r="V1169" s="93" t="s">
        <v>33</v>
      </c>
      <c r="W1169" s="93" t="s">
        <v>9</v>
      </c>
    </row>
    <row r="1170" spans="1:23" x14ac:dyDescent="0.15">
      <c r="A1170" s="93" t="s">
        <v>8102</v>
      </c>
      <c r="B1170" s="93" t="s">
        <v>8103</v>
      </c>
      <c r="C1170" s="93">
        <v>750.6</v>
      </c>
      <c r="D1170" s="93" t="s">
        <v>9</v>
      </c>
      <c r="E1170" s="93" t="s">
        <v>9</v>
      </c>
      <c r="F1170" s="93" t="s">
        <v>33</v>
      </c>
      <c r="G1170" s="93" t="s">
        <v>8094</v>
      </c>
      <c r="H1170" s="93" t="s">
        <v>8064</v>
      </c>
      <c r="I1170" s="93" t="s">
        <v>111</v>
      </c>
      <c r="J1170" s="93" t="s">
        <v>33</v>
      </c>
      <c r="K1170" s="93">
        <v>90</v>
      </c>
      <c r="L1170" s="93">
        <v>2.74</v>
      </c>
      <c r="M1170" s="93" t="s">
        <v>113</v>
      </c>
      <c r="N1170" s="93">
        <v>9.3000000000000007</v>
      </c>
      <c r="O1170" s="93">
        <v>26.7</v>
      </c>
      <c r="P1170" s="93">
        <v>37.700000000000003</v>
      </c>
      <c r="Q1170" s="93" t="s">
        <v>7166</v>
      </c>
      <c r="R1170" s="93" t="s">
        <v>16</v>
      </c>
      <c r="S1170" s="93" t="s">
        <v>383</v>
      </c>
      <c r="T1170" s="93" t="s">
        <v>116</v>
      </c>
      <c r="U1170" s="94">
        <v>44642.593055555553</v>
      </c>
      <c r="V1170" s="93" t="s">
        <v>33</v>
      </c>
      <c r="W1170" s="93" t="s">
        <v>9</v>
      </c>
    </row>
    <row r="1171" spans="1:23" x14ac:dyDescent="0.15">
      <c r="A1171" s="93" t="s">
        <v>8104</v>
      </c>
      <c r="B1171" s="93" t="s">
        <v>8105</v>
      </c>
      <c r="C1171" s="93">
        <v>750.6</v>
      </c>
      <c r="D1171" s="93" t="s">
        <v>9</v>
      </c>
      <c r="E1171" s="93" t="s">
        <v>9</v>
      </c>
      <c r="F1171" s="93" t="s">
        <v>33</v>
      </c>
      <c r="G1171" s="93" t="s">
        <v>8094</v>
      </c>
      <c r="H1171" s="93" t="s">
        <v>8064</v>
      </c>
      <c r="I1171" s="93" t="s">
        <v>111</v>
      </c>
      <c r="J1171" s="93" t="s">
        <v>33</v>
      </c>
      <c r="K1171" s="93">
        <v>90</v>
      </c>
      <c r="L1171" s="93">
        <v>2.74</v>
      </c>
      <c r="M1171" s="93" t="s">
        <v>113</v>
      </c>
      <c r="N1171" s="93">
        <v>9.3000000000000007</v>
      </c>
      <c r="O1171" s="93">
        <v>26.7</v>
      </c>
      <c r="P1171" s="93">
        <v>37.700000000000003</v>
      </c>
      <c r="Q1171" s="93" t="s">
        <v>7166</v>
      </c>
      <c r="R1171" s="93" t="s">
        <v>16</v>
      </c>
      <c r="S1171" s="93" t="s">
        <v>383</v>
      </c>
      <c r="T1171" s="93" t="s">
        <v>116</v>
      </c>
      <c r="U1171" s="94">
        <v>44642.593055555553</v>
      </c>
      <c r="V1171" s="93" t="s">
        <v>33</v>
      </c>
      <c r="W1171" s="93" t="s">
        <v>9</v>
      </c>
    </row>
    <row r="1172" spans="1:23" x14ac:dyDescent="0.15">
      <c r="A1172" s="93" t="s">
        <v>8106</v>
      </c>
      <c r="B1172" s="93" t="s">
        <v>8107</v>
      </c>
      <c r="C1172" s="93">
        <v>750.6</v>
      </c>
      <c r="D1172" s="93" t="s">
        <v>9</v>
      </c>
      <c r="E1172" s="93" t="s">
        <v>9</v>
      </c>
      <c r="F1172" s="93" t="s">
        <v>33</v>
      </c>
      <c r="G1172" s="93" t="s">
        <v>8094</v>
      </c>
      <c r="H1172" s="93" t="s">
        <v>8064</v>
      </c>
      <c r="I1172" s="93" t="s">
        <v>111</v>
      </c>
      <c r="J1172" s="93" t="s">
        <v>33</v>
      </c>
      <c r="K1172" s="93">
        <v>90</v>
      </c>
      <c r="L1172" s="93">
        <v>2.7669999999999999</v>
      </c>
      <c r="M1172" s="93" t="s">
        <v>113</v>
      </c>
      <c r="N1172" s="93">
        <v>9.3000000000000007</v>
      </c>
      <c r="O1172" s="93">
        <v>26.7</v>
      </c>
      <c r="P1172" s="93">
        <v>37.700000000000003</v>
      </c>
      <c r="Q1172" s="93" t="s">
        <v>7166</v>
      </c>
      <c r="R1172" s="93" t="s">
        <v>16</v>
      </c>
      <c r="S1172" s="93" t="s">
        <v>383</v>
      </c>
      <c r="T1172" s="93" t="s">
        <v>116</v>
      </c>
      <c r="U1172" s="94">
        <v>44642.449305555558</v>
      </c>
      <c r="V1172" s="93" t="s">
        <v>33</v>
      </c>
      <c r="W1172" s="93" t="s">
        <v>9</v>
      </c>
    </row>
    <row r="1173" spans="1:23" x14ac:dyDescent="0.15">
      <c r="A1173" s="93" t="s">
        <v>8108</v>
      </c>
      <c r="B1173" s="93" t="s">
        <v>8109</v>
      </c>
      <c r="C1173" s="93">
        <v>750.6</v>
      </c>
      <c r="D1173" s="93" t="s">
        <v>9</v>
      </c>
      <c r="E1173" s="93" t="s">
        <v>9</v>
      </c>
      <c r="F1173" s="93" t="s">
        <v>33</v>
      </c>
      <c r="G1173" s="93" t="s">
        <v>8094</v>
      </c>
      <c r="H1173" s="93" t="s">
        <v>8064</v>
      </c>
      <c r="I1173" s="93" t="s">
        <v>111</v>
      </c>
      <c r="J1173" s="93" t="s">
        <v>33</v>
      </c>
      <c r="K1173" s="93">
        <v>90</v>
      </c>
      <c r="L1173" s="93">
        <v>2.72</v>
      </c>
      <c r="M1173" s="93" t="s">
        <v>113</v>
      </c>
      <c r="N1173" s="93">
        <v>9.3000000000000007</v>
      </c>
      <c r="O1173" s="93">
        <v>26.7</v>
      </c>
      <c r="P1173" s="93">
        <v>37.700000000000003</v>
      </c>
      <c r="Q1173" s="93" t="s">
        <v>7166</v>
      </c>
      <c r="R1173" s="93" t="s">
        <v>16</v>
      </c>
      <c r="S1173" s="93" t="s">
        <v>383</v>
      </c>
      <c r="T1173" s="93" t="s">
        <v>116</v>
      </c>
      <c r="U1173" s="94">
        <v>44642.427777777775</v>
      </c>
      <c r="V1173" s="93" t="s">
        <v>33</v>
      </c>
      <c r="W1173" s="93" t="s">
        <v>9</v>
      </c>
    </row>
    <row r="1174" spans="1:23" x14ac:dyDescent="0.15">
      <c r="A1174" s="93" t="s">
        <v>8110</v>
      </c>
      <c r="B1174" s="93" t="s">
        <v>8111</v>
      </c>
      <c r="C1174" s="93">
        <v>795.64</v>
      </c>
      <c r="D1174" s="93" t="s">
        <v>9</v>
      </c>
      <c r="E1174" s="93" t="s">
        <v>9</v>
      </c>
      <c r="F1174" s="93" t="s">
        <v>33</v>
      </c>
      <c r="G1174" s="93" t="s">
        <v>8094</v>
      </c>
      <c r="H1174" s="93" t="s">
        <v>8064</v>
      </c>
      <c r="I1174" s="93" t="s">
        <v>111</v>
      </c>
      <c r="J1174" s="93" t="s">
        <v>33</v>
      </c>
      <c r="K1174" s="93">
        <v>90</v>
      </c>
      <c r="L1174" s="93">
        <v>2.72</v>
      </c>
      <c r="M1174" s="93" t="s">
        <v>113</v>
      </c>
      <c r="N1174" s="93">
        <v>9.3000000000000007</v>
      </c>
      <c r="O1174" s="93">
        <v>26.7</v>
      </c>
      <c r="P1174" s="93">
        <v>37.700000000000003</v>
      </c>
      <c r="Q1174" s="93" t="s">
        <v>7166</v>
      </c>
      <c r="R1174" s="93" t="s">
        <v>16</v>
      </c>
      <c r="S1174" s="93" t="s">
        <v>383</v>
      </c>
      <c r="T1174" s="93" t="s">
        <v>116</v>
      </c>
      <c r="U1174" s="94">
        <v>44642.593055555553</v>
      </c>
      <c r="V1174" s="93" t="s">
        <v>33</v>
      </c>
      <c r="W1174" s="93" t="s">
        <v>9</v>
      </c>
    </row>
    <row r="1175" spans="1:23" x14ac:dyDescent="0.15">
      <c r="A1175" s="93" t="s">
        <v>8112</v>
      </c>
      <c r="B1175" s="93" t="s">
        <v>8113</v>
      </c>
      <c r="C1175" s="93">
        <v>534.6</v>
      </c>
      <c r="D1175" s="93" t="s">
        <v>9</v>
      </c>
      <c r="E1175" s="93" t="s">
        <v>9</v>
      </c>
      <c r="F1175" s="93" t="s">
        <v>33</v>
      </c>
      <c r="G1175" s="93" t="s">
        <v>8114</v>
      </c>
      <c r="H1175" s="93" t="s">
        <v>8064</v>
      </c>
      <c r="I1175" s="93" t="s">
        <v>111</v>
      </c>
      <c r="J1175" s="93" t="s">
        <v>33</v>
      </c>
      <c r="K1175" s="93">
        <v>90</v>
      </c>
      <c r="L1175" s="93">
        <v>2.21</v>
      </c>
      <c r="M1175" s="93" t="s">
        <v>113</v>
      </c>
      <c r="N1175" s="93">
        <v>9.3000000000000007</v>
      </c>
      <c r="O1175" s="93">
        <v>26.7</v>
      </c>
      <c r="P1175" s="93">
        <v>37.700000000000003</v>
      </c>
      <c r="Q1175" s="93" t="s">
        <v>8095</v>
      </c>
      <c r="R1175" s="93" t="s">
        <v>16</v>
      </c>
      <c r="S1175" s="93" t="s">
        <v>383</v>
      </c>
      <c r="T1175" s="93" t="s">
        <v>116</v>
      </c>
      <c r="U1175" s="94">
        <v>44642.593055555553</v>
      </c>
      <c r="V1175" s="93" t="s">
        <v>33</v>
      </c>
      <c r="W1175" s="93" t="s">
        <v>9</v>
      </c>
    </row>
    <row r="1176" spans="1:23" x14ac:dyDescent="0.15">
      <c r="A1176" s="93" t="s">
        <v>8115</v>
      </c>
      <c r="B1176" s="93" t="s">
        <v>8116</v>
      </c>
      <c r="C1176" s="93">
        <v>534.6</v>
      </c>
      <c r="D1176" s="93" t="s">
        <v>9</v>
      </c>
      <c r="E1176" s="93" t="s">
        <v>9</v>
      </c>
      <c r="F1176" s="93" t="s">
        <v>33</v>
      </c>
      <c r="G1176" s="93" t="s">
        <v>8114</v>
      </c>
      <c r="H1176" s="93" t="s">
        <v>8064</v>
      </c>
      <c r="I1176" s="93" t="s">
        <v>111</v>
      </c>
      <c r="J1176" s="93" t="s">
        <v>33</v>
      </c>
      <c r="K1176" s="93">
        <v>90</v>
      </c>
      <c r="L1176" s="93">
        <v>2.3620000000000001</v>
      </c>
      <c r="M1176" s="93" t="s">
        <v>113</v>
      </c>
      <c r="N1176" s="93">
        <v>9.3000000000000007</v>
      </c>
      <c r="O1176" s="93">
        <v>26.7</v>
      </c>
      <c r="P1176" s="93">
        <v>37.700000000000003</v>
      </c>
      <c r="Q1176" s="93" t="s">
        <v>8077</v>
      </c>
      <c r="R1176" s="93" t="s">
        <v>16</v>
      </c>
      <c r="S1176" s="93" t="s">
        <v>384</v>
      </c>
      <c r="T1176" s="93" t="s">
        <v>116</v>
      </c>
      <c r="U1176" s="94">
        <v>44642.593055555553</v>
      </c>
      <c r="V1176" s="93" t="s">
        <v>33</v>
      </c>
      <c r="W1176" s="93" t="s">
        <v>9</v>
      </c>
    </row>
    <row r="1177" spans="1:23" x14ac:dyDescent="0.15">
      <c r="A1177" s="93" t="s">
        <v>8117</v>
      </c>
      <c r="B1177" s="93" t="s">
        <v>8118</v>
      </c>
      <c r="C1177" s="93">
        <v>534.6</v>
      </c>
      <c r="D1177" s="93" t="s">
        <v>9</v>
      </c>
      <c r="E1177" s="93" t="s">
        <v>9</v>
      </c>
      <c r="F1177" s="93" t="s">
        <v>33</v>
      </c>
      <c r="G1177" s="93" t="s">
        <v>8114</v>
      </c>
      <c r="H1177" s="93" t="s">
        <v>8064</v>
      </c>
      <c r="I1177" s="93" t="s">
        <v>111</v>
      </c>
      <c r="J1177" s="93" t="s">
        <v>33</v>
      </c>
      <c r="K1177" s="93">
        <v>90</v>
      </c>
      <c r="L1177" s="93">
        <v>2.3199999999999998</v>
      </c>
      <c r="M1177" s="93" t="s">
        <v>113</v>
      </c>
      <c r="N1177" s="93">
        <v>9.3000000000000007</v>
      </c>
      <c r="O1177" s="93">
        <v>26.7</v>
      </c>
      <c r="P1177" s="93">
        <v>37.700000000000003</v>
      </c>
      <c r="Q1177" s="93" t="s">
        <v>8077</v>
      </c>
      <c r="R1177" s="93" t="s">
        <v>16</v>
      </c>
      <c r="S1177" s="93" t="s">
        <v>384</v>
      </c>
      <c r="T1177" s="93" t="s">
        <v>116</v>
      </c>
      <c r="U1177" s="94">
        <v>44642.47152777778</v>
      </c>
      <c r="V1177" s="93" t="s">
        <v>33</v>
      </c>
      <c r="W1177" s="93" t="s">
        <v>9</v>
      </c>
    </row>
    <row r="1178" spans="1:23" x14ac:dyDescent="0.15">
      <c r="A1178" s="93" t="s">
        <v>8119</v>
      </c>
      <c r="B1178" s="93" t="s">
        <v>8120</v>
      </c>
      <c r="C1178" s="93">
        <v>534.6</v>
      </c>
      <c r="D1178" s="93" t="s">
        <v>9</v>
      </c>
      <c r="E1178" s="93" t="s">
        <v>9</v>
      </c>
      <c r="F1178" s="93" t="s">
        <v>33</v>
      </c>
      <c r="G1178" s="93" t="s">
        <v>8114</v>
      </c>
      <c r="H1178" s="93" t="s">
        <v>8064</v>
      </c>
      <c r="I1178" s="93" t="s">
        <v>111</v>
      </c>
      <c r="J1178" s="93" t="s">
        <v>33</v>
      </c>
      <c r="K1178" s="93">
        <v>90</v>
      </c>
      <c r="L1178" s="93">
        <v>2.331</v>
      </c>
      <c r="M1178" s="93" t="s">
        <v>113</v>
      </c>
      <c r="N1178" s="93">
        <v>9.3000000000000007</v>
      </c>
      <c r="O1178" s="93">
        <v>26.7</v>
      </c>
      <c r="P1178" s="93">
        <v>37.700000000000003</v>
      </c>
      <c r="Q1178" s="93" t="s">
        <v>8077</v>
      </c>
      <c r="R1178" s="93" t="s">
        <v>16</v>
      </c>
      <c r="S1178" s="93" t="s">
        <v>384</v>
      </c>
      <c r="T1178" s="93" t="s">
        <v>116</v>
      </c>
      <c r="U1178" s="94">
        <v>44642.560416666667</v>
      </c>
      <c r="V1178" s="93" t="s">
        <v>33</v>
      </c>
      <c r="W1178" s="93" t="s">
        <v>9</v>
      </c>
    </row>
    <row r="1179" spans="1:23" x14ac:dyDescent="0.15">
      <c r="A1179" s="93" t="s">
        <v>8121</v>
      </c>
      <c r="B1179" s="93" t="s">
        <v>8122</v>
      </c>
      <c r="C1179" s="93">
        <v>534.6</v>
      </c>
      <c r="D1179" s="93" t="s">
        <v>9</v>
      </c>
      <c r="E1179" s="93" t="s">
        <v>9</v>
      </c>
      <c r="F1179" s="93" t="s">
        <v>33</v>
      </c>
      <c r="G1179" s="93" t="s">
        <v>8114</v>
      </c>
      <c r="H1179" s="93" t="s">
        <v>8064</v>
      </c>
      <c r="I1179" s="93" t="s">
        <v>111</v>
      </c>
      <c r="J1179" s="93" t="s">
        <v>33</v>
      </c>
      <c r="K1179" s="93">
        <v>90</v>
      </c>
      <c r="L1179" s="93">
        <v>2.35</v>
      </c>
      <c r="M1179" s="93" t="s">
        <v>113</v>
      </c>
      <c r="N1179" s="93">
        <v>9.3000000000000007</v>
      </c>
      <c r="O1179" s="93">
        <v>26.7</v>
      </c>
      <c r="P1179" s="93">
        <v>37.700000000000003</v>
      </c>
      <c r="Q1179" s="93" t="s">
        <v>7166</v>
      </c>
      <c r="R1179" s="93" t="s">
        <v>16</v>
      </c>
      <c r="S1179" s="93" t="s">
        <v>383</v>
      </c>
      <c r="T1179" s="93" t="s">
        <v>116</v>
      </c>
      <c r="U1179" s="94">
        <v>44642.427777777775</v>
      </c>
      <c r="V1179" s="93" t="s">
        <v>33</v>
      </c>
      <c r="W1179" s="93" t="s">
        <v>9</v>
      </c>
    </row>
    <row r="1180" spans="1:23" x14ac:dyDescent="0.15">
      <c r="A1180" s="93" t="s">
        <v>8123</v>
      </c>
      <c r="B1180" s="93" t="s">
        <v>8124</v>
      </c>
      <c r="C1180" s="93">
        <v>534.6</v>
      </c>
      <c r="D1180" s="93" t="s">
        <v>9</v>
      </c>
      <c r="E1180" s="93" t="s">
        <v>9</v>
      </c>
      <c r="F1180" s="93" t="s">
        <v>33</v>
      </c>
      <c r="G1180" s="93" t="s">
        <v>8114</v>
      </c>
      <c r="H1180" s="93" t="s">
        <v>8064</v>
      </c>
      <c r="I1180" s="93" t="s">
        <v>111</v>
      </c>
      <c r="J1180" s="93" t="s">
        <v>33</v>
      </c>
      <c r="K1180" s="93">
        <v>90</v>
      </c>
      <c r="L1180" s="93">
        <v>2.35</v>
      </c>
      <c r="M1180" s="93" t="s">
        <v>113</v>
      </c>
      <c r="N1180" s="93">
        <v>9.3000000000000007</v>
      </c>
      <c r="O1180" s="93">
        <v>26.7</v>
      </c>
      <c r="P1180" s="93">
        <v>37.700000000000003</v>
      </c>
      <c r="Q1180" s="93" t="s">
        <v>8077</v>
      </c>
      <c r="R1180" s="93" t="s">
        <v>16</v>
      </c>
      <c r="S1180" s="93" t="s">
        <v>384</v>
      </c>
      <c r="T1180" s="93" t="s">
        <v>116</v>
      </c>
      <c r="U1180" s="94">
        <v>44642.593055555553</v>
      </c>
      <c r="V1180" s="93" t="s">
        <v>33</v>
      </c>
      <c r="W1180" s="93" t="s">
        <v>9</v>
      </c>
    </row>
    <row r="1181" spans="1:23" x14ac:dyDescent="0.15">
      <c r="A1181" s="93" t="s">
        <v>8125</v>
      </c>
      <c r="B1181" s="93" t="s">
        <v>8126</v>
      </c>
      <c r="C1181" s="93">
        <v>534.6</v>
      </c>
      <c r="D1181" s="93" t="s">
        <v>9</v>
      </c>
      <c r="E1181" s="93" t="s">
        <v>9</v>
      </c>
      <c r="F1181" s="93" t="s">
        <v>33</v>
      </c>
      <c r="G1181" s="93" t="s">
        <v>8114</v>
      </c>
      <c r="H1181" s="93" t="s">
        <v>8064</v>
      </c>
      <c r="I1181" s="93" t="s">
        <v>111</v>
      </c>
      <c r="J1181" s="93" t="s">
        <v>33</v>
      </c>
      <c r="K1181" s="93">
        <v>90</v>
      </c>
      <c r="L1181" s="93">
        <v>2.3769999999999998</v>
      </c>
      <c r="M1181" s="93" t="s">
        <v>113</v>
      </c>
      <c r="N1181" s="93">
        <v>9.3000000000000007</v>
      </c>
      <c r="O1181" s="93">
        <v>26.7</v>
      </c>
      <c r="P1181" s="93">
        <v>37.700000000000003</v>
      </c>
      <c r="Q1181" s="93" t="s">
        <v>8077</v>
      </c>
      <c r="R1181" s="93" t="s">
        <v>16</v>
      </c>
      <c r="S1181" s="93" t="s">
        <v>384</v>
      </c>
      <c r="T1181" s="93" t="s">
        <v>116</v>
      </c>
      <c r="U1181" s="94">
        <v>44642.47152777778</v>
      </c>
      <c r="V1181" s="93" t="s">
        <v>33</v>
      </c>
      <c r="W1181" s="93" t="s">
        <v>9</v>
      </c>
    </row>
    <row r="1182" spans="1:23" x14ac:dyDescent="0.15">
      <c r="A1182" s="93" t="s">
        <v>8127</v>
      </c>
      <c r="B1182" s="93" t="s">
        <v>8128</v>
      </c>
      <c r="C1182" s="93">
        <v>534.6</v>
      </c>
      <c r="D1182" s="93" t="s">
        <v>9</v>
      </c>
      <c r="E1182" s="93" t="s">
        <v>9</v>
      </c>
      <c r="F1182" s="93" t="s">
        <v>33</v>
      </c>
      <c r="G1182" s="93" t="s">
        <v>8114</v>
      </c>
      <c r="H1182" s="93" t="s">
        <v>8064</v>
      </c>
      <c r="I1182" s="93" t="s">
        <v>111</v>
      </c>
      <c r="J1182" s="93" t="s">
        <v>33</v>
      </c>
      <c r="K1182" s="93">
        <v>90</v>
      </c>
      <c r="L1182" s="93">
        <v>2.33</v>
      </c>
      <c r="M1182" s="93" t="s">
        <v>113</v>
      </c>
      <c r="N1182" s="93">
        <v>9.3000000000000007</v>
      </c>
      <c r="O1182" s="93">
        <v>26.7</v>
      </c>
      <c r="P1182" s="93">
        <v>37.700000000000003</v>
      </c>
      <c r="Q1182" s="93" t="s">
        <v>7166</v>
      </c>
      <c r="R1182" s="93" t="s">
        <v>16</v>
      </c>
      <c r="S1182" s="93" t="s">
        <v>383</v>
      </c>
      <c r="T1182" s="93" t="s">
        <v>116</v>
      </c>
      <c r="U1182" s="94">
        <v>44642.449305555558</v>
      </c>
      <c r="V1182" s="93" t="s">
        <v>33</v>
      </c>
      <c r="W1182" s="93" t="s">
        <v>9</v>
      </c>
    </row>
    <row r="1183" spans="1:23" x14ac:dyDescent="0.15">
      <c r="A1183" s="93" t="s">
        <v>8129</v>
      </c>
      <c r="B1183" s="93" t="s">
        <v>8130</v>
      </c>
      <c r="C1183" s="93">
        <v>566.67999999999995</v>
      </c>
      <c r="D1183" s="93" t="s">
        <v>9</v>
      </c>
      <c r="E1183" s="93" t="s">
        <v>9</v>
      </c>
      <c r="F1183" s="93" t="s">
        <v>33</v>
      </c>
      <c r="G1183" s="93" t="s">
        <v>8114</v>
      </c>
      <c r="H1183" s="93" t="s">
        <v>8064</v>
      </c>
      <c r="I1183" s="93" t="s">
        <v>111</v>
      </c>
      <c r="J1183" s="93" t="s">
        <v>33</v>
      </c>
      <c r="K1183" s="93">
        <v>90</v>
      </c>
      <c r="L1183" s="93">
        <v>2.33</v>
      </c>
      <c r="M1183" s="93" t="s">
        <v>113</v>
      </c>
      <c r="N1183" s="93">
        <v>9.3000000000000007</v>
      </c>
      <c r="O1183" s="93">
        <v>26.7</v>
      </c>
      <c r="P1183" s="93">
        <v>37.700000000000003</v>
      </c>
      <c r="Q1183" s="93" t="s">
        <v>8077</v>
      </c>
      <c r="R1183" s="93" t="s">
        <v>16</v>
      </c>
      <c r="S1183" s="93" t="s">
        <v>384</v>
      </c>
      <c r="T1183" s="93" t="s">
        <v>116</v>
      </c>
      <c r="U1183" s="94">
        <v>44642.494444444441</v>
      </c>
      <c r="V1183" s="93" t="s">
        <v>33</v>
      </c>
      <c r="W1183" s="93" t="s">
        <v>9</v>
      </c>
    </row>
    <row r="1184" spans="1:23" x14ac:dyDescent="0.15">
      <c r="A1184" s="93" t="s">
        <v>8131</v>
      </c>
      <c r="B1184" s="93" t="s">
        <v>8132</v>
      </c>
      <c r="C1184" s="93">
        <v>1398.6</v>
      </c>
      <c r="D1184" s="93" t="s">
        <v>9</v>
      </c>
      <c r="E1184" s="93" t="s">
        <v>9</v>
      </c>
      <c r="F1184" s="93" t="s">
        <v>33</v>
      </c>
      <c r="G1184" s="93" t="s">
        <v>8133</v>
      </c>
      <c r="H1184" s="93" t="s">
        <v>8064</v>
      </c>
      <c r="I1184" s="93" t="s">
        <v>111</v>
      </c>
      <c r="J1184" s="93" t="s">
        <v>33</v>
      </c>
      <c r="K1184" s="93">
        <v>90</v>
      </c>
      <c r="L1184" s="93">
        <v>4.57</v>
      </c>
      <c r="M1184" s="93" t="s">
        <v>113</v>
      </c>
      <c r="N1184" s="93">
        <v>9.3000000000000007</v>
      </c>
      <c r="O1184" s="93">
        <v>34.299999999999997</v>
      </c>
      <c r="P1184" s="93">
        <v>48.4</v>
      </c>
      <c r="Q1184" s="93" t="s">
        <v>8095</v>
      </c>
      <c r="R1184" s="93" t="s">
        <v>16</v>
      </c>
      <c r="S1184" s="93" t="s">
        <v>383</v>
      </c>
      <c r="T1184" s="93" t="s">
        <v>116</v>
      </c>
      <c r="U1184" s="94">
        <v>44642.515972222223</v>
      </c>
      <c r="V1184" s="93" t="s">
        <v>33</v>
      </c>
      <c r="W1184" s="93" t="s">
        <v>9</v>
      </c>
    </row>
    <row r="1185" spans="1:23" x14ac:dyDescent="0.15">
      <c r="A1185" s="93" t="s">
        <v>8134</v>
      </c>
      <c r="B1185" s="93" t="s">
        <v>8135</v>
      </c>
      <c r="C1185" s="93">
        <v>1398.6</v>
      </c>
      <c r="D1185" s="93" t="s">
        <v>9</v>
      </c>
      <c r="E1185" s="93" t="s">
        <v>9</v>
      </c>
      <c r="F1185" s="93" t="s">
        <v>33</v>
      </c>
      <c r="G1185" s="93" t="s">
        <v>8133</v>
      </c>
      <c r="H1185" s="93" t="s">
        <v>8064</v>
      </c>
      <c r="I1185" s="93" t="s">
        <v>111</v>
      </c>
      <c r="J1185" s="93" t="s">
        <v>33</v>
      </c>
      <c r="K1185" s="93">
        <v>90</v>
      </c>
      <c r="L1185" s="93">
        <v>4.7220000000000004</v>
      </c>
      <c r="M1185" s="93" t="s">
        <v>113</v>
      </c>
      <c r="N1185" s="93">
        <v>9.3000000000000007</v>
      </c>
      <c r="O1185" s="93">
        <v>34.299999999999997</v>
      </c>
      <c r="P1185" s="93">
        <v>48.4</v>
      </c>
      <c r="Q1185" s="93" t="s">
        <v>8077</v>
      </c>
      <c r="R1185" s="93" t="s">
        <v>16</v>
      </c>
      <c r="S1185" s="93" t="s">
        <v>384</v>
      </c>
      <c r="T1185" s="93" t="s">
        <v>116</v>
      </c>
      <c r="U1185" s="94">
        <v>44642.560416666667</v>
      </c>
      <c r="V1185" s="93" t="s">
        <v>33</v>
      </c>
      <c r="W1185" s="93" t="s">
        <v>9</v>
      </c>
    </row>
    <row r="1186" spans="1:23" x14ac:dyDescent="0.15">
      <c r="A1186" s="93" t="s">
        <v>8136</v>
      </c>
      <c r="B1186" s="93" t="s">
        <v>8137</v>
      </c>
      <c r="C1186" s="93">
        <v>1398.6</v>
      </c>
      <c r="D1186" s="93" t="s">
        <v>9</v>
      </c>
      <c r="E1186" s="93" t="s">
        <v>9</v>
      </c>
      <c r="F1186" s="93" t="s">
        <v>33</v>
      </c>
      <c r="G1186" s="93" t="s">
        <v>8133</v>
      </c>
      <c r="H1186" s="93" t="s">
        <v>8064</v>
      </c>
      <c r="I1186" s="93" t="s">
        <v>111</v>
      </c>
      <c r="J1186" s="93" t="s">
        <v>33</v>
      </c>
      <c r="K1186" s="93">
        <v>90</v>
      </c>
      <c r="L1186" s="93">
        <v>4.68</v>
      </c>
      <c r="M1186" s="93" t="s">
        <v>113</v>
      </c>
      <c r="N1186" s="93">
        <v>9.3000000000000007</v>
      </c>
      <c r="O1186" s="93">
        <v>34.299999999999997</v>
      </c>
      <c r="P1186" s="93">
        <v>48.4</v>
      </c>
      <c r="Q1186" s="93" t="s">
        <v>8077</v>
      </c>
      <c r="R1186" s="93" t="s">
        <v>16</v>
      </c>
      <c r="S1186" s="93" t="s">
        <v>384</v>
      </c>
      <c r="T1186" s="93" t="s">
        <v>116</v>
      </c>
      <c r="U1186" s="94">
        <v>44642.593055555553</v>
      </c>
      <c r="V1186" s="93" t="s">
        <v>33</v>
      </c>
      <c r="W1186" s="93" t="s">
        <v>9</v>
      </c>
    </row>
    <row r="1187" spans="1:23" x14ac:dyDescent="0.15">
      <c r="A1187" s="93" t="s">
        <v>8138</v>
      </c>
      <c r="B1187" s="93" t="s">
        <v>8139</v>
      </c>
      <c r="C1187" s="93">
        <v>1398.6</v>
      </c>
      <c r="D1187" s="93" t="s">
        <v>9</v>
      </c>
      <c r="E1187" s="93" t="s">
        <v>9</v>
      </c>
      <c r="F1187" s="93" t="s">
        <v>33</v>
      </c>
      <c r="G1187" s="93" t="s">
        <v>8133</v>
      </c>
      <c r="H1187" s="93" t="s">
        <v>8064</v>
      </c>
      <c r="I1187" s="93" t="s">
        <v>111</v>
      </c>
      <c r="J1187" s="93" t="s">
        <v>33</v>
      </c>
      <c r="K1187" s="93">
        <v>90</v>
      </c>
      <c r="L1187" s="93">
        <v>4.6909999999999998</v>
      </c>
      <c r="M1187" s="93" t="s">
        <v>113</v>
      </c>
      <c r="N1187" s="93">
        <v>9.3000000000000007</v>
      </c>
      <c r="O1187" s="93">
        <v>34.299999999999997</v>
      </c>
      <c r="P1187" s="93">
        <v>48.4</v>
      </c>
      <c r="Q1187" s="93" t="s">
        <v>8077</v>
      </c>
      <c r="R1187" s="93" t="s">
        <v>16</v>
      </c>
      <c r="S1187" s="93" t="s">
        <v>384</v>
      </c>
      <c r="T1187" s="93" t="s">
        <v>116</v>
      </c>
      <c r="U1187" s="94">
        <v>44642.47152777778</v>
      </c>
      <c r="V1187" s="93" t="s">
        <v>33</v>
      </c>
      <c r="W1187" s="93" t="s">
        <v>9</v>
      </c>
    </row>
    <row r="1188" spans="1:23" x14ac:dyDescent="0.15">
      <c r="A1188" s="93" t="s">
        <v>8140</v>
      </c>
      <c r="B1188" s="93" t="s">
        <v>8141</v>
      </c>
      <c r="C1188" s="93">
        <v>1398.6</v>
      </c>
      <c r="D1188" s="93" t="s">
        <v>9</v>
      </c>
      <c r="E1188" s="93" t="s">
        <v>9</v>
      </c>
      <c r="F1188" s="93" t="s">
        <v>33</v>
      </c>
      <c r="G1188" s="93" t="s">
        <v>8133</v>
      </c>
      <c r="H1188" s="93" t="s">
        <v>8064</v>
      </c>
      <c r="I1188" s="93" t="s">
        <v>111</v>
      </c>
      <c r="J1188" s="93" t="s">
        <v>33</v>
      </c>
      <c r="K1188" s="93">
        <v>90</v>
      </c>
      <c r="L1188" s="93">
        <v>4.71</v>
      </c>
      <c r="M1188" s="93" t="s">
        <v>113</v>
      </c>
      <c r="N1188" s="93">
        <v>9.3000000000000007</v>
      </c>
      <c r="O1188" s="93">
        <v>34.299999999999997</v>
      </c>
      <c r="P1188" s="93">
        <v>48.4</v>
      </c>
      <c r="Q1188" s="93" t="s">
        <v>7166</v>
      </c>
      <c r="R1188" s="93" t="s">
        <v>16</v>
      </c>
      <c r="S1188" s="93" t="s">
        <v>383</v>
      </c>
      <c r="T1188" s="93" t="s">
        <v>116</v>
      </c>
      <c r="U1188" s="94">
        <v>44642.47152777778</v>
      </c>
      <c r="V1188" s="93" t="s">
        <v>33</v>
      </c>
      <c r="W1188" s="93" t="s">
        <v>9</v>
      </c>
    </row>
    <row r="1189" spans="1:23" x14ac:dyDescent="0.15">
      <c r="A1189" s="93" t="s">
        <v>8142</v>
      </c>
      <c r="B1189" s="93" t="s">
        <v>8143</v>
      </c>
      <c r="C1189" s="93">
        <v>1398.6</v>
      </c>
      <c r="D1189" s="93" t="s">
        <v>9</v>
      </c>
      <c r="E1189" s="93" t="s">
        <v>9</v>
      </c>
      <c r="F1189" s="93" t="s">
        <v>33</v>
      </c>
      <c r="G1189" s="93" t="s">
        <v>8133</v>
      </c>
      <c r="H1189" s="93" t="s">
        <v>8064</v>
      </c>
      <c r="I1189" s="93" t="s">
        <v>111</v>
      </c>
      <c r="J1189" s="93" t="s">
        <v>33</v>
      </c>
      <c r="K1189" s="93">
        <v>90</v>
      </c>
      <c r="L1189" s="93">
        <v>4.71</v>
      </c>
      <c r="M1189" s="93" t="s">
        <v>113</v>
      </c>
      <c r="N1189" s="93">
        <v>9.3000000000000007</v>
      </c>
      <c r="O1189" s="93">
        <v>34.299999999999997</v>
      </c>
      <c r="P1189" s="93">
        <v>48.4</v>
      </c>
      <c r="Q1189" s="93" t="s">
        <v>7166</v>
      </c>
      <c r="R1189" s="93" t="s">
        <v>16</v>
      </c>
      <c r="S1189" s="93" t="s">
        <v>383</v>
      </c>
      <c r="T1189" s="93" t="s">
        <v>116</v>
      </c>
      <c r="U1189" s="94">
        <v>44642.593055555553</v>
      </c>
      <c r="V1189" s="93" t="s">
        <v>33</v>
      </c>
      <c r="W1189" s="93" t="s">
        <v>9</v>
      </c>
    </row>
    <row r="1190" spans="1:23" x14ac:dyDescent="0.15">
      <c r="A1190" s="93" t="s">
        <v>8144</v>
      </c>
      <c r="B1190" s="93" t="s">
        <v>8145</v>
      </c>
      <c r="C1190" s="93">
        <v>1398.6</v>
      </c>
      <c r="D1190" s="93" t="s">
        <v>9</v>
      </c>
      <c r="E1190" s="93" t="s">
        <v>9</v>
      </c>
      <c r="F1190" s="93" t="s">
        <v>33</v>
      </c>
      <c r="G1190" s="93" t="s">
        <v>8133</v>
      </c>
      <c r="H1190" s="93" t="s">
        <v>8064</v>
      </c>
      <c r="I1190" s="93" t="s">
        <v>111</v>
      </c>
      <c r="J1190" s="93" t="s">
        <v>33</v>
      </c>
      <c r="K1190" s="93">
        <v>90</v>
      </c>
      <c r="L1190" s="93">
        <v>4.7370000000000001</v>
      </c>
      <c r="M1190" s="93" t="s">
        <v>113</v>
      </c>
      <c r="N1190" s="93">
        <v>9.3000000000000007</v>
      </c>
      <c r="O1190" s="93">
        <v>34.299999999999997</v>
      </c>
      <c r="P1190" s="93">
        <v>48.4</v>
      </c>
      <c r="Q1190" s="93" t="s">
        <v>7166</v>
      </c>
      <c r="R1190" s="93" t="s">
        <v>16</v>
      </c>
      <c r="S1190" s="93" t="s">
        <v>383</v>
      </c>
      <c r="T1190" s="93" t="s">
        <v>116</v>
      </c>
      <c r="U1190" s="94">
        <v>44642.427777777775</v>
      </c>
      <c r="V1190" s="93" t="s">
        <v>33</v>
      </c>
      <c r="W1190" s="93" t="s">
        <v>9</v>
      </c>
    </row>
    <row r="1191" spans="1:23" x14ac:dyDescent="0.15">
      <c r="A1191" s="93" t="s">
        <v>8146</v>
      </c>
      <c r="B1191" s="93" t="s">
        <v>8147</v>
      </c>
      <c r="C1191" s="93">
        <v>1398.6</v>
      </c>
      <c r="D1191" s="93" t="s">
        <v>9</v>
      </c>
      <c r="E1191" s="93" t="s">
        <v>9</v>
      </c>
      <c r="F1191" s="93" t="s">
        <v>33</v>
      </c>
      <c r="G1191" s="93" t="s">
        <v>8133</v>
      </c>
      <c r="H1191" s="93" t="s">
        <v>8064</v>
      </c>
      <c r="I1191" s="93" t="s">
        <v>111</v>
      </c>
      <c r="J1191" s="93" t="s">
        <v>33</v>
      </c>
      <c r="K1191" s="93">
        <v>90</v>
      </c>
      <c r="L1191" s="93">
        <v>4.6900000000000004</v>
      </c>
      <c r="M1191" s="93" t="s">
        <v>113</v>
      </c>
      <c r="N1191" s="93">
        <v>9.3000000000000007</v>
      </c>
      <c r="O1191" s="93">
        <v>34.299999999999997</v>
      </c>
      <c r="P1191" s="93">
        <v>48.4</v>
      </c>
      <c r="Q1191" s="93" t="s">
        <v>7166</v>
      </c>
      <c r="R1191" s="93" t="s">
        <v>16</v>
      </c>
      <c r="S1191" s="93" t="s">
        <v>383</v>
      </c>
      <c r="T1191" s="93" t="s">
        <v>116</v>
      </c>
      <c r="U1191" s="94">
        <v>44642.449305555558</v>
      </c>
      <c r="V1191" s="93" t="s">
        <v>33</v>
      </c>
      <c r="W1191" s="93" t="s">
        <v>9</v>
      </c>
    </row>
    <row r="1192" spans="1:23" x14ac:dyDescent="0.15">
      <c r="A1192" s="93" t="s">
        <v>8148</v>
      </c>
      <c r="B1192" s="93" t="s">
        <v>8149</v>
      </c>
      <c r="C1192" s="93">
        <v>1482.52</v>
      </c>
      <c r="D1192" s="93" t="s">
        <v>9</v>
      </c>
      <c r="E1192" s="93" t="s">
        <v>9</v>
      </c>
      <c r="F1192" s="93" t="s">
        <v>33</v>
      </c>
      <c r="G1192" s="93" t="s">
        <v>8133</v>
      </c>
      <c r="H1192" s="93" t="s">
        <v>8064</v>
      </c>
      <c r="I1192" s="93" t="s">
        <v>111</v>
      </c>
      <c r="J1192" s="93" t="s">
        <v>33</v>
      </c>
      <c r="K1192" s="93">
        <v>90</v>
      </c>
      <c r="L1192" s="93">
        <v>4.6900000000000004</v>
      </c>
      <c r="M1192" s="93" t="s">
        <v>113</v>
      </c>
      <c r="N1192" s="93">
        <v>9.3000000000000007</v>
      </c>
      <c r="O1192" s="93">
        <v>34.299999999999997</v>
      </c>
      <c r="P1192" s="93">
        <v>48.4</v>
      </c>
      <c r="Q1192" s="93" t="s">
        <v>7166</v>
      </c>
      <c r="R1192" s="93" t="s">
        <v>16</v>
      </c>
      <c r="S1192" s="93" t="s">
        <v>383</v>
      </c>
      <c r="T1192" s="93" t="s">
        <v>116</v>
      </c>
      <c r="U1192" s="94">
        <v>44642.47152777778</v>
      </c>
      <c r="V1192" s="93" t="s">
        <v>33</v>
      </c>
      <c r="W1192" s="93" t="s">
        <v>9</v>
      </c>
    </row>
    <row r="1193" spans="1:23" x14ac:dyDescent="0.15">
      <c r="A1193" s="93" t="s">
        <v>8150</v>
      </c>
      <c r="B1193" s="93" t="s">
        <v>8151</v>
      </c>
      <c r="C1193" s="93">
        <v>966.6</v>
      </c>
      <c r="D1193" s="93" t="s">
        <v>9</v>
      </c>
      <c r="E1193" s="93" t="s">
        <v>9</v>
      </c>
      <c r="F1193" s="93" t="s">
        <v>33</v>
      </c>
      <c r="G1193" s="93" t="s">
        <v>8152</v>
      </c>
      <c r="H1193" s="93" t="s">
        <v>8064</v>
      </c>
      <c r="I1193" s="93" t="s">
        <v>111</v>
      </c>
      <c r="J1193" s="93" t="s">
        <v>33</v>
      </c>
      <c r="K1193" s="93">
        <v>90</v>
      </c>
      <c r="L1193" s="93">
        <v>3.32</v>
      </c>
      <c r="M1193" s="93" t="s">
        <v>113</v>
      </c>
      <c r="N1193" s="93">
        <v>9.3000000000000007</v>
      </c>
      <c r="O1193" s="93">
        <v>30.3</v>
      </c>
      <c r="P1193" s="93">
        <v>48.4</v>
      </c>
      <c r="Q1193" s="93" t="s">
        <v>8095</v>
      </c>
      <c r="R1193" s="93" t="s">
        <v>16</v>
      </c>
      <c r="S1193" s="93" t="s">
        <v>383</v>
      </c>
      <c r="T1193" s="93" t="s">
        <v>116</v>
      </c>
      <c r="U1193" s="94">
        <v>44642.55972222222</v>
      </c>
      <c r="V1193" s="93" t="s">
        <v>33</v>
      </c>
      <c r="W1193" s="93" t="s">
        <v>9</v>
      </c>
    </row>
    <row r="1194" spans="1:23" x14ac:dyDescent="0.15">
      <c r="A1194" s="93" t="s">
        <v>8153</v>
      </c>
      <c r="B1194" s="93" t="s">
        <v>8154</v>
      </c>
      <c r="C1194" s="93">
        <v>966.6</v>
      </c>
      <c r="D1194" s="93" t="s">
        <v>9</v>
      </c>
      <c r="E1194" s="93" t="s">
        <v>9</v>
      </c>
      <c r="F1194" s="93" t="s">
        <v>33</v>
      </c>
      <c r="G1194" s="93" t="s">
        <v>8152</v>
      </c>
      <c r="H1194" s="93" t="s">
        <v>8064</v>
      </c>
      <c r="I1194" s="93" t="s">
        <v>111</v>
      </c>
      <c r="J1194" s="93" t="s">
        <v>33</v>
      </c>
      <c r="K1194" s="93">
        <v>90</v>
      </c>
      <c r="L1194" s="93">
        <v>3.472</v>
      </c>
      <c r="M1194" s="93" t="s">
        <v>113</v>
      </c>
      <c r="N1194" s="93">
        <v>9.3000000000000007</v>
      </c>
      <c r="O1194" s="93">
        <v>30.3</v>
      </c>
      <c r="P1194" s="93">
        <v>48.4</v>
      </c>
      <c r="Q1194" s="93" t="s">
        <v>8077</v>
      </c>
      <c r="R1194" s="93" t="s">
        <v>16</v>
      </c>
      <c r="S1194" s="93" t="s">
        <v>384</v>
      </c>
      <c r="T1194" s="93" t="s">
        <v>116</v>
      </c>
      <c r="U1194" s="94">
        <v>44642.494444444441</v>
      </c>
      <c r="V1194" s="93" t="s">
        <v>33</v>
      </c>
      <c r="W1194" s="93" t="s">
        <v>9</v>
      </c>
    </row>
    <row r="1195" spans="1:23" x14ac:dyDescent="0.15">
      <c r="A1195" s="93" t="s">
        <v>8155</v>
      </c>
      <c r="B1195" s="93" t="s">
        <v>8156</v>
      </c>
      <c r="C1195" s="93">
        <v>966.6</v>
      </c>
      <c r="D1195" s="93" t="s">
        <v>9</v>
      </c>
      <c r="E1195" s="93" t="s">
        <v>9</v>
      </c>
      <c r="F1195" s="93" t="s">
        <v>33</v>
      </c>
      <c r="G1195" s="93" t="s">
        <v>8152</v>
      </c>
      <c r="H1195" s="93" t="s">
        <v>8064</v>
      </c>
      <c r="I1195" s="93" t="s">
        <v>111</v>
      </c>
      <c r="J1195" s="93" t="s">
        <v>33</v>
      </c>
      <c r="K1195" s="93">
        <v>90</v>
      </c>
      <c r="L1195" s="93">
        <v>3.43</v>
      </c>
      <c r="M1195" s="93" t="s">
        <v>113</v>
      </c>
      <c r="N1195" s="93">
        <v>9.3000000000000007</v>
      </c>
      <c r="O1195" s="93">
        <v>30.3</v>
      </c>
      <c r="P1195" s="93">
        <v>48.4</v>
      </c>
      <c r="Q1195" s="93" t="s">
        <v>8077</v>
      </c>
      <c r="R1195" s="93" t="s">
        <v>16</v>
      </c>
      <c r="S1195" s="93" t="s">
        <v>384</v>
      </c>
      <c r="T1195" s="93" t="s">
        <v>116</v>
      </c>
      <c r="U1195" s="94">
        <v>44642.427777777775</v>
      </c>
      <c r="V1195" s="93" t="s">
        <v>33</v>
      </c>
      <c r="W1195" s="93" t="s">
        <v>9</v>
      </c>
    </row>
    <row r="1196" spans="1:23" x14ac:dyDescent="0.15">
      <c r="A1196" s="93" t="s">
        <v>8157</v>
      </c>
      <c r="B1196" s="93" t="s">
        <v>8158</v>
      </c>
      <c r="C1196" s="93">
        <v>966.6</v>
      </c>
      <c r="D1196" s="93" t="s">
        <v>9</v>
      </c>
      <c r="E1196" s="93" t="s">
        <v>9</v>
      </c>
      <c r="F1196" s="93" t="s">
        <v>33</v>
      </c>
      <c r="G1196" s="93" t="s">
        <v>8152</v>
      </c>
      <c r="H1196" s="93" t="s">
        <v>8064</v>
      </c>
      <c r="I1196" s="93" t="s">
        <v>111</v>
      </c>
      <c r="J1196" s="93" t="s">
        <v>33</v>
      </c>
      <c r="K1196" s="93">
        <v>90</v>
      </c>
      <c r="L1196" s="93">
        <v>3.4409999999999998</v>
      </c>
      <c r="M1196" s="93" t="s">
        <v>113</v>
      </c>
      <c r="N1196" s="93">
        <v>9.3000000000000007</v>
      </c>
      <c r="O1196" s="93">
        <v>30.3</v>
      </c>
      <c r="P1196" s="93">
        <v>48.4</v>
      </c>
      <c r="Q1196" s="93" t="s">
        <v>8077</v>
      </c>
      <c r="R1196" s="93" t="s">
        <v>16</v>
      </c>
      <c r="S1196" s="93" t="s">
        <v>384</v>
      </c>
      <c r="T1196" s="93" t="s">
        <v>116</v>
      </c>
      <c r="U1196" s="94">
        <v>44642.449305555558</v>
      </c>
      <c r="V1196" s="93" t="s">
        <v>33</v>
      </c>
      <c r="W1196" s="93" t="s">
        <v>9</v>
      </c>
    </row>
    <row r="1197" spans="1:23" x14ac:dyDescent="0.15">
      <c r="A1197" s="93" t="s">
        <v>8159</v>
      </c>
      <c r="B1197" s="93" t="s">
        <v>8160</v>
      </c>
      <c r="C1197" s="93">
        <v>966.6</v>
      </c>
      <c r="D1197" s="93" t="s">
        <v>9</v>
      </c>
      <c r="E1197" s="93" t="s">
        <v>9</v>
      </c>
      <c r="F1197" s="93" t="s">
        <v>33</v>
      </c>
      <c r="G1197" s="93" t="s">
        <v>8152</v>
      </c>
      <c r="H1197" s="93" t="s">
        <v>8064</v>
      </c>
      <c r="I1197" s="93" t="s">
        <v>111</v>
      </c>
      <c r="J1197" s="93" t="s">
        <v>33</v>
      </c>
      <c r="K1197" s="93">
        <v>90</v>
      </c>
      <c r="L1197" s="93">
        <v>3.46</v>
      </c>
      <c r="M1197" s="93" t="s">
        <v>113</v>
      </c>
      <c r="N1197" s="93">
        <v>9.3000000000000007</v>
      </c>
      <c r="O1197" s="93">
        <v>30.3</v>
      </c>
      <c r="P1197" s="93">
        <v>48.4</v>
      </c>
      <c r="Q1197" s="93" t="s">
        <v>7166</v>
      </c>
      <c r="R1197" s="93" t="s">
        <v>16</v>
      </c>
      <c r="S1197" s="93" t="s">
        <v>383</v>
      </c>
      <c r="T1197" s="93" t="s">
        <v>116</v>
      </c>
      <c r="U1197" s="94">
        <v>44642.515972222223</v>
      </c>
      <c r="V1197" s="93" t="s">
        <v>33</v>
      </c>
      <c r="W1197" s="93" t="s">
        <v>9</v>
      </c>
    </row>
    <row r="1198" spans="1:23" x14ac:dyDescent="0.15">
      <c r="A1198" s="93" t="s">
        <v>8161</v>
      </c>
      <c r="B1198" s="93" t="s">
        <v>8162</v>
      </c>
      <c r="C1198" s="93">
        <v>966.6</v>
      </c>
      <c r="D1198" s="93" t="s">
        <v>9</v>
      </c>
      <c r="E1198" s="93" t="s">
        <v>9</v>
      </c>
      <c r="F1198" s="93" t="s">
        <v>33</v>
      </c>
      <c r="G1198" s="93" t="s">
        <v>8152</v>
      </c>
      <c r="H1198" s="93" t="s">
        <v>8064</v>
      </c>
      <c r="I1198" s="93" t="s">
        <v>111</v>
      </c>
      <c r="J1198" s="93" t="s">
        <v>33</v>
      </c>
      <c r="K1198" s="93">
        <v>90</v>
      </c>
      <c r="L1198" s="93">
        <v>3.46</v>
      </c>
      <c r="M1198" s="93" t="s">
        <v>113</v>
      </c>
      <c r="N1198" s="93">
        <v>9.3000000000000007</v>
      </c>
      <c r="O1198" s="93">
        <v>30.3</v>
      </c>
      <c r="P1198" s="93">
        <v>48.4</v>
      </c>
      <c r="Q1198" s="93" t="s">
        <v>8077</v>
      </c>
      <c r="R1198" s="93" t="s">
        <v>16</v>
      </c>
      <c r="S1198" s="93" t="s">
        <v>384</v>
      </c>
      <c r="T1198" s="93" t="s">
        <v>116</v>
      </c>
      <c r="U1198" s="94">
        <v>44642.515972222223</v>
      </c>
      <c r="V1198" s="93" t="s">
        <v>33</v>
      </c>
      <c r="W1198" s="93" t="s">
        <v>9</v>
      </c>
    </row>
    <row r="1199" spans="1:23" x14ac:dyDescent="0.15">
      <c r="A1199" s="93" t="s">
        <v>8163</v>
      </c>
      <c r="B1199" s="93" t="s">
        <v>8164</v>
      </c>
      <c r="C1199" s="93">
        <v>966.6</v>
      </c>
      <c r="D1199" s="93" t="s">
        <v>9</v>
      </c>
      <c r="E1199" s="93" t="s">
        <v>9</v>
      </c>
      <c r="F1199" s="93" t="s">
        <v>33</v>
      </c>
      <c r="G1199" s="93" t="s">
        <v>8152</v>
      </c>
      <c r="H1199" s="93" t="s">
        <v>8064</v>
      </c>
      <c r="I1199" s="93" t="s">
        <v>111</v>
      </c>
      <c r="J1199" s="93" t="s">
        <v>33</v>
      </c>
      <c r="K1199" s="93">
        <v>90</v>
      </c>
      <c r="L1199" s="93">
        <v>3.4870000000000001</v>
      </c>
      <c r="M1199" s="93" t="s">
        <v>113</v>
      </c>
      <c r="N1199" s="93">
        <v>9.3000000000000007</v>
      </c>
      <c r="O1199" s="93">
        <v>30.3</v>
      </c>
      <c r="P1199" s="93">
        <v>48.4</v>
      </c>
      <c r="Q1199" s="93" t="s">
        <v>8077</v>
      </c>
      <c r="R1199" s="93" t="s">
        <v>16</v>
      </c>
      <c r="S1199" s="93" t="s">
        <v>384</v>
      </c>
      <c r="T1199" s="93" t="s">
        <v>116</v>
      </c>
      <c r="U1199" s="94">
        <v>44642.560416666667</v>
      </c>
      <c r="V1199" s="93" t="s">
        <v>33</v>
      </c>
      <c r="W1199" s="93" t="s">
        <v>9</v>
      </c>
    </row>
    <row r="1200" spans="1:23" x14ac:dyDescent="0.15">
      <c r="A1200" s="93" t="s">
        <v>8165</v>
      </c>
      <c r="B1200" s="93" t="s">
        <v>8166</v>
      </c>
      <c r="C1200" s="93">
        <v>966.6</v>
      </c>
      <c r="D1200" s="93" t="s">
        <v>9</v>
      </c>
      <c r="E1200" s="93" t="s">
        <v>9</v>
      </c>
      <c r="F1200" s="93" t="s">
        <v>33</v>
      </c>
      <c r="G1200" s="93" t="s">
        <v>8152</v>
      </c>
      <c r="H1200" s="93" t="s">
        <v>8064</v>
      </c>
      <c r="I1200" s="93" t="s">
        <v>111</v>
      </c>
      <c r="J1200" s="93" t="s">
        <v>33</v>
      </c>
      <c r="K1200" s="93">
        <v>90</v>
      </c>
      <c r="L1200" s="93">
        <v>3.44</v>
      </c>
      <c r="M1200" s="93" t="s">
        <v>113</v>
      </c>
      <c r="N1200" s="93">
        <v>9.3000000000000007</v>
      </c>
      <c r="O1200" s="93">
        <v>30.3</v>
      </c>
      <c r="P1200" s="93">
        <v>48.4</v>
      </c>
      <c r="Q1200" s="93" t="s">
        <v>8077</v>
      </c>
      <c r="R1200" s="93" t="s">
        <v>16</v>
      </c>
      <c r="S1200" s="93" t="s">
        <v>384</v>
      </c>
      <c r="T1200" s="93" t="s">
        <v>116</v>
      </c>
      <c r="U1200" s="94">
        <v>44642.538194444445</v>
      </c>
      <c r="V1200" s="93" t="s">
        <v>33</v>
      </c>
      <c r="W1200" s="93" t="s">
        <v>9</v>
      </c>
    </row>
    <row r="1201" spans="1:23" x14ac:dyDescent="0.15">
      <c r="A1201" s="93" t="s">
        <v>8167</v>
      </c>
      <c r="B1201" s="93" t="s">
        <v>8168</v>
      </c>
      <c r="C1201" s="93">
        <v>1024.5999999999999</v>
      </c>
      <c r="D1201" s="93" t="s">
        <v>9</v>
      </c>
      <c r="E1201" s="93" t="s">
        <v>9</v>
      </c>
      <c r="F1201" s="93" t="s">
        <v>33</v>
      </c>
      <c r="G1201" s="93" t="s">
        <v>8152</v>
      </c>
      <c r="H1201" s="93" t="s">
        <v>8064</v>
      </c>
      <c r="I1201" s="93" t="s">
        <v>111</v>
      </c>
      <c r="J1201" s="93" t="s">
        <v>33</v>
      </c>
      <c r="K1201" s="93">
        <v>90</v>
      </c>
      <c r="L1201" s="93">
        <v>3.44</v>
      </c>
      <c r="M1201" s="93" t="s">
        <v>113</v>
      </c>
      <c r="N1201" s="93">
        <v>9.3000000000000007</v>
      </c>
      <c r="O1201" s="93">
        <v>30.3</v>
      </c>
      <c r="P1201" s="93">
        <v>48.4</v>
      </c>
      <c r="Q1201" s="93" t="s">
        <v>8077</v>
      </c>
      <c r="R1201" s="93" t="s">
        <v>16</v>
      </c>
      <c r="S1201" s="93" t="s">
        <v>384</v>
      </c>
      <c r="T1201" s="93" t="s">
        <v>116</v>
      </c>
      <c r="U1201" s="94">
        <v>44642.47152777778</v>
      </c>
      <c r="V1201" s="93" t="s">
        <v>33</v>
      </c>
      <c r="W1201" s="93" t="s">
        <v>9</v>
      </c>
    </row>
    <row r="1202" spans="1:23" x14ac:dyDescent="0.15">
      <c r="A1202" s="93" t="s">
        <v>8169</v>
      </c>
      <c r="B1202" s="93" t="s">
        <v>8170</v>
      </c>
      <c r="C1202" s="93">
        <v>9.67</v>
      </c>
      <c r="D1202" s="93" t="s">
        <v>24</v>
      </c>
      <c r="E1202" s="93" t="s">
        <v>24</v>
      </c>
      <c r="F1202" s="93" t="s">
        <v>7070</v>
      </c>
      <c r="G1202" s="93" t="s">
        <v>8059</v>
      </c>
      <c r="H1202" s="93" t="s">
        <v>11</v>
      </c>
      <c r="I1202" s="93" t="s">
        <v>111</v>
      </c>
      <c r="J1202" s="93" t="s">
        <v>33</v>
      </c>
      <c r="K1202" s="93">
        <v>90</v>
      </c>
      <c r="L1202" s="93">
        <v>0.1</v>
      </c>
      <c r="M1202" s="93" t="s">
        <v>113</v>
      </c>
      <c r="N1202" s="93">
        <v>2.95</v>
      </c>
      <c r="O1202" s="93">
        <v>6.9</v>
      </c>
      <c r="P1202" s="93">
        <v>7.3</v>
      </c>
      <c r="Q1202" s="93" t="s">
        <v>385</v>
      </c>
      <c r="R1202" s="93" t="s">
        <v>20</v>
      </c>
      <c r="S1202" s="93" t="s">
        <v>115</v>
      </c>
      <c r="T1202" s="93" t="s">
        <v>116</v>
      </c>
      <c r="U1202" s="94">
        <v>44642.589583333334</v>
      </c>
      <c r="V1202" s="93" t="s">
        <v>8060</v>
      </c>
      <c r="W1202" s="93" t="s">
        <v>9</v>
      </c>
    </row>
    <row r="1203" spans="1:23" x14ac:dyDescent="0.15">
      <c r="A1203" s="93" t="s">
        <v>8171</v>
      </c>
      <c r="B1203" s="93" t="s">
        <v>8172</v>
      </c>
      <c r="C1203" s="93">
        <v>17.82</v>
      </c>
      <c r="D1203" s="93" t="s">
        <v>9</v>
      </c>
      <c r="E1203" s="93" t="s">
        <v>24</v>
      </c>
      <c r="F1203" s="93" t="s">
        <v>7070</v>
      </c>
      <c r="G1203" s="93" t="s">
        <v>8059</v>
      </c>
      <c r="H1203" s="93" t="s">
        <v>11</v>
      </c>
      <c r="I1203" s="93" t="s">
        <v>111</v>
      </c>
      <c r="J1203" s="93" t="s">
        <v>33</v>
      </c>
      <c r="K1203" s="93">
        <v>90</v>
      </c>
      <c r="L1203" s="93">
        <v>0.28199999999999997</v>
      </c>
      <c r="M1203" s="93" t="s">
        <v>113</v>
      </c>
      <c r="N1203" s="93">
        <v>5.05</v>
      </c>
      <c r="O1203" s="93">
        <v>5.9</v>
      </c>
      <c r="P1203" s="93">
        <v>25.7</v>
      </c>
      <c r="Q1203" s="93" t="s">
        <v>385</v>
      </c>
      <c r="R1203" s="93" t="s">
        <v>20</v>
      </c>
      <c r="S1203" s="93" t="s">
        <v>115</v>
      </c>
      <c r="T1203" s="93" t="s">
        <v>116</v>
      </c>
      <c r="U1203" s="94">
        <v>44642.537499999999</v>
      </c>
      <c r="V1203" s="93" t="s">
        <v>8060</v>
      </c>
      <c r="W1203" s="93" t="s">
        <v>9</v>
      </c>
    </row>
    <row r="1204" spans="1:23" x14ac:dyDescent="0.15">
      <c r="A1204" s="93" t="s">
        <v>8173</v>
      </c>
      <c r="B1204" s="93" t="s">
        <v>8174</v>
      </c>
      <c r="C1204" s="93">
        <v>15.95</v>
      </c>
      <c r="D1204" s="93" t="s">
        <v>24</v>
      </c>
      <c r="E1204" s="93" t="s">
        <v>24</v>
      </c>
      <c r="F1204" s="93" t="s">
        <v>7070</v>
      </c>
      <c r="G1204" s="93" t="s">
        <v>8059</v>
      </c>
      <c r="H1204" s="93" t="s">
        <v>11</v>
      </c>
      <c r="I1204" s="93" t="s">
        <v>111</v>
      </c>
      <c r="J1204" s="93" t="s">
        <v>33</v>
      </c>
      <c r="K1204" s="93">
        <v>90</v>
      </c>
      <c r="L1204" s="93">
        <v>2.8849999999999998</v>
      </c>
      <c r="M1204" s="93" t="s">
        <v>113</v>
      </c>
      <c r="N1204" s="93">
        <v>5.0999999999999996</v>
      </c>
      <c r="O1204" s="93">
        <v>24</v>
      </c>
      <c r="P1204" s="93">
        <v>6.9</v>
      </c>
      <c r="Q1204" s="93" t="s">
        <v>385</v>
      </c>
      <c r="R1204" s="93" t="s">
        <v>20</v>
      </c>
      <c r="S1204" s="93" t="s">
        <v>115</v>
      </c>
      <c r="T1204" s="93" t="s">
        <v>116</v>
      </c>
      <c r="U1204" s="94">
        <v>44642.552777777775</v>
      </c>
      <c r="V1204" s="93" t="s">
        <v>8060</v>
      </c>
      <c r="W1204" s="93" t="s">
        <v>9</v>
      </c>
    </row>
    <row r="1205" spans="1:23" x14ac:dyDescent="0.15">
      <c r="A1205" s="93" t="s">
        <v>8175</v>
      </c>
      <c r="B1205" s="93" t="s">
        <v>8176</v>
      </c>
      <c r="C1205" s="93">
        <v>17.23</v>
      </c>
      <c r="D1205" s="93" t="s">
        <v>24</v>
      </c>
      <c r="E1205" s="93" t="s">
        <v>24</v>
      </c>
      <c r="F1205" s="93" t="s">
        <v>7070</v>
      </c>
      <c r="G1205" s="93" t="s">
        <v>8059</v>
      </c>
      <c r="H1205" s="93" t="s">
        <v>11</v>
      </c>
      <c r="I1205" s="93" t="s">
        <v>111</v>
      </c>
      <c r="J1205" s="93" t="s">
        <v>33</v>
      </c>
      <c r="K1205" s="93">
        <v>90</v>
      </c>
      <c r="L1205" s="93">
        <v>0.26200000000000001</v>
      </c>
      <c r="M1205" s="93" t="s">
        <v>113</v>
      </c>
      <c r="N1205" s="93">
        <v>5.05</v>
      </c>
      <c r="O1205" s="93">
        <v>5.9</v>
      </c>
      <c r="P1205" s="93">
        <v>25.7</v>
      </c>
      <c r="Q1205" s="93" t="s">
        <v>385</v>
      </c>
      <c r="R1205" s="93" t="s">
        <v>20</v>
      </c>
      <c r="S1205" s="93" t="s">
        <v>115</v>
      </c>
      <c r="T1205" s="93" t="s">
        <v>116</v>
      </c>
      <c r="U1205" s="94">
        <v>44642.554166666669</v>
      </c>
      <c r="V1205" s="93" t="s">
        <v>8060</v>
      </c>
      <c r="W1205" s="93" t="s">
        <v>9</v>
      </c>
    </row>
    <row r="1206" spans="1:23" x14ac:dyDescent="0.15">
      <c r="A1206" s="93" t="s">
        <v>8177</v>
      </c>
      <c r="B1206" s="93" t="s">
        <v>8178</v>
      </c>
      <c r="C1206" s="93">
        <v>696.6</v>
      </c>
      <c r="D1206" s="93" t="s">
        <v>24</v>
      </c>
      <c r="E1206" s="93" t="s">
        <v>24</v>
      </c>
      <c r="F1206" s="93" t="s">
        <v>7070</v>
      </c>
      <c r="G1206" s="93" t="s">
        <v>8059</v>
      </c>
      <c r="H1206" s="93" t="s">
        <v>11</v>
      </c>
      <c r="I1206" s="93" t="s">
        <v>111</v>
      </c>
      <c r="J1206" s="93" t="s">
        <v>33</v>
      </c>
      <c r="K1206" s="93">
        <v>90</v>
      </c>
      <c r="L1206" s="93">
        <v>1.33</v>
      </c>
      <c r="M1206" s="93" t="s">
        <v>113</v>
      </c>
      <c r="N1206" s="93">
        <v>32.5</v>
      </c>
      <c r="O1206" s="93">
        <v>10.4</v>
      </c>
      <c r="P1206" s="93">
        <v>16</v>
      </c>
      <c r="Q1206" s="93" t="s">
        <v>121</v>
      </c>
      <c r="R1206" s="93" t="s">
        <v>16</v>
      </c>
      <c r="S1206" s="93" t="s">
        <v>115</v>
      </c>
      <c r="T1206" s="93" t="s">
        <v>116</v>
      </c>
      <c r="U1206" s="94">
        <v>44642.556944444441</v>
      </c>
      <c r="V1206" s="93" t="s">
        <v>8060</v>
      </c>
      <c r="W1206" s="93" t="s">
        <v>9</v>
      </c>
    </row>
    <row r="1207" spans="1:23" x14ac:dyDescent="0.15">
      <c r="A1207" s="93" t="s">
        <v>8179</v>
      </c>
      <c r="B1207" s="93" t="s">
        <v>8180</v>
      </c>
      <c r="C1207" s="93">
        <v>372.6</v>
      </c>
      <c r="D1207" s="93" t="s">
        <v>24</v>
      </c>
      <c r="E1207" s="93" t="s">
        <v>24</v>
      </c>
      <c r="F1207" s="93" t="s">
        <v>7070</v>
      </c>
      <c r="G1207" s="93" t="s">
        <v>8059</v>
      </c>
      <c r="H1207" s="93" t="s">
        <v>11</v>
      </c>
      <c r="I1207" s="93" t="s">
        <v>111</v>
      </c>
      <c r="J1207" s="93" t="s">
        <v>33</v>
      </c>
      <c r="K1207" s="93">
        <v>90</v>
      </c>
      <c r="L1207" s="93">
        <v>1.33</v>
      </c>
      <c r="M1207" s="93" t="s">
        <v>113</v>
      </c>
      <c r="N1207" s="93">
        <v>32.5</v>
      </c>
      <c r="O1207" s="93">
        <v>10.4</v>
      </c>
      <c r="P1207" s="93">
        <v>16</v>
      </c>
      <c r="Q1207" s="93" t="s">
        <v>121</v>
      </c>
      <c r="R1207" s="93" t="s">
        <v>16</v>
      </c>
      <c r="S1207" s="93" t="s">
        <v>115</v>
      </c>
      <c r="T1207" s="93" t="s">
        <v>116</v>
      </c>
      <c r="U1207" s="94">
        <v>44642.468055555553</v>
      </c>
      <c r="V1207" s="93" t="s">
        <v>8060</v>
      </c>
      <c r="W1207" s="93" t="s">
        <v>9</v>
      </c>
    </row>
    <row r="1208" spans="1:23" x14ac:dyDescent="0.15">
      <c r="A1208" s="93" t="s">
        <v>8181</v>
      </c>
      <c r="B1208" s="93" t="s">
        <v>8182</v>
      </c>
      <c r="C1208" s="93">
        <v>588.6</v>
      </c>
      <c r="D1208" s="93" t="s">
        <v>24</v>
      </c>
      <c r="E1208" s="93" t="s">
        <v>24</v>
      </c>
      <c r="F1208" s="93" t="s">
        <v>7070</v>
      </c>
      <c r="G1208" s="93" t="s">
        <v>8059</v>
      </c>
      <c r="H1208" s="93" t="s">
        <v>11</v>
      </c>
      <c r="I1208" s="93" t="s">
        <v>111</v>
      </c>
      <c r="J1208" s="93" t="s">
        <v>33</v>
      </c>
      <c r="K1208" s="93">
        <v>90</v>
      </c>
      <c r="L1208" s="93">
        <v>1.33</v>
      </c>
      <c r="M1208" s="93" t="s">
        <v>113</v>
      </c>
      <c r="N1208" s="93">
        <v>32.5</v>
      </c>
      <c r="O1208" s="93">
        <v>10.4</v>
      </c>
      <c r="P1208" s="93">
        <v>16</v>
      </c>
      <c r="Q1208" s="93" t="s">
        <v>121</v>
      </c>
      <c r="R1208" s="93" t="s">
        <v>16</v>
      </c>
      <c r="S1208" s="93" t="s">
        <v>115</v>
      </c>
      <c r="T1208" s="93" t="s">
        <v>116</v>
      </c>
      <c r="U1208" s="94">
        <v>44642.534722222219</v>
      </c>
      <c r="V1208" s="93" t="s">
        <v>8060</v>
      </c>
      <c r="W1208" s="93" t="s">
        <v>9</v>
      </c>
    </row>
    <row r="1209" spans="1:23" x14ac:dyDescent="0.15">
      <c r="A1209" s="93" t="s">
        <v>8183</v>
      </c>
      <c r="B1209" s="93" t="s">
        <v>8184</v>
      </c>
      <c r="C1209" s="93">
        <v>1182.5999999999999</v>
      </c>
      <c r="D1209" s="93" t="s">
        <v>24</v>
      </c>
      <c r="E1209" s="93" t="s">
        <v>24</v>
      </c>
      <c r="F1209" s="93" t="s">
        <v>7070</v>
      </c>
      <c r="G1209" s="93" t="s">
        <v>8059</v>
      </c>
      <c r="H1209" s="93" t="s">
        <v>11</v>
      </c>
      <c r="I1209" s="93" t="s">
        <v>111</v>
      </c>
      <c r="J1209" s="93" t="s">
        <v>33</v>
      </c>
      <c r="K1209" s="93">
        <v>90</v>
      </c>
      <c r="L1209" s="93" t="s">
        <v>111</v>
      </c>
      <c r="M1209" s="93" t="s">
        <v>111</v>
      </c>
      <c r="N1209" s="93" t="s">
        <v>111</v>
      </c>
      <c r="O1209" s="93" t="s">
        <v>111</v>
      </c>
      <c r="P1209" s="93" t="s">
        <v>111</v>
      </c>
      <c r="Q1209" s="93" t="s">
        <v>121</v>
      </c>
      <c r="R1209" s="93" t="s">
        <v>16</v>
      </c>
      <c r="S1209" s="93" t="s">
        <v>115</v>
      </c>
      <c r="T1209" s="93" t="s">
        <v>116</v>
      </c>
      <c r="U1209" s="94">
        <v>44642.490972222222</v>
      </c>
      <c r="V1209" s="93" t="s">
        <v>8060</v>
      </c>
      <c r="W1209" s="93" t="s">
        <v>9</v>
      </c>
    </row>
    <row r="1210" spans="1:23" x14ac:dyDescent="0.15">
      <c r="A1210" s="93" t="s">
        <v>8185</v>
      </c>
      <c r="B1210" s="93" t="s">
        <v>8186</v>
      </c>
      <c r="C1210" s="93">
        <v>804.6</v>
      </c>
      <c r="D1210" s="93" t="s">
        <v>24</v>
      </c>
      <c r="E1210" s="93" t="s">
        <v>24</v>
      </c>
      <c r="F1210" s="93" t="s">
        <v>7070</v>
      </c>
      <c r="G1210" s="93" t="s">
        <v>8059</v>
      </c>
      <c r="H1210" s="93" t="s">
        <v>11</v>
      </c>
      <c r="I1210" s="93" t="s">
        <v>111</v>
      </c>
      <c r="J1210" s="93" t="s">
        <v>33</v>
      </c>
      <c r="K1210" s="93">
        <v>90</v>
      </c>
      <c r="L1210" s="93" t="s">
        <v>111</v>
      </c>
      <c r="M1210" s="93" t="s">
        <v>111</v>
      </c>
      <c r="N1210" s="93" t="s">
        <v>111</v>
      </c>
      <c r="O1210" s="93" t="s">
        <v>111</v>
      </c>
      <c r="P1210" s="93" t="s">
        <v>111</v>
      </c>
      <c r="Q1210" s="93" t="s">
        <v>121</v>
      </c>
      <c r="R1210" s="93" t="s">
        <v>16</v>
      </c>
      <c r="S1210" s="93" t="s">
        <v>115</v>
      </c>
      <c r="T1210" s="93" t="s">
        <v>116</v>
      </c>
      <c r="U1210" s="94">
        <v>44642.468055555553</v>
      </c>
      <c r="V1210" s="93" t="s">
        <v>8060</v>
      </c>
      <c r="W1210" s="93" t="s">
        <v>9</v>
      </c>
    </row>
    <row r="1211" spans="1:23" x14ac:dyDescent="0.15">
      <c r="A1211" s="93" t="s">
        <v>8187</v>
      </c>
      <c r="B1211" s="93" t="s">
        <v>8188</v>
      </c>
      <c r="C1211" s="93">
        <v>1020.6</v>
      </c>
      <c r="D1211" s="93" t="s">
        <v>24</v>
      </c>
      <c r="E1211" s="93" t="s">
        <v>24</v>
      </c>
      <c r="F1211" s="93" t="s">
        <v>7070</v>
      </c>
      <c r="G1211" s="93" t="s">
        <v>8059</v>
      </c>
      <c r="H1211" s="93" t="s">
        <v>11</v>
      </c>
      <c r="I1211" s="93" t="s">
        <v>111</v>
      </c>
      <c r="J1211" s="93" t="s">
        <v>33</v>
      </c>
      <c r="K1211" s="93">
        <v>90</v>
      </c>
      <c r="L1211" s="93" t="s">
        <v>111</v>
      </c>
      <c r="M1211" s="93" t="s">
        <v>111</v>
      </c>
      <c r="N1211" s="93" t="s">
        <v>111</v>
      </c>
      <c r="O1211" s="93" t="s">
        <v>111</v>
      </c>
      <c r="P1211" s="93" t="s">
        <v>111</v>
      </c>
      <c r="Q1211" s="93" t="s">
        <v>121</v>
      </c>
      <c r="R1211" s="93" t="s">
        <v>16</v>
      </c>
      <c r="S1211" s="93" t="s">
        <v>115</v>
      </c>
      <c r="T1211" s="93" t="s">
        <v>116</v>
      </c>
      <c r="U1211" s="94">
        <v>44642.589583333334</v>
      </c>
      <c r="V1211" s="93" t="s">
        <v>8060</v>
      </c>
      <c r="W1211" s="93" t="s">
        <v>9</v>
      </c>
    </row>
    <row r="1212" spans="1:23" x14ac:dyDescent="0.15">
      <c r="A1212" s="93" t="s">
        <v>8189</v>
      </c>
      <c r="B1212" s="93" t="s">
        <v>8190</v>
      </c>
      <c r="C1212" s="93">
        <v>1830.6</v>
      </c>
      <c r="D1212" s="93" t="s">
        <v>9</v>
      </c>
      <c r="E1212" s="93" t="s">
        <v>9</v>
      </c>
      <c r="F1212" s="93" t="s">
        <v>33</v>
      </c>
      <c r="G1212" s="93" t="s">
        <v>8191</v>
      </c>
      <c r="H1212" s="93" t="s">
        <v>8064</v>
      </c>
      <c r="I1212" s="93" t="s">
        <v>111</v>
      </c>
      <c r="J1212" s="93" t="s">
        <v>33</v>
      </c>
      <c r="K1212" s="93">
        <v>90</v>
      </c>
      <c r="L1212" s="93">
        <v>4.5</v>
      </c>
      <c r="M1212" s="93" t="s">
        <v>113</v>
      </c>
      <c r="N1212" s="93">
        <v>9.3000000000000007</v>
      </c>
      <c r="O1212" s="93">
        <v>48.4</v>
      </c>
      <c r="P1212" s="93">
        <v>34.299999999999997</v>
      </c>
      <c r="Q1212" s="93" t="s">
        <v>7166</v>
      </c>
      <c r="R1212" s="93" t="s">
        <v>16</v>
      </c>
      <c r="S1212" s="93" t="s">
        <v>383</v>
      </c>
      <c r="T1212" s="93" t="s">
        <v>116</v>
      </c>
      <c r="U1212" s="94">
        <v>44642.513888888891</v>
      </c>
      <c r="V1212" s="93" t="s">
        <v>33</v>
      </c>
      <c r="W1212" s="93" t="s">
        <v>9</v>
      </c>
    </row>
    <row r="1213" spans="1:23" x14ac:dyDescent="0.15">
      <c r="A1213" s="93" t="s">
        <v>8192</v>
      </c>
      <c r="B1213" s="93" t="s">
        <v>8193</v>
      </c>
      <c r="C1213" s="93">
        <v>1830.6</v>
      </c>
      <c r="D1213" s="93" t="s">
        <v>9</v>
      </c>
      <c r="E1213" s="93" t="s">
        <v>9</v>
      </c>
      <c r="F1213" s="93" t="s">
        <v>33</v>
      </c>
      <c r="G1213" s="93" t="s">
        <v>8191</v>
      </c>
      <c r="H1213" s="93" t="s">
        <v>8064</v>
      </c>
      <c r="I1213" s="93" t="s">
        <v>111</v>
      </c>
      <c r="J1213" s="93" t="s">
        <v>33</v>
      </c>
      <c r="K1213" s="93">
        <v>90</v>
      </c>
      <c r="L1213" s="93">
        <v>4.5</v>
      </c>
      <c r="M1213" s="93" t="s">
        <v>113</v>
      </c>
      <c r="N1213" s="93">
        <v>9.3000000000000007</v>
      </c>
      <c r="O1213" s="93">
        <v>48.4</v>
      </c>
      <c r="P1213" s="93">
        <v>34.299999999999997</v>
      </c>
      <c r="Q1213" s="93" t="s">
        <v>7166</v>
      </c>
      <c r="R1213" s="93" t="s">
        <v>16</v>
      </c>
      <c r="S1213" s="93" t="s">
        <v>383</v>
      </c>
      <c r="T1213" s="93" t="s">
        <v>116</v>
      </c>
      <c r="U1213" s="94">
        <v>44642.532638888886</v>
      </c>
      <c r="V1213" s="93" t="s">
        <v>33</v>
      </c>
      <c r="W1213" s="93" t="s">
        <v>9</v>
      </c>
    </row>
    <row r="1214" spans="1:23" x14ac:dyDescent="0.15">
      <c r="A1214" s="93" t="s">
        <v>8194</v>
      </c>
      <c r="B1214" s="93" t="s">
        <v>8195</v>
      </c>
      <c r="C1214" s="93">
        <v>2262.6</v>
      </c>
      <c r="D1214" s="93" t="s">
        <v>9</v>
      </c>
      <c r="E1214" s="93" t="s">
        <v>9</v>
      </c>
      <c r="F1214" s="93" t="s">
        <v>33</v>
      </c>
      <c r="G1214" s="93" t="s">
        <v>8196</v>
      </c>
      <c r="H1214" s="93" t="s">
        <v>8064</v>
      </c>
      <c r="I1214" s="93" t="s">
        <v>111</v>
      </c>
      <c r="J1214" s="93" t="s">
        <v>33</v>
      </c>
      <c r="K1214" s="93">
        <v>90</v>
      </c>
      <c r="L1214" s="93">
        <v>6.57</v>
      </c>
      <c r="M1214" s="93" t="s">
        <v>113</v>
      </c>
      <c r="N1214" s="93">
        <v>55.1</v>
      </c>
      <c r="O1214" s="93">
        <v>12.8</v>
      </c>
      <c r="P1214" s="93">
        <v>48.5</v>
      </c>
      <c r="Q1214" s="93" t="s">
        <v>7166</v>
      </c>
      <c r="R1214" s="93" t="s">
        <v>16</v>
      </c>
      <c r="S1214" s="93" t="s">
        <v>383</v>
      </c>
      <c r="T1214" s="93" t="s">
        <v>116</v>
      </c>
      <c r="U1214" s="94">
        <v>44642.590277777781</v>
      </c>
      <c r="V1214" s="93" t="s">
        <v>33</v>
      </c>
      <c r="W1214" s="93" t="s">
        <v>9</v>
      </c>
    </row>
    <row r="1215" spans="1:23" x14ac:dyDescent="0.15">
      <c r="A1215" s="93" t="s">
        <v>8197</v>
      </c>
      <c r="B1215" s="93" t="s">
        <v>8198</v>
      </c>
      <c r="C1215" s="93">
        <v>2262.6</v>
      </c>
      <c r="D1215" s="93" t="s">
        <v>9</v>
      </c>
      <c r="E1215" s="93" t="s">
        <v>9</v>
      </c>
      <c r="F1215" s="93" t="s">
        <v>33</v>
      </c>
      <c r="G1215" s="93" t="s">
        <v>8196</v>
      </c>
      <c r="H1215" s="93" t="s">
        <v>8064</v>
      </c>
      <c r="I1215" s="93" t="s">
        <v>111</v>
      </c>
      <c r="J1215" s="93" t="s">
        <v>33</v>
      </c>
      <c r="K1215" s="93">
        <v>90</v>
      </c>
      <c r="L1215" s="93">
        <v>6.57</v>
      </c>
      <c r="M1215" s="93" t="s">
        <v>113</v>
      </c>
      <c r="N1215" s="93">
        <v>55.1</v>
      </c>
      <c r="O1215" s="93">
        <v>12.8</v>
      </c>
      <c r="P1215" s="93">
        <v>48.5</v>
      </c>
      <c r="Q1215" s="93" t="s">
        <v>7166</v>
      </c>
      <c r="R1215" s="93" t="s">
        <v>16</v>
      </c>
      <c r="S1215" s="93" t="s">
        <v>383</v>
      </c>
      <c r="T1215" s="93" t="s">
        <v>116</v>
      </c>
      <c r="U1215" s="94">
        <v>44642.587500000001</v>
      </c>
      <c r="V1215" s="93" t="s">
        <v>33</v>
      </c>
      <c r="W1215" s="93" t="s">
        <v>9</v>
      </c>
    </row>
    <row r="1216" spans="1:23" x14ac:dyDescent="0.15">
      <c r="A1216" s="93" t="s">
        <v>8199</v>
      </c>
      <c r="B1216" s="93" t="s">
        <v>8200</v>
      </c>
      <c r="C1216" s="93">
        <v>1938.6</v>
      </c>
      <c r="D1216" s="93" t="s">
        <v>9</v>
      </c>
      <c r="E1216" s="93" t="s">
        <v>9</v>
      </c>
      <c r="F1216" s="93" t="s">
        <v>33</v>
      </c>
      <c r="G1216" s="93" t="s">
        <v>8201</v>
      </c>
      <c r="H1216" s="93" t="s">
        <v>8064</v>
      </c>
      <c r="I1216" s="93" t="s">
        <v>111</v>
      </c>
      <c r="J1216" s="93" t="s">
        <v>33</v>
      </c>
      <c r="K1216" s="93">
        <v>90</v>
      </c>
      <c r="L1216" s="93">
        <v>5.6</v>
      </c>
      <c r="M1216" s="93" t="s">
        <v>113</v>
      </c>
      <c r="N1216" s="93">
        <v>55.1</v>
      </c>
      <c r="O1216" s="93">
        <v>12.8</v>
      </c>
      <c r="P1216" s="93">
        <v>48.5</v>
      </c>
      <c r="Q1216" s="93" t="s">
        <v>7166</v>
      </c>
      <c r="R1216" s="93" t="s">
        <v>16</v>
      </c>
      <c r="S1216" s="93" t="s">
        <v>383</v>
      </c>
      <c r="T1216" s="93" t="s">
        <v>116</v>
      </c>
      <c r="U1216" s="94">
        <v>44642.446527777778</v>
      </c>
      <c r="V1216" s="93" t="s">
        <v>33</v>
      </c>
      <c r="W1216" s="93" t="s">
        <v>9</v>
      </c>
    </row>
    <row r="1217" spans="1:23" x14ac:dyDescent="0.15">
      <c r="A1217" s="93" t="s">
        <v>8202</v>
      </c>
      <c r="B1217" s="93" t="s">
        <v>8203</v>
      </c>
      <c r="C1217" s="93">
        <v>1938.6</v>
      </c>
      <c r="D1217" s="93" t="s">
        <v>9</v>
      </c>
      <c r="E1217" s="93" t="s">
        <v>9</v>
      </c>
      <c r="F1217" s="93" t="s">
        <v>33</v>
      </c>
      <c r="G1217" s="93" t="s">
        <v>8201</v>
      </c>
      <c r="H1217" s="93" t="s">
        <v>8064</v>
      </c>
      <c r="I1217" s="93" t="s">
        <v>111</v>
      </c>
      <c r="J1217" s="93" t="s">
        <v>33</v>
      </c>
      <c r="K1217" s="93">
        <v>90</v>
      </c>
      <c r="L1217" s="93">
        <v>5.6</v>
      </c>
      <c r="M1217" s="93" t="s">
        <v>113</v>
      </c>
      <c r="N1217" s="93">
        <v>55.1</v>
      </c>
      <c r="O1217" s="93">
        <v>12.8</v>
      </c>
      <c r="P1217" s="93">
        <v>48.5</v>
      </c>
      <c r="Q1217" s="93" t="s">
        <v>7166</v>
      </c>
      <c r="R1217" s="93" t="s">
        <v>16</v>
      </c>
      <c r="S1217" s="93" t="s">
        <v>383</v>
      </c>
      <c r="T1217" s="93" t="s">
        <v>116</v>
      </c>
      <c r="U1217" s="94">
        <v>44642.554861111108</v>
      </c>
      <c r="V1217" s="93" t="s">
        <v>33</v>
      </c>
      <c r="W1217" s="93" t="s">
        <v>9</v>
      </c>
    </row>
    <row r="1218" spans="1:23" x14ac:dyDescent="0.15">
      <c r="A1218" s="93" t="s">
        <v>8204</v>
      </c>
      <c r="B1218" s="93" t="s">
        <v>8205</v>
      </c>
      <c r="C1218" s="93">
        <v>1614.6</v>
      </c>
      <c r="D1218" s="93" t="s">
        <v>9</v>
      </c>
      <c r="E1218" s="93" t="s">
        <v>9</v>
      </c>
      <c r="F1218" s="93" t="s">
        <v>33</v>
      </c>
      <c r="G1218" s="93" t="s">
        <v>8206</v>
      </c>
      <c r="H1218" s="93" t="s">
        <v>8064</v>
      </c>
      <c r="I1218" s="93" t="s">
        <v>111</v>
      </c>
      <c r="J1218" s="93" t="s">
        <v>33</v>
      </c>
      <c r="K1218" s="93">
        <v>90</v>
      </c>
      <c r="L1218" s="93">
        <v>4.5999999999999996</v>
      </c>
      <c r="M1218" s="93" t="s">
        <v>113</v>
      </c>
      <c r="N1218" s="93">
        <v>9.3000000000000007</v>
      </c>
      <c r="O1218" s="93">
        <v>48.4</v>
      </c>
      <c r="P1218" s="93">
        <v>34.299999999999997</v>
      </c>
      <c r="Q1218" s="93" t="s">
        <v>7166</v>
      </c>
      <c r="R1218" s="93" t="s">
        <v>16</v>
      </c>
      <c r="S1218" s="93" t="s">
        <v>383</v>
      </c>
      <c r="T1218" s="93" t="s">
        <v>116</v>
      </c>
      <c r="U1218" s="94">
        <v>44642.490972222222</v>
      </c>
      <c r="V1218" s="93" t="s">
        <v>33</v>
      </c>
      <c r="W1218" s="93" t="s">
        <v>9</v>
      </c>
    </row>
    <row r="1219" spans="1:23" x14ac:dyDescent="0.15">
      <c r="A1219" s="93" t="s">
        <v>8207</v>
      </c>
      <c r="B1219" s="93" t="s">
        <v>8208</v>
      </c>
      <c r="C1219" s="93">
        <v>1614.6</v>
      </c>
      <c r="D1219" s="93" t="s">
        <v>9</v>
      </c>
      <c r="E1219" s="93" t="s">
        <v>9</v>
      </c>
      <c r="F1219" s="93" t="s">
        <v>33</v>
      </c>
      <c r="G1219" s="93" t="s">
        <v>8206</v>
      </c>
      <c r="H1219" s="93" t="s">
        <v>8064</v>
      </c>
      <c r="I1219" s="93" t="s">
        <v>111</v>
      </c>
      <c r="J1219" s="93" t="s">
        <v>33</v>
      </c>
      <c r="K1219" s="93">
        <v>90</v>
      </c>
      <c r="L1219" s="93">
        <v>4.5999999999999996</v>
      </c>
      <c r="M1219" s="93" t="s">
        <v>113</v>
      </c>
      <c r="N1219" s="93">
        <v>9.3000000000000007</v>
      </c>
      <c r="O1219" s="93">
        <v>48.4</v>
      </c>
      <c r="P1219" s="93">
        <v>34.299999999999997</v>
      </c>
      <c r="Q1219" s="93" t="s">
        <v>7166</v>
      </c>
      <c r="R1219" s="93" t="s">
        <v>16</v>
      </c>
      <c r="S1219" s="93" t="s">
        <v>383</v>
      </c>
      <c r="T1219" s="93" t="s">
        <v>116</v>
      </c>
      <c r="U1219" s="94">
        <v>44642.445138888892</v>
      </c>
      <c r="V1219" s="93" t="s">
        <v>33</v>
      </c>
      <c r="W1219" s="93" t="s">
        <v>9</v>
      </c>
    </row>
    <row r="1220" spans="1:23" x14ac:dyDescent="0.15">
      <c r="A1220" s="93" t="s">
        <v>8209</v>
      </c>
      <c r="B1220" s="93" t="s">
        <v>8210</v>
      </c>
      <c r="C1220" s="93">
        <v>845</v>
      </c>
      <c r="D1220" s="93" t="s">
        <v>9</v>
      </c>
      <c r="E1220" s="93" t="s">
        <v>24</v>
      </c>
      <c r="F1220" s="93" t="s">
        <v>33</v>
      </c>
      <c r="G1220" s="93" t="s">
        <v>8211</v>
      </c>
      <c r="H1220" s="93" t="s">
        <v>8064</v>
      </c>
      <c r="I1220" s="93" t="s">
        <v>111</v>
      </c>
      <c r="J1220" s="93" t="s">
        <v>33</v>
      </c>
      <c r="K1220" s="93">
        <v>90</v>
      </c>
      <c r="L1220" s="93">
        <v>2.38</v>
      </c>
      <c r="M1220" s="93" t="s">
        <v>113</v>
      </c>
      <c r="N1220" s="93">
        <v>4.4000000000000004</v>
      </c>
      <c r="O1220" s="93">
        <v>23</v>
      </c>
      <c r="P1220" s="93">
        <v>28</v>
      </c>
      <c r="Q1220" s="93" t="s">
        <v>7166</v>
      </c>
      <c r="R1220" s="93" t="s">
        <v>20</v>
      </c>
      <c r="S1220" s="93" t="s">
        <v>383</v>
      </c>
      <c r="T1220" s="93" t="s">
        <v>116</v>
      </c>
      <c r="U1220" s="94">
        <v>44642.445138888892</v>
      </c>
      <c r="V1220" s="93" t="s">
        <v>8060</v>
      </c>
      <c r="W1220" s="93" t="s">
        <v>9</v>
      </c>
    </row>
    <row r="1221" spans="1:23" x14ac:dyDescent="0.15">
      <c r="A1221" s="93" t="s">
        <v>8212</v>
      </c>
      <c r="B1221" s="93" t="s">
        <v>8213</v>
      </c>
      <c r="C1221" s="93">
        <v>895.7</v>
      </c>
      <c r="D1221" s="93" t="s">
        <v>9</v>
      </c>
      <c r="E1221" s="93" t="s">
        <v>24</v>
      </c>
      <c r="F1221" s="93" t="s">
        <v>33</v>
      </c>
      <c r="G1221" s="93" t="s">
        <v>8211</v>
      </c>
      <c r="H1221" s="93" t="s">
        <v>8064</v>
      </c>
      <c r="I1221" s="93" t="s">
        <v>111</v>
      </c>
      <c r="J1221" s="93" t="s">
        <v>33</v>
      </c>
      <c r="K1221" s="93">
        <v>90</v>
      </c>
      <c r="L1221" s="93">
        <v>2.1</v>
      </c>
      <c r="M1221" s="93" t="s">
        <v>113</v>
      </c>
      <c r="N1221" s="93">
        <v>4.4000000000000004</v>
      </c>
      <c r="O1221" s="93">
        <v>23</v>
      </c>
      <c r="P1221" s="93">
        <v>28</v>
      </c>
      <c r="Q1221" s="93" t="s">
        <v>7166</v>
      </c>
      <c r="R1221" s="93" t="s">
        <v>20</v>
      </c>
      <c r="S1221" s="93" t="s">
        <v>383</v>
      </c>
      <c r="T1221" s="93" t="s">
        <v>116</v>
      </c>
      <c r="U1221" s="94">
        <v>44642.511111111111</v>
      </c>
      <c r="V1221" s="93" t="s">
        <v>8060</v>
      </c>
      <c r="W1221" s="93" t="s">
        <v>9</v>
      </c>
    </row>
    <row r="1222" spans="1:23" x14ac:dyDescent="0.15">
      <c r="A1222" s="93" t="s">
        <v>8214</v>
      </c>
      <c r="B1222" s="93" t="s">
        <v>8215</v>
      </c>
      <c r="C1222" s="93">
        <v>945</v>
      </c>
      <c r="D1222" s="93" t="s">
        <v>9</v>
      </c>
      <c r="E1222" s="93" t="s">
        <v>24</v>
      </c>
      <c r="F1222" s="93" t="s">
        <v>33</v>
      </c>
      <c r="G1222" s="93" t="s">
        <v>8216</v>
      </c>
      <c r="H1222" s="93" t="s">
        <v>8064</v>
      </c>
      <c r="I1222" s="93" t="s">
        <v>111</v>
      </c>
      <c r="J1222" s="93" t="s">
        <v>33</v>
      </c>
      <c r="K1222" s="93">
        <v>90</v>
      </c>
      <c r="L1222" s="93">
        <v>2.1</v>
      </c>
      <c r="M1222" s="93" t="s">
        <v>113</v>
      </c>
      <c r="N1222" s="93">
        <v>4.4000000000000004</v>
      </c>
      <c r="O1222" s="93">
        <v>23</v>
      </c>
      <c r="P1222" s="93">
        <v>28</v>
      </c>
      <c r="Q1222" s="93" t="s">
        <v>7166</v>
      </c>
      <c r="R1222" s="93" t="s">
        <v>20</v>
      </c>
      <c r="S1222" s="93" t="s">
        <v>383</v>
      </c>
      <c r="T1222" s="93" t="s">
        <v>116</v>
      </c>
      <c r="U1222" s="94">
        <v>44642.554861111108</v>
      </c>
      <c r="V1222" s="93" t="s">
        <v>8060</v>
      </c>
      <c r="W1222" s="93" t="s">
        <v>9</v>
      </c>
    </row>
    <row r="1223" spans="1:23" x14ac:dyDescent="0.15">
      <c r="A1223" s="93" t="s">
        <v>8217</v>
      </c>
      <c r="B1223" s="93" t="s">
        <v>8218</v>
      </c>
      <c r="C1223" s="93">
        <v>1001.7</v>
      </c>
      <c r="D1223" s="93" t="s">
        <v>9</v>
      </c>
      <c r="E1223" s="93" t="s">
        <v>24</v>
      </c>
      <c r="F1223" s="93" t="s">
        <v>33</v>
      </c>
      <c r="G1223" s="93" t="s">
        <v>8216</v>
      </c>
      <c r="H1223" s="93" t="s">
        <v>8064</v>
      </c>
      <c r="I1223" s="93" t="s">
        <v>111</v>
      </c>
      <c r="J1223" s="93" t="s">
        <v>33</v>
      </c>
      <c r="K1223" s="93">
        <v>90</v>
      </c>
      <c r="L1223" s="93">
        <v>2.1</v>
      </c>
      <c r="M1223" s="93" t="s">
        <v>113</v>
      </c>
      <c r="N1223" s="93">
        <v>4.4000000000000004</v>
      </c>
      <c r="O1223" s="93">
        <v>23</v>
      </c>
      <c r="P1223" s="93">
        <v>28</v>
      </c>
      <c r="Q1223" s="93" t="s">
        <v>7166</v>
      </c>
      <c r="R1223" s="93" t="s">
        <v>20</v>
      </c>
      <c r="S1223" s="93" t="s">
        <v>383</v>
      </c>
      <c r="T1223" s="93" t="s">
        <v>116</v>
      </c>
      <c r="U1223" s="94">
        <v>44642.511111111111</v>
      </c>
      <c r="V1223" s="93" t="s">
        <v>8060</v>
      </c>
      <c r="W1223" s="93" t="s">
        <v>9</v>
      </c>
    </row>
    <row r="1224" spans="1:23" x14ac:dyDescent="0.15">
      <c r="A1224" s="93" t="s">
        <v>8219</v>
      </c>
      <c r="B1224" s="93" t="s">
        <v>8220</v>
      </c>
      <c r="C1224" s="93">
        <v>1614.6</v>
      </c>
      <c r="D1224" s="93" t="s">
        <v>9</v>
      </c>
      <c r="E1224" s="93" t="s">
        <v>24</v>
      </c>
      <c r="F1224" s="93" t="s">
        <v>33</v>
      </c>
      <c r="G1224" s="93" t="s">
        <v>8221</v>
      </c>
      <c r="H1224" s="93" t="s">
        <v>8064</v>
      </c>
      <c r="I1224" s="93" t="s">
        <v>111</v>
      </c>
      <c r="J1224" s="93" t="s">
        <v>33</v>
      </c>
      <c r="K1224" s="93">
        <v>90</v>
      </c>
      <c r="L1224" s="93">
        <v>2.73</v>
      </c>
      <c r="M1224" s="93" t="s">
        <v>113</v>
      </c>
      <c r="N1224" s="93">
        <v>9.1999999999999993</v>
      </c>
      <c r="O1224" s="93">
        <v>31.5</v>
      </c>
      <c r="P1224" s="93">
        <v>37.5</v>
      </c>
      <c r="Q1224" s="93" t="s">
        <v>7166</v>
      </c>
      <c r="R1224" s="93" t="s">
        <v>16</v>
      </c>
      <c r="S1224" s="93" t="s">
        <v>383</v>
      </c>
      <c r="T1224" s="93" t="s">
        <v>116</v>
      </c>
      <c r="U1224" s="94">
        <v>44642.489583333336</v>
      </c>
      <c r="V1224" s="93" t="s">
        <v>8060</v>
      </c>
      <c r="W1224" s="93" t="s">
        <v>9</v>
      </c>
    </row>
    <row r="1225" spans="1:23" x14ac:dyDescent="0.15">
      <c r="A1225" s="93" t="s">
        <v>8222</v>
      </c>
      <c r="B1225" s="93" t="s">
        <v>8223</v>
      </c>
      <c r="C1225" s="93">
        <v>1711.48</v>
      </c>
      <c r="D1225" s="93" t="s">
        <v>9</v>
      </c>
      <c r="E1225" s="93" t="s">
        <v>24</v>
      </c>
      <c r="F1225" s="93" t="s">
        <v>33</v>
      </c>
      <c r="G1225" s="93" t="s">
        <v>8221</v>
      </c>
      <c r="H1225" s="93" t="s">
        <v>8064</v>
      </c>
      <c r="I1225" s="93" t="s">
        <v>111</v>
      </c>
      <c r="J1225" s="93" t="s">
        <v>33</v>
      </c>
      <c r="K1225" s="93">
        <v>90</v>
      </c>
      <c r="L1225" s="93">
        <v>2.73</v>
      </c>
      <c r="M1225" s="93" t="s">
        <v>113</v>
      </c>
      <c r="N1225" s="93">
        <v>9.1999999999999993</v>
      </c>
      <c r="O1225" s="93">
        <v>31.5</v>
      </c>
      <c r="P1225" s="93">
        <v>37.5</v>
      </c>
      <c r="Q1225" s="93" t="s">
        <v>7166</v>
      </c>
      <c r="R1225" s="93" t="s">
        <v>16</v>
      </c>
      <c r="S1225" s="93" t="s">
        <v>383</v>
      </c>
      <c r="T1225" s="93" t="s">
        <v>116</v>
      </c>
      <c r="U1225" s="94">
        <v>44642.46597222222</v>
      </c>
      <c r="V1225" s="93" t="s">
        <v>8060</v>
      </c>
      <c r="W1225" s="93" t="s">
        <v>9</v>
      </c>
    </row>
    <row r="1226" spans="1:23" x14ac:dyDescent="0.15">
      <c r="A1226" s="93" t="s">
        <v>8224</v>
      </c>
      <c r="B1226" s="93" t="s">
        <v>8225</v>
      </c>
      <c r="C1226" s="93">
        <v>2370.6</v>
      </c>
      <c r="D1226" s="93" t="s">
        <v>9</v>
      </c>
      <c r="E1226" s="93" t="s">
        <v>24</v>
      </c>
      <c r="F1226" s="93" t="s">
        <v>33</v>
      </c>
      <c r="G1226" s="93" t="s">
        <v>8226</v>
      </c>
      <c r="H1226" s="93" t="s">
        <v>8064</v>
      </c>
      <c r="I1226" s="93" t="s">
        <v>111</v>
      </c>
      <c r="J1226" s="93" t="s">
        <v>33</v>
      </c>
      <c r="K1226" s="93">
        <v>90</v>
      </c>
      <c r="L1226" s="93">
        <v>5.35</v>
      </c>
      <c r="M1226" s="93" t="s">
        <v>113</v>
      </c>
      <c r="N1226" s="93">
        <v>55.1</v>
      </c>
      <c r="O1226" s="93">
        <v>12.8</v>
      </c>
      <c r="P1226" s="93">
        <v>48.5</v>
      </c>
      <c r="Q1226" s="93" t="s">
        <v>7166</v>
      </c>
      <c r="R1226" s="93" t="s">
        <v>16</v>
      </c>
      <c r="S1226" s="93" t="s">
        <v>383</v>
      </c>
      <c r="T1226" s="93" t="s">
        <v>116</v>
      </c>
      <c r="U1226" s="94">
        <v>44642.489583333336</v>
      </c>
      <c r="V1226" s="93" t="s">
        <v>8060</v>
      </c>
      <c r="W1226" s="93" t="s">
        <v>9</v>
      </c>
    </row>
    <row r="1227" spans="1:23" x14ac:dyDescent="0.15">
      <c r="A1227" s="93" t="s">
        <v>8227</v>
      </c>
      <c r="B1227" s="93" t="s">
        <v>8228</v>
      </c>
      <c r="C1227" s="93">
        <v>2512.84</v>
      </c>
      <c r="D1227" s="93" t="s">
        <v>9</v>
      </c>
      <c r="E1227" s="93" t="s">
        <v>24</v>
      </c>
      <c r="F1227" s="93" t="s">
        <v>33</v>
      </c>
      <c r="G1227" s="93" t="s">
        <v>8226</v>
      </c>
      <c r="H1227" s="93" t="s">
        <v>8064</v>
      </c>
      <c r="I1227" s="93" t="s">
        <v>111</v>
      </c>
      <c r="J1227" s="93" t="s">
        <v>33</v>
      </c>
      <c r="K1227" s="93">
        <v>90</v>
      </c>
      <c r="L1227" s="93">
        <v>5.35</v>
      </c>
      <c r="M1227" s="93" t="s">
        <v>113</v>
      </c>
      <c r="N1227" s="93">
        <v>55.1</v>
      </c>
      <c r="O1227" s="93">
        <v>12.8</v>
      </c>
      <c r="P1227" s="93">
        <v>48.5</v>
      </c>
      <c r="Q1227" s="93" t="s">
        <v>7166</v>
      </c>
      <c r="R1227" s="93" t="s">
        <v>16</v>
      </c>
      <c r="S1227" s="93" t="s">
        <v>383</v>
      </c>
      <c r="T1227" s="93" t="s">
        <v>116</v>
      </c>
      <c r="U1227" s="94">
        <v>44642.46597222222</v>
      </c>
      <c r="V1227" s="93" t="s">
        <v>8060</v>
      </c>
      <c r="W1227" s="93" t="s">
        <v>9</v>
      </c>
    </row>
    <row r="1228" spans="1:23" x14ac:dyDescent="0.15">
      <c r="A1228" s="93" t="s">
        <v>8229</v>
      </c>
      <c r="B1228" s="93" t="s">
        <v>8230</v>
      </c>
      <c r="C1228" s="93">
        <v>2694.6</v>
      </c>
      <c r="D1228" s="93" t="s">
        <v>9</v>
      </c>
      <c r="E1228" s="93" t="s">
        <v>24</v>
      </c>
      <c r="F1228" s="93" t="s">
        <v>33</v>
      </c>
      <c r="G1228" s="93" t="s">
        <v>8231</v>
      </c>
      <c r="H1228" s="93" t="s">
        <v>8064</v>
      </c>
      <c r="I1228" s="93" t="s">
        <v>111</v>
      </c>
      <c r="J1228" s="93" t="s">
        <v>33</v>
      </c>
      <c r="K1228" s="93">
        <v>90</v>
      </c>
      <c r="L1228" s="93">
        <v>5.4</v>
      </c>
      <c r="M1228" s="93" t="s">
        <v>113</v>
      </c>
      <c r="N1228" s="93">
        <v>55.1</v>
      </c>
      <c r="O1228" s="93">
        <v>12.8</v>
      </c>
      <c r="P1228" s="93">
        <v>48.5</v>
      </c>
      <c r="Q1228" s="93" t="s">
        <v>7166</v>
      </c>
      <c r="R1228" s="93" t="s">
        <v>16</v>
      </c>
      <c r="S1228" s="93" t="s">
        <v>383</v>
      </c>
      <c r="T1228" s="93" t="s">
        <v>116</v>
      </c>
      <c r="U1228" s="94">
        <v>44642.466666666667</v>
      </c>
      <c r="V1228" s="93" t="s">
        <v>8060</v>
      </c>
      <c r="W1228" s="93" t="s">
        <v>9</v>
      </c>
    </row>
    <row r="1229" spans="1:23" x14ac:dyDescent="0.15">
      <c r="A1229" s="93" t="s">
        <v>8232</v>
      </c>
      <c r="B1229" s="93" t="s">
        <v>8233</v>
      </c>
      <c r="C1229" s="93">
        <v>2856.28</v>
      </c>
      <c r="D1229" s="93" t="s">
        <v>9</v>
      </c>
      <c r="E1229" s="93" t="s">
        <v>24</v>
      </c>
      <c r="F1229" s="93" t="s">
        <v>33</v>
      </c>
      <c r="G1229" s="93" t="s">
        <v>8231</v>
      </c>
      <c r="H1229" s="93" t="s">
        <v>8064</v>
      </c>
      <c r="I1229" s="93" t="s">
        <v>111</v>
      </c>
      <c r="J1229" s="93" t="s">
        <v>33</v>
      </c>
      <c r="K1229" s="93">
        <v>90</v>
      </c>
      <c r="L1229" s="93">
        <v>0</v>
      </c>
      <c r="M1229" s="93" t="s">
        <v>113</v>
      </c>
      <c r="N1229" s="93">
        <v>0</v>
      </c>
      <c r="O1229" s="93">
        <v>0</v>
      </c>
      <c r="P1229" s="93">
        <v>0</v>
      </c>
      <c r="Q1229" s="93" t="s">
        <v>7166</v>
      </c>
      <c r="R1229" s="93" t="s">
        <v>16</v>
      </c>
      <c r="S1229" s="93" t="s">
        <v>383</v>
      </c>
      <c r="T1229" s="93" t="s">
        <v>116</v>
      </c>
      <c r="U1229" s="94">
        <v>44642.511111111111</v>
      </c>
      <c r="V1229" s="93" t="s">
        <v>8060</v>
      </c>
      <c r="W1229" s="93" t="s">
        <v>9</v>
      </c>
    </row>
    <row r="1230" spans="1:23" x14ac:dyDescent="0.15">
      <c r="A1230" s="93" t="s">
        <v>8234</v>
      </c>
      <c r="B1230" s="93" t="s">
        <v>8235</v>
      </c>
      <c r="C1230" s="93">
        <v>28.62</v>
      </c>
      <c r="D1230" s="93" t="s">
        <v>24</v>
      </c>
      <c r="E1230" s="93" t="s">
        <v>24</v>
      </c>
      <c r="F1230" s="93" t="s">
        <v>7070</v>
      </c>
      <c r="G1230" s="93" t="s">
        <v>7168</v>
      </c>
      <c r="H1230" s="93" t="s">
        <v>11</v>
      </c>
      <c r="I1230" s="93" t="s">
        <v>111</v>
      </c>
      <c r="J1230" s="93" t="s">
        <v>387</v>
      </c>
      <c r="K1230" s="93">
        <v>60</v>
      </c>
      <c r="L1230" s="93" t="s">
        <v>111</v>
      </c>
      <c r="M1230" s="93" t="s">
        <v>111</v>
      </c>
      <c r="N1230" s="93" t="s">
        <v>111</v>
      </c>
      <c r="O1230" s="93" t="s">
        <v>111</v>
      </c>
      <c r="P1230" s="93" t="s">
        <v>111</v>
      </c>
      <c r="Q1230" s="93" t="s">
        <v>121</v>
      </c>
      <c r="R1230" s="93" t="s">
        <v>20</v>
      </c>
      <c r="S1230" s="93" t="s">
        <v>115</v>
      </c>
      <c r="T1230" s="93" t="s">
        <v>116</v>
      </c>
      <c r="U1230" s="94">
        <v>44642.556250000001</v>
      </c>
      <c r="V1230" s="93" t="s">
        <v>402</v>
      </c>
      <c r="W1230" s="93" t="s">
        <v>24</v>
      </c>
    </row>
    <row r="1231" spans="1:23" x14ac:dyDescent="0.15">
      <c r="A1231" s="93" t="s">
        <v>645</v>
      </c>
      <c r="B1231" s="93" t="s">
        <v>646</v>
      </c>
      <c r="C1231" s="93">
        <v>216</v>
      </c>
      <c r="D1231" s="93" t="s">
        <v>24</v>
      </c>
      <c r="E1231" s="93" t="s">
        <v>24</v>
      </c>
      <c r="F1231" s="93" t="s">
        <v>7070</v>
      </c>
      <c r="G1231" s="93" t="s">
        <v>7168</v>
      </c>
      <c r="H1231" s="93" t="s">
        <v>11</v>
      </c>
      <c r="I1231" s="93" t="s">
        <v>111</v>
      </c>
      <c r="J1231" s="93" t="s">
        <v>647</v>
      </c>
      <c r="K1231" s="93">
        <v>120</v>
      </c>
      <c r="L1231" s="93" t="s">
        <v>111</v>
      </c>
      <c r="M1231" s="93" t="s">
        <v>111</v>
      </c>
      <c r="N1231" s="93" t="s">
        <v>111</v>
      </c>
      <c r="O1231" s="93" t="s">
        <v>111</v>
      </c>
      <c r="P1231" s="93" t="s">
        <v>111</v>
      </c>
      <c r="Q1231" s="93" t="s">
        <v>413</v>
      </c>
      <c r="R1231" s="93" t="s">
        <v>17</v>
      </c>
      <c r="S1231" s="93" t="s">
        <v>115</v>
      </c>
      <c r="T1231" s="93" t="s">
        <v>116</v>
      </c>
      <c r="U1231" s="94">
        <v>44642.513888888891</v>
      </c>
      <c r="V1231" s="93" t="s">
        <v>402</v>
      </c>
      <c r="W1231" s="93" t="s">
        <v>24</v>
      </c>
    </row>
    <row r="1232" spans="1:23" x14ac:dyDescent="0.15">
      <c r="A1232" s="93" t="s">
        <v>51</v>
      </c>
      <c r="B1232" s="93" t="s">
        <v>8236</v>
      </c>
      <c r="C1232" s="93">
        <v>32.4</v>
      </c>
      <c r="D1232" s="93" t="s">
        <v>24</v>
      </c>
      <c r="E1232" s="93" t="s">
        <v>24</v>
      </c>
      <c r="F1232" s="93" t="s">
        <v>7070</v>
      </c>
      <c r="G1232" s="93" t="s">
        <v>7174</v>
      </c>
      <c r="H1232" s="93" t="s">
        <v>11</v>
      </c>
      <c r="I1232" s="93" t="s">
        <v>111</v>
      </c>
      <c r="J1232" s="93" t="s">
        <v>1552</v>
      </c>
      <c r="K1232" s="93">
        <v>80</v>
      </c>
      <c r="L1232" s="93">
        <v>0.18</v>
      </c>
      <c r="M1232" s="93" t="s">
        <v>113</v>
      </c>
      <c r="N1232" s="93">
        <v>3.5</v>
      </c>
      <c r="O1232" s="93">
        <v>5.3</v>
      </c>
      <c r="P1232" s="93">
        <v>14</v>
      </c>
      <c r="Q1232" s="93" t="s">
        <v>121</v>
      </c>
      <c r="R1232" s="93" t="s">
        <v>20</v>
      </c>
      <c r="S1232" s="93" t="s">
        <v>115</v>
      </c>
      <c r="T1232" s="93" t="s">
        <v>116</v>
      </c>
      <c r="U1232" s="94">
        <v>44642.467361111114</v>
      </c>
      <c r="V1232" s="93" t="s">
        <v>402</v>
      </c>
      <c r="W1232" s="93" t="s">
        <v>9</v>
      </c>
    </row>
    <row r="1233" spans="1:23" x14ac:dyDescent="0.15">
      <c r="A1233" s="93" t="s">
        <v>4213</v>
      </c>
      <c r="B1233" s="93" t="s">
        <v>4214</v>
      </c>
      <c r="C1233" s="93">
        <v>252</v>
      </c>
      <c r="D1233" s="93" t="s">
        <v>24</v>
      </c>
      <c r="E1233" s="93" t="s">
        <v>24</v>
      </c>
      <c r="F1233" s="93" t="s">
        <v>7070</v>
      </c>
      <c r="G1233" s="93" t="s">
        <v>8237</v>
      </c>
      <c r="H1233" s="93" t="s">
        <v>11</v>
      </c>
      <c r="I1233" s="93" t="s">
        <v>111</v>
      </c>
      <c r="J1233" s="93" t="s">
        <v>387</v>
      </c>
      <c r="K1233" s="93">
        <v>60</v>
      </c>
      <c r="L1233" s="93" t="s">
        <v>111</v>
      </c>
      <c r="M1233" s="93" t="s">
        <v>111</v>
      </c>
      <c r="N1233" s="93" t="s">
        <v>111</v>
      </c>
      <c r="O1233" s="93" t="s">
        <v>111</v>
      </c>
      <c r="P1233" s="93" t="s">
        <v>111</v>
      </c>
      <c r="Q1233" s="93" t="s">
        <v>4215</v>
      </c>
      <c r="R1233" s="93" t="s">
        <v>20</v>
      </c>
      <c r="S1233" s="93" t="s">
        <v>115</v>
      </c>
      <c r="T1233" s="93" t="s">
        <v>116</v>
      </c>
      <c r="U1233" s="94">
        <v>44642.512499999997</v>
      </c>
      <c r="V1233" s="93" t="s">
        <v>402</v>
      </c>
      <c r="W1233" s="93" t="s">
        <v>24</v>
      </c>
    </row>
    <row r="1234" spans="1:23" x14ac:dyDescent="0.15">
      <c r="A1234" s="93" t="s">
        <v>648</v>
      </c>
      <c r="B1234" s="93" t="s">
        <v>649</v>
      </c>
      <c r="C1234" s="93">
        <v>64.8</v>
      </c>
      <c r="D1234" s="93" t="s">
        <v>24</v>
      </c>
      <c r="E1234" s="93" t="s">
        <v>24</v>
      </c>
      <c r="F1234" s="93" t="s">
        <v>7070</v>
      </c>
      <c r="G1234" s="93" t="s">
        <v>7174</v>
      </c>
      <c r="H1234" s="93" t="s">
        <v>11</v>
      </c>
      <c r="I1234" s="93" t="s">
        <v>111</v>
      </c>
      <c r="J1234" s="93" t="s">
        <v>1552</v>
      </c>
      <c r="K1234" s="93">
        <v>80</v>
      </c>
      <c r="L1234" s="93">
        <v>0.1</v>
      </c>
      <c r="M1234" s="93" t="s">
        <v>113</v>
      </c>
      <c r="N1234" s="93">
        <v>0.66</v>
      </c>
      <c r="O1234" s="93">
        <v>1.1679999999999999</v>
      </c>
      <c r="P1234" s="93">
        <v>2.25</v>
      </c>
      <c r="Q1234" s="93" t="s">
        <v>121</v>
      </c>
      <c r="R1234" s="93" t="s">
        <v>2</v>
      </c>
      <c r="S1234" s="93" t="s">
        <v>115</v>
      </c>
      <c r="T1234" s="93" t="s">
        <v>119</v>
      </c>
      <c r="U1234" s="94">
        <v>44642.588888888888</v>
      </c>
      <c r="V1234" s="93" t="s">
        <v>402</v>
      </c>
      <c r="W1234" s="93" t="s">
        <v>24</v>
      </c>
    </row>
    <row r="1235" spans="1:23" x14ac:dyDescent="0.15">
      <c r="A1235" s="93" t="s">
        <v>8238</v>
      </c>
      <c r="B1235" s="93" t="s">
        <v>4216</v>
      </c>
      <c r="C1235" s="93">
        <v>189</v>
      </c>
      <c r="D1235" s="93" t="s">
        <v>24</v>
      </c>
      <c r="E1235" s="93" t="s">
        <v>24</v>
      </c>
      <c r="F1235" s="93" t="s">
        <v>7070</v>
      </c>
      <c r="G1235" s="93" t="s">
        <v>7174</v>
      </c>
      <c r="H1235" s="93" t="s">
        <v>11</v>
      </c>
      <c r="I1235" s="93" t="s">
        <v>111</v>
      </c>
      <c r="J1235" s="93" t="s">
        <v>1552</v>
      </c>
      <c r="K1235" s="93">
        <v>80</v>
      </c>
      <c r="L1235" s="93">
        <v>1.1200000000000001</v>
      </c>
      <c r="M1235" s="93" t="s">
        <v>113</v>
      </c>
      <c r="N1235" s="93">
        <v>3.88</v>
      </c>
      <c r="O1235" s="93">
        <v>6.8</v>
      </c>
      <c r="P1235" s="93">
        <v>22</v>
      </c>
      <c r="Q1235" s="93" t="s">
        <v>121</v>
      </c>
      <c r="R1235" s="93" t="s">
        <v>20</v>
      </c>
      <c r="S1235" s="93" t="s">
        <v>115</v>
      </c>
      <c r="T1235" s="93" t="s">
        <v>116</v>
      </c>
      <c r="U1235" s="94">
        <v>44642.488194444442</v>
      </c>
      <c r="V1235" s="93" t="s">
        <v>402</v>
      </c>
      <c r="W1235" s="93" t="s">
        <v>24</v>
      </c>
    </row>
    <row r="1236" spans="1:23" x14ac:dyDescent="0.15">
      <c r="A1236" s="93" t="s">
        <v>4217</v>
      </c>
      <c r="B1236" s="93" t="s">
        <v>4218</v>
      </c>
      <c r="C1236" s="93">
        <v>10.8</v>
      </c>
      <c r="D1236" s="93" t="s">
        <v>24</v>
      </c>
      <c r="E1236" s="93" t="s">
        <v>24</v>
      </c>
      <c r="F1236" s="93" t="s">
        <v>7070</v>
      </c>
      <c r="G1236" s="93" t="s">
        <v>7174</v>
      </c>
      <c r="H1236" s="93" t="s">
        <v>11</v>
      </c>
      <c r="I1236" s="93" t="s">
        <v>111</v>
      </c>
      <c r="J1236" s="93" t="s">
        <v>1552</v>
      </c>
      <c r="K1236" s="93">
        <v>80</v>
      </c>
      <c r="L1236" s="93">
        <v>2.8000000000000001E-2</v>
      </c>
      <c r="M1236" s="93" t="s">
        <v>113</v>
      </c>
      <c r="N1236" s="93">
        <v>2.5</v>
      </c>
      <c r="O1236" s="93">
        <v>2.5</v>
      </c>
      <c r="P1236" s="93">
        <v>6.6</v>
      </c>
      <c r="Q1236" s="93" t="s">
        <v>1548</v>
      </c>
      <c r="R1236" s="93" t="s">
        <v>2</v>
      </c>
      <c r="S1236" s="93" t="s">
        <v>115</v>
      </c>
      <c r="T1236" s="93" t="s">
        <v>116</v>
      </c>
      <c r="U1236" s="94">
        <v>44642.466666666667</v>
      </c>
      <c r="V1236" s="93" t="s">
        <v>402</v>
      </c>
      <c r="W1236" s="93" t="s">
        <v>24</v>
      </c>
    </row>
    <row r="1237" spans="1:23" x14ac:dyDescent="0.15">
      <c r="A1237" s="93" t="s">
        <v>4230</v>
      </c>
      <c r="B1237" s="93" t="s">
        <v>4231</v>
      </c>
      <c r="C1237" s="93">
        <v>32.67</v>
      </c>
      <c r="D1237" s="93" t="s">
        <v>24</v>
      </c>
      <c r="E1237" s="93" t="s">
        <v>24</v>
      </c>
      <c r="F1237" s="93" t="s">
        <v>7070</v>
      </c>
      <c r="G1237" s="93" t="s">
        <v>7168</v>
      </c>
      <c r="H1237" s="93" t="s">
        <v>11</v>
      </c>
      <c r="I1237" s="93" t="s">
        <v>111</v>
      </c>
      <c r="J1237" s="93" t="s">
        <v>387</v>
      </c>
      <c r="K1237" s="93">
        <v>60</v>
      </c>
      <c r="L1237" s="93">
        <v>1.1499999999999999</v>
      </c>
      <c r="M1237" s="93" t="s">
        <v>113</v>
      </c>
      <c r="N1237" s="93">
        <v>8</v>
      </c>
      <c r="O1237" s="93">
        <v>13</v>
      </c>
      <c r="P1237" s="93">
        <v>14</v>
      </c>
      <c r="Q1237" s="93" t="s">
        <v>122</v>
      </c>
      <c r="R1237" s="93" t="s">
        <v>20</v>
      </c>
      <c r="S1237" s="93" t="s">
        <v>115</v>
      </c>
      <c r="T1237" s="93" t="s">
        <v>116</v>
      </c>
      <c r="U1237" s="94">
        <v>44642.564583333333</v>
      </c>
      <c r="V1237" s="93" t="s">
        <v>402</v>
      </c>
      <c r="W1237" s="93" t="s">
        <v>9</v>
      </c>
    </row>
    <row r="1238" spans="1:23" x14ac:dyDescent="0.15">
      <c r="A1238" s="93" t="s">
        <v>75</v>
      </c>
      <c r="B1238" s="93" t="s">
        <v>389</v>
      </c>
      <c r="C1238" s="93">
        <v>89.64</v>
      </c>
      <c r="D1238" s="93" t="s">
        <v>24</v>
      </c>
      <c r="E1238" s="93" t="s">
        <v>24</v>
      </c>
      <c r="F1238" s="93" t="s">
        <v>7070</v>
      </c>
      <c r="G1238" s="93" t="s">
        <v>7175</v>
      </c>
      <c r="H1238" s="93" t="s">
        <v>11</v>
      </c>
      <c r="I1238" s="93" t="s">
        <v>111</v>
      </c>
      <c r="J1238" s="93" t="s">
        <v>390</v>
      </c>
      <c r="K1238" s="93">
        <v>80</v>
      </c>
      <c r="L1238" s="93">
        <v>0.24</v>
      </c>
      <c r="M1238" s="93" t="s">
        <v>113</v>
      </c>
      <c r="N1238" s="93">
        <v>5.8</v>
      </c>
      <c r="O1238" s="93">
        <v>5.8</v>
      </c>
      <c r="P1238" s="93">
        <v>13</v>
      </c>
      <c r="Q1238" s="93" t="s">
        <v>121</v>
      </c>
      <c r="R1238" s="93" t="s">
        <v>20</v>
      </c>
      <c r="S1238" s="93" t="s">
        <v>115</v>
      </c>
      <c r="T1238" s="93" t="s">
        <v>116</v>
      </c>
      <c r="U1238" s="94">
        <v>44642.595138888886</v>
      </c>
      <c r="V1238" s="93" t="s">
        <v>402</v>
      </c>
      <c r="W1238" s="93" t="s">
        <v>9</v>
      </c>
    </row>
    <row r="1239" spans="1:23" x14ac:dyDescent="0.15">
      <c r="A1239" s="93" t="s">
        <v>961</v>
      </c>
      <c r="B1239" s="93" t="s">
        <v>962</v>
      </c>
      <c r="C1239" s="93">
        <v>7.35</v>
      </c>
      <c r="D1239" s="93" t="s">
        <v>24</v>
      </c>
      <c r="E1239" s="93" t="s">
        <v>24</v>
      </c>
      <c r="F1239" s="93" t="s">
        <v>7070</v>
      </c>
      <c r="G1239" s="93" t="s">
        <v>8237</v>
      </c>
      <c r="H1239" s="93" t="s">
        <v>11</v>
      </c>
      <c r="I1239" s="93" t="s">
        <v>111</v>
      </c>
      <c r="J1239" s="93" t="s">
        <v>963</v>
      </c>
      <c r="K1239" s="93">
        <v>60</v>
      </c>
      <c r="L1239" s="93" t="s">
        <v>111</v>
      </c>
      <c r="M1239" s="93" t="s">
        <v>111</v>
      </c>
      <c r="N1239" s="93">
        <v>0.6</v>
      </c>
      <c r="O1239" s="93">
        <v>10</v>
      </c>
      <c r="P1239" s="93">
        <v>15</v>
      </c>
      <c r="Q1239" s="93" t="s">
        <v>114</v>
      </c>
      <c r="R1239" s="93" t="s">
        <v>20</v>
      </c>
      <c r="S1239" s="93" t="s">
        <v>115</v>
      </c>
      <c r="T1239" s="93" t="s">
        <v>116</v>
      </c>
      <c r="U1239" s="94">
        <v>44642.53402777778</v>
      </c>
      <c r="V1239" s="93" t="s">
        <v>402</v>
      </c>
      <c r="W1239" s="93" t="s">
        <v>24</v>
      </c>
    </row>
    <row r="1240" spans="1:23" x14ac:dyDescent="0.15">
      <c r="A1240" s="93" t="s">
        <v>4444</v>
      </c>
      <c r="B1240" s="93" t="s">
        <v>4445</v>
      </c>
      <c r="C1240" s="93">
        <v>945</v>
      </c>
      <c r="D1240" s="93" t="s">
        <v>24</v>
      </c>
      <c r="E1240" s="93" t="s">
        <v>24</v>
      </c>
      <c r="F1240" s="93" t="s">
        <v>7070</v>
      </c>
      <c r="G1240" s="93" t="s">
        <v>8237</v>
      </c>
      <c r="H1240" s="93" t="s">
        <v>11</v>
      </c>
      <c r="I1240" s="93" t="s">
        <v>111</v>
      </c>
      <c r="J1240" s="93" t="s">
        <v>390</v>
      </c>
      <c r="K1240" s="93">
        <v>80</v>
      </c>
      <c r="L1240" s="93" t="s">
        <v>111</v>
      </c>
      <c r="M1240" s="93" t="s">
        <v>111</v>
      </c>
      <c r="N1240" s="93" t="s">
        <v>111</v>
      </c>
      <c r="O1240" s="93" t="s">
        <v>111</v>
      </c>
      <c r="P1240" s="93" t="s">
        <v>111</v>
      </c>
      <c r="Q1240" s="93" t="s">
        <v>4215</v>
      </c>
      <c r="R1240" s="93" t="s">
        <v>20</v>
      </c>
      <c r="S1240" s="93" t="s">
        <v>115</v>
      </c>
      <c r="T1240" s="93" t="s">
        <v>116</v>
      </c>
      <c r="U1240" s="94">
        <v>44642.489583333336</v>
      </c>
      <c r="V1240" s="93" t="s">
        <v>402</v>
      </c>
      <c r="W1240" s="93" t="s">
        <v>24</v>
      </c>
    </row>
    <row r="1241" spans="1:23" x14ac:dyDescent="0.15">
      <c r="A1241" s="93" t="s">
        <v>4446</v>
      </c>
      <c r="B1241" s="93" t="s">
        <v>4447</v>
      </c>
      <c r="C1241" s="93">
        <v>24.03</v>
      </c>
      <c r="D1241" s="93" t="s">
        <v>24</v>
      </c>
      <c r="E1241" s="93" t="s">
        <v>24</v>
      </c>
      <c r="F1241" s="93" t="s">
        <v>7070</v>
      </c>
      <c r="G1241" s="93" t="s">
        <v>7174</v>
      </c>
      <c r="H1241" s="93" t="s">
        <v>11</v>
      </c>
      <c r="I1241" s="93" t="s">
        <v>111</v>
      </c>
      <c r="J1241" s="93" t="s">
        <v>1552</v>
      </c>
      <c r="K1241" s="93">
        <v>80</v>
      </c>
      <c r="L1241" s="93">
        <v>0.28999999999999998</v>
      </c>
      <c r="M1241" s="93" t="s">
        <v>113</v>
      </c>
      <c r="N1241" s="93">
        <v>25</v>
      </c>
      <c r="O1241" s="93">
        <v>8</v>
      </c>
      <c r="P1241" s="93">
        <v>25</v>
      </c>
      <c r="Q1241" s="93" t="s">
        <v>117</v>
      </c>
      <c r="R1241" s="93" t="s">
        <v>20</v>
      </c>
      <c r="S1241" s="93" t="s">
        <v>115</v>
      </c>
      <c r="T1241" s="93" t="s">
        <v>116</v>
      </c>
      <c r="U1241" s="94">
        <v>44642.470138888886</v>
      </c>
      <c r="V1241" s="93" t="s">
        <v>402</v>
      </c>
      <c r="W1241" s="93" t="s">
        <v>24</v>
      </c>
    </row>
    <row r="1242" spans="1:23" x14ac:dyDescent="0.15">
      <c r="A1242" s="93" t="s">
        <v>4448</v>
      </c>
      <c r="B1242" s="93" t="s">
        <v>4449</v>
      </c>
      <c r="C1242" s="93">
        <v>12.6</v>
      </c>
      <c r="D1242" s="93" t="s">
        <v>24</v>
      </c>
      <c r="E1242" s="93" t="s">
        <v>24</v>
      </c>
      <c r="F1242" s="93" t="s">
        <v>7070</v>
      </c>
      <c r="G1242" s="93" t="s">
        <v>8237</v>
      </c>
      <c r="H1242" s="93" t="s">
        <v>11</v>
      </c>
      <c r="I1242" s="93" t="s">
        <v>111</v>
      </c>
      <c r="J1242" s="93" t="s">
        <v>390</v>
      </c>
      <c r="K1242" s="93">
        <v>80</v>
      </c>
      <c r="L1242" s="93" t="s">
        <v>111</v>
      </c>
      <c r="M1242" s="93" t="s">
        <v>111</v>
      </c>
      <c r="N1242" s="93">
        <v>0.66</v>
      </c>
      <c r="O1242" s="93">
        <v>1.1679999999999999</v>
      </c>
      <c r="P1242" s="93">
        <v>2.25</v>
      </c>
      <c r="Q1242" s="93" t="s">
        <v>1548</v>
      </c>
      <c r="R1242" s="93" t="s">
        <v>20</v>
      </c>
      <c r="S1242" s="93" t="s">
        <v>115</v>
      </c>
      <c r="T1242" s="93" t="s">
        <v>116</v>
      </c>
      <c r="U1242" s="94">
        <v>44642.588888888888</v>
      </c>
      <c r="V1242" s="93" t="s">
        <v>402</v>
      </c>
      <c r="W1242" s="93" t="s">
        <v>24</v>
      </c>
    </row>
    <row r="1243" spans="1:23" x14ac:dyDescent="0.15">
      <c r="A1243" s="93" t="s">
        <v>651</v>
      </c>
      <c r="B1243" s="93" t="s">
        <v>652</v>
      </c>
      <c r="C1243" s="93">
        <v>5.4</v>
      </c>
      <c r="D1243" s="93" t="s">
        <v>24</v>
      </c>
      <c r="E1243" s="93" t="s">
        <v>24</v>
      </c>
      <c r="F1243" s="93" t="s">
        <v>7070</v>
      </c>
      <c r="G1243" s="93" t="s">
        <v>7168</v>
      </c>
      <c r="H1243" s="93" t="s">
        <v>11</v>
      </c>
      <c r="I1243" s="93" t="s">
        <v>111</v>
      </c>
      <c r="J1243" s="93" t="s">
        <v>387</v>
      </c>
      <c r="K1243" s="93">
        <v>60</v>
      </c>
      <c r="L1243" s="93">
        <v>0.08</v>
      </c>
      <c r="M1243" s="93" t="s">
        <v>113</v>
      </c>
      <c r="N1243" s="93">
        <v>6</v>
      </c>
      <c r="O1243" s="93">
        <v>6</v>
      </c>
      <c r="P1243" s="93">
        <v>42</v>
      </c>
      <c r="Q1243" s="93" t="s">
        <v>391</v>
      </c>
      <c r="R1243" s="93" t="s">
        <v>20</v>
      </c>
      <c r="S1243" s="93" t="s">
        <v>115</v>
      </c>
      <c r="T1243" s="93" t="s">
        <v>119</v>
      </c>
      <c r="U1243" s="94">
        <v>44642.546527777777</v>
      </c>
      <c r="V1243" s="93" t="s">
        <v>402</v>
      </c>
      <c r="W1243" s="93" t="s">
        <v>9</v>
      </c>
    </row>
    <row r="1244" spans="1:23" x14ac:dyDescent="0.15">
      <c r="A1244" s="93" t="s">
        <v>653</v>
      </c>
      <c r="B1244" s="93" t="s">
        <v>654</v>
      </c>
      <c r="C1244" s="93">
        <v>5.4</v>
      </c>
      <c r="D1244" s="93" t="s">
        <v>24</v>
      </c>
      <c r="E1244" s="93" t="s">
        <v>24</v>
      </c>
      <c r="F1244" s="93" t="s">
        <v>7070</v>
      </c>
      <c r="G1244" s="93" t="s">
        <v>7168</v>
      </c>
      <c r="H1244" s="93" t="s">
        <v>11</v>
      </c>
      <c r="I1244" s="93" t="s">
        <v>111</v>
      </c>
      <c r="J1244" s="93" t="s">
        <v>387</v>
      </c>
      <c r="K1244" s="93">
        <v>60</v>
      </c>
      <c r="L1244" s="93">
        <v>0.1</v>
      </c>
      <c r="M1244" s="93" t="s">
        <v>113</v>
      </c>
      <c r="N1244" s="93">
        <v>5</v>
      </c>
      <c r="O1244" s="93">
        <v>5</v>
      </c>
      <c r="P1244" s="93">
        <v>42</v>
      </c>
      <c r="Q1244" s="93" t="s">
        <v>391</v>
      </c>
      <c r="R1244" s="93" t="s">
        <v>20</v>
      </c>
      <c r="S1244" s="93" t="s">
        <v>115</v>
      </c>
      <c r="T1244" s="93" t="s">
        <v>119</v>
      </c>
      <c r="U1244" s="94">
        <v>44642.436111111114</v>
      </c>
      <c r="V1244" s="93" t="s">
        <v>402</v>
      </c>
      <c r="W1244" s="93" t="s">
        <v>24</v>
      </c>
    </row>
    <row r="1245" spans="1:23" x14ac:dyDescent="0.15">
      <c r="A1245" s="93" t="s">
        <v>8239</v>
      </c>
      <c r="B1245" s="93" t="s">
        <v>8240</v>
      </c>
      <c r="C1245" s="93">
        <v>2.16</v>
      </c>
      <c r="D1245" s="93" t="s">
        <v>9</v>
      </c>
      <c r="E1245" s="93" t="s">
        <v>24</v>
      </c>
      <c r="F1245" s="93" t="s">
        <v>7070</v>
      </c>
      <c r="G1245" s="93" t="s">
        <v>8241</v>
      </c>
      <c r="H1245" s="93" t="s">
        <v>11</v>
      </c>
      <c r="I1245" s="93" t="s">
        <v>111</v>
      </c>
      <c r="J1245" s="93" t="s">
        <v>386</v>
      </c>
      <c r="K1245" s="93">
        <v>120</v>
      </c>
      <c r="L1245" s="93">
        <v>0.1</v>
      </c>
      <c r="M1245" s="93" t="s">
        <v>113</v>
      </c>
      <c r="N1245" s="93">
        <v>4</v>
      </c>
      <c r="O1245" s="93">
        <v>6</v>
      </c>
      <c r="P1245" s="93">
        <v>18</v>
      </c>
      <c r="Q1245" s="93" t="s">
        <v>391</v>
      </c>
      <c r="R1245" s="93" t="s">
        <v>20</v>
      </c>
      <c r="S1245" s="93" t="s">
        <v>115</v>
      </c>
      <c r="T1245" s="93" t="s">
        <v>6686</v>
      </c>
      <c r="U1245" s="94">
        <v>44642.54583333333</v>
      </c>
      <c r="V1245" s="93" t="s">
        <v>402</v>
      </c>
      <c r="W1245" s="93" t="s">
        <v>24</v>
      </c>
    </row>
    <row r="1246" spans="1:23" x14ac:dyDescent="0.15">
      <c r="A1246" s="93" t="s">
        <v>56</v>
      </c>
      <c r="B1246" s="93" t="s">
        <v>81</v>
      </c>
      <c r="C1246" s="93">
        <v>2.4900000000000002</v>
      </c>
      <c r="D1246" s="93" t="s">
        <v>9</v>
      </c>
      <c r="E1246" s="93" t="s">
        <v>24</v>
      </c>
      <c r="F1246" s="93" t="s">
        <v>7070</v>
      </c>
      <c r="G1246" s="93" t="s">
        <v>8241</v>
      </c>
      <c r="H1246" s="93" t="s">
        <v>11</v>
      </c>
      <c r="I1246" s="93" t="s">
        <v>111</v>
      </c>
      <c r="J1246" s="93" t="s">
        <v>386</v>
      </c>
      <c r="K1246" s="93">
        <v>120</v>
      </c>
      <c r="L1246" s="93">
        <v>0.16</v>
      </c>
      <c r="M1246" s="93" t="s">
        <v>113</v>
      </c>
      <c r="N1246" s="93">
        <v>4</v>
      </c>
      <c r="O1246" s="93">
        <v>6</v>
      </c>
      <c r="P1246" s="93">
        <v>18</v>
      </c>
      <c r="Q1246" s="93" t="s">
        <v>391</v>
      </c>
      <c r="R1246" s="93" t="s">
        <v>20</v>
      </c>
      <c r="S1246" s="93" t="s">
        <v>115</v>
      </c>
      <c r="T1246" s="93" t="s">
        <v>116</v>
      </c>
      <c r="U1246" s="94">
        <v>44642.431944444441</v>
      </c>
      <c r="V1246" s="93" t="s">
        <v>402</v>
      </c>
      <c r="W1246" s="93" t="s">
        <v>24</v>
      </c>
    </row>
    <row r="1247" spans="1:23" x14ac:dyDescent="0.15">
      <c r="A1247" s="93" t="s">
        <v>57</v>
      </c>
      <c r="B1247" s="93" t="s">
        <v>82</v>
      </c>
      <c r="C1247" s="93">
        <v>2.06</v>
      </c>
      <c r="D1247" s="93" t="s">
        <v>9</v>
      </c>
      <c r="E1247" s="93" t="s">
        <v>24</v>
      </c>
      <c r="F1247" s="93" t="s">
        <v>7070</v>
      </c>
      <c r="G1247" s="93" t="s">
        <v>8241</v>
      </c>
      <c r="H1247" s="93" t="s">
        <v>11</v>
      </c>
      <c r="I1247" s="93" t="s">
        <v>111</v>
      </c>
      <c r="J1247" s="93" t="s">
        <v>386</v>
      </c>
      <c r="K1247" s="93">
        <v>120</v>
      </c>
      <c r="L1247" s="93">
        <v>0.11</v>
      </c>
      <c r="M1247" s="93" t="s">
        <v>113</v>
      </c>
      <c r="N1247" s="93">
        <v>4</v>
      </c>
      <c r="O1247" s="93">
        <v>6</v>
      </c>
      <c r="P1247" s="93">
        <v>18</v>
      </c>
      <c r="Q1247" s="93" t="s">
        <v>391</v>
      </c>
      <c r="R1247" s="93" t="s">
        <v>20</v>
      </c>
      <c r="S1247" s="93" t="s">
        <v>115</v>
      </c>
      <c r="T1247" s="93" t="s">
        <v>116</v>
      </c>
      <c r="U1247" s="94">
        <v>44642.431944444441</v>
      </c>
      <c r="V1247" s="93" t="s">
        <v>402</v>
      </c>
      <c r="W1247" s="93" t="s">
        <v>24</v>
      </c>
    </row>
    <row r="1248" spans="1:23" x14ac:dyDescent="0.15">
      <c r="A1248" s="93" t="s">
        <v>58</v>
      </c>
      <c r="B1248" s="93" t="s">
        <v>83</v>
      </c>
      <c r="C1248" s="93">
        <v>3.24</v>
      </c>
      <c r="D1248" s="93" t="s">
        <v>9</v>
      </c>
      <c r="E1248" s="93" t="s">
        <v>24</v>
      </c>
      <c r="F1248" s="93" t="s">
        <v>7070</v>
      </c>
      <c r="G1248" s="93" t="s">
        <v>8241</v>
      </c>
      <c r="H1248" s="93" t="s">
        <v>11</v>
      </c>
      <c r="I1248" s="93" t="s">
        <v>111</v>
      </c>
      <c r="J1248" s="93" t="s">
        <v>386</v>
      </c>
      <c r="K1248" s="93">
        <v>120</v>
      </c>
      <c r="L1248" s="93">
        <v>0.09</v>
      </c>
      <c r="M1248" s="93" t="s">
        <v>113</v>
      </c>
      <c r="N1248" s="93">
        <v>4</v>
      </c>
      <c r="O1248" s="93">
        <v>6</v>
      </c>
      <c r="P1248" s="93">
        <v>18</v>
      </c>
      <c r="Q1248" s="93" t="s">
        <v>391</v>
      </c>
      <c r="R1248" s="93" t="s">
        <v>20</v>
      </c>
      <c r="S1248" s="93" t="s">
        <v>115</v>
      </c>
      <c r="T1248" s="93" t="s">
        <v>116</v>
      </c>
      <c r="U1248" s="94">
        <v>44642.452777777777</v>
      </c>
      <c r="V1248" s="93" t="s">
        <v>402</v>
      </c>
      <c r="W1248" s="93" t="s">
        <v>24</v>
      </c>
    </row>
    <row r="1249" spans="1:23" x14ac:dyDescent="0.15">
      <c r="A1249" s="93" t="s">
        <v>74</v>
      </c>
      <c r="B1249" s="93" t="s">
        <v>8242</v>
      </c>
      <c r="C1249" s="93">
        <v>18</v>
      </c>
      <c r="D1249" s="93" t="s">
        <v>9</v>
      </c>
      <c r="E1249" s="93" t="s">
        <v>24</v>
      </c>
      <c r="F1249" s="93" t="s">
        <v>7070</v>
      </c>
      <c r="G1249" s="93" t="s">
        <v>7071</v>
      </c>
      <c r="H1249" s="93" t="s">
        <v>11</v>
      </c>
      <c r="I1249" s="93" t="s">
        <v>111</v>
      </c>
      <c r="J1249" s="93" t="s">
        <v>71</v>
      </c>
      <c r="K1249" s="93">
        <v>180</v>
      </c>
      <c r="L1249" s="93">
        <v>0.13</v>
      </c>
      <c r="M1249" s="93" t="s">
        <v>113</v>
      </c>
      <c r="N1249" s="93" t="s">
        <v>111</v>
      </c>
      <c r="O1249" s="93" t="s">
        <v>111</v>
      </c>
      <c r="P1249" s="93" t="s">
        <v>111</v>
      </c>
      <c r="Q1249" s="93" t="s">
        <v>121</v>
      </c>
      <c r="R1249" s="93" t="s">
        <v>20</v>
      </c>
      <c r="S1249" s="93" t="s">
        <v>115</v>
      </c>
      <c r="T1249" s="93" t="s">
        <v>119</v>
      </c>
      <c r="U1249" s="94">
        <v>44642.451388888891</v>
      </c>
      <c r="V1249" s="93" t="s">
        <v>402</v>
      </c>
      <c r="W1249" s="93" t="s">
        <v>9</v>
      </c>
    </row>
    <row r="1250" spans="1:23" x14ac:dyDescent="0.15">
      <c r="A1250" s="93" t="s">
        <v>8243</v>
      </c>
      <c r="B1250" s="93" t="s">
        <v>8244</v>
      </c>
      <c r="C1250" s="93">
        <v>18</v>
      </c>
      <c r="D1250" s="93" t="s">
        <v>24</v>
      </c>
      <c r="E1250" s="93" t="s">
        <v>24</v>
      </c>
      <c r="F1250" s="93" t="s">
        <v>7070</v>
      </c>
      <c r="G1250" s="93" t="s">
        <v>7071</v>
      </c>
      <c r="H1250" s="93" t="s">
        <v>11</v>
      </c>
      <c r="I1250" s="93" t="s">
        <v>111</v>
      </c>
      <c r="J1250" s="93" t="s">
        <v>71</v>
      </c>
      <c r="K1250" s="93">
        <v>180</v>
      </c>
      <c r="L1250" s="93">
        <v>0.13</v>
      </c>
      <c r="M1250" s="93" t="s">
        <v>113</v>
      </c>
      <c r="N1250" s="93" t="s">
        <v>111</v>
      </c>
      <c r="O1250" s="93" t="s">
        <v>111</v>
      </c>
      <c r="P1250" s="93" t="s">
        <v>111</v>
      </c>
      <c r="Q1250" s="93" t="s">
        <v>121</v>
      </c>
      <c r="R1250" s="93" t="s">
        <v>20</v>
      </c>
      <c r="S1250" s="93" t="s">
        <v>115</v>
      </c>
      <c r="T1250" s="93" t="s">
        <v>116</v>
      </c>
      <c r="U1250" s="94">
        <v>44642.511805555558</v>
      </c>
      <c r="V1250" s="93" t="s">
        <v>402</v>
      </c>
      <c r="W1250" s="93" t="s">
        <v>24</v>
      </c>
    </row>
    <row r="1251" spans="1:23" x14ac:dyDescent="0.15">
      <c r="A1251" s="93" t="s">
        <v>8245</v>
      </c>
      <c r="B1251" s="93" t="s">
        <v>8246</v>
      </c>
      <c r="C1251" s="93">
        <v>12.96</v>
      </c>
      <c r="D1251" s="93" t="s">
        <v>9</v>
      </c>
      <c r="E1251" s="93" t="s">
        <v>24</v>
      </c>
      <c r="F1251" s="93" t="s">
        <v>7070</v>
      </c>
      <c r="G1251" s="93" t="s">
        <v>8241</v>
      </c>
      <c r="H1251" s="93" t="s">
        <v>11</v>
      </c>
      <c r="I1251" s="93" t="s">
        <v>111</v>
      </c>
      <c r="J1251" s="93" t="s">
        <v>386</v>
      </c>
      <c r="K1251" s="93">
        <v>120</v>
      </c>
      <c r="L1251" s="93">
        <v>0.06</v>
      </c>
      <c r="M1251" s="93" t="s">
        <v>113</v>
      </c>
      <c r="N1251" s="93">
        <v>7</v>
      </c>
      <c r="O1251" s="93">
        <v>7</v>
      </c>
      <c r="P1251" s="93">
        <v>9</v>
      </c>
      <c r="Q1251" s="93" t="s">
        <v>122</v>
      </c>
      <c r="R1251" s="93" t="s">
        <v>20</v>
      </c>
      <c r="S1251" s="93" t="s">
        <v>115</v>
      </c>
      <c r="T1251" s="93" t="s">
        <v>116</v>
      </c>
      <c r="U1251" s="94">
        <v>44642.452777777777</v>
      </c>
      <c r="V1251" s="93" t="s">
        <v>402</v>
      </c>
      <c r="W1251" s="93" t="s">
        <v>24</v>
      </c>
    </row>
    <row r="1252" spans="1:23" x14ac:dyDescent="0.15">
      <c r="A1252" s="93" t="s">
        <v>8247</v>
      </c>
      <c r="B1252" s="93" t="s">
        <v>8248</v>
      </c>
      <c r="C1252" s="93">
        <v>6.48</v>
      </c>
      <c r="D1252" s="93" t="s">
        <v>24</v>
      </c>
      <c r="E1252" s="93" t="s">
        <v>24</v>
      </c>
      <c r="F1252" s="93" t="s">
        <v>7070</v>
      </c>
      <c r="G1252" s="93" t="s">
        <v>7168</v>
      </c>
      <c r="H1252" s="93" t="s">
        <v>11</v>
      </c>
      <c r="I1252" s="93" t="s">
        <v>111</v>
      </c>
      <c r="J1252" s="93" t="s">
        <v>387</v>
      </c>
      <c r="K1252" s="93">
        <v>60</v>
      </c>
      <c r="L1252" s="93">
        <v>1E-3</v>
      </c>
      <c r="M1252" s="93" t="s">
        <v>113</v>
      </c>
      <c r="N1252" s="93" t="s">
        <v>111</v>
      </c>
      <c r="O1252" s="93" t="s">
        <v>111</v>
      </c>
      <c r="P1252" s="93" t="s">
        <v>111</v>
      </c>
      <c r="Q1252" s="93" t="s">
        <v>391</v>
      </c>
      <c r="R1252" s="93" t="s">
        <v>20</v>
      </c>
      <c r="S1252" s="93" t="s">
        <v>115</v>
      </c>
      <c r="T1252" s="93" t="s">
        <v>6686</v>
      </c>
      <c r="U1252" s="94">
        <v>44642.59652777778</v>
      </c>
      <c r="V1252" s="93" t="s">
        <v>402</v>
      </c>
      <c r="W1252" s="93" t="s">
        <v>24</v>
      </c>
    </row>
    <row r="1253" spans="1:23" x14ac:dyDescent="0.15">
      <c r="A1253" s="93" t="s">
        <v>52</v>
      </c>
      <c r="B1253" s="93" t="s">
        <v>77</v>
      </c>
      <c r="C1253" s="93">
        <v>5.4</v>
      </c>
      <c r="D1253" s="93" t="s">
        <v>9</v>
      </c>
      <c r="E1253" s="93" t="s">
        <v>24</v>
      </c>
      <c r="F1253" s="93" t="s">
        <v>7070</v>
      </c>
      <c r="G1253" s="93" t="s">
        <v>8241</v>
      </c>
      <c r="H1253" s="93" t="s">
        <v>11</v>
      </c>
      <c r="I1253" s="93" t="s">
        <v>111</v>
      </c>
      <c r="J1253" s="93" t="s">
        <v>386</v>
      </c>
      <c r="K1253" s="93">
        <v>120</v>
      </c>
      <c r="L1253" s="93">
        <v>0.08</v>
      </c>
      <c r="M1253" s="93" t="s">
        <v>113</v>
      </c>
      <c r="N1253" s="93">
        <v>4</v>
      </c>
      <c r="O1253" s="93">
        <v>6</v>
      </c>
      <c r="P1253" s="93">
        <v>18</v>
      </c>
      <c r="Q1253" s="93" t="s">
        <v>391</v>
      </c>
      <c r="R1253" s="93" t="s">
        <v>20</v>
      </c>
      <c r="S1253" s="93" t="s">
        <v>115</v>
      </c>
      <c r="T1253" s="93" t="s">
        <v>116</v>
      </c>
      <c r="U1253" s="94">
        <v>44642.497916666667</v>
      </c>
      <c r="V1253" s="93" t="s">
        <v>402</v>
      </c>
      <c r="W1253" s="93" t="s">
        <v>9</v>
      </c>
    </row>
    <row r="1254" spans="1:23" x14ac:dyDescent="0.15">
      <c r="A1254" s="93" t="s">
        <v>53</v>
      </c>
      <c r="B1254" s="93" t="s">
        <v>78</v>
      </c>
      <c r="C1254" s="93">
        <v>5.4</v>
      </c>
      <c r="D1254" s="93" t="s">
        <v>9</v>
      </c>
      <c r="E1254" s="93" t="s">
        <v>24</v>
      </c>
      <c r="F1254" s="93" t="s">
        <v>7070</v>
      </c>
      <c r="G1254" s="93" t="s">
        <v>8241</v>
      </c>
      <c r="H1254" s="93" t="s">
        <v>11</v>
      </c>
      <c r="I1254" s="93" t="s">
        <v>111</v>
      </c>
      <c r="J1254" s="93" t="s">
        <v>386</v>
      </c>
      <c r="K1254" s="93">
        <v>120</v>
      </c>
      <c r="L1254" s="93">
        <v>0.12</v>
      </c>
      <c r="M1254" s="93" t="s">
        <v>113</v>
      </c>
      <c r="N1254" s="93">
        <v>4</v>
      </c>
      <c r="O1254" s="93">
        <v>6</v>
      </c>
      <c r="P1254" s="93">
        <v>18</v>
      </c>
      <c r="Q1254" s="93" t="s">
        <v>391</v>
      </c>
      <c r="R1254" s="93" t="s">
        <v>20</v>
      </c>
      <c r="S1254" s="93" t="s">
        <v>115</v>
      </c>
      <c r="T1254" s="93" t="s">
        <v>116</v>
      </c>
      <c r="U1254" s="94">
        <v>44642.431250000001</v>
      </c>
      <c r="V1254" s="93" t="s">
        <v>402</v>
      </c>
      <c r="W1254" s="93" t="s">
        <v>24</v>
      </c>
    </row>
    <row r="1255" spans="1:23" x14ac:dyDescent="0.15">
      <c r="A1255" s="93" t="s">
        <v>54</v>
      </c>
      <c r="B1255" s="93" t="s">
        <v>79</v>
      </c>
      <c r="C1255" s="93">
        <v>5.4</v>
      </c>
      <c r="D1255" s="93" t="s">
        <v>9</v>
      </c>
      <c r="E1255" s="93" t="s">
        <v>24</v>
      </c>
      <c r="F1255" s="93" t="s">
        <v>7070</v>
      </c>
      <c r="G1255" s="93" t="s">
        <v>8241</v>
      </c>
      <c r="H1255" s="93" t="s">
        <v>11</v>
      </c>
      <c r="I1255" s="93" t="s">
        <v>111</v>
      </c>
      <c r="J1255" s="93" t="s">
        <v>386</v>
      </c>
      <c r="K1255" s="93">
        <v>120</v>
      </c>
      <c r="L1255" s="93">
        <v>0.16</v>
      </c>
      <c r="M1255" s="93" t="s">
        <v>113</v>
      </c>
      <c r="N1255" s="93">
        <v>4</v>
      </c>
      <c r="O1255" s="93">
        <v>6</v>
      </c>
      <c r="P1255" s="93">
        <v>18</v>
      </c>
      <c r="Q1255" s="93" t="s">
        <v>391</v>
      </c>
      <c r="R1255" s="93" t="s">
        <v>20</v>
      </c>
      <c r="S1255" s="93" t="s">
        <v>115</v>
      </c>
      <c r="T1255" s="93" t="s">
        <v>116</v>
      </c>
      <c r="U1255" s="94">
        <v>44642.431250000001</v>
      </c>
      <c r="V1255" s="93" t="s">
        <v>402</v>
      </c>
      <c r="W1255" s="93" t="s">
        <v>24</v>
      </c>
    </row>
    <row r="1256" spans="1:23" x14ac:dyDescent="0.15">
      <c r="A1256" s="93" t="s">
        <v>55</v>
      </c>
      <c r="B1256" s="93" t="s">
        <v>80</v>
      </c>
      <c r="C1256" s="93">
        <v>2.06</v>
      </c>
      <c r="D1256" s="93" t="s">
        <v>9</v>
      </c>
      <c r="E1256" s="93" t="s">
        <v>24</v>
      </c>
      <c r="F1256" s="93" t="s">
        <v>7070</v>
      </c>
      <c r="G1256" s="93" t="s">
        <v>8241</v>
      </c>
      <c r="H1256" s="93" t="s">
        <v>11</v>
      </c>
      <c r="I1256" s="93" t="s">
        <v>111</v>
      </c>
      <c r="J1256" s="93" t="s">
        <v>386</v>
      </c>
      <c r="K1256" s="93">
        <v>120</v>
      </c>
      <c r="L1256" s="93">
        <v>0.09</v>
      </c>
      <c r="M1256" s="93" t="s">
        <v>113</v>
      </c>
      <c r="N1256" s="93">
        <v>4</v>
      </c>
      <c r="O1256" s="93">
        <v>6</v>
      </c>
      <c r="P1256" s="93">
        <v>18</v>
      </c>
      <c r="Q1256" s="93" t="s">
        <v>391</v>
      </c>
      <c r="R1256" s="93" t="s">
        <v>20</v>
      </c>
      <c r="S1256" s="93" t="s">
        <v>115</v>
      </c>
      <c r="T1256" s="93" t="s">
        <v>116</v>
      </c>
      <c r="U1256" s="94">
        <v>44642.452777777777</v>
      </c>
      <c r="V1256" s="93" t="s">
        <v>402</v>
      </c>
      <c r="W1256" s="93" t="s">
        <v>24</v>
      </c>
    </row>
    <row r="1257" spans="1:23" x14ac:dyDescent="0.15">
      <c r="A1257" s="93" t="s">
        <v>8249</v>
      </c>
      <c r="B1257" s="93" t="s">
        <v>8250</v>
      </c>
      <c r="C1257" s="93">
        <v>6</v>
      </c>
      <c r="D1257" s="93" t="s">
        <v>9</v>
      </c>
      <c r="E1257" s="93" t="s">
        <v>24</v>
      </c>
      <c r="F1257" s="93" t="s">
        <v>7070</v>
      </c>
      <c r="G1257" s="93" t="s">
        <v>7071</v>
      </c>
      <c r="H1257" s="93" t="s">
        <v>11</v>
      </c>
      <c r="I1257" s="93" t="s">
        <v>111</v>
      </c>
      <c r="J1257" s="93" t="s">
        <v>7165</v>
      </c>
      <c r="K1257" s="93">
        <v>90</v>
      </c>
      <c r="L1257" s="93">
        <v>0.12</v>
      </c>
      <c r="M1257" s="93" t="s">
        <v>113</v>
      </c>
      <c r="N1257" s="93" t="s">
        <v>111</v>
      </c>
      <c r="O1257" s="93" t="s">
        <v>111</v>
      </c>
      <c r="P1257" s="93" t="s">
        <v>111</v>
      </c>
      <c r="Q1257" s="93" t="s">
        <v>391</v>
      </c>
      <c r="R1257" s="93" t="s">
        <v>20</v>
      </c>
      <c r="S1257" s="93" t="s">
        <v>115</v>
      </c>
      <c r="T1257" s="93" t="s">
        <v>116</v>
      </c>
      <c r="U1257" s="94">
        <v>44642.45208333333</v>
      </c>
      <c r="V1257" s="93" t="s">
        <v>8060</v>
      </c>
      <c r="W1257" s="93" t="s">
        <v>9</v>
      </c>
    </row>
    <row r="1258" spans="1:23" x14ac:dyDescent="0.15">
      <c r="A1258" s="93" t="s">
        <v>8251</v>
      </c>
      <c r="B1258" s="93" t="s">
        <v>8252</v>
      </c>
      <c r="C1258" s="93">
        <v>6</v>
      </c>
      <c r="D1258" s="93" t="s">
        <v>9</v>
      </c>
      <c r="E1258" s="93" t="s">
        <v>24</v>
      </c>
      <c r="F1258" s="93" t="s">
        <v>7070</v>
      </c>
      <c r="G1258" s="93" t="s">
        <v>7071</v>
      </c>
      <c r="H1258" s="93" t="s">
        <v>11</v>
      </c>
      <c r="I1258" s="93" t="s">
        <v>111</v>
      </c>
      <c r="J1258" s="93" t="s">
        <v>7165</v>
      </c>
      <c r="K1258" s="93">
        <v>90</v>
      </c>
      <c r="L1258" s="93">
        <v>0.14000000000000001</v>
      </c>
      <c r="M1258" s="93" t="s">
        <v>113</v>
      </c>
      <c r="N1258" s="93" t="s">
        <v>111</v>
      </c>
      <c r="O1258" s="93" t="s">
        <v>111</v>
      </c>
      <c r="P1258" s="93" t="s">
        <v>111</v>
      </c>
      <c r="Q1258" s="93" t="s">
        <v>391</v>
      </c>
      <c r="R1258" s="93" t="s">
        <v>20</v>
      </c>
      <c r="S1258" s="93" t="s">
        <v>115</v>
      </c>
      <c r="T1258" s="93" t="s">
        <v>116</v>
      </c>
      <c r="U1258" s="94">
        <v>44642.45208333333</v>
      </c>
      <c r="V1258" s="93" t="s">
        <v>7336</v>
      </c>
      <c r="W1258" s="93" t="s">
        <v>9</v>
      </c>
    </row>
    <row r="1259" spans="1:23" x14ac:dyDescent="0.15">
      <c r="A1259" s="93" t="s">
        <v>8253</v>
      </c>
      <c r="B1259" s="93" t="s">
        <v>8254</v>
      </c>
      <c r="C1259" s="93">
        <v>6</v>
      </c>
      <c r="D1259" s="93" t="s">
        <v>9</v>
      </c>
      <c r="E1259" s="93" t="s">
        <v>24</v>
      </c>
      <c r="F1259" s="93" t="s">
        <v>7070</v>
      </c>
      <c r="G1259" s="93" t="s">
        <v>7071</v>
      </c>
      <c r="H1259" s="93" t="s">
        <v>11</v>
      </c>
      <c r="I1259" s="93" t="s">
        <v>111</v>
      </c>
      <c r="J1259" s="93" t="s">
        <v>7165</v>
      </c>
      <c r="K1259" s="93">
        <v>90</v>
      </c>
      <c r="L1259" s="93">
        <v>0.12</v>
      </c>
      <c r="M1259" s="93" t="s">
        <v>113</v>
      </c>
      <c r="N1259" s="93" t="s">
        <v>111</v>
      </c>
      <c r="O1259" s="93" t="s">
        <v>111</v>
      </c>
      <c r="P1259" s="93" t="s">
        <v>111</v>
      </c>
      <c r="Q1259" s="93" t="s">
        <v>391</v>
      </c>
      <c r="R1259" s="93" t="s">
        <v>20</v>
      </c>
      <c r="S1259" s="93" t="s">
        <v>115</v>
      </c>
      <c r="T1259" s="93" t="s">
        <v>116</v>
      </c>
      <c r="U1259" s="94">
        <v>44642.45208333333</v>
      </c>
      <c r="V1259" s="93" t="s">
        <v>7336</v>
      </c>
      <c r="W1259" s="93" t="s">
        <v>9</v>
      </c>
    </row>
    <row r="1260" spans="1:23" x14ac:dyDescent="0.15">
      <c r="A1260" s="93" t="s">
        <v>8255</v>
      </c>
      <c r="B1260" s="93" t="s">
        <v>8256</v>
      </c>
      <c r="C1260" s="93">
        <v>6</v>
      </c>
      <c r="D1260" s="93" t="s">
        <v>9</v>
      </c>
      <c r="E1260" s="93" t="s">
        <v>24</v>
      </c>
      <c r="F1260" s="93" t="s">
        <v>7070</v>
      </c>
      <c r="G1260" s="93" t="s">
        <v>8257</v>
      </c>
      <c r="H1260" s="93" t="s">
        <v>11</v>
      </c>
      <c r="I1260" s="93" t="s">
        <v>111</v>
      </c>
      <c r="J1260" s="93" t="s">
        <v>7165</v>
      </c>
      <c r="K1260" s="93">
        <v>90</v>
      </c>
      <c r="L1260" s="93">
        <v>0.14000000000000001</v>
      </c>
      <c r="M1260" s="93" t="s">
        <v>113</v>
      </c>
      <c r="N1260" s="93" t="s">
        <v>111</v>
      </c>
      <c r="O1260" s="93" t="s">
        <v>111</v>
      </c>
      <c r="P1260" s="93" t="s">
        <v>111</v>
      </c>
      <c r="Q1260" s="93" t="s">
        <v>391</v>
      </c>
      <c r="R1260" s="93" t="s">
        <v>20</v>
      </c>
      <c r="S1260" s="93" t="s">
        <v>115</v>
      </c>
      <c r="T1260" s="93" t="s">
        <v>119</v>
      </c>
      <c r="U1260" s="94">
        <v>44642.49722222222</v>
      </c>
      <c r="V1260" s="93" t="s">
        <v>8258</v>
      </c>
      <c r="W1260" s="93" t="s">
        <v>9</v>
      </c>
    </row>
    <row r="1261" spans="1:23" x14ac:dyDescent="0.15">
      <c r="A1261" s="93" t="s">
        <v>8259</v>
      </c>
      <c r="B1261" s="93" t="s">
        <v>8260</v>
      </c>
      <c r="C1261" s="93">
        <v>23.94</v>
      </c>
      <c r="D1261" s="93" t="s">
        <v>24</v>
      </c>
      <c r="E1261" s="93" t="s">
        <v>24</v>
      </c>
      <c r="F1261" s="93" t="s">
        <v>7070</v>
      </c>
      <c r="G1261" s="93" t="s">
        <v>7071</v>
      </c>
      <c r="H1261" s="93" t="s">
        <v>11</v>
      </c>
      <c r="I1261" s="93" t="s">
        <v>111</v>
      </c>
      <c r="J1261" s="93" t="s">
        <v>7165</v>
      </c>
      <c r="K1261" s="93">
        <v>90</v>
      </c>
      <c r="L1261" s="93" t="s">
        <v>111</v>
      </c>
      <c r="M1261" s="93" t="s">
        <v>111</v>
      </c>
      <c r="N1261" s="93" t="s">
        <v>111</v>
      </c>
      <c r="O1261" s="93" t="s">
        <v>111</v>
      </c>
      <c r="P1261" s="93" t="s">
        <v>111</v>
      </c>
      <c r="Q1261" s="93" t="s">
        <v>8261</v>
      </c>
      <c r="R1261" s="93" t="s">
        <v>16</v>
      </c>
      <c r="S1261" s="93" t="s">
        <v>115</v>
      </c>
      <c r="T1261" s="93" t="s">
        <v>116</v>
      </c>
      <c r="U1261" s="94">
        <v>44642.46875</v>
      </c>
      <c r="V1261" s="93" t="s">
        <v>7336</v>
      </c>
      <c r="W1261" s="93" t="s">
        <v>24</v>
      </c>
    </row>
    <row r="1262" spans="1:23" x14ac:dyDescent="0.15">
      <c r="A1262" s="93" t="s">
        <v>8262</v>
      </c>
      <c r="B1262" s="93" t="s">
        <v>8263</v>
      </c>
      <c r="C1262" s="93">
        <v>6</v>
      </c>
      <c r="D1262" s="93" t="s">
        <v>9</v>
      </c>
      <c r="E1262" s="93" t="s">
        <v>24</v>
      </c>
      <c r="F1262" s="93" t="s">
        <v>7070</v>
      </c>
      <c r="G1262" s="93" t="s">
        <v>7071</v>
      </c>
      <c r="H1262" s="93" t="s">
        <v>11</v>
      </c>
      <c r="I1262" s="93" t="s">
        <v>111</v>
      </c>
      <c r="J1262" s="93" t="s">
        <v>7165</v>
      </c>
      <c r="K1262" s="93">
        <v>90</v>
      </c>
      <c r="L1262" s="93">
        <v>0.11</v>
      </c>
      <c r="M1262" s="93" t="s">
        <v>113</v>
      </c>
      <c r="N1262" s="93" t="s">
        <v>111</v>
      </c>
      <c r="O1262" s="93" t="s">
        <v>111</v>
      </c>
      <c r="P1262" s="93" t="s">
        <v>111</v>
      </c>
      <c r="Q1262" s="93" t="s">
        <v>391</v>
      </c>
      <c r="R1262" s="93" t="s">
        <v>20</v>
      </c>
      <c r="S1262" s="93" t="s">
        <v>115</v>
      </c>
      <c r="T1262" s="93" t="s">
        <v>119</v>
      </c>
      <c r="U1262" s="94">
        <v>44642.595138888886</v>
      </c>
      <c r="V1262" s="93" t="s">
        <v>7336</v>
      </c>
      <c r="W1262" s="93" t="s">
        <v>9</v>
      </c>
    </row>
    <row r="1263" spans="1:23" x14ac:dyDescent="0.15">
      <c r="A1263" s="93" t="s">
        <v>8264</v>
      </c>
      <c r="B1263" s="93" t="s">
        <v>8265</v>
      </c>
      <c r="C1263" s="93">
        <v>6</v>
      </c>
      <c r="D1263" s="93" t="s">
        <v>9</v>
      </c>
      <c r="E1263" s="93" t="s">
        <v>24</v>
      </c>
      <c r="F1263" s="93" t="s">
        <v>7070</v>
      </c>
      <c r="G1263" s="93" t="s">
        <v>7071</v>
      </c>
      <c r="H1263" s="93" t="s">
        <v>11</v>
      </c>
      <c r="I1263" s="93" t="s">
        <v>111</v>
      </c>
      <c r="J1263" s="93" t="s">
        <v>7165</v>
      </c>
      <c r="K1263" s="93">
        <v>90</v>
      </c>
      <c r="L1263" s="93">
        <v>0.17</v>
      </c>
      <c r="M1263" s="93" t="s">
        <v>113</v>
      </c>
      <c r="N1263" s="93" t="s">
        <v>111</v>
      </c>
      <c r="O1263" s="93" t="s">
        <v>111</v>
      </c>
      <c r="P1263" s="93" t="s">
        <v>111</v>
      </c>
      <c r="Q1263" s="93" t="s">
        <v>391</v>
      </c>
      <c r="R1263" s="93" t="s">
        <v>20</v>
      </c>
      <c r="S1263" s="93" t="s">
        <v>115</v>
      </c>
      <c r="T1263" s="93" t="s">
        <v>116</v>
      </c>
      <c r="U1263" s="94">
        <v>44642.518750000003</v>
      </c>
      <c r="V1263" s="93" t="s">
        <v>7336</v>
      </c>
      <c r="W1263" s="93" t="s">
        <v>9</v>
      </c>
    </row>
    <row r="1264" spans="1:23" x14ac:dyDescent="0.15">
      <c r="A1264" s="93" t="s">
        <v>8266</v>
      </c>
      <c r="B1264" s="93" t="s">
        <v>8267</v>
      </c>
      <c r="C1264" s="93">
        <v>6</v>
      </c>
      <c r="D1264" s="93" t="s">
        <v>9</v>
      </c>
      <c r="E1264" s="93" t="s">
        <v>24</v>
      </c>
      <c r="F1264" s="93" t="s">
        <v>7070</v>
      </c>
      <c r="G1264" s="93" t="s">
        <v>7071</v>
      </c>
      <c r="H1264" s="93" t="s">
        <v>11</v>
      </c>
      <c r="I1264" s="93" t="s">
        <v>111</v>
      </c>
      <c r="J1264" s="93" t="s">
        <v>7165</v>
      </c>
      <c r="K1264" s="93">
        <v>90</v>
      </c>
      <c r="L1264" s="93">
        <v>0.121</v>
      </c>
      <c r="M1264" s="93" t="s">
        <v>113</v>
      </c>
      <c r="N1264" s="93" t="s">
        <v>111</v>
      </c>
      <c r="O1264" s="93" t="s">
        <v>111</v>
      </c>
      <c r="P1264" s="93" t="s">
        <v>111</v>
      </c>
      <c r="Q1264" s="93" t="s">
        <v>391</v>
      </c>
      <c r="R1264" s="93" t="s">
        <v>20</v>
      </c>
      <c r="S1264" s="93" t="s">
        <v>115</v>
      </c>
      <c r="T1264" s="93" t="s">
        <v>119</v>
      </c>
      <c r="U1264" s="94">
        <v>44642.540972222225</v>
      </c>
      <c r="V1264" s="93" t="s">
        <v>7336</v>
      </c>
      <c r="W1264" s="93" t="s">
        <v>9</v>
      </c>
    </row>
    <row r="1265" spans="1:23" x14ac:dyDescent="0.15">
      <c r="A1265" s="93" t="s">
        <v>8268</v>
      </c>
      <c r="B1265" s="93" t="s">
        <v>8269</v>
      </c>
      <c r="C1265" s="93">
        <v>6</v>
      </c>
      <c r="D1265" s="93" t="s">
        <v>9</v>
      </c>
      <c r="E1265" s="93" t="s">
        <v>24</v>
      </c>
      <c r="F1265" s="93" t="s">
        <v>7070</v>
      </c>
      <c r="G1265" s="93" t="s">
        <v>7071</v>
      </c>
      <c r="H1265" s="93" t="s">
        <v>11</v>
      </c>
      <c r="I1265" s="93" t="s">
        <v>111</v>
      </c>
      <c r="J1265" s="93" t="s">
        <v>7165</v>
      </c>
      <c r="K1265" s="93">
        <v>90</v>
      </c>
      <c r="L1265" s="93">
        <v>0.15</v>
      </c>
      <c r="M1265" s="93" t="s">
        <v>113</v>
      </c>
      <c r="N1265" s="93" t="s">
        <v>111</v>
      </c>
      <c r="O1265" s="93" t="s">
        <v>111</v>
      </c>
      <c r="P1265" s="93" t="s">
        <v>111</v>
      </c>
      <c r="Q1265" s="93" t="s">
        <v>391</v>
      </c>
      <c r="R1265" s="93" t="s">
        <v>20</v>
      </c>
      <c r="S1265" s="93" t="s">
        <v>115</v>
      </c>
      <c r="T1265" s="93" t="s">
        <v>116</v>
      </c>
      <c r="U1265" s="94">
        <v>44642.45208333333</v>
      </c>
      <c r="V1265" s="93" t="s">
        <v>7336</v>
      </c>
      <c r="W1265" s="93" t="s">
        <v>9</v>
      </c>
    </row>
    <row r="1266" spans="1:23" x14ac:dyDescent="0.15">
      <c r="A1266" s="93" t="s">
        <v>8270</v>
      </c>
      <c r="B1266" s="93" t="s">
        <v>8271</v>
      </c>
      <c r="C1266" s="93">
        <v>6</v>
      </c>
      <c r="D1266" s="93" t="s">
        <v>24</v>
      </c>
      <c r="E1266" s="93" t="s">
        <v>24</v>
      </c>
      <c r="F1266" s="93" t="s">
        <v>7070</v>
      </c>
      <c r="G1266" s="93" t="s">
        <v>7071</v>
      </c>
      <c r="H1266" s="93" t="s">
        <v>11</v>
      </c>
      <c r="I1266" s="93" t="s">
        <v>111</v>
      </c>
      <c r="J1266" s="93" t="s">
        <v>7165</v>
      </c>
      <c r="K1266" s="93">
        <v>90</v>
      </c>
      <c r="L1266" s="93">
        <v>0.16900000000000001</v>
      </c>
      <c r="M1266" s="93" t="s">
        <v>113</v>
      </c>
      <c r="N1266" s="93" t="s">
        <v>111</v>
      </c>
      <c r="O1266" s="93" t="s">
        <v>111</v>
      </c>
      <c r="P1266" s="93" t="s">
        <v>111</v>
      </c>
      <c r="Q1266" s="93" t="s">
        <v>391</v>
      </c>
      <c r="R1266" s="93" t="s">
        <v>20</v>
      </c>
      <c r="S1266" s="93" t="s">
        <v>115</v>
      </c>
      <c r="T1266" s="93" t="s">
        <v>116</v>
      </c>
      <c r="U1266" s="94">
        <v>44642.539583333331</v>
      </c>
      <c r="V1266" s="93" t="s">
        <v>7336</v>
      </c>
      <c r="W1266" s="93" t="s">
        <v>9</v>
      </c>
    </row>
    <row r="1267" spans="1:23" x14ac:dyDescent="0.15">
      <c r="A1267" s="93" t="s">
        <v>8272</v>
      </c>
      <c r="B1267" s="93" t="s">
        <v>8273</v>
      </c>
      <c r="C1267" s="93">
        <v>5</v>
      </c>
      <c r="D1267" s="93" t="s">
        <v>24</v>
      </c>
      <c r="E1267" s="93" t="s">
        <v>24</v>
      </c>
      <c r="F1267" s="93" t="s">
        <v>7070</v>
      </c>
      <c r="G1267" s="93" t="s">
        <v>8241</v>
      </c>
      <c r="H1267" s="93" t="s">
        <v>11</v>
      </c>
      <c r="I1267" s="93" t="s">
        <v>111</v>
      </c>
      <c r="J1267" s="93" t="s">
        <v>386</v>
      </c>
      <c r="K1267" s="93">
        <v>120</v>
      </c>
      <c r="L1267" s="93">
        <v>0.67100000000000004</v>
      </c>
      <c r="M1267" s="93" t="s">
        <v>113</v>
      </c>
      <c r="N1267" s="93" t="s">
        <v>111</v>
      </c>
      <c r="O1267" s="93" t="s">
        <v>111</v>
      </c>
      <c r="P1267" s="93" t="s">
        <v>111</v>
      </c>
      <c r="Q1267" s="93" t="s">
        <v>4215</v>
      </c>
      <c r="R1267" s="93" t="s">
        <v>20</v>
      </c>
      <c r="S1267" s="93" t="s">
        <v>115</v>
      </c>
      <c r="T1267" s="93" t="s">
        <v>116</v>
      </c>
      <c r="U1267" s="94">
        <v>44642.450694444444</v>
      </c>
      <c r="V1267" s="93" t="s">
        <v>7336</v>
      </c>
      <c r="W1267" s="93" t="s">
        <v>24</v>
      </c>
    </row>
    <row r="1268" spans="1:23" x14ac:dyDescent="0.15">
      <c r="A1268" s="93" t="s">
        <v>8274</v>
      </c>
      <c r="B1268" s="93" t="s">
        <v>8275</v>
      </c>
      <c r="C1268" s="93">
        <v>5.4</v>
      </c>
      <c r="D1268" s="93" t="s">
        <v>24</v>
      </c>
      <c r="E1268" s="93" t="s">
        <v>24</v>
      </c>
      <c r="F1268" s="93" t="s">
        <v>7070</v>
      </c>
      <c r="G1268" s="93" t="s">
        <v>8241</v>
      </c>
      <c r="H1268" s="93" t="s">
        <v>11</v>
      </c>
      <c r="I1268" s="93" t="s">
        <v>111</v>
      </c>
      <c r="J1268" s="93" t="s">
        <v>386</v>
      </c>
      <c r="K1268" s="93">
        <v>120</v>
      </c>
      <c r="L1268" s="93">
        <v>0.82699999999999996</v>
      </c>
      <c r="M1268" s="93" t="s">
        <v>113</v>
      </c>
      <c r="N1268" s="93" t="s">
        <v>111</v>
      </c>
      <c r="O1268" s="93" t="s">
        <v>111</v>
      </c>
      <c r="P1268" s="93" t="s">
        <v>111</v>
      </c>
      <c r="Q1268" s="93" t="s">
        <v>4215</v>
      </c>
      <c r="R1268" s="93" t="s">
        <v>20</v>
      </c>
      <c r="S1268" s="93" t="s">
        <v>115</v>
      </c>
      <c r="T1268" s="93" t="s">
        <v>116</v>
      </c>
      <c r="U1268" s="94">
        <v>44642.517361111109</v>
      </c>
      <c r="V1268" s="93" t="s">
        <v>7336</v>
      </c>
      <c r="W1268" s="93" t="s">
        <v>24</v>
      </c>
    </row>
    <row r="1269" spans="1:23" x14ac:dyDescent="0.15">
      <c r="A1269" s="93" t="s">
        <v>655</v>
      </c>
      <c r="B1269" s="93" t="s">
        <v>656</v>
      </c>
      <c r="C1269" s="93">
        <v>12.96</v>
      </c>
      <c r="D1269" s="93" t="s">
        <v>24</v>
      </c>
      <c r="E1269" s="93" t="s">
        <v>24</v>
      </c>
      <c r="F1269" s="93" t="s">
        <v>7070</v>
      </c>
      <c r="G1269" s="93" t="s">
        <v>8241</v>
      </c>
      <c r="H1269" s="93" t="s">
        <v>11</v>
      </c>
      <c r="I1269" s="93" t="s">
        <v>111</v>
      </c>
      <c r="J1269" s="93" t="s">
        <v>6233</v>
      </c>
      <c r="K1269" s="93">
        <v>180</v>
      </c>
      <c r="L1269" s="93">
        <v>0.25</v>
      </c>
      <c r="M1269" s="93" t="s">
        <v>113</v>
      </c>
      <c r="N1269" s="93">
        <v>13.5</v>
      </c>
      <c r="O1269" s="93">
        <v>11</v>
      </c>
      <c r="P1269" s="93">
        <v>5</v>
      </c>
      <c r="Q1269" s="93" t="s">
        <v>657</v>
      </c>
      <c r="R1269" s="93" t="s">
        <v>20</v>
      </c>
      <c r="S1269" s="93" t="s">
        <v>115</v>
      </c>
      <c r="T1269" s="93" t="s">
        <v>116</v>
      </c>
      <c r="U1269" s="94">
        <v>44642.425000000003</v>
      </c>
      <c r="V1269" s="93" t="s">
        <v>402</v>
      </c>
      <c r="W1269" s="93" t="s">
        <v>24</v>
      </c>
    </row>
    <row r="1270" spans="1:23" x14ac:dyDescent="0.15">
      <c r="A1270" s="93" t="s">
        <v>8276</v>
      </c>
      <c r="B1270" s="93" t="s">
        <v>8277</v>
      </c>
      <c r="C1270" s="93">
        <v>24</v>
      </c>
      <c r="D1270" s="93" t="s">
        <v>24</v>
      </c>
      <c r="E1270" s="93" t="s">
        <v>24</v>
      </c>
      <c r="F1270" s="93" t="s">
        <v>7070</v>
      </c>
      <c r="G1270" s="93" t="s">
        <v>7071</v>
      </c>
      <c r="H1270" s="93" t="s">
        <v>11</v>
      </c>
      <c r="I1270" s="93" t="s">
        <v>111</v>
      </c>
      <c r="J1270" s="93" t="s">
        <v>7165</v>
      </c>
      <c r="K1270" s="93">
        <v>90</v>
      </c>
      <c r="L1270" s="93">
        <v>0.2</v>
      </c>
      <c r="M1270" s="93" t="s">
        <v>113</v>
      </c>
      <c r="N1270" s="93" t="s">
        <v>111</v>
      </c>
      <c r="O1270" s="93" t="s">
        <v>111</v>
      </c>
      <c r="P1270" s="93" t="s">
        <v>111</v>
      </c>
      <c r="Q1270" s="93" t="s">
        <v>392</v>
      </c>
      <c r="R1270" s="93" t="s">
        <v>20</v>
      </c>
      <c r="S1270" s="93" t="s">
        <v>115</v>
      </c>
      <c r="T1270" s="93" t="s">
        <v>116</v>
      </c>
      <c r="U1270" s="94">
        <v>44642.424305555556</v>
      </c>
      <c r="V1270" s="93" t="s">
        <v>8060</v>
      </c>
      <c r="W1270" s="93" t="s">
        <v>9</v>
      </c>
    </row>
    <row r="1271" spans="1:23" x14ac:dyDescent="0.15">
      <c r="A1271" s="93" t="s">
        <v>8278</v>
      </c>
      <c r="B1271" s="93" t="s">
        <v>8279</v>
      </c>
      <c r="C1271" s="93">
        <v>660</v>
      </c>
      <c r="D1271" s="93" t="s">
        <v>9</v>
      </c>
      <c r="E1271" s="93" t="s">
        <v>9</v>
      </c>
      <c r="F1271" s="93" t="s">
        <v>70</v>
      </c>
      <c r="G1271" s="93" t="s">
        <v>8280</v>
      </c>
      <c r="H1271" s="93" t="s">
        <v>6</v>
      </c>
      <c r="I1271" s="93" t="s">
        <v>111</v>
      </c>
      <c r="J1271" s="93" t="s">
        <v>72</v>
      </c>
      <c r="K1271" s="93">
        <v>180</v>
      </c>
      <c r="L1271" s="93">
        <v>2.0129999999999999</v>
      </c>
      <c r="M1271" s="93" t="s">
        <v>113</v>
      </c>
      <c r="N1271" s="93">
        <v>14.1</v>
      </c>
      <c r="O1271" s="93">
        <v>25.7</v>
      </c>
      <c r="P1271" s="93">
        <v>32.799999999999997</v>
      </c>
      <c r="Q1271" s="93" t="s">
        <v>123</v>
      </c>
      <c r="R1271" s="93" t="s">
        <v>20</v>
      </c>
      <c r="S1271" s="93" t="s">
        <v>124</v>
      </c>
      <c r="T1271" s="93" t="s">
        <v>116</v>
      </c>
      <c r="U1271" s="94">
        <v>44642.540972222225</v>
      </c>
      <c r="V1271" s="93" t="s">
        <v>10</v>
      </c>
      <c r="W1271" s="93" t="s">
        <v>9</v>
      </c>
    </row>
    <row r="1272" spans="1:23" x14ac:dyDescent="0.15">
      <c r="A1272" s="93" t="s">
        <v>8281</v>
      </c>
      <c r="B1272" s="93" t="s">
        <v>8282</v>
      </c>
      <c r="C1272" s="93">
        <v>660</v>
      </c>
      <c r="D1272" s="93" t="s">
        <v>9</v>
      </c>
      <c r="E1272" s="93" t="s">
        <v>9</v>
      </c>
      <c r="F1272" s="93" t="s">
        <v>70</v>
      </c>
      <c r="G1272" s="93" t="s">
        <v>8280</v>
      </c>
      <c r="H1272" s="93" t="s">
        <v>6</v>
      </c>
      <c r="I1272" s="93" t="s">
        <v>111</v>
      </c>
      <c r="J1272" s="93" t="s">
        <v>72</v>
      </c>
      <c r="K1272" s="93">
        <v>180</v>
      </c>
      <c r="L1272" s="93">
        <v>2.0129999999999999</v>
      </c>
      <c r="M1272" s="93" t="s">
        <v>113</v>
      </c>
      <c r="N1272" s="93">
        <v>14.1</v>
      </c>
      <c r="O1272" s="93">
        <v>25.7</v>
      </c>
      <c r="P1272" s="93">
        <v>32.799999999999997</v>
      </c>
      <c r="Q1272" s="93" t="s">
        <v>123</v>
      </c>
      <c r="R1272" s="93" t="s">
        <v>20</v>
      </c>
      <c r="S1272" s="93" t="s">
        <v>124</v>
      </c>
      <c r="T1272" s="93" t="s">
        <v>116</v>
      </c>
      <c r="U1272" s="94">
        <v>44642.518750000003</v>
      </c>
      <c r="V1272" s="93" t="s">
        <v>10</v>
      </c>
      <c r="W1272" s="93" t="s">
        <v>9</v>
      </c>
    </row>
    <row r="1273" spans="1:23" x14ac:dyDescent="0.15">
      <c r="A1273" s="93" t="s">
        <v>8283</v>
      </c>
      <c r="B1273" s="93" t="s">
        <v>8284</v>
      </c>
      <c r="C1273" s="93">
        <v>699.6</v>
      </c>
      <c r="D1273" s="93" t="s">
        <v>9</v>
      </c>
      <c r="E1273" s="93" t="s">
        <v>9</v>
      </c>
      <c r="F1273" s="93" t="s">
        <v>70</v>
      </c>
      <c r="G1273" s="93" t="s">
        <v>8280</v>
      </c>
      <c r="H1273" s="93" t="s">
        <v>6</v>
      </c>
      <c r="I1273" s="93" t="s">
        <v>111</v>
      </c>
      <c r="J1273" s="93" t="s">
        <v>72</v>
      </c>
      <c r="K1273" s="93">
        <v>180</v>
      </c>
      <c r="L1273" s="93">
        <v>2.0129999999999999</v>
      </c>
      <c r="M1273" s="93" t="s">
        <v>113</v>
      </c>
      <c r="N1273" s="93">
        <v>14.1</v>
      </c>
      <c r="O1273" s="93">
        <v>25.7</v>
      </c>
      <c r="P1273" s="93">
        <v>32.799999999999997</v>
      </c>
      <c r="Q1273" s="93" t="s">
        <v>123</v>
      </c>
      <c r="R1273" s="93" t="s">
        <v>20</v>
      </c>
      <c r="S1273" s="93" t="s">
        <v>124</v>
      </c>
      <c r="T1273" s="93" t="s">
        <v>116</v>
      </c>
      <c r="U1273" s="94">
        <v>44642.540972222225</v>
      </c>
      <c r="V1273" s="93" t="s">
        <v>10</v>
      </c>
      <c r="W1273" s="93" t="s">
        <v>9</v>
      </c>
    </row>
    <row r="1274" spans="1:23" x14ac:dyDescent="0.15">
      <c r="A1274" s="93" t="s">
        <v>8285</v>
      </c>
      <c r="B1274" s="93" t="s">
        <v>8286</v>
      </c>
      <c r="C1274" s="93">
        <v>660</v>
      </c>
      <c r="D1274" s="93" t="s">
        <v>9</v>
      </c>
      <c r="E1274" s="93" t="s">
        <v>9</v>
      </c>
      <c r="F1274" s="93" t="s">
        <v>70</v>
      </c>
      <c r="G1274" s="93" t="s">
        <v>8287</v>
      </c>
      <c r="H1274" s="93" t="s">
        <v>6</v>
      </c>
      <c r="I1274" s="93" t="s">
        <v>111</v>
      </c>
      <c r="J1274" s="93" t="s">
        <v>72</v>
      </c>
      <c r="K1274" s="93">
        <v>180</v>
      </c>
      <c r="L1274" s="93">
        <v>2.3334999999999999</v>
      </c>
      <c r="M1274" s="93" t="s">
        <v>113</v>
      </c>
      <c r="N1274" s="93">
        <v>14.1</v>
      </c>
      <c r="O1274" s="93">
        <v>25.7</v>
      </c>
      <c r="P1274" s="93">
        <v>32.799999999999997</v>
      </c>
      <c r="Q1274" s="93" t="s">
        <v>123</v>
      </c>
      <c r="R1274" s="93" t="s">
        <v>20</v>
      </c>
      <c r="S1274" s="93" t="s">
        <v>124</v>
      </c>
      <c r="T1274" s="93" t="s">
        <v>116</v>
      </c>
      <c r="U1274" s="94">
        <v>44642.496527777781</v>
      </c>
      <c r="V1274" s="93" t="s">
        <v>10</v>
      </c>
      <c r="W1274" s="93" t="s">
        <v>9</v>
      </c>
    </row>
    <row r="1275" spans="1:23" x14ac:dyDescent="0.15">
      <c r="A1275" s="93" t="s">
        <v>8288</v>
      </c>
      <c r="B1275" s="93" t="s">
        <v>8289</v>
      </c>
      <c r="C1275" s="93">
        <v>660</v>
      </c>
      <c r="D1275" s="93" t="s">
        <v>9</v>
      </c>
      <c r="E1275" s="93" t="s">
        <v>9</v>
      </c>
      <c r="F1275" s="93" t="s">
        <v>70</v>
      </c>
      <c r="G1275" s="93" t="s">
        <v>8287</v>
      </c>
      <c r="H1275" s="93" t="s">
        <v>6</v>
      </c>
      <c r="I1275" s="93" t="s">
        <v>111</v>
      </c>
      <c r="J1275" s="93" t="s">
        <v>72</v>
      </c>
      <c r="K1275" s="93">
        <v>180</v>
      </c>
      <c r="L1275" s="93">
        <v>2.3334999999999999</v>
      </c>
      <c r="M1275" s="93" t="s">
        <v>113</v>
      </c>
      <c r="N1275" s="93">
        <v>14.1</v>
      </c>
      <c r="O1275" s="93">
        <v>25.7</v>
      </c>
      <c r="P1275" s="93">
        <v>32.799999999999997</v>
      </c>
      <c r="Q1275" s="93" t="s">
        <v>123</v>
      </c>
      <c r="R1275" s="93" t="s">
        <v>20</v>
      </c>
      <c r="S1275" s="93" t="s">
        <v>124</v>
      </c>
      <c r="T1275" s="93" t="s">
        <v>116</v>
      </c>
      <c r="U1275" s="94">
        <v>44642.451388888891</v>
      </c>
      <c r="V1275" s="93" t="s">
        <v>10</v>
      </c>
      <c r="W1275" s="93" t="s">
        <v>9</v>
      </c>
    </row>
    <row r="1276" spans="1:23" x14ac:dyDescent="0.15">
      <c r="A1276" s="93" t="s">
        <v>8290</v>
      </c>
      <c r="B1276" s="93" t="s">
        <v>8291</v>
      </c>
      <c r="C1276" s="93">
        <v>699.6</v>
      </c>
      <c r="D1276" s="93" t="s">
        <v>9</v>
      </c>
      <c r="E1276" s="93" t="s">
        <v>9</v>
      </c>
      <c r="F1276" s="93" t="s">
        <v>70</v>
      </c>
      <c r="G1276" s="93" t="s">
        <v>8287</v>
      </c>
      <c r="H1276" s="93" t="s">
        <v>6</v>
      </c>
      <c r="I1276" s="93" t="s">
        <v>111</v>
      </c>
      <c r="J1276" s="93" t="s">
        <v>72</v>
      </c>
      <c r="K1276" s="93">
        <v>180</v>
      </c>
      <c r="L1276" s="93">
        <v>2.0129999999999999</v>
      </c>
      <c r="M1276" s="93" t="s">
        <v>113</v>
      </c>
      <c r="N1276" s="93">
        <v>14.1</v>
      </c>
      <c r="O1276" s="93">
        <v>25.7</v>
      </c>
      <c r="P1276" s="93">
        <v>32.799999999999997</v>
      </c>
      <c r="Q1276" s="93" t="s">
        <v>123</v>
      </c>
      <c r="R1276" s="93" t="s">
        <v>20</v>
      </c>
      <c r="S1276" s="93" t="s">
        <v>124</v>
      </c>
      <c r="T1276" s="93" t="s">
        <v>116</v>
      </c>
      <c r="U1276" s="94">
        <v>44642.540277777778</v>
      </c>
      <c r="V1276" s="93" t="s">
        <v>10</v>
      </c>
      <c r="W1276" s="93" t="s">
        <v>9</v>
      </c>
    </row>
    <row r="1277" spans="1:23" x14ac:dyDescent="0.15">
      <c r="A1277" s="93" t="s">
        <v>8292</v>
      </c>
      <c r="B1277" s="93" t="s">
        <v>8293</v>
      </c>
      <c r="C1277" s="93">
        <v>24</v>
      </c>
      <c r="D1277" s="93" t="s">
        <v>9</v>
      </c>
      <c r="E1277" s="93" t="s">
        <v>24</v>
      </c>
      <c r="F1277" s="93" t="s">
        <v>7070</v>
      </c>
      <c r="G1277" s="93" t="s">
        <v>7071</v>
      </c>
      <c r="H1277" s="93" t="s">
        <v>11</v>
      </c>
      <c r="I1277" s="93" t="s">
        <v>111</v>
      </c>
      <c r="J1277" s="93" t="s">
        <v>71</v>
      </c>
      <c r="K1277" s="93">
        <v>180</v>
      </c>
      <c r="L1277" s="93">
        <v>0.23</v>
      </c>
      <c r="M1277" s="93" t="s">
        <v>113</v>
      </c>
      <c r="N1277" s="93">
        <v>19</v>
      </c>
      <c r="O1277" s="93">
        <v>10.3</v>
      </c>
      <c r="P1277" s="93">
        <v>12.6</v>
      </c>
      <c r="Q1277" s="93" t="s">
        <v>122</v>
      </c>
      <c r="R1277" s="93" t="s">
        <v>20</v>
      </c>
      <c r="S1277" s="93" t="s">
        <v>115</v>
      </c>
      <c r="T1277" s="93" t="s">
        <v>116</v>
      </c>
      <c r="U1277" s="94">
        <v>44642.515972222223</v>
      </c>
      <c r="V1277" s="93" t="s">
        <v>7156</v>
      </c>
      <c r="W1277" s="93" t="s">
        <v>9</v>
      </c>
    </row>
    <row r="1278" spans="1:23" x14ac:dyDescent="0.15">
      <c r="A1278" s="93" t="s">
        <v>8294</v>
      </c>
      <c r="B1278" s="93" t="s">
        <v>8295</v>
      </c>
      <c r="C1278" s="93">
        <v>9.6</v>
      </c>
      <c r="D1278" s="93" t="s">
        <v>9</v>
      </c>
      <c r="E1278" s="93" t="s">
        <v>24</v>
      </c>
      <c r="F1278" s="93" t="s">
        <v>7070</v>
      </c>
      <c r="G1278" s="93" t="s">
        <v>7071</v>
      </c>
      <c r="H1278" s="93" t="s">
        <v>11</v>
      </c>
      <c r="I1278" s="93" t="s">
        <v>111</v>
      </c>
      <c r="J1278" s="93" t="s">
        <v>71</v>
      </c>
      <c r="K1278" s="93">
        <v>180</v>
      </c>
      <c r="L1278" s="93">
        <v>0.14799999999999999</v>
      </c>
      <c r="M1278" s="93" t="s">
        <v>113</v>
      </c>
      <c r="N1278" s="93">
        <v>17.5</v>
      </c>
      <c r="O1278" s="93">
        <v>4.9000000000000004</v>
      </c>
      <c r="P1278" s="93">
        <v>14.8</v>
      </c>
      <c r="Q1278" s="93" t="s">
        <v>122</v>
      </c>
      <c r="R1278" s="93" t="s">
        <v>20</v>
      </c>
      <c r="S1278" s="93" t="s">
        <v>115</v>
      </c>
      <c r="T1278" s="93" t="s">
        <v>7167</v>
      </c>
      <c r="U1278" s="94">
        <v>44642.561805555553</v>
      </c>
      <c r="V1278" s="93" t="s">
        <v>7156</v>
      </c>
      <c r="W1278" s="93" t="s">
        <v>24</v>
      </c>
    </row>
    <row r="1279" spans="1:23" x14ac:dyDescent="0.15">
      <c r="A1279" s="93" t="s">
        <v>8296</v>
      </c>
      <c r="B1279" s="93" t="s">
        <v>8297</v>
      </c>
      <c r="C1279" s="93">
        <v>9.6</v>
      </c>
      <c r="D1279" s="93" t="s">
        <v>9</v>
      </c>
      <c r="E1279" s="93" t="s">
        <v>24</v>
      </c>
      <c r="F1279" s="93" t="s">
        <v>7070</v>
      </c>
      <c r="G1279" s="93" t="s">
        <v>7071</v>
      </c>
      <c r="H1279" s="93" t="s">
        <v>11</v>
      </c>
      <c r="I1279" s="93" t="s">
        <v>111</v>
      </c>
      <c r="J1279" s="93" t="s">
        <v>71</v>
      </c>
      <c r="K1279" s="93">
        <v>180</v>
      </c>
      <c r="L1279" s="93">
        <v>0.16500000000000001</v>
      </c>
      <c r="M1279" s="93" t="s">
        <v>113</v>
      </c>
      <c r="N1279" s="93">
        <v>17.5</v>
      </c>
      <c r="O1279" s="93">
        <v>4.9000000000000004</v>
      </c>
      <c r="P1279" s="93">
        <v>14.8</v>
      </c>
      <c r="Q1279" s="93" t="s">
        <v>122</v>
      </c>
      <c r="R1279" s="93" t="s">
        <v>20</v>
      </c>
      <c r="S1279" s="93" t="s">
        <v>115</v>
      </c>
      <c r="T1279" s="93" t="s">
        <v>116</v>
      </c>
      <c r="U1279" s="94">
        <v>44642.538194444445</v>
      </c>
      <c r="V1279" s="93" t="s">
        <v>10</v>
      </c>
      <c r="W1279" s="93" t="s">
        <v>9</v>
      </c>
    </row>
    <row r="1280" spans="1:23" x14ac:dyDescent="0.15">
      <c r="A1280" s="93" t="s">
        <v>8298</v>
      </c>
      <c r="B1280" s="93" t="s">
        <v>8299</v>
      </c>
      <c r="C1280" s="93">
        <v>270</v>
      </c>
      <c r="D1280" s="93" t="s">
        <v>9</v>
      </c>
      <c r="E1280" s="93" t="s">
        <v>9</v>
      </c>
      <c r="F1280" s="93" t="s">
        <v>70</v>
      </c>
      <c r="G1280" s="93" t="s">
        <v>8300</v>
      </c>
      <c r="H1280" s="93" t="s">
        <v>6</v>
      </c>
      <c r="I1280" s="93" t="s">
        <v>111</v>
      </c>
      <c r="J1280" s="93" t="s">
        <v>71</v>
      </c>
      <c r="K1280" s="93">
        <v>180</v>
      </c>
      <c r="L1280" s="93">
        <v>0.80600000000000005</v>
      </c>
      <c r="M1280" s="93" t="s">
        <v>113</v>
      </c>
      <c r="N1280" s="93">
        <v>6.8</v>
      </c>
      <c r="O1280" s="93">
        <v>21.9</v>
      </c>
      <c r="P1280" s="93">
        <v>29.8</v>
      </c>
      <c r="Q1280" s="93" t="s">
        <v>123</v>
      </c>
      <c r="R1280" s="93" t="s">
        <v>20</v>
      </c>
      <c r="S1280" s="93" t="s">
        <v>124</v>
      </c>
      <c r="T1280" s="93" t="s">
        <v>7167</v>
      </c>
      <c r="U1280" s="94">
        <v>44642.5625</v>
      </c>
      <c r="V1280" s="93" t="s">
        <v>10</v>
      </c>
      <c r="W1280" s="93" t="s">
        <v>24</v>
      </c>
    </row>
    <row r="1281" spans="1:23" x14ac:dyDescent="0.15">
      <c r="A1281" s="93" t="s">
        <v>8301</v>
      </c>
      <c r="B1281" s="93" t="s">
        <v>8302</v>
      </c>
      <c r="C1281" s="93">
        <v>270</v>
      </c>
      <c r="D1281" s="93" t="s">
        <v>9</v>
      </c>
      <c r="E1281" s="93" t="s">
        <v>9</v>
      </c>
      <c r="F1281" s="93" t="s">
        <v>70</v>
      </c>
      <c r="G1281" s="93" t="s">
        <v>8300</v>
      </c>
      <c r="H1281" s="93" t="s">
        <v>6</v>
      </c>
      <c r="I1281" s="93" t="s">
        <v>111</v>
      </c>
      <c r="J1281" s="93" t="s">
        <v>71</v>
      </c>
      <c r="K1281" s="93">
        <v>180</v>
      </c>
      <c r="L1281" s="93">
        <v>0.76</v>
      </c>
      <c r="M1281" s="93" t="s">
        <v>113</v>
      </c>
      <c r="N1281" s="93">
        <v>6.8</v>
      </c>
      <c r="O1281" s="93">
        <v>20</v>
      </c>
      <c r="P1281" s="93">
        <v>22.9</v>
      </c>
      <c r="Q1281" s="93" t="s">
        <v>123</v>
      </c>
      <c r="R1281" s="93" t="s">
        <v>20</v>
      </c>
      <c r="S1281" s="93" t="s">
        <v>124</v>
      </c>
      <c r="T1281" s="93" t="s">
        <v>116</v>
      </c>
      <c r="U1281" s="94">
        <v>44642.532638888886</v>
      </c>
      <c r="V1281" s="93" t="s">
        <v>10</v>
      </c>
      <c r="W1281" s="93" t="s">
        <v>24</v>
      </c>
    </row>
    <row r="1282" spans="1:23" x14ac:dyDescent="0.15">
      <c r="A1282" s="93" t="s">
        <v>8303</v>
      </c>
      <c r="B1282" s="93" t="s">
        <v>8304</v>
      </c>
      <c r="C1282" s="93">
        <v>270</v>
      </c>
      <c r="D1282" s="93" t="s">
        <v>9</v>
      </c>
      <c r="E1282" s="93" t="s">
        <v>9</v>
      </c>
      <c r="F1282" s="93" t="s">
        <v>70</v>
      </c>
      <c r="G1282" s="93" t="s">
        <v>8300</v>
      </c>
      <c r="H1282" s="93" t="s">
        <v>6</v>
      </c>
      <c r="I1282" s="93" t="s">
        <v>111</v>
      </c>
      <c r="J1282" s="93" t="s">
        <v>71</v>
      </c>
      <c r="K1282" s="93">
        <v>180</v>
      </c>
      <c r="L1282" s="93">
        <v>0.76</v>
      </c>
      <c r="M1282" s="93" t="s">
        <v>113</v>
      </c>
      <c r="N1282" s="93">
        <v>6.8</v>
      </c>
      <c r="O1282" s="93">
        <v>20</v>
      </c>
      <c r="P1282" s="93">
        <v>22.9</v>
      </c>
      <c r="Q1282" s="93" t="s">
        <v>123</v>
      </c>
      <c r="R1282" s="93" t="s">
        <v>20</v>
      </c>
      <c r="S1282" s="93" t="s">
        <v>124</v>
      </c>
      <c r="T1282" s="93" t="s">
        <v>116</v>
      </c>
      <c r="U1282" s="94">
        <v>44642.445138888892</v>
      </c>
      <c r="V1282" s="93" t="s">
        <v>10</v>
      </c>
      <c r="W1282" s="93" t="s">
        <v>24</v>
      </c>
    </row>
    <row r="1283" spans="1:23" x14ac:dyDescent="0.15">
      <c r="A1283" s="93" t="s">
        <v>8305</v>
      </c>
      <c r="B1283" s="93" t="s">
        <v>8306</v>
      </c>
      <c r="C1283" s="93">
        <v>270</v>
      </c>
      <c r="D1283" s="93" t="s">
        <v>9</v>
      </c>
      <c r="E1283" s="93" t="s">
        <v>9</v>
      </c>
      <c r="F1283" s="93" t="s">
        <v>70</v>
      </c>
      <c r="G1283" s="93" t="s">
        <v>8300</v>
      </c>
      <c r="H1283" s="93" t="s">
        <v>6</v>
      </c>
      <c r="I1283" s="93" t="s">
        <v>111</v>
      </c>
      <c r="J1283" s="93" t="s">
        <v>71</v>
      </c>
      <c r="K1283" s="93">
        <v>180</v>
      </c>
      <c r="L1283" s="93">
        <v>0.76</v>
      </c>
      <c r="M1283" s="93" t="s">
        <v>113</v>
      </c>
      <c r="N1283" s="93">
        <v>6.8</v>
      </c>
      <c r="O1283" s="93">
        <v>20</v>
      </c>
      <c r="P1283" s="93">
        <v>22.9</v>
      </c>
      <c r="Q1283" s="93" t="s">
        <v>123</v>
      </c>
      <c r="R1283" s="93" t="s">
        <v>20</v>
      </c>
      <c r="S1283" s="93" t="s">
        <v>124</v>
      </c>
      <c r="T1283" s="93" t="s">
        <v>116</v>
      </c>
      <c r="U1283" s="94">
        <v>44642.532638888886</v>
      </c>
      <c r="V1283" s="93" t="s">
        <v>10</v>
      </c>
      <c r="W1283" s="93" t="s">
        <v>24</v>
      </c>
    </row>
    <row r="1284" spans="1:23" x14ac:dyDescent="0.15">
      <c r="A1284" s="93" t="s">
        <v>8307</v>
      </c>
      <c r="B1284" s="93" t="s">
        <v>8308</v>
      </c>
      <c r="C1284" s="93">
        <v>288.89999999999998</v>
      </c>
      <c r="D1284" s="93" t="s">
        <v>9</v>
      </c>
      <c r="E1284" s="93" t="s">
        <v>9</v>
      </c>
      <c r="F1284" s="93" t="s">
        <v>70</v>
      </c>
      <c r="G1284" s="93" t="s">
        <v>8300</v>
      </c>
      <c r="H1284" s="93" t="s">
        <v>6</v>
      </c>
      <c r="I1284" s="93" t="s">
        <v>111</v>
      </c>
      <c r="J1284" s="93" t="s">
        <v>71</v>
      </c>
      <c r="K1284" s="93">
        <v>180</v>
      </c>
      <c r="L1284" s="93">
        <v>0.76</v>
      </c>
      <c r="M1284" s="93" t="s">
        <v>113</v>
      </c>
      <c r="N1284" s="93">
        <v>6.8</v>
      </c>
      <c r="O1284" s="93">
        <v>20</v>
      </c>
      <c r="P1284" s="93">
        <v>22.9</v>
      </c>
      <c r="Q1284" s="93" t="s">
        <v>123</v>
      </c>
      <c r="R1284" s="93" t="s">
        <v>20</v>
      </c>
      <c r="S1284" s="93" t="s">
        <v>124</v>
      </c>
      <c r="T1284" s="93" t="s">
        <v>116</v>
      </c>
      <c r="U1284" s="94">
        <v>44642.511111111111</v>
      </c>
      <c r="V1284" s="93" t="s">
        <v>10</v>
      </c>
      <c r="W1284" s="93" t="s">
        <v>24</v>
      </c>
    </row>
    <row r="1285" spans="1:23" x14ac:dyDescent="0.15">
      <c r="A1285" s="93" t="s">
        <v>8309</v>
      </c>
      <c r="B1285" s="93" t="s">
        <v>8310</v>
      </c>
      <c r="C1285" s="93">
        <v>234</v>
      </c>
      <c r="D1285" s="93" t="s">
        <v>9</v>
      </c>
      <c r="E1285" s="93" t="s">
        <v>9</v>
      </c>
      <c r="F1285" s="93" t="s">
        <v>70</v>
      </c>
      <c r="G1285" s="93" t="s">
        <v>8311</v>
      </c>
      <c r="H1285" s="93" t="s">
        <v>6</v>
      </c>
      <c r="I1285" s="93" t="s">
        <v>111</v>
      </c>
      <c r="J1285" s="93" t="s">
        <v>71</v>
      </c>
      <c r="K1285" s="93">
        <v>180</v>
      </c>
      <c r="L1285" s="93">
        <v>0.46800000000000003</v>
      </c>
      <c r="M1285" s="93" t="s">
        <v>113</v>
      </c>
      <c r="N1285" s="93">
        <v>6</v>
      </c>
      <c r="O1285" s="93">
        <v>12.6</v>
      </c>
      <c r="P1285" s="93">
        <v>18.5</v>
      </c>
      <c r="Q1285" s="93" t="s">
        <v>396</v>
      </c>
      <c r="R1285" s="93" t="s">
        <v>20</v>
      </c>
      <c r="S1285" s="93" t="s">
        <v>397</v>
      </c>
      <c r="T1285" s="93" t="s">
        <v>116</v>
      </c>
      <c r="U1285" s="94">
        <v>44642.515972222223</v>
      </c>
      <c r="V1285" s="93" t="s">
        <v>10</v>
      </c>
      <c r="W1285" s="93" t="s">
        <v>9</v>
      </c>
    </row>
    <row r="1286" spans="1:23" x14ac:dyDescent="0.15">
      <c r="A1286" s="93" t="s">
        <v>8312</v>
      </c>
      <c r="B1286" s="93" t="s">
        <v>8313</v>
      </c>
      <c r="C1286" s="93">
        <v>234</v>
      </c>
      <c r="D1286" s="93" t="s">
        <v>9</v>
      </c>
      <c r="E1286" s="93" t="s">
        <v>9</v>
      </c>
      <c r="F1286" s="93" t="s">
        <v>70</v>
      </c>
      <c r="G1286" s="93" t="s">
        <v>8311</v>
      </c>
      <c r="H1286" s="93" t="s">
        <v>6</v>
      </c>
      <c r="I1286" s="93" t="s">
        <v>111</v>
      </c>
      <c r="J1286" s="93" t="s">
        <v>71</v>
      </c>
      <c r="K1286" s="93">
        <v>180</v>
      </c>
      <c r="L1286" s="93">
        <v>0.46800000000000003</v>
      </c>
      <c r="M1286" s="93" t="s">
        <v>113</v>
      </c>
      <c r="N1286" s="93">
        <v>6</v>
      </c>
      <c r="O1286" s="93">
        <v>12.6</v>
      </c>
      <c r="P1286" s="93">
        <v>18.5</v>
      </c>
      <c r="Q1286" s="93" t="s">
        <v>396</v>
      </c>
      <c r="R1286" s="93" t="s">
        <v>20</v>
      </c>
      <c r="S1286" s="93" t="s">
        <v>397</v>
      </c>
      <c r="T1286" s="93" t="s">
        <v>116</v>
      </c>
      <c r="U1286" s="94">
        <v>44642.515972222223</v>
      </c>
      <c r="V1286" s="93" t="s">
        <v>10</v>
      </c>
      <c r="W1286" s="93" t="s">
        <v>9</v>
      </c>
    </row>
    <row r="1287" spans="1:23" x14ac:dyDescent="0.15">
      <c r="A1287" s="93" t="s">
        <v>8314</v>
      </c>
      <c r="B1287" s="93" t="s">
        <v>8315</v>
      </c>
      <c r="C1287" s="93">
        <v>234</v>
      </c>
      <c r="D1287" s="93" t="s">
        <v>9</v>
      </c>
      <c r="E1287" s="93" t="s">
        <v>9</v>
      </c>
      <c r="F1287" s="93" t="s">
        <v>70</v>
      </c>
      <c r="G1287" s="93" t="s">
        <v>8311</v>
      </c>
      <c r="H1287" s="93" t="s">
        <v>6</v>
      </c>
      <c r="I1287" s="93" t="s">
        <v>111</v>
      </c>
      <c r="J1287" s="93" t="s">
        <v>71</v>
      </c>
      <c r="K1287" s="93">
        <v>180</v>
      </c>
      <c r="L1287" s="93">
        <v>0.46800000000000003</v>
      </c>
      <c r="M1287" s="93" t="s">
        <v>113</v>
      </c>
      <c r="N1287" s="93">
        <v>6</v>
      </c>
      <c r="O1287" s="93">
        <v>12.6</v>
      </c>
      <c r="P1287" s="93">
        <v>18.5</v>
      </c>
      <c r="Q1287" s="93" t="s">
        <v>396</v>
      </c>
      <c r="R1287" s="93" t="s">
        <v>20</v>
      </c>
      <c r="S1287" s="93" t="s">
        <v>397</v>
      </c>
      <c r="T1287" s="93" t="s">
        <v>116</v>
      </c>
      <c r="U1287" s="94">
        <v>44642.470833333333</v>
      </c>
      <c r="V1287" s="93" t="s">
        <v>10</v>
      </c>
      <c r="W1287" s="93" t="s">
        <v>9</v>
      </c>
    </row>
    <row r="1288" spans="1:23" x14ac:dyDescent="0.15">
      <c r="A1288" s="93" t="s">
        <v>8316</v>
      </c>
      <c r="B1288" s="93" t="s">
        <v>8317</v>
      </c>
      <c r="C1288" s="93">
        <v>234</v>
      </c>
      <c r="D1288" s="93" t="s">
        <v>9</v>
      </c>
      <c r="E1288" s="93" t="s">
        <v>9</v>
      </c>
      <c r="F1288" s="93" t="s">
        <v>70</v>
      </c>
      <c r="G1288" s="93" t="s">
        <v>8311</v>
      </c>
      <c r="H1288" s="93" t="s">
        <v>6</v>
      </c>
      <c r="I1288" s="93" t="s">
        <v>111</v>
      </c>
      <c r="J1288" s="93" t="s">
        <v>71</v>
      </c>
      <c r="K1288" s="93">
        <v>180</v>
      </c>
      <c r="L1288" s="93">
        <v>0.46800000000000003</v>
      </c>
      <c r="M1288" s="93" t="s">
        <v>113</v>
      </c>
      <c r="N1288" s="93">
        <v>6</v>
      </c>
      <c r="O1288" s="93">
        <v>12.6</v>
      </c>
      <c r="P1288" s="93">
        <v>18.5</v>
      </c>
      <c r="Q1288" s="93" t="s">
        <v>123</v>
      </c>
      <c r="R1288" s="93" t="s">
        <v>20</v>
      </c>
      <c r="S1288" s="93" t="s">
        <v>124</v>
      </c>
      <c r="T1288" s="93" t="s">
        <v>116</v>
      </c>
      <c r="U1288" s="94">
        <v>44642.538194444445</v>
      </c>
      <c r="V1288" s="93" t="s">
        <v>10</v>
      </c>
      <c r="W1288" s="93" t="s">
        <v>9</v>
      </c>
    </row>
    <row r="1289" spans="1:23" x14ac:dyDescent="0.15">
      <c r="A1289" s="93" t="s">
        <v>8318</v>
      </c>
      <c r="B1289" s="93" t="s">
        <v>8319</v>
      </c>
      <c r="C1289" s="93">
        <v>248.4</v>
      </c>
      <c r="D1289" s="93" t="s">
        <v>9</v>
      </c>
      <c r="E1289" s="93" t="s">
        <v>9</v>
      </c>
      <c r="F1289" s="93" t="s">
        <v>70</v>
      </c>
      <c r="G1289" s="93" t="s">
        <v>8311</v>
      </c>
      <c r="H1289" s="93" t="s">
        <v>6</v>
      </c>
      <c r="I1289" s="93" t="s">
        <v>111</v>
      </c>
      <c r="J1289" s="93" t="s">
        <v>71</v>
      </c>
      <c r="K1289" s="93">
        <v>180</v>
      </c>
      <c r="L1289" s="93">
        <v>0.46800000000000003</v>
      </c>
      <c r="M1289" s="93" t="s">
        <v>113</v>
      </c>
      <c r="N1289" s="93">
        <v>6</v>
      </c>
      <c r="O1289" s="93">
        <v>12.6</v>
      </c>
      <c r="P1289" s="93">
        <v>18.5</v>
      </c>
      <c r="Q1289" s="93" t="s">
        <v>396</v>
      </c>
      <c r="R1289" s="93" t="s">
        <v>20</v>
      </c>
      <c r="S1289" s="93" t="s">
        <v>397</v>
      </c>
      <c r="T1289" s="93" t="s">
        <v>116</v>
      </c>
      <c r="U1289" s="94">
        <v>44642.515972222223</v>
      </c>
      <c r="V1289" s="93" t="s">
        <v>10</v>
      </c>
      <c r="W1289" s="93" t="s">
        <v>9</v>
      </c>
    </row>
    <row r="1290" spans="1:23" x14ac:dyDescent="0.15">
      <c r="A1290" s="93" t="s">
        <v>8320</v>
      </c>
      <c r="B1290" s="93" t="s">
        <v>8321</v>
      </c>
      <c r="C1290" s="93">
        <v>354</v>
      </c>
      <c r="D1290" s="93" t="s">
        <v>9</v>
      </c>
      <c r="E1290" s="93" t="s">
        <v>9</v>
      </c>
      <c r="F1290" s="93" t="s">
        <v>70</v>
      </c>
      <c r="G1290" s="93" t="s">
        <v>8322</v>
      </c>
      <c r="H1290" s="93" t="s">
        <v>6</v>
      </c>
      <c r="I1290" s="93" t="s">
        <v>111</v>
      </c>
      <c r="J1290" s="93" t="s">
        <v>71</v>
      </c>
      <c r="K1290" s="93">
        <v>180</v>
      </c>
      <c r="L1290" s="93">
        <v>0.57999999999999996</v>
      </c>
      <c r="M1290" s="93" t="s">
        <v>113</v>
      </c>
      <c r="N1290" s="93">
        <v>6</v>
      </c>
      <c r="O1290" s="93">
        <v>12.6</v>
      </c>
      <c r="P1290" s="93">
        <v>18.5</v>
      </c>
      <c r="Q1290" s="93" t="s">
        <v>123</v>
      </c>
      <c r="R1290" s="93" t="s">
        <v>20</v>
      </c>
      <c r="S1290" s="93" t="s">
        <v>124</v>
      </c>
      <c r="T1290" s="93" t="s">
        <v>116</v>
      </c>
      <c r="U1290" s="94">
        <v>44642.491666666669</v>
      </c>
      <c r="V1290" s="93" t="s">
        <v>10</v>
      </c>
      <c r="W1290" s="93" t="s">
        <v>9</v>
      </c>
    </row>
    <row r="1291" spans="1:23" x14ac:dyDescent="0.15">
      <c r="A1291" s="93" t="s">
        <v>8323</v>
      </c>
      <c r="B1291" s="93" t="s">
        <v>8324</v>
      </c>
      <c r="C1291" s="93">
        <v>354</v>
      </c>
      <c r="D1291" s="93" t="s">
        <v>9</v>
      </c>
      <c r="E1291" s="93" t="s">
        <v>9</v>
      </c>
      <c r="F1291" s="93" t="s">
        <v>70</v>
      </c>
      <c r="G1291" s="93" t="s">
        <v>8322</v>
      </c>
      <c r="H1291" s="93" t="s">
        <v>6</v>
      </c>
      <c r="I1291" s="93" t="s">
        <v>111</v>
      </c>
      <c r="J1291" s="93" t="s">
        <v>71</v>
      </c>
      <c r="K1291" s="93">
        <v>180</v>
      </c>
      <c r="L1291" s="93">
        <v>0.57999999999999996</v>
      </c>
      <c r="M1291" s="93" t="s">
        <v>113</v>
      </c>
      <c r="N1291" s="93">
        <v>6</v>
      </c>
      <c r="O1291" s="93">
        <v>12.6</v>
      </c>
      <c r="P1291" s="93">
        <v>18.5</v>
      </c>
      <c r="Q1291" s="93" t="s">
        <v>123</v>
      </c>
      <c r="R1291" s="93" t="s">
        <v>20</v>
      </c>
      <c r="S1291" s="93" t="s">
        <v>124</v>
      </c>
      <c r="T1291" s="93" t="s">
        <v>116</v>
      </c>
      <c r="U1291" s="94">
        <v>44642.560416666667</v>
      </c>
      <c r="V1291" s="93" t="s">
        <v>10</v>
      </c>
      <c r="W1291" s="93" t="s">
        <v>9</v>
      </c>
    </row>
    <row r="1292" spans="1:23" x14ac:dyDescent="0.15">
      <c r="A1292" s="93" t="s">
        <v>8325</v>
      </c>
      <c r="B1292" s="93" t="s">
        <v>8326</v>
      </c>
      <c r="C1292" s="93">
        <v>354</v>
      </c>
      <c r="D1292" s="93" t="s">
        <v>9</v>
      </c>
      <c r="E1292" s="93" t="s">
        <v>9</v>
      </c>
      <c r="F1292" s="93" t="s">
        <v>70</v>
      </c>
      <c r="G1292" s="93" t="s">
        <v>8322</v>
      </c>
      <c r="H1292" s="93" t="s">
        <v>6</v>
      </c>
      <c r="I1292" s="93" t="s">
        <v>111</v>
      </c>
      <c r="J1292" s="93" t="s">
        <v>71</v>
      </c>
      <c r="K1292" s="93">
        <v>180</v>
      </c>
      <c r="L1292" s="93">
        <v>0.57999999999999996</v>
      </c>
      <c r="M1292" s="93" t="s">
        <v>113</v>
      </c>
      <c r="N1292" s="93">
        <v>6</v>
      </c>
      <c r="O1292" s="93">
        <v>12.6</v>
      </c>
      <c r="P1292" s="93">
        <v>18.5</v>
      </c>
      <c r="Q1292" s="93" t="s">
        <v>123</v>
      </c>
      <c r="R1292" s="93" t="s">
        <v>20</v>
      </c>
      <c r="S1292" s="93" t="s">
        <v>124</v>
      </c>
      <c r="T1292" s="93" t="s">
        <v>116</v>
      </c>
      <c r="U1292" s="94">
        <v>44642.449305555558</v>
      </c>
      <c r="V1292" s="93" t="s">
        <v>10</v>
      </c>
      <c r="W1292" s="93" t="s">
        <v>9</v>
      </c>
    </row>
    <row r="1293" spans="1:23" x14ac:dyDescent="0.15">
      <c r="A1293" s="93" t="s">
        <v>8327</v>
      </c>
      <c r="B1293" s="93" t="s">
        <v>8328</v>
      </c>
      <c r="C1293" s="93">
        <v>354</v>
      </c>
      <c r="D1293" s="93" t="s">
        <v>9</v>
      </c>
      <c r="E1293" s="93" t="s">
        <v>9</v>
      </c>
      <c r="F1293" s="93" t="s">
        <v>70</v>
      </c>
      <c r="G1293" s="93" t="s">
        <v>8322</v>
      </c>
      <c r="H1293" s="93" t="s">
        <v>6</v>
      </c>
      <c r="I1293" s="93" t="s">
        <v>111</v>
      </c>
      <c r="J1293" s="93" t="s">
        <v>71</v>
      </c>
      <c r="K1293" s="93">
        <v>180</v>
      </c>
      <c r="L1293" s="93">
        <v>0.57999999999999996</v>
      </c>
      <c r="M1293" s="93" t="s">
        <v>113</v>
      </c>
      <c r="N1293" s="93">
        <v>6</v>
      </c>
      <c r="O1293" s="93">
        <v>12.6</v>
      </c>
      <c r="P1293" s="93">
        <v>18.5</v>
      </c>
      <c r="Q1293" s="93" t="s">
        <v>123</v>
      </c>
      <c r="R1293" s="93" t="s">
        <v>20</v>
      </c>
      <c r="S1293" s="93" t="s">
        <v>124</v>
      </c>
      <c r="T1293" s="93" t="s">
        <v>116</v>
      </c>
      <c r="U1293" s="94">
        <v>44642.449305555558</v>
      </c>
      <c r="V1293" s="93" t="s">
        <v>10</v>
      </c>
      <c r="W1293" s="93" t="s">
        <v>9</v>
      </c>
    </row>
    <row r="1294" spans="1:23" x14ac:dyDescent="0.15">
      <c r="A1294" s="93" t="s">
        <v>8329</v>
      </c>
      <c r="B1294" s="93" t="s">
        <v>8330</v>
      </c>
      <c r="C1294" s="93">
        <v>378.78</v>
      </c>
      <c r="D1294" s="93" t="s">
        <v>9</v>
      </c>
      <c r="E1294" s="93" t="s">
        <v>9</v>
      </c>
      <c r="F1294" s="93" t="s">
        <v>70</v>
      </c>
      <c r="G1294" s="93" t="s">
        <v>8322</v>
      </c>
      <c r="H1294" s="93" t="s">
        <v>6</v>
      </c>
      <c r="I1294" s="93" t="s">
        <v>111</v>
      </c>
      <c r="J1294" s="93" t="s">
        <v>71</v>
      </c>
      <c r="K1294" s="93">
        <v>180</v>
      </c>
      <c r="L1294" s="93">
        <v>0.57999999999999996</v>
      </c>
      <c r="M1294" s="93" t="s">
        <v>113</v>
      </c>
      <c r="N1294" s="93">
        <v>6</v>
      </c>
      <c r="O1294" s="93">
        <v>12.6</v>
      </c>
      <c r="P1294" s="93">
        <v>18.5</v>
      </c>
      <c r="Q1294" s="93" t="s">
        <v>123</v>
      </c>
      <c r="R1294" s="93" t="s">
        <v>20</v>
      </c>
      <c r="S1294" s="93" t="s">
        <v>124</v>
      </c>
      <c r="T1294" s="93" t="s">
        <v>116</v>
      </c>
      <c r="U1294" s="94">
        <v>44642.449305555558</v>
      </c>
      <c r="V1294" s="93" t="s">
        <v>10</v>
      </c>
      <c r="W1294" s="93" t="s">
        <v>9</v>
      </c>
    </row>
    <row r="1295" spans="1:23" x14ac:dyDescent="0.15">
      <c r="A1295" s="93" t="s">
        <v>8331</v>
      </c>
      <c r="B1295" s="93" t="s">
        <v>8332</v>
      </c>
      <c r="C1295" s="93">
        <v>576</v>
      </c>
      <c r="D1295" s="93" t="s">
        <v>9</v>
      </c>
      <c r="E1295" s="93" t="s">
        <v>9</v>
      </c>
      <c r="F1295" s="93" t="s">
        <v>70</v>
      </c>
      <c r="G1295" s="93" t="s">
        <v>8333</v>
      </c>
      <c r="H1295" s="93" t="s">
        <v>6</v>
      </c>
      <c r="I1295" s="93" t="s">
        <v>111</v>
      </c>
      <c r="J1295" s="93" t="s">
        <v>72</v>
      </c>
      <c r="K1295" s="93">
        <v>180</v>
      </c>
      <c r="L1295" s="93">
        <v>2.0099999999999998</v>
      </c>
      <c r="M1295" s="93" t="s">
        <v>113</v>
      </c>
      <c r="N1295" s="93">
        <v>14.1</v>
      </c>
      <c r="O1295" s="93">
        <v>25.7</v>
      </c>
      <c r="P1295" s="93">
        <v>32.799999999999997</v>
      </c>
      <c r="Q1295" s="93" t="s">
        <v>123</v>
      </c>
      <c r="R1295" s="93" t="s">
        <v>20</v>
      </c>
      <c r="S1295" s="93" t="s">
        <v>124</v>
      </c>
      <c r="T1295" s="93" t="s">
        <v>119</v>
      </c>
      <c r="U1295" s="94">
        <v>44642.466666666667</v>
      </c>
      <c r="V1295" s="93" t="s">
        <v>10</v>
      </c>
      <c r="W1295" s="93" t="s">
        <v>9</v>
      </c>
    </row>
    <row r="1296" spans="1:23" x14ac:dyDescent="0.15">
      <c r="A1296" s="93" t="s">
        <v>8334</v>
      </c>
      <c r="B1296" s="93" t="s">
        <v>8335</v>
      </c>
      <c r="C1296" s="93">
        <v>576</v>
      </c>
      <c r="D1296" s="93" t="s">
        <v>9</v>
      </c>
      <c r="E1296" s="93" t="s">
        <v>9</v>
      </c>
      <c r="F1296" s="93" t="s">
        <v>70</v>
      </c>
      <c r="G1296" s="93" t="s">
        <v>8333</v>
      </c>
      <c r="H1296" s="93" t="s">
        <v>6</v>
      </c>
      <c r="I1296" s="93" t="s">
        <v>111</v>
      </c>
      <c r="J1296" s="93" t="s">
        <v>72</v>
      </c>
      <c r="K1296" s="93">
        <v>180</v>
      </c>
      <c r="L1296" s="93">
        <v>1.85</v>
      </c>
      <c r="M1296" s="93" t="s">
        <v>113</v>
      </c>
      <c r="N1296" s="93">
        <v>14.1</v>
      </c>
      <c r="O1296" s="93">
        <v>25.7</v>
      </c>
      <c r="P1296" s="93">
        <v>32.799999999999997</v>
      </c>
      <c r="Q1296" s="93" t="s">
        <v>123</v>
      </c>
      <c r="R1296" s="93" t="s">
        <v>20</v>
      </c>
      <c r="S1296" s="93" t="s">
        <v>124</v>
      </c>
      <c r="T1296" s="93" t="s">
        <v>119</v>
      </c>
      <c r="U1296" s="94">
        <v>44642.496527777781</v>
      </c>
      <c r="V1296" s="93" t="s">
        <v>10</v>
      </c>
      <c r="W1296" s="93" t="s">
        <v>9</v>
      </c>
    </row>
    <row r="1297" spans="1:23" x14ac:dyDescent="0.15">
      <c r="A1297" s="93" t="s">
        <v>8336</v>
      </c>
      <c r="B1297" s="93" t="s">
        <v>8337</v>
      </c>
      <c r="C1297" s="93">
        <v>616.32000000000005</v>
      </c>
      <c r="D1297" s="93" t="s">
        <v>9</v>
      </c>
      <c r="E1297" s="93" t="s">
        <v>9</v>
      </c>
      <c r="F1297" s="93" t="s">
        <v>70</v>
      </c>
      <c r="G1297" s="93" t="s">
        <v>8333</v>
      </c>
      <c r="H1297" s="93" t="s">
        <v>6</v>
      </c>
      <c r="I1297" s="93" t="s">
        <v>111</v>
      </c>
      <c r="J1297" s="93" t="s">
        <v>72</v>
      </c>
      <c r="K1297" s="93">
        <v>180</v>
      </c>
      <c r="L1297" s="93">
        <v>2.0099999999999998</v>
      </c>
      <c r="M1297" s="93" t="s">
        <v>113</v>
      </c>
      <c r="N1297" s="93">
        <v>14.1</v>
      </c>
      <c r="O1297" s="93">
        <v>25.7</v>
      </c>
      <c r="P1297" s="93">
        <v>32.799999999999997</v>
      </c>
      <c r="Q1297" s="93" t="s">
        <v>123</v>
      </c>
      <c r="R1297" s="93" t="s">
        <v>20</v>
      </c>
      <c r="S1297" s="93" t="s">
        <v>124</v>
      </c>
      <c r="T1297" s="93" t="s">
        <v>119</v>
      </c>
      <c r="U1297" s="94">
        <v>44642.489583333336</v>
      </c>
      <c r="V1297" s="93" t="s">
        <v>10</v>
      </c>
      <c r="W1297" s="93" t="s">
        <v>9</v>
      </c>
    </row>
    <row r="1298" spans="1:23" x14ac:dyDescent="0.15">
      <c r="A1298" s="93" t="s">
        <v>8338</v>
      </c>
      <c r="B1298" s="93" t="s">
        <v>8339</v>
      </c>
      <c r="C1298" s="93">
        <v>390</v>
      </c>
      <c r="D1298" s="93" t="s">
        <v>9</v>
      </c>
      <c r="E1298" s="93" t="s">
        <v>9</v>
      </c>
      <c r="F1298" s="93" t="s">
        <v>70</v>
      </c>
      <c r="G1298" s="93" t="s">
        <v>8340</v>
      </c>
      <c r="H1298" s="93" t="s">
        <v>6</v>
      </c>
      <c r="I1298" s="93" t="s">
        <v>111</v>
      </c>
      <c r="J1298" s="93" t="s">
        <v>72</v>
      </c>
      <c r="K1298" s="93">
        <v>180</v>
      </c>
      <c r="L1298" s="93">
        <v>0.85599999999999998</v>
      </c>
      <c r="M1298" s="93" t="s">
        <v>113</v>
      </c>
      <c r="N1298" s="93">
        <v>11</v>
      </c>
      <c r="O1298" s="93">
        <v>14</v>
      </c>
      <c r="P1298" s="93">
        <v>25</v>
      </c>
      <c r="Q1298" s="93" t="s">
        <v>123</v>
      </c>
      <c r="R1298" s="93" t="s">
        <v>20</v>
      </c>
      <c r="S1298" s="93" t="s">
        <v>124</v>
      </c>
      <c r="T1298" s="93" t="s">
        <v>116</v>
      </c>
      <c r="U1298" s="94">
        <v>44642.590277777781</v>
      </c>
      <c r="V1298" s="93" t="s">
        <v>10</v>
      </c>
      <c r="W1298" s="93" t="s">
        <v>9</v>
      </c>
    </row>
    <row r="1299" spans="1:23" x14ac:dyDescent="0.15">
      <c r="A1299" s="93" t="s">
        <v>73</v>
      </c>
      <c r="B1299" s="93" t="s">
        <v>5660</v>
      </c>
      <c r="C1299" s="93">
        <v>390</v>
      </c>
      <c r="D1299" s="93" t="s">
        <v>9</v>
      </c>
      <c r="E1299" s="93" t="s">
        <v>9</v>
      </c>
      <c r="F1299" s="93" t="s">
        <v>70</v>
      </c>
      <c r="G1299" s="93" t="s">
        <v>8340</v>
      </c>
      <c r="H1299" s="93" t="s">
        <v>6</v>
      </c>
      <c r="I1299" s="93" t="s">
        <v>111</v>
      </c>
      <c r="J1299" s="93" t="s">
        <v>72</v>
      </c>
      <c r="K1299" s="93">
        <v>180</v>
      </c>
      <c r="L1299" s="93">
        <v>0.85599999999999998</v>
      </c>
      <c r="M1299" s="93" t="s">
        <v>113</v>
      </c>
      <c r="N1299" s="93">
        <v>11</v>
      </c>
      <c r="O1299" s="93">
        <v>14</v>
      </c>
      <c r="P1299" s="93">
        <v>25</v>
      </c>
      <c r="Q1299" s="93" t="s">
        <v>123</v>
      </c>
      <c r="R1299" s="93" t="s">
        <v>20</v>
      </c>
      <c r="S1299" s="93" t="s">
        <v>124</v>
      </c>
      <c r="T1299" s="93" t="s">
        <v>116</v>
      </c>
      <c r="U1299" s="94">
        <v>44642.425694444442</v>
      </c>
      <c r="V1299" s="93" t="s">
        <v>120</v>
      </c>
      <c r="W1299" s="93" t="s">
        <v>9</v>
      </c>
    </row>
    <row r="1300" spans="1:23" x14ac:dyDescent="0.15">
      <c r="A1300" s="93" t="s">
        <v>8341</v>
      </c>
      <c r="B1300" s="93" t="s">
        <v>8342</v>
      </c>
      <c r="C1300" s="93">
        <v>417.3</v>
      </c>
      <c r="D1300" s="93" t="s">
        <v>9</v>
      </c>
      <c r="E1300" s="93" t="s">
        <v>9</v>
      </c>
      <c r="F1300" s="93" t="s">
        <v>70</v>
      </c>
      <c r="G1300" s="93" t="s">
        <v>8340</v>
      </c>
      <c r="H1300" s="93" t="s">
        <v>6</v>
      </c>
      <c r="I1300" s="93" t="s">
        <v>111</v>
      </c>
      <c r="J1300" s="93" t="s">
        <v>72</v>
      </c>
      <c r="K1300" s="93">
        <v>180</v>
      </c>
      <c r="L1300" s="93">
        <v>0.85599999999999998</v>
      </c>
      <c r="M1300" s="93" t="s">
        <v>113</v>
      </c>
      <c r="N1300" s="93">
        <v>11</v>
      </c>
      <c r="O1300" s="93">
        <v>14</v>
      </c>
      <c r="P1300" s="93">
        <v>25</v>
      </c>
      <c r="Q1300" s="93" t="s">
        <v>123</v>
      </c>
      <c r="R1300" s="93" t="s">
        <v>20</v>
      </c>
      <c r="S1300" s="93" t="s">
        <v>124</v>
      </c>
      <c r="T1300" s="93" t="s">
        <v>116</v>
      </c>
      <c r="U1300" s="94">
        <v>44642.490972222222</v>
      </c>
      <c r="V1300" s="93" t="s">
        <v>10</v>
      </c>
      <c r="W1300" s="93" t="s">
        <v>9</v>
      </c>
    </row>
    <row r="1301" spans="1:23" x14ac:dyDescent="0.15">
      <c r="A1301" s="93" t="s">
        <v>8343</v>
      </c>
      <c r="B1301" s="93" t="s">
        <v>8344</v>
      </c>
      <c r="C1301" s="93">
        <v>5760</v>
      </c>
      <c r="D1301" s="93" t="s">
        <v>24</v>
      </c>
      <c r="E1301" s="93" t="s">
        <v>9</v>
      </c>
      <c r="F1301" s="93" t="s">
        <v>70</v>
      </c>
      <c r="G1301" s="93" t="s">
        <v>8345</v>
      </c>
      <c r="H1301" s="93" t="s">
        <v>6</v>
      </c>
      <c r="I1301" s="93" t="s">
        <v>111</v>
      </c>
      <c r="J1301" s="93" t="s">
        <v>8346</v>
      </c>
      <c r="K1301" s="93" t="s">
        <v>111</v>
      </c>
      <c r="L1301" s="93" t="s">
        <v>111</v>
      </c>
      <c r="M1301" s="93" t="s">
        <v>111</v>
      </c>
      <c r="N1301" s="93">
        <v>10</v>
      </c>
      <c r="O1301" s="93" t="s">
        <v>111</v>
      </c>
      <c r="P1301" s="93" t="s">
        <v>111</v>
      </c>
      <c r="Q1301" s="93" t="s">
        <v>398</v>
      </c>
      <c r="R1301" s="93" t="s">
        <v>20</v>
      </c>
      <c r="S1301" s="93" t="s">
        <v>124</v>
      </c>
      <c r="T1301" s="93" t="s">
        <v>6686</v>
      </c>
      <c r="U1301" s="94">
        <v>44642.559027777781</v>
      </c>
      <c r="V1301" s="93" t="s">
        <v>10</v>
      </c>
      <c r="W1301" s="93" t="s">
        <v>9</v>
      </c>
    </row>
    <row r="1302" spans="1:23" x14ac:dyDescent="0.15">
      <c r="A1302" s="93" t="s">
        <v>8347</v>
      </c>
      <c r="B1302" s="93" t="s">
        <v>8348</v>
      </c>
      <c r="C1302" s="93">
        <v>576</v>
      </c>
      <c r="D1302" s="93" t="s">
        <v>9</v>
      </c>
      <c r="E1302" s="93" t="s">
        <v>9</v>
      </c>
      <c r="F1302" s="93" t="s">
        <v>70</v>
      </c>
      <c r="G1302" s="93" t="s">
        <v>8349</v>
      </c>
      <c r="H1302" s="93" t="s">
        <v>6</v>
      </c>
      <c r="I1302" s="93" t="s">
        <v>111</v>
      </c>
      <c r="J1302" s="93" t="s">
        <v>72</v>
      </c>
      <c r="K1302" s="93">
        <v>180</v>
      </c>
      <c r="L1302" s="93">
        <v>1.61</v>
      </c>
      <c r="M1302" s="93" t="s">
        <v>113</v>
      </c>
      <c r="N1302" s="93">
        <v>32.1</v>
      </c>
      <c r="O1302" s="93">
        <v>11.8</v>
      </c>
      <c r="P1302" s="93">
        <v>26.4</v>
      </c>
      <c r="Q1302" s="93" t="s">
        <v>398</v>
      </c>
      <c r="R1302" s="93" t="s">
        <v>20</v>
      </c>
      <c r="S1302" s="93" t="s">
        <v>124</v>
      </c>
      <c r="T1302" s="93" t="s">
        <v>116</v>
      </c>
      <c r="U1302" s="94">
        <v>44642.46875</v>
      </c>
      <c r="V1302" s="93" t="s">
        <v>10</v>
      </c>
      <c r="W1302" s="93" t="s">
        <v>9</v>
      </c>
    </row>
    <row r="1303" spans="1:23" x14ac:dyDescent="0.15">
      <c r="A1303" s="93" t="s">
        <v>8350</v>
      </c>
      <c r="B1303" s="93" t="s">
        <v>8351</v>
      </c>
      <c r="C1303" s="93">
        <v>576</v>
      </c>
      <c r="D1303" s="93" t="s">
        <v>9</v>
      </c>
      <c r="E1303" s="93" t="s">
        <v>9</v>
      </c>
      <c r="F1303" s="93" t="s">
        <v>70</v>
      </c>
      <c r="G1303" s="93" t="s">
        <v>8349</v>
      </c>
      <c r="H1303" s="93" t="s">
        <v>6</v>
      </c>
      <c r="I1303" s="93" t="s">
        <v>111</v>
      </c>
      <c r="J1303" s="93" t="s">
        <v>72</v>
      </c>
      <c r="K1303" s="93">
        <v>180</v>
      </c>
      <c r="L1303" s="93">
        <v>1.61</v>
      </c>
      <c r="M1303" s="93" t="s">
        <v>113</v>
      </c>
      <c r="N1303" s="93">
        <v>32.1</v>
      </c>
      <c r="O1303" s="93">
        <v>11.8</v>
      </c>
      <c r="P1303" s="93">
        <v>26.4</v>
      </c>
      <c r="Q1303" s="93" t="s">
        <v>123</v>
      </c>
      <c r="R1303" s="93" t="s">
        <v>20</v>
      </c>
      <c r="S1303" s="93" t="s">
        <v>124</v>
      </c>
      <c r="T1303" s="93" t="s">
        <v>116</v>
      </c>
      <c r="U1303" s="94">
        <v>44642.449305555558</v>
      </c>
      <c r="V1303" s="93" t="s">
        <v>10</v>
      </c>
      <c r="W1303" s="93" t="s">
        <v>9</v>
      </c>
    </row>
    <row r="1304" spans="1:23" x14ac:dyDescent="0.15">
      <c r="A1304" s="93" t="s">
        <v>8352</v>
      </c>
      <c r="B1304" s="93" t="s">
        <v>8353</v>
      </c>
      <c r="C1304" s="93">
        <v>576</v>
      </c>
      <c r="D1304" s="93" t="s">
        <v>9</v>
      </c>
      <c r="E1304" s="93" t="s">
        <v>9</v>
      </c>
      <c r="F1304" s="93" t="s">
        <v>70</v>
      </c>
      <c r="G1304" s="93" t="s">
        <v>8349</v>
      </c>
      <c r="H1304" s="93" t="s">
        <v>6</v>
      </c>
      <c r="I1304" s="93" t="s">
        <v>111</v>
      </c>
      <c r="J1304" s="93" t="s">
        <v>72</v>
      </c>
      <c r="K1304" s="93">
        <v>180</v>
      </c>
      <c r="L1304" s="93">
        <v>1.61</v>
      </c>
      <c r="M1304" s="93" t="s">
        <v>113</v>
      </c>
      <c r="N1304" s="93">
        <v>32.1</v>
      </c>
      <c r="O1304" s="93">
        <v>11.8</v>
      </c>
      <c r="P1304" s="93">
        <v>26.4</v>
      </c>
      <c r="Q1304" s="93" t="s">
        <v>398</v>
      </c>
      <c r="R1304" s="93" t="s">
        <v>20</v>
      </c>
      <c r="S1304" s="93" t="s">
        <v>124</v>
      </c>
      <c r="T1304" s="93" t="s">
        <v>116</v>
      </c>
      <c r="U1304" s="94">
        <v>44642.515972222223</v>
      </c>
      <c r="V1304" s="93" t="s">
        <v>10</v>
      </c>
      <c r="W1304" s="93" t="s">
        <v>9</v>
      </c>
    </row>
    <row r="1305" spans="1:23" x14ac:dyDescent="0.15">
      <c r="A1305" s="93" t="s">
        <v>8354</v>
      </c>
      <c r="B1305" s="93" t="s">
        <v>8355</v>
      </c>
      <c r="C1305" s="93">
        <v>616.32000000000005</v>
      </c>
      <c r="D1305" s="93" t="s">
        <v>9</v>
      </c>
      <c r="E1305" s="93" t="s">
        <v>9</v>
      </c>
      <c r="F1305" s="93" t="s">
        <v>70</v>
      </c>
      <c r="G1305" s="93" t="s">
        <v>8349</v>
      </c>
      <c r="H1305" s="93" t="s">
        <v>6</v>
      </c>
      <c r="I1305" s="93" t="s">
        <v>111</v>
      </c>
      <c r="J1305" s="93" t="s">
        <v>72</v>
      </c>
      <c r="K1305" s="93">
        <v>180</v>
      </c>
      <c r="L1305" s="93">
        <v>1.61</v>
      </c>
      <c r="M1305" s="93" t="s">
        <v>113</v>
      </c>
      <c r="N1305" s="93">
        <v>32.1</v>
      </c>
      <c r="O1305" s="93">
        <v>11.8</v>
      </c>
      <c r="P1305" s="93">
        <v>26.4</v>
      </c>
      <c r="Q1305" s="93" t="s">
        <v>396</v>
      </c>
      <c r="R1305" s="93" t="s">
        <v>20</v>
      </c>
      <c r="S1305" s="93" t="s">
        <v>124</v>
      </c>
      <c r="T1305" s="93" t="s">
        <v>116</v>
      </c>
      <c r="U1305" s="94">
        <v>44642.494444444441</v>
      </c>
      <c r="V1305" s="93" t="s">
        <v>10</v>
      </c>
      <c r="W1305" s="93" t="s">
        <v>9</v>
      </c>
    </row>
    <row r="1306" spans="1:23" x14ac:dyDescent="0.15">
      <c r="A1306" s="93" t="s">
        <v>8356</v>
      </c>
      <c r="B1306" s="93" t="s">
        <v>8357</v>
      </c>
      <c r="C1306" s="93">
        <v>450</v>
      </c>
      <c r="D1306" s="93" t="s">
        <v>9</v>
      </c>
      <c r="E1306" s="93" t="s">
        <v>9</v>
      </c>
      <c r="F1306" s="93" t="s">
        <v>70</v>
      </c>
      <c r="G1306" s="93" t="s">
        <v>8358</v>
      </c>
      <c r="H1306" s="93" t="s">
        <v>6</v>
      </c>
      <c r="I1306" s="93" t="s">
        <v>111</v>
      </c>
      <c r="J1306" s="93" t="s">
        <v>71</v>
      </c>
      <c r="K1306" s="93">
        <v>180</v>
      </c>
      <c r="L1306" s="93">
        <v>0.96199999999999997</v>
      </c>
      <c r="M1306" s="93" t="s">
        <v>113</v>
      </c>
      <c r="N1306" s="93">
        <v>6.8</v>
      </c>
      <c r="O1306" s="93">
        <v>21.9</v>
      </c>
      <c r="P1306" s="93">
        <v>29.8</v>
      </c>
      <c r="Q1306" s="93" t="s">
        <v>123</v>
      </c>
      <c r="R1306" s="93" t="s">
        <v>20</v>
      </c>
      <c r="S1306" s="93" t="s">
        <v>124</v>
      </c>
      <c r="T1306" s="93" t="s">
        <v>116</v>
      </c>
      <c r="U1306" s="94">
        <v>44642.449305555558</v>
      </c>
      <c r="V1306" s="93" t="s">
        <v>10</v>
      </c>
      <c r="W1306" s="93" t="s">
        <v>9</v>
      </c>
    </row>
    <row r="1307" spans="1:23" x14ac:dyDescent="0.15">
      <c r="A1307" s="93" t="s">
        <v>8359</v>
      </c>
      <c r="B1307" s="93" t="s">
        <v>8360</v>
      </c>
      <c r="C1307" s="93">
        <v>474</v>
      </c>
      <c r="D1307" s="93" t="s">
        <v>9</v>
      </c>
      <c r="E1307" s="93" t="s">
        <v>9</v>
      </c>
      <c r="F1307" s="93" t="s">
        <v>70</v>
      </c>
      <c r="G1307" s="93" t="s">
        <v>8358</v>
      </c>
      <c r="H1307" s="93" t="s">
        <v>6</v>
      </c>
      <c r="I1307" s="93" t="s">
        <v>111</v>
      </c>
      <c r="J1307" s="93" t="s">
        <v>71</v>
      </c>
      <c r="K1307" s="93">
        <v>180</v>
      </c>
      <c r="L1307" s="93">
        <v>0.96199999999999997</v>
      </c>
      <c r="M1307" s="93" t="s">
        <v>113</v>
      </c>
      <c r="N1307" s="93">
        <v>6.8</v>
      </c>
      <c r="O1307" s="93">
        <v>21.9</v>
      </c>
      <c r="P1307" s="93">
        <v>29.8</v>
      </c>
      <c r="Q1307" s="93" t="s">
        <v>123</v>
      </c>
      <c r="R1307" s="93" t="s">
        <v>20</v>
      </c>
      <c r="S1307" s="93" t="s">
        <v>124</v>
      </c>
      <c r="T1307" s="93" t="s">
        <v>116</v>
      </c>
      <c r="U1307" s="94">
        <v>44642.473611111112</v>
      </c>
      <c r="V1307" s="93" t="s">
        <v>10</v>
      </c>
      <c r="W1307" s="93" t="s">
        <v>9</v>
      </c>
    </row>
    <row r="1308" spans="1:23" x14ac:dyDescent="0.15">
      <c r="A1308" s="93" t="s">
        <v>8361</v>
      </c>
      <c r="B1308" s="93" t="s">
        <v>8362</v>
      </c>
      <c r="C1308" s="93">
        <v>474</v>
      </c>
      <c r="D1308" s="93" t="s">
        <v>9</v>
      </c>
      <c r="E1308" s="93" t="s">
        <v>9</v>
      </c>
      <c r="F1308" s="93" t="s">
        <v>70</v>
      </c>
      <c r="G1308" s="93" t="s">
        <v>8358</v>
      </c>
      <c r="H1308" s="93" t="s">
        <v>6</v>
      </c>
      <c r="I1308" s="93" t="s">
        <v>111</v>
      </c>
      <c r="J1308" s="93" t="s">
        <v>71</v>
      </c>
      <c r="K1308" s="93">
        <v>180</v>
      </c>
      <c r="L1308" s="93">
        <v>0.96199999999999997</v>
      </c>
      <c r="M1308" s="93" t="s">
        <v>113</v>
      </c>
      <c r="N1308" s="93">
        <v>6.8</v>
      </c>
      <c r="O1308" s="93">
        <v>21.9</v>
      </c>
      <c r="P1308" s="93">
        <v>29.8</v>
      </c>
      <c r="Q1308" s="93" t="s">
        <v>123</v>
      </c>
      <c r="R1308" s="93" t="s">
        <v>20</v>
      </c>
      <c r="S1308" s="93" t="s">
        <v>124</v>
      </c>
      <c r="T1308" s="93" t="s">
        <v>116</v>
      </c>
      <c r="U1308" s="94">
        <v>44642.595138888886</v>
      </c>
      <c r="V1308" s="93" t="s">
        <v>10</v>
      </c>
      <c r="W1308" s="93" t="s">
        <v>9</v>
      </c>
    </row>
    <row r="1309" spans="1:23" x14ac:dyDescent="0.15">
      <c r="A1309" s="93" t="s">
        <v>8363</v>
      </c>
      <c r="B1309" s="93" t="s">
        <v>8364</v>
      </c>
      <c r="C1309" s="93">
        <v>502.8</v>
      </c>
      <c r="D1309" s="93" t="s">
        <v>9</v>
      </c>
      <c r="E1309" s="93" t="s">
        <v>9</v>
      </c>
      <c r="F1309" s="93" t="s">
        <v>70</v>
      </c>
      <c r="G1309" s="93" t="s">
        <v>8358</v>
      </c>
      <c r="H1309" s="93" t="s">
        <v>6</v>
      </c>
      <c r="I1309" s="93" t="s">
        <v>111</v>
      </c>
      <c r="J1309" s="93" t="s">
        <v>71</v>
      </c>
      <c r="K1309" s="93">
        <v>180</v>
      </c>
      <c r="L1309" s="93">
        <v>0.96199999999999997</v>
      </c>
      <c r="M1309" s="93" t="s">
        <v>113</v>
      </c>
      <c r="N1309" s="93">
        <v>6.8</v>
      </c>
      <c r="O1309" s="93">
        <v>21.9</v>
      </c>
      <c r="P1309" s="93">
        <v>29.8</v>
      </c>
      <c r="Q1309" s="93" t="s">
        <v>123</v>
      </c>
      <c r="R1309" s="93" t="s">
        <v>20</v>
      </c>
      <c r="S1309" s="93" t="s">
        <v>124</v>
      </c>
      <c r="T1309" s="93" t="s">
        <v>116</v>
      </c>
      <c r="U1309" s="94">
        <v>44642.5625</v>
      </c>
      <c r="V1309" s="93" t="s">
        <v>10</v>
      </c>
      <c r="W1309" s="93" t="s">
        <v>9</v>
      </c>
    </row>
    <row r="1310" spans="1:23" x14ac:dyDescent="0.15">
      <c r="A1310" s="93" t="s">
        <v>8365</v>
      </c>
      <c r="B1310" s="93" t="s">
        <v>8366</v>
      </c>
      <c r="C1310" s="93">
        <v>900</v>
      </c>
      <c r="D1310" s="93" t="s">
        <v>9</v>
      </c>
      <c r="E1310" s="93" t="s">
        <v>9</v>
      </c>
      <c r="F1310" s="93" t="s">
        <v>70</v>
      </c>
      <c r="G1310" s="93" t="s">
        <v>8367</v>
      </c>
      <c r="H1310" s="93" t="s">
        <v>6</v>
      </c>
      <c r="I1310" s="93" t="s">
        <v>111</v>
      </c>
      <c r="J1310" s="93" t="s">
        <v>72</v>
      </c>
      <c r="K1310" s="93">
        <v>180</v>
      </c>
      <c r="L1310" s="93">
        <v>2.4500000000000002</v>
      </c>
      <c r="M1310" s="93" t="s">
        <v>113</v>
      </c>
      <c r="N1310" s="93">
        <v>15.2</v>
      </c>
      <c r="O1310" s="93">
        <v>26.7</v>
      </c>
      <c r="P1310" s="93">
        <v>34.5</v>
      </c>
      <c r="Q1310" s="93" t="s">
        <v>396</v>
      </c>
      <c r="R1310" s="93" t="s">
        <v>20</v>
      </c>
      <c r="S1310" s="93" t="s">
        <v>124</v>
      </c>
      <c r="T1310" s="93" t="s">
        <v>116</v>
      </c>
      <c r="U1310" s="94">
        <v>44642.470833333333</v>
      </c>
      <c r="V1310" s="93" t="s">
        <v>10</v>
      </c>
      <c r="W1310" s="93" t="s">
        <v>9</v>
      </c>
    </row>
    <row r="1311" spans="1:23" x14ac:dyDescent="0.15">
      <c r="A1311" s="93" t="s">
        <v>8368</v>
      </c>
      <c r="B1311" s="93" t="s">
        <v>8369</v>
      </c>
      <c r="C1311" s="93">
        <v>900</v>
      </c>
      <c r="D1311" s="93" t="s">
        <v>9</v>
      </c>
      <c r="E1311" s="93" t="s">
        <v>9</v>
      </c>
      <c r="F1311" s="93" t="s">
        <v>70</v>
      </c>
      <c r="G1311" s="93" t="s">
        <v>8367</v>
      </c>
      <c r="H1311" s="93" t="s">
        <v>6</v>
      </c>
      <c r="I1311" s="93" t="s">
        <v>111</v>
      </c>
      <c r="J1311" s="93" t="s">
        <v>72</v>
      </c>
      <c r="K1311" s="93">
        <v>180</v>
      </c>
      <c r="L1311" s="93">
        <v>2.4500000000000002</v>
      </c>
      <c r="M1311" s="93" t="s">
        <v>113</v>
      </c>
      <c r="N1311" s="93">
        <v>15.2</v>
      </c>
      <c r="O1311" s="93">
        <v>26.7</v>
      </c>
      <c r="P1311" s="93">
        <v>34.5</v>
      </c>
      <c r="Q1311" s="93" t="s">
        <v>123</v>
      </c>
      <c r="R1311" s="93" t="s">
        <v>20</v>
      </c>
      <c r="S1311" s="93" t="s">
        <v>124</v>
      </c>
      <c r="T1311" s="93" t="s">
        <v>116</v>
      </c>
      <c r="U1311" s="94">
        <v>44642.51666666667</v>
      </c>
      <c r="V1311" s="93" t="s">
        <v>10</v>
      </c>
      <c r="W1311" s="93" t="s">
        <v>9</v>
      </c>
    </row>
    <row r="1312" spans="1:23" x14ac:dyDescent="0.15">
      <c r="A1312" s="93" t="s">
        <v>8370</v>
      </c>
      <c r="B1312" s="93" t="s">
        <v>8371</v>
      </c>
      <c r="C1312" s="93">
        <v>900</v>
      </c>
      <c r="D1312" s="93" t="s">
        <v>9</v>
      </c>
      <c r="E1312" s="93" t="s">
        <v>9</v>
      </c>
      <c r="F1312" s="93" t="s">
        <v>70</v>
      </c>
      <c r="G1312" s="93" t="s">
        <v>8367</v>
      </c>
      <c r="H1312" s="93" t="s">
        <v>6</v>
      </c>
      <c r="I1312" s="93" t="s">
        <v>111</v>
      </c>
      <c r="J1312" s="93" t="s">
        <v>72</v>
      </c>
      <c r="K1312" s="93">
        <v>180</v>
      </c>
      <c r="L1312" s="93">
        <v>2.4500000000000002</v>
      </c>
      <c r="M1312" s="93" t="s">
        <v>113</v>
      </c>
      <c r="N1312" s="93">
        <v>15.2</v>
      </c>
      <c r="O1312" s="93">
        <v>26.7</v>
      </c>
      <c r="P1312" s="93">
        <v>34.5</v>
      </c>
      <c r="Q1312" s="93" t="s">
        <v>398</v>
      </c>
      <c r="R1312" s="93" t="s">
        <v>20</v>
      </c>
      <c r="S1312" s="93" t="s">
        <v>124</v>
      </c>
      <c r="T1312" s="93" t="s">
        <v>116</v>
      </c>
      <c r="U1312" s="94">
        <v>44642.561805555553</v>
      </c>
      <c r="V1312" s="93" t="s">
        <v>10</v>
      </c>
      <c r="W1312" s="93" t="s">
        <v>9</v>
      </c>
    </row>
    <row r="1313" spans="1:23" x14ac:dyDescent="0.15">
      <c r="A1313" s="93" t="s">
        <v>8372</v>
      </c>
      <c r="B1313" s="93" t="s">
        <v>8373</v>
      </c>
      <c r="C1313" s="93">
        <v>963</v>
      </c>
      <c r="D1313" s="93" t="s">
        <v>9</v>
      </c>
      <c r="E1313" s="93" t="s">
        <v>9</v>
      </c>
      <c r="F1313" s="93" t="s">
        <v>70</v>
      </c>
      <c r="G1313" s="93" t="s">
        <v>8367</v>
      </c>
      <c r="H1313" s="93" t="s">
        <v>6</v>
      </c>
      <c r="I1313" s="93" t="s">
        <v>111</v>
      </c>
      <c r="J1313" s="93" t="s">
        <v>72</v>
      </c>
      <c r="K1313" s="93">
        <v>180</v>
      </c>
      <c r="L1313" s="93">
        <v>2.4500000000000002</v>
      </c>
      <c r="M1313" s="93" t="s">
        <v>113</v>
      </c>
      <c r="N1313" s="93">
        <v>15.2</v>
      </c>
      <c r="O1313" s="93">
        <v>26.7</v>
      </c>
      <c r="P1313" s="93">
        <v>34.5</v>
      </c>
      <c r="Q1313" s="93" t="s">
        <v>396</v>
      </c>
      <c r="R1313" s="93" t="s">
        <v>20</v>
      </c>
      <c r="S1313" s="93" t="s">
        <v>124</v>
      </c>
      <c r="T1313" s="93" t="s">
        <v>116</v>
      </c>
      <c r="U1313" s="94">
        <v>44642.51666666667</v>
      </c>
      <c r="V1313" s="93" t="s">
        <v>10</v>
      </c>
      <c r="W1313" s="93" t="s">
        <v>9</v>
      </c>
    </row>
    <row r="1314" spans="1:23" x14ac:dyDescent="0.15">
      <c r="A1314" s="93" t="s">
        <v>8374</v>
      </c>
      <c r="B1314" s="93" t="s">
        <v>8375</v>
      </c>
      <c r="C1314" s="93">
        <v>30</v>
      </c>
      <c r="D1314" s="93" t="s">
        <v>9</v>
      </c>
      <c r="E1314" s="93" t="s">
        <v>24</v>
      </c>
      <c r="F1314" s="93" t="s">
        <v>7070</v>
      </c>
      <c r="G1314" s="93" t="s">
        <v>7159</v>
      </c>
      <c r="H1314" s="93" t="s">
        <v>11</v>
      </c>
      <c r="I1314" s="93" t="s">
        <v>111</v>
      </c>
      <c r="J1314" s="93" t="s">
        <v>72</v>
      </c>
      <c r="K1314" s="93">
        <v>180</v>
      </c>
      <c r="L1314" s="93">
        <v>0.28000000000000003</v>
      </c>
      <c r="M1314" s="93" t="s">
        <v>113</v>
      </c>
      <c r="N1314" s="93">
        <v>9.5</v>
      </c>
      <c r="O1314" s="93">
        <v>13.46</v>
      </c>
      <c r="P1314" s="93">
        <v>13.8</v>
      </c>
      <c r="Q1314" s="93" t="s">
        <v>122</v>
      </c>
      <c r="R1314" s="93" t="s">
        <v>20</v>
      </c>
      <c r="S1314" s="93" t="s">
        <v>115</v>
      </c>
      <c r="T1314" s="93" t="s">
        <v>116</v>
      </c>
      <c r="U1314" s="94">
        <v>44642.45</v>
      </c>
      <c r="V1314" s="93" t="s">
        <v>7156</v>
      </c>
      <c r="W1314" s="93" t="s">
        <v>9</v>
      </c>
    </row>
    <row r="1315" spans="1:23" x14ac:dyDescent="0.15">
      <c r="A1315" s="93" t="s">
        <v>8376</v>
      </c>
      <c r="B1315" s="93" t="s">
        <v>8377</v>
      </c>
      <c r="C1315" s="93">
        <v>72</v>
      </c>
      <c r="D1315" s="93" t="s">
        <v>9</v>
      </c>
      <c r="E1315" s="93" t="s">
        <v>24</v>
      </c>
      <c r="F1315" s="93" t="s">
        <v>70</v>
      </c>
      <c r="G1315" s="93" t="s">
        <v>8378</v>
      </c>
      <c r="H1315" s="93" t="s">
        <v>6</v>
      </c>
      <c r="I1315" s="93" t="s">
        <v>111</v>
      </c>
      <c r="J1315" s="93" t="s">
        <v>7165</v>
      </c>
      <c r="K1315" s="93">
        <v>90</v>
      </c>
      <c r="L1315" s="93">
        <v>0.55000000000000004</v>
      </c>
      <c r="M1315" s="93" t="s">
        <v>113</v>
      </c>
      <c r="N1315" s="93">
        <v>7.5</v>
      </c>
      <c r="O1315" s="93">
        <v>19.5</v>
      </c>
      <c r="P1315" s="93">
        <v>23.5</v>
      </c>
      <c r="Q1315" s="93" t="s">
        <v>123</v>
      </c>
      <c r="R1315" s="93" t="s">
        <v>20</v>
      </c>
      <c r="S1315" s="93" t="s">
        <v>124</v>
      </c>
      <c r="T1315" s="93" t="s">
        <v>119</v>
      </c>
      <c r="U1315" s="94">
        <v>44642.518055555556</v>
      </c>
      <c r="V1315" s="93" t="s">
        <v>10</v>
      </c>
      <c r="W1315" s="93" t="s">
        <v>9</v>
      </c>
    </row>
    <row r="1316" spans="1:23" x14ac:dyDescent="0.15">
      <c r="A1316" s="93" t="s">
        <v>8379</v>
      </c>
      <c r="B1316" s="93" t="s">
        <v>8380</v>
      </c>
      <c r="C1316" s="93">
        <v>60</v>
      </c>
      <c r="D1316" s="93" t="s">
        <v>9</v>
      </c>
      <c r="E1316" s="93" t="s">
        <v>24</v>
      </c>
      <c r="F1316" s="93" t="s">
        <v>70</v>
      </c>
      <c r="G1316" s="93" t="s">
        <v>8378</v>
      </c>
      <c r="H1316" s="93" t="s">
        <v>6</v>
      </c>
      <c r="I1316" s="93" t="s">
        <v>111</v>
      </c>
      <c r="J1316" s="93" t="s">
        <v>7165</v>
      </c>
      <c r="K1316" s="93">
        <v>90</v>
      </c>
      <c r="L1316" s="93">
        <v>0.54</v>
      </c>
      <c r="M1316" s="93" t="s">
        <v>113</v>
      </c>
      <c r="N1316" s="93">
        <v>7.5</v>
      </c>
      <c r="O1316" s="93">
        <v>19.5</v>
      </c>
      <c r="P1316" s="93">
        <v>23.5</v>
      </c>
      <c r="Q1316" s="93" t="s">
        <v>123</v>
      </c>
      <c r="R1316" s="93" t="s">
        <v>20</v>
      </c>
      <c r="S1316" s="93" t="s">
        <v>124</v>
      </c>
      <c r="T1316" s="93" t="s">
        <v>119</v>
      </c>
      <c r="U1316" s="94">
        <v>44642.451388888891</v>
      </c>
      <c r="V1316" s="93" t="s">
        <v>10</v>
      </c>
      <c r="W1316" s="93" t="s">
        <v>9</v>
      </c>
    </row>
    <row r="1317" spans="1:23" x14ac:dyDescent="0.15">
      <c r="A1317" s="93" t="s">
        <v>8381</v>
      </c>
      <c r="B1317" s="93" t="s">
        <v>8382</v>
      </c>
      <c r="C1317" s="93">
        <v>60</v>
      </c>
      <c r="D1317" s="93" t="s">
        <v>9</v>
      </c>
      <c r="E1317" s="93" t="s">
        <v>24</v>
      </c>
      <c r="F1317" s="93" t="s">
        <v>70</v>
      </c>
      <c r="G1317" s="93" t="s">
        <v>8378</v>
      </c>
      <c r="H1317" s="93" t="s">
        <v>6</v>
      </c>
      <c r="I1317" s="93" t="s">
        <v>111</v>
      </c>
      <c r="J1317" s="93" t="s">
        <v>7165</v>
      </c>
      <c r="K1317" s="93">
        <v>90</v>
      </c>
      <c r="L1317" s="93">
        <v>0.55000000000000004</v>
      </c>
      <c r="M1317" s="93" t="s">
        <v>113</v>
      </c>
      <c r="N1317" s="93">
        <v>7.5</v>
      </c>
      <c r="O1317" s="93">
        <v>19.5</v>
      </c>
      <c r="P1317" s="93">
        <v>23.5</v>
      </c>
      <c r="Q1317" s="93" t="s">
        <v>123</v>
      </c>
      <c r="R1317" s="93" t="s">
        <v>20</v>
      </c>
      <c r="S1317" s="93" t="s">
        <v>124</v>
      </c>
      <c r="T1317" s="93" t="s">
        <v>119</v>
      </c>
      <c r="U1317" s="94">
        <v>44642.429861111108</v>
      </c>
      <c r="V1317" s="93" t="s">
        <v>10</v>
      </c>
      <c r="W1317" s="93" t="s">
        <v>9</v>
      </c>
    </row>
    <row r="1318" spans="1:23" x14ac:dyDescent="0.15">
      <c r="A1318" s="93" t="s">
        <v>8383</v>
      </c>
      <c r="B1318" s="93" t="s">
        <v>8384</v>
      </c>
      <c r="C1318" s="93">
        <v>60</v>
      </c>
      <c r="D1318" s="93" t="s">
        <v>9</v>
      </c>
      <c r="E1318" s="93" t="s">
        <v>24</v>
      </c>
      <c r="F1318" s="93" t="s">
        <v>70</v>
      </c>
      <c r="G1318" s="93" t="s">
        <v>8378</v>
      </c>
      <c r="H1318" s="93" t="s">
        <v>6</v>
      </c>
      <c r="I1318" s="93" t="s">
        <v>111</v>
      </c>
      <c r="J1318" s="93" t="s">
        <v>7165</v>
      </c>
      <c r="K1318" s="93">
        <v>90</v>
      </c>
      <c r="L1318" s="93">
        <v>0.54</v>
      </c>
      <c r="M1318" s="93" t="s">
        <v>113</v>
      </c>
      <c r="N1318" s="93">
        <v>7.5</v>
      </c>
      <c r="O1318" s="93">
        <v>19.5</v>
      </c>
      <c r="P1318" s="93">
        <v>23.5</v>
      </c>
      <c r="Q1318" s="93" t="s">
        <v>123</v>
      </c>
      <c r="R1318" s="93" t="s">
        <v>20</v>
      </c>
      <c r="S1318" s="93" t="s">
        <v>124</v>
      </c>
      <c r="T1318" s="93" t="s">
        <v>119</v>
      </c>
      <c r="U1318" s="94">
        <v>44642.5625</v>
      </c>
      <c r="V1318" s="93" t="s">
        <v>10</v>
      </c>
      <c r="W1318" s="93" t="s">
        <v>9</v>
      </c>
    </row>
    <row r="1319" spans="1:23" x14ac:dyDescent="0.15">
      <c r="A1319" s="93" t="s">
        <v>8385</v>
      </c>
      <c r="B1319" s="93" t="s">
        <v>8386</v>
      </c>
      <c r="C1319" s="93">
        <v>76.319999999999993</v>
      </c>
      <c r="D1319" s="93" t="s">
        <v>9</v>
      </c>
      <c r="E1319" s="93" t="s">
        <v>24</v>
      </c>
      <c r="F1319" s="93" t="s">
        <v>70</v>
      </c>
      <c r="G1319" s="93" t="s">
        <v>8378</v>
      </c>
      <c r="H1319" s="93" t="s">
        <v>6</v>
      </c>
      <c r="I1319" s="93" t="s">
        <v>111</v>
      </c>
      <c r="J1319" s="93" t="s">
        <v>7165</v>
      </c>
      <c r="K1319" s="93">
        <v>90</v>
      </c>
      <c r="L1319" s="93">
        <v>0.55000000000000004</v>
      </c>
      <c r="M1319" s="93" t="s">
        <v>113</v>
      </c>
      <c r="N1319" s="93">
        <v>7.5</v>
      </c>
      <c r="O1319" s="93">
        <v>19.5</v>
      </c>
      <c r="P1319" s="93">
        <v>23.5</v>
      </c>
      <c r="Q1319" s="93" t="s">
        <v>123</v>
      </c>
      <c r="R1319" s="93" t="s">
        <v>20</v>
      </c>
      <c r="S1319" s="93" t="s">
        <v>124</v>
      </c>
      <c r="T1319" s="93" t="s">
        <v>119</v>
      </c>
      <c r="U1319" s="94">
        <v>44642.518055555556</v>
      </c>
      <c r="V1319" s="93" t="s">
        <v>10</v>
      </c>
      <c r="W1319" s="93" t="s">
        <v>9</v>
      </c>
    </row>
    <row r="1320" spans="1:23" x14ac:dyDescent="0.15">
      <c r="A1320" s="93" t="s">
        <v>8387</v>
      </c>
      <c r="B1320" s="93" t="s">
        <v>8388</v>
      </c>
      <c r="C1320" s="93">
        <v>48</v>
      </c>
      <c r="D1320" s="93" t="s">
        <v>9</v>
      </c>
      <c r="E1320" s="93" t="s">
        <v>24</v>
      </c>
      <c r="F1320" s="93" t="s">
        <v>70</v>
      </c>
      <c r="G1320" s="93" t="s">
        <v>8378</v>
      </c>
      <c r="H1320" s="93" t="s">
        <v>6</v>
      </c>
      <c r="I1320" s="93" t="s">
        <v>111</v>
      </c>
      <c r="J1320" s="93" t="s">
        <v>7165</v>
      </c>
      <c r="K1320" s="93">
        <v>90</v>
      </c>
      <c r="L1320" s="93">
        <v>0.45</v>
      </c>
      <c r="M1320" s="93" t="s">
        <v>113</v>
      </c>
      <c r="N1320" s="93">
        <v>7.5</v>
      </c>
      <c r="O1320" s="93">
        <v>19.5</v>
      </c>
      <c r="P1320" s="93">
        <v>23.5</v>
      </c>
      <c r="Q1320" s="93" t="s">
        <v>123</v>
      </c>
      <c r="R1320" s="93" t="s">
        <v>20</v>
      </c>
      <c r="S1320" s="93" t="s">
        <v>124</v>
      </c>
      <c r="T1320" s="93" t="s">
        <v>119</v>
      </c>
      <c r="U1320" s="94">
        <v>44642.473611111112</v>
      </c>
      <c r="V1320" s="93" t="s">
        <v>10</v>
      </c>
      <c r="W1320" s="93" t="s">
        <v>9</v>
      </c>
    </row>
    <row r="1321" spans="1:23" x14ac:dyDescent="0.15">
      <c r="A1321" s="93" t="s">
        <v>8389</v>
      </c>
      <c r="B1321" s="93" t="s">
        <v>8390</v>
      </c>
      <c r="C1321" s="93">
        <v>48</v>
      </c>
      <c r="D1321" s="93" t="s">
        <v>9</v>
      </c>
      <c r="E1321" s="93" t="s">
        <v>24</v>
      </c>
      <c r="F1321" s="93" t="s">
        <v>70</v>
      </c>
      <c r="G1321" s="93" t="s">
        <v>8378</v>
      </c>
      <c r="H1321" s="93" t="s">
        <v>6</v>
      </c>
      <c r="I1321" s="93" t="s">
        <v>111</v>
      </c>
      <c r="J1321" s="93" t="s">
        <v>7165</v>
      </c>
      <c r="K1321" s="93">
        <v>90</v>
      </c>
      <c r="L1321" s="93">
        <v>0.45</v>
      </c>
      <c r="M1321" s="93" t="s">
        <v>113</v>
      </c>
      <c r="N1321" s="93">
        <v>7.5</v>
      </c>
      <c r="O1321" s="93">
        <v>19.5</v>
      </c>
      <c r="P1321" s="93">
        <v>23.5</v>
      </c>
      <c r="Q1321" s="93" t="s">
        <v>123</v>
      </c>
      <c r="R1321" s="93" t="s">
        <v>20</v>
      </c>
      <c r="S1321" s="93" t="s">
        <v>124</v>
      </c>
      <c r="T1321" s="93" t="s">
        <v>119</v>
      </c>
      <c r="U1321" s="94">
        <v>44642.473611111112</v>
      </c>
      <c r="V1321" s="93" t="s">
        <v>10</v>
      </c>
      <c r="W1321" s="93" t="s">
        <v>9</v>
      </c>
    </row>
    <row r="1322" spans="1:23" x14ac:dyDescent="0.15">
      <c r="A1322" s="93" t="s">
        <v>8391</v>
      </c>
      <c r="B1322" s="93" t="s">
        <v>8392</v>
      </c>
      <c r="C1322" s="93">
        <v>48</v>
      </c>
      <c r="D1322" s="93" t="s">
        <v>9</v>
      </c>
      <c r="E1322" s="93" t="s">
        <v>24</v>
      </c>
      <c r="F1322" s="93" t="s">
        <v>70</v>
      </c>
      <c r="G1322" s="93" t="s">
        <v>8378</v>
      </c>
      <c r="H1322" s="93" t="s">
        <v>6</v>
      </c>
      <c r="I1322" s="93" t="s">
        <v>111</v>
      </c>
      <c r="J1322" s="93" t="s">
        <v>7165</v>
      </c>
      <c r="K1322" s="93">
        <v>90</v>
      </c>
      <c r="L1322" s="93">
        <v>0.44</v>
      </c>
      <c r="M1322" s="93" t="s">
        <v>113</v>
      </c>
      <c r="N1322" s="93">
        <v>7.5</v>
      </c>
      <c r="O1322" s="93">
        <v>19.5</v>
      </c>
      <c r="P1322" s="93">
        <v>23.5</v>
      </c>
      <c r="Q1322" s="93" t="s">
        <v>123</v>
      </c>
      <c r="R1322" s="93" t="s">
        <v>20</v>
      </c>
      <c r="S1322" s="93" t="s">
        <v>124</v>
      </c>
      <c r="T1322" s="93" t="s">
        <v>119</v>
      </c>
      <c r="U1322" s="94">
        <v>44642.430555555555</v>
      </c>
      <c r="V1322" s="93" t="s">
        <v>10</v>
      </c>
      <c r="W1322" s="93" t="s">
        <v>9</v>
      </c>
    </row>
    <row r="1323" spans="1:23" x14ac:dyDescent="0.15">
      <c r="A1323" s="93" t="s">
        <v>8393</v>
      </c>
      <c r="B1323" s="93" t="s">
        <v>8394</v>
      </c>
      <c r="C1323" s="93">
        <v>48</v>
      </c>
      <c r="D1323" s="93" t="s">
        <v>9</v>
      </c>
      <c r="E1323" s="93" t="s">
        <v>24</v>
      </c>
      <c r="F1323" s="93" t="s">
        <v>70</v>
      </c>
      <c r="G1323" s="93" t="s">
        <v>8378</v>
      </c>
      <c r="H1323" s="93" t="s">
        <v>6</v>
      </c>
      <c r="I1323" s="93" t="s">
        <v>111</v>
      </c>
      <c r="J1323" s="93" t="s">
        <v>7165</v>
      </c>
      <c r="K1323" s="93">
        <v>90</v>
      </c>
      <c r="L1323" s="93">
        <v>0.39</v>
      </c>
      <c r="M1323" s="93" t="s">
        <v>113</v>
      </c>
      <c r="N1323" s="93">
        <v>7.5</v>
      </c>
      <c r="O1323" s="93">
        <v>19.5</v>
      </c>
      <c r="P1323" s="93">
        <v>23.5</v>
      </c>
      <c r="Q1323" s="93" t="s">
        <v>123</v>
      </c>
      <c r="R1323" s="93" t="s">
        <v>20</v>
      </c>
      <c r="S1323" s="93" t="s">
        <v>124</v>
      </c>
      <c r="T1323" s="93" t="s">
        <v>119</v>
      </c>
      <c r="U1323" s="94">
        <v>44642.595138888886</v>
      </c>
      <c r="V1323" s="93" t="s">
        <v>10</v>
      </c>
      <c r="W1323" s="93" t="s">
        <v>9</v>
      </c>
    </row>
    <row r="1324" spans="1:23" x14ac:dyDescent="0.15">
      <c r="A1324" s="93" t="s">
        <v>8395</v>
      </c>
      <c r="B1324" s="93" t="s">
        <v>8396</v>
      </c>
      <c r="C1324" s="93">
        <v>48</v>
      </c>
      <c r="D1324" s="93" t="s">
        <v>9</v>
      </c>
      <c r="E1324" s="93" t="s">
        <v>24</v>
      </c>
      <c r="F1324" s="93" t="s">
        <v>70</v>
      </c>
      <c r="G1324" s="93" t="s">
        <v>8378</v>
      </c>
      <c r="H1324" s="93" t="s">
        <v>6</v>
      </c>
      <c r="I1324" s="93" t="s">
        <v>111</v>
      </c>
      <c r="J1324" s="93" t="s">
        <v>7165</v>
      </c>
      <c r="K1324" s="93">
        <v>90</v>
      </c>
      <c r="L1324" s="93">
        <v>0.45</v>
      </c>
      <c r="M1324" s="93" t="s">
        <v>113</v>
      </c>
      <c r="N1324" s="93">
        <v>7.5</v>
      </c>
      <c r="O1324" s="93">
        <v>19.5</v>
      </c>
      <c r="P1324" s="93">
        <v>23.5</v>
      </c>
      <c r="Q1324" s="93" t="s">
        <v>123</v>
      </c>
      <c r="R1324" s="93" t="s">
        <v>20</v>
      </c>
      <c r="S1324" s="93" t="s">
        <v>124</v>
      </c>
      <c r="T1324" s="93" t="s">
        <v>119</v>
      </c>
      <c r="U1324" s="94">
        <v>44642.539583333331</v>
      </c>
      <c r="V1324" s="93" t="s">
        <v>10</v>
      </c>
      <c r="W1324" s="93" t="s">
        <v>9</v>
      </c>
    </row>
    <row r="1325" spans="1:23" x14ac:dyDescent="0.15">
      <c r="A1325" s="93" t="s">
        <v>8397</v>
      </c>
      <c r="B1325" s="93" t="s">
        <v>8398</v>
      </c>
      <c r="C1325" s="93">
        <v>48</v>
      </c>
      <c r="D1325" s="93" t="s">
        <v>9</v>
      </c>
      <c r="E1325" s="93" t="s">
        <v>24</v>
      </c>
      <c r="F1325" s="93" t="s">
        <v>70</v>
      </c>
      <c r="G1325" s="93" t="s">
        <v>8378</v>
      </c>
      <c r="H1325" s="93" t="s">
        <v>6</v>
      </c>
      <c r="I1325" s="93" t="s">
        <v>111</v>
      </c>
      <c r="J1325" s="93" t="s">
        <v>7165</v>
      </c>
      <c r="K1325" s="93">
        <v>90</v>
      </c>
      <c r="L1325" s="93">
        <v>0.45</v>
      </c>
      <c r="M1325" s="93" t="s">
        <v>113</v>
      </c>
      <c r="N1325" s="93">
        <v>7.5</v>
      </c>
      <c r="O1325" s="93">
        <v>19.5</v>
      </c>
      <c r="P1325" s="93">
        <v>23.5</v>
      </c>
      <c r="Q1325" s="93" t="s">
        <v>123</v>
      </c>
      <c r="R1325" s="93" t="s">
        <v>20</v>
      </c>
      <c r="S1325" s="93" t="s">
        <v>124</v>
      </c>
      <c r="T1325" s="93" t="s">
        <v>119</v>
      </c>
      <c r="U1325" s="94">
        <v>44642.49722222222</v>
      </c>
      <c r="V1325" s="93" t="s">
        <v>10</v>
      </c>
      <c r="W1325" s="93" t="s">
        <v>9</v>
      </c>
    </row>
    <row r="1326" spans="1:23" x14ac:dyDescent="0.15">
      <c r="A1326" s="93" t="s">
        <v>8399</v>
      </c>
      <c r="B1326" s="93" t="s">
        <v>8400</v>
      </c>
      <c r="C1326" s="93">
        <v>50.88</v>
      </c>
      <c r="D1326" s="93" t="s">
        <v>9</v>
      </c>
      <c r="E1326" s="93" t="s">
        <v>24</v>
      </c>
      <c r="F1326" s="93" t="s">
        <v>70</v>
      </c>
      <c r="G1326" s="93" t="s">
        <v>8378</v>
      </c>
      <c r="H1326" s="93" t="s">
        <v>6</v>
      </c>
      <c r="I1326" s="93" t="s">
        <v>111</v>
      </c>
      <c r="J1326" s="93" t="s">
        <v>7165</v>
      </c>
      <c r="K1326" s="93">
        <v>90</v>
      </c>
      <c r="L1326" s="93">
        <v>0.44</v>
      </c>
      <c r="M1326" s="93" t="s">
        <v>113</v>
      </c>
      <c r="N1326" s="93">
        <v>7.5</v>
      </c>
      <c r="O1326" s="93">
        <v>19.5</v>
      </c>
      <c r="P1326" s="93">
        <v>23.5</v>
      </c>
      <c r="Q1326" s="93" t="s">
        <v>123</v>
      </c>
      <c r="R1326" s="93" t="s">
        <v>20</v>
      </c>
      <c r="S1326" s="93" t="s">
        <v>124</v>
      </c>
      <c r="T1326" s="93" t="s">
        <v>119</v>
      </c>
      <c r="U1326" s="94">
        <v>44642.595138888886</v>
      </c>
      <c r="V1326" s="93" t="s">
        <v>10</v>
      </c>
      <c r="W1326" s="93" t="s">
        <v>9</v>
      </c>
    </row>
    <row r="1327" spans="1:23" x14ac:dyDescent="0.15">
      <c r="A1327" s="93" t="s">
        <v>8401</v>
      </c>
      <c r="B1327" s="93" t="s">
        <v>8402</v>
      </c>
      <c r="C1327" s="93">
        <v>48</v>
      </c>
      <c r="D1327" s="93" t="s">
        <v>9</v>
      </c>
      <c r="E1327" s="93" t="s">
        <v>24</v>
      </c>
      <c r="F1327" s="93" t="s">
        <v>70</v>
      </c>
      <c r="G1327" s="93" t="s">
        <v>8378</v>
      </c>
      <c r="H1327" s="93" t="s">
        <v>6</v>
      </c>
      <c r="I1327" s="93" t="s">
        <v>111</v>
      </c>
      <c r="J1327" s="93" t="s">
        <v>7165</v>
      </c>
      <c r="K1327" s="93">
        <v>90</v>
      </c>
      <c r="L1327" s="93">
        <v>0.85899999999999999</v>
      </c>
      <c r="M1327" s="93" t="s">
        <v>113</v>
      </c>
      <c r="N1327" s="93">
        <v>7.5</v>
      </c>
      <c r="O1327" s="93">
        <v>19.5</v>
      </c>
      <c r="P1327" s="93">
        <v>23.5</v>
      </c>
      <c r="Q1327" s="93" t="s">
        <v>123</v>
      </c>
      <c r="R1327" s="93" t="s">
        <v>20</v>
      </c>
      <c r="S1327" s="93" t="s">
        <v>124</v>
      </c>
      <c r="T1327" s="93" t="s">
        <v>119</v>
      </c>
      <c r="U1327" s="94">
        <v>44642.496527777781</v>
      </c>
      <c r="V1327" s="93" t="s">
        <v>10</v>
      </c>
      <c r="W1327" s="93" t="s">
        <v>9</v>
      </c>
    </row>
    <row r="1328" spans="1:23" x14ac:dyDescent="0.15">
      <c r="A1328" s="93" t="s">
        <v>8403</v>
      </c>
      <c r="B1328" s="93" t="s">
        <v>8404</v>
      </c>
      <c r="C1328" s="93">
        <v>186</v>
      </c>
      <c r="D1328" s="93" t="s">
        <v>9</v>
      </c>
      <c r="E1328" s="93" t="s">
        <v>24</v>
      </c>
      <c r="F1328" s="93" t="s">
        <v>70</v>
      </c>
      <c r="G1328" s="93" t="s">
        <v>8405</v>
      </c>
      <c r="H1328" s="93" t="s">
        <v>6</v>
      </c>
      <c r="I1328" s="93" t="s">
        <v>111</v>
      </c>
      <c r="J1328" s="93" t="s">
        <v>7165</v>
      </c>
      <c r="K1328" s="93">
        <v>90</v>
      </c>
      <c r="L1328" s="93">
        <v>0.96</v>
      </c>
      <c r="M1328" s="93" t="s">
        <v>113</v>
      </c>
      <c r="N1328" s="93">
        <v>4</v>
      </c>
      <c r="O1328" s="93">
        <v>17</v>
      </c>
      <c r="P1328" s="93">
        <v>20</v>
      </c>
      <c r="Q1328" s="93" t="s">
        <v>123</v>
      </c>
      <c r="R1328" s="93" t="s">
        <v>20</v>
      </c>
      <c r="S1328" s="93" t="s">
        <v>124</v>
      </c>
      <c r="T1328" s="93" t="s">
        <v>116</v>
      </c>
      <c r="U1328" s="94">
        <v>44642.446527777778</v>
      </c>
      <c r="V1328" s="93" t="s">
        <v>10</v>
      </c>
      <c r="W1328" s="93" t="s">
        <v>9</v>
      </c>
    </row>
    <row r="1329" spans="1:23" x14ac:dyDescent="0.15">
      <c r="A1329" s="93" t="s">
        <v>8406</v>
      </c>
      <c r="B1329" s="93" t="s">
        <v>8407</v>
      </c>
      <c r="C1329" s="93">
        <v>186</v>
      </c>
      <c r="D1329" s="93" t="s">
        <v>9</v>
      </c>
      <c r="E1329" s="93" t="s">
        <v>24</v>
      </c>
      <c r="F1329" s="93" t="s">
        <v>70</v>
      </c>
      <c r="G1329" s="93" t="s">
        <v>8405</v>
      </c>
      <c r="H1329" s="93" t="s">
        <v>6</v>
      </c>
      <c r="I1329" s="93" t="s">
        <v>111</v>
      </c>
      <c r="J1329" s="93" t="s">
        <v>7165</v>
      </c>
      <c r="K1329" s="93">
        <v>90</v>
      </c>
      <c r="L1329" s="93">
        <v>0.96</v>
      </c>
      <c r="M1329" s="93" t="s">
        <v>113</v>
      </c>
      <c r="N1329" s="93">
        <v>4</v>
      </c>
      <c r="O1329" s="93">
        <v>17</v>
      </c>
      <c r="P1329" s="93">
        <v>20</v>
      </c>
      <c r="Q1329" s="93" t="s">
        <v>123</v>
      </c>
      <c r="R1329" s="93" t="s">
        <v>20</v>
      </c>
      <c r="S1329" s="93" t="s">
        <v>124</v>
      </c>
      <c r="T1329" s="93" t="s">
        <v>116</v>
      </c>
      <c r="U1329" s="94">
        <v>44642.424305555556</v>
      </c>
      <c r="V1329" s="93" t="s">
        <v>10</v>
      </c>
      <c r="W1329" s="93" t="s">
        <v>9</v>
      </c>
    </row>
    <row r="1330" spans="1:23" x14ac:dyDescent="0.15">
      <c r="A1330" s="93" t="s">
        <v>8408</v>
      </c>
      <c r="B1330" s="93" t="s">
        <v>8409</v>
      </c>
      <c r="C1330" s="93">
        <v>186</v>
      </c>
      <c r="D1330" s="93" t="s">
        <v>9</v>
      </c>
      <c r="E1330" s="93" t="s">
        <v>24</v>
      </c>
      <c r="F1330" s="93" t="s">
        <v>70</v>
      </c>
      <c r="G1330" s="93" t="s">
        <v>8405</v>
      </c>
      <c r="H1330" s="93" t="s">
        <v>6</v>
      </c>
      <c r="I1330" s="93" t="s">
        <v>111</v>
      </c>
      <c r="J1330" s="93" t="s">
        <v>7165</v>
      </c>
      <c r="K1330" s="93">
        <v>90</v>
      </c>
      <c r="L1330" s="93">
        <v>0.96</v>
      </c>
      <c r="M1330" s="93" t="s">
        <v>113</v>
      </c>
      <c r="N1330" s="93">
        <v>4</v>
      </c>
      <c r="O1330" s="93">
        <v>17</v>
      </c>
      <c r="P1330" s="93">
        <v>20</v>
      </c>
      <c r="Q1330" s="93" t="s">
        <v>123</v>
      </c>
      <c r="R1330" s="93" t="s">
        <v>20</v>
      </c>
      <c r="S1330" s="93" t="s">
        <v>124</v>
      </c>
      <c r="T1330" s="93" t="s">
        <v>116</v>
      </c>
      <c r="U1330" s="94">
        <v>44642.556944444441</v>
      </c>
      <c r="V1330" s="93" t="s">
        <v>10</v>
      </c>
      <c r="W1330" s="93" t="s">
        <v>9</v>
      </c>
    </row>
    <row r="1331" spans="1:23" x14ac:dyDescent="0.15">
      <c r="A1331" s="93" t="s">
        <v>8410</v>
      </c>
      <c r="B1331" s="93" t="s">
        <v>8411</v>
      </c>
      <c r="C1331" s="93">
        <v>186</v>
      </c>
      <c r="D1331" s="93" t="s">
        <v>9</v>
      </c>
      <c r="E1331" s="93" t="s">
        <v>24</v>
      </c>
      <c r="F1331" s="93" t="s">
        <v>70</v>
      </c>
      <c r="G1331" s="93" t="s">
        <v>8405</v>
      </c>
      <c r="H1331" s="93" t="s">
        <v>6</v>
      </c>
      <c r="I1331" s="93" t="s">
        <v>111</v>
      </c>
      <c r="J1331" s="93" t="s">
        <v>7165</v>
      </c>
      <c r="K1331" s="93">
        <v>90</v>
      </c>
      <c r="L1331" s="93">
        <v>0.96</v>
      </c>
      <c r="M1331" s="93" t="s">
        <v>113</v>
      </c>
      <c r="N1331" s="93">
        <v>4</v>
      </c>
      <c r="O1331" s="93">
        <v>17</v>
      </c>
      <c r="P1331" s="93">
        <v>20</v>
      </c>
      <c r="Q1331" s="93" t="s">
        <v>123</v>
      </c>
      <c r="R1331" s="93" t="s">
        <v>20</v>
      </c>
      <c r="S1331" s="93" t="s">
        <v>124</v>
      </c>
      <c r="T1331" s="93" t="s">
        <v>116</v>
      </c>
      <c r="U1331" s="94">
        <v>44642.556944444441</v>
      </c>
      <c r="V1331" s="93" t="s">
        <v>10</v>
      </c>
      <c r="W1331" s="93" t="s">
        <v>9</v>
      </c>
    </row>
    <row r="1332" spans="1:23" x14ac:dyDescent="0.15">
      <c r="A1332" s="93" t="s">
        <v>8412</v>
      </c>
      <c r="B1332" s="93" t="s">
        <v>8413</v>
      </c>
      <c r="C1332" s="93">
        <v>186</v>
      </c>
      <c r="D1332" s="93" t="s">
        <v>9</v>
      </c>
      <c r="E1332" s="93" t="s">
        <v>24</v>
      </c>
      <c r="F1332" s="93" t="s">
        <v>70</v>
      </c>
      <c r="G1332" s="93" t="s">
        <v>8405</v>
      </c>
      <c r="H1332" s="93" t="s">
        <v>6</v>
      </c>
      <c r="I1332" s="93" t="s">
        <v>111</v>
      </c>
      <c r="J1332" s="93" t="s">
        <v>7165</v>
      </c>
      <c r="K1332" s="93">
        <v>90</v>
      </c>
      <c r="L1332" s="93">
        <v>0.96</v>
      </c>
      <c r="M1332" s="93" t="s">
        <v>113</v>
      </c>
      <c r="N1332" s="93">
        <v>4</v>
      </c>
      <c r="O1332" s="93">
        <v>17</v>
      </c>
      <c r="P1332" s="93">
        <v>20</v>
      </c>
      <c r="Q1332" s="93" t="s">
        <v>123</v>
      </c>
      <c r="R1332" s="93" t="s">
        <v>20</v>
      </c>
      <c r="S1332" s="93" t="s">
        <v>124</v>
      </c>
      <c r="T1332" s="93" t="s">
        <v>116</v>
      </c>
      <c r="U1332" s="94">
        <v>44642.490972222222</v>
      </c>
      <c r="V1332" s="93" t="s">
        <v>10</v>
      </c>
      <c r="W1332" s="93" t="s">
        <v>9</v>
      </c>
    </row>
    <row r="1333" spans="1:23" x14ac:dyDescent="0.15">
      <c r="A1333" s="93" t="s">
        <v>8414</v>
      </c>
      <c r="B1333" s="93" t="s">
        <v>8415</v>
      </c>
      <c r="C1333" s="93">
        <v>186</v>
      </c>
      <c r="D1333" s="93" t="s">
        <v>9</v>
      </c>
      <c r="E1333" s="93" t="s">
        <v>24</v>
      </c>
      <c r="F1333" s="93" t="s">
        <v>70</v>
      </c>
      <c r="G1333" s="93" t="s">
        <v>8405</v>
      </c>
      <c r="H1333" s="93" t="s">
        <v>6</v>
      </c>
      <c r="I1333" s="93" t="s">
        <v>111</v>
      </c>
      <c r="J1333" s="93" t="s">
        <v>7165</v>
      </c>
      <c r="K1333" s="93">
        <v>90</v>
      </c>
      <c r="L1333" s="93">
        <v>0.96</v>
      </c>
      <c r="M1333" s="93" t="s">
        <v>113</v>
      </c>
      <c r="N1333" s="93">
        <v>4</v>
      </c>
      <c r="O1333" s="93">
        <v>17</v>
      </c>
      <c r="P1333" s="93">
        <v>20</v>
      </c>
      <c r="Q1333" s="93" t="s">
        <v>123</v>
      </c>
      <c r="R1333" s="93" t="s">
        <v>20</v>
      </c>
      <c r="S1333" s="93" t="s">
        <v>124</v>
      </c>
      <c r="T1333" s="93" t="s">
        <v>116</v>
      </c>
      <c r="U1333" s="94">
        <v>44642.468055555553</v>
      </c>
      <c r="V1333" s="93" t="s">
        <v>10</v>
      </c>
      <c r="W1333" s="93" t="s">
        <v>9</v>
      </c>
    </row>
    <row r="1334" spans="1:23" x14ac:dyDescent="0.15">
      <c r="A1334" s="93" t="s">
        <v>8416</v>
      </c>
      <c r="B1334" s="93" t="s">
        <v>8417</v>
      </c>
      <c r="C1334" s="93">
        <v>186</v>
      </c>
      <c r="D1334" s="93" t="s">
        <v>9</v>
      </c>
      <c r="E1334" s="93" t="s">
        <v>24</v>
      </c>
      <c r="F1334" s="93" t="s">
        <v>70</v>
      </c>
      <c r="G1334" s="93" t="s">
        <v>8405</v>
      </c>
      <c r="H1334" s="93" t="s">
        <v>6</v>
      </c>
      <c r="I1334" s="93" t="s">
        <v>111</v>
      </c>
      <c r="J1334" s="93" t="s">
        <v>7165</v>
      </c>
      <c r="K1334" s="93">
        <v>90</v>
      </c>
      <c r="L1334" s="93">
        <v>0.96</v>
      </c>
      <c r="M1334" s="93" t="s">
        <v>113</v>
      </c>
      <c r="N1334" s="93">
        <v>4</v>
      </c>
      <c r="O1334" s="93">
        <v>17</v>
      </c>
      <c r="P1334" s="93">
        <v>20</v>
      </c>
      <c r="Q1334" s="93" t="s">
        <v>123</v>
      </c>
      <c r="R1334" s="93" t="s">
        <v>20</v>
      </c>
      <c r="S1334" s="93" t="s">
        <v>124</v>
      </c>
      <c r="T1334" s="93" t="s">
        <v>116</v>
      </c>
      <c r="U1334" s="94">
        <v>44642.424305555556</v>
      </c>
      <c r="V1334" s="93" t="s">
        <v>10</v>
      </c>
      <c r="W1334" s="93" t="s">
        <v>9</v>
      </c>
    </row>
    <row r="1335" spans="1:23" x14ac:dyDescent="0.15">
      <c r="A1335" s="93" t="s">
        <v>8418</v>
      </c>
      <c r="B1335" s="93" t="s">
        <v>8419</v>
      </c>
      <c r="C1335" s="93">
        <v>186</v>
      </c>
      <c r="D1335" s="93" t="s">
        <v>9</v>
      </c>
      <c r="E1335" s="93" t="s">
        <v>24</v>
      </c>
      <c r="F1335" s="93" t="s">
        <v>70</v>
      </c>
      <c r="G1335" s="93" t="s">
        <v>8405</v>
      </c>
      <c r="H1335" s="93" t="s">
        <v>6</v>
      </c>
      <c r="I1335" s="93" t="s">
        <v>111</v>
      </c>
      <c r="J1335" s="93" t="s">
        <v>7165</v>
      </c>
      <c r="K1335" s="93">
        <v>90</v>
      </c>
      <c r="L1335" s="93">
        <v>0.96</v>
      </c>
      <c r="M1335" s="93" t="s">
        <v>113</v>
      </c>
      <c r="N1335" s="93">
        <v>4</v>
      </c>
      <c r="O1335" s="93">
        <v>17</v>
      </c>
      <c r="P1335" s="93">
        <v>20</v>
      </c>
      <c r="Q1335" s="93" t="s">
        <v>123</v>
      </c>
      <c r="R1335" s="93" t="s">
        <v>20</v>
      </c>
      <c r="S1335" s="93" t="s">
        <v>124</v>
      </c>
      <c r="T1335" s="93" t="s">
        <v>116</v>
      </c>
      <c r="U1335" s="94">
        <v>44642.445138888892</v>
      </c>
      <c r="V1335" s="93" t="s">
        <v>10</v>
      </c>
      <c r="W1335" s="93" t="s">
        <v>9</v>
      </c>
    </row>
    <row r="1336" spans="1:23" x14ac:dyDescent="0.15">
      <c r="A1336" s="93" t="s">
        <v>8420</v>
      </c>
      <c r="B1336" s="93" t="s">
        <v>8421</v>
      </c>
      <c r="C1336" s="93">
        <v>186</v>
      </c>
      <c r="D1336" s="93" t="s">
        <v>9</v>
      </c>
      <c r="E1336" s="93" t="s">
        <v>24</v>
      </c>
      <c r="F1336" s="93" t="s">
        <v>70</v>
      </c>
      <c r="G1336" s="93" t="s">
        <v>8405</v>
      </c>
      <c r="H1336" s="93" t="s">
        <v>6</v>
      </c>
      <c r="I1336" s="93" t="s">
        <v>111</v>
      </c>
      <c r="J1336" s="93" t="s">
        <v>7165</v>
      </c>
      <c r="K1336" s="93">
        <v>90</v>
      </c>
      <c r="L1336" s="93">
        <v>0.96</v>
      </c>
      <c r="M1336" s="93" t="s">
        <v>113</v>
      </c>
      <c r="N1336" s="93">
        <v>4</v>
      </c>
      <c r="O1336" s="93">
        <v>17</v>
      </c>
      <c r="P1336" s="93">
        <v>20</v>
      </c>
      <c r="Q1336" s="93" t="s">
        <v>123</v>
      </c>
      <c r="R1336" s="93" t="s">
        <v>20</v>
      </c>
      <c r="S1336" s="93" t="s">
        <v>124</v>
      </c>
      <c r="T1336" s="93" t="s">
        <v>116</v>
      </c>
      <c r="U1336" s="94">
        <v>44642.532638888886</v>
      </c>
      <c r="V1336" s="93" t="s">
        <v>10</v>
      </c>
      <c r="W1336" s="93" t="s">
        <v>9</v>
      </c>
    </row>
    <row r="1337" spans="1:23" x14ac:dyDescent="0.15">
      <c r="A1337" s="93" t="s">
        <v>8422</v>
      </c>
      <c r="B1337" s="93" t="s">
        <v>8423</v>
      </c>
      <c r="C1337" s="93">
        <v>196.8</v>
      </c>
      <c r="D1337" s="93" t="s">
        <v>9</v>
      </c>
      <c r="E1337" s="93" t="s">
        <v>24</v>
      </c>
      <c r="F1337" s="93" t="s">
        <v>70</v>
      </c>
      <c r="G1337" s="93" t="s">
        <v>8405</v>
      </c>
      <c r="H1337" s="93" t="s">
        <v>6</v>
      </c>
      <c r="I1337" s="93" t="s">
        <v>111</v>
      </c>
      <c r="J1337" s="93" t="s">
        <v>7165</v>
      </c>
      <c r="K1337" s="93">
        <v>90</v>
      </c>
      <c r="L1337" s="93">
        <v>0.96</v>
      </c>
      <c r="M1337" s="93" t="s">
        <v>113</v>
      </c>
      <c r="N1337" s="93">
        <v>4</v>
      </c>
      <c r="O1337" s="93">
        <v>17</v>
      </c>
      <c r="P1337" s="93">
        <v>20</v>
      </c>
      <c r="Q1337" s="93" t="s">
        <v>123</v>
      </c>
      <c r="R1337" s="93" t="s">
        <v>20</v>
      </c>
      <c r="S1337" s="93" t="s">
        <v>124</v>
      </c>
      <c r="T1337" s="93" t="s">
        <v>116</v>
      </c>
      <c r="U1337" s="94">
        <v>44642.556944444441</v>
      </c>
      <c r="V1337" s="93" t="s">
        <v>10</v>
      </c>
      <c r="W1337" s="93" t="s">
        <v>9</v>
      </c>
    </row>
    <row r="1338" spans="1:23" x14ac:dyDescent="0.15">
      <c r="A1338" s="93" t="s">
        <v>8424</v>
      </c>
      <c r="B1338" s="93" t="s">
        <v>8425</v>
      </c>
      <c r="C1338" s="93">
        <v>84</v>
      </c>
      <c r="D1338" s="93" t="s">
        <v>9</v>
      </c>
      <c r="E1338" s="93" t="s">
        <v>24</v>
      </c>
      <c r="F1338" s="93" t="s">
        <v>70</v>
      </c>
      <c r="G1338" s="93" t="s">
        <v>8426</v>
      </c>
      <c r="H1338" s="93" t="s">
        <v>6</v>
      </c>
      <c r="I1338" s="93" t="s">
        <v>111</v>
      </c>
      <c r="J1338" s="93" t="s">
        <v>7165</v>
      </c>
      <c r="K1338" s="93">
        <v>90</v>
      </c>
      <c r="L1338" s="93">
        <v>0.32</v>
      </c>
      <c r="M1338" s="93" t="s">
        <v>113</v>
      </c>
      <c r="N1338" s="93">
        <v>2.95</v>
      </c>
      <c r="O1338" s="93">
        <v>17.5</v>
      </c>
      <c r="P1338" s="93">
        <v>11.8</v>
      </c>
      <c r="Q1338" s="93" t="s">
        <v>396</v>
      </c>
      <c r="R1338" s="93" t="s">
        <v>20</v>
      </c>
      <c r="S1338" s="93" t="s">
        <v>124</v>
      </c>
      <c r="T1338" s="93" t="s">
        <v>116</v>
      </c>
      <c r="U1338" s="94">
        <v>44642.491666666669</v>
      </c>
      <c r="V1338" s="93" t="s">
        <v>10</v>
      </c>
      <c r="W1338" s="93" t="s">
        <v>9</v>
      </c>
    </row>
    <row r="1339" spans="1:23" x14ac:dyDescent="0.15">
      <c r="A1339" s="93" t="s">
        <v>8427</v>
      </c>
      <c r="B1339" s="93" t="s">
        <v>8428</v>
      </c>
      <c r="C1339" s="93">
        <v>84</v>
      </c>
      <c r="D1339" s="93" t="s">
        <v>9</v>
      </c>
      <c r="E1339" s="93" t="s">
        <v>24</v>
      </c>
      <c r="F1339" s="93" t="s">
        <v>70</v>
      </c>
      <c r="G1339" s="93" t="s">
        <v>8426</v>
      </c>
      <c r="H1339" s="93" t="s">
        <v>6</v>
      </c>
      <c r="I1339" s="93" t="s">
        <v>111</v>
      </c>
      <c r="J1339" s="93" t="s">
        <v>7165</v>
      </c>
      <c r="K1339" s="93">
        <v>90</v>
      </c>
      <c r="L1339" s="93">
        <v>0.24</v>
      </c>
      <c r="M1339" s="93" t="s">
        <v>113</v>
      </c>
      <c r="N1339" s="93">
        <v>2.95</v>
      </c>
      <c r="O1339" s="93">
        <v>17.5</v>
      </c>
      <c r="P1339" s="93">
        <v>11.8</v>
      </c>
      <c r="Q1339" s="93" t="s">
        <v>396</v>
      </c>
      <c r="R1339" s="93" t="s">
        <v>20</v>
      </c>
      <c r="S1339" s="93" t="s">
        <v>124</v>
      </c>
      <c r="T1339" s="93" t="s">
        <v>116</v>
      </c>
      <c r="U1339" s="94">
        <v>44642.491666666669</v>
      </c>
      <c r="V1339" s="93" t="s">
        <v>10</v>
      </c>
      <c r="W1339" s="93" t="s">
        <v>9</v>
      </c>
    </row>
    <row r="1340" spans="1:23" x14ac:dyDescent="0.15">
      <c r="A1340" s="93" t="s">
        <v>8429</v>
      </c>
      <c r="B1340" s="93" t="s">
        <v>8430</v>
      </c>
      <c r="C1340" s="93">
        <v>84</v>
      </c>
      <c r="D1340" s="93" t="s">
        <v>9</v>
      </c>
      <c r="E1340" s="93" t="s">
        <v>24</v>
      </c>
      <c r="F1340" s="93" t="s">
        <v>70</v>
      </c>
      <c r="G1340" s="93" t="s">
        <v>8426</v>
      </c>
      <c r="H1340" s="93" t="s">
        <v>6</v>
      </c>
      <c r="I1340" s="93" t="s">
        <v>111</v>
      </c>
      <c r="J1340" s="93" t="s">
        <v>7165</v>
      </c>
      <c r="K1340" s="93">
        <v>90</v>
      </c>
      <c r="L1340" s="93">
        <v>0.33</v>
      </c>
      <c r="M1340" s="93" t="s">
        <v>113</v>
      </c>
      <c r="N1340" s="93">
        <v>2.95</v>
      </c>
      <c r="O1340" s="93">
        <v>17.5</v>
      </c>
      <c r="P1340" s="93">
        <v>11.8</v>
      </c>
      <c r="Q1340" s="93" t="s">
        <v>396</v>
      </c>
      <c r="R1340" s="93" t="s">
        <v>20</v>
      </c>
      <c r="S1340" s="93" t="s">
        <v>124</v>
      </c>
      <c r="T1340" s="93" t="s">
        <v>116</v>
      </c>
      <c r="U1340" s="94">
        <v>44642.59097222222</v>
      </c>
      <c r="V1340" s="93" t="s">
        <v>10</v>
      </c>
      <c r="W1340" s="93" t="s">
        <v>9</v>
      </c>
    </row>
    <row r="1341" spans="1:23" x14ac:dyDescent="0.15">
      <c r="A1341" s="93" t="s">
        <v>8431</v>
      </c>
      <c r="B1341" s="93" t="s">
        <v>8432</v>
      </c>
      <c r="C1341" s="93">
        <v>84</v>
      </c>
      <c r="D1341" s="93" t="s">
        <v>9</v>
      </c>
      <c r="E1341" s="93" t="s">
        <v>24</v>
      </c>
      <c r="F1341" s="93" t="s">
        <v>70</v>
      </c>
      <c r="G1341" s="93" t="s">
        <v>8426</v>
      </c>
      <c r="H1341" s="93" t="s">
        <v>6</v>
      </c>
      <c r="I1341" s="93" t="s">
        <v>111</v>
      </c>
      <c r="J1341" s="93" t="s">
        <v>7165</v>
      </c>
      <c r="K1341" s="93">
        <v>90</v>
      </c>
      <c r="L1341" s="93">
        <v>0.33</v>
      </c>
      <c r="M1341" s="93" t="s">
        <v>113</v>
      </c>
      <c r="N1341" s="93">
        <v>2.95</v>
      </c>
      <c r="O1341" s="93">
        <v>17.5</v>
      </c>
      <c r="P1341" s="93">
        <v>11.8</v>
      </c>
      <c r="Q1341" s="93" t="s">
        <v>123</v>
      </c>
      <c r="R1341" s="93" t="s">
        <v>20</v>
      </c>
      <c r="S1341" s="93" t="s">
        <v>124</v>
      </c>
      <c r="T1341" s="93" t="s">
        <v>116</v>
      </c>
      <c r="U1341" s="94">
        <v>44642.425000000003</v>
      </c>
      <c r="V1341" s="93" t="s">
        <v>10</v>
      </c>
      <c r="W1341" s="93" t="s">
        <v>9</v>
      </c>
    </row>
    <row r="1342" spans="1:23" x14ac:dyDescent="0.15">
      <c r="A1342" s="93" t="s">
        <v>8433</v>
      </c>
      <c r="B1342" s="93" t="s">
        <v>8434</v>
      </c>
      <c r="C1342" s="93">
        <v>84</v>
      </c>
      <c r="D1342" s="93" t="s">
        <v>9</v>
      </c>
      <c r="E1342" s="93" t="s">
        <v>24</v>
      </c>
      <c r="F1342" s="93" t="s">
        <v>70</v>
      </c>
      <c r="G1342" s="93" t="s">
        <v>8426</v>
      </c>
      <c r="H1342" s="93" t="s">
        <v>6</v>
      </c>
      <c r="I1342" s="93" t="s">
        <v>111</v>
      </c>
      <c r="J1342" s="93" t="s">
        <v>7165</v>
      </c>
      <c r="K1342" s="93">
        <v>90</v>
      </c>
      <c r="L1342" s="93">
        <v>0.32</v>
      </c>
      <c r="M1342" s="93" t="s">
        <v>113</v>
      </c>
      <c r="N1342" s="93">
        <v>2.95</v>
      </c>
      <c r="O1342" s="93">
        <v>17.5</v>
      </c>
      <c r="P1342" s="93">
        <v>11.8</v>
      </c>
      <c r="Q1342" s="93" t="s">
        <v>396</v>
      </c>
      <c r="R1342" s="93" t="s">
        <v>20</v>
      </c>
      <c r="S1342" s="93" t="s">
        <v>124</v>
      </c>
      <c r="T1342" s="93" t="s">
        <v>116</v>
      </c>
      <c r="U1342" s="94">
        <v>44642.59097222222</v>
      </c>
      <c r="V1342" s="93" t="s">
        <v>10</v>
      </c>
      <c r="W1342" s="93" t="s">
        <v>9</v>
      </c>
    </row>
    <row r="1343" spans="1:23" x14ac:dyDescent="0.15">
      <c r="A1343" s="93" t="s">
        <v>8435</v>
      </c>
      <c r="B1343" s="93" t="s">
        <v>8436</v>
      </c>
      <c r="C1343" s="93">
        <v>84</v>
      </c>
      <c r="D1343" s="93" t="s">
        <v>9</v>
      </c>
      <c r="E1343" s="93" t="s">
        <v>24</v>
      </c>
      <c r="F1343" s="93" t="s">
        <v>70</v>
      </c>
      <c r="G1343" s="93" t="s">
        <v>8426</v>
      </c>
      <c r="H1343" s="93" t="s">
        <v>6</v>
      </c>
      <c r="I1343" s="93" t="s">
        <v>111</v>
      </c>
      <c r="J1343" s="93" t="s">
        <v>7165</v>
      </c>
      <c r="K1343" s="93">
        <v>90</v>
      </c>
      <c r="L1343" s="93">
        <v>0.24</v>
      </c>
      <c r="M1343" s="93" t="s">
        <v>113</v>
      </c>
      <c r="N1343" s="93">
        <v>2.95</v>
      </c>
      <c r="O1343" s="93">
        <v>17.5</v>
      </c>
      <c r="P1343" s="93">
        <v>11.8</v>
      </c>
      <c r="Q1343" s="93" t="s">
        <v>396</v>
      </c>
      <c r="R1343" s="93" t="s">
        <v>20</v>
      </c>
      <c r="S1343" s="93" t="s">
        <v>124</v>
      </c>
      <c r="T1343" s="93" t="s">
        <v>116</v>
      </c>
      <c r="U1343" s="94">
        <v>44642.536111111112</v>
      </c>
      <c r="V1343" s="93" t="s">
        <v>10</v>
      </c>
      <c r="W1343" s="93" t="s">
        <v>9</v>
      </c>
    </row>
    <row r="1344" spans="1:23" x14ac:dyDescent="0.15">
      <c r="A1344" s="93" t="s">
        <v>8437</v>
      </c>
      <c r="B1344" s="93" t="s">
        <v>8438</v>
      </c>
      <c r="C1344" s="93">
        <v>84</v>
      </c>
      <c r="D1344" s="93" t="s">
        <v>9</v>
      </c>
      <c r="E1344" s="93" t="s">
        <v>24</v>
      </c>
      <c r="F1344" s="93" t="s">
        <v>70</v>
      </c>
      <c r="G1344" s="93" t="s">
        <v>8426</v>
      </c>
      <c r="H1344" s="93" t="s">
        <v>6</v>
      </c>
      <c r="I1344" s="93" t="s">
        <v>111</v>
      </c>
      <c r="J1344" s="93" t="s">
        <v>7165</v>
      </c>
      <c r="K1344" s="93">
        <v>90</v>
      </c>
      <c r="L1344" s="93">
        <v>0.24</v>
      </c>
      <c r="M1344" s="93" t="s">
        <v>113</v>
      </c>
      <c r="N1344" s="93">
        <v>2.95</v>
      </c>
      <c r="O1344" s="93">
        <v>17.5</v>
      </c>
      <c r="P1344" s="93">
        <v>11.8</v>
      </c>
      <c r="Q1344" s="93" t="s">
        <v>396</v>
      </c>
      <c r="R1344" s="93" t="s">
        <v>20</v>
      </c>
      <c r="S1344" s="93" t="s">
        <v>124</v>
      </c>
      <c r="T1344" s="93" t="s">
        <v>395</v>
      </c>
      <c r="U1344" s="94">
        <v>44642.558333333334</v>
      </c>
      <c r="V1344" s="93" t="s">
        <v>10</v>
      </c>
      <c r="W1344" s="93" t="s">
        <v>9</v>
      </c>
    </row>
    <row r="1345" spans="1:23" x14ac:dyDescent="0.15">
      <c r="A1345" s="93" t="s">
        <v>8439</v>
      </c>
      <c r="B1345" s="93" t="s">
        <v>8440</v>
      </c>
      <c r="C1345" s="93">
        <v>84</v>
      </c>
      <c r="D1345" s="93" t="s">
        <v>9</v>
      </c>
      <c r="E1345" s="93" t="s">
        <v>24</v>
      </c>
      <c r="F1345" s="93" t="s">
        <v>70</v>
      </c>
      <c r="G1345" s="93" t="s">
        <v>8426</v>
      </c>
      <c r="H1345" s="93" t="s">
        <v>6</v>
      </c>
      <c r="I1345" s="93" t="s">
        <v>111</v>
      </c>
      <c r="J1345" s="93" t="s">
        <v>7165</v>
      </c>
      <c r="K1345" s="93">
        <v>90</v>
      </c>
      <c r="L1345" s="93">
        <v>0.32</v>
      </c>
      <c r="M1345" s="93" t="s">
        <v>113</v>
      </c>
      <c r="N1345" s="93">
        <v>2.95</v>
      </c>
      <c r="O1345" s="93">
        <v>17.5</v>
      </c>
      <c r="P1345" s="93">
        <v>11.8</v>
      </c>
      <c r="Q1345" s="93" t="s">
        <v>396</v>
      </c>
      <c r="R1345" s="93" t="s">
        <v>20</v>
      </c>
      <c r="S1345" s="93" t="s">
        <v>124</v>
      </c>
      <c r="T1345" s="93" t="s">
        <v>116</v>
      </c>
      <c r="U1345" s="94">
        <v>44642.425694444442</v>
      </c>
      <c r="V1345" s="93" t="s">
        <v>10</v>
      </c>
      <c r="W1345" s="93" t="s">
        <v>9</v>
      </c>
    </row>
    <row r="1346" spans="1:23" x14ac:dyDescent="0.15">
      <c r="A1346" s="93" t="s">
        <v>8441</v>
      </c>
      <c r="B1346" s="93" t="s">
        <v>8442</v>
      </c>
      <c r="C1346" s="93">
        <v>84</v>
      </c>
      <c r="D1346" s="93" t="s">
        <v>9</v>
      </c>
      <c r="E1346" s="93" t="s">
        <v>24</v>
      </c>
      <c r="F1346" s="93" t="s">
        <v>70</v>
      </c>
      <c r="G1346" s="93" t="s">
        <v>8426</v>
      </c>
      <c r="H1346" s="93" t="s">
        <v>6</v>
      </c>
      <c r="I1346" s="93" t="s">
        <v>111</v>
      </c>
      <c r="J1346" s="93" t="s">
        <v>7165</v>
      </c>
      <c r="K1346" s="93">
        <v>90</v>
      </c>
      <c r="L1346" s="93">
        <v>0.33</v>
      </c>
      <c r="M1346" s="93" t="s">
        <v>113</v>
      </c>
      <c r="N1346" s="93">
        <v>2.95</v>
      </c>
      <c r="O1346" s="93">
        <v>17.5</v>
      </c>
      <c r="P1346" s="93">
        <v>11.8</v>
      </c>
      <c r="Q1346" s="93" t="s">
        <v>123</v>
      </c>
      <c r="R1346" s="93" t="s">
        <v>20</v>
      </c>
      <c r="S1346" s="93" t="s">
        <v>124</v>
      </c>
      <c r="T1346" s="93" t="s">
        <v>116</v>
      </c>
      <c r="U1346" s="94">
        <v>44642.535416666666</v>
      </c>
      <c r="V1346" s="93" t="s">
        <v>10</v>
      </c>
      <c r="W1346" s="93" t="s">
        <v>9</v>
      </c>
    </row>
    <row r="1347" spans="1:23" x14ac:dyDescent="0.15">
      <c r="A1347" s="93" t="s">
        <v>8443</v>
      </c>
      <c r="B1347" s="93" t="s">
        <v>8444</v>
      </c>
      <c r="C1347" s="93">
        <v>88.8</v>
      </c>
      <c r="D1347" s="93" t="s">
        <v>9</v>
      </c>
      <c r="E1347" s="93" t="s">
        <v>24</v>
      </c>
      <c r="F1347" s="93" t="s">
        <v>70</v>
      </c>
      <c r="G1347" s="93" t="s">
        <v>8426</v>
      </c>
      <c r="H1347" s="93" t="s">
        <v>6</v>
      </c>
      <c r="I1347" s="93" t="s">
        <v>111</v>
      </c>
      <c r="J1347" s="93" t="s">
        <v>7165</v>
      </c>
      <c r="K1347" s="93">
        <v>90</v>
      </c>
      <c r="L1347" s="93">
        <v>0.33</v>
      </c>
      <c r="M1347" s="93" t="s">
        <v>113</v>
      </c>
      <c r="N1347" s="93">
        <v>2.95</v>
      </c>
      <c r="O1347" s="93">
        <v>17.5</v>
      </c>
      <c r="P1347" s="93">
        <v>11.8</v>
      </c>
      <c r="Q1347" s="93" t="s">
        <v>7166</v>
      </c>
      <c r="R1347" s="93" t="s">
        <v>20</v>
      </c>
      <c r="S1347" s="93" t="s">
        <v>124</v>
      </c>
      <c r="T1347" s="93" t="s">
        <v>116</v>
      </c>
      <c r="U1347" s="94">
        <v>44642.425694444442</v>
      </c>
      <c r="V1347" s="93" t="s">
        <v>10</v>
      </c>
      <c r="W1347" s="93" t="s">
        <v>9</v>
      </c>
    </row>
    <row r="1348" spans="1:23" x14ac:dyDescent="0.15">
      <c r="A1348" s="93" t="s">
        <v>8445</v>
      </c>
      <c r="B1348" s="93" t="s">
        <v>8446</v>
      </c>
      <c r="C1348" s="93">
        <v>114</v>
      </c>
      <c r="D1348" s="93" t="s">
        <v>9</v>
      </c>
      <c r="E1348" s="93" t="s">
        <v>24</v>
      </c>
      <c r="F1348" s="93" t="s">
        <v>70</v>
      </c>
      <c r="G1348" s="93" t="s">
        <v>7171</v>
      </c>
      <c r="H1348" s="93" t="s">
        <v>6</v>
      </c>
      <c r="I1348" s="93" t="s">
        <v>111</v>
      </c>
      <c r="J1348" s="93" t="s">
        <v>7165</v>
      </c>
      <c r="K1348" s="93">
        <v>90</v>
      </c>
      <c r="L1348" s="93">
        <v>0.92</v>
      </c>
      <c r="M1348" s="93" t="s">
        <v>113</v>
      </c>
      <c r="N1348" s="93">
        <v>7.5</v>
      </c>
      <c r="O1348" s="93">
        <v>19.5</v>
      </c>
      <c r="P1348" s="93">
        <v>23.5</v>
      </c>
      <c r="Q1348" s="93" t="s">
        <v>7166</v>
      </c>
      <c r="R1348" s="93" t="s">
        <v>20</v>
      </c>
      <c r="S1348" s="93" t="s">
        <v>124</v>
      </c>
      <c r="T1348" s="93" t="s">
        <v>119</v>
      </c>
      <c r="U1348" s="94">
        <v>44642.540972222225</v>
      </c>
      <c r="V1348" s="93" t="s">
        <v>10</v>
      </c>
      <c r="W1348" s="93" t="s">
        <v>9</v>
      </c>
    </row>
    <row r="1349" spans="1:23" x14ac:dyDescent="0.15">
      <c r="A1349" s="93" t="s">
        <v>8447</v>
      </c>
      <c r="B1349" s="93" t="s">
        <v>8448</v>
      </c>
      <c r="C1349" s="93">
        <v>90</v>
      </c>
      <c r="D1349" s="93" t="s">
        <v>9</v>
      </c>
      <c r="E1349" s="93" t="s">
        <v>24</v>
      </c>
      <c r="F1349" s="93" t="s">
        <v>70</v>
      </c>
      <c r="G1349" s="93" t="s">
        <v>7171</v>
      </c>
      <c r="H1349" s="93" t="s">
        <v>6</v>
      </c>
      <c r="I1349" s="93" t="s">
        <v>111</v>
      </c>
      <c r="J1349" s="93" t="s">
        <v>7165</v>
      </c>
      <c r="K1349" s="93">
        <v>90</v>
      </c>
      <c r="L1349" s="93">
        <v>0.92</v>
      </c>
      <c r="M1349" s="93" t="s">
        <v>113</v>
      </c>
      <c r="N1349" s="93">
        <v>7.5</v>
      </c>
      <c r="O1349" s="93">
        <v>19.5</v>
      </c>
      <c r="P1349" s="93">
        <v>23.5</v>
      </c>
      <c r="Q1349" s="93" t="s">
        <v>7166</v>
      </c>
      <c r="R1349" s="93" t="s">
        <v>20</v>
      </c>
      <c r="S1349" s="93" t="s">
        <v>124</v>
      </c>
      <c r="T1349" s="93" t="s">
        <v>119</v>
      </c>
      <c r="U1349" s="94">
        <v>44642.563194444447</v>
      </c>
      <c r="V1349" s="93" t="s">
        <v>10</v>
      </c>
      <c r="W1349" s="93" t="s">
        <v>9</v>
      </c>
    </row>
    <row r="1350" spans="1:23" x14ac:dyDescent="0.15">
      <c r="A1350" s="93" t="s">
        <v>8449</v>
      </c>
      <c r="B1350" s="93" t="s">
        <v>8450</v>
      </c>
      <c r="C1350" s="93">
        <v>144</v>
      </c>
      <c r="D1350" s="93" t="s">
        <v>9</v>
      </c>
      <c r="E1350" s="93" t="s">
        <v>24</v>
      </c>
      <c r="F1350" s="93" t="s">
        <v>70</v>
      </c>
      <c r="G1350" s="93" t="s">
        <v>7164</v>
      </c>
      <c r="H1350" s="93" t="s">
        <v>6</v>
      </c>
      <c r="I1350" s="93" t="s">
        <v>111</v>
      </c>
      <c r="J1350" s="93" t="s">
        <v>7165</v>
      </c>
      <c r="K1350" s="93">
        <v>90</v>
      </c>
      <c r="L1350" s="93">
        <v>0.93</v>
      </c>
      <c r="M1350" s="93" t="s">
        <v>113</v>
      </c>
      <c r="N1350" s="93">
        <v>7.5</v>
      </c>
      <c r="O1350" s="93">
        <v>19.5</v>
      </c>
      <c r="P1350" s="93">
        <v>25.9</v>
      </c>
      <c r="Q1350" s="93" t="s">
        <v>7166</v>
      </c>
      <c r="R1350" s="93" t="s">
        <v>20</v>
      </c>
      <c r="S1350" s="93" t="s">
        <v>124</v>
      </c>
      <c r="T1350" s="93" t="s">
        <v>119</v>
      </c>
      <c r="U1350" s="94">
        <v>44642.563194444447</v>
      </c>
      <c r="V1350" s="93" t="s">
        <v>10</v>
      </c>
      <c r="W1350" s="93" t="s">
        <v>24</v>
      </c>
    </row>
    <row r="1351" spans="1:23" x14ac:dyDescent="0.15">
      <c r="A1351" s="93" t="s">
        <v>8451</v>
      </c>
      <c r="B1351" s="93" t="s">
        <v>8452</v>
      </c>
      <c r="C1351" s="93">
        <v>6</v>
      </c>
      <c r="D1351" s="93" t="s">
        <v>9</v>
      </c>
      <c r="E1351" s="93" t="s">
        <v>24</v>
      </c>
      <c r="F1351" s="93" t="s">
        <v>7070</v>
      </c>
      <c r="G1351" s="93" t="s">
        <v>7071</v>
      </c>
      <c r="H1351" s="93" t="s">
        <v>11</v>
      </c>
      <c r="I1351" s="93" t="s">
        <v>111</v>
      </c>
      <c r="J1351" s="93" t="s">
        <v>71</v>
      </c>
      <c r="K1351" s="93">
        <v>180</v>
      </c>
      <c r="L1351" s="93">
        <v>9.7000000000000003E-2</v>
      </c>
      <c r="M1351" s="93" t="s">
        <v>113</v>
      </c>
      <c r="N1351" s="93">
        <v>4.9000000000000004</v>
      </c>
      <c r="O1351" s="93">
        <v>10</v>
      </c>
      <c r="P1351" s="93">
        <v>18.5</v>
      </c>
      <c r="Q1351" s="93" t="s">
        <v>122</v>
      </c>
      <c r="R1351" s="93" t="s">
        <v>20</v>
      </c>
      <c r="S1351" s="93" t="s">
        <v>115</v>
      </c>
      <c r="T1351" s="93" t="s">
        <v>7167</v>
      </c>
      <c r="U1351" s="94">
        <v>44642.594444444447</v>
      </c>
      <c r="V1351" s="93" t="s">
        <v>7156</v>
      </c>
      <c r="W1351" s="93" t="s">
        <v>24</v>
      </c>
    </row>
    <row r="1352" spans="1:23" x14ac:dyDescent="0.15">
      <c r="A1352" s="93" t="s">
        <v>8453</v>
      </c>
      <c r="B1352" s="93" t="s">
        <v>8454</v>
      </c>
      <c r="C1352" s="93">
        <v>6</v>
      </c>
      <c r="D1352" s="93" t="s">
        <v>9</v>
      </c>
      <c r="E1352" s="93" t="s">
        <v>24</v>
      </c>
      <c r="F1352" s="93" t="s">
        <v>7070</v>
      </c>
      <c r="G1352" s="93" t="s">
        <v>7071</v>
      </c>
      <c r="H1352" s="93" t="s">
        <v>11</v>
      </c>
      <c r="I1352" s="93" t="s">
        <v>111</v>
      </c>
      <c r="J1352" s="93" t="s">
        <v>71</v>
      </c>
      <c r="K1352" s="93">
        <v>180</v>
      </c>
      <c r="L1352" s="93">
        <v>0.108</v>
      </c>
      <c r="M1352" s="93" t="s">
        <v>113</v>
      </c>
      <c r="N1352" s="93">
        <v>4.9000000000000004</v>
      </c>
      <c r="O1352" s="93">
        <v>10</v>
      </c>
      <c r="P1352" s="93">
        <v>18.5</v>
      </c>
      <c r="Q1352" s="93" t="s">
        <v>122</v>
      </c>
      <c r="R1352" s="93" t="s">
        <v>20</v>
      </c>
      <c r="S1352" s="93" t="s">
        <v>115</v>
      </c>
      <c r="T1352" s="93" t="s">
        <v>116</v>
      </c>
      <c r="U1352" s="94">
        <v>44642.47152777778</v>
      </c>
      <c r="V1352" s="93" t="s">
        <v>10</v>
      </c>
      <c r="W1352" s="93" t="s">
        <v>9</v>
      </c>
    </row>
    <row r="1353" spans="1:23" x14ac:dyDescent="0.15">
      <c r="A1353" s="93" t="s">
        <v>8455</v>
      </c>
      <c r="B1353" s="93" t="s">
        <v>8456</v>
      </c>
      <c r="C1353" s="93">
        <v>8.4</v>
      </c>
      <c r="D1353" s="93" t="s">
        <v>9</v>
      </c>
      <c r="E1353" s="93" t="s">
        <v>24</v>
      </c>
      <c r="F1353" s="93" t="s">
        <v>7070</v>
      </c>
      <c r="G1353" s="93" t="s">
        <v>7071</v>
      </c>
      <c r="H1353" s="93" t="s">
        <v>11</v>
      </c>
      <c r="I1353" s="93" t="s">
        <v>111</v>
      </c>
      <c r="J1353" s="93" t="s">
        <v>71</v>
      </c>
      <c r="K1353" s="93">
        <v>180</v>
      </c>
      <c r="L1353" s="93">
        <v>0.107</v>
      </c>
      <c r="M1353" s="93" t="s">
        <v>113</v>
      </c>
      <c r="N1353" s="93">
        <v>4.9000000000000004</v>
      </c>
      <c r="O1353" s="93">
        <v>10</v>
      </c>
      <c r="P1353" s="93">
        <v>18.5</v>
      </c>
      <c r="Q1353" s="93" t="s">
        <v>122</v>
      </c>
      <c r="R1353" s="93" t="s">
        <v>20</v>
      </c>
      <c r="S1353" s="93" t="s">
        <v>115</v>
      </c>
      <c r="T1353" s="93" t="s">
        <v>7167</v>
      </c>
      <c r="U1353" s="94">
        <v>44642.496527777781</v>
      </c>
      <c r="V1353" s="93" t="s">
        <v>7156</v>
      </c>
      <c r="W1353" s="93" t="s">
        <v>24</v>
      </c>
    </row>
    <row r="1354" spans="1:23" x14ac:dyDescent="0.15">
      <c r="A1354" s="93" t="s">
        <v>8457</v>
      </c>
      <c r="B1354" s="93" t="s">
        <v>8458</v>
      </c>
      <c r="C1354" s="93">
        <v>8.4</v>
      </c>
      <c r="D1354" s="93" t="s">
        <v>9</v>
      </c>
      <c r="E1354" s="93" t="s">
        <v>24</v>
      </c>
      <c r="F1354" s="93" t="s">
        <v>7070</v>
      </c>
      <c r="G1354" s="93" t="s">
        <v>7071</v>
      </c>
      <c r="H1354" s="93" t="s">
        <v>11</v>
      </c>
      <c r="I1354" s="93" t="s">
        <v>111</v>
      </c>
      <c r="J1354" s="93" t="s">
        <v>71</v>
      </c>
      <c r="K1354" s="93">
        <v>180</v>
      </c>
      <c r="L1354" s="93">
        <v>0.11799999999999999</v>
      </c>
      <c r="M1354" s="93" t="s">
        <v>113</v>
      </c>
      <c r="N1354" s="93">
        <v>4.9000000000000004</v>
      </c>
      <c r="O1354" s="93">
        <v>10</v>
      </c>
      <c r="P1354" s="93">
        <v>18.5</v>
      </c>
      <c r="Q1354" s="93" t="s">
        <v>122</v>
      </c>
      <c r="R1354" s="93" t="s">
        <v>20</v>
      </c>
      <c r="S1354" s="93" t="s">
        <v>115</v>
      </c>
      <c r="T1354" s="93" t="s">
        <v>116</v>
      </c>
      <c r="U1354" s="94">
        <v>44642.515972222223</v>
      </c>
      <c r="V1354" s="93" t="s">
        <v>10</v>
      </c>
      <c r="W1354" s="93" t="s">
        <v>9</v>
      </c>
    </row>
    <row r="1355" spans="1:23" x14ac:dyDescent="0.15">
      <c r="A1355" s="93" t="s">
        <v>8459</v>
      </c>
      <c r="B1355" s="93" t="s">
        <v>8460</v>
      </c>
      <c r="C1355" s="93">
        <v>500</v>
      </c>
      <c r="D1355" s="93" t="s">
        <v>24</v>
      </c>
      <c r="E1355" s="93" t="s">
        <v>24</v>
      </c>
      <c r="F1355" s="93" t="s">
        <v>5978</v>
      </c>
      <c r="G1355" s="93" t="s">
        <v>8461</v>
      </c>
      <c r="H1355" s="93" t="s">
        <v>400</v>
      </c>
      <c r="I1355" s="93" t="s">
        <v>111</v>
      </c>
      <c r="J1355" s="93" t="s">
        <v>118</v>
      </c>
      <c r="K1355" s="93">
        <v>3</v>
      </c>
      <c r="L1355" s="93" t="s">
        <v>111</v>
      </c>
      <c r="M1355" s="93" t="s">
        <v>111</v>
      </c>
      <c r="N1355" s="93" t="s">
        <v>111</v>
      </c>
      <c r="O1355" s="93" t="s">
        <v>111</v>
      </c>
      <c r="P1355" s="93" t="s">
        <v>111</v>
      </c>
      <c r="Q1355" s="93" t="s">
        <v>228</v>
      </c>
      <c r="R1355" s="93" t="s">
        <v>2</v>
      </c>
      <c r="S1355" s="93" t="s">
        <v>115</v>
      </c>
      <c r="T1355" s="93" t="s">
        <v>116</v>
      </c>
      <c r="U1355" s="94">
        <v>44600.057638888888</v>
      </c>
      <c r="V1355" s="93" t="s">
        <v>402</v>
      </c>
      <c r="W1355" s="93" t="s">
        <v>24</v>
      </c>
    </row>
    <row r="1356" spans="1:23" x14ac:dyDescent="0.15">
      <c r="A1356" s="93" t="s">
        <v>8462</v>
      </c>
      <c r="B1356" s="93" t="s">
        <v>8463</v>
      </c>
      <c r="C1356" s="93">
        <v>2580</v>
      </c>
      <c r="D1356" s="93" t="s">
        <v>24</v>
      </c>
      <c r="E1356" s="93" t="s">
        <v>24</v>
      </c>
      <c r="F1356" s="93" t="s">
        <v>399</v>
      </c>
      <c r="G1356" s="93" t="s">
        <v>8461</v>
      </c>
      <c r="H1356" s="93" t="s">
        <v>400</v>
      </c>
      <c r="I1356" s="93" t="s">
        <v>111</v>
      </c>
      <c r="J1356" s="93" t="s">
        <v>7105</v>
      </c>
      <c r="K1356" s="93" t="s">
        <v>111</v>
      </c>
      <c r="L1356" s="93" t="s">
        <v>111</v>
      </c>
      <c r="M1356" s="93" t="s">
        <v>111</v>
      </c>
      <c r="N1356" s="93" t="s">
        <v>111</v>
      </c>
      <c r="O1356" s="93" t="s">
        <v>111</v>
      </c>
      <c r="P1356" s="93" t="s">
        <v>111</v>
      </c>
      <c r="Q1356" s="93" t="s">
        <v>111</v>
      </c>
      <c r="R1356" s="93" t="s">
        <v>2</v>
      </c>
      <c r="S1356" s="93" t="s">
        <v>115</v>
      </c>
      <c r="T1356" s="93" t="s">
        <v>116</v>
      </c>
      <c r="U1356" s="94">
        <v>44596.557638888888</v>
      </c>
      <c r="V1356" s="93" t="s">
        <v>7913</v>
      </c>
      <c r="W1356" s="93" t="s">
        <v>24</v>
      </c>
    </row>
    <row r="1357" spans="1:23" x14ac:dyDescent="0.15">
      <c r="A1357" s="93" t="s">
        <v>8464</v>
      </c>
      <c r="B1357" s="93" t="s">
        <v>8465</v>
      </c>
      <c r="C1357" s="93">
        <v>2000</v>
      </c>
      <c r="D1357" s="93" t="s">
        <v>24</v>
      </c>
      <c r="E1357" s="93" t="s">
        <v>24</v>
      </c>
      <c r="F1357" s="93" t="s">
        <v>399</v>
      </c>
      <c r="G1357" s="93" t="s">
        <v>8461</v>
      </c>
      <c r="H1357" s="93" t="s">
        <v>400</v>
      </c>
      <c r="I1357" s="93" t="s">
        <v>111</v>
      </c>
      <c r="J1357" s="93" t="s">
        <v>118</v>
      </c>
      <c r="K1357" s="93">
        <v>3</v>
      </c>
      <c r="L1357" s="93" t="s">
        <v>111</v>
      </c>
      <c r="M1357" s="93" t="s">
        <v>111</v>
      </c>
      <c r="N1357" s="93" t="s">
        <v>111</v>
      </c>
      <c r="O1357" s="93" t="s">
        <v>111</v>
      </c>
      <c r="P1357" s="93" t="s">
        <v>111</v>
      </c>
      <c r="Q1357" s="93" t="s">
        <v>228</v>
      </c>
      <c r="R1357" s="93" t="s">
        <v>2</v>
      </c>
      <c r="S1357" s="93" t="s">
        <v>115</v>
      </c>
      <c r="T1357" s="93" t="s">
        <v>116</v>
      </c>
      <c r="U1357" s="94">
        <v>44588.057638888888</v>
      </c>
      <c r="V1357" s="93" t="s">
        <v>7913</v>
      </c>
      <c r="W1357" s="93" t="s">
        <v>24</v>
      </c>
    </row>
    <row r="1358" spans="1:23" x14ac:dyDescent="0.15">
      <c r="A1358" s="93" t="s">
        <v>41</v>
      </c>
      <c r="B1358" s="93" t="s">
        <v>401</v>
      </c>
      <c r="C1358" s="93">
        <v>264.60000000000002</v>
      </c>
      <c r="D1358" s="93" t="s">
        <v>24</v>
      </c>
      <c r="E1358" s="93" t="s">
        <v>24</v>
      </c>
      <c r="F1358" s="93" t="s">
        <v>7070</v>
      </c>
      <c r="G1358" s="93" t="s">
        <v>8059</v>
      </c>
      <c r="H1358" s="93" t="s">
        <v>11</v>
      </c>
      <c r="I1358" s="93" t="s">
        <v>111</v>
      </c>
      <c r="J1358" s="93" t="s">
        <v>33</v>
      </c>
      <c r="K1358" s="93">
        <v>90</v>
      </c>
      <c r="L1358" s="93">
        <v>1.2999999999999999E-2</v>
      </c>
      <c r="M1358" s="93" t="s">
        <v>113</v>
      </c>
      <c r="N1358" s="93">
        <v>9.9499999999999993</v>
      </c>
      <c r="O1358" s="93">
        <v>2.52</v>
      </c>
      <c r="P1358" s="93">
        <v>4.63</v>
      </c>
      <c r="Q1358" s="93" t="s">
        <v>123</v>
      </c>
      <c r="R1358" s="93" t="s">
        <v>20</v>
      </c>
      <c r="S1358" s="93" t="s">
        <v>397</v>
      </c>
      <c r="T1358" s="93" t="s">
        <v>116</v>
      </c>
      <c r="U1358" s="94">
        <v>44642.556944444441</v>
      </c>
      <c r="V1358" s="93" t="s">
        <v>402</v>
      </c>
      <c r="W1358" s="93" t="s">
        <v>9</v>
      </c>
    </row>
    <row r="1359" spans="1:23" x14ac:dyDescent="0.15">
      <c r="A1359" s="93" t="s">
        <v>36</v>
      </c>
      <c r="B1359" s="93" t="s">
        <v>37</v>
      </c>
      <c r="C1359" s="93">
        <v>80.95</v>
      </c>
      <c r="D1359" s="93" t="s">
        <v>24</v>
      </c>
      <c r="E1359" s="93" t="s">
        <v>24</v>
      </c>
      <c r="F1359" s="93" t="s">
        <v>7070</v>
      </c>
      <c r="G1359" s="93" t="s">
        <v>8059</v>
      </c>
      <c r="H1359" s="93" t="s">
        <v>11</v>
      </c>
      <c r="I1359" s="93" t="s">
        <v>111</v>
      </c>
      <c r="J1359" s="93" t="s">
        <v>33</v>
      </c>
      <c r="K1359" s="93">
        <v>90</v>
      </c>
      <c r="L1359" s="93">
        <v>6.0000000000000001E-3</v>
      </c>
      <c r="M1359" s="93" t="s">
        <v>113</v>
      </c>
      <c r="N1359" s="93">
        <v>9.9499999999999993</v>
      </c>
      <c r="O1359" s="93">
        <v>2.5499999999999998</v>
      </c>
      <c r="P1359" s="93">
        <v>4.63</v>
      </c>
      <c r="Q1359" s="93" t="s">
        <v>123</v>
      </c>
      <c r="R1359" s="93" t="s">
        <v>20</v>
      </c>
      <c r="S1359" s="93" t="s">
        <v>397</v>
      </c>
      <c r="T1359" s="93" t="s">
        <v>116</v>
      </c>
      <c r="U1359" s="94">
        <v>44642.513194444444</v>
      </c>
      <c r="V1359" s="93" t="s">
        <v>402</v>
      </c>
      <c r="W1359" s="93" t="s">
        <v>9</v>
      </c>
    </row>
    <row r="1360" spans="1:23" x14ac:dyDescent="0.15">
      <c r="A1360" s="93" t="s">
        <v>34</v>
      </c>
      <c r="B1360" s="93" t="s">
        <v>403</v>
      </c>
      <c r="C1360" s="93">
        <v>53.95</v>
      </c>
      <c r="D1360" s="93" t="s">
        <v>24</v>
      </c>
      <c r="E1360" s="93" t="s">
        <v>24</v>
      </c>
      <c r="F1360" s="93" t="s">
        <v>7070</v>
      </c>
      <c r="G1360" s="93" t="s">
        <v>8059</v>
      </c>
      <c r="H1360" s="93" t="s">
        <v>11</v>
      </c>
      <c r="I1360" s="93" t="s">
        <v>111</v>
      </c>
      <c r="J1360" s="93" t="s">
        <v>33</v>
      </c>
      <c r="K1360" s="93">
        <v>90</v>
      </c>
      <c r="L1360" s="93">
        <v>6.0000000000000001E-3</v>
      </c>
      <c r="M1360" s="93" t="s">
        <v>113</v>
      </c>
      <c r="N1360" s="93">
        <v>9.9499999999999993</v>
      </c>
      <c r="O1360" s="93">
        <v>2.5499999999999998</v>
      </c>
      <c r="P1360" s="93">
        <v>4.63</v>
      </c>
      <c r="Q1360" s="93" t="s">
        <v>123</v>
      </c>
      <c r="R1360" s="93" t="s">
        <v>20</v>
      </c>
      <c r="S1360" s="93" t="s">
        <v>397</v>
      </c>
      <c r="T1360" s="93" t="s">
        <v>116</v>
      </c>
      <c r="U1360" s="94">
        <v>44642.589583333334</v>
      </c>
      <c r="V1360" s="93" t="s">
        <v>402</v>
      </c>
      <c r="W1360" s="93" t="s">
        <v>9</v>
      </c>
    </row>
    <row r="1361" spans="1:23" x14ac:dyDescent="0.15">
      <c r="A1361" s="93" t="s">
        <v>40</v>
      </c>
      <c r="B1361" s="93" t="s">
        <v>404</v>
      </c>
      <c r="C1361" s="93">
        <v>53.95</v>
      </c>
      <c r="D1361" s="93" t="s">
        <v>24</v>
      </c>
      <c r="E1361" s="93" t="s">
        <v>24</v>
      </c>
      <c r="F1361" s="93" t="s">
        <v>7070</v>
      </c>
      <c r="G1361" s="93" t="s">
        <v>8059</v>
      </c>
      <c r="H1361" s="93" t="s">
        <v>11</v>
      </c>
      <c r="I1361" s="93" t="s">
        <v>111</v>
      </c>
      <c r="J1361" s="93" t="s">
        <v>33</v>
      </c>
      <c r="K1361" s="93">
        <v>90</v>
      </c>
      <c r="L1361" s="93">
        <v>6.0000000000000001E-3</v>
      </c>
      <c r="M1361" s="93" t="s">
        <v>113</v>
      </c>
      <c r="N1361" s="93">
        <v>9.9499999999999993</v>
      </c>
      <c r="O1361" s="93">
        <v>2.5499999999999998</v>
      </c>
      <c r="P1361" s="93">
        <v>4.63</v>
      </c>
      <c r="Q1361" s="93" t="s">
        <v>123</v>
      </c>
      <c r="R1361" s="93" t="s">
        <v>20</v>
      </c>
      <c r="S1361" s="93" t="s">
        <v>397</v>
      </c>
      <c r="T1361" s="93" t="s">
        <v>116</v>
      </c>
      <c r="U1361" s="94">
        <v>44642.468055555553</v>
      </c>
      <c r="V1361" s="93" t="s">
        <v>402</v>
      </c>
      <c r="W1361" s="93" t="s">
        <v>9</v>
      </c>
    </row>
    <row r="1362" spans="1:23" x14ac:dyDescent="0.15">
      <c r="A1362" s="93" t="s">
        <v>38</v>
      </c>
      <c r="B1362" s="93" t="s">
        <v>39</v>
      </c>
      <c r="C1362" s="93">
        <v>37.75</v>
      </c>
      <c r="D1362" s="93" t="s">
        <v>24</v>
      </c>
      <c r="E1362" s="93" t="s">
        <v>24</v>
      </c>
      <c r="F1362" s="93" t="s">
        <v>7070</v>
      </c>
      <c r="G1362" s="93" t="s">
        <v>8059</v>
      </c>
      <c r="H1362" s="93" t="s">
        <v>11</v>
      </c>
      <c r="I1362" s="93" t="s">
        <v>111</v>
      </c>
      <c r="J1362" s="93" t="s">
        <v>33</v>
      </c>
      <c r="K1362" s="93">
        <v>90</v>
      </c>
      <c r="L1362" s="93">
        <v>6.0000000000000001E-3</v>
      </c>
      <c r="M1362" s="93" t="s">
        <v>113</v>
      </c>
      <c r="N1362" s="93">
        <v>9.9499999999999993</v>
      </c>
      <c r="O1362" s="93">
        <v>2.5499999999999998</v>
      </c>
      <c r="P1362" s="93">
        <v>4.63</v>
      </c>
      <c r="Q1362" s="93" t="s">
        <v>123</v>
      </c>
      <c r="R1362" s="93" t="s">
        <v>20</v>
      </c>
      <c r="S1362" s="93" t="s">
        <v>397</v>
      </c>
      <c r="T1362" s="93" t="s">
        <v>116</v>
      </c>
      <c r="U1362" s="94">
        <v>44642.424305555556</v>
      </c>
      <c r="V1362" s="93" t="s">
        <v>402</v>
      </c>
      <c r="W1362" s="93" t="s">
        <v>9</v>
      </c>
    </row>
    <row r="1363" spans="1:23" x14ac:dyDescent="0.15">
      <c r="A1363" s="93" t="s">
        <v>35</v>
      </c>
      <c r="B1363" s="93" t="s">
        <v>405</v>
      </c>
      <c r="C1363" s="93">
        <v>32.35</v>
      </c>
      <c r="D1363" s="93" t="s">
        <v>24</v>
      </c>
      <c r="E1363" s="93" t="s">
        <v>24</v>
      </c>
      <c r="F1363" s="93" t="s">
        <v>7070</v>
      </c>
      <c r="G1363" s="93" t="s">
        <v>8059</v>
      </c>
      <c r="H1363" s="93" t="s">
        <v>11</v>
      </c>
      <c r="I1363" s="93" t="s">
        <v>111</v>
      </c>
      <c r="J1363" s="93" t="s">
        <v>33</v>
      </c>
      <c r="K1363" s="93">
        <v>90</v>
      </c>
      <c r="L1363" s="93">
        <v>6.0000000000000001E-3</v>
      </c>
      <c r="M1363" s="93" t="s">
        <v>113</v>
      </c>
      <c r="N1363" s="93">
        <v>9.9499999999999993</v>
      </c>
      <c r="O1363" s="93">
        <v>2.5499999999999998</v>
      </c>
      <c r="P1363" s="93">
        <v>4.63</v>
      </c>
      <c r="Q1363" s="93" t="s">
        <v>123</v>
      </c>
      <c r="R1363" s="93" t="s">
        <v>20</v>
      </c>
      <c r="S1363" s="93" t="s">
        <v>397</v>
      </c>
      <c r="T1363" s="93" t="s">
        <v>116</v>
      </c>
      <c r="U1363" s="94">
        <v>44642.556944444441</v>
      </c>
      <c r="V1363" s="93" t="s">
        <v>402</v>
      </c>
      <c r="W1363" s="93" t="s">
        <v>9</v>
      </c>
    </row>
    <row r="1364" spans="1:23" x14ac:dyDescent="0.15">
      <c r="A1364" s="93" t="s">
        <v>8466</v>
      </c>
      <c r="B1364" s="93" t="s">
        <v>8467</v>
      </c>
      <c r="C1364" s="93">
        <v>534</v>
      </c>
      <c r="D1364" s="93" t="s">
        <v>9</v>
      </c>
      <c r="E1364" s="93" t="s">
        <v>9</v>
      </c>
      <c r="F1364" s="93" t="s">
        <v>8468</v>
      </c>
      <c r="G1364" s="93" t="s">
        <v>8469</v>
      </c>
      <c r="H1364" s="93" t="s">
        <v>6</v>
      </c>
      <c r="I1364" s="93" t="s">
        <v>111</v>
      </c>
      <c r="J1364" s="93" t="s">
        <v>112</v>
      </c>
      <c r="K1364" s="93">
        <v>60</v>
      </c>
      <c r="L1364" s="93">
        <v>1.8</v>
      </c>
      <c r="M1364" s="93" t="s">
        <v>113</v>
      </c>
      <c r="N1364" s="93">
        <v>10</v>
      </c>
      <c r="O1364" s="93">
        <v>30</v>
      </c>
      <c r="P1364" s="93">
        <v>33</v>
      </c>
      <c r="Q1364" s="93" t="s">
        <v>123</v>
      </c>
      <c r="R1364" s="93" t="s">
        <v>20</v>
      </c>
      <c r="S1364" s="93" t="s">
        <v>383</v>
      </c>
      <c r="T1364" s="93" t="s">
        <v>119</v>
      </c>
      <c r="U1364" s="94">
        <v>44642.425000000003</v>
      </c>
      <c r="V1364" s="93" t="s">
        <v>7072</v>
      </c>
      <c r="W1364" s="93" t="s">
        <v>9</v>
      </c>
    </row>
    <row r="1365" spans="1:23" x14ac:dyDescent="0.15">
      <c r="A1365" s="93" t="s">
        <v>8470</v>
      </c>
      <c r="B1365" s="93" t="s">
        <v>8471</v>
      </c>
      <c r="C1365" s="93">
        <v>534</v>
      </c>
      <c r="D1365" s="93" t="s">
        <v>9</v>
      </c>
      <c r="E1365" s="93" t="s">
        <v>9</v>
      </c>
      <c r="F1365" s="93" t="s">
        <v>8468</v>
      </c>
      <c r="G1365" s="93" t="s">
        <v>8469</v>
      </c>
      <c r="H1365" s="93" t="s">
        <v>6</v>
      </c>
      <c r="I1365" s="93" t="s">
        <v>111</v>
      </c>
      <c r="J1365" s="93" t="s">
        <v>112</v>
      </c>
      <c r="K1365" s="93">
        <v>60</v>
      </c>
      <c r="L1365" s="93">
        <v>1.8</v>
      </c>
      <c r="M1365" s="93" t="s">
        <v>113</v>
      </c>
      <c r="N1365" s="93">
        <v>10</v>
      </c>
      <c r="O1365" s="93">
        <v>30</v>
      </c>
      <c r="P1365" s="93">
        <v>33</v>
      </c>
      <c r="Q1365" s="93" t="s">
        <v>123</v>
      </c>
      <c r="R1365" s="93" t="s">
        <v>20</v>
      </c>
      <c r="S1365" s="93" t="s">
        <v>383</v>
      </c>
      <c r="T1365" s="93" t="s">
        <v>116</v>
      </c>
      <c r="U1365" s="94">
        <v>44642.513194444444</v>
      </c>
      <c r="V1365" s="93" t="s">
        <v>7072</v>
      </c>
      <c r="W1365" s="93" t="s">
        <v>9</v>
      </c>
    </row>
    <row r="1366" spans="1:23" x14ac:dyDescent="0.15">
      <c r="A1366" s="93" t="s">
        <v>8472</v>
      </c>
      <c r="B1366" s="93" t="s">
        <v>8473</v>
      </c>
      <c r="C1366" s="93">
        <v>534</v>
      </c>
      <c r="D1366" s="93" t="s">
        <v>9</v>
      </c>
      <c r="E1366" s="93" t="s">
        <v>9</v>
      </c>
      <c r="F1366" s="93" t="s">
        <v>8468</v>
      </c>
      <c r="G1366" s="93" t="s">
        <v>8469</v>
      </c>
      <c r="H1366" s="93" t="s">
        <v>6</v>
      </c>
      <c r="I1366" s="93" t="s">
        <v>111</v>
      </c>
      <c r="J1366" s="93" t="s">
        <v>112</v>
      </c>
      <c r="K1366" s="93">
        <v>60</v>
      </c>
      <c r="L1366" s="93">
        <v>1.8</v>
      </c>
      <c r="M1366" s="93" t="s">
        <v>113</v>
      </c>
      <c r="N1366" s="93">
        <v>10</v>
      </c>
      <c r="O1366" s="93">
        <v>30</v>
      </c>
      <c r="P1366" s="93">
        <v>33</v>
      </c>
      <c r="Q1366" s="93" t="s">
        <v>123</v>
      </c>
      <c r="R1366" s="93" t="s">
        <v>20</v>
      </c>
      <c r="S1366" s="93" t="s">
        <v>383</v>
      </c>
      <c r="T1366" s="93" t="s">
        <v>119</v>
      </c>
      <c r="U1366" s="94">
        <v>44642.589583333334</v>
      </c>
      <c r="V1366" s="93" t="s">
        <v>7072</v>
      </c>
      <c r="W1366" s="93" t="s">
        <v>9</v>
      </c>
    </row>
    <row r="1367" spans="1:23" x14ac:dyDescent="0.15">
      <c r="A1367" s="93" t="s">
        <v>8474</v>
      </c>
      <c r="B1367" s="93" t="s">
        <v>8475</v>
      </c>
      <c r="C1367" s="93">
        <v>566.04</v>
      </c>
      <c r="D1367" s="93" t="s">
        <v>9</v>
      </c>
      <c r="E1367" s="93" t="s">
        <v>9</v>
      </c>
      <c r="F1367" s="93" t="s">
        <v>8468</v>
      </c>
      <c r="G1367" s="93" t="s">
        <v>8469</v>
      </c>
      <c r="H1367" s="93" t="s">
        <v>6</v>
      </c>
      <c r="I1367" s="93" t="s">
        <v>111</v>
      </c>
      <c r="J1367" s="93" t="s">
        <v>112</v>
      </c>
      <c r="K1367" s="93">
        <v>60</v>
      </c>
      <c r="L1367" s="93">
        <v>1.8</v>
      </c>
      <c r="M1367" s="93" t="s">
        <v>113</v>
      </c>
      <c r="N1367" s="93">
        <v>10</v>
      </c>
      <c r="O1367" s="93">
        <v>30</v>
      </c>
      <c r="P1367" s="93">
        <v>33</v>
      </c>
      <c r="Q1367" s="93" t="s">
        <v>123</v>
      </c>
      <c r="R1367" s="93" t="s">
        <v>20</v>
      </c>
      <c r="S1367" s="93" t="s">
        <v>383</v>
      </c>
      <c r="T1367" s="93" t="s">
        <v>119</v>
      </c>
      <c r="U1367" s="94">
        <v>44642.534722222219</v>
      </c>
      <c r="V1367" s="93" t="s">
        <v>7072</v>
      </c>
      <c r="W1367" s="93" t="s">
        <v>9</v>
      </c>
    </row>
    <row r="1368" spans="1:23" x14ac:dyDescent="0.15">
      <c r="A1368" s="93" t="s">
        <v>8476</v>
      </c>
      <c r="B1368" s="93" t="s">
        <v>8477</v>
      </c>
      <c r="C1368" s="93">
        <v>8.4</v>
      </c>
      <c r="D1368" s="93" t="s">
        <v>9</v>
      </c>
      <c r="E1368" s="93" t="s">
        <v>24</v>
      </c>
      <c r="F1368" s="93" t="s">
        <v>7070</v>
      </c>
      <c r="G1368" s="93" t="s">
        <v>8257</v>
      </c>
      <c r="H1368" s="93" t="s">
        <v>11</v>
      </c>
      <c r="I1368" s="93" t="s">
        <v>111</v>
      </c>
      <c r="J1368" s="93" t="s">
        <v>7165</v>
      </c>
      <c r="K1368" s="93">
        <v>90</v>
      </c>
      <c r="L1368" s="93">
        <v>0.08</v>
      </c>
      <c r="M1368" s="93" t="s">
        <v>113</v>
      </c>
      <c r="N1368" s="93" t="s">
        <v>111</v>
      </c>
      <c r="O1368" s="93" t="s">
        <v>111</v>
      </c>
      <c r="P1368" s="93" t="s">
        <v>111</v>
      </c>
      <c r="Q1368" s="93" t="s">
        <v>121</v>
      </c>
      <c r="R1368" s="93" t="s">
        <v>20</v>
      </c>
      <c r="S1368" s="93" t="s">
        <v>115</v>
      </c>
      <c r="T1368" s="93" t="s">
        <v>116</v>
      </c>
      <c r="U1368" s="94">
        <v>44642.540277777778</v>
      </c>
      <c r="V1368" s="93" t="s">
        <v>8478</v>
      </c>
      <c r="W1368" s="93" t="s">
        <v>9</v>
      </c>
    </row>
    <row r="1369" spans="1:23" x14ac:dyDescent="0.15">
      <c r="A1369" s="93" t="s">
        <v>8479</v>
      </c>
      <c r="B1369" s="93" t="s">
        <v>8480</v>
      </c>
      <c r="C1369" s="93">
        <v>8.4</v>
      </c>
      <c r="D1369" s="93" t="s">
        <v>24</v>
      </c>
      <c r="E1369" s="93" t="s">
        <v>24</v>
      </c>
      <c r="F1369" s="93" t="s">
        <v>7070</v>
      </c>
      <c r="G1369" s="93" t="s">
        <v>8257</v>
      </c>
      <c r="H1369" s="93" t="s">
        <v>11</v>
      </c>
      <c r="I1369" s="93" t="s">
        <v>111</v>
      </c>
      <c r="J1369" s="93" t="s">
        <v>7165</v>
      </c>
      <c r="K1369" s="93">
        <v>90</v>
      </c>
      <c r="L1369" s="93">
        <v>0.09</v>
      </c>
      <c r="M1369" s="93" t="s">
        <v>113</v>
      </c>
      <c r="N1369" s="93" t="s">
        <v>111</v>
      </c>
      <c r="O1369" s="93" t="s">
        <v>111</v>
      </c>
      <c r="P1369" s="93" t="s">
        <v>111</v>
      </c>
      <c r="Q1369" s="93" t="s">
        <v>121</v>
      </c>
      <c r="R1369" s="93" t="s">
        <v>20</v>
      </c>
      <c r="S1369" s="93" t="s">
        <v>115</v>
      </c>
      <c r="T1369" s="93" t="s">
        <v>116</v>
      </c>
      <c r="U1369" s="94">
        <v>44642.469444444447</v>
      </c>
      <c r="V1369" s="93" t="s">
        <v>8481</v>
      </c>
      <c r="W1369" s="93" t="s">
        <v>9</v>
      </c>
    </row>
    <row r="1370" spans="1:23" x14ac:dyDescent="0.15">
      <c r="A1370" s="93" t="s">
        <v>8482</v>
      </c>
      <c r="B1370" s="93" t="s">
        <v>8483</v>
      </c>
      <c r="C1370" s="93">
        <v>8.4</v>
      </c>
      <c r="D1370" s="93" t="s">
        <v>9</v>
      </c>
      <c r="E1370" s="93" t="s">
        <v>24</v>
      </c>
      <c r="F1370" s="93" t="s">
        <v>7070</v>
      </c>
      <c r="G1370" s="93" t="s">
        <v>8257</v>
      </c>
      <c r="H1370" s="93" t="s">
        <v>11</v>
      </c>
      <c r="I1370" s="93" t="s">
        <v>111</v>
      </c>
      <c r="J1370" s="93" t="s">
        <v>7165</v>
      </c>
      <c r="K1370" s="93">
        <v>90</v>
      </c>
      <c r="L1370" s="93">
        <v>0.09</v>
      </c>
      <c r="M1370" s="93" t="s">
        <v>113</v>
      </c>
      <c r="N1370" s="93" t="s">
        <v>111</v>
      </c>
      <c r="O1370" s="93" t="s">
        <v>111</v>
      </c>
      <c r="P1370" s="93" t="s">
        <v>111</v>
      </c>
      <c r="Q1370" s="93" t="s">
        <v>121</v>
      </c>
      <c r="R1370" s="93" t="s">
        <v>20</v>
      </c>
      <c r="S1370" s="93" t="s">
        <v>115</v>
      </c>
      <c r="T1370" s="93" t="s">
        <v>116</v>
      </c>
      <c r="U1370" s="94">
        <v>44642.518055555556</v>
      </c>
      <c r="V1370" s="93" t="s">
        <v>8478</v>
      </c>
      <c r="W1370" s="93" t="s">
        <v>9</v>
      </c>
    </row>
    <row r="1371" spans="1:23" x14ac:dyDescent="0.15">
      <c r="A1371" s="93" t="s">
        <v>8484</v>
      </c>
      <c r="B1371" s="93" t="s">
        <v>8485</v>
      </c>
      <c r="C1371" s="93">
        <v>8.4</v>
      </c>
      <c r="D1371" s="93" t="s">
        <v>9</v>
      </c>
      <c r="E1371" s="93" t="s">
        <v>24</v>
      </c>
      <c r="F1371" s="93" t="s">
        <v>7070</v>
      </c>
      <c r="G1371" s="93" t="s">
        <v>8257</v>
      </c>
      <c r="H1371" s="93" t="s">
        <v>11</v>
      </c>
      <c r="I1371" s="93" t="s">
        <v>111</v>
      </c>
      <c r="J1371" s="93" t="s">
        <v>7165</v>
      </c>
      <c r="K1371" s="93">
        <v>90</v>
      </c>
      <c r="L1371" s="93">
        <v>0.09</v>
      </c>
      <c r="M1371" s="93" t="s">
        <v>113</v>
      </c>
      <c r="N1371" s="93" t="s">
        <v>111</v>
      </c>
      <c r="O1371" s="93" t="s">
        <v>111</v>
      </c>
      <c r="P1371" s="93" t="s">
        <v>111</v>
      </c>
      <c r="Q1371" s="93" t="s">
        <v>121</v>
      </c>
      <c r="R1371" s="93" t="s">
        <v>20</v>
      </c>
      <c r="S1371" s="93" t="s">
        <v>115</v>
      </c>
      <c r="T1371" s="93" t="s">
        <v>116</v>
      </c>
      <c r="U1371" s="94">
        <v>44642.540972222225</v>
      </c>
      <c r="V1371" s="93" t="s">
        <v>8481</v>
      </c>
      <c r="W1371" s="93" t="s">
        <v>9</v>
      </c>
    </row>
    <row r="1372" spans="1:23" x14ac:dyDescent="0.15">
      <c r="A1372" s="93" t="s">
        <v>8486</v>
      </c>
      <c r="B1372" s="93" t="s">
        <v>8487</v>
      </c>
      <c r="C1372" s="93">
        <v>8.4</v>
      </c>
      <c r="D1372" s="93" t="s">
        <v>9</v>
      </c>
      <c r="E1372" s="93" t="s">
        <v>24</v>
      </c>
      <c r="F1372" s="93" t="s">
        <v>7070</v>
      </c>
      <c r="G1372" s="93" t="s">
        <v>8257</v>
      </c>
      <c r="H1372" s="93" t="s">
        <v>11</v>
      </c>
      <c r="I1372" s="93" t="s">
        <v>111</v>
      </c>
      <c r="J1372" s="93" t="s">
        <v>7165</v>
      </c>
      <c r="K1372" s="93">
        <v>90</v>
      </c>
      <c r="L1372" s="93">
        <v>0.08</v>
      </c>
      <c r="M1372" s="93" t="s">
        <v>113</v>
      </c>
      <c r="N1372" s="93" t="s">
        <v>111</v>
      </c>
      <c r="O1372" s="93" t="s">
        <v>111</v>
      </c>
      <c r="P1372" s="93" t="s">
        <v>111</v>
      </c>
      <c r="Q1372" s="93" t="s">
        <v>121</v>
      </c>
      <c r="R1372" s="93" t="s">
        <v>20</v>
      </c>
      <c r="S1372" s="93" t="s">
        <v>115</v>
      </c>
      <c r="T1372" s="93" t="s">
        <v>116</v>
      </c>
      <c r="U1372" s="94">
        <v>44642.540972222225</v>
      </c>
      <c r="V1372" s="93" t="s">
        <v>8478</v>
      </c>
      <c r="W1372" s="93" t="s">
        <v>9</v>
      </c>
    </row>
    <row r="1373" spans="1:23" x14ac:dyDescent="0.15">
      <c r="A1373" s="93" t="s">
        <v>8488</v>
      </c>
      <c r="B1373" s="93" t="s">
        <v>8489</v>
      </c>
      <c r="C1373" s="93">
        <v>4.8</v>
      </c>
      <c r="D1373" s="93" t="s">
        <v>24</v>
      </c>
      <c r="E1373" s="93" t="s">
        <v>24</v>
      </c>
      <c r="F1373" s="93" t="s">
        <v>7070</v>
      </c>
      <c r="G1373" s="93" t="s">
        <v>7071</v>
      </c>
      <c r="H1373" s="93" t="s">
        <v>11</v>
      </c>
      <c r="I1373" s="93" t="s">
        <v>111</v>
      </c>
      <c r="J1373" s="93" t="s">
        <v>7165</v>
      </c>
      <c r="K1373" s="93">
        <v>90</v>
      </c>
      <c r="L1373" s="93" t="s">
        <v>111</v>
      </c>
      <c r="M1373" s="93" t="s">
        <v>111</v>
      </c>
      <c r="N1373" s="93" t="s">
        <v>111</v>
      </c>
      <c r="O1373" s="93" t="s">
        <v>111</v>
      </c>
      <c r="P1373" s="93" t="s">
        <v>111</v>
      </c>
      <c r="Q1373" s="93" t="s">
        <v>121</v>
      </c>
      <c r="R1373" s="93" t="s">
        <v>20</v>
      </c>
      <c r="S1373" s="93" t="s">
        <v>115</v>
      </c>
      <c r="T1373" s="93" t="s">
        <v>395</v>
      </c>
      <c r="U1373" s="94">
        <v>44642.451388888891</v>
      </c>
      <c r="V1373" s="93" t="s">
        <v>8478</v>
      </c>
      <c r="W1373" s="93" t="s">
        <v>9</v>
      </c>
    </row>
    <row r="1374" spans="1:23" x14ac:dyDescent="0.15">
      <c r="A1374" s="93" t="s">
        <v>8490</v>
      </c>
      <c r="B1374" s="93" t="s">
        <v>8491</v>
      </c>
      <c r="C1374" s="93">
        <v>8.4</v>
      </c>
      <c r="D1374" s="93" t="s">
        <v>9</v>
      </c>
      <c r="E1374" s="93" t="s">
        <v>24</v>
      </c>
      <c r="F1374" s="93" t="s">
        <v>7070</v>
      </c>
      <c r="G1374" s="93" t="s">
        <v>8257</v>
      </c>
      <c r="H1374" s="93" t="s">
        <v>11</v>
      </c>
      <c r="I1374" s="93" t="s">
        <v>111</v>
      </c>
      <c r="J1374" s="93" t="s">
        <v>7165</v>
      </c>
      <c r="K1374" s="93">
        <v>90</v>
      </c>
      <c r="L1374" s="93">
        <v>0.08</v>
      </c>
      <c r="M1374" s="93" t="s">
        <v>113</v>
      </c>
      <c r="N1374" s="93" t="s">
        <v>111</v>
      </c>
      <c r="O1374" s="93" t="s">
        <v>111</v>
      </c>
      <c r="P1374" s="93" t="s">
        <v>111</v>
      </c>
      <c r="Q1374" s="93" t="s">
        <v>121</v>
      </c>
      <c r="R1374" s="93" t="s">
        <v>20</v>
      </c>
      <c r="S1374" s="93" t="s">
        <v>115</v>
      </c>
      <c r="T1374" s="93" t="s">
        <v>116</v>
      </c>
      <c r="U1374" s="94">
        <v>44642.540277777778</v>
      </c>
      <c r="V1374" s="93" t="s">
        <v>8481</v>
      </c>
      <c r="W1374" s="93" t="s">
        <v>9</v>
      </c>
    </row>
    <row r="1375" spans="1:23" x14ac:dyDescent="0.15">
      <c r="A1375" s="93" t="s">
        <v>8492</v>
      </c>
      <c r="B1375" s="93" t="s">
        <v>8493</v>
      </c>
      <c r="C1375" s="93">
        <v>8.4</v>
      </c>
      <c r="D1375" s="93" t="s">
        <v>9</v>
      </c>
      <c r="E1375" s="93" t="s">
        <v>24</v>
      </c>
      <c r="F1375" s="93" t="s">
        <v>7070</v>
      </c>
      <c r="G1375" s="93" t="s">
        <v>8257</v>
      </c>
      <c r="H1375" s="93" t="s">
        <v>11</v>
      </c>
      <c r="I1375" s="93" t="s">
        <v>111</v>
      </c>
      <c r="J1375" s="93" t="s">
        <v>7165</v>
      </c>
      <c r="K1375" s="93">
        <v>90</v>
      </c>
      <c r="L1375" s="93">
        <v>0.09</v>
      </c>
      <c r="M1375" s="93" t="s">
        <v>113</v>
      </c>
      <c r="N1375" s="93" t="s">
        <v>111</v>
      </c>
      <c r="O1375" s="93" t="s">
        <v>111</v>
      </c>
      <c r="P1375" s="93" t="s">
        <v>111</v>
      </c>
      <c r="Q1375" s="93" t="s">
        <v>121</v>
      </c>
      <c r="R1375" s="93" t="s">
        <v>20</v>
      </c>
      <c r="S1375" s="93" t="s">
        <v>115</v>
      </c>
      <c r="T1375" s="93" t="s">
        <v>116</v>
      </c>
      <c r="U1375" s="94">
        <v>44642.595138888886</v>
      </c>
      <c r="V1375" s="93" t="s">
        <v>8494</v>
      </c>
      <c r="W1375" s="93" t="s">
        <v>9</v>
      </c>
    </row>
    <row r="1376" spans="1:23" x14ac:dyDescent="0.15">
      <c r="A1376" s="93" t="s">
        <v>8495</v>
      </c>
      <c r="B1376" s="93" t="s">
        <v>8496</v>
      </c>
      <c r="C1376" s="93">
        <v>20.7</v>
      </c>
      <c r="D1376" s="93" t="s">
        <v>9</v>
      </c>
      <c r="E1376" s="93" t="s">
        <v>24</v>
      </c>
      <c r="F1376" s="93" t="s">
        <v>7070</v>
      </c>
      <c r="G1376" s="93" t="s">
        <v>8257</v>
      </c>
      <c r="H1376" s="93" t="s">
        <v>11</v>
      </c>
      <c r="I1376" s="93" t="s">
        <v>111</v>
      </c>
      <c r="J1376" s="93" t="s">
        <v>7165</v>
      </c>
      <c r="K1376" s="93">
        <v>90</v>
      </c>
      <c r="L1376" s="93">
        <v>0.2</v>
      </c>
      <c r="M1376" s="93" t="s">
        <v>113</v>
      </c>
      <c r="N1376" s="93" t="s">
        <v>111</v>
      </c>
      <c r="O1376" s="93" t="s">
        <v>111</v>
      </c>
      <c r="P1376" s="93" t="s">
        <v>111</v>
      </c>
      <c r="Q1376" s="93" t="s">
        <v>121</v>
      </c>
      <c r="R1376" s="93" t="s">
        <v>20</v>
      </c>
      <c r="S1376" s="93" t="s">
        <v>115</v>
      </c>
      <c r="T1376" s="93" t="s">
        <v>116</v>
      </c>
      <c r="U1376" s="94">
        <v>44642.45208333333</v>
      </c>
      <c r="V1376" s="93" t="s">
        <v>7156</v>
      </c>
      <c r="W1376" s="93" t="s">
        <v>9</v>
      </c>
    </row>
    <row r="1377" spans="1:23" x14ac:dyDescent="0.15">
      <c r="A1377" s="93" t="s">
        <v>8497</v>
      </c>
      <c r="B1377" s="93" t="s">
        <v>8498</v>
      </c>
      <c r="C1377" s="93">
        <v>7.2</v>
      </c>
      <c r="D1377" s="93" t="s">
        <v>9</v>
      </c>
      <c r="E1377" s="93" t="s">
        <v>24</v>
      </c>
      <c r="F1377" s="93" t="s">
        <v>7070</v>
      </c>
      <c r="G1377" s="93" t="s">
        <v>8257</v>
      </c>
      <c r="H1377" s="93" t="s">
        <v>11</v>
      </c>
      <c r="I1377" s="93" t="s">
        <v>111</v>
      </c>
      <c r="J1377" s="93" t="s">
        <v>7165</v>
      </c>
      <c r="K1377" s="93">
        <v>90</v>
      </c>
      <c r="L1377" s="93">
        <v>0.06</v>
      </c>
      <c r="M1377" s="93" t="s">
        <v>113</v>
      </c>
      <c r="N1377" s="93" t="s">
        <v>111</v>
      </c>
      <c r="O1377" s="93" t="s">
        <v>111</v>
      </c>
      <c r="P1377" s="93" t="s">
        <v>111</v>
      </c>
      <c r="Q1377" s="93" t="s">
        <v>121</v>
      </c>
      <c r="R1377" s="93" t="s">
        <v>20</v>
      </c>
      <c r="S1377" s="93" t="s">
        <v>115</v>
      </c>
      <c r="T1377" s="93" t="s">
        <v>116</v>
      </c>
      <c r="U1377" s="94">
        <v>44642.540277777778</v>
      </c>
      <c r="V1377" s="93" t="s">
        <v>8478</v>
      </c>
      <c r="W1377" s="93" t="s">
        <v>9</v>
      </c>
    </row>
    <row r="1378" spans="1:23" x14ac:dyDescent="0.15">
      <c r="A1378" s="93" t="s">
        <v>8499</v>
      </c>
      <c r="B1378" s="93" t="s">
        <v>8500</v>
      </c>
      <c r="C1378" s="93">
        <v>4.8</v>
      </c>
      <c r="D1378" s="93" t="s">
        <v>9</v>
      </c>
      <c r="E1378" s="93" t="s">
        <v>24</v>
      </c>
      <c r="F1378" s="93" t="s">
        <v>7070</v>
      </c>
      <c r="G1378" s="93" t="s">
        <v>8257</v>
      </c>
      <c r="H1378" s="93" t="s">
        <v>11</v>
      </c>
      <c r="I1378" s="93" t="s">
        <v>111</v>
      </c>
      <c r="J1378" s="93" t="s">
        <v>7165</v>
      </c>
      <c r="K1378" s="93">
        <v>90</v>
      </c>
      <c r="L1378" s="93">
        <v>0.06</v>
      </c>
      <c r="M1378" s="93" t="s">
        <v>113</v>
      </c>
      <c r="N1378" s="93" t="s">
        <v>111</v>
      </c>
      <c r="O1378" s="93" t="s">
        <v>111</v>
      </c>
      <c r="P1378" s="93" t="s">
        <v>111</v>
      </c>
      <c r="Q1378" s="93" t="s">
        <v>121</v>
      </c>
      <c r="R1378" s="93" t="s">
        <v>20</v>
      </c>
      <c r="S1378" s="93" t="s">
        <v>115</v>
      </c>
      <c r="T1378" s="93" t="s">
        <v>116</v>
      </c>
      <c r="U1378" s="94">
        <v>44642.518750000003</v>
      </c>
      <c r="V1378" s="93" t="s">
        <v>8481</v>
      </c>
      <c r="W1378" s="93" t="s">
        <v>9</v>
      </c>
    </row>
    <row r="1379" spans="1:23" x14ac:dyDescent="0.15">
      <c r="A1379" s="93" t="s">
        <v>8501</v>
      </c>
      <c r="B1379" s="93" t="s">
        <v>8502</v>
      </c>
      <c r="C1379" s="93">
        <v>4.8</v>
      </c>
      <c r="D1379" s="93" t="s">
        <v>9</v>
      </c>
      <c r="E1379" s="93" t="s">
        <v>24</v>
      </c>
      <c r="F1379" s="93" t="s">
        <v>7070</v>
      </c>
      <c r="G1379" s="93" t="s">
        <v>8257</v>
      </c>
      <c r="H1379" s="93" t="s">
        <v>11</v>
      </c>
      <c r="I1379" s="93" t="s">
        <v>111</v>
      </c>
      <c r="J1379" s="93" t="s">
        <v>7165</v>
      </c>
      <c r="K1379" s="93">
        <v>90</v>
      </c>
      <c r="L1379" s="93">
        <v>0.05</v>
      </c>
      <c r="M1379" s="93" t="s">
        <v>113</v>
      </c>
      <c r="N1379" s="93" t="s">
        <v>111</v>
      </c>
      <c r="O1379" s="93" t="s">
        <v>111</v>
      </c>
      <c r="P1379" s="93" t="s">
        <v>111</v>
      </c>
      <c r="Q1379" s="93" t="s">
        <v>121</v>
      </c>
      <c r="R1379" s="93" t="s">
        <v>20</v>
      </c>
      <c r="S1379" s="93" t="s">
        <v>115</v>
      </c>
      <c r="T1379" s="93" t="s">
        <v>116</v>
      </c>
      <c r="U1379" s="94">
        <v>44642.430555555555</v>
      </c>
      <c r="V1379" s="93" t="s">
        <v>8478</v>
      </c>
      <c r="W1379" s="93" t="s">
        <v>9</v>
      </c>
    </row>
    <row r="1380" spans="1:23" x14ac:dyDescent="0.15">
      <c r="A1380" s="93" t="s">
        <v>8503</v>
      </c>
      <c r="B1380" s="93" t="s">
        <v>8504</v>
      </c>
      <c r="C1380" s="93">
        <v>4.8</v>
      </c>
      <c r="D1380" s="93" t="s">
        <v>9</v>
      </c>
      <c r="E1380" s="93" t="s">
        <v>24</v>
      </c>
      <c r="F1380" s="93" t="s">
        <v>7070</v>
      </c>
      <c r="G1380" s="93" t="s">
        <v>8257</v>
      </c>
      <c r="H1380" s="93" t="s">
        <v>11</v>
      </c>
      <c r="I1380" s="93" t="s">
        <v>111</v>
      </c>
      <c r="J1380" s="93" t="s">
        <v>7165</v>
      </c>
      <c r="K1380" s="93">
        <v>90</v>
      </c>
      <c r="L1380" s="93">
        <v>0.06</v>
      </c>
      <c r="M1380" s="93" t="s">
        <v>113</v>
      </c>
      <c r="N1380" s="93" t="s">
        <v>111</v>
      </c>
      <c r="O1380" s="93" t="s">
        <v>111</v>
      </c>
      <c r="P1380" s="93" t="s">
        <v>111</v>
      </c>
      <c r="Q1380" s="93" t="s">
        <v>121</v>
      </c>
      <c r="R1380" s="93" t="s">
        <v>20</v>
      </c>
      <c r="S1380" s="93" t="s">
        <v>115</v>
      </c>
      <c r="T1380" s="93" t="s">
        <v>116</v>
      </c>
      <c r="U1380" s="94">
        <v>44642.563194444447</v>
      </c>
      <c r="V1380" s="93" t="s">
        <v>8481</v>
      </c>
      <c r="W1380" s="93" t="s">
        <v>9</v>
      </c>
    </row>
    <row r="1381" spans="1:23" x14ac:dyDescent="0.15">
      <c r="A1381" s="93" t="s">
        <v>8505</v>
      </c>
      <c r="B1381" s="93" t="s">
        <v>8506</v>
      </c>
      <c r="C1381" s="93">
        <v>4.8</v>
      </c>
      <c r="D1381" s="93" t="s">
        <v>9</v>
      </c>
      <c r="E1381" s="93" t="s">
        <v>24</v>
      </c>
      <c r="F1381" s="93" t="s">
        <v>7070</v>
      </c>
      <c r="G1381" s="93" t="s">
        <v>8257</v>
      </c>
      <c r="H1381" s="93" t="s">
        <v>11</v>
      </c>
      <c r="I1381" s="93" t="s">
        <v>111</v>
      </c>
      <c r="J1381" s="93" t="s">
        <v>7165</v>
      </c>
      <c r="K1381" s="93">
        <v>90</v>
      </c>
      <c r="L1381" s="93">
        <v>0.05</v>
      </c>
      <c r="M1381" s="93" t="s">
        <v>113</v>
      </c>
      <c r="N1381" s="93" t="s">
        <v>111</v>
      </c>
      <c r="O1381" s="93" t="s">
        <v>111</v>
      </c>
      <c r="P1381" s="93" t="s">
        <v>111</v>
      </c>
      <c r="Q1381" s="93" t="s">
        <v>121</v>
      </c>
      <c r="R1381" s="93" t="s">
        <v>20</v>
      </c>
      <c r="S1381" s="93" t="s">
        <v>115</v>
      </c>
      <c r="T1381" s="93" t="s">
        <v>116</v>
      </c>
      <c r="U1381" s="94">
        <v>44642.595138888886</v>
      </c>
      <c r="V1381" s="93" t="s">
        <v>8494</v>
      </c>
      <c r="W1381" s="93" t="s">
        <v>9</v>
      </c>
    </row>
    <row r="1382" spans="1:23" x14ac:dyDescent="0.15">
      <c r="A1382" s="93" t="s">
        <v>8507</v>
      </c>
      <c r="B1382" s="93" t="s">
        <v>8508</v>
      </c>
      <c r="C1382" s="93">
        <v>2634</v>
      </c>
      <c r="D1382" s="93" t="s">
        <v>9</v>
      </c>
      <c r="E1382" s="93" t="s">
        <v>9</v>
      </c>
      <c r="F1382" s="93" t="s">
        <v>8468</v>
      </c>
      <c r="G1382" s="93" t="s">
        <v>8509</v>
      </c>
      <c r="H1382" s="93" t="s">
        <v>6</v>
      </c>
      <c r="I1382" s="93" t="s">
        <v>111</v>
      </c>
      <c r="J1382" s="93" t="s">
        <v>112</v>
      </c>
      <c r="K1382" s="93">
        <v>60</v>
      </c>
      <c r="L1382" s="93">
        <v>0.9</v>
      </c>
      <c r="M1382" s="93" t="s">
        <v>113</v>
      </c>
      <c r="N1382" s="93">
        <v>8</v>
      </c>
      <c r="O1382" s="93">
        <v>25</v>
      </c>
      <c r="P1382" s="93">
        <v>28</v>
      </c>
      <c r="Q1382" s="93" t="s">
        <v>123</v>
      </c>
      <c r="R1382" s="93" t="s">
        <v>20</v>
      </c>
      <c r="S1382" s="93" t="s">
        <v>124</v>
      </c>
      <c r="T1382" s="93" t="s">
        <v>116</v>
      </c>
      <c r="U1382" s="94">
        <v>44642.513888888891</v>
      </c>
      <c r="V1382" s="93" t="s">
        <v>7072</v>
      </c>
      <c r="W1382" s="93" t="s">
        <v>9</v>
      </c>
    </row>
    <row r="1383" spans="1:23" x14ac:dyDescent="0.15">
      <c r="A1383" s="93" t="s">
        <v>8510</v>
      </c>
      <c r="B1383" s="93" t="s">
        <v>8511</v>
      </c>
      <c r="C1383" s="93">
        <v>2634</v>
      </c>
      <c r="D1383" s="93" t="s">
        <v>9</v>
      </c>
      <c r="E1383" s="93" t="s">
        <v>9</v>
      </c>
      <c r="F1383" s="93" t="s">
        <v>8468</v>
      </c>
      <c r="G1383" s="93" t="s">
        <v>8509</v>
      </c>
      <c r="H1383" s="93" t="s">
        <v>6</v>
      </c>
      <c r="I1383" s="93" t="s">
        <v>111</v>
      </c>
      <c r="J1383" s="93" t="s">
        <v>112</v>
      </c>
      <c r="K1383" s="93">
        <v>60</v>
      </c>
      <c r="L1383" s="93">
        <v>0.9</v>
      </c>
      <c r="M1383" s="93" t="s">
        <v>113</v>
      </c>
      <c r="N1383" s="93">
        <v>8</v>
      </c>
      <c r="O1383" s="93">
        <v>25</v>
      </c>
      <c r="P1383" s="93">
        <v>28</v>
      </c>
      <c r="Q1383" s="93" t="s">
        <v>123</v>
      </c>
      <c r="R1383" s="93" t="s">
        <v>20</v>
      </c>
      <c r="S1383" s="93" t="s">
        <v>124</v>
      </c>
      <c r="T1383" s="93" t="s">
        <v>116</v>
      </c>
      <c r="U1383" s="94">
        <v>44642.424305555556</v>
      </c>
      <c r="V1383" s="93" t="s">
        <v>7072</v>
      </c>
      <c r="W1383" s="93" t="s">
        <v>9</v>
      </c>
    </row>
    <row r="1384" spans="1:23" x14ac:dyDescent="0.15">
      <c r="A1384" s="93" t="s">
        <v>8512</v>
      </c>
      <c r="B1384" s="93" t="s">
        <v>8513</v>
      </c>
      <c r="C1384" s="93">
        <v>2634</v>
      </c>
      <c r="D1384" s="93" t="s">
        <v>9</v>
      </c>
      <c r="E1384" s="93" t="s">
        <v>9</v>
      </c>
      <c r="F1384" s="93" t="s">
        <v>8468</v>
      </c>
      <c r="G1384" s="93" t="s">
        <v>8509</v>
      </c>
      <c r="H1384" s="93" t="s">
        <v>6</v>
      </c>
      <c r="I1384" s="93" t="s">
        <v>111</v>
      </c>
      <c r="J1384" s="93" t="s">
        <v>112</v>
      </c>
      <c r="K1384" s="93">
        <v>60</v>
      </c>
      <c r="L1384" s="93">
        <v>0.9</v>
      </c>
      <c r="M1384" s="93" t="s">
        <v>113</v>
      </c>
      <c r="N1384" s="93">
        <v>8</v>
      </c>
      <c r="O1384" s="93">
        <v>25</v>
      </c>
      <c r="P1384" s="93">
        <v>28</v>
      </c>
      <c r="Q1384" s="93" t="s">
        <v>123</v>
      </c>
      <c r="R1384" s="93" t="s">
        <v>20</v>
      </c>
      <c r="S1384" s="93" t="s">
        <v>124</v>
      </c>
      <c r="T1384" s="93" t="s">
        <v>116</v>
      </c>
      <c r="U1384" s="94">
        <v>44642.424305555556</v>
      </c>
      <c r="V1384" s="93" t="s">
        <v>7072</v>
      </c>
      <c r="W1384" s="93" t="s">
        <v>9</v>
      </c>
    </row>
    <row r="1385" spans="1:23" x14ac:dyDescent="0.15">
      <c r="A1385" s="93" t="s">
        <v>8514</v>
      </c>
      <c r="B1385" s="93" t="s">
        <v>8515</v>
      </c>
      <c r="C1385" s="93">
        <v>2792.04</v>
      </c>
      <c r="D1385" s="93" t="s">
        <v>9</v>
      </c>
      <c r="E1385" s="93" t="s">
        <v>9</v>
      </c>
      <c r="F1385" s="93" t="s">
        <v>8468</v>
      </c>
      <c r="G1385" s="93" t="s">
        <v>8509</v>
      </c>
      <c r="H1385" s="93" t="s">
        <v>6</v>
      </c>
      <c r="I1385" s="93" t="s">
        <v>111</v>
      </c>
      <c r="J1385" s="93" t="s">
        <v>112</v>
      </c>
      <c r="K1385" s="93">
        <v>60</v>
      </c>
      <c r="L1385" s="93">
        <v>0.9</v>
      </c>
      <c r="M1385" s="93" t="s">
        <v>113</v>
      </c>
      <c r="N1385" s="93">
        <v>8</v>
      </c>
      <c r="O1385" s="93">
        <v>25</v>
      </c>
      <c r="P1385" s="93">
        <v>28</v>
      </c>
      <c r="Q1385" s="93" t="s">
        <v>123</v>
      </c>
      <c r="R1385" s="93" t="s">
        <v>20</v>
      </c>
      <c r="S1385" s="93" t="s">
        <v>124</v>
      </c>
      <c r="T1385" s="93" t="s">
        <v>116</v>
      </c>
      <c r="U1385" s="94">
        <v>44642.424305555556</v>
      </c>
      <c r="V1385" s="93" t="s">
        <v>7072</v>
      </c>
      <c r="W1385" s="93" t="s">
        <v>9</v>
      </c>
    </row>
    <row r="1386" spans="1:23" x14ac:dyDescent="0.15">
      <c r="A1386" s="93" t="s">
        <v>8516</v>
      </c>
      <c r="B1386" s="93" t="s">
        <v>8517</v>
      </c>
      <c r="C1386" s="93">
        <v>834</v>
      </c>
      <c r="D1386" s="93" t="s">
        <v>9</v>
      </c>
      <c r="E1386" s="93" t="s">
        <v>9</v>
      </c>
      <c r="F1386" s="93" t="s">
        <v>8468</v>
      </c>
      <c r="G1386" s="93" t="s">
        <v>8518</v>
      </c>
      <c r="H1386" s="93" t="s">
        <v>6</v>
      </c>
      <c r="I1386" s="93" t="s">
        <v>111</v>
      </c>
      <c r="J1386" s="93" t="s">
        <v>112</v>
      </c>
      <c r="K1386" s="93">
        <v>60</v>
      </c>
      <c r="L1386" s="93">
        <v>1.4</v>
      </c>
      <c r="M1386" s="93" t="s">
        <v>113</v>
      </c>
      <c r="N1386" s="93">
        <v>8</v>
      </c>
      <c r="O1386" s="93">
        <v>33</v>
      </c>
      <c r="P1386" s="93">
        <v>25</v>
      </c>
      <c r="Q1386" s="93" t="s">
        <v>123</v>
      </c>
      <c r="R1386" s="93" t="s">
        <v>20</v>
      </c>
      <c r="S1386" s="93" t="s">
        <v>124</v>
      </c>
      <c r="T1386" s="93" t="s">
        <v>116</v>
      </c>
      <c r="U1386" s="94">
        <v>44642.590277777781</v>
      </c>
      <c r="V1386" s="93" t="s">
        <v>7072</v>
      </c>
      <c r="W1386" s="93" t="s">
        <v>9</v>
      </c>
    </row>
    <row r="1387" spans="1:23" x14ac:dyDescent="0.15">
      <c r="A1387" s="93" t="s">
        <v>8519</v>
      </c>
      <c r="B1387" s="93" t="s">
        <v>8520</v>
      </c>
      <c r="C1387" s="93">
        <v>834</v>
      </c>
      <c r="D1387" s="93" t="s">
        <v>9</v>
      </c>
      <c r="E1387" s="93" t="s">
        <v>9</v>
      </c>
      <c r="F1387" s="93" t="s">
        <v>8468</v>
      </c>
      <c r="G1387" s="93" t="s">
        <v>8518</v>
      </c>
      <c r="H1387" s="93" t="s">
        <v>6</v>
      </c>
      <c r="I1387" s="93" t="s">
        <v>111</v>
      </c>
      <c r="J1387" s="93" t="s">
        <v>112</v>
      </c>
      <c r="K1387" s="93">
        <v>60</v>
      </c>
      <c r="L1387" s="93">
        <v>1.4</v>
      </c>
      <c r="M1387" s="93" t="s">
        <v>113</v>
      </c>
      <c r="N1387" s="93">
        <v>8</v>
      </c>
      <c r="O1387" s="93">
        <v>33</v>
      </c>
      <c r="P1387" s="93">
        <v>25</v>
      </c>
      <c r="Q1387" s="93" t="s">
        <v>123</v>
      </c>
      <c r="R1387" s="93" t="s">
        <v>20</v>
      </c>
      <c r="S1387" s="93" t="s">
        <v>124</v>
      </c>
      <c r="T1387" s="93" t="s">
        <v>116</v>
      </c>
      <c r="U1387" s="94">
        <v>44642.490277777775</v>
      </c>
      <c r="V1387" s="93" t="s">
        <v>7072</v>
      </c>
      <c r="W1387" s="93" t="s">
        <v>9</v>
      </c>
    </row>
    <row r="1388" spans="1:23" x14ac:dyDescent="0.15">
      <c r="A1388" s="93" t="s">
        <v>8521</v>
      </c>
      <c r="B1388" s="93" t="s">
        <v>8522</v>
      </c>
      <c r="C1388" s="93">
        <v>834</v>
      </c>
      <c r="D1388" s="93" t="s">
        <v>9</v>
      </c>
      <c r="E1388" s="93" t="s">
        <v>9</v>
      </c>
      <c r="F1388" s="93" t="s">
        <v>8468</v>
      </c>
      <c r="G1388" s="93" t="s">
        <v>8518</v>
      </c>
      <c r="H1388" s="93" t="s">
        <v>6</v>
      </c>
      <c r="I1388" s="93" t="s">
        <v>111</v>
      </c>
      <c r="J1388" s="93" t="s">
        <v>112</v>
      </c>
      <c r="K1388" s="93">
        <v>60</v>
      </c>
      <c r="L1388" s="93">
        <v>1.4</v>
      </c>
      <c r="M1388" s="93" t="s">
        <v>113</v>
      </c>
      <c r="N1388" s="93">
        <v>8</v>
      </c>
      <c r="O1388" s="93">
        <v>33</v>
      </c>
      <c r="P1388" s="93">
        <v>25</v>
      </c>
      <c r="Q1388" s="93" t="s">
        <v>123</v>
      </c>
      <c r="R1388" s="93" t="s">
        <v>20</v>
      </c>
      <c r="S1388" s="93" t="s">
        <v>124</v>
      </c>
      <c r="T1388" s="93" t="s">
        <v>116</v>
      </c>
      <c r="U1388" s="94">
        <v>44642.424305555556</v>
      </c>
      <c r="V1388" s="93" t="s">
        <v>7072</v>
      </c>
      <c r="W1388" s="93" t="s">
        <v>9</v>
      </c>
    </row>
    <row r="1389" spans="1:23" x14ac:dyDescent="0.15">
      <c r="A1389" s="93" t="s">
        <v>8523</v>
      </c>
      <c r="B1389" s="93" t="s">
        <v>8524</v>
      </c>
      <c r="C1389" s="93">
        <v>884.04</v>
      </c>
      <c r="D1389" s="93" t="s">
        <v>9</v>
      </c>
      <c r="E1389" s="93" t="s">
        <v>9</v>
      </c>
      <c r="F1389" s="93" t="s">
        <v>8468</v>
      </c>
      <c r="G1389" s="93" t="s">
        <v>8518</v>
      </c>
      <c r="H1389" s="93" t="s">
        <v>6</v>
      </c>
      <c r="I1389" s="93" t="s">
        <v>111</v>
      </c>
      <c r="J1389" s="93" t="s">
        <v>112</v>
      </c>
      <c r="K1389" s="93">
        <v>60</v>
      </c>
      <c r="L1389" s="93">
        <v>1.4</v>
      </c>
      <c r="M1389" s="93" t="s">
        <v>113</v>
      </c>
      <c r="N1389" s="93">
        <v>8</v>
      </c>
      <c r="O1389" s="93">
        <v>33</v>
      </c>
      <c r="P1389" s="93">
        <v>25</v>
      </c>
      <c r="Q1389" s="93" t="s">
        <v>123</v>
      </c>
      <c r="R1389" s="93" t="s">
        <v>20</v>
      </c>
      <c r="S1389" s="93" t="s">
        <v>124</v>
      </c>
      <c r="T1389" s="93" t="s">
        <v>116</v>
      </c>
      <c r="U1389" s="94">
        <v>44642.490277777775</v>
      </c>
      <c r="V1389" s="93" t="s">
        <v>7072</v>
      </c>
      <c r="W1389" s="93" t="s">
        <v>9</v>
      </c>
    </row>
    <row r="1390" spans="1:23" x14ac:dyDescent="0.15">
      <c r="A1390" s="93" t="s">
        <v>8525</v>
      </c>
      <c r="B1390" s="93" t="s">
        <v>8526</v>
      </c>
      <c r="C1390" s="93">
        <v>1314</v>
      </c>
      <c r="D1390" s="93" t="s">
        <v>9</v>
      </c>
      <c r="E1390" s="93" t="s">
        <v>9</v>
      </c>
      <c r="F1390" s="93" t="s">
        <v>8468</v>
      </c>
      <c r="G1390" s="93" t="s">
        <v>8527</v>
      </c>
      <c r="H1390" s="93" t="s">
        <v>6</v>
      </c>
      <c r="I1390" s="93" t="s">
        <v>111</v>
      </c>
      <c r="J1390" s="93" t="s">
        <v>112</v>
      </c>
      <c r="K1390" s="93">
        <v>60</v>
      </c>
      <c r="L1390" s="93">
        <v>0.9</v>
      </c>
      <c r="M1390" s="93" t="s">
        <v>113</v>
      </c>
      <c r="N1390" s="93">
        <v>8</v>
      </c>
      <c r="O1390" s="93">
        <v>25</v>
      </c>
      <c r="P1390" s="93">
        <v>28</v>
      </c>
      <c r="Q1390" s="93" t="s">
        <v>123</v>
      </c>
      <c r="R1390" s="93" t="s">
        <v>20</v>
      </c>
      <c r="S1390" s="93" t="s">
        <v>124</v>
      </c>
      <c r="T1390" s="93" t="s">
        <v>116</v>
      </c>
      <c r="U1390" s="94">
        <v>44642.590277777781</v>
      </c>
      <c r="V1390" s="93" t="s">
        <v>7072</v>
      </c>
      <c r="W1390" s="93" t="s">
        <v>9</v>
      </c>
    </row>
    <row r="1391" spans="1:23" x14ac:dyDescent="0.15">
      <c r="A1391" s="93" t="s">
        <v>8528</v>
      </c>
      <c r="B1391" s="93" t="s">
        <v>8529</v>
      </c>
      <c r="C1391" s="93">
        <v>1314</v>
      </c>
      <c r="D1391" s="93" t="s">
        <v>9</v>
      </c>
      <c r="E1391" s="93" t="s">
        <v>9</v>
      </c>
      <c r="F1391" s="93" t="s">
        <v>8468</v>
      </c>
      <c r="G1391" s="93" t="s">
        <v>8527</v>
      </c>
      <c r="H1391" s="93" t="s">
        <v>6</v>
      </c>
      <c r="I1391" s="93" t="s">
        <v>111</v>
      </c>
      <c r="J1391" s="93" t="s">
        <v>112</v>
      </c>
      <c r="K1391" s="93">
        <v>60</v>
      </c>
      <c r="L1391" s="93">
        <v>0.9</v>
      </c>
      <c r="M1391" s="93" t="s">
        <v>113</v>
      </c>
      <c r="N1391" s="93">
        <v>8</v>
      </c>
      <c r="O1391" s="93">
        <v>25</v>
      </c>
      <c r="P1391" s="93">
        <v>28</v>
      </c>
      <c r="Q1391" s="93" t="s">
        <v>123</v>
      </c>
      <c r="R1391" s="93" t="s">
        <v>20</v>
      </c>
      <c r="S1391" s="93" t="s">
        <v>124</v>
      </c>
      <c r="T1391" s="93" t="s">
        <v>116</v>
      </c>
      <c r="U1391" s="94">
        <v>44642.513194444444</v>
      </c>
      <c r="V1391" s="93" t="s">
        <v>7072</v>
      </c>
      <c r="W1391" s="93" t="s">
        <v>9</v>
      </c>
    </row>
    <row r="1392" spans="1:23" x14ac:dyDescent="0.15">
      <c r="A1392" s="93" t="s">
        <v>8530</v>
      </c>
      <c r="B1392" s="93" t="s">
        <v>8531</v>
      </c>
      <c r="C1392" s="93">
        <v>1314</v>
      </c>
      <c r="D1392" s="93" t="s">
        <v>9</v>
      </c>
      <c r="E1392" s="93" t="s">
        <v>9</v>
      </c>
      <c r="F1392" s="93" t="s">
        <v>8468</v>
      </c>
      <c r="G1392" s="93" t="s">
        <v>8527</v>
      </c>
      <c r="H1392" s="93" t="s">
        <v>6</v>
      </c>
      <c r="I1392" s="93" t="s">
        <v>111</v>
      </c>
      <c r="J1392" s="93" t="s">
        <v>112</v>
      </c>
      <c r="K1392" s="93">
        <v>60</v>
      </c>
      <c r="L1392" s="93">
        <v>0.9</v>
      </c>
      <c r="M1392" s="93" t="s">
        <v>113</v>
      </c>
      <c r="N1392" s="93">
        <v>8</v>
      </c>
      <c r="O1392" s="93">
        <v>25</v>
      </c>
      <c r="P1392" s="93">
        <v>28</v>
      </c>
      <c r="Q1392" s="93" t="s">
        <v>123</v>
      </c>
      <c r="R1392" s="93" t="s">
        <v>20</v>
      </c>
      <c r="S1392" s="93" t="s">
        <v>124</v>
      </c>
      <c r="T1392" s="93" t="s">
        <v>116</v>
      </c>
      <c r="U1392" s="94">
        <v>44642.556944444441</v>
      </c>
      <c r="V1392" s="93" t="s">
        <v>7072</v>
      </c>
      <c r="W1392" s="93" t="s">
        <v>9</v>
      </c>
    </row>
    <row r="1393" spans="1:23" x14ac:dyDescent="0.15">
      <c r="A1393" s="93" t="s">
        <v>8532</v>
      </c>
      <c r="B1393" s="93" t="s">
        <v>8533</v>
      </c>
      <c r="C1393" s="93">
        <v>1392.84</v>
      </c>
      <c r="D1393" s="93" t="s">
        <v>9</v>
      </c>
      <c r="E1393" s="93" t="s">
        <v>9</v>
      </c>
      <c r="F1393" s="93" t="s">
        <v>8468</v>
      </c>
      <c r="G1393" s="93" t="s">
        <v>8527</v>
      </c>
      <c r="H1393" s="93" t="s">
        <v>6</v>
      </c>
      <c r="I1393" s="93" t="s">
        <v>111</v>
      </c>
      <c r="J1393" s="93" t="s">
        <v>112</v>
      </c>
      <c r="K1393" s="93">
        <v>60</v>
      </c>
      <c r="L1393" s="93">
        <v>0.9</v>
      </c>
      <c r="M1393" s="93" t="s">
        <v>113</v>
      </c>
      <c r="N1393" s="93">
        <v>8</v>
      </c>
      <c r="O1393" s="93">
        <v>25</v>
      </c>
      <c r="P1393" s="93">
        <v>28</v>
      </c>
      <c r="Q1393" s="93" t="s">
        <v>123</v>
      </c>
      <c r="R1393" s="93" t="s">
        <v>20</v>
      </c>
      <c r="S1393" s="93" t="s">
        <v>124</v>
      </c>
      <c r="T1393" s="93" t="s">
        <v>116</v>
      </c>
      <c r="U1393" s="94">
        <v>44642.468055555553</v>
      </c>
      <c r="V1393" s="93" t="s">
        <v>7072</v>
      </c>
      <c r="W1393" s="93" t="s">
        <v>9</v>
      </c>
    </row>
    <row r="1394" spans="1:23" x14ac:dyDescent="0.15">
      <c r="A1394" s="93" t="s">
        <v>8534</v>
      </c>
      <c r="B1394" s="93" t="s">
        <v>8535</v>
      </c>
      <c r="C1394" s="93">
        <v>1914</v>
      </c>
      <c r="D1394" s="93" t="s">
        <v>9</v>
      </c>
      <c r="E1394" s="93" t="s">
        <v>9</v>
      </c>
      <c r="F1394" s="93" t="s">
        <v>8468</v>
      </c>
      <c r="G1394" s="93" t="s">
        <v>8536</v>
      </c>
      <c r="H1394" s="93" t="s">
        <v>6</v>
      </c>
      <c r="I1394" s="93" t="s">
        <v>111</v>
      </c>
      <c r="J1394" s="93" t="s">
        <v>112</v>
      </c>
      <c r="K1394" s="93">
        <v>60</v>
      </c>
      <c r="L1394" s="93">
        <v>1.4</v>
      </c>
      <c r="M1394" s="93" t="s">
        <v>113</v>
      </c>
      <c r="N1394" s="93">
        <v>10</v>
      </c>
      <c r="O1394" s="93">
        <v>28</v>
      </c>
      <c r="P1394" s="93">
        <v>31</v>
      </c>
      <c r="Q1394" s="93" t="s">
        <v>123</v>
      </c>
      <c r="R1394" s="93" t="s">
        <v>20</v>
      </c>
      <c r="S1394" s="93" t="s">
        <v>111</v>
      </c>
      <c r="T1394" s="93" t="s">
        <v>116</v>
      </c>
      <c r="U1394" s="94">
        <v>44642.490972222222</v>
      </c>
      <c r="V1394" s="93" t="s">
        <v>7072</v>
      </c>
      <c r="W1394" s="93" t="s">
        <v>9</v>
      </c>
    </row>
    <row r="1395" spans="1:23" x14ac:dyDescent="0.15">
      <c r="A1395" s="93" t="s">
        <v>8537</v>
      </c>
      <c r="B1395" s="93" t="s">
        <v>8538</v>
      </c>
      <c r="C1395" s="93">
        <v>1914</v>
      </c>
      <c r="D1395" s="93" t="s">
        <v>9</v>
      </c>
      <c r="E1395" s="93" t="s">
        <v>9</v>
      </c>
      <c r="F1395" s="93" t="s">
        <v>8468</v>
      </c>
      <c r="G1395" s="93" t="s">
        <v>8536</v>
      </c>
      <c r="H1395" s="93" t="s">
        <v>6</v>
      </c>
      <c r="I1395" s="93" t="s">
        <v>111</v>
      </c>
      <c r="J1395" s="93" t="s">
        <v>112</v>
      </c>
      <c r="K1395" s="93">
        <v>60</v>
      </c>
      <c r="L1395" s="93">
        <v>1.4</v>
      </c>
      <c r="M1395" s="93" t="s">
        <v>113</v>
      </c>
      <c r="N1395" s="93">
        <v>10</v>
      </c>
      <c r="O1395" s="93">
        <v>28</v>
      </c>
      <c r="P1395" s="93">
        <v>31</v>
      </c>
      <c r="Q1395" s="93" t="s">
        <v>123</v>
      </c>
      <c r="R1395" s="93" t="s">
        <v>20</v>
      </c>
      <c r="S1395" s="93" t="s">
        <v>383</v>
      </c>
      <c r="T1395" s="93" t="s">
        <v>116</v>
      </c>
      <c r="U1395" s="94">
        <v>44642.467361111114</v>
      </c>
      <c r="V1395" s="93" t="s">
        <v>7072</v>
      </c>
      <c r="W1395" s="93" t="s">
        <v>9</v>
      </c>
    </row>
    <row r="1396" spans="1:23" x14ac:dyDescent="0.15">
      <c r="A1396" s="93" t="s">
        <v>8539</v>
      </c>
      <c r="B1396" s="93" t="s">
        <v>8540</v>
      </c>
      <c r="C1396" s="93">
        <v>1914</v>
      </c>
      <c r="D1396" s="93" t="s">
        <v>9</v>
      </c>
      <c r="E1396" s="93" t="s">
        <v>9</v>
      </c>
      <c r="F1396" s="93" t="s">
        <v>8468</v>
      </c>
      <c r="G1396" s="93" t="s">
        <v>8536</v>
      </c>
      <c r="H1396" s="93" t="s">
        <v>6</v>
      </c>
      <c r="I1396" s="93" t="s">
        <v>111</v>
      </c>
      <c r="J1396" s="93" t="s">
        <v>112</v>
      </c>
      <c r="K1396" s="93">
        <v>60</v>
      </c>
      <c r="L1396" s="93">
        <v>1.4</v>
      </c>
      <c r="M1396" s="93" t="s">
        <v>113</v>
      </c>
      <c r="N1396" s="93">
        <v>10</v>
      </c>
      <c r="O1396" s="93">
        <v>28</v>
      </c>
      <c r="P1396" s="93">
        <v>31</v>
      </c>
      <c r="Q1396" s="93" t="s">
        <v>123</v>
      </c>
      <c r="R1396" s="93" t="s">
        <v>20</v>
      </c>
      <c r="S1396" s="93" t="s">
        <v>124</v>
      </c>
      <c r="T1396" s="93" t="s">
        <v>116</v>
      </c>
      <c r="U1396" s="94">
        <v>44642.468055555553</v>
      </c>
      <c r="V1396" s="93" t="s">
        <v>7072</v>
      </c>
      <c r="W1396" s="93" t="s">
        <v>9</v>
      </c>
    </row>
    <row r="1397" spans="1:23" x14ac:dyDescent="0.15">
      <c r="A1397" s="93" t="s">
        <v>8541</v>
      </c>
      <c r="B1397" s="93" t="s">
        <v>8542</v>
      </c>
      <c r="C1397" s="93">
        <v>2028.84</v>
      </c>
      <c r="D1397" s="93" t="s">
        <v>9</v>
      </c>
      <c r="E1397" s="93" t="s">
        <v>9</v>
      </c>
      <c r="F1397" s="93" t="s">
        <v>8468</v>
      </c>
      <c r="G1397" s="93" t="s">
        <v>8536</v>
      </c>
      <c r="H1397" s="93" t="s">
        <v>6</v>
      </c>
      <c r="I1397" s="93" t="s">
        <v>111</v>
      </c>
      <c r="J1397" s="93" t="s">
        <v>112</v>
      </c>
      <c r="K1397" s="93">
        <v>60</v>
      </c>
      <c r="L1397" s="93">
        <v>1.4</v>
      </c>
      <c r="M1397" s="93" t="s">
        <v>113</v>
      </c>
      <c r="N1397" s="93">
        <v>10</v>
      </c>
      <c r="O1397" s="93">
        <v>28</v>
      </c>
      <c r="P1397" s="93">
        <v>31</v>
      </c>
      <c r="Q1397" s="93" t="s">
        <v>123</v>
      </c>
      <c r="R1397" s="93" t="s">
        <v>20</v>
      </c>
      <c r="S1397" s="93" t="s">
        <v>124</v>
      </c>
      <c r="T1397" s="93" t="s">
        <v>116</v>
      </c>
      <c r="U1397" s="94">
        <v>44642.490277777775</v>
      </c>
      <c r="V1397" s="93" t="s">
        <v>7072</v>
      </c>
      <c r="W1397" s="93" t="s">
        <v>9</v>
      </c>
    </row>
    <row r="1398" spans="1:23" x14ac:dyDescent="0.15">
      <c r="A1398" s="93" t="s">
        <v>8543</v>
      </c>
      <c r="B1398" s="93" t="s">
        <v>8544</v>
      </c>
      <c r="C1398" s="93">
        <v>2274</v>
      </c>
      <c r="D1398" s="93" t="s">
        <v>9</v>
      </c>
      <c r="E1398" s="93" t="s">
        <v>9</v>
      </c>
      <c r="F1398" s="93" t="s">
        <v>8468</v>
      </c>
      <c r="G1398" s="93" t="s">
        <v>8545</v>
      </c>
      <c r="H1398" s="93" t="s">
        <v>6</v>
      </c>
      <c r="I1398" s="93" t="s">
        <v>111</v>
      </c>
      <c r="J1398" s="93" t="s">
        <v>112</v>
      </c>
      <c r="K1398" s="93">
        <v>60</v>
      </c>
      <c r="L1398" s="93">
        <v>1.4</v>
      </c>
      <c r="M1398" s="93" t="s">
        <v>113</v>
      </c>
      <c r="N1398" s="93">
        <v>10</v>
      </c>
      <c r="O1398" s="93">
        <v>28</v>
      </c>
      <c r="P1398" s="93">
        <v>31</v>
      </c>
      <c r="Q1398" s="93" t="s">
        <v>123</v>
      </c>
      <c r="R1398" s="93" t="s">
        <v>20</v>
      </c>
      <c r="S1398" s="93" t="s">
        <v>124</v>
      </c>
      <c r="T1398" s="93" t="s">
        <v>116</v>
      </c>
      <c r="U1398" s="94">
        <v>44642.490972222222</v>
      </c>
      <c r="V1398" s="93" t="s">
        <v>7072</v>
      </c>
      <c r="W1398" s="93" t="s">
        <v>9</v>
      </c>
    </row>
    <row r="1399" spans="1:23" x14ac:dyDescent="0.15">
      <c r="A1399" s="93" t="s">
        <v>8546</v>
      </c>
      <c r="B1399" s="93" t="s">
        <v>8547</v>
      </c>
      <c r="C1399" s="93">
        <v>2274</v>
      </c>
      <c r="D1399" s="93" t="s">
        <v>9</v>
      </c>
      <c r="E1399" s="93" t="s">
        <v>9</v>
      </c>
      <c r="F1399" s="93" t="s">
        <v>8468</v>
      </c>
      <c r="G1399" s="93" t="s">
        <v>8545</v>
      </c>
      <c r="H1399" s="93" t="s">
        <v>6</v>
      </c>
      <c r="I1399" s="93" t="s">
        <v>111</v>
      </c>
      <c r="J1399" s="93" t="s">
        <v>112</v>
      </c>
      <c r="K1399" s="93">
        <v>60</v>
      </c>
      <c r="L1399" s="93">
        <v>1.4</v>
      </c>
      <c r="M1399" s="93" t="s">
        <v>113</v>
      </c>
      <c r="N1399" s="93">
        <v>10</v>
      </c>
      <c r="O1399" s="93">
        <v>28</v>
      </c>
      <c r="P1399" s="93">
        <v>31</v>
      </c>
      <c r="Q1399" s="93" t="s">
        <v>123</v>
      </c>
      <c r="R1399" s="93" t="s">
        <v>20</v>
      </c>
      <c r="S1399" s="93" t="s">
        <v>124</v>
      </c>
      <c r="T1399" s="93" t="s">
        <v>116</v>
      </c>
      <c r="U1399" s="94">
        <v>44642.490277777775</v>
      </c>
      <c r="V1399" s="93" t="s">
        <v>7072</v>
      </c>
      <c r="W1399" s="93" t="s">
        <v>9</v>
      </c>
    </row>
    <row r="1400" spans="1:23" x14ac:dyDescent="0.15">
      <c r="A1400" s="93" t="s">
        <v>8548</v>
      </c>
      <c r="B1400" s="93" t="s">
        <v>8549</v>
      </c>
      <c r="C1400" s="93">
        <v>2274</v>
      </c>
      <c r="D1400" s="93" t="s">
        <v>9</v>
      </c>
      <c r="E1400" s="93" t="s">
        <v>9</v>
      </c>
      <c r="F1400" s="93" t="s">
        <v>8468</v>
      </c>
      <c r="G1400" s="93" t="s">
        <v>8545</v>
      </c>
      <c r="H1400" s="93" t="s">
        <v>6</v>
      </c>
      <c r="I1400" s="93" t="s">
        <v>111</v>
      </c>
      <c r="J1400" s="93" t="s">
        <v>112</v>
      </c>
      <c r="K1400" s="93">
        <v>60</v>
      </c>
      <c r="L1400" s="93">
        <v>1.4</v>
      </c>
      <c r="M1400" s="93" t="s">
        <v>113</v>
      </c>
      <c r="N1400" s="93">
        <v>10</v>
      </c>
      <c r="O1400" s="93">
        <v>28</v>
      </c>
      <c r="P1400" s="93">
        <v>31</v>
      </c>
      <c r="Q1400" s="93" t="s">
        <v>123</v>
      </c>
      <c r="R1400" s="93" t="s">
        <v>20</v>
      </c>
      <c r="S1400" s="93" t="s">
        <v>124</v>
      </c>
      <c r="T1400" s="93" t="s">
        <v>116</v>
      </c>
      <c r="U1400" s="94">
        <v>44642.513194444444</v>
      </c>
      <c r="V1400" s="93" t="s">
        <v>7072</v>
      </c>
      <c r="W1400" s="93" t="s">
        <v>9</v>
      </c>
    </row>
    <row r="1401" spans="1:23" x14ac:dyDescent="0.15">
      <c r="A1401" s="93" t="s">
        <v>8550</v>
      </c>
      <c r="B1401" s="93" t="s">
        <v>8551</v>
      </c>
      <c r="C1401" s="93">
        <v>2410.44</v>
      </c>
      <c r="D1401" s="93" t="s">
        <v>9</v>
      </c>
      <c r="E1401" s="93" t="s">
        <v>9</v>
      </c>
      <c r="F1401" s="93" t="s">
        <v>8468</v>
      </c>
      <c r="G1401" s="93" t="s">
        <v>8545</v>
      </c>
      <c r="H1401" s="93" t="s">
        <v>6</v>
      </c>
      <c r="I1401" s="93" t="s">
        <v>111</v>
      </c>
      <c r="J1401" s="93" t="s">
        <v>112</v>
      </c>
      <c r="K1401" s="93">
        <v>60</v>
      </c>
      <c r="L1401" s="93">
        <v>1.4</v>
      </c>
      <c r="M1401" s="93" t="s">
        <v>113</v>
      </c>
      <c r="N1401" s="93">
        <v>10</v>
      </c>
      <c r="O1401" s="93">
        <v>28</v>
      </c>
      <c r="P1401" s="93">
        <v>31</v>
      </c>
      <c r="Q1401" s="93" t="s">
        <v>123</v>
      </c>
      <c r="R1401" s="93" t="s">
        <v>20</v>
      </c>
      <c r="S1401" s="93" t="s">
        <v>124</v>
      </c>
      <c r="T1401" s="93" t="s">
        <v>116</v>
      </c>
      <c r="U1401" s="94">
        <v>44642.589583333334</v>
      </c>
      <c r="V1401" s="93" t="s">
        <v>7072</v>
      </c>
      <c r="W1401" s="93" t="s">
        <v>9</v>
      </c>
    </row>
    <row r="1402" spans="1:23" x14ac:dyDescent="0.15">
      <c r="A1402" s="93" t="s">
        <v>8552</v>
      </c>
      <c r="B1402" s="93" t="s">
        <v>8553</v>
      </c>
      <c r="C1402" s="93">
        <v>144</v>
      </c>
      <c r="D1402" s="93" t="s">
        <v>24</v>
      </c>
      <c r="E1402" s="93" t="s">
        <v>24</v>
      </c>
      <c r="F1402" s="93" t="s">
        <v>7070</v>
      </c>
      <c r="G1402" s="93" t="s">
        <v>7071</v>
      </c>
      <c r="H1402" s="93" t="s">
        <v>11</v>
      </c>
      <c r="I1402" s="93" t="s">
        <v>111</v>
      </c>
      <c r="J1402" s="93" t="s">
        <v>112</v>
      </c>
      <c r="K1402" s="93">
        <v>60</v>
      </c>
      <c r="L1402" s="93">
        <v>0.7</v>
      </c>
      <c r="M1402" s="93" t="s">
        <v>113</v>
      </c>
      <c r="N1402" s="93">
        <v>10</v>
      </c>
      <c r="O1402" s="93">
        <v>15</v>
      </c>
      <c r="P1402" s="93">
        <v>28</v>
      </c>
      <c r="Q1402" s="93" t="s">
        <v>122</v>
      </c>
      <c r="R1402" s="93" t="s">
        <v>2</v>
      </c>
      <c r="S1402" s="93" t="s">
        <v>115</v>
      </c>
      <c r="T1402" s="93" t="s">
        <v>116</v>
      </c>
      <c r="U1402" s="94">
        <v>44642.534722222219</v>
      </c>
      <c r="V1402" s="93" t="s">
        <v>7072</v>
      </c>
      <c r="W1402" s="93" t="s">
        <v>9</v>
      </c>
    </row>
    <row r="1403" spans="1:23" x14ac:dyDescent="0.15">
      <c r="A1403" s="93" t="s">
        <v>8554</v>
      </c>
      <c r="B1403" s="93" t="s">
        <v>8555</v>
      </c>
      <c r="C1403" s="93">
        <v>16.8</v>
      </c>
      <c r="D1403" s="93" t="s">
        <v>24</v>
      </c>
      <c r="E1403" s="93" t="s">
        <v>24</v>
      </c>
      <c r="F1403" s="93" t="s">
        <v>7070</v>
      </c>
      <c r="G1403" s="93" t="s">
        <v>7071</v>
      </c>
      <c r="H1403" s="93" t="s">
        <v>11</v>
      </c>
      <c r="I1403" s="93" t="s">
        <v>111</v>
      </c>
      <c r="J1403" s="93" t="s">
        <v>112</v>
      </c>
      <c r="K1403" s="93">
        <v>60</v>
      </c>
      <c r="L1403" s="93">
        <v>0.14000000000000001</v>
      </c>
      <c r="M1403" s="93" t="s">
        <v>113</v>
      </c>
      <c r="N1403" s="93">
        <v>1</v>
      </c>
      <c r="O1403" s="93">
        <v>18</v>
      </c>
      <c r="P1403" s="93">
        <v>23</v>
      </c>
      <c r="Q1403" s="93" t="s">
        <v>122</v>
      </c>
      <c r="R1403" s="93" t="s">
        <v>20</v>
      </c>
      <c r="S1403" s="93" t="s">
        <v>115</v>
      </c>
      <c r="T1403" s="93" t="s">
        <v>116</v>
      </c>
      <c r="U1403" s="94">
        <v>44642.446527777778</v>
      </c>
      <c r="V1403" s="93" t="s">
        <v>7072</v>
      </c>
      <c r="W1403" s="93" t="s">
        <v>9</v>
      </c>
    </row>
    <row r="1404" spans="1:23" x14ac:dyDescent="0.15">
      <c r="A1404" s="93" t="s">
        <v>8556</v>
      </c>
      <c r="B1404" s="93" t="s">
        <v>8557</v>
      </c>
      <c r="C1404" s="93">
        <v>27.6</v>
      </c>
      <c r="D1404" s="93" t="s">
        <v>24</v>
      </c>
      <c r="E1404" s="93" t="s">
        <v>24</v>
      </c>
      <c r="F1404" s="93" t="s">
        <v>7070</v>
      </c>
      <c r="G1404" s="93" t="s">
        <v>7071</v>
      </c>
      <c r="H1404" s="93" t="s">
        <v>11</v>
      </c>
      <c r="I1404" s="93" t="s">
        <v>111</v>
      </c>
      <c r="J1404" s="93" t="s">
        <v>112</v>
      </c>
      <c r="K1404" s="93">
        <v>60</v>
      </c>
      <c r="L1404" s="93">
        <v>0.14000000000000001</v>
      </c>
      <c r="M1404" s="93" t="s">
        <v>113</v>
      </c>
      <c r="N1404" s="93">
        <v>1</v>
      </c>
      <c r="O1404" s="93">
        <v>18</v>
      </c>
      <c r="P1404" s="93">
        <v>23</v>
      </c>
      <c r="Q1404" s="93" t="s">
        <v>228</v>
      </c>
      <c r="R1404" s="93" t="s">
        <v>20</v>
      </c>
      <c r="S1404" s="93" t="s">
        <v>115</v>
      </c>
      <c r="T1404" s="93" t="s">
        <v>116</v>
      </c>
      <c r="U1404" s="94">
        <v>44642.589583333334</v>
      </c>
      <c r="V1404" s="93" t="s">
        <v>7072</v>
      </c>
      <c r="W1404" s="93" t="s">
        <v>9</v>
      </c>
    </row>
    <row r="1405" spans="1:23" x14ac:dyDescent="0.15">
      <c r="A1405" s="93" t="s">
        <v>8558</v>
      </c>
      <c r="B1405" s="93" t="s">
        <v>8559</v>
      </c>
      <c r="C1405" s="93">
        <v>94.8</v>
      </c>
      <c r="D1405" s="93" t="s">
        <v>24</v>
      </c>
      <c r="E1405" s="93" t="s">
        <v>24</v>
      </c>
      <c r="F1405" s="93" t="s">
        <v>7070</v>
      </c>
      <c r="G1405" s="93" t="s">
        <v>7071</v>
      </c>
      <c r="H1405" s="93" t="s">
        <v>11</v>
      </c>
      <c r="I1405" s="93" t="s">
        <v>111</v>
      </c>
      <c r="J1405" s="93" t="s">
        <v>112</v>
      </c>
      <c r="K1405" s="93">
        <v>60</v>
      </c>
      <c r="L1405" s="93" t="s">
        <v>111</v>
      </c>
      <c r="M1405" s="93" t="s">
        <v>111</v>
      </c>
      <c r="N1405" s="93" t="s">
        <v>111</v>
      </c>
      <c r="O1405" s="93" t="s">
        <v>111</v>
      </c>
      <c r="P1405" s="93" t="s">
        <v>111</v>
      </c>
      <c r="Q1405" s="93" t="s">
        <v>122</v>
      </c>
      <c r="R1405" s="93" t="s">
        <v>2</v>
      </c>
      <c r="S1405" s="93" t="s">
        <v>115</v>
      </c>
      <c r="T1405" s="93" t="s">
        <v>119</v>
      </c>
      <c r="U1405" s="94">
        <v>44642.556944444441</v>
      </c>
      <c r="V1405" s="93" t="s">
        <v>7072</v>
      </c>
      <c r="W1405" s="93" t="s">
        <v>24</v>
      </c>
    </row>
    <row r="1406" spans="1:23" x14ac:dyDescent="0.15">
      <c r="A1406" s="93" t="s">
        <v>8560</v>
      </c>
      <c r="B1406" s="93" t="s">
        <v>8561</v>
      </c>
      <c r="C1406" s="93">
        <v>50.4</v>
      </c>
      <c r="D1406" s="93" t="s">
        <v>24</v>
      </c>
      <c r="E1406" s="93" t="s">
        <v>24</v>
      </c>
      <c r="F1406" s="93" t="s">
        <v>7070</v>
      </c>
      <c r="G1406" s="93" t="s">
        <v>7071</v>
      </c>
      <c r="H1406" s="93" t="s">
        <v>11</v>
      </c>
      <c r="I1406" s="93" t="s">
        <v>111</v>
      </c>
      <c r="J1406" s="93" t="s">
        <v>112</v>
      </c>
      <c r="K1406" s="93">
        <v>60</v>
      </c>
      <c r="L1406" s="93" t="s">
        <v>111</v>
      </c>
      <c r="M1406" s="93" t="s">
        <v>111</v>
      </c>
      <c r="N1406" s="93" t="s">
        <v>111</v>
      </c>
      <c r="O1406" s="93" t="s">
        <v>111</v>
      </c>
      <c r="P1406" s="93" t="s">
        <v>111</v>
      </c>
      <c r="Q1406" s="93" t="s">
        <v>122</v>
      </c>
      <c r="R1406" s="93" t="s">
        <v>2</v>
      </c>
      <c r="S1406" s="93" t="s">
        <v>115</v>
      </c>
      <c r="T1406" s="93" t="s">
        <v>116</v>
      </c>
      <c r="U1406" s="94">
        <v>44642.490972222222</v>
      </c>
      <c r="V1406" s="93" t="s">
        <v>7072</v>
      </c>
      <c r="W1406" s="93" t="s">
        <v>24</v>
      </c>
    </row>
    <row r="1407" spans="1:23" x14ac:dyDescent="0.15">
      <c r="A1407" s="93" t="s">
        <v>8562</v>
      </c>
      <c r="B1407" s="93" t="s">
        <v>8563</v>
      </c>
      <c r="C1407" s="93">
        <v>895</v>
      </c>
      <c r="D1407" s="93" t="s">
        <v>9</v>
      </c>
      <c r="E1407" s="93" t="s">
        <v>9</v>
      </c>
      <c r="F1407" s="93" t="s">
        <v>8564</v>
      </c>
      <c r="G1407" s="93" t="s">
        <v>8565</v>
      </c>
      <c r="H1407" s="93" t="s">
        <v>6</v>
      </c>
      <c r="I1407" s="93" t="s">
        <v>111</v>
      </c>
      <c r="J1407" s="93" t="s">
        <v>8564</v>
      </c>
      <c r="K1407" s="93">
        <v>90</v>
      </c>
      <c r="L1407" s="93">
        <v>1.45</v>
      </c>
      <c r="M1407" s="93" t="s">
        <v>113</v>
      </c>
      <c r="N1407" s="93">
        <v>8.9</v>
      </c>
      <c r="O1407" s="93">
        <v>27.6</v>
      </c>
      <c r="P1407" s="93">
        <v>24.4</v>
      </c>
      <c r="Q1407" s="93" t="s">
        <v>123</v>
      </c>
      <c r="R1407" s="93" t="s">
        <v>20</v>
      </c>
      <c r="S1407" s="93" t="s">
        <v>124</v>
      </c>
      <c r="T1407" s="93" t="s">
        <v>116</v>
      </c>
      <c r="U1407" s="94">
        <v>44642.465277777781</v>
      </c>
      <c r="V1407" s="93" t="s">
        <v>8564</v>
      </c>
      <c r="W1407" s="93" t="s">
        <v>9</v>
      </c>
    </row>
    <row r="1408" spans="1:23" x14ac:dyDescent="0.15">
      <c r="A1408" s="93" t="s">
        <v>8566</v>
      </c>
      <c r="B1408" s="93" t="s">
        <v>8567</v>
      </c>
      <c r="C1408" s="93">
        <v>895</v>
      </c>
      <c r="D1408" s="93" t="s">
        <v>9</v>
      </c>
      <c r="E1408" s="93" t="s">
        <v>9</v>
      </c>
      <c r="F1408" s="93" t="s">
        <v>8564</v>
      </c>
      <c r="G1408" s="93" t="s">
        <v>8565</v>
      </c>
      <c r="H1408" s="93" t="s">
        <v>6</v>
      </c>
      <c r="I1408" s="93" t="s">
        <v>111</v>
      </c>
      <c r="J1408" s="93" t="s">
        <v>8564</v>
      </c>
      <c r="K1408" s="93">
        <v>90</v>
      </c>
      <c r="L1408" s="93">
        <v>1.45</v>
      </c>
      <c r="M1408" s="93" t="s">
        <v>113</v>
      </c>
      <c r="N1408" s="93">
        <v>8.9</v>
      </c>
      <c r="O1408" s="93">
        <v>27.6</v>
      </c>
      <c r="P1408" s="93">
        <v>24.4</v>
      </c>
      <c r="Q1408" s="93" t="s">
        <v>123</v>
      </c>
      <c r="R1408" s="93" t="s">
        <v>20</v>
      </c>
      <c r="S1408" s="93" t="s">
        <v>124</v>
      </c>
      <c r="T1408" s="93" t="s">
        <v>116</v>
      </c>
      <c r="U1408" s="94">
        <v>44642.488194444442</v>
      </c>
      <c r="V1408" s="93" t="s">
        <v>8564</v>
      </c>
      <c r="W1408" s="93" t="s">
        <v>9</v>
      </c>
    </row>
    <row r="1409" spans="1:23" x14ac:dyDescent="0.15">
      <c r="A1409" s="93" t="s">
        <v>8568</v>
      </c>
      <c r="B1409" s="93" t="s">
        <v>8569</v>
      </c>
      <c r="C1409" s="93">
        <v>895</v>
      </c>
      <c r="D1409" s="93" t="s">
        <v>9</v>
      </c>
      <c r="E1409" s="93" t="s">
        <v>9</v>
      </c>
      <c r="F1409" s="93" t="s">
        <v>8564</v>
      </c>
      <c r="G1409" s="93" t="s">
        <v>8565</v>
      </c>
      <c r="H1409" s="93" t="s">
        <v>6</v>
      </c>
      <c r="I1409" s="93" t="s">
        <v>111</v>
      </c>
      <c r="J1409" s="93" t="s">
        <v>8564</v>
      </c>
      <c r="K1409" s="93">
        <v>90</v>
      </c>
      <c r="L1409" s="93">
        <v>1.45</v>
      </c>
      <c r="M1409" s="93" t="s">
        <v>113</v>
      </c>
      <c r="N1409" s="93">
        <v>8.9</v>
      </c>
      <c r="O1409" s="93">
        <v>27.6</v>
      </c>
      <c r="P1409" s="93">
        <v>24.4</v>
      </c>
      <c r="Q1409" s="93" t="s">
        <v>123</v>
      </c>
      <c r="R1409" s="93" t="s">
        <v>20</v>
      </c>
      <c r="S1409" s="93" t="s">
        <v>124</v>
      </c>
      <c r="T1409" s="93" t="s">
        <v>116</v>
      </c>
      <c r="U1409" s="94">
        <v>44642.586805555555</v>
      </c>
      <c r="V1409" s="93" t="s">
        <v>8564</v>
      </c>
      <c r="W1409" s="93" t="s">
        <v>9</v>
      </c>
    </row>
    <row r="1410" spans="1:23" x14ac:dyDescent="0.15">
      <c r="A1410" s="93" t="s">
        <v>8570</v>
      </c>
      <c r="B1410" s="93" t="s">
        <v>8571</v>
      </c>
      <c r="C1410" s="93">
        <v>948.7</v>
      </c>
      <c r="D1410" s="93" t="s">
        <v>9</v>
      </c>
      <c r="E1410" s="93" t="s">
        <v>9</v>
      </c>
      <c r="F1410" s="93" t="s">
        <v>8564</v>
      </c>
      <c r="G1410" s="93" t="s">
        <v>8565</v>
      </c>
      <c r="H1410" s="93" t="s">
        <v>6</v>
      </c>
      <c r="I1410" s="93" t="s">
        <v>111</v>
      </c>
      <c r="J1410" s="93" t="s">
        <v>8564</v>
      </c>
      <c r="K1410" s="93">
        <v>90</v>
      </c>
      <c r="L1410" s="93">
        <v>15.5</v>
      </c>
      <c r="M1410" s="93" t="s">
        <v>113</v>
      </c>
      <c r="N1410" s="93">
        <v>8.9</v>
      </c>
      <c r="O1410" s="93">
        <v>27.6</v>
      </c>
      <c r="P1410" s="93">
        <v>24.4</v>
      </c>
      <c r="Q1410" s="93" t="s">
        <v>123</v>
      </c>
      <c r="R1410" s="93" t="s">
        <v>20</v>
      </c>
      <c r="S1410" s="93" t="s">
        <v>124</v>
      </c>
      <c r="T1410" s="93" t="s">
        <v>116</v>
      </c>
      <c r="U1410" s="94">
        <v>44642.586805555555</v>
      </c>
      <c r="V1410" s="93" t="s">
        <v>8564</v>
      </c>
      <c r="W1410" s="93" t="s">
        <v>9</v>
      </c>
    </row>
    <row r="1411" spans="1:23" x14ac:dyDescent="0.15">
      <c r="A1411" s="93" t="s">
        <v>8572</v>
      </c>
      <c r="B1411" s="93" t="s">
        <v>8573</v>
      </c>
      <c r="C1411" s="93">
        <v>2195</v>
      </c>
      <c r="D1411" s="93" t="s">
        <v>9</v>
      </c>
      <c r="E1411" s="93" t="s">
        <v>9</v>
      </c>
      <c r="F1411" s="93" t="s">
        <v>70</v>
      </c>
      <c r="G1411" s="93" t="s">
        <v>8574</v>
      </c>
      <c r="H1411" s="93" t="s">
        <v>6</v>
      </c>
      <c r="I1411" s="93" t="s">
        <v>111</v>
      </c>
      <c r="J1411" s="93" t="s">
        <v>8564</v>
      </c>
      <c r="K1411" s="93">
        <v>90</v>
      </c>
      <c r="L1411" s="93">
        <v>3.4540000000000002</v>
      </c>
      <c r="M1411" s="93" t="s">
        <v>113</v>
      </c>
      <c r="N1411" s="93">
        <v>11.6</v>
      </c>
      <c r="O1411" s="93">
        <v>35</v>
      </c>
      <c r="P1411" s="93">
        <v>36</v>
      </c>
      <c r="Q1411" s="93" t="s">
        <v>123</v>
      </c>
      <c r="R1411" s="93" t="s">
        <v>20</v>
      </c>
      <c r="S1411" s="93" t="s">
        <v>124</v>
      </c>
      <c r="T1411" s="93" t="s">
        <v>116</v>
      </c>
      <c r="U1411" s="94">
        <v>44642.465277777781</v>
      </c>
      <c r="V1411" s="93" t="s">
        <v>8564</v>
      </c>
      <c r="W1411" s="93" t="s">
        <v>24</v>
      </c>
    </row>
    <row r="1412" spans="1:23" x14ac:dyDescent="0.15">
      <c r="A1412" s="93" t="s">
        <v>8575</v>
      </c>
      <c r="B1412" s="93" t="s">
        <v>8576</v>
      </c>
      <c r="C1412" s="93">
        <v>2195</v>
      </c>
      <c r="D1412" s="93" t="s">
        <v>9</v>
      </c>
      <c r="E1412" s="93" t="s">
        <v>9</v>
      </c>
      <c r="F1412" s="93" t="s">
        <v>70</v>
      </c>
      <c r="G1412" s="93" t="s">
        <v>8574</v>
      </c>
      <c r="H1412" s="93" t="s">
        <v>6</v>
      </c>
      <c r="I1412" s="93" t="s">
        <v>111</v>
      </c>
      <c r="J1412" s="93" t="s">
        <v>8564</v>
      </c>
      <c r="K1412" s="93">
        <v>90</v>
      </c>
      <c r="L1412" s="93">
        <v>3.4540000000000002</v>
      </c>
      <c r="M1412" s="93" t="s">
        <v>113</v>
      </c>
      <c r="N1412" s="93">
        <v>11.6</v>
      </c>
      <c r="O1412" s="93">
        <v>35</v>
      </c>
      <c r="P1412" s="93">
        <v>36</v>
      </c>
      <c r="Q1412" s="93" t="s">
        <v>123</v>
      </c>
      <c r="R1412" s="93" t="s">
        <v>20</v>
      </c>
      <c r="S1412" s="93" t="s">
        <v>124</v>
      </c>
      <c r="T1412" s="93" t="s">
        <v>116</v>
      </c>
      <c r="U1412" s="94">
        <v>44642.554166666669</v>
      </c>
      <c r="V1412" s="93" t="s">
        <v>8564</v>
      </c>
      <c r="W1412" s="93" t="s">
        <v>24</v>
      </c>
    </row>
    <row r="1413" spans="1:23" x14ac:dyDescent="0.15">
      <c r="A1413" s="93" t="s">
        <v>8577</v>
      </c>
      <c r="B1413" s="93" t="s">
        <v>8578</v>
      </c>
      <c r="C1413" s="93">
        <v>2195</v>
      </c>
      <c r="D1413" s="93" t="s">
        <v>9</v>
      </c>
      <c r="E1413" s="93" t="s">
        <v>9</v>
      </c>
      <c r="F1413" s="93" t="s">
        <v>8564</v>
      </c>
      <c r="G1413" s="93" t="s">
        <v>8574</v>
      </c>
      <c r="H1413" s="93" t="s">
        <v>6</v>
      </c>
      <c r="I1413" s="93" t="s">
        <v>111</v>
      </c>
      <c r="J1413" s="93" t="s">
        <v>8564</v>
      </c>
      <c r="K1413" s="93">
        <v>90</v>
      </c>
      <c r="L1413" s="93">
        <v>3.4540000000000002</v>
      </c>
      <c r="M1413" s="93" t="s">
        <v>113</v>
      </c>
      <c r="N1413" s="93">
        <v>11.6</v>
      </c>
      <c r="O1413" s="93">
        <v>35</v>
      </c>
      <c r="P1413" s="93">
        <v>36</v>
      </c>
      <c r="Q1413" s="93" t="s">
        <v>123</v>
      </c>
      <c r="R1413" s="93" t="s">
        <v>20</v>
      </c>
      <c r="S1413" s="93" t="s">
        <v>124</v>
      </c>
      <c r="T1413" s="93" t="s">
        <v>116</v>
      </c>
      <c r="U1413" s="94">
        <v>44642.444444444445</v>
      </c>
      <c r="V1413" s="93" t="s">
        <v>8564</v>
      </c>
      <c r="W1413" s="93" t="s">
        <v>9</v>
      </c>
    </row>
    <row r="1414" spans="1:23" x14ac:dyDescent="0.15">
      <c r="A1414" s="93" t="s">
        <v>8579</v>
      </c>
      <c r="B1414" s="93" t="s">
        <v>8580</v>
      </c>
      <c r="C1414" s="93">
        <v>2326.6999999999998</v>
      </c>
      <c r="D1414" s="93" t="s">
        <v>9</v>
      </c>
      <c r="E1414" s="93" t="s">
        <v>9</v>
      </c>
      <c r="F1414" s="93" t="s">
        <v>8564</v>
      </c>
      <c r="G1414" s="93" t="s">
        <v>8574</v>
      </c>
      <c r="H1414" s="93" t="s">
        <v>6</v>
      </c>
      <c r="I1414" s="93" t="s">
        <v>111</v>
      </c>
      <c r="J1414" s="93" t="s">
        <v>8564</v>
      </c>
      <c r="K1414" s="93">
        <v>90</v>
      </c>
      <c r="L1414" s="93">
        <v>3.4540000000000002</v>
      </c>
      <c r="M1414" s="93" t="s">
        <v>113</v>
      </c>
      <c r="N1414" s="93">
        <v>11.6</v>
      </c>
      <c r="O1414" s="93">
        <v>35</v>
      </c>
      <c r="P1414" s="93">
        <v>36</v>
      </c>
      <c r="Q1414" s="93" t="s">
        <v>123</v>
      </c>
      <c r="R1414" s="93" t="s">
        <v>20</v>
      </c>
      <c r="S1414" s="93" t="s">
        <v>124</v>
      </c>
      <c r="T1414" s="93" t="s">
        <v>116</v>
      </c>
      <c r="U1414" s="94">
        <v>44642.444444444445</v>
      </c>
      <c r="V1414" s="93" t="s">
        <v>8564</v>
      </c>
      <c r="W1414" s="93" t="s">
        <v>9</v>
      </c>
    </row>
    <row r="1415" spans="1:23" x14ac:dyDescent="0.15">
      <c r="A1415" s="93" t="s">
        <v>8581</v>
      </c>
      <c r="B1415" s="93" t="s">
        <v>8582</v>
      </c>
      <c r="C1415" s="93">
        <v>1674</v>
      </c>
      <c r="D1415" s="93" t="s">
        <v>9</v>
      </c>
      <c r="E1415" s="93" t="s">
        <v>9</v>
      </c>
      <c r="F1415" s="93" t="s">
        <v>8468</v>
      </c>
      <c r="G1415" s="93" t="s">
        <v>8583</v>
      </c>
      <c r="H1415" s="93" t="s">
        <v>6</v>
      </c>
      <c r="I1415" s="93" t="s">
        <v>111</v>
      </c>
      <c r="J1415" s="93" t="s">
        <v>112</v>
      </c>
      <c r="K1415" s="93">
        <v>60</v>
      </c>
      <c r="L1415" s="93">
        <v>3.6</v>
      </c>
      <c r="M1415" s="93" t="s">
        <v>113</v>
      </c>
      <c r="N1415" s="93">
        <v>13</v>
      </c>
      <c r="O1415" s="93">
        <v>33</v>
      </c>
      <c r="P1415" s="93">
        <v>36</v>
      </c>
      <c r="Q1415" s="93" t="s">
        <v>123</v>
      </c>
      <c r="R1415" s="93" t="s">
        <v>20</v>
      </c>
      <c r="S1415" s="93" t="s">
        <v>124</v>
      </c>
      <c r="T1415" s="93" t="s">
        <v>119</v>
      </c>
      <c r="U1415" s="94">
        <v>44642.490972222222</v>
      </c>
      <c r="V1415" s="93" t="s">
        <v>7072</v>
      </c>
      <c r="W1415" s="93" t="s">
        <v>9</v>
      </c>
    </row>
    <row r="1416" spans="1:23" x14ac:dyDescent="0.15">
      <c r="A1416" s="93" t="s">
        <v>8584</v>
      </c>
      <c r="B1416" s="93" t="s">
        <v>8585</v>
      </c>
      <c r="C1416" s="93">
        <v>1674</v>
      </c>
      <c r="D1416" s="93" t="s">
        <v>9</v>
      </c>
      <c r="E1416" s="93" t="s">
        <v>9</v>
      </c>
      <c r="F1416" s="93" t="s">
        <v>8468</v>
      </c>
      <c r="G1416" s="93" t="s">
        <v>8583</v>
      </c>
      <c r="H1416" s="93" t="s">
        <v>6</v>
      </c>
      <c r="I1416" s="93" t="s">
        <v>111</v>
      </c>
      <c r="J1416" s="93" t="s">
        <v>112</v>
      </c>
      <c r="K1416" s="93">
        <v>60</v>
      </c>
      <c r="L1416" s="93">
        <v>3.6</v>
      </c>
      <c r="M1416" s="93" t="s">
        <v>113</v>
      </c>
      <c r="N1416" s="93">
        <v>13</v>
      </c>
      <c r="O1416" s="93">
        <v>33</v>
      </c>
      <c r="P1416" s="93">
        <v>36</v>
      </c>
      <c r="Q1416" s="93" t="s">
        <v>123</v>
      </c>
      <c r="R1416" s="93" t="s">
        <v>20</v>
      </c>
      <c r="S1416" s="93" t="s">
        <v>124</v>
      </c>
      <c r="T1416" s="93" t="s">
        <v>119</v>
      </c>
      <c r="U1416" s="94">
        <v>44642.534722222219</v>
      </c>
      <c r="V1416" s="93" t="s">
        <v>7072</v>
      </c>
      <c r="W1416" s="93" t="s">
        <v>9</v>
      </c>
    </row>
    <row r="1417" spans="1:23" x14ac:dyDescent="0.15">
      <c r="A1417" s="93" t="s">
        <v>8586</v>
      </c>
      <c r="B1417" s="93" t="s">
        <v>8587</v>
      </c>
      <c r="C1417" s="93">
        <v>1674</v>
      </c>
      <c r="D1417" s="93" t="s">
        <v>9</v>
      </c>
      <c r="E1417" s="93" t="s">
        <v>9</v>
      </c>
      <c r="F1417" s="93" t="s">
        <v>8468</v>
      </c>
      <c r="G1417" s="93" t="s">
        <v>8583</v>
      </c>
      <c r="H1417" s="93" t="s">
        <v>6</v>
      </c>
      <c r="I1417" s="93" t="s">
        <v>111</v>
      </c>
      <c r="J1417" s="93" t="s">
        <v>112</v>
      </c>
      <c r="K1417" s="93">
        <v>60</v>
      </c>
      <c r="L1417" s="93">
        <v>3.6</v>
      </c>
      <c r="M1417" s="93" t="s">
        <v>113</v>
      </c>
      <c r="N1417" s="93">
        <v>13</v>
      </c>
      <c r="O1417" s="93">
        <v>33</v>
      </c>
      <c r="P1417" s="93">
        <v>36</v>
      </c>
      <c r="Q1417" s="93" t="s">
        <v>123</v>
      </c>
      <c r="R1417" s="93" t="s">
        <v>20</v>
      </c>
      <c r="S1417" s="93" t="s">
        <v>124</v>
      </c>
      <c r="T1417" s="93" t="s">
        <v>119</v>
      </c>
      <c r="U1417" s="94">
        <v>44642.534722222219</v>
      </c>
      <c r="V1417" s="93" t="s">
        <v>7072</v>
      </c>
      <c r="W1417" s="93" t="s">
        <v>9</v>
      </c>
    </row>
    <row r="1418" spans="1:23" x14ac:dyDescent="0.15">
      <c r="A1418" s="93" t="s">
        <v>8588</v>
      </c>
      <c r="B1418" s="93" t="s">
        <v>8589</v>
      </c>
      <c r="C1418" s="93">
        <v>1774.44</v>
      </c>
      <c r="D1418" s="93" t="s">
        <v>9</v>
      </c>
      <c r="E1418" s="93" t="s">
        <v>9</v>
      </c>
      <c r="F1418" s="93" t="s">
        <v>8468</v>
      </c>
      <c r="G1418" s="93" t="s">
        <v>8583</v>
      </c>
      <c r="H1418" s="93" t="s">
        <v>6</v>
      </c>
      <c r="I1418" s="93" t="s">
        <v>111</v>
      </c>
      <c r="J1418" s="93" t="s">
        <v>112</v>
      </c>
      <c r="K1418" s="93">
        <v>60</v>
      </c>
      <c r="L1418" s="93">
        <v>3.6</v>
      </c>
      <c r="M1418" s="93" t="s">
        <v>113</v>
      </c>
      <c r="N1418" s="93">
        <v>13</v>
      </c>
      <c r="O1418" s="93">
        <v>33</v>
      </c>
      <c r="P1418" s="93">
        <v>36</v>
      </c>
      <c r="Q1418" s="93" t="s">
        <v>123</v>
      </c>
      <c r="R1418" s="93" t="s">
        <v>20</v>
      </c>
      <c r="S1418" s="93" t="s">
        <v>124</v>
      </c>
      <c r="T1418" s="93" t="s">
        <v>119</v>
      </c>
      <c r="U1418" s="94">
        <v>44642.513194444444</v>
      </c>
      <c r="V1418" s="93" t="s">
        <v>7072</v>
      </c>
      <c r="W1418" s="93" t="s">
        <v>9</v>
      </c>
    </row>
    <row r="1419" spans="1:23" x14ac:dyDescent="0.15">
      <c r="A1419" s="93" t="s">
        <v>8590</v>
      </c>
      <c r="B1419" s="93" t="s">
        <v>8591</v>
      </c>
      <c r="C1419" s="93">
        <v>1674</v>
      </c>
      <c r="D1419" s="93" t="s">
        <v>9</v>
      </c>
      <c r="E1419" s="93" t="s">
        <v>9</v>
      </c>
      <c r="F1419" s="93" t="s">
        <v>8468</v>
      </c>
      <c r="G1419" s="93" t="s">
        <v>8592</v>
      </c>
      <c r="H1419" s="93" t="s">
        <v>6</v>
      </c>
      <c r="I1419" s="93" t="s">
        <v>111</v>
      </c>
      <c r="J1419" s="93" t="s">
        <v>72</v>
      </c>
      <c r="K1419" s="93">
        <v>180</v>
      </c>
      <c r="L1419" s="93">
        <v>3.4</v>
      </c>
      <c r="M1419" s="93" t="s">
        <v>113</v>
      </c>
      <c r="N1419" s="93">
        <v>5</v>
      </c>
      <c r="O1419" s="93">
        <v>12</v>
      </c>
      <c r="P1419" s="93">
        <v>15</v>
      </c>
      <c r="Q1419" s="93" t="s">
        <v>123</v>
      </c>
      <c r="R1419" s="93" t="s">
        <v>20</v>
      </c>
      <c r="S1419" s="93" t="s">
        <v>124</v>
      </c>
      <c r="T1419" s="93" t="s">
        <v>116</v>
      </c>
      <c r="U1419" s="94">
        <v>44642.589583333334</v>
      </c>
      <c r="V1419" s="93" t="s">
        <v>7072</v>
      </c>
      <c r="W1419" s="93" t="s">
        <v>9</v>
      </c>
    </row>
    <row r="1420" spans="1:23" x14ac:dyDescent="0.15">
      <c r="A1420" s="93" t="s">
        <v>8593</v>
      </c>
      <c r="B1420" s="93" t="s">
        <v>8594</v>
      </c>
      <c r="C1420" s="93">
        <v>1674</v>
      </c>
      <c r="D1420" s="93" t="s">
        <v>9</v>
      </c>
      <c r="E1420" s="93" t="s">
        <v>9</v>
      </c>
      <c r="F1420" s="93" t="s">
        <v>8468</v>
      </c>
      <c r="G1420" s="93" t="s">
        <v>8592</v>
      </c>
      <c r="H1420" s="93" t="s">
        <v>6</v>
      </c>
      <c r="I1420" s="93" t="s">
        <v>111</v>
      </c>
      <c r="J1420" s="93" t="s">
        <v>112</v>
      </c>
      <c r="K1420" s="93">
        <v>60</v>
      </c>
      <c r="L1420" s="93">
        <v>3.4</v>
      </c>
      <c r="M1420" s="93" t="s">
        <v>113</v>
      </c>
      <c r="N1420" s="93">
        <v>5</v>
      </c>
      <c r="O1420" s="93">
        <v>12</v>
      </c>
      <c r="P1420" s="93">
        <v>15</v>
      </c>
      <c r="Q1420" s="93" t="s">
        <v>123</v>
      </c>
      <c r="R1420" s="93" t="s">
        <v>20</v>
      </c>
      <c r="S1420" s="93" t="s">
        <v>111</v>
      </c>
      <c r="T1420" s="93" t="s">
        <v>116</v>
      </c>
      <c r="U1420" s="94">
        <v>44642.534722222219</v>
      </c>
      <c r="V1420" s="93" t="s">
        <v>7072</v>
      </c>
      <c r="W1420" s="93" t="s">
        <v>9</v>
      </c>
    </row>
    <row r="1421" spans="1:23" x14ac:dyDescent="0.15">
      <c r="A1421" s="93" t="s">
        <v>8595</v>
      </c>
      <c r="B1421" s="93" t="s">
        <v>8596</v>
      </c>
      <c r="C1421" s="93">
        <v>1674</v>
      </c>
      <c r="D1421" s="93" t="s">
        <v>9</v>
      </c>
      <c r="E1421" s="93" t="s">
        <v>9</v>
      </c>
      <c r="F1421" s="93" t="s">
        <v>8468</v>
      </c>
      <c r="G1421" s="93" t="s">
        <v>8592</v>
      </c>
      <c r="H1421" s="93" t="s">
        <v>6</v>
      </c>
      <c r="I1421" s="93" t="s">
        <v>111</v>
      </c>
      <c r="J1421" s="93" t="s">
        <v>112</v>
      </c>
      <c r="K1421" s="93">
        <v>60</v>
      </c>
      <c r="L1421" s="93">
        <v>3.4</v>
      </c>
      <c r="M1421" s="93" t="s">
        <v>113</v>
      </c>
      <c r="N1421" s="93">
        <v>5</v>
      </c>
      <c r="O1421" s="93">
        <v>12</v>
      </c>
      <c r="P1421" s="93">
        <v>15</v>
      </c>
      <c r="Q1421" s="93" t="s">
        <v>123</v>
      </c>
      <c r="R1421" s="93" t="s">
        <v>20</v>
      </c>
      <c r="S1421" s="93" t="s">
        <v>124</v>
      </c>
      <c r="T1421" s="93" t="s">
        <v>116</v>
      </c>
      <c r="U1421" s="94">
        <v>44642.534722222219</v>
      </c>
      <c r="V1421" s="93" t="s">
        <v>7072</v>
      </c>
      <c r="W1421" s="93" t="s">
        <v>9</v>
      </c>
    </row>
    <row r="1422" spans="1:23" x14ac:dyDescent="0.15">
      <c r="A1422" s="93" t="s">
        <v>8597</v>
      </c>
      <c r="B1422" s="93" t="s">
        <v>8598</v>
      </c>
      <c r="C1422" s="93">
        <v>1774.44</v>
      </c>
      <c r="D1422" s="93" t="s">
        <v>9</v>
      </c>
      <c r="E1422" s="93" t="s">
        <v>9</v>
      </c>
      <c r="F1422" s="93" t="s">
        <v>8468</v>
      </c>
      <c r="G1422" s="93" t="s">
        <v>8592</v>
      </c>
      <c r="H1422" s="93" t="s">
        <v>6</v>
      </c>
      <c r="I1422" s="93" t="s">
        <v>111</v>
      </c>
      <c r="J1422" s="93" t="s">
        <v>112</v>
      </c>
      <c r="K1422" s="93">
        <v>60</v>
      </c>
      <c r="L1422" s="93">
        <v>3.4</v>
      </c>
      <c r="M1422" s="93" t="s">
        <v>113</v>
      </c>
      <c r="N1422" s="93">
        <v>5</v>
      </c>
      <c r="O1422" s="93">
        <v>12</v>
      </c>
      <c r="P1422" s="93">
        <v>15</v>
      </c>
      <c r="Q1422" s="93" t="s">
        <v>123</v>
      </c>
      <c r="R1422" s="93" t="s">
        <v>20</v>
      </c>
      <c r="S1422" s="93" t="s">
        <v>124</v>
      </c>
      <c r="T1422" s="93" t="s">
        <v>116</v>
      </c>
      <c r="U1422" s="94">
        <v>44642.446527777778</v>
      </c>
      <c r="V1422" s="93" t="s">
        <v>7072</v>
      </c>
      <c r="W1422" s="93" t="s">
        <v>9</v>
      </c>
    </row>
    <row r="1423" spans="1:23" x14ac:dyDescent="0.15">
      <c r="A1423" s="93" t="s">
        <v>8599</v>
      </c>
      <c r="B1423" s="93" t="s">
        <v>8600</v>
      </c>
      <c r="C1423" s="93">
        <v>0</v>
      </c>
      <c r="D1423" s="93" t="s">
        <v>24</v>
      </c>
      <c r="E1423" s="93" t="s">
        <v>24</v>
      </c>
      <c r="F1423" s="93" t="s">
        <v>7912</v>
      </c>
      <c r="G1423" s="93" t="s">
        <v>7104</v>
      </c>
      <c r="H1423" s="93" t="s">
        <v>118</v>
      </c>
      <c r="I1423" s="93" t="s">
        <v>111</v>
      </c>
      <c r="J1423" s="93" t="s">
        <v>7105</v>
      </c>
      <c r="K1423" s="93" t="s">
        <v>111</v>
      </c>
      <c r="L1423" s="93" t="s">
        <v>111</v>
      </c>
      <c r="M1423" s="93" t="s">
        <v>111</v>
      </c>
      <c r="N1423" s="93" t="s">
        <v>111</v>
      </c>
      <c r="O1423" s="93" t="s">
        <v>111</v>
      </c>
      <c r="P1423" s="93" t="s">
        <v>111</v>
      </c>
      <c r="Q1423" s="93" t="s">
        <v>111</v>
      </c>
      <c r="R1423" s="93" t="s">
        <v>2</v>
      </c>
      <c r="S1423" s="93" t="s">
        <v>111</v>
      </c>
      <c r="T1423" s="93" t="s">
        <v>116</v>
      </c>
      <c r="U1423" s="94">
        <v>44588.125</v>
      </c>
      <c r="V1423" s="93" t="s">
        <v>7072</v>
      </c>
      <c r="W1423" s="93" t="s">
        <v>24</v>
      </c>
    </row>
    <row r="1424" spans="1:23" x14ac:dyDescent="0.15">
      <c r="A1424" s="93" t="s">
        <v>8601</v>
      </c>
      <c r="B1424" s="93" t="s">
        <v>8602</v>
      </c>
      <c r="C1424" s="93">
        <v>100</v>
      </c>
      <c r="D1424" s="93" t="s">
        <v>24</v>
      </c>
      <c r="E1424" s="93" t="s">
        <v>9</v>
      </c>
      <c r="F1424" s="93" t="s">
        <v>7912</v>
      </c>
      <c r="G1424" s="93" t="s">
        <v>7104</v>
      </c>
      <c r="H1424" s="93" t="s">
        <v>118</v>
      </c>
      <c r="I1424" s="93" t="s">
        <v>111</v>
      </c>
      <c r="J1424" s="93" t="s">
        <v>7105</v>
      </c>
      <c r="K1424" s="93" t="s">
        <v>111</v>
      </c>
      <c r="L1424" s="93" t="s">
        <v>111</v>
      </c>
      <c r="M1424" s="93" t="s">
        <v>111</v>
      </c>
      <c r="N1424" s="93" t="s">
        <v>111</v>
      </c>
      <c r="O1424" s="93" t="s">
        <v>111</v>
      </c>
      <c r="P1424" s="93" t="s">
        <v>111</v>
      </c>
      <c r="Q1424" s="93" t="s">
        <v>111</v>
      </c>
      <c r="R1424" s="93" t="s">
        <v>111</v>
      </c>
      <c r="S1424" s="93" t="s">
        <v>111</v>
      </c>
      <c r="T1424" s="93" t="s">
        <v>116</v>
      </c>
      <c r="U1424" s="94">
        <v>44588.120138888888</v>
      </c>
      <c r="V1424" s="93" t="s">
        <v>7913</v>
      </c>
      <c r="W1424" s="93" t="s">
        <v>24</v>
      </c>
    </row>
    <row r="1425" spans="1:23" x14ac:dyDescent="0.15">
      <c r="A1425" s="93" t="s">
        <v>8603</v>
      </c>
      <c r="B1425" s="93" t="s">
        <v>8604</v>
      </c>
      <c r="C1425" s="93">
        <v>320</v>
      </c>
      <c r="D1425" s="93" t="s">
        <v>24</v>
      </c>
      <c r="E1425" s="93" t="s">
        <v>24</v>
      </c>
      <c r="F1425" s="93" t="s">
        <v>126</v>
      </c>
      <c r="G1425" s="93" t="s">
        <v>7104</v>
      </c>
      <c r="H1425" s="93" t="s">
        <v>118</v>
      </c>
      <c r="I1425" s="93" t="s">
        <v>111</v>
      </c>
      <c r="J1425" s="93" t="s">
        <v>7105</v>
      </c>
      <c r="K1425" s="93" t="s">
        <v>111</v>
      </c>
      <c r="L1425" s="93" t="s">
        <v>111</v>
      </c>
      <c r="M1425" s="93" t="s">
        <v>111</v>
      </c>
      <c r="N1425" s="93" t="s">
        <v>111</v>
      </c>
      <c r="O1425" s="93" t="s">
        <v>111</v>
      </c>
      <c r="P1425" s="93" t="s">
        <v>111</v>
      </c>
      <c r="Q1425" s="93" t="s">
        <v>111</v>
      </c>
      <c r="R1425" s="93" t="s">
        <v>2</v>
      </c>
      <c r="S1425" s="93" t="s">
        <v>111</v>
      </c>
      <c r="T1425" s="93" t="s">
        <v>116</v>
      </c>
      <c r="U1425" s="94">
        <v>44610.115277777775</v>
      </c>
      <c r="V1425" s="93" t="s">
        <v>7072</v>
      </c>
      <c r="W1425" s="93" t="s">
        <v>24</v>
      </c>
    </row>
    <row r="1426" spans="1:23" x14ac:dyDescent="0.15">
      <c r="A1426" s="93" t="s">
        <v>8605</v>
      </c>
      <c r="B1426" s="93" t="s">
        <v>8606</v>
      </c>
      <c r="C1426" s="93">
        <v>390</v>
      </c>
      <c r="D1426" s="93" t="s">
        <v>24</v>
      </c>
      <c r="E1426" s="93" t="s">
        <v>24</v>
      </c>
      <c r="F1426" s="93" t="s">
        <v>126</v>
      </c>
      <c r="G1426" s="93" t="s">
        <v>7104</v>
      </c>
      <c r="H1426" s="93" t="s">
        <v>118</v>
      </c>
      <c r="I1426" s="93" t="s">
        <v>111</v>
      </c>
      <c r="J1426" s="93" t="s">
        <v>7105</v>
      </c>
      <c r="K1426" s="93" t="s">
        <v>111</v>
      </c>
      <c r="L1426" s="93" t="s">
        <v>111</v>
      </c>
      <c r="M1426" s="93" t="s">
        <v>111</v>
      </c>
      <c r="N1426" s="93" t="s">
        <v>111</v>
      </c>
      <c r="O1426" s="93" t="s">
        <v>111</v>
      </c>
      <c r="P1426" s="93" t="s">
        <v>111</v>
      </c>
      <c r="Q1426" s="93" t="s">
        <v>111</v>
      </c>
      <c r="R1426" s="93" t="s">
        <v>2</v>
      </c>
      <c r="S1426" s="93" t="s">
        <v>111</v>
      </c>
      <c r="T1426" s="93" t="s">
        <v>116</v>
      </c>
      <c r="U1426" s="94">
        <v>44610.101388888892</v>
      </c>
      <c r="V1426" s="93" t="s">
        <v>7072</v>
      </c>
      <c r="W1426" s="93" t="s">
        <v>24</v>
      </c>
    </row>
    <row r="1427" spans="1:23" x14ac:dyDescent="0.15">
      <c r="A1427" s="93" t="s">
        <v>8607</v>
      </c>
      <c r="B1427" s="93" t="s">
        <v>8608</v>
      </c>
      <c r="C1427" s="93">
        <v>80</v>
      </c>
      <c r="D1427" s="93" t="s">
        <v>24</v>
      </c>
      <c r="E1427" s="93" t="s">
        <v>24</v>
      </c>
      <c r="F1427" s="93" t="s">
        <v>126</v>
      </c>
      <c r="G1427" s="93" t="s">
        <v>7104</v>
      </c>
      <c r="H1427" s="93" t="s">
        <v>118</v>
      </c>
      <c r="I1427" s="93" t="s">
        <v>111</v>
      </c>
      <c r="J1427" s="93" t="s">
        <v>7105</v>
      </c>
      <c r="K1427" s="93" t="s">
        <v>111</v>
      </c>
      <c r="L1427" s="93" t="s">
        <v>111</v>
      </c>
      <c r="M1427" s="93" t="s">
        <v>111</v>
      </c>
      <c r="N1427" s="93" t="s">
        <v>111</v>
      </c>
      <c r="O1427" s="93" t="s">
        <v>111</v>
      </c>
      <c r="P1427" s="93" t="s">
        <v>111</v>
      </c>
      <c r="Q1427" s="93" t="s">
        <v>111</v>
      </c>
      <c r="R1427" s="93" t="s">
        <v>2</v>
      </c>
      <c r="S1427" s="93" t="s">
        <v>111</v>
      </c>
      <c r="T1427" s="93" t="s">
        <v>116</v>
      </c>
      <c r="U1427" s="94">
        <v>44596.279166666667</v>
      </c>
      <c r="V1427" s="93" t="s">
        <v>7072</v>
      </c>
      <c r="W1427" s="93" t="s">
        <v>24</v>
      </c>
    </row>
    <row r="1428" spans="1:23" x14ac:dyDescent="0.15">
      <c r="A1428" s="93" t="s">
        <v>8609</v>
      </c>
      <c r="B1428" s="93" t="s">
        <v>8610</v>
      </c>
      <c r="C1428" s="93">
        <v>140</v>
      </c>
      <c r="D1428" s="93" t="s">
        <v>24</v>
      </c>
      <c r="E1428" s="93" t="s">
        <v>24</v>
      </c>
      <c r="F1428" s="93" t="s">
        <v>126</v>
      </c>
      <c r="G1428" s="93" t="s">
        <v>7104</v>
      </c>
      <c r="H1428" s="93" t="s">
        <v>118</v>
      </c>
      <c r="I1428" s="93" t="s">
        <v>111</v>
      </c>
      <c r="J1428" s="93" t="s">
        <v>7105</v>
      </c>
      <c r="K1428" s="93" t="s">
        <v>111</v>
      </c>
      <c r="L1428" s="93" t="s">
        <v>111</v>
      </c>
      <c r="M1428" s="93" t="s">
        <v>111</v>
      </c>
      <c r="N1428" s="93" t="s">
        <v>111</v>
      </c>
      <c r="O1428" s="93" t="s">
        <v>111</v>
      </c>
      <c r="P1428" s="93" t="s">
        <v>111</v>
      </c>
      <c r="Q1428" s="93" t="s">
        <v>111</v>
      </c>
      <c r="R1428" s="93" t="s">
        <v>2</v>
      </c>
      <c r="S1428" s="93" t="s">
        <v>111</v>
      </c>
      <c r="T1428" s="93" t="s">
        <v>116</v>
      </c>
      <c r="U1428" s="94">
        <v>44596.557638888888</v>
      </c>
      <c r="V1428" s="93" t="s">
        <v>7072</v>
      </c>
      <c r="W1428" s="93" t="s">
        <v>24</v>
      </c>
    </row>
    <row r="1429" spans="1:23" x14ac:dyDescent="0.15">
      <c r="A1429" s="93" t="s">
        <v>8611</v>
      </c>
      <c r="B1429" s="93" t="s">
        <v>8612</v>
      </c>
      <c r="C1429" s="93">
        <v>230</v>
      </c>
      <c r="D1429" s="93" t="s">
        <v>24</v>
      </c>
      <c r="E1429" s="93" t="s">
        <v>24</v>
      </c>
      <c r="F1429" s="93" t="s">
        <v>126</v>
      </c>
      <c r="G1429" s="93" t="s">
        <v>7104</v>
      </c>
      <c r="H1429" s="93" t="s">
        <v>118</v>
      </c>
      <c r="I1429" s="93" t="s">
        <v>111</v>
      </c>
      <c r="J1429" s="93" t="s">
        <v>7105</v>
      </c>
      <c r="K1429" s="93" t="s">
        <v>111</v>
      </c>
      <c r="L1429" s="93" t="s">
        <v>111</v>
      </c>
      <c r="M1429" s="93" t="s">
        <v>111</v>
      </c>
      <c r="N1429" s="93" t="s">
        <v>111</v>
      </c>
      <c r="O1429" s="93" t="s">
        <v>111</v>
      </c>
      <c r="P1429" s="93" t="s">
        <v>111</v>
      </c>
      <c r="Q1429" s="93" t="s">
        <v>111</v>
      </c>
      <c r="R1429" s="93" t="s">
        <v>2</v>
      </c>
      <c r="S1429" s="93" t="s">
        <v>111</v>
      </c>
      <c r="T1429" s="93" t="s">
        <v>116</v>
      </c>
      <c r="U1429" s="94">
        <v>44596.279166666667</v>
      </c>
      <c r="V1429" s="93" t="s">
        <v>7072</v>
      </c>
      <c r="W1429" s="93" t="s">
        <v>24</v>
      </c>
    </row>
    <row r="1430" spans="1:23" x14ac:dyDescent="0.15">
      <c r="A1430" s="93" t="s">
        <v>8613</v>
      </c>
      <c r="B1430" s="93" t="s">
        <v>8614</v>
      </c>
      <c r="C1430" s="93">
        <v>340</v>
      </c>
      <c r="D1430" s="93" t="s">
        <v>24</v>
      </c>
      <c r="E1430" s="93" t="s">
        <v>24</v>
      </c>
      <c r="F1430" s="93" t="s">
        <v>126</v>
      </c>
      <c r="G1430" s="93" t="s">
        <v>7104</v>
      </c>
      <c r="H1430" s="93" t="s">
        <v>118</v>
      </c>
      <c r="I1430" s="93" t="s">
        <v>111</v>
      </c>
      <c r="J1430" s="93" t="s">
        <v>7105</v>
      </c>
      <c r="K1430" s="93" t="s">
        <v>111</v>
      </c>
      <c r="L1430" s="93" t="s">
        <v>111</v>
      </c>
      <c r="M1430" s="93" t="s">
        <v>111</v>
      </c>
      <c r="N1430" s="93" t="s">
        <v>111</v>
      </c>
      <c r="O1430" s="93" t="s">
        <v>111</v>
      </c>
      <c r="P1430" s="93" t="s">
        <v>111</v>
      </c>
      <c r="Q1430" s="93" t="s">
        <v>111</v>
      </c>
      <c r="R1430" s="93" t="s">
        <v>2</v>
      </c>
      <c r="S1430" s="93" t="s">
        <v>111</v>
      </c>
      <c r="T1430" s="93" t="s">
        <v>116</v>
      </c>
      <c r="U1430" s="94">
        <v>44610.06527777778</v>
      </c>
      <c r="V1430" s="93" t="s">
        <v>7072</v>
      </c>
      <c r="W1430" s="93" t="s">
        <v>24</v>
      </c>
    </row>
    <row r="1431" spans="1:23" x14ac:dyDescent="0.15">
      <c r="A1431" s="93" t="s">
        <v>8615</v>
      </c>
      <c r="B1431" s="93" t="s">
        <v>8616</v>
      </c>
      <c r="C1431" s="93">
        <v>680</v>
      </c>
      <c r="D1431" s="93" t="s">
        <v>24</v>
      </c>
      <c r="E1431" s="93" t="s">
        <v>24</v>
      </c>
      <c r="F1431" s="93" t="s">
        <v>126</v>
      </c>
      <c r="G1431" s="93" t="s">
        <v>7104</v>
      </c>
      <c r="H1431" s="93" t="s">
        <v>118</v>
      </c>
      <c r="I1431" s="93" t="s">
        <v>111</v>
      </c>
      <c r="J1431" s="93" t="s">
        <v>7105</v>
      </c>
      <c r="K1431" s="93" t="s">
        <v>111</v>
      </c>
      <c r="L1431" s="93" t="s">
        <v>111</v>
      </c>
      <c r="M1431" s="93" t="s">
        <v>111</v>
      </c>
      <c r="N1431" s="93" t="s">
        <v>111</v>
      </c>
      <c r="O1431" s="93" t="s">
        <v>111</v>
      </c>
      <c r="P1431" s="93" t="s">
        <v>111</v>
      </c>
      <c r="Q1431" s="93" t="s">
        <v>111</v>
      </c>
      <c r="R1431" s="93" t="s">
        <v>2</v>
      </c>
      <c r="S1431" s="93" t="s">
        <v>111</v>
      </c>
      <c r="T1431" s="93" t="s">
        <v>116</v>
      </c>
      <c r="U1431" s="94">
        <v>44610.074999999997</v>
      </c>
      <c r="V1431" s="93" t="s">
        <v>7072</v>
      </c>
      <c r="W1431" s="93" t="s">
        <v>24</v>
      </c>
    </row>
    <row r="1432" spans="1:23" x14ac:dyDescent="0.15">
      <c r="A1432" s="93" t="s">
        <v>8617</v>
      </c>
      <c r="B1432" s="93" t="s">
        <v>8618</v>
      </c>
      <c r="C1432" s="93">
        <v>1020</v>
      </c>
      <c r="D1432" s="93" t="s">
        <v>24</v>
      </c>
      <c r="E1432" s="93" t="s">
        <v>24</v>
      </c>
      <c r="F1432" s="93" t="s">
        <v>126</v>
      </c>
      <c r="G1432" s="93" t="s">
        <v>7104</v>
      </c>
      <c r="H1432" s="93" t="s">
        <v>118</v>
      </c>
      <c r="I1432" s="93" t="s">
        <v>111</v>
      </c>
      <c r="J1432" s="93" t="s">
        <v>7105</v>
      </c>
      <c r="K1432" s="93" t="s">
        <v>111</v>
      </c>
      <c r="L1432" s="93" t="s">
        <v>111</v>
      </c>
      <c r="M1432" s="93" t="s">
        <v>111</v>
      </c>
      <c r="N1432" s="93" t="s">
        <v>111</v>
      </c>
      <c r="O1432" s="93" t="s">
        <v>111</v>
      </c>
      <c r="P1432" s="93" t="s">
        <v>111</v>
      </c>
      <c r="Q1432" s="93" t="s">
        <v>111</v>
      </c>
      <c r="R1432" s="93" t="s">
        <v>2</v>
      </c>
      <c r="S1432" s="93" t="s">
        <v>111</v>
      </c>
      <c r="T1432" s="93" t="s">
        <v>116</v>
      </c>
      <c r="U1432" s="94">
        <v>44610.053472222222</v>
      </c>
      <c r="V1432" s="93" t="s">
        <v>7072</v>
      </c>
      <c r="W1432" s="93" t="s">
        <v>24</v>
      </c>
    </row>
    <row r="1433" spans="1:23" x14ac:dyDescent="0.15">
      <c r="A1433" s="93" t="s">
        <v>8619</v>
      </c>
      <c r="B1433" s="93" t="s">
        <v>8620</v>
      </c>
      <c r="C1433" s="93">
        <v>410</v>
      </c>
      <c r="D1433" s="93" t="s">
        <v>24</v>
      </c>
      <c r="E1433" s="93" t="s">
        <v>24</v>
      </c>
      <c r="F1433" s="93" t="s">
        <v>126</v>
      </c>
      <c r="G1433" s="93" t="s">
        <v>7104</v>
      </c>
      <c r="H1433" s="93" t="s">
        <v>118</v>
      </c>
      <c r="I1433" s="93" t="s">
        <v>111</v>
      </c>
      <c r="J1433" s="93" t="s">
        <v>7105</v>
      </c>
      <c r="K1433" s="93" t="s">
        <v>111</v>
      </c>
      <c r="L1433" s="93" t="s">
        <v>111</v>
      </c>
      <c r="M1433" s="93" t="s">
        <v>111</v>
      </c>
      <c r="N1433" s="93" t="s">
        <v>111</v>
      </c>
      <c r="O1433" s="93" t="s">
        <v>111</v>
      </c>
      <c r="P1433" s="93" t="s">
        <v>111</v>
      </c>
      <c r="Q1433" s="93" t="s">
        <v>111</v>
      </c>
      <c r="R1433" s="93" t="s">
        <v>2</v>
      </c>
      <c r="S1433" s="93" t="s">
        <v>111</v>
      </c>
      <c r="T1433" s="93" t="s">
        <v>116</v>
      </c>
      <c r="U1433" s="94">
        <v>44610.053472222222</v>
      </c>
      <c r="V1433" s="93" t="s">
        <v>7072</v>
      </c>
      <c r="W1433" s="93" t="s">
        <v>24</v>
      </c>
    </row>
    <row r="1434" spans="1:23" x14ac:dyDescent="0.15">
      <c r="A1434" s="93" t="s">
        <v>8621</v>
      </c>
      <c r="B1434" s="93" t="s">
        <v>8622</v>
      </c>
      <c r="C1434" s="93">
        <v>820</v>
      </c>
      <c r="D1434" s="93" t="s">
        <v>24</v>
      </c>
      <c r="E1434" s="93" t="s">
        <v>24</v>
      </c>
      <c r="F1434" s="93" t="s">
        <v>126</v>
      </c>
      <c r="G1434" s="93" t="s">
        <v>7104</v>
      </c>
      <c r="H1434" s="93" t="s">
        <v>118</v>
      </c>
      <c r="I1434" s="93" t="s">
        <v>111</v>
      </c>
      <c r="J1434" s="93" t="s">
        <v>7105</v>
      </c>
      <c r="K1434" s="93" t="s">
        <v>111</v>
      </c>
      <c r="L1434" s="93" t="s">
        <v>111</v>
      </c>
      <c r="M1434" s="93" t="s">
        <v>111</v>
      </c>
      <c r="N1434" s="93" t="s">
        <v>111</v>
      </c>
      <c r="O1434" s="93" t="s">
        <v>111</v>
      </c>
      <c r="P1434" s="93" t="s">
        <v>111</v>
      </c>
      <c r="Q1434" s="93" t="s">
        <v>111</v>
      </c>
      <c r="R1434" s="93" t="s">
        <v>2</v>
      </c>
      <c r="S1434" s="93" t="s">
        <v>111</v>
      </c>
      <c r="T1434" s="93" t="s">
        <v>116</v>
      </c>
      <c r="U1434" s="94">
        <v>44610.121527777781</v>
      </c>
      <c r="V1434" s="93" t="s">
        <v>7072</v>
      </c>
      <c r="W1434" s="93" t="s">
        <v>24</v>
      </c>
    </row>
    <row r="1435" spans="1:23" x14ac:dyDescent="0.15">
      <c r="A1435" s="93" t="s">
        <v>8623</v>
      </c>
      <c r="B1435" s="93" t="s">
        <v>8624</v>
      </c>
      <c r="C1435" s="93">
        <v>1230</v>
      </c>
      <c r="D1435" s="93" t="s">
        <v>24</v>
      </c>
      <c r="E1435" s="93" t="s">
        <v>24</v>
      </c>
      <c r="F1435" s="93" t="s">
        <v>126</v>
      </c>
      <c r="G1435" s="93" t="s">
        <v>7104</v>
      </c>
      <c r="H1435" s="93" t="s">
        <v>118</v>
      </c>
      <c r="I1435" s="93" t="s">
        <v>111</v>
      </c>
      <c r="J1435" s="93" t="s">
        <v>7105</v>
      </c>
      <c r="K1435" s="93" t="s">
        <v>111</v>
      </c>
      <c r="L1435" s="93" t="s">
        <v>111</v>
      </c>
      <c r="M1435" s="93" t="s">
        <v>111</v>
      </c>
      <c r="N1435" s="93" t="s">
        <v>111</v>
      </c>
      <c r="O1435" s="93" t="s">
        <v>111</v>
      </c>
      <c r="P1435" s="93" t="s">
        <v>111</v>
      </c>
      <c r="Q1435" s="93" t="s">
        <v>111</v>
      </c>
      <c r="R1435" s="93" t="s">
        <v>2</v>
      </c>
      <c r="S1435" s="93" t="s">
        <v>111</v>
      </c>
      <c r="T1435" s="93" t="s">
        <v>116</v>
      </c>
      <c r="U1435" s="94">
        <v>44610.06527777778</v>
      </c>
      <c r="V1435" s="93" t="s">
        <v>7072</v>
      </c>
      <c r="W1435" s="93" t="s">
        <v>24</v>
      </c>
    </row>
    <row r="1436" spans="1:23" x14ac:dyDescent="0.15">
      <c r="A1436" s="93" t="s">
        <v>8625</v>
      </c>
      <c r="B1436" s="93" t="s">
        <v>8626</v>
      </c>
      <c r="C1436" s="93">
        <v>80</v>
      </c>
      <c r="D1436" s="93" t="s">
        <v>24</v>
      </c>
      <c r="E1436" s="93" t="s">
        <v>24</v>
      </c>
      <c r="F1436" s="93" t="s">
        <v>126</v>
      </c>
      <c r="G1436" s="93" t="s">
        <v>7104</v>
      </c>
      <c r="H1436" s="93" t="s">
        <v>118</v>
      </c>
      <c r="I1436" s="93" t="s">
        <v>111</v>
      </c>
      <c r="J1436" s="93" t="s">
        <v>7105</v>
      </c>
      <c r="K1436" s="93" t="s">
        <v>111</v>
      </c>
      <c r="L1436" s="93" t="s">
        <v>111</v>
      </c>
      <c r="M1436" s="93" t="s">
        <v>111</v>
      </c>
      <c r="N1436" s="93" t="s">
        <v>111</v>
      </c>
      <c r="O1436" s="93" t="s">
        <v>111</v>
      </c>
      <c r="P1436" s="93" t="s">
        <v>111</v>
      </c>
      <c r="Q1436" s="93" t="s">
        <v>111</v>
      </c>
      <c r="R1436" s="93" t="s">
        <v>2</v>
      </c>
      <c r="S1436" s="93" t="s">
        <v>111</v>
      </c>
      <c r="T1436" s="93" t="s">
        <v>116</v>
      </c>
      <c r="U1436" s="94">
        <v>44610.053472222222</v>
      </c>
      <c r="V1436" s="93" t="s">
        <v>7072</v>
      </c>
      <c r="W1436" s="93" t="s">
        <v>24</v>
      </c>
    </row>
    <row r="1437" spans="1:23" x14ac:dyDescent="0.15">
      <c r="A1437" s="93" t="s">
        <v>8627</v>
      </c>
      <c r="B1437" s="93" t="s">
        <v>8628</v>
      </c>
      <c r="C1437" s="93">
        <v>160</v>
      </c>
      <c r="D1437" s="93" t="s">
        <v>24</v>
      </c>
      <c r="E1437" s="93" t="s">
        <v>24</v>
      </c>
      <c r="F1437" s="93" t="s">
        <v>126</v>
      </c>
      <c r="G1437" s="93" t="s">
        <v>7104</v>
      </c>
      <c r="H1437" s="93" t="s">
        <v>118</v>
      </c>
      <c r="I1437" s="93" t="s">
        <v>111</v>
      </c>
      <c r="J1437" s="93" t="s">
        <v>7105</v>
      </c>
      <c r="K1437" s="93" t="s">
        <v>111</v>
      </c>
      <c r="L1437" s="93" t="s">
        <v>111</v>
      </c>
      <c r="M1437" s="93" t="s">
        <v>111</v>
      </c>
      <c r="N1437" s="93" t="s">
        <v>111</v>
      </c>
      <c r="O1437" s="93" t="s">
        <v>111</v>
      </c>
      <c r="P1437" s="93" t="s">
        <v>111</v>
      </c>
      <c r="Q1437" s="93" t="s">
        <v>111</v>
      </c>
      <c r="R1437" s="93" t="s">
        <v>2</v>
      </c>
      <c r="S1437" s="93" t="s">
        <v>111</v>
      </c>
      <c r="T1437" s="93" t="s">
        <v>116</v>
      </c>
      <c r="U1437" s="94">
        <v>44610.06527777778</v>
      </c>
      <c r="V1437" s="93" t="s">
        <v>7072</v>
      </c>
      <c r="W1437" s="93" t="s">
        <v>24</v>
      </c>
    </row>
    <row r="1438" spans="1:23" x14ac:dyDescent="0.15">
      <c r="A1438" s="93" t="s">
        <v>8629</v>
      </c>
      <c r="B1438" s="93" t="s">
        <v>8630</v>
      </c>
      <c r="C1438" s="93">
        <v>240</v>
      </c>
      <c r="D1438" s="93" t="s">
        <v>24</v>
      </c>
      <c r="E1438" s="93" t="s">
        <v>24</v>
      </c>
      <c r="F1438" s="93" t="s">
        <v>126</v>
      </c>
      <c r="G1438" s="93" t="s">
        <v>7104</v>
      </c>
      <c r="H1438" s="93" t="s">
        <v>118</v>
      </c>
      <c r="I1438" s="93" t="s">
        <v>111</v>
      </c>
      <c r="J1438" s="93" t="s">
        <v>7105</v>
      </c>
      <c r="K1438" s="93" t="s">
        <v>111</v>
      </c>
      <c r="L1438" s="93" t="s">
        <v>111</v>
      </c>
      <c r="M1438" s="93" t="s">
        <v>111</v>
      </c>
      <c r="N1438" s="93" t="s">
        <v>111</v>
      </c>
      <c r="O1438" s="93" t="s">
        <v>111</v>
      </c>
      <c r="P1438" s="93" t="s">
        <v>111</v>
      </c>
      <c r="Q1438" s="93" t="s">
        <v>111</v>
      </c>
      <c r="R1438" s="93" t="s">
        <v>2</v>
      </c>
      <c r="S1438" s="93" t="s">
        <v>111</v>
      </c>
      <c r="T1438" s="93" t="s">
        <v>116</v>
      </c>
      <c r="U1438" s="94">
        <v>44610.099305555559</v>
      </c>
      <c r="V1438" s="93" t="s">
        <v>7072</v>
      </c>
      <c r="W1438" s="93" t="s">
        <v>24</v>
      </c>
    </row>
    <row r="1439" spans="1:23" x14ac:dyDescent="0.15">
      <c r="A1439" s="93" t="s">
        <v>8631</v>
      </c>
      <c r="B1439" s="93" t="s">
        <v>8632</v>
      </c>
      <c r="C1439" s="93">
        <v>640</v>
      </c>
      <c r="D1439" s="93" t="s">
        <v>24</v>
      </c>
      <c r="E1439" s="93" t="s">
        <v>24</v>
      </c>
      <c r="F1439" s="93" t="s">
        <v>126</v>
      </c>
      <c r="G1439" s="93" t="s">
        <v>7104</v>
      </c>
      <c r="H1439" s="93" t="s">
        <v>118</v>
      </c>
      <c r="I1439" s="93" t="s">
        <v>111</v>
      </c>
      <c r="J1439" s="93" t="s">
        <v>7105</v>
      </c>
      <c r="K1439" s="93" t="s">
        <v>111</v>
      </c>
      <c r="L1439" s="93" t="s">
        <v>111</v>
      </c>
      <c r="M1439" s="93" t="s">
        <v>111</v>
      </c>
      <c r="N1439" s="93" t="s">
        <v>111</v>
      </c>
      <c r="O1439" s="93" t="s">
        <v>111</v>
      </c>
      <c r="P1439" s="93" t="s">
        <v>111</v>
      </c>
      <c r="Q1439" s="93" t="s">
        <v>111</v>
      </c>
      <c r="R1439" s="93" t="s">
        <v>2</v>
      </c>
      <c r="S1439" s="93" t="s">
        <v>111</v>
      </c>
      <c r="T1439" s="93" t="s">
        <v>116</v>
      </c>
      <c r="U1439" s="94">
        <v>44610.060416666667</v>
      </c>
      <c r="V1439" s="93" t="s">
        <v>7072</v>
      </c>
      <c r="W1439" s="93" t="s">
        <v>24</v>
      </c>
    </row>
    <row r="1440" spans="1:23" x14ac:dyDescent="0.15">
      <c r="A1440" s="93" t="s">
        <v>8633</v>
      </c>
      <c r="B1440" s="93" t="s">
        <v>8634</v>
      </c>
      <c r="C1440" s="93">
        <v>17.78</v>
      </c>
      <c r="D1440" s="93" t="s">
        <v>24</v>
      </c>
      <c r="E1440" s="93" t="s">
        <v>24</v>
      </c>
      <c r="F1440" s="93" t="s">
        <v>126</v>
      </c>
      <c r="G1440" s="93" t="s">
        <v>7104</v>
      </c>
      <c r="H1440" s="93" t="s">
        <v>118</v>
      </c>
      <c r="I1440" s="93" t="s">
        <v>111</v>
      </c>
      <c r="J1440" s="93" t="s">
        <v>7105</v>
      </c>
      <c r="K1440" s="93" t="s">
        <v>111</v>
      </c>
      <c r="L1440" s="93" t="s">
        <v>111</v>
      </c>
      <c r="M1440" s="93" t="s">
        <v>111</v>
      </c>
      <c r="N1440" s="93" t="s">
        <v>111</v>
      </c>
      <c r="O1440" s="93" t="s">
        <v>111</v>
      </c>
      <c r="P1440" s="93" t="s">
        <v>111</v>
      </c>
      <c r="Q1440" s="93" t="s">
        <v>111</v>
      </c>
      <c r="R1440" s="93" t="s">
        <v>2</v>
      </c>
      <c r="S1440" s="93" t="s">
        <v>111</v>
      </c>
      <c r="T1440" s="93" t="s">
        <v>116</v>
      </c>
      <c r="U1440" s="94">
        <v>44610.101388888892</v>
      </c>
      <c r="V1440" s="93" t="s">
        <v>7072</v>
      </c>
      <c r="W1440" s="93" t="s">
        <v>24</v>
      </c>
    </row>
    <row r="1441" spans="1:23" x14ac:dyDescent="0.15">
      <c r="A1441" s="93" t="s">
        <v>8635</v>
      </c>
      <c r="B1441" s="93" t="s">
        <v>8636</v>
      </c>
      <c r="C1441" s="93">
        <v>780</v>
      </c>
      <c r="D1441" s="93" t="s">
        <v>24</v>
      </c>
      <c r="E1441" s="93" t="s">
        <v>24</v>
      </c>
      <c r="F1441" s="93" t="s">
        <v>126</v>
      </c>
      <c r="G1441" s="93" t="s">
        <v>7104</v>
      </c>
      <c r="H1441" s="93" t="s">
        <v>118</v>
      </c>
      <c r="I1441" s="93" t="s">
        <v>111</v>
      </c>
      <c r="J1441" s="93" t="s">
        <v>7105</v>
      </c>
      <c r="K1441" s="93" t="s">
        <v>111</v>
      </c>
      <c r="L1441" s="93" t="s">
        <v>111</v>
      </c>
      <c r="M1441" s="93" t="s">
        <v>111</v>
      </c>
      <c r="N1441" s="93" t="s">
        <v>111</v>
      </c>
      <c r="O1441" s="93" t="s">
        <v>111</v>
      </c>
      <c r="P1441" s="93" t="s">
        <v>111</v>
      </c>
      <c r="Q1441" s="93" t="s">
        <v>111</v>
      </c>
      <c r="R1441" s="93" t="s">
        <v>2</v>
      </c>
      <c r="S1441" s="93" t="s">
        <v>111</v>
      </c>
      <c r="T1441" s="93" t="s">
        <v>116</v>
      </c>
      <c r="U1441" s="94">
        <v>44610.067361111112</v>
      </c>
      <c r="V1441" s="93" t="s">
        <v>7072</v>
      </c>
      <c r="W1441" s="93" t="s">
        <v>24</v>
      </c>
    </row>
    <row r="1442" spans="1:23" x14ac:dyDescent="0.15">
      <c r="A1442" s="93" t="s">
        <v>8637</v>
      </c>
      <c r="B1442" s="93" t="s">
        <v>8638</v>
      </c>
      <c r="C1442" s="93">
        <v>21.67</v>
      </c>
      <c r="D1442" s="93" t="s">
        <v>24</v>
      </c>
      <c r="E1442" s="93" t="s">
        <v>24</v>
      </c>
      <c r="F1442" s="93" t="s">
        <v>126</v>
      </c>
      <c r="G1442" s="93" t="s">
        <v>7104</v>
      </c>
      <c r="H1442" s="93" t="s">
        <v>118</v>
      </c>
      <c r="I1442" s="93" t="s">
        <v>111</v>
      </c>
      <c r="J1442" s="93" t="s">
        <v>7105</v>
      </c>
      <c r="K1442" s="93" t="s">
        <v>111</v>
      </c>
      <c r="L1442" s="93" t="s">
        <v>111</v>
      </c>
      <c r="M1442" s="93" t="s">
        <v>111</v>
      </c>
      <c r="N1442" s="93" t="s">
        <v>111</v>
      </c>
      <c r="O1442" s="93" t="s">
        <v>111</v>
      </c>
      <c r="P1442" s="93" t="s">
        <v>111</v>
      </c>
      <c r="Q1442" s="93" t="s">
        <v>111</v>
      </c>
      <c r="R1442" s="93" t="s">
        <v>2</v>
      </c>
      <c r="S1442" s="93" t="s">
        <v>111</v>
      </c>
      <c r="T1442" s="93" t="s">
        <v>116</v>
      </c>
      <c r="U1442" s="94">
        <v>44610.106944444444</v>
      </c>
      <c r="V1442" s="93" t="s">
        <v>7072</v>
      </c>
      <c r="W1442" s="93" t="s">
        <v>24</v>
      </c>
    </row>
    <row r="1443" spans="1:23" x14ac:dyDescent="0.15">
      <c r="A1443" s="93" t="s">
        <v>8639</v>
      </c>
      <c r="B1443" s="93" t="s">
        <v>8640</v>
      </c>
      <c r="C1443" s="93">
        <v>160</v>
      </c>
      <c r="D1443" s="93" t="s">
        <v>24</v>
      </c>
      <c r="E1443" s="93" t="s">
        <v>24</v>
      </c>
      <c r="F1443" s="93" t="s">
        <v>126</v>
      </c>
      <c r="G1443" s="93" t="s">
        <v>7104</v>
      </c>
      <c r="H1443" s="93" t="s">
        <v>118</v>
      </c>
      <c r="I1443" s="93" t="s">
        <v>111</v>
      </c>
      <c r="J1443" s="93" t="s">
        <v>7105</v>
      </c>
      <c r="K1443" s="93" t="s">
        <v>111</v>
      </c>
      <c r="L1443" s="93" t="s">
        <v>111</v>
      </c>
      <c r="M1443" s="93" t="s">
        <v>111</v>
      </c>
      <c r="N1443" s="93" t="s">
        <v>111</v>
      </c>
      <c r="O1443" s="93" t="s">
        <v>111</v>
      </c>
      <c r="P1443" s="93" t="s">
        <v>111</v>
      </c>
      <c r="Q1443" s="93" t="s">
        <v>111</v>
      </c>
      <c r="R1443" s="93" t="s">
        <v>2</v>
      </c>
      <c r="S1443" s="93" t="s">
        <v>111</v>
      </c>
      <c r="T1443" s="93" t="s">
        <v>116</v>
      </c>
      <c r="U1443" s="94">
        <v>44610.054166666669</v>
      </c>
      <c r="V1443" s="93" t="s">
        <v>7072</v>
      </c>
      <c r="W1443" s="93" t="s">
        <v>24</v>
      </c>
    </row>
    <row r="1444" spans="1:23" x14ac:dyDescent="0.15">
      <c r="A1444" s="93" t="s">
        <v>8641</v>
      </c>
      <c r="B1444" s="93" t="s">
        <v>8642</v>
      </c>
      <c r="C1444" s="93">
        <v>280</v>
      </c>
      <c r="D1444" s="93" t="s">
        <v>24</v>
      </c>
      <c r="E1444" s="93" t="s">
        <v>24</v>
      </c>
      <c r="F1444" s="93" t="s">
        <v>126</v>
      </c>
      <c r="G1444" s="93" t="s">
        <v>7104</v>
      </c>
      <c r="H1444" s="93" t="s">
        <v>118</v>
      </c>
      <c r="I1444" s="93" t="s">
        <v>111</v>
      </c>
      <c r="J1444" s="93" t="s">
        <v>7105</v>
      </c>
      <c r="K1444" s="93" t="s">
        <v>111</v>
      </c>
      <c r="L1444" s="93" t="s">
        <v>111</v>
      </c>
      <c r="M1444" s="93" t="s">
        <v>111</v>
      </c>
      <c r="N1444" s="93" t="s">
        <v>111</v>
      </c>
      <c r="O1444" s="93" t="s">
        <v>111</v>
      </c>
      <c r="P1444" s="93" t="s">
        <v>111</v>
      </c>
      <c r="Q1444" s="93" t="s">
        <v>111</v>
      </c>
      <c r="R1444" s="93" t="s">
        <v>2</v>
      </c>
      <c r="S1444" s="93" t="s">
        <v>111</v>
      </c>
      <c r="T1444" s="93" t="s">
        <v>116</v>
      </c>
      <c r="U1444" s="94">
        <v>44610.076388888891</v>
      </c>
      <c r="V1444" s="93" t="s">
        <v>7072</v>
      </c>
      <c r="W1444" s="93" t="s">
        <v>24</v>
      </c>
    </row>
    <row r="1445" spans="1:23" x14ac:dyDescent="0.15">
      <c r="A1445" s="93" t="s">
        <v>8643</v>
      </c>
      <c r="B1445" s="93" t="s">
        <v>8644</v>
      </c>
      <c r="C1445" s="93">
        <v>460</v>
      </c>
      <c r="D1445" s="93" t="s">
        <v>24</v>
      </c>
      <c r="E1445" s="93" t="s">
        <v>24</v>
      </c>
      <c r="F1445" s="93" t="s">
        <v>126</v>
      </c>
      <c r="G1445" s="93" t="s">
        <v>7104</v>
      </c>
      <c r="H1445" s="93" t="s">
        <v>118</v>
      </c>
      <c r="I1445" s="93" t="s">
        <v>111</v>
      </c>
      <c r="J1445" s="93" t="s">
        <v>7105</v>
      </c>
      <c r="K1445" s="93" t="s">
        <v>111</v>
      </c>
      <c r="L1445" s="93" t="s">
        <v>111</v>
      </c>
      <c r="M1445" s="93" t="s">
        <v>111</v>
      </c>
      <c r="N1445" s="93" t="s">
        <v>111</v>
      </c>
      <c r="O1445" s="93" t="s">
        <v>111</v>
      </c>
      <c r="P1445" s="93" t="s">
        <v>111</v>
      </c>
      <c r="Q1445" s="93" t="s">
        <v>111</v>
      </c>
      <c r="R1445" s="93" t="s">
        <v>2</v>
      </c>
      <c r="S1445" s="93" t="s">
        <v>111</v>
      </c>
      <c r="T1445" s="93" t="s">
        <v>116</v>
      </c>
      <c r="U1445" s="94">
        <v>44610.067361111112</v>
      </c>
      <c r="V1445" s="93" t="s">
        <v>7072</v>
      </c>
      <c r="W1445" s="93" t="s">
        <v>24</v>
      </c>
    </row>
    <row r="1446" spans="1:23" x14ac:dyDescent="0.15">
      <c r="A1446" s="93" t="s">
        <v>8645</v>
      </c>
      <c r="B1446" s="93" t="s">
        <v>8646</v>
      </c>
      <c r="C1446" s="93">
        <v>12.78</v>
      </c>
      <c r="D1446" s="93" t="s">
        <v>24</v>
      </c>
      <c r="E1446" s="93" t="s">
        <v>24</v>
      </c>
      <c r="F1446" s="93" t="s">
        <v>126</v>
      </c>
      <c r="G1446" s="93" t="s">
        <v>7104</v>
      </c>
      <c r="H1446" s="93" t="s">
        <v>118</v>
      </c>
      <c r="I1446" s="93" t="s">
        <v>111</v>
      </c>
      <c r="J1446" s="93" t="s">
        <v>7105</v>
      </c>
      <c r="K1446" s="93" t="s">
        <v>111</v>
      </c>
      <c r="L1446" s="93" t="s">
        <v>111</v>
      </c>
      <c r="M1446" s="93" t="s">
        <v>111</v>
      </c>
      <c r="N1446" s="93" t="s">
        <v>111</v>
      </c>
      <c r="O1446" s="93" t="s">
        <v>111</v>
      </c>
      <c r="P1446" s="93" t="s">
        <v>111</v>
      </c>
      <c r="Q1446" s="93" t="s">
        <v>111</v>
      </c>
      <c r="R1446" s="93" t="s">
        <v>2</v>
      </c>
      <c r="S1446" s="93" t="s">
        <v>111</v>
      </c>
      <c r="T1446" s="93" t="s">
        <v>116</v>
      </c>
      <c r="U1446" s="94">
        <v>44610.114583333336</v>
      </c>
      <c r="V1446" s="93" t="s">
        <v>7072</v>
      </c>
      <c r="W1446" s="93" t="s">
        <v>24</v>
      </c>
    </row>
    <row r="1447" spans="1:23" x14ac:dyDescent="0.15">
      <c r="A1447" s="93" t="s">
        <v>8647</v>
      </c>
      <c r="B1447" s="93" t="s">
        <v>8648</v>
      </c>
      <c r="C1447" s="93">
        <v>140</v>
      </c>
      <c r="D1447" s="93" t="s">
        <v>24</v>
      </c>
      <c r="E1447" s="93" t="s">
        <v>24</v>
      </c>
      <c r="F1447" s="93" t="s">
        <v>126</v>
      </c>
      <c r="G1447" s="93" t="s">
        <v>7104</v>
      </c>
      <c r="H1447" s="93" t="s">
        <v>118</v>
      </c>
      <c r="I1447" s="93" t="s">
        <v>111</v>
      </c>
      <c r="J1447" s="93" t="s">
        <v>7105</v>
      </c>
      <c r="K1447" s="93" t="s">
        <v>111</v>
      </c>
      <c r="L1447" s="93" t="s">
        <v>111</v>
      </c>
      <c r="M1447" s="93" t="s">
        <v>111</v>
      </c>
      <c r="N1447" s="93" t="s">
        <v>111</v>
      </c>
      <c r="O1447" s="93" t="s">
        <v>111</v>
      </c>
      <c r="P1447" s="93" t="s">
        <v>111</v>
      </c>
      <c r="Q1447" s="93" t="s">
        <v>111</v>
      </c>
      <c r="R1447" s="93" t="s">
        <v>2</v>
      </c>
      <c r="S1447" s="93" t="s">
        <v>111</v>
      </c>
      <c r="T1447" s="93" t="s">
        <v>116</v>
      </c>
      <c r="U1447" s="94">
        <v>44610.121527777781</v>
      </c>
      <c r="V1447" s="93" t="s">
        <v>7072</v>
      </c>
      <c r="W1447" s="93" t="s">
        <v>24</v>
      </c>
    </row>
    <row r="1448" spans="1:23" x14ac:dyDescent="0.15">
      <c r="A1448" s="93" t="s">
        <v>8649</v>
      </c>
      <c r="B1448" s="93" t="s">
        <v>8650</v>
      </c>
      <c r="C1448" s="93">
        <v>280</v>
      </c>
      <c r="D1448" s="93" t="s">
        <v>24</v>
      </c>
      <c r="E1448" s="93" t="s">
        <v>24</v>
      </c>
      <c r="F1448" s="93" t="s">
        <v>126</v>
      </c>
      <c r="G1448" s="93" t="s">
        <v>7104</v>
      </c>
      <c r="H1448" s="93" t="s">
        <v>118</v>
      </c>
      <c r="I1448" s="93" t="s">
        <v>111</v>
      </c>
      <c r="J1448" s="93" t="s">
        <v>7105</v>
      </c>
      <c r="K1448" s="93" t="s">
        <v>111</v>
      </c>
      <c r="L1448" s="93" t="s">
        <v>111</v>
      </c>
      <c r="M1448" s="93" t="s">
        <v>111</v>
      </c>
      <c r="N1448" s="93" t="s">
        <v>111</v>
      </c>
      <c r="O1448" s="93" t="s">
        <v>111</v>
      </c>
      <c r="P1448" s="93" t="s">
        <v>111</v>
      </c>
      <c r="Q1448" s="93" t="s">
        <v>111</v>
      </c>
      <c r="R1448" s="93" t="s">
        <v>111</v>
      </c>
      <c r="S1448" s="93" t="s">
        <v>111</v>
      </c>
      <c r="T1448" s="93" t="s">
        <v>116</v>
      </c>
      <c r="U1448" s="94">
        <v>44610.073611111111</v>
      </c>
      <c r="V1448" s="93" t="s">
        <v>7072</v>
      </c>
      <c r="W1448" s="93" t="s">
        <v>24</v>
      </c>
    </row>
    <row r="1449" spans="1:23" x14ac:dyDescent="0.15">
      <c r="A1449" s="93" t="s">
        <v>8651</v>
      </c>
      <c r="B1449" s="93" t="s">
        <v>8652</v>
      </c>
      <c r="C1449" s="93">
        <v>420</v>
      </c>
      <c r="D1449" s="93" t="s">
        <v>24</v>
      </c>
      <c r="E1449" s="93" t="s">
        <v>24</v>
      </c>
      <c r="F1449" s="93" t="s">
        <v>126</v>
      </c>
      <c r="G1449" s="93" t="s">
        <v>7104</v>
      </c>
      <c r="H1449" s="93" t="s">
        <v>118</v>
      </c>
      <c r="I1449" s="93" t="s">
        <v>111</v>
      </c>
      <c r="J1449" s="93" t="s">
        <v>7105</v>
      </c>
      <c r="K1449" s="93" t="s">
        <v>111</v>
      </c>
      <c r="L1449" s="93" t="s">
        <v>111</v>
      </c>
      <c r="M1449" s="93" t="s">
        <v>111</v>
      </c>
      <c r="N1449" s="93" t="s">
        <v>111</v>
      </c>
      <c r="O1449" s="93" t="s">
        <v>111</v>
      </c>
      <c r="P1449" s="93" t="s">
        <v>111</v>
      </c>
      <c r="Q1449" s="93" t="s">
        <v>111</v>
      </c>
      <c r="R1449" s="93" t="s">
        <v>111</v>
      </c>
      <c r="S1449" s="93" t="s">
        <v>111</v>
      </c>
      <c r="T1449" s="93" t="s">
        <v>116</v>
      </c>
      <c r="U1449" s="94">
        <v>44610.073611111111</v>
      </c>
      <c r="V1449" s="93" t="s">
        <v>7072</v>
      </c>
      <c r="W1449" s="93" t="s">
        <v>24</v>
      </c>
    </row>
    <row r="1450" spans="1:23" x14ac:dyDescent="0.15">
      <c r="A1450" s="93" t="s">
        <v>8653</v>
      </c>
      <c r="B1450" s="93" t="s">
        <v>8654</v>
      </c>
      <c r="C1450" s="93">
        <v>240</v>
      </c>
      <c r="D1450" s="93" t="s">
        <v>24</v>
      </c>
      <c r="E1450" s="93" t="s">
        <v>24</v>
      </c>
      <c r="F1450" s="93" t="s">
        <v>126</v>
      </c>
      <c r="G1450" s="93" t="s">
        <v>7104</v>
      </c>
      <c r="H1450" s="93" t="s">
        <v>118</v>
      </c>
      <c r="I1450" s="93" t="s">
        <v>111</v>
      </c>
      <c r="J1450" s="93" t="s">
        <v>7105</v>
      </c>
      <c r="K1450" s="93" t="s">
        <v>111</v>
      </c>
      <c r="L1450" s="93" t="s">
        <v>111</v>
      </c>
      <c r="M1450" s="93" t="s">
        <v>111</v>
      </c>
      <c r="N1450" s="93" t="s">
        <v>111</v>
      </c>
      <c r="O1450" s="93" t="s">
        <v>111</v>
      </c>
      <c r="P1450" s="93" t="s">
        <v>111</v>
      </c>
      <c r="Q1450" s="93" t="s">
        <v>111</v>
      </c>
      <c r="R1450" s="93" t="s">
        <v>2</v>
      </c>
      <c r="S1450" s="93" t="s">
        <v>111</v>
      </c>
      <c r="T1450" s="93" t="s">
        <v>116</v>
      </c>
      <c r="U1450" s="94">
        <v>44610.124305555553</v>
      </c>
      <c r="V1450" s="93" t="s">
        <v>7072</v>
      </c>
      <c r="W1450" s="93" t="s">
        <v>24</v>
      </c>
    </row>
    <row r="1451" spans="1:23" x14ac:dyDescent="0.15">
      <c r="A1451" s="93" t="s">
        <v>8655</v>
      </c>
      <c r="B1451" s="93" t="s">
        <v>8656</v>
      </c>
      <c r="C1451" s="93">
        <v>420</v>
      </c>
      <c r="D1451" s="93" t="s">
        <v>24</v>
      </c>
      <c r="E1451" s="93" t="s">
        <v>24</v>
      </c>
      <c r="F1451" s="93" t="s">
        <v>126</v>
      </c>
      <c r="G1451" s="93" t="s">
        <v>7104</v>
      </c>
      <c r="H1451" s="93" t="s">
        <v>118</v>
      </c>
      <c r="I1451" s="93" t="s">
        <v>111</v>
      </c>
      <c r="J1451" s="93" t="s">
        <v>7105</v>
      </c>
      <c r="K1451" s="93" t="s">
        <v>111</v>
      </c>
      <c r="L1451" s="93" t="s">
        <v>111</v>
      </c>
      <c r="M1451" s="93" t="s">
        <v>111</v>
      </c>
      <c r="N1451" s="93" t="s">
        <v>111</v>
      </c>
      <c r="O1451" s="93" t="s">
        <v>111</v>
      </c>
      <c r="P1451" s="93" t="s">
        <v>111</v>
      </c>
      <c r="Q1451" s="93" t="s">
        <v>111</v>
      </c>
      <c r="R1451" s="93" t="s">
        <v>2</v>
      </c>
      <c r="S1451" s="93" t="s">
        <v>111</v>
      </c>
      <c r="T1451" s="93" t="s">
        <v>116</v>
      </c>
      <c r="U1451" s="94">
        <v>44610.054166666669</v>
      </c>
      <c r="V1451" s="93" t="s">
        <v>7072</v>
      </c>
      <c r="W1451" s="93" t="s">
        <v>24</v>
      </c>
    </row>
    <row r="1452" spans="1:23" x14ac:dyDescent="0.15">
      <c r="A1452" s="93" t="s">
        <v>8657</v>
      </c>
      <c r="B1452" s="93" t="s">
        <v>8658</v>
      </c>
      <c r="C1452" s="93">
        <v>240</v>
      </c>
      <c r="D1452" s="93" t="s">
        <v>24</v>
      </c>
      <c r="E1452" s="93" t="s">
        <v>24</v>
      </c>
      <c r="F1452" s="93" t="s">
        <v>126</v>
      </c>
      <c r="G1452" s="93" t="s">
        <v>7104</v>
      </c>
      <c r="H1452" s="93" t="s">
        <v>118</v>
      </c>
      <c r="I1452" s="93" t="s">
        <v>111</v>
      </c>
      <c r="J1452" s="93" t="s">
        <v>7105</v>
      </c>
      <c r="K1452" s="93" t="s">
        <v>111</v>
      </c>
      <c r="L1452" s="93" t="s">
        <v>111</v>
      </c>
      <c r="M1452" s="93" t="s">
        <v>111</v>
      </c>
      <c r="N1452" s="93" t="s">
        <v>111</v>
      </c>
      <c r="O1452" s="93" t="s">
        <v>111</v>
      </c>
      <c r="P1452" s="93" t="s">
        <v>111</v>
      </c>
      <c r="Q1452" s="93" t="s">
        <v>111</v>
      </c>
      <c r="R1452" s="93" t="s">
        <v>111</v>
      </c>
      <c r="S1452" s="93" t="s">
        <v>111</v>
      </c>
      <c r="T1452" s="93" t="s">
        <v>116</v>
      </c>
      <c r="U1452" s="94">
        <v>44610.083333333336</v>
      </c>
      <c r="V1452" s="93" t="s">
        <v>7072</v>
      </c>
      <c r="W1452" s="93" t="s">
        <v>24</v>
      </c>
    </row>
    <row r="1453" spans="1:23" x14ac:dyDescent="0.15">
      <c r="A1453" s="93" t="s">
        <v>8659</v>
      </c>
      <c r="B1453" s="93" t="s">
        <v>8660</v>
      </c>
      <c r="C1453" s="93">
        <v>480</v>
      </c>
      <c r="D1453" s="93" t="s">
        <v>24</v>
      </c>
      <c r="E1453" s="93" t="s">
        <v>24</v>
      </c>
      <c r="F1453" s="93" t="s">
        <v>126</v>
      </c>
      <c r="G1453" s="93" t="s">
        <v>7104</v>
      </c>
      <c r="H1453" s="93" t="s">
        <v>118</v>
      </c>
      <c r="I1453" s="93" t="s">
        <v>111</v>
      </c>
      <c r="J1453" s="93" t="s">
        <v>7105</v>
      </c>
      <c r="K1453" s="93" t="s">
        <v>111</v>
      </c>
      <c r="L1453" s="93" t="s">
        <v>111</v>
      </c>
      <c r="M1453" s="93" t="s">
        <v>111</v>
      </c>
      <c r="N1453" s="93" t="s">
        <v>111</v>
      </c>
      <c r="O1453" s="93" t="s">
        <v>111</v>
      </c>
      <c r="P1453" s="93" t="s">
        <v>111</v>
      </c>
      <c r="Q1453" s="93" t="s">
        <v>111</v>
      </c>
      <c r="R1453" s="93" t="s">
        <v>111</v>
      </c>
      <c r="S1453" s="93" t="s">
        <v>111</v>
      </c>
      <c r="T1453" s="93" t="s">
        <v>116</v>
      </c>
      <c r="U1453" s="94">
        <v>44610.09097222222</v>
      </c>
      <c r="V1453" s="93" t="s">
        <v>7072</v>
      </c>
      <c r="W1453" s="93" t="s">
        <v>24</v>
      </c>
    </row>
    <row r="1454" spans="1:23" x14ac:dyDescent="0.15">
      <c r="A1454" s="93" t="s">
        <v>8661</v>
      </c>
      <c r="B1454" s="93" t="s">
        <v>8662</v>
      </c>
      <c r="C1454" s="93">
        <v>720</v>
      </c>
      <c r="D1454" s="93" t="s">
        <v>24</v>
      </c>
      <c r="E1454" s="93" t="s">
        <v>24</v>
      </c>
      <c r="F1454" s="93" t="s">
        <v>126</v>
      </c>
      <c r="G1454" s="93" t="s">
        <v>7104</v>
      </c>
      <c r="H1454" s="93" t="s">
        <v>118</v>
      </c>
      <c r="I1454" s="93" t="s">
        <v>111</v>
      </c>
      <c r="J1454" s="93" t="s">
        <v>7105</v>
      </c>
      <c r="K1454" s="93" t="s">
        <v>111</v>
      </c>
      <c r="L1454" s="93" t="s">
        <v>111</v>
      </c>
      <c r="M1454" s="93" t="s">
        <v>111</v>
      </c>
      <c r="N1454" s="93" t="s">
        <v>111</v>
      </c>
      <c r="O1454" s="93" t="s">
        <v>111</v>
      </c>
      <c r="P1454" s="93" t="s">
        <v>111</v>
      </c>
      <c r="Q1454" s="93" t="s">
        <v>111</v>
      </c>
      <c r="R1454" s="93" t="s">
        <v>111</v>
      </c>
      <c r="S1454" s="93" t="s">
        <v>111</v>
      </c>
      <c r="T1454" s="93" t="s">
        <v>116</v>
      </c>
      <c r="U1454" s="94">
        <v>44610.059027777781</v>
      </c>
      <c r="V1454" s="93" t="s">
        <v>7072</v>
      </c>
      <c r="W1454" s="93" t="s">
        <v>24</v>
      </c>
    </row>
    <row r="1455" spans="1:23" x14ac:dyDescent="0.15">
      <c r="A1455" s="93" t="s">
        <v>8663</v>
      </c>
      <c r="B1455" s="93" t="s">
        <v>8664</v>
      </c>
      <c r="C1455" s="93">
        <v>320</v>
      </c>
      <c r="D1455" s="93" t="s">
        <v>24</v>
      </c>
      <c r="E1455" s="93" t="s">
        <v>9</v>
      </c>
      <c r="F1455" s="93" t="s">
        <v>7912</v>
      </c>
      <c r="G1455" s="93" t="s">
        <v>7104</v>
      </c>
      <c r="H1455" s="93" t="s">
        <v>118</v>
      </c>
      <c r="I1455" s="93" t="s">
        <v>111</v>
      </c>
      <c r="J1455" s="93" t="s">
        <v>7105</v>
      </c>
      <c r="K1455" s="93" t="s">
        <v>111</v>
      </c>
      <c r="L1455" s="93" t="s">
        <v>111</v>
      </c>
      <c r="M1455" s="93" t="s">
        <v>111</v>
      </c>
      <c r="N1455" s="93" t="s">
        <v>111</v>
      </c>
      <c r="O1455" s="93" t="s">
        <v>111</v>
      </c>
      <c r="P1455" s="93" t="s">
        <v>111</v>
      </c>
      <c r="Q1455" s="93" t="s">
        <v>111</v>
      </c>
      <c r="R1455" s="93" t="s">
        <v>2</v>
      </c>
      <c r="S1455" s="93" t="s">
        <v>111</v>
      </c>
      <c r="T1455" s="93" t="s">
        <v>116</v>
      </c>
      <c r="U1455" s="94">
        <v>44596.606249999997</v>
      </c>
      <c r="V1455" s="93" t="s">
        <v>7913</v>
      </c>
      <c r="W1455" s="93" t="s">
        <v>24</v>
      </c>
    </row>
    <row r="1456" spans="1:23" x14ac:dyDescent="0.15">
      <c r="A1456" s="93" t="s">
        <v>8665</v>
      </c>
      <c r="B1456" s="93" t="s">
        <v>8666</v>
      </c>
      <c r="C1456" s="93">
        <v>640</v>
      </c>
      <c r="D1456" s="93" t="s">
        <v>24</v>
      </c>
      <c r="E1456" s="93" t="s">
        <v>9</v>
      </c>
      <c r="F1456" s="93" t="s">
        <v>7912</v>
      </c>
      <c r="G1456" s="93" t="s">
        <v>7104</v>
      </c>
      <c r="H1456" s="93" t="s">
        <v>118</v>
      </c>
      <c r="I1456" s="93" t="s">
        <v>111</v>
      </c>
      <c r="J1456" s="93" t="s">
        <v>7105</v>
      </c>
      <c r="K1456" s="93" t="s">
        <v>111</v>
      </c>
      <c r="L1456" s="93" t="s">
        <v>111</v>
      </c>
      <c r="M1456" s="93" t="s">
        <v>111</v>
      </c>
      <c r="N1456" s="93" t="s">
        <v>111</v>
      </c>
      <c r="O1456" s="93" t="s">
        <v>111</v>
      </c>
      <c r="P1456" s="93" t="s">
        <v>111</v>
      </c>
      <c r="Q1456" s="93" t="s">
        <v>111</v>
      </c>
      <c r="R1456" s="93" t="s">
        <v>2</v>
      </c>
      <c r="S1456" s="93" t="s">
        <v>111</v>
      </c>
      <c r="T1456" s="93" t="s">
        <v>116</v>
      </c>
      <c r="U1456" s="94">
        <v>44596.602083333331</v>
      </c>
      <c r="V1456" s="93" t="s">
        <v>7913</v>
      </c>
      <c r="W1456" s="93" t="s">
        <v>24</v>
      </c>
    </row>
    <row r="1457" spans="1:23" x14ac:dyDescent="0.15">
      <c r="A1457" s="93" t="s">
        <v>8667</v>
      </c>
      <c r="B1457" s="93" t="s">
        <v>8668</v>
      </c>
      <c r="C1457" s="93">
        <v>390</v>
      </c>
      <c r="D1457" s="93" t="s">
        <v>24</v>
      </c>
      <c r="E1457" s="93" t="s">
        <v>9</v>
      </c>
      <c r="F1457" s="93" t="s">
        <v>7912</v>
      </c>
      <c r="G1457" s="93" t="s">
        <v>7104</v>
      </c>
      <c r="H1457" s="93" t="s">
        <v>118</v>
      </c>
      <c r="I1457" s="93" t="s">
        <v>111</v>
      </c>
      <c r="J1457" s="93" t="s">
        <v>7105</v>
      </c>
      <c r="K1457" s="93" t="s">
        <v>111</v>
      </c>
      <c r="L1457" s="93" t="s">
        <v>111</v>
      </c>
      <c r="M1457" s="93" t="s">
        <v>111</v>
      </c>
      <c r="N1457" s="93" t="s">
        <v>111</v>
      </c>
      <c r="O1457" s="93" t="s">
        <v>111</v>
      </c>
      <c r="P1457" s="93" t="s">
        <v>111</v>
      </c>
      <c r="Q1457" s="93" t="s">
        <v>111</v>
      </c>
      <c r="R1457" s="93" t="s">
        <v>2</v>
      </c>
      <c r="S1457" s="93" t="s">
        <v>111</v>
      </c>
      <c r="T1457" s="93" t="s">
        <v>116</v>
      </c>
      <c r="U1457" s="94">
        <v>44596.5625</v>
      </c>
      <c r="V1457" s="93" t="s">
        <v>7913</v>
      </c>
      <c r="W1457" s="93" t="s">
        <v>24</v>
      </c>
    </row>
    <row r="1458" spans="1:23" x14ac:dyDescent="0.15">
      <c r="A1458" s="93" t="s">
        <v>8669</v>
      </c>
      <c r="B1458" s="93" t="s">
        <v>8670</v>
      </c>
      <c r="C1458" s="93">
        <v>780</v>
      </c>
      <c r="D1458" s="93" t="s">
        <v>24</v>
      </c>
      <c r="E1458" s="93" t="s">
        <v>9</v>
      </c>
      <c r="F1458" s="93" t="s">
        <v>7912</v>
      </c>
      <c r="G1458" s="93" t="s">
        <v>7104</v>
      </c>
      <c r="H1458" s="93" t="s">
        <v>118</v>
      </c>
      <c r="I1458" s="93" t="s">
        <v>111</v>
      </c>
      <c r="J1458" s="93" t="s">
        <v>7105</v>
      </c>
      <c r="K1458" s="93" t="s">
        <v>111</v>
      </c>
      <c r="L1458" s="93" t="s">
        <v>111</v>
      </c>
      <c r="M1458" s="93" t="s">
        <v>111</v>
      </c>
      <c r="N1458" s="93" t="s">
        <v>111</v>
      </c>
      <c r="O1458" s="93" t="s">
        <v>111</v>
      </c>
      <c r="P1458" s="93" t="s">
        <v>111</v>
      </c>
      <c r="Q1458" s="93" t="s">
        <v>111</v>
      </c>
      <c r="R1458" s="93" t="s">
        <v>2</v>
      </c>
      <c r="S1458" s="93" t="s">
        <v>111</v>
      </c>
      <c r="T1458" s="93" t="s">
        <v>116</v>
      </c>
      <c r="U1458" s="94">
        <v>44596.602083333331</v>
      </c>
      <c r="V1458" s="93" t="s">
        <v>7913</v>
      </c>
      <c r="W1458" s="93" t="s">
        <v>24</v>
      </c>
    </row>
    <row r="1459" spans="1:23" x14ac:dyDescent="0.15">
      <c r="A1459" s="93" t="s">
        <v>8671</v>
      </c>
      <c r="B1459" s="93" t="s">
        <v>8672</v>
      </c>
      <c r="C1459" s="93">
        <v>80</v>
      </c>
      <c r="D1459" s="93" t="s">
        <v>24</v>
      </c>
      <c r="E1459" s="93" t="s">
        <v>9</v>
      </c>
      <c r="F1459" s="93" t="s">
        <v>7912</v>
      </c>
      <c r="G1459" s="93" t="s">
        <v>7104</v>
      </c>
      <c r="H1459" s="93" t="s">
        <v>118</v>
      </c>
      <c r="I1459" s="93" t="s">
        <v>111</v>
      </c>
      <c r="J1459" s="93" t="s">
        <v>118</v>
      </c>
      <c r="K1459" s="93">
        <v>3</v>
      </c>
      <c r="L1459" s="93" t="s">
        <v>111</v>
      </c>
      <c r="M1459" s="93" t="s">
        <v>111</v>
      </c>
      <c r="N1459" s="93" t="s">
        <v>111</v>
      </c>
      <c r="O1459" s="93" t="s">
        <v>111</v>
      </c>
      <c r="P1459" s="93" t="s">
        <v>111</v>
      </c>
      <c r="Q1459" s="93" t="s">
        <v>111</v>
      </c>
      <c r="R1459" s="93" t="s">
        <v>2</v>
      </c>
      <c r="S1459" s="93" t="s">
        <v>111</v>
      </c>
      <c r="T1459" s="93" t="s">
        <v>116</v>
      </c>
      <c r="U1459" s="94">
        <v>44596.574305555558</v>
      </c>
      <c r="V1459" s="93" t="s">
        <v>7913</v>
      </c>
      <c r="W1459" s="93" t="s">
        <v>24</v>
      </c>
    </row>
    <row r="1460" spans="1:23" x14ac:dyDescent="0.15">
      <c r="A1460" s="93" t="s">
        <v>8673</v>
      </c>
      <c r="B1460" s="93" t="s">
        <v>8674</v>
      </c>
      <c r="C1460" s="93">
        <v>160</v>
      </c>
      <c r="D1460" s="93" t="s">
        <v>24</v>
      </c>
      <c r="E1460" s="93" t="s">
        <v>9</v>
      </c>
      <c r="F1460" s="93" t="s">
        <v>7912</v>
      </c>
      <c r="G1460" s="93" t="s">
        <v>7104</v>
      </c>
      <c r="H1460" s="93" t="s">
        <v>118</v>
      </c>
      <c r="I1460" s="93" t="s">
        <v>111</v>
      </c>
      <c r="J1460" s="93" t="s">
        <v>118</v>
      </c>
      <c r="K1460" s="93">
        <v>3</v>
      </c>
      <c r="L1460" s="93" t="s">
        <v>111</v>
      </c>
      <c r="M1460" s="93" t="s">
        <v>111</v>
      </c>
      <c r="N1460" s="93" t="s">
        <v>111</v>
      </c>
      <c r="O1460" s="93" t="s">
        <v>111</v>
      </c>
      <c r="P1460" s="93" t="s">
        <v>111</v>
      </c>
      <c r="Q1460" s="93" t="s">
        <v>228</v>
      </c>
      <c r="R1460" s="93" t="s">
        <v>2</v>
      </c>
      <c r="S1460" s="93" t="s">
        <v>115</v>
      </c>
      <c r="T1460" s="93" t="s">
        <v>116</v>
      </c>
      <c r="U1460" s="94">
        <v>44596.561111111114</v>
      </c>
      <c r="V1460" s="93" t="s">
        <v>7913</v>
      </c>
      <c r="W1460" s="93" t="s">
        <v>24</v>
      </c>
    </row>
    <row r="1461" spans="1:23" x14ac:dyDescent="0.15">
      <c r="A1461" s="93" t="s">
        <v>8675</v>
      </c>
      <c r="B1461" s="93" t="s">
        <v>8676</v>
      </c>
      <c r="C1461" s="93">
        <v>240</v>
      </c>
      <c r="D1461" s="93" t="s">
        <v>24</v>
      </c>
      <c r="E1461" s="93" t="s">
        <v>9</v>
      </c>
      <c r="F1461" s="93" t="s">
        <v>7912</v>
      </c>
      <c r="G1461" s="93" t="s">
        <v>7104</v>
      </c>
      <c r="H1461" s="93" t="s">
        <v>118</v>
      </c>
      <c r="I1461" s="93" t="s">
        <v>111</v>
      </c>
      <c r="J1461" s="93" t="s">
        <v>7105</v>
      </c>
      <c r="K1461" s="93" t="s">
        <v>111</v>
      </c>
      <c r="L1461" s="93" t="s">
        <v>111</v>
      </c>
      <c r="M1461" s="93" t="s">
        <v>111</v>
      </c>
      <c r="N1461" s="93" t="s">
        <v>111</v>
      </c>
      <c r="O1461" s="93" t="s">
        <v>111</v>
      </c>
      <c r="P1461" s="93" t="s">
        <v>111</v>
      </c>
      <c r="Q1461" s="93" t="s">
        <v>111</v>
      </c>
      <c r="R1461" s="93" t="s">
        <v>2</v>
      </c>
      <c r="S1461" s="93" t="s">
        <v>111</v>
      </c>
      <c r="T1461" s="93" t="s">
        <v>116</v>
      </c>
      <c r="U1461" s="94">
        <v>44596.556250000001</v>
      </c>
      <c r="V1461" s="93" t="s">
        <v>7913</v>
      </c>
      <c r="W1461" s="93" t="s">
        <v>24</v>
      </c>
    </row>
    <row r="1462" spans="1:23" x14ac:dyDescent="0.15">
      <c r="A1462" s="93" t="s">
        <v>8677</v>
      </c>
      <c r="B1462" s="93" t="s">
        <v>8678</v>
      </c>
      <c r="C1462" s="93">
        <v>320</v>
      </c>
      <c r="D1462" s="93" t="s">
        <v>24</v>
      </c>
      <c r="E1462" s="93" t="s">
        <v>9</v>
      </c>
      <c r="F1462" s="93" t="s">
        <v>7912</v>
      </c>
      <c r="G1462" s="93" t="s">
        <v>7104</v>
      </c>
      <c r="H1462" s="93" t="s">
        <v>118</v>
      </c>
      <c r="I1462" s="93" t="s">
        <v>111</v>
      </c>
      <c r="J1462" s="93" t="s">
        <v>118</v>
      </c>
      <c r="K1462" s="93">
        <v>3</v>
      </c>
      <c r="L1462" s="93" t="s">
        <v>111</v>
      </c>
      <c r="M1462" s="93" t="s">
        <v>111</v>
      </c>
      <c r="N1462" s="93" t="s">
        <v>111</v>
      </c>
      <c r="O1462" s="93" t="s">
        <v>111</v>
      </c>
      <c r="P1462" s="93" t="s">
        <v>111</v>
      </c>
      <c r="Q1462" s="93" t="s">
        <v>228</v>
      </c>
      <c r="R1462" s="93" t="s">
        <v>2</v>
      </c>
      <c r="S1462" s="93" t="s">
        <v>115</v>
      </c>
      <c r="T1462" s="93" t="s">
        <v>116</v>
      </c>
      <c r="U1462" s="94">
        <v>44610.113888888889</v>
      </c>
      <c r="V1462" s="93" t="s">
        <v>7913</v>
      </c>
      <c r="W1462" s="93" t="s">
        <v>24</v>
      </c>
    </row>
    <row r="1463" spans="1:23" x14ac:dyDescent="0.15">
      <c r="A1463" s="93" t="s">
        <v>8679</v>
      </c>
      <c r="B1463" s="93" t="s">
        <v>8680</v>
      </c>
      <c r="C1463" s="93">
        <v>140</v>
      </c>
      <c r="D1463" s="93" t="s">
        <v>24</v>
      </c>
      <c r="E1463" s="93" t="s">
        <v>9</v>
      </c>
      <c r="F1463" s="93" t="s">
        <v>7912</v>
      </c>
      <c r="G1463" s="93" t="s">
        <v>7104</v>
      </c>
      <c r="H1463" s="93" t="s">
        <v>118</v>
      </c>
      <c r="I1463" s="93" t="s">
        <v>111</v>
      </c>
      <c r="J1463" s="93" t="s">
        <v>7105</v>
      </c>
      <c r="K1463" s="93" t="s">
        <v>111</v>
      </c>
      <c r="L1463" s="93" t="s">
        <v>111</v>
      </c>
      <c r="M1463" s="93" t="s">
        <v>111</v>
      </c>
      <c r="N1463" s="93" t="s">
        <v>111</v>
      </c>
      <c r="O1463" s="93" t="s">
        <v>111</v>
      </c>
      <c r="P1463" s="93" t="s">
        <v>111</v>
      </c>
      <c r="Q1463" s="93" t="s">
        <v>111</v>
      </c>
      <c r="R1463" s="93" t="s">
        <v>2</v>
      </c>
      <c r="S1463" s="93" t="s">
        <v>111</v>
      </c>
      <c r="T1463" s="93" t="s">
        <v>116</v>
      </c>
      <c r="U1463" s="94">
        <v>44596.56527777778</v>
      </c>
      <c r="V1463" s="93" t="s">
        <v>7913</v>
      </c>
      <c r="W1463" s="93" t="s">
        <v>24</v>
      </c>
    </row>
    <row r="1464" spans="1:23" x14ac:dyDescent="0.15">
      <c r="A1464" s="93" t="s">
        <v>8681</v>
      </c>
      <c r="B1464" s="93" t="s">
        <v>8682</v>
      </c>
      <c r="C1464" s="93">
        <v>280</v>
      </c>
      <c r="D1464" s="93" t="s">
        <v>24</v>
      </c>
      <c r="E1464" s="93" t="s">
        <v>9</v>
      </c>
      <c r="F1464" s="93" t="s">
        <v>7912</v>
      </c>
      <c r="G1464" s="93" t="s">
        <v>7104</v>
      </c>
      <c r="H1464" s="93" t="s">
        <v>118</v>
      </c>
      <c r="I1464" s="93" t="s">
        <v>111</v>
      </c>
      <c r="J1464" s="93" t="s">
        <v>7105</v>
      </c>
      <c r="K1464" s="93" t="s">
        <v>111</v>
      </c>
      <c r="L1464" s="93" t="s">
        <v>111</v>
      </c>
      <c r="M1464" s="93" t="s">
        <v>111</v>
      </c>
      <c r="N1464" s="93" t="s">
        <v>111</v>
      </c>
      <c r="O1464" s="93" t="s">
        <v>111</v>
      </c>
      <c r="P1464" s="93" t="s">
        <v>111</v>
      </c>
      <c r="Q1464" s="93" t="s">
        <v>111</v>
      </c>
      <c r="R1464" s="93" t="s">
        <v>2</v>
      </c>
      <c r="S1464" s="93" t="s">
        <v>111</v>
      </c>
      <c r="T1464" s="93" t="s">
        <v>116</v>
      </c>
      <c r="U1464" s="94">
        <v>44596.583333333336</v>
      </c>
      <c r="V1464" s="93" t="s">
        <v>7913</v>
      </c>
      <c r="W1464" s="93" t="s">
        <v>24</v>
      </c>
    </row>
    <row r="1465" spans="1:23" x14ac:dyDescent="0.15">
      <c r="A1465" s="93" t="s">
        <v>8683</v>
      </c>
      <c r="B1465" s="93" t="s">
        <v>8684</v>
      </c>
      <c r="C1465" s="93">
        <v>420</v>
      </c>
      <c r="D1465" s="93" t="s">
        <v>24</v>
      </c>
      <c r="E1465" s="93" t="s">
        <v>9</v>
      </c>
      <c r="F1465" s="93" t="s">
        <v>7912</v>
      </c>
      <c r="G1465" s="93" t="s">
        <v>7104</v>
      </c>
      <c r="H1465" s="93" t="s">
        <v>118</v>
      </c>
      <c r="I1465" s="93" t="s">
        <v>111</v>
      </c>
      <c r="J1465" s="93" t="s">
        <v>7105</v>
      </c>
      <c r="K1465" s="93" t="s">
        <v>111</v>
      </c>
      <c r="L1465" s="93" t="s">
        <v>111</v>
      </c>
      <c r="M1465" s="93" t="s">
        <v>111</v>
      </c>
      <c r="N1465" s="93" t="s">
        <v>111</v>
      </c>
      <c r="O1465" s="93" t="s">
        <v>111</v>
      </c>
      <c r="P1465" s="93" t="s">
        <v>111</v>
      </c>
      <c r="Q1465" s="93" t="s">
        <v>111</v>
      </c>
      <c r="R1465" s="93" t="s">
        <v>2</v>
      </c>
      <c r="S1465" s="93" t="s">
        <v>111</v>
      </c>
      <c r="T1465" s="93" t="s">
        <v>116</v>
      </c>
      <c r="U1465" s="94">
        <v>44596.609722222223</v>
      </c>
      <c r="V1465" s="93" t="s">
        <v>7913</v>
      </c>
      <c r="W1465" s="93" t="s">
        <v>24</v>
      </c>
    </row>
    <row r="1466" spans="1:23" x14ac:dyDescent="0.15">
      <c r="A1466" s="93" t="s">
        <v>8685</v>
      </c>
      <c r="B1466" s="93" t="s">
        <v>8686</v>
      </c>
      <c r="C1466" s="93">
        <v>230</v>
      </c>
      <c r="D1466" s="93" t="s">
        <v>24</v>
      </c>
      <c r="E1466" s="93" t="s">
        <v>9</v>
      </c>
      <c r="F1466" s="93" t="s">
        <v>7912</v>
      </c>
      <c r="G1466" s="93" t="s">
        <v>7104</v>
      </c>
      <c r="H1466" s="93" t="s">
        <v>118</v>
      </c>
      <c r="I1466" s="93" t="s">
        <v>111</v>
      </c>
      <c r="J1466" s="93" t="s">
        <v>7105</v>
      </c>
      <c r="K1466" s="93" t="s">
        <v>111</v>
      </c>
      <c r="L1466" s="93" t="s">
        <v>111</v>
      </c>
      <c r="M1466" s="93" t="s">
        <v>111</v>
      </c>
      <c r="N1466" s="93" t="s">
        <v>111</v>
      </c>
      <c r="O1466" s="93" t="s">
        <v>111</v>
      </c>
      <c r="P1466" s="93" t="s">
        <v>111</v>
      </c>
      <c r="Q1466" s="93" t="s">
        <v>111</v>
      </c>
      <c r="R1466" s="93" t="s">
        <v>2</v>
      </c>
      <c r="S1466" s="93" t="s">
        <v>111</v>
      </c>
      <c r="T1466" s="93" t="s">
        <v>116</v>
      </c>
      <c r="U1466" s="94">
        <v>44596.557638888888</v>
      </c>
      <c r="V1466" s="93" t="s">
        <v>7913</v>
      </c>
      <c r="W1466" s="93" t="s">
        <v>24</v>
      </c>
    </row>
    <row r="1467" spans="1:23" x14ac:dyDescent="0.15">
      <c r="A1467" s="93" t="s">
        <v>8687</v>
      </c>
      <c r="B1467" s="93" t="s">
        <v>8688</v>
      </c>
      <c r="C1467" s="93">
        <v>460</v>
      </c>
      <c r="D1467" s="93" t="s">
        <v>24</v>
      </c>
      <c r="E1467" s="93" t="s">
        <v>9</v>
      </c>
      <c r="F1467" s="93" t="s">
        <v>7912</v>
      </c>
      <c r="G1467" s="93" t="s">
        <v>7104</v>
      </c>
      <c r="H1467" s="93" t="s">
        <v>118</v>
      </c>
      <c r="I1467" s="93" t="s">
        <v>111</v>
      </c>
      <c r="J1467" s="93" t="s">
        <v>7105</v>
      </c>
      <c r="K1467" s="93" t="s">
        <v>111</v>
      </c>
      <c r="L1467" s="93" t="s">
        <v>111</v>
      </c>
      <c r="M1467" s="93" t="s">
        <v>111</v>
      </c>
      <c r="N1467" s="93" t="s">
        <v>111</v>
      </c>
      <c r="O1467" s="93" t="s">
        <v>111</v>
      </c>
      <c r="P1467" s="93" t="s">
        <v>111</v>
      </c>
      <c r="Q1467" s="93" t="s">
        <v>111</v>
      </c>
      <c r="R1467" s="93" t="s">
        <v>2</v>
      </c>
      <c r="S1467" s="93" t="s">
        <v>111</v>
      </c>
      <c r="T1467" s="93" t="s">
        <v>116</v>
      </c>
      <c r="U1467" s="94">
        <v>44596.61041666667</v>
      </c>
      <c r="V1467" s="93" t="s">
        <v>7913</v>
      </c>
      <c r="W1467" s="93" t="s">
        <v>24</v>
      </c>
    </row>
    <row r="1468" spans="1:23" x14ac:dyDescent="0.15">
      <c r="A1468" s="93" t="s">
        <v>8689</v>
      </c>
      <c r="B1468" s="93" t="s">
        <v>8690</v>
      </c>
      <c r="C1468" s="93">
        <v>320</v>
      </c>
      <c r="D1468" s="93" t="s">
        <v>24</v>
      </c>
      <c r="E1468" s="93" t="s">
        <v>24</v>
      </c>
      <c r="F1468" s="93" t="s">
        <v>126</v>
      </c>
      <c r="G1468" s="93" t="s">
        <v>7104</v>
      </c>
      <c r="H1468" s="93" t="s">
        <v>118</v>
      </c>
      <c r="I1468" s="93" t="s">
        <v>111</v>
      </c>
      <c r="J1468" s="93" t="s">
        <v>7105</v>
      </c>
      <c r="K1468" s="93" t="s">
        <v>111</v>
      </c>
      <c r="L1468" s="93" t="s">
        <v>111</v>
      </c>
      <c r="M1468" s="93" t="s">
        <v>111</v>
      </c>
      <c r="N1468" s="93" t="s">
        <v>111</v>
      </c>
      <c r="O1468" s="93" t="s">
        <v>111</v>
      </c>
      <c r="P1468" s="93" t="s">
        <v>111</v>
      </c>
      <c r="Q1468" s="93" t="s">
        <v>111</v>
      </c>
      <c r="R1468" s="93" t="s">
        <v>2</v>
      </c>
      <c r="S1468" s="93" t="s">
        <v>111</v>
      </c>
      <c r="T1468" s="93" t="s">
        <v>116</v>
      </c>
      <c r="U1468" s="94">
        <v>44610.107638888891</v>
      </c>
      <c r="V1468" s="93" t="s">
        <v>7072</v>
      </c>
      <c r="W1468" s="93" t="s">
        <v>24</v>
      </c>
    </row>
    <row r="1469" spans="1:23" x14ac:dyDescent="0.15">
      <c r="A1469" s="93" t="s">
        <v>8691</v>
      </c>
      <c r="B1469" s="93" t="s">
        <v>8692</v>
      </c>
      <c r="C1469" s="93">
        <v>390</v>
      </c>
      <c r="D1469" s="93" t="s">
        <v>24</v>
      </c>
      <c r="E1469" s="93" t="s">
        <v>24</v>
      </c>
      <c r="F1469" s="93" t="s">
        <v>126</v>
      </c>
      <c r="G1469" s="93" t="s">
        <v>7104</v>
      </c>
      <c r="H1469" s="93" t="s">
        <v>118</v>
      </c>
      <c r="I1469" s="93" t="s">
        <v>111</v>
      </c>
      <c r="J1469" s="93" t="s">
        <v>7105</v>
      </c>
      <c r="K1469" s="93" t="s">
        <v>111</v>
      </c>
      <c r="L1469" s="93" t="s">
        <v>111</v>
      </c>
      <c r="M1469" s="93" t="s">
        <v>111</v>
      </c>
      <c r="N1469" s="93" t="s">
        <v>111</v>
      </c>
      <c r="O1469" s="93" t="s">
        <v>111</v>
      </c>
      <c r="P1469" s="93" t="s">
        <v>111</v>
      </c>
      <c r="Q1469" s="93" t="s">
        <v>111</v>
      </c>
      <c r="R1469" s="93" t="s">
        <v>2</v>
      </c>
      <c r="S1469" s="93" t="s">
        <v>111</v>
      </c>
      <c r="T1469" s="93" t="s">
        <v>116</v>
      </c>
      <c r="U1469" s="94">
        <v>44610.076388888891</v>
      </c>
      <c r="V1469" s="93" t="s">
        <v>7072</v>
      </c>
      <c r="W1469" s="93" t="s">
        <v>24</v>
      </c>
    </row>
    <row r="1470" spans="1:23" x14ac:dyDescent="0.15">
      <c r="A1470" s="93" t="s">
        <v>8693</v>
      </c>
      <c r="B1470" s="93" t="s">
        <v>8694</v>
      </c>
      <c r="C1470" s="93">
        <v>80</v>
      </c>
      <c r="D1470" s="93" t="s">
        <v>24</v>
      </c>
      <c r="E1470" s="93" t="s">
        <v>24</v>
      </c>
      <c r="F1470" s="93" t="s">
        <v>126</v>
      </c>
      <c r="G1470" s="93" t="s">
        <v>7104</v>
      </c>
      <c r="H1470" s="93" t="s">
        <v>118</v>
      </c>
      <c r="I1470" s="93" t="s">
        <v>111</v>
      </c>
      <c r="J1470" s="93" t="s">
        <v>7105</v>
      </c>
      <c r="K1470" s="93" t="s">
        <v>111</v>
      </c>
      <c r="L1470" s="93" t="s">
        <v>111</v>
      </c>
      <c r="M1470" s="93" t="s">
        <v>111</v>
      </c>
      <c r="N1470" s="93" t="s">
        <v>111</v>
      </c>
      <c r="O1470" s="93" t="s">
        <v>111</v>
      </c>
      <c r="P1470" s="93" t="s">
        <v>111</v>
      </c>
      <c r="Q1470" s="93" t="s">
        <v>111</v>
      </c>
      <c r="R1470" s="93" t="s">
        <v>2</v>
      </c>
      <c r="S1470" s="93" t="s">
        <v>111</v>
      </c>
      <c r="T1470" s="93" t="s">
        <v>116</v>
      </c>
      <c r="U1470" s="94">
        <v>44610.107638888891</v>
      </c>
      <c r="V1470" s="93" t="s">
        <v>7072</v>
      </c>
      <c r="W1470" s="93" t="s">
        <v>24</v>
      </c>
    </row>
    <row r="1471" spans="1:23" x14ac:dyDescent="0.15">
      <c r="A1471" s="93" t="s">
        <v>8695</v>
      </c>
      <c r="B1471" s="93" t="s">
        <v>8696</v>
      </c>
      <c r="C1471" s="93">
        <v>140</v>
      </c>
      <c r="D1471" s="93" t="s">
        <v>24</v>
      </c>
      <c r="E1471" s="93" t="s">
        <v>24</v>
      </c>
      <c r="F1471" s="93" t="s">
        <v>126</v>
      </c>
      <c r="G1471" s="93" t="s">
        <v>7104</v>
      </c>
      <c r="H1471" s="93" t="s">
        <v>118</v>
      </c>
      <c r="I1471" s="93" t="s">
        <v>111</v>
      </c>
      <c r="J1471" s="93" t="s">
        <v>7105</v>
      </c>
      <c r="K1471" s="93" t="s">
        <v>111</v>
      </c>
      <c r="L1471" s="93" t="s">
        <v>111</v>
      </c>
      <c r="M1471" s="93" t="s">
        <v>111</v>
      </c>
      <c r="N1471" s="93" t="s">
        <v>111</v>
      </c>
      <c r="O1471" s="93" t="s">
        <v>111</v>
      </c>
      <c r="P1471" s="93" t="s">
        <v>111</v>
      </c>
      <c r="Q1471" s="93" t="s">
        <v>111</v>
      </c>
      <c r="R1471" s="93" t="s">
        <v>2</v>
      </c>
      <c r="S1471" s="93" t="s">
        <v>111</v>
      </c>
      <c r="T1471" s="93" t="s">
        <v>116</v>
      </c>
      <c r="U1471" s="94">
        <v>44610.093055555553</v>
      </c>
      <c r="V1471" s="93" t="s">
        <v>7072</v>
      </c>
      <c r="W1471" s="93" t="s">
        <v>24</v>
      </c>
    </row>
    <row r="1472" spans="1:23" x14ac:dyDescent="0.15">
      <c r="A1472" s="93" t="s">
        <v>8697</v>
      </c>
      <c r="B1472" s="93" t="s">
        <v>8698</v>
      </c>
      <c r="C1472" s="93">
        <v>230</v>
      </c>
      <c r="D1472" s="93" t="s">
        <v>24</v>
      </c>
      <c r="E1472" s="93" t="s">
        <v>24</v>
      </c>
      <c r="F1472" s="93" t="s">
        <v>126</v>
      </c>
      <c r="G1472" s="93" t="s">
        <v>7104</v>
      </c>
      <c r="H1472" s="93" t="s">
        <v>118</v>
      </c>
      <c r="I1472" s="93" t="s">
        <v>111</v>
      </c>
      <c r="J1472" s="93" t="s">
        <v>7105</v>
      </c>
      <c r="K1472" s="93" t="s">
        <v>111</v>
      </c>
      <c r="L1472" s="93" t="s">
        <v>111</v>
      </c>
      <c r="M1472" s="93" t="s">
        <v>111</v>
      </c>
      <c r="N1472" s="93" t="s">
        <v>111</v>
      </c>
      <c r="O1472" s="93" t="s">
        <v>111</v>
      </c>
      <c r="P1472" s="93" t="s">
        <v>111</v>
      </c>
      <c r="Q1472" s="93" t="s">
        <v>111</v>
      </c>
      <c r="R1472" s="93" t="s">
        <v>2</v>
      </c>
      <c r="S1472" s="93" t="s">
        <v>111</v>
      </c>
      <c r="T1472" s="93" t="s">
        <v>116</v>
      </c>
      <c r="U1472" s="94">
        <v>44610.101388888892</v>
      </c>
      <c r="V1472" s="93" t="s">
        <v>7072</v>
      </c>
      <c r="W1472" s="93" t="s">
        <v>24</v>
      </c>
    </row>
    <row r="1473" spans="1:23" x14ac:dyDescent="0.15">
      <c r="A1473" s="93" t="s">
        <v>8699</v>
      </c>
      <c r="B1473" s="93" t="s">
        <v>8700</v>
      </c>
      <c r="C1473" s="93">
        <v>340</v>
      </c>
      <c r="D1473" s="93" t="s">
        <v>24</v>
      </c>
      <c r="E1473" s="93" t="s">
        <v>24</v>
      </c>
      <c r="F1473" s="93" t="s">
        <v>126</v>
      </c>
      <c r="G1473" s="93" t="s">
        <v>7104</v>
      </c>
      <c r="H1473" s="93" t="s">
        <v>118</v>
      </c>
      <c r="I1473" s="93" t="s">
        <v>111</v>
      </c>
      <c r="J1473" s="93" t="s">
        <v>7105</v>
      </c>
      <c r="K1473" s="93" t="s">
        <v>111</v>
      </c>
      <c r="L1473" s="93" t="s">
        <v>111</v>
      </c>
      <c r="M1473" s="93" t="s">
        <v>111</v>
      </c>
      <c r="N1473" s="93" t="s">
        <v>111</v>
      </c>
      <c r="O1473" s="93" t="s">
        <v>111</v>
      </c>
      <c r="P1473" s="93" t="s">
        <v>111</v>
      </c>
      <c r="Q1473" s="93" t="s">
        <v>111</v>
      </c>
      <c r="R1473" s="93" t="s">
        <v>111</v>
      </c>
      <c r="S1473" s="93" t="s">
        <v>111</v>
      </c>
      <c r="T1473" s="93" t="s">
        <v>116</v>
      </c>
      <c r="U1473" s="94">
        <v>44610.059027777781</v>
      </c>
      <c r="V1473" s="93" t="s">
        <v>7072</v>
      </c>
      <c r="W1473" s="93" t="s">
        <v>24</v>
      </c>
    </row>
    <row r="1474" spans="1:23" x14ac:dyDescent="0.15">
      <c r="A1474" s="93" t="s">
        <v>8701</v>
      </c>
      <c r="B1474" s="93" t="s">
        <v>8702</v>
      </c>
      <c r="C1474" s="93">
        <v>680</v>
      </c>
      <c r="D1474" s="93" t="s">
        <v>24</v>
      </c>
      <c r="E1474" s="93" t="s">
        <v>24</v>
      </c>
      <c r="F1474" s="93" t="s">
        <v>126</v>
      </c>
      <c r="G1474" s="93" t="s">
        <v>7104</v>
      </c>
      <c r="H1474" s="93" t="s">
        <v>118</v>
      </c>
      <c r="I1474" s="93" t="s">
        <v>111</v>
      </c>
      <c r="J1474" s="93" t="s">
        <v>7105</v>
      </c>
      <c r="K1474" s="93" t="s">
        <v>111</v>
      </c>
      <c r="L1474" s="93" t="s">
        <v>111</v>
      </c>
      <c r="M1474" s="93" t="s">
        <v>111</v>
      </c>
      <c r="N1474" s="93" t="s">
        <v>111</v>
      </c>
      <c r="O1474" s="93" t="s">
        <v>111</v>
      </c>
      <c r="P1474" s="93" t="s">
        <v>111</v>
      </c>
      <c r="Q1474" s="93" t="s">
        <v>111</v>
      </c>
      <c r="R1474" s="93" t="s">
        <v>111</v>
      </c>
      <c r="S1474" s="93" t="s">
        <v>111</v>
      </c>
      <c r="T1474" s="93" t="s">
        <v>116</v>
      </c>
      <c r="U1474" s="94">
        <v>44610.121527777781</v>
      </c>
      <c r="V1474" s="93" t="s">
        <v>7072</v>
      </c>
      <c r="W1474" s="93" t="s">
        <v>24</v>
      </c>
    </row>
    <row r="1475" spans="1:23" x14ac:dyDescent="0.15">
      <c r="A1475" s="93" t="s">
        <v>8703</v>
      </c>
      <c r="B1475" s="93" t="s">
        <v>8704</v>
      </c>
      <c r="C1475" s="93">
        <v>1020</v>
      </c>
      <c r="D1475" s="93" t="s">
        <v>24</v>
      </c>
      <c r="E1475" s="93" t="s">
        <v>24</v>
      </c>
      <c r="F1475" s="93" t="s">
        <v>126</v>
      </c>
      <c r="G1475" s="93" t="s">
        <v>7104</v>
      </c>
      <c r="H1475" s="93" t="s">
        <v>118</v>
      </c>
      <c r="I1475" s="93" t="s">
        <v>111</v>
      </c>
      <c r="J1475" s="93" t="s">
        <v>7105</v>
      </c>
      <c r="K1475" s="93" t="s">
        <v>111</v>
      </c>
      <c r="L1475" s="93" t="s">
        <v>111</v>
      </c>
      <c r="M1475" s="93" t="s">
        <v>111</v>
      </c>
      <c r="N1475" s="93" t="s">
        <v>111</v>
      </c>
      <c r="O1475" s="93" t="s">
        <v>111</v>
      </c>
      <c r="P1475" s="93" t="s">
        <v>111</v>
      </c>
      <c r="Q1475" s="93" t="s">
        <v>111</v>
      </c>
      <c r="R1475" s="93" t="s">
        <v>2</v>
      </c>
      <c r="S1475" s="93" t="s">
        <v>111</v>
      </c>
      <c r="T1475" s="93" t="s">
        <v>116</v>
      </c>
      <c r="U1475" s="94">
        <v>44610.083333333336</v>
      </c>
      <c r="V1475" s="93" t="s">
        <v>7072</v>
      </c>
      <c r="W1475" s="93" t="s">
        <v>24</v>
      </c>
    </row>
    <row r="1476" spans="1:23" x14ac:dyDescent="0.15">
      <c r="A1476" s="93" t="s">
        <v>8705</v>
      </c>
      <c r="B1476" s="93" t="s">
        <v>8706</v>
      </c>
      <c r="C1476" s="93">
        <v>410</v>
      </c>
      <c r="D1476" s="93" t="s">
        <v>24</v>
      </c>
      <c r="E1476" s="93" t="s">
        <v>24</v>
      </c>
      <c r="F1476" s="93" t="s">
        <v>126</v>
      </c>
      <c r="G1476" s="93" t="s">
        <v>7104</v>
      </c>
      <c r="H1476" s="93" t="s">
        <v>118</v>
      </c>
      <c r="I1476" s="93" t="s">
        <v>111</v>
      </c>
      <c r="J1476" s="93" t="s">
        <v>7105</v>
      </c>
      <c r="K1476" s="93" t="s">
        <v>111</v>
      </c>
      <c r="L1476" s="93" t="s">
        <v>111</v>
      </c>
      <c r="M1476" s="93" t="s">
        <v>111</v>
      </c>
      <c r="N1476" s="93" t="s">
        <v>111</v>
      </c>
      <c r="O1476" s="93" t="s">
        <v>111</v>
      </c>
      <c r="P1476" s="93" t="s">
        <v>111</v>
      </c>
      <c r="Q1476" s="93" t="s">
        <v>111</v>
      </c>
      <c r="R1476" s="93" t="s">
        <v>2</v>
      </c>
      <c r="S1476" s="93" t="s">
        <v>111</v>
      </c>
      <c r="T1476" s="93" t="s">
        <v>116</v>
      </c>
      <c r="U1476" s="94">
        <v>44610.114583333336</v>
      </c>
      <c r="V1476" s="93" t="s">
        <v>7072</v>
      </c>
      <c r="W1476" s="93" t="s">
        <v>24</v>
      </c>
    </row>
    <row r="1477" spans="1:23" x14ac:dyDescent="0.15">
      <c r="A1477" s="93" t="s">
        <v>8707</v>
      </c>
      <c r="B1477" s="93" t="s">
        <v>8708</v>
      </c>
      <c r="C1477" s="93">
        <v>820</v>
      </c>
      <c r="D1477" s="93" t="s">
        <v>24</v>
      </c>
      <c r="E1477" s="93" t="s">
        <v>24</v>
      </c>
      <c r="F1477" s="93" t="s">
        <v>126</v>
      </c>
      <c r="G1477" s="93" t="s">
        <v>7104</v>
      </c>
      <c r="H1477" s="93" t="s">
        <v>118</v>
      </c>
      <c r="I1477" s="93" t="s">
        <v>111</v>
      </c>
      <c r="J1477" s="93" t="s">
        <v>7105</v>
      </c>
      <c r="K1477" s="93" t="s">
        <v>111</v>
      </c>
      <c r="L1477" s="93" t="s">
        <v>111</v>
      </c>
      <c r="M1477" s="93" t="s">
        <v>111</v>
      </c>
      <c r="N1477" s="93" t="s">
        <v>111</v>
      </c>
      <c r="O1477" s="93" t="s">
        <v>111</v>
      </c>
      <c r="P1477" s="93" t="s">
        <v>111</v>
      </c>
      <c r="Q1477" s="93" t="s">
        <v>111</v>
      </c>
      <c r="R1477" s="93" t="s">
        <v>2</v>
      </c>
      <c r="S1477" s="93" t="s">
        <v>111</v>
      </c>
      <c r="T1477" s="93" t="s">
        <v>116</v>
      </c>
      <c r="U1477" s="94">
        <v>44610.059027777781</v>
      </c>
      <c r="V1477" s="93" t="s">
        <v>7072</v>
      </c>
      <c r="W1477" s="93" t="s">
        <v>24</v>
      </c>
    </row>
    <row r="1478" spans="1:23" x14ac:dyDescent="0.15">
      <c r="A1478" s="93" t="s">
        <v>8709</v>
      </c>
      <c r="B1478" s="93" t="s">
        <v>8710</v>
      </c>
      <c r="C1478" s="93">
        <v>1230</v>
      </c>
      <c r="D1478" s="93" t="s">
        <v>24</v>
      </c>
      <c r="E1478" s="93" t="s">
        <v>24</v>
      </c>
      <c r="F1478" s="93" t="s">
        <v>126</v>
      </c>
      <c r="G1478" s="93" t="s">
        <v>7104</v>
      </c>
      <c r="H1478" s="93" t="s">
        <v>118</v>
      </c>
      <c r="I1478" s="93" t="s">
        <v>111</v>
      </c>
      <c r="J1478" s="93" t="s">
        <v>7105</v>
      </c>
      <c r="K1478" s="93" t="s">
        <v>111</v>
      </c>
      <c r="L1478" s="93" t="s">
        <v>111</v>
      </c>
      <c r="M1478" s="93" t="s">
        <v>111</v>
      </c>
      <c r="N1478" s="93" t="s">
        <v>111</v>
      </c>
      <c r="O1478" s="93" t="s">
        <v>111</v>
      </c>
      <c r="P1478" s="93" t="s">
        <v>111</v>
      </c>
      <c r="Q1478" s="93" t="s">
        <v>111</v>
      </c>
      <c r="R1478" s="93" t="s">
        <v>2</v>
      </c>
      <c r="S1478" s="93" t="s">
        <v>111</v>
      </c>
      <c r="T1478" s="93" t="s">
        <v>116</v>
      </c>
      <c r="U1478" s="94">
        <v>44610.121527777781</v>
      </c>
      <c r="V1478" s="93" t="s">
        <v>7072</v>
      </c>
      <c r="W1478" s="93" t="s">
        <v>24</v>
      </c>
    </row>
    <row r="1479" spans="1:23" x14ac:dyDescent="0.15">
      <c r="A1479" s="93" t="s">
        <v>8711</v>
      </c>
      <c r="B1479" s="93" t="s">
        <v>8712</v>
      </c>
      <c r="C1479" s="93">
        <v>80</v>
      </c>
      <c r="D1479" s="93" t="s">
        <v>24</v>
      </c>
      <c r="E1479" s="93" t="s">
        <v>24</v>
      </c>
      <c r="F1479" s="93" t="s">
        <v>126</v>
      </c>
      <c r="G1479" s="93" t="s">
        <v>7104</v>
      </c>
      <c r="H1479" s="93" t="s">
        <v>118</v>
      </c>
      <c r="I1479" s="93" t="s">
        <v>111</v>
      </c>
      <c r="J1479" s="93" t="s">
        <v>7105</v>
      </c>
      <c r="K1479" s="93" t="s">
        <v>111</v>
      </c>
      <c r="L1479" s="93" t="s">
        <v>111</v>
      </c>
      <c r="M1479" s="93" t="s">
        <v>111</v>
      </c>
      <c r="N1479" s="93" t="s">
        <v>111</v>
      </c>
      <c r="O1479" s="93" t="s">
        <v>111</v>
      </c>
      <c r="P1479" s="93" t="s">
        <v>111</v>
      </c>
      <c r="Q1479" s="93" t="s">
        <v>111</v>
      </c>
      <c r="R1479" s="93" t="s">
        <v>111</v>
      </c>
      <c r="S1479" s="93" t="s">
        <v>111</v>
      </c>
      <c r="T1479" s="93" t="s">
        <v>116</v>
      </c>
      <c r="U1479" s="94">
        <v>44610.114583333336</v>
      </c>
      <c r="V1479" s="93" t="s">
        <v>7072</v>
      </c>
      <c r="W1479" s="93" t="s">
        <v>24</v>
      </c>
    </row>
    <row r="1480" spans="1:23" x14ac:dyDescent="0.15">
      <c r="A1480" s="93" t="s">
        <v>8713</v>
      </c>
      <c r="B1480" s="93" t="s">
        <v>8714</v>
      </c>
      <c r="C1480" s="93">
        <v>160</v>
      </c>
      <c r="D1480" s="93" t="s">
        <v>24</v>
      </c>
      <c r="E1480" s="93" t="s">
        <v>24</v>
      </c>
      <c r="F1480" s="93" t="s">
        <v>126</v>
      </c>
      <c r="G1480" s="93" t="s">
        <v>7104</v>
      </c>
      <c r="H1480" s="93" t="s">
        <v>118</v>
      </c>
      <c r="I1480" s="93" t="s">
        <v>111</v>
      </c>
      <c r="J1480" s="93" t="s">
        <v>7105</v>
      </c>
      <c r="K1480" s="93" t="s">
        <v>111</v>
      </c>
      <c r="L1480" s="93" t="s">
        <v>111</v>
      </c>
      <c r="M1480" s="93" t="s">
        <v>111</v>
      </c>
      <c r="N1480" s="93" t="s">
        <v>111</v>
      </c>
      <c r="O1480" s="93" t="s">
        <v>111</v>
      </c>
      <c r="P1480" s="93" t="s">
        <v>111</v>
      </c>
      <c r="Q1480" s="93" t="s">
        <v>111</v>
      </c>
      <c r="R1480" s="93" t="s">
        <v>111</v>
      </c>
      <c r="S1480" s="93" t="s">
        <v>111</v>
      </c>
      <c r="T1480" s="93" t="s">
        <v>116</v>
      </c>
      <c r="U1480" s="94">
        <v>44610.059027777781</v>
      </c>
      <c r="V1480" s="93" t="s">
        <v>7072</v>
      </c>
      <c r="W1480" s="93" t="s">
        <v>24</v>
      </c>
    </row>
    <row r="1481" spans="1:23" x14ac:dyDescent="0.15">
      <c r="A1481" s="93" t="s">
        <v>8715</v>
      </c>
      <c r="B1481" s="93" t="s">
        <v>8716</v>
      </c>
      <c r="C1481" s="93">
        <v>240</v>
      </c>
      <c r="D1481" s="93" t="s">
        <v>24</v>
      </c>
      <c r="E1481" s="93" t="s">
        <v>24</v>
      </c>
      <c r="F1481" s="93" t="s">
        <v>126</v>
      </c>
      <c r="G1481" s="93" t="s">
        <v>7104</v>
      </c>
      <c r="H1481" s="93" t="s">
        <v>118</v>
      </c>
      <c r="I1481" s="93" t="s">
        <v>111</v>
      </c>
      <c r="J1481" s="93" t="s">
        <v>7105</v>
      </c>
      <c r="K1481" s="93" t="s">
        <v>111</v>
      </c>
      <c r="L1481" s="93" t="s">
        <v>111</v>
      </c>
      <c r="M1481" s="93" t="s">
        <v>111</v>
      </c>
      <c r="N1481" s="93" t="s">
        <v>111</v>
      </c>
      <c r="O1481" s="93" t="s">
        <v>111</v>
      </c>
      <c r="P1481" s="93" t="s">
        <v>111</v>
      </c>
      <c r="Q1481" s="93" t="s">
        <v>111</v>
      </c>
      <c r="R1481" s="93" t="s">
        <v>2</v>
      </c>
      <c r="S1481" s="93" t="s">
        <v>111</v>
      </c>
      <c r="T1481" s="93" t="s">
        <v>116</v>
      </c>
      <c r="U1481" s="94">
        <v>44610.121527777781</v>
      </c>
      <c r="V1481" s="93" t="s">
        <v>7072</v>
      </c>
      <c r="W1481" s="93" t="s">
        <v>24</v>
      </c>
    </row>
    <row r="1482" spans="1:23" x14ac:dyDescent="0.15">
      <c r="A1482" s="93" t="s">
        <v>8717</v>
      </c>
      <c r="B1482" s="93" t="s">
        <v>8718</v>
      </c>
      <c r="C1482" s="93">
        <v>640</v>
      </c>
      <c r="D1482" s="93" t="s">
        <v>24</v>
      </c>
      <c r="E1482" s="93" t="s">
        <v>24</v>
      </c>
      <c r="F1482" s="93" t="s">
        <v>126</v>
      </c>
      <c r="G1482" s="93" t="s">
        <v>7104</v>
      </c>
      <c r="H1482" s="93" t="s">
        <v>118</v>
      </c>
      <c r="I1482" s="93" t="s">
        <v>111</v>
      </c>
      <c r="J1482" s="93" t="s">
        <v>7105</v>
      </c>
      <c r="K1482" s="93" t="s">
        <v>111</v>
      </c>
      <c r="L1482" s="93" t="s">
        <v>111</v>
      </c>
      <c r="M1482" s="93" t="s">
        <v>111</v>
      </c>
      <c r="N1482" s="93" t="s">
        <v>111</v>
      </c>
      <c r="O1482" s="93" t="s">
        <v>111</v>
      </c>
      <c r="P1482" s="93" t="s">
        <v>111</v>
      </c>
      <c r="Q1482" s="93" t="s">
        <v>111</v>
      </c>
      <c r="R1482" s="93" t="s">
        <v>2</v>
      </c>
      <c r="S1482" s="93" t="s">
        <v>111</v>
      </c>
      <c r="T1482" s="93" t="s">
        <v>116</v>
      </c>
      <c r="U1482" s="94">
        <v>44610.054861111108</v>
      </c>
      <c r="V1482" s="93" t="s">
        <v>7072</v>
      </c>
      <c r="W1482" s="93" t="s">
        <v>24</v>
      </c>
    </row>
    <row r="1483" spans="1:23" x14ac:dyDescent="0.15">
      <c r="A1483" s="93" t="s">
        <v>8719</v>
      </c>
      <c r="B1483" s="93" t="s">
        <v>8720</v>
      </c>
      <c r="C1483" s="93">
        <v>46.67</v>
      </c>
      <c r="D1483" s="93" t="s">
        <v>24</v>
      </c>
      <c r="E1483" s="93" t="s">
        <v>24</v>
      </c>
      <c r="F1483" s="93" t="s">
        <v>126</v>
      </c>
      <c r="G1483" s="93" t="s">
        <v>7104</v>
      </c>
      <c r="H1483" s="93" t="s">
        <v>118</v>
      </c>
      <c r="I1483" s="93" t="s">
        <v>111</v>
      </c>
      <c r="J1483" s="93" t="s">
        <v>7105</v>
      </c>
      <c r="K1483" s="93" t="s">
        <v>111</v>
      </c>
      <c r="L1483" s="93" t="s">
        <v>111</v>
      </c>
      <c r="M1483" s="93" t="s">
        <v>111</v>
      </c>
      <c r="N1483" s="93" t="s">
        <v>111</v>
      </c>
      <c r="O1483" s="93" t="s">
        <v>111</v>
      </c>
      <c r="P1483" s="93" t="s">
        <v>111</v>
      </c>
      <c r="Q1483" s="93" t="s">
        <v>111</v>
      </c>
      <c r="R1483" s="93" t="s">
        <v>2</v>
      </c>
      <c r="S1483" s="93" t="s">
        <v>111</v>
      </c>
      <c r="T1483" s="93" t="s">
        <v>116</v>
      </c>
      <c r="U1483" s="94">
        <v>44610.101388888892</v>
      </c>
      <c r="V1483" s="93" t="s">
        <v>7072</v>
      </c>
      <c r="W1483" s="93" t="s">
        <v>24</v>
      </c>
    </row>
    <row r="1484" spans="1:23" x14ac:dyDescent="0.15">
      <c r="A1484" s="93" t="s">
        <v>8721</v>
      </c>
      <c r="B1484" s="93" t="s">
        <v>8722</v>
      </c>
      <c r="C1484" s="93">
        <v>780</v>
      </c>
      <c r="D1484" s="93" t="s">
        <v>24</v>
      </c>
      <c r="E1484" s="93" t="s">
        <v>24</v>
      </c>
      <c r="F1484" s="93" t="s">
        <v>126</v>
      </c>
      <c r="G1484" s="93" t="s">
        <v>7104</v>
      </c>
      <c r="H1484" s="93" t="s">
        <v>118</v>
      </c>
      <c r="I1484" s="93" t="s">
        <v>111</v>
      </c>
      <c r="J1484" s="93" t="s">
        <v>7105</v>
      </c>
      <c r="K1484" s="93" t="s">
        <v>111</v>
      </c>
      <c r="L1484" s="93" t="s">
        <v>111</v>
      </c>
      <c r="M1484" s="93" t="s">
        <v>111</v>
      </c>
      <c r="N1484" s="93" t="s">
        <v>111</v>
      </c>
      <c r="O1484" s="93" t="s">
        <v>111</v>
      </c>
      <c r="P1484" s="93" t="s">
        <v>111</v>
      </c>
      <c r="Q1484" s="93" t="s">
        <v>111</v>
      </c>
      <c r="R1484" s="93" t="s">
        <v>2</v>
      </c>
      <c r="S1484" s="93" t="s">
        <v>111</v>
      </c>
      <c r="T1484" s="93" t="s">
        <v>116</v>
      </c>
      <c r="U1484" s="94">
        <v>44610.054166666669</v>
      </c>
      <c r="V1484" s="93" t="s">
        <v>7072</v>
      </c>
      <c r="W1484" s="93" t="s">
        <v>24</v>
      </c>
    </row>
    <row r="1485" spans="1:23" x14ac:dyDescent="0.15">
      <c r="A1485" s="93" t="s">
        <v>8723</v>
      </c>
      <c r="B1485" s="93" t="s">
        <v>8724</v>
      </c>
      <c r="C1485" s="93">
        <v>20.95</v>
      </c>
      <c r="D1485" s="93" t="s">
        <v>24</v>
      </c>
      <c r="E1485" s="93" t="s">
        <v>24</v>
      </c>
      <c r="F1485" s="93" t="s">
        <v>126</v>
      </c>
      <c r="G1485" s="93" t="s">
        <v>7104</v>
      </c>
      <c r="H1485" s="93" t="s">
        <v>118</v>
      </c>
      <c r="I1485" s="93" t="s">
        <v>111</v>
      </c>
      <c r="J1485" s="93" t="s">
        <v>7105</v>
      </c>
      <c r="K1485" s="93" t="s">
        <v>111</v>
      </c>
      <c r="L1485" s="93" t="s">
        <v>111</v>
      </c>
      <c r="M1485" s="93" t="s">
        <v>111</v>
      </c>
      <c r="N1485" s="93" t="s">
        <v>111</v>
      </c>
      <c r="O1485" s="93" t="s">
        <v>111</v>
      </c>
      <c r="P1485" s="93" t="s">
        <v>111</v>
      </c>
      <c r="Q1485" s="93" t="s">
        <v>111</v>
      </c>
      <c r="R1485" s="93" t="s">
        <v>2</v>
      </c>
      <c r="S1485" s="93" t="s">
        <v>111</v>
      </c>
      <c r="T1485" s="93" t="s">
        <v>116</v>
      </c>
      <c r="U1485" s="94">
        <v>44610.114583333336</v>
      </c>
      <c r="V1485" s="93" t="s">
        <v>7072</v>
      </c>
      <c r="W1485" s="93" t="s">
        <v>24</v>
      </c>
    </row>
    <row r="1486" spans="1:23" x14ac:dyDescent="0.15">
      <c r="A1486" s="93" t="s">
        <v>8725</v>
      </c>
      <c r="B1486" s="93" t="s">
        <v>8726</v>
      </c>
      <c r="C1486" s="93">
        <v>160</v>
      </c>
      <c r="D1486" s="93" t="s">
        <v>24</v>
      </c>
      <c r="E1486" s="93" t="s">
        <v>24</v>
      </c>
      <c r="F1486" s="93" t="s">
        <v>126</v>
      </c>
      <c r="G1486" s="93" t="s">
        <v>7104</v>
      </c>
      <c r="H1486" s="93" t="s">
        <v>118</v>
      </c>
      <c r="I1486" s="93" t="s">
        <v>111</v>
      </c>
      <c r="J1486" s="93" t="s">
        <v>7105</v>
      </c>
      <c r="K1486" s="93" t="s">
        <v>111</v>
      </c>
      <c r="L1486" s="93" t="s">
        <v>111</v>
      </c>
      <c r="M1486" s="93" t="s">
        <v>111</v>
      </c>
      <c r="N1486" s="93" t="s">
        <v>111</v>
      </c>
      <c r="O1486" s="93" t="s">
        <v>111</v>
      </c>
      <c r="P1486" s="93" t="s">
        <v>111</v>
      </c>
      <c r="Q1486" s="93" t="s">
        <v>111</v>
      </c>
      <c r="R1486" s="93" t="s">
        <v>2</v>
      </c>
      <c r="S1486" s="93" t="s">
        <v>111</v>
      </c>
      <c r="T1486" s="93" t="s">
        <v>116</v>
      </c>
      <c r="U1486" s="94">
        <v>44610.124305555553</v>
      </c>
      <c r="V1486" s="93" t="s">
        <v>7072</v>
      </c>
      <c r="W1486" s="93" t="s">
        <v>24</v>
      </c>
    </row>
    <row r="1487" spans="1:23" x14ac:dyDescent="0.15">
      <c r="A1487" s="93" t="s">
        <v>8727</v>
      </c>
      <c r="B1487" s="93" t="s">
        <v>8728</v>
      </c>
      <c r="C1487" s="93">
        <v>280</v>
      </c>
      <c r="D1487" s="93" t="s">
        <v>24</v>
      </c>
      <c r="E1487" s="93" t="s">
        <v>24</v>
      </c>
      <c r="F1487" s="93" t="s">
        <v>126</v>
      </c>
      <c r="G1487" s="93" t="s">
        <v>7104</v>
      </c>
      <c r="H1487" s="93" t="s">
        <v>118</v>
      </c>
      <c r="I1487" s="93" t="s">
        <v>111</v>
      </c>
      <c r="J1487" s="93" t="s">
        <v>7105</v>
      </c>
      <c r="K1487" s="93" t="s">
        <v>111</v>
      </c>
      <c r="L1487" s="93" t="s">
        <v>111</v>
      </c>
      <c r="M1487" s="93" t="s">
        <v>111</v>
      </c>
      <c r="N1487" s="93" t="s">
        <v>111</v>
      </c>
      <c r="O1487" s="93" t="s">
        <v>111</v>
      </c>
      <c r="P1487" s="93" t="s">
        <v>111</v>
      </c>
      <c r="Q1487" s="93" t="s">
        <v>111</v>
      </c>
      <c r="R1487" s="93" t="s">
        <v>2</v>
      </c>
      <c r="S1487" s="93" t="s">
        <v>111</v>
      </c>
      <c r="T1487" s="93" t="s">
        <v>116</v>
      </c>
      <c r="U1487" s="94">
        <v>44610.060416666667</v>
      </c>
      <c r="V1487" s="93" t="s">
        <v>7072</v>
      </c>
      <c r="W1487" s="93" t="s">
        <v>24</v>
      </c>
    </row>
    <row r="1488" spans="1:23" x14ac:dyDescent="0.15">
      <c r="A1488" s="93" t="s">
        <v>8729</v>
      </c>
      <c r="B1488" s="93" t="s">
        <v>8730</v>
      </c>
      <c r="C1488" s="93">
        <v>460</v>
      </c>
      <c r="D1488" s="93" t="s">
        <v>24</v>
      </c>
      <c r="E1488" s="93" t="s">
        <v>24</v>
      </c>
      <c r="F1488" s="93" t="s">
        <v>126</v>
      </c>
      <c r="G1488" s="93" t="s">
        <v>7104</v>
      </c>
      <c r="H1488" s="93" t="s">
        <v>118</v>
      </c>
      <c r="I1488" s="93" t="s">
        <v>111</v>
      </c>
      <c r="J1488" s="93" t="s">
        <v>7105</v>
      </c>
      <c r="K1488" s="93" t="s">
        <v>111</v>
      </c>
      <c r="L1488" s="93" t="s">
        <v>111</v>
      </c>
      <c r="M1488" s="93" t="s">
        <v>111</v>
      </c>
      <c r="N1488" s="93" t="s">
        <v>111</v>
      </c>
      <c r="O1488" s="93" t="s">
        <v>111</v>
      </c>
      <c r="P1488" s="93" t="s">
        <v>111</v>
      </c>
      <c r="Q1488" s="93" t="s">
        <v>111</v>
      </c>
      <c r="R1488" s="93" t="s">
        <v>2</v>
      </c>
      <c r="S1488" s="93" t="s">
        <v>111</v>
      </c>
      <c r="T1488" s="93" t="s">
        <v>116</v>
      </c>
      <c r="U1488" s="94">
        <v>44610.067361111112</v>
      </c>
      <c r="V1488" s="93" t="s">
        <v>7072</v>
      </c>
      <c r="W1488" s="93" t="s">
        <v>24</v>
      </c>
    </row>
    <row r="1489" spans="1:23" x14ac:dyDescent="0.15">
      <c r="A1489" s="93" t="s">
        <v>8731</v>
      </c>
      <c r="B1489" s="93" t="s">
        <v>8732</v>
      </c>
      <c r="C1489" s="93">
        <v>17.600000000000001</v>
      </c>
      <c r="D1489" s="93" t="s">
        <v>24</v>
      </c>
      <c r="E1489" s="93" t="s">
        <v>24</v>
      </c>
      <c r="F1489" s="93" t="s">
        <v>126</v>
      </c>
      <c r="G1489" s="93" t="s">
        <v>7104</v>
      </c>
      <c r="H1489" s="93" t="s">
        <v>118</v>
      </c>
      <c r="I1489" s="93" t="s">
        <v>111</v>
      </c>
      <c r="J1489" s="93" t="s">
        <v>7105</v>
      </c>
      <c r="K1489" s="93" t="s">
        <v>111</v>
      </c>
      <c r="L1489" s="93" t="s">
        <v>111</v>
      </c>
      <c r="M1489" s="93" t="s">
        <v>111</v>
      </c>
      <c r="N1489" s="93" t="s">
        <v>111</v>
      </c>
      <c r="O1489" s="93" t="s">
        <v>111</v>
      </c>
      <c r="P1489" s="93" t="s">
        <v>111</v>
      </c>
      <c r="Q1489" s="93" t="s">
        <v>111</v>
      </c>
      <c r="R1489" s="93" t="s">
        <v>2</v>
      </c>
      <c r="S1489" s="93" t="s">
        <v>111</v>
      </c>
      <c r="T1489" s="93" t="s">
        <v>116</v>
      </c>
      <c r="U1489" s="94">
        <v>44610.106944444444</v>
      </c>
      <c r="V1489" s="93" t="s">
        <v>7072</v>
      </c>
      <c r="W1489" s="93" t="s">
        <v>24</v>
      </c>
    </row>
    <row r="1490" spans="1:23" x14ac:dyDescent="0.15">
      <c r="A1490" s="93" t="s">
        <v>8733</v>
      </c>
      <c r="B1490" s="93" t="s">
        <v>8734</v>
      </c>
      <c r="C1490" s="93">
        <v>140</v>
      </c>
      <c r="D1490" s="93" t="s">
        <v>24</v>
      </c>
      <c r="E1490" s="93" t="s">
        <v>24</v>
      </c>
      <c r="F1490" s="93" t="s">
        <v>126</v>
      </c>
      <c r="G1490" s="93" t="s">
        <v>7104</v>
      </c>
      <c r="H1490" s="93" t="s">
        <v>118</v>
      </c>
      <c r="I1490" s="93" t="s">
        <v>111</v>
      </c>
      <c r="J1490" s="93" t="s">
        <v>7105</v>
      </c>
      <c r="K1490" s="93" t="s">
        <v>111</v>
      </c>
      <c r="L1490" s="93" t="s">
        <v>111</v>
      </c>
      <c r="M1490" s="93" t="s">
        <v>111</v>
      </c>
      <c r="N1490" s="93" t="s">
        <v>111</v>
      </c>
      <c r="O1490" s="93" t="s">
        <v>111</v>
      </c>
      <c r="P1490" s="93" t="s">
        <v>111</v>
      </c>
      <c r="Q1490" s="93" t="s">
        <v>111</v>
      </c>
      <c r="R1490" s="93" t="s">
        <v>111</v>
      </c>
      <c r="S1490" s="93" t="s">
        <v>111</v>
      </c>
      <c r="T1490" s="93" t="s">
        <v>116</v>
      </c>
      <c r="U1490" s="94">
        <v>44610.099305555559</v>
      </c>
      <c r="V1490" s="93" t="s">
        <v>7072</v>
      </c>
      <c r="W1490" s="93" t="s">
        <v>24</v>
      </c>
    </row>
    <row r="1491" spans="1:23" x14ac:dyDescent="0.15">
      <c r="A1491" s="93" t="s">
        <v>8735</v>
      </c>
      <c r="B1491" s="93" t="s">
        <v>8736</v>
      </c>
      <c r="C1491" s="93">
        <v>280</v>
      </c>
      <c r="D1491" s="93" t="s">
        <v>24</v>
      </c>
      <c r="E1491" s="93" t="s">
        <v>24</v>
      </c>
      <c r="F1491" s="93" t="s">
        <v>126</v>
      </c>
      <c r="G1491" s="93" t="s">
        <v>7104</v>
      </c>
      <c r="H1491" s="93" t="s">
        <v>118</v>
      </c>
      <c r="I1491" s="93" t="s">
        <v>111</v>
      </c>
      <c r="J1491" s="93" t="s">
        <v>7105</v>
      </c>
      <c r="K1491" s="93" t="s">
        <v>111</v>
      </c>
      <c r="L1491" s="93" t="s">
        <v>111</v>
      </c>
      <c r="M1491" s="93" t="s">
        <v>111</v>
      </c>
      <c r="N1491" s="93" t="s">
        <v>111</v>
      </c>
      <c r="O1491" s="93" t="s">
        <v>111</v>
      </c>
      <c r="P1491" s="93" t="s">
        <v>111</v>
      </c>
      <c r="Q1491" s="93" t="s">
        <v>111</v>
      </c>
      <c r="R1491" s="93" t="s">
        <v>2</v>
      </c>
      <c r="S1491" s="93" t="s">
        <v>111</v>
      </c>
      <c r="T1491" s="93" t="s">
        <v>116</v>
      </c>
      <c r="U1491" s="94">
        <v>44610.059027777781</v>
      </c>
      <c r="V1491" s="93" t="s">
        <v>7072</v>
      </c>
      <c r="W1491" s="93" t="s">
        <v>24</v>
      </c>
    </row>
    <row r="1492" spans="1:23" x14ac:dyDescent="0.15">
      <c r="A1492" s="93" t="s">
        <v>8737</v>
      </c>
      <c r="B1492" s="93" t="s">
        <v>8738</v>
      </c>
      <c r="C1492" s="93">
        <v>420</v>
      </c>
      <c r="D1492" s="93" t="s">
        <v>24</v>
      </c>
      <c r="E1492" s="93" t="s">
        <v>24</v>
      </c>
      <c r="F1492" s="93" t="s">
        <v>126</v>
      </c>
      <c r="G1492" s="93" t="s">
        <v>7104</v>
      </c>
      <c r="H1492" s="93" t="s">
        <v>118</v>
      </c>
      <c r="I1492" s="93" t="s">
        <v>111</v>
      </c>
      <c r="J1492" s="93" t="s">
        <v>7105</v>
      </c>
      <c r="K1492" s="93" t="s">
        <v>111</v>
      </c>
      <c r="L1492" s="93" t="s">
        <v>111</v>
      </c>
      <c r="M1492" s="93" t="s">
        <v>111</v>
      </c>
      <c r="N1492" s="93" t="s">
        <v>111</v>
      </c>
      <c r="O1492" s="93" t="s">
        <v>111</v>
      </c>
      <c r="P1492" s="93" t="s">
        <v>111</v>
      </c>
      <c r="Q1492" s="93" t="s">
        <v>111</v>
      </c>
      <c r="R1492" s="93" t="s">
        <v>111</v>
      </c>
      <c r="S1492" s="93" t="s">
        <v>111</v>
      </c>
      <c r="T1492" s="93" t="s">
        <v>116</v>
      </c>
      <c r="U1492" s="94">
        <v>44610.099305555559</v>
      </c>
      <c r="V1492" s="93" t="s">
        <v>7072</v>
      </c>
      <c r="W1492" s="93" t="s">
        <v>24</v>
      </c>
    </row>
    <row r="1493" spans="1:23" x14ac:dyDescent="0.15">
      <c r="A1493" s="93" t="s">
        <v>8739</v>
      </c>
      <c r="B1493" s="93" t="s">
        <v>8740</v>
      </c>
      <c r="C1493" s="93">
        <v>240</v>
      </c>
      <c r="D1493" s="93" t="s">
        <v>24</v>
      </c>
      <c r="E1493" s="93" t="s">
        <v>24</v>
      </c>
      <c r="F1493" s="93" t="s">
        <v>126</v>
      </c>
      <c r="G1493" s="93" t="s">
        <v>7104</v>
      </c>
      <c r="H1493" s="93" t="s">
        <v>118</v>
      </c>
      <c r="I1493" s="93" t="s">
        <v>111</v>
      </c>
      <c r="J1493" s="93" t="s">
        <v>7105</v>
      </c>
      <c r="K1493" s="93" t="s">
        <v>111</v>
      </c>
      <c r="L1493" s="93" t="s">
        <v>111</v>
      </c>
      <c r="M1493" s="93" t="s">
        <v>111</v>
      </c>
      <c r="N1493" s="93" t="s">
        <v>111</v>
      </c>
      <c r="O1493" s="93" t="s">
        <v>111</v>
      </c>
      <c r="P1493" s="93" t="s">
        <v>111</v>
      </c>
      <c r="Q1493" s="93" t="s">
        <v>111</v>
      </c>
      <c r="R1493" s="93" t="s">
        <v>2</v>
      </c>
      <c r="S1493" s="93" t="s">
        <v>111</v>
      </c>
      <c r="T1493" s="93" t="s">
        <v>116</v>
      </c>
      <c r="U1493" s="94">
        <v>44610.101388888892</v>
      </c>
      <c r="V1493" s="93" t="s">
        <v>7072</v>
      </c>
      <c r="W1493" s="93" t="s">
        <v>24</v>
      </c>
    </row>
    <row r="1494" spans="1:23" x14ac:dyDescent="0.15">
      <c r="A1494" s="93" t="s">
        <v>8741</v>
      </c>
      <c r="B1494" s="93" t="s">
        <v>8742</v>
      </c>
      <c r="C1494" s="93">
        <v>420</v>
      </c>
      <c r="D1494" s="93" t="s">
        <v>24</v>
      </c>
      <c r="E1494" s="93" t="s">
        <v>24</v>
      </c>
      <c r="F1494" s="93" t="s">
        <v>126</v>
      </c>
      <c r="G1494" s="93" t="s">
        <v>7104</v>
      </c>
      <c r="H1494" s="93" t="s">
        <v>118</v>
      </c>
      <c r="I1494" s="93" t="s">
        <v>111</v>
      </c>
      <c r="J1494" s="93" t="s">
        <v>7105</v>
      </c>
      <c r="K1494" s="93" t="s">
        <v>111</v>
      </c>
      <c r="L1494" s="93" t="s">
        <v>111</v>
      </c>
      <c r="M1494" s="93" t="s">
        <v>111</v>
      </c>
      <c r="N1494" s="93" t="s">
        <v>111</v>
      </c>
      <c r="O1494" s="93" t="s">
        <v>111</v>
      </c>
      <c r="P1494" s="93" t="s">
        <v>111</v>
      </c>
      <c r="Q1494" s="93" t="s">
        <v>111</v>
      </c>
      <c r="R1494" s="93" t="s">
        <v>2</v>
      </c>
      <c r="S1494" s="93" t="s">
        <v>111</v>
      </c>
      <c r="T1494" s="93" t="s">
        <v>116</v>
      </c>
      <c r="U1494" s="94">
        <v>44610.054861111108</v>
      </c>
      <c r="V1494" s="93" t="s">
        <v>7072</v>
      </c>
      <c r="W1494" s="93" t="s">
        <v>24</v>
      </c>
    </row>
    <row r="1495" spans="1:23" x14ac:dyDescent="0.15">
      <c r="A1495" s="93" t="s">
        <v>8743</v>
      </c>
      <c r="B1495" s="93" t="s">
        <v>8744</v>
      </c>
      <c r="C1495" s="93">
        <v>240</v>
      </c>
      <c r="D1495" s="93" t="s">
        <v>24</v>
      </c>
      <c r="E1495" s="93" t="s">
        <v>24</v>
      </c>
      <c r="F1495" s="93" t="s">
        <v>126</v>
      </c>
      <c r="G1495" s="93" t="s">
        <v>7104</v>
      </c>
      <c r="H1495" s="93" t="s">
        <v>118</v>
      </c>
      <c r="I1495" s="93" t="s">
        <v>111</v>
      </c>
      <c r="J1495" s="93" t="s">
        <v>7105</v>
      </c>
      <c r="K1495" s="93" t="s">
        <v>111</v>
      </c>
      <c r="L1495" s="93" t="s">
        <v>111</v>
      </c>
      <c r="M1495" s="93" t="s">
        <v>111</v>
      </c>
      <c r="N1495" s="93" t="s">
        <v>111</v>
      </c>
      <c r="O1495" s="93" t="s">
        <v>111</v>
      </c>
      <c r="P1495" s="93" t="s">
        <v>111</v>
      </c>
      <c r="Q1495" s="93" t="s">
        <v>111</v>
      </c>
      <c r="R1495" s="93" t="s">
        <v>2</v>
      </c>
      <c r="S1495" s="93" t="s">
        <v>111</v>
      </c>
      <c r="T1495" s="93" t="s">
        <v>116</v>
      </c>
      <c r="U1495" s="94">
        <v>44610.082638888889</v>
      </c>
      <c r="V1495" s="93" t="s">
        <v>7072</v>
      </c>
      <c r="W1495" s="93" t="s">
        <v>24</v>
      </c>
    </row>
    <row r="1496" spans="1:23" x14ac:dyDescent="0.15">
      <c r="A1496" s="93" t="s">
        <v>8745</v>
      </c>
      <c r="B1496" s="93" t="s">
        <v>8746</v>
      </c>
      <c r="C1496" s="93">
        <v>480</v>
      </c>
      <c r="D1496" s="93" t="s">
        <v>24</v>
      </c>
      <c r="E1496" s="93" t="s">
        <v>24</v>
      </c>
      <c r="F1496" s="93" t="s">
        <v>126</v>
      </c>
      <c r="G1496" s="93" t="s">
        <v>7104</v>
      </c>
      <c r="H1496" s="93" t="s">
        <v>118</v>
      </c>
      <c r="I1496" s="93" t="s">
        <v>111</v>
      </c>
      <c r="J1496" s="93" t="s">
        <v>7105</v>
      </c>
      <c r="K1496" s="93" t="s">
        <v>111</v>
      </c>
      <c r="L1496" s="93" t="s">
        <v>111</v>
      </c>
      <c r="M1496" s="93" t="s">
        <v>111</v>
      </c>
      <c r="N1496" s="93" t="s">
        <v>111</v>
      </c>
      <c r="O1496" s="93" t="s">
        <v>111</v>
      </c>
      <c r="P1496" s="93" t="s">
        <v>111</v>
      </c>
      <c r="Q1496" s="93" t="s">
        <v>111</v>
      </c>
      <c r="R1496" s="93" t="s">
        <v>111</v>
      </c>
      <c r="S1496" s="93" t="s">
        <v>111</v>
      </c>
      <c r="T1496" s="93" t="s">
        <v>116</v>
      </c>
      <c r="U1496" s="94">
        <v>44610.074305555558</v>
      </c>
      <c r="V1496" s="93" t="s">
        <v>7072</v>
      </c>
      <c r="W1496" s="93" t="s">
        <v>24</v>
      </c>
    </row>
    <row r="1497" spans="1:23" x14ac:dyDescent="0.15">
      <c r="A1497" s="93" t="s">
        <v>8747</v>
      </c>
      <c r="B1497" s="93" t="s">
        <v>8748</v>
      </c>
      <c r="C1497" s="93">
        <v>720</v>
      </c>
      <c r="D1497" s="93" t="s">
        <v>24</v>
      </c>
      <c r="E1497" s="93" t="s">
        <v>24</v>
      </c>
      <c r="F1497" s="93" t="s">
        <v>126</v>
      </c>
      <c r="G1497" s="93" t="s">
        <v>7104</v>
      </c>
      <c r="H1497" s="93" t="s">
        <v>118</v>
      </c>
      <c r="I1497" s="93" t="s">
        <v>111</v>
      </c>
      <c r="J1497" s="93" t="s">
        <v>7105</v>
      </c>
      <c r="K1497" s="93" t="s">
        <v>111</v>
      </c>
      <c r="L1497" s="93" t="s">
        <v>111</v>
      </c>
      <c r="M1497" s="93" t="s">
        <v>111</v>
      </c>
      <c r="N1497" s="93" t="s">
        <v>111</v>
      </c>
      <c r="O1497" s="93" t="s">
        <v>111</v>
      </c>
      <c r="P1497" s="93" t="s">
        <v>111</v>
      </c>
      <c r="Q1497" s="93" t="s">
        <v>111</v>
      </c>
      <c r="R1497" s="93" t="s">
        <v>111</v>
      </c>
      <c r="S1497" s="93" t="s">
        <v>111</v>
      </c>
      <c r="T1497" s="93" t="s">
        <v>116</v>
      </c>
      <c r="U1497" s="94">
        <v>44610.083333333336</v>
      </c>
      <c r="V1497" s="93" t="s">
        <v>7072</v>
      </c>
      <c r="W1497" s="93" t="s">
        <v>24</v>
      </c>
    </row>
    <row r="1498" spans="1:23" x14ac:dyDescent="0.15">
      <c r="A1498" s="93" t="s">
        <v>8749</v>
      </c>
      <c r="B1498" s="93" t="s">
        <v>8750</v>
      </c>
      <c r="C1498" s="93">
        <v>80</v>
      </c>
      <c r="D1498" s="93" t="s">
        <v>24</v>
      </c>
      <c r="E1498" s="93" t="s">
        <v>9</v>
      </c>
      <c r="F1498" s="93" t="s">
        <v>7912</v>
      </c>
      <c r="G1498" s="93" t="s">
        <v>7104</v>
      </c>
      <c r="H1498" s="93" t="s">
        <v>118</v>
      </c>
      <c r="I1498" s="93" t="s">
        <v>111</v>
      </c>
      <c r="J1498" s="93" t="s">
        <v>7105</v>
      </c>
      <c r="K1498" s="93" t="s">
        <v>111</v>
      </c>
      <c r="L1498" s="93" t="s">
        <v>111</v>
      </c>
      <c r="M1498" s="93" t="s">
        <v>111</v>
      </c>
      <c r="N1498" s="93" t="s">
        <v>111</v>
      </c>
      <c r="O1498" s="93" t="s">
        <v>111</v>
      </c>
      <c r="P1498" s="93" t="s">
        <v>111</v>
      </c>
      <c r="Q1498" s="93" t="s">
        <v>111</v>
      </c>
      <c r="R1498" s="93" t="s">
        <v>111</v>
      </c>
      <c r="S1498" s="93" t="s">
        <v>111</v>
      </c>
      <c r="T1498" s="93" t="s">
        <v>116</v>
      </c>
      <c r="U1498" s="94">
        <v>44596.556250000001</v>
      </c>
      <c r="V1498" s="93" t="s">
        <v>7913</v>
      </c>
      <c r="W1498" s="93" t="s">
        <v>24</v>
      </c>
    </row>
    <row r="1499" spans="1:23" x14ac:dyDescent="0.15">
      <c r="A1499" s="93" t="s">
        <v>8751</v>
      </c>
      <c r="B1499" s="93" t="s">
        <v>8752</v>
      </c>
      <c r="C1499" s="93">
        <v>160</v>
      </c>
      <c r="D1499" s="93" t="s">
        <v>24</v>
      </c>
      <c r="E1499" s="93" t="s">
        <v>9</v>
      </c>
      <c r="F1499" s="93" t="s">
        <v>7912</v>
      </c>
      <c r="G1499" s="93" t="s">
        <v>7104</v>
      </c>
      <c r="H1499" s="93" t="s">
        <v>118</v>
      </c>
      <c r="I1499" s="93" t="s">
        <v>111</v>
      </c>
      <c r="J1499" s="93" t="s">
        <v>7105</v>
      </c>
      <c r="K1499" s="93" t="s">
        <v>111</v>
      </c>
      <c r="L1499" s="93" t="s">
        <v>111</v>
      </c>
      <c r="M1499" s="93" t="s">
        <v>111</v>
      </c>
      <c r="N1499" s="93" t="s">
        <v>111</v>
      </c>
      <c r="O1499" s="93" t="s">
        <v>111</v>
      </c>
      <c r="P1499" s="93" t="s">
        <v>111</v>
      </c>
      <c r="Q1499" s="93" t="s">
        <v>111</v>
      </c>
      <c r="R1499" s="93" t="s">
        <v>111</v>
      </c>
      <c r="S1499" s="93" t="s">
        <v>111</v>
      </c>
      <c r="T1499" s="93" t="s">
        <v>116</v>
      </c>
      <c r="U1499" s="94">
        <v>44596.578472222223</v>
      </c>
      <c r="V1499" s="93" t="s">
        <v>7913</v>
      </c>
      <c r="W1499" s="93" t="s">
        <v>24</v>
      </c>
    </row>
    <row r="1500" spans="1:23" x14ac:dyDescent="0.15">
      <c r="A1500" s="93" t="s">
        <v>8753</v>
      </c>
      <c r="B1500" s="93" t="s">
        <v>8754</v>
      </c>
      <c r="C1500" s="93">
        <v>240</v>
      </c>
      <c r="D1500" s="93" t="s">
        <v>24</v>
      </c>
      <c r="E1500" s="93" t="s">
        <v>9</v>
      </c>
      <c r="F1500" s="93" t="s">
        <v>7912</v>
      </c>
      <c r="G1500" s="93" t="s">
        <v>7104</v>
      </c>
      <c r="H1500" s="93" t="s">
        <v>118</v>
      </c>
      <c r="I1500" s="93" t="s">
        <v>111</v>
      </c>
      <c r="J1500" s="93" t="s">
        <v>7105</v>
      </c>
      <c r="K1500" s="93" t="s">
        <v>111</v>
      </c>
      <c r="L1500" s="93" t="s">
        <v>111</v>
      </c>
      <c r="M1500" s="93" t="s">
        <v>111</v>
      </c>
      <c r="N1500" s="93" t="s">
        <v>111</v>
      </c>
      <c r="O1500" s="93" t="s">
        <v>111</v>
      </c>
      <c r="P1500" s="93" t="s">
        <v>111</v>
      </c>
      <c r="Q1500" s="93" t="s">
        <v>111</v>
      </c>
      <c r="R1500" s="93" t="s">
        <v>111</v>
      </c>
      <c r="S1500" s="93" t="s">
        <v>111</v>
      </c>
      <c r="T1500" s="93" t="s">
        <v>116</v>
      </c>
      <c r="U1500" s="94">
        <v>44596.556250000001</v>
      </c>
      <c r="V1500" s="93" t="s">
        <v>7913</v>
      </c>
      <c r="W1500" s="93" t="s">
        <v>24</v>
      </c>
    </row>
    <row r="1501" spans="1:23" x14ac:dyDescent="0.15">
      <c r="A1501" s="93" t="s">
        <v>8755</v>
      </c>
      <c r="B1501" s="93" t="s">
        <v>8756</v>
      </c>
      <c r="C1501" s="93">
        <v>140</v>
      </c>
      <c r="D1501" s="93" t="s">
        <v>24</v>
      </c>
      <c r="E1501" s="93" t="s">
        <v>9</v>
      </c>
      <c r="F1501" s="93" t="s">
        <v>7912</v>
      </c>
      <c r="G1501" s="93" t="s">
        <v>7104</v>
      </c>
      <c r="H1501" s="93" t="s">
        <v>118</v>
      </c>
      <c r="I1501" s="93" t="s">
        <v>111</v>
      </c>
      <c r="J1501" s="93" t="s">
        <v>7105</v>
      </c>
      <c r="K1501" s="93" t="s">
        <v>111</v>
      </c>
      <c r="L1501" s="93" t="s">
        <v>111</v>
      </c>
      <c r="M1501" s="93" t="s">
        <v>111</v>
      </c>
      <c r="N1501" s="93" t="s">
        <v>111</v>
      </c>
      <c r="O1501" s="93" t="s">
        <v>111</v>
      </c>
      <c r="P1501" s="93" t="s">
        <v>111</v>
      </c>
      <c r="Q1501" s="93" t="s">
        <v>111</v>
      </c>
      <c r="R1501" s="93" t="s">
        <v>2</v>
      </c>
      <c r="S1501" s="93" t="s">
        <v>111</v>
      </c>
      <c r="T1501" s="93" t="s">
        <v>116</v>
      </c>
      <c r="U1501" s="94">
        <v>44596.560416666667</v>
      </c>
      <c r="V1501" s="93" t="s">
        <v>7913</v>
      </c>
      <c r="W1501" s="93" t="s">
        <v>24</v>
      </c>
    </row>
    <row r="1502" spans="1:23" x14ac:dyDescent="0.15">
      <c r="A1502" s="93" t="s">
        <v>8757</v>
      </c>
      <c r="B1502" s="93" t="s">
        <v>8758</v>
      </c>
      <c r="C1502" s="93">
        <v>280</v>
      </c>
      <c r="D1502" s="93" t="s">
        <v>24</v>
      </c>
      <c r="E1502" s="93" t="s">
        <v>9</v>
      </c>
      <c r="F1502" s="93" t="s">
        <v>7912</v>
      </c>
      <c r="G1502" s="93" t="s">
        <v>7104</v>
      </c>
      <c r="H1502" s="93" t="s">
        <v>118</v>
      </c>
      <c r="I1502" s="93" t="s">
        <v>111</v>
      </c>
      <c r="J1502" s="93" t="s">
        <v>7105</v>
      </c>
      <c r="K1502" s="93" t="s">
        <v>111</v>
      </c>
      <c r="L1502" s="93" t="s">
        <v>111</v>
      </c>
      <c r="M1502" s="93" t="s">
        <v>111</v>
      </c>
      <c r="N1502" s="93" t="s">
        <v>111</v>
      </c>
      <c r="O1502" s="93" t="s">
        <v>111</v>
      </c>
      <c r="P1502" s="93" t="s">
        <v>111</v>
      </c>
      <c r="Q1502" s="93" t="s">
        <v>111</v>
      </c>
      <c r="R1502" s="93" t="s">
        <v>111</v>
      </c>
      <c r="S1502" s="93" t="s">
        <v>111</v>
      </c>
      <c r="T1502" s="93" t="s">
        <v>116</v>
      </c>
      <c r="U1502" s="94">
        <v>44596.570138888892</v>
      </c>
      <c r="V1502" s="93" t="s">
        <v>7913</v>
      </c>
      <c r="W1502" s="93" t="s">
        <v>24</v>
      </c>
    </row>
    <row r="1503" spans="1:23" x14ac:dyDescent="0.15">
      <c r="A1503" s="93" t="s">
        <v>8759</v>
      </c>
      <c r="B1503" s="93" t="s">
        <v>8760</v>
      </c>
      <c r="C1503" s="93">
        <v>420</v>
      </c>
      <c r="D1503" s="93" t="s">
        <v>24</v>
      </c>
      <c r="E1503" s="93" t="s">
        <v>9</v>
      </c>
      <c r="F1503" s="93" t="s">
        <v>7912</v>
      </c>
      <c r="G1503" s="93" t="s">
        <v>7104</v>
      </c>
      <c r="H1503" s="93" t="s">
        <v>118</v>
      </c>
      <c r="I1503" s="93" t="s">
        <v>111</v>
      </c>
      <c r="J1503" s="93" t="s">
        <v>7105</v>
      </c>
      <c r="K1503" s="93" t="s">
        <v>111</v>
      </c>
      <c r="L1503" s="93" t="s">
        <v>111</v>
      </c>
      <c r="M1503" s="93" t="s">
        <v>111</v>
      </c>
      <c r="N1503" s="93" t="s">
        <v>111</v>
      </c>
      <c r="O1503" s="93" t="s">
        <v>111</v>
      </c>
      <c r="P1503" s="93" t="s">
        <v>111</v>
      </c>
      <c r="Q1503" s="93" t="s">
        <v>111</v>
      </c>
      <c r="R1503" s="93" t="s">
        <v>2</v>
      </c>
      <c r="S1503" s="93" t="s">
        <v>111</v>
      </c>
      <c r="T1503" s="93" t="s">
        <v>116</v>
      </c>
      <c r="U1503" s="94">
        <v>44596.569444444445</v>
      </c>
      <c r="V1503" s="93" t="s">
        <v>7913</v>
      </c>
      <c r="W1503" s="93" t="s">
        <v>24</v>
      </c>
    </row>
    <row r="1504" spans="1:23" x14ac:dyDescent="0.15">
      <c r="A1504" s="93" t="s">
        <v>8761</v>
      </c>
      <c r="B1504" s="93" t="s">
        <v>8762</v>
      </c>
      <c r="C1504" s="93">
        <v>360</v>
      </c>
      <c r="D1504" s="93" t="s">
        <v>24</v>
      </c>
      <c r="E1504" s="93" t="s">
        <v>24</v>
      </c>
      <c r="F1504" s="93" t="s">
        <v>126</v>
      </c>
      <c r="G1504" s="93" t="s">
        <v>7104</v>
      </c>
      <c r="H1504" s="93" t="s">
        <v>118</v>
      </c>
      <c r="I1504" s="93" t="s">
        <v>111</v>
      </c>
      <c r="J1504" s="93" t="s">
        <v>7105</v>
      </c>
      <c r="K1504" s="93" t="s">
        <v>111</v>
      </c>
      <c r="L1504" s="93" t="s">
        <v>111</v>
      </c>
      <c r="M1504" s="93" t="s">
        <v>111</v>
      </c>
      <c r="N1504" s="93" t="s">
        <v>111</v>
      </c>
      <c r="O1504" s="93" t="s">
        <v>111</v>
      </c>
      <c r="P1504" s="93" t="s">
        <v>111</v>
      </c>
      <c r="Q1504" s="93" t="s">
        <v>111</v>
      </c>
      <c r="R1504" s="93" t="s">
        <v>2</v>
      </c>
      <c r="S1504" s="93" t="s">
        <v>111</v>
      </c>
      <c r="T1504" s="93" t="s">
        <v>116</v>
      </c>
      <c r="U1504" s="94">
        <v>44610.076388888891</v>
      </c>
      <c r="V1504" s="93" t="s">
        <v>7072</v>
      </c>
      <c r="W1504" s="93" t="s">
        <v>24</v>
      </c>
    </row>
    <row r="1505" spans="1:23" x14ac:dyDescent="0.15">
      <c r="A1505" s="93" t="s">
        <v>8763</v>
      </c>
      <c r="B1505" s="93" t="s">
        <v>8764</v>
      </c>
      <c r="C1505" s="93">
        <v>450</v>
      </c>
      <c r="D1505" s="93" t="s">
        <v>24</v>
      </c>
      <c r="E1505" s="93" t="s">
        <v>24</v>
      </c>
      <c r="F1505" s="93" t="s">
        <v>126</v>
      </c>
      <c r="G1505" s="93" t="s">
        <v>7104</v>
      </c>
      <c r="H1505" s="93" t="s">
        <v>118</v>
      </c>
      <c r="I1505" s="93" t="s">
        <v>111</v>
      </c>
      <c r="J1505" s="93" t="s">
        <v>7105</v>
      </c>
      <c r="K1505" s="93" t="s">
        <v>111</v>
      </c>
      <c r="L1505" s="93" t="s">
        <v>111</v>
      </c>
      <c r="M1505" s="93" t="s">
        <v>111</v>
      </c>
      <c r="N1505" s="93" t="s">
        <v>111</v>
      </c>
      <c r="O1505" s="93" t="s">
        <v>111</v>
      </c>
      <c r="P1505" s="93" t="s">
        <v>111</v>
      </c>
      <c r="Q1505" s="93" t="s">
        <v>111</v>
      </c>
      <c r="R1505" s="93" t="s">
        <v>2</v>
      </c>
      <c r="S1505" s="93" t="s">
        <v>111</v>
      </c>
      <c r="T1505" s="93" t="s">
        <v>116</v>
      </c>
      <c r="U1505" s="94">
        <v>44610.124305555553</v>
      </c>
      <c r="V1505" s="93" t="s">
        <v>7072</v>
      </c>
      <c r="W1505" s="93" t="s">
        <v>24</v>
      </c>
    </row>
    <row r="1506" spans="1:23" x14ac:dyDescent="0.15">
      <c r="A1506" s="93" t="s">
        <v>8765</v>
      </c>
      <c r="B1506" s="93" t="s">
        <v>8766</v>
      </c>
      <c r="C1506" s="93">
        <v>90</v>
      </c>
      <c r="D1506" s="93" t="s">
        <v>24</v>
      </c>
      <c r="E1506" s="93" t="s">
        <v>24</v>
      </c>
      <c r="F1506" s="93" t="s">
        <v>126</v>
      </c>
      <c r="G1506" s="93" t="s">
        <v>7104</v>
      </c>
      <c r="H1506" s="93" t="s">
        <v>118</v>
      </c>
      <c r="I1506" s="93" t="s">
        <v>111</v>
      </c>
      <c r="J1506" s="93" t="s">
        <v>7105</v>
      </c>
      <c r="K1506" s="93" t="s">
        <v>111</v>
      </c>
      <c r="L1506" s="93" t="s">
        <v>111</v>
      </c>
      <c r="M1506" s="93" t="s">
        <v>111</v>
      </c>
      <c r="N1506" s="93" t="s">
        <v>111</v>
      </c>
      <c r="O1506" s="93" t="s">
        <v>111</v>
      </c>
      <c r="P1506" s="93" t="s">
        <v>111</v>
      </c>
      <c r="Q1506" s="93" t="s">
        <v>111</v>
      </c>
      <c r="R1506" s="93" t="s">
        <v>2</v>
      </c>
      <c r="S1506" s="93" t="s">
        <v>111</v>
      </c>
      <c r="T1506" s="93" t="s">
        <v>116</v>
      </c>
      <c r="U1506" s="94">
        <v>44609.252083333333</v>
      </c>
      <c r="V1506" s="93" t="s">
        <v>7072</v>
      </c>
      <c r="W1506" s="93" t="s">
        <v>24</v>
      </c>
    </row>
    <row r="1507" spans="1:23" x14ac:dyDescent="0.15">
      <c r="A1507" s="93" t="s">
        <v>8767</v>
      </c>
      <c r="B1507" s="93" t="s">
        <v>8768</v>
      </c>
      <c r="C1507" s="93">
        <v>160</v>
      </c>
      <c r="D1507" s="93" t="s">
        <v>24</v>
      </c>
      <c r="E1507" s="93" t="s">
        <v>24</v>
      </c>
      <c r="F1507" s="93" t="s">
        <v>126</v>
      </c>
      <c r="G1507" s="93" t="s">
        <v>7104</v>
      </c>
      <c r="H1507" s="93" t="s">
        <v>118</v>
      </c>
      <c r="I1507" s="93" t="s">
        <v>111</v>
      </c>
      <c r="J1507" s="93" t="s">
        <v>7105</v>
      </c>
      <c r="K1507" s="93" t="s">
        <v>111</v>
      </c>
      <c r="L1507" s="93" t="s">
        <v>111</v>
      </c>
      <c r="M1507" s="93" t="s">
        <v>111</v>
      </c>
      <c r="N1507" s="93" t="s">
        <v>111</v>
      </c>
      <c r="O1507" s="93" t="s">
        <v>111</v>
      </c>
      <c r="P1507" s="93" t="s">
        <v>111</v>
      </c>
      <c r="Q1507" s="93" t="s">
        <v>111</v>
      </c>
      <c r="R1507" s="93" t="s">
        <v>2</v>
      </c>
      <c r="S1507" s="93" t="s">
        <v>111</v>
      </c>
      <c r="T1507" s="93" t="s">
        <v>116</v>
      </c>
      <c r="U1507" s="94">
        <v>44610.084722222222</v>
      </c>
      <c r="V1507" s="93" t="s">
        <v>7072</v>
      </c>
      <c r="W1507" s="93" t="s">
        <v>24</v>
      </c>
    </row>
    <row r="1508" spans="1:23" x14ac:dyDescent="0.15">
      <c r="A1508" s="93" t="s">
        <v>8769</v>
      </c>
      <c r="B1508" s="93" t="s">
        <v>8770</v>
      </c>
      <c r="C1508" s="93">
        <v>270</v>
      </c>
      <c r="D1508" s="93" t="s">
        <v>24</v>
      </c>
      <c r="E1508" s="93" t="s">
        <v>24</v>
      </c>
      <c r="F1508" s="93" t="s">
        <v>126</v>
      </c>
      <c r="G1508" s="93" t="s">
        <v>7104</v>
      </c>
      <c r="H1508" s="93" t="s">
        <v>118</v>
      </c>
      <c r="I1508" s="93" t="s">
        <v>111</v>
      </c>
      <c r="J1508" s="93" t="s">
        <v>7105</v>
      </c>
      <c r="K1508" s="93" t="s">
        <v>111</v>
      </c>
      <c r="L1508" s="93" t="s">
        <v>111</v>
      </c>
      <c r="M1508" s="93" t="s">
        <v>111</v>
      </c>
      <c r="N1508" s="93" t="s">
        <v>111</v>
      </c>
      <c r="O1508" s="93" t="s">
        <v>111</v>
      </c>
      <c r="P1508" s="93" t="s">
        <v>111</v>
      </c>
      <c r="Q1508" s="93" t="s">
        <v>111</v>
      </c>
      <c r="R1508" s="93" t="s">
        <v>2</v>
      </c>
      <c r="S1508" s="93" t="s">
        <v>111</v>
      </c>
      <c r="T1508" s="93" t="s">
        <v>116</v>
      </c>
      <c r="U1508" s="94">
        <v>44610.124305555553</v>
      </c>
      <c r="V1508" s="93" t="s">
        <v>7072</v>
      </c>
      <c r="W1508" s="93" t="s">
        <v>24</v>
      </c>
    </row>
    <row r="1509" spans="1:23" x14ac:dyDescent="0.15">
      <c r="A1509" s="93" t="s">
        <v>8771</v>
      </c>
      <c r="B1509" s="93" t="s">
        <v>8772</v>
      </c>
      <c r="C1509" s="93">
        <v>20</v>
      </c>
      <c r="D1509" s="93" t="s">
        <v>24</v>
      </c>
      <c r="E1509" s="93" t="s">
        <v>9</v>
      </c>
      <c r="F1509" s="93" t="s">
        <v>7912</v>
      </c>
      <c r="G1509" s="93" t="s">
        <v>7104</v>
      </c>
      <c r="H1509" s="93" t="s">
        <v>118</v>
      </c>
      <c r="I1509" s="93" t="s">
        <v>111</v>
      </c>
      <c r="J1509" s="93" t="s">
        <v>118</v>
      </c>
      <c r="K1509" s="93">
        <v>3</v>
      </c>
      <c r="L1509" s="93" t="s">
        <v>111</v>
      </c>
      <c r="M1509" s="93" t="s">
        <v>111</v>
      </c>
      <c r="N1509" s="93" t="s">
        <v>111</v>
      </c>
      <c r="O1509" s="93" t="s">
        <v>111</v>
      </c>
      <c r="P1509" s="93" t="s">
        <v>111</v>
      </c>
      <c r="Q1509" s="93" t="s">
        <v>228</v>
      </c>
      <c r="R1509" s="93" t="s">
        <v>2</v>
      </c>
      <c r="S1509" s="93" t="s">
        <v>115</v>
      </c>
      <c r="T1509" s="93" t="s">
        <v>116</v>
      </c>
      <c r="U1509" s="94">
        <v>44602.40902777778</v>
      </c>
      <c r="V1509" s="93" t="s">
        <v>120</v>
      </c>
      <c r="W1509" s="93" t="s">
        <v>24</v>
      </c>
    </row>
    <row r="1510" spans="1:23" x14ac:dyDescent="0.15">
      <c r="A1510" s="93" t="s">
        <v>8773</v>
      </c>
      <c r="B1510" s="93" t="s">
        <v>8774</v>
      </c>
      <c r="C1510" s="93">
        <v>40</v>
      </c>
      <c r="D1510" s="93" t="s">
        <v>24</v>
      </c>
      <c r="E1510" s="93" t="s">
        <v>9</v>
      </c>
      <c r="F1510" s="93" t="s">
        <v>7912</v>
      </c>
      <c r="G1510" s="93" t="s">
        <v>7104</v>
      </c>
      <c r="H1510" s="93" t="s">
        <v>118</v>
      </c>
      <c r="I1510" s="93" t="s">
        <v>111</v>
      </c>
      <c r="J1510" s="93" t="s">
        <v>118</v>
      </c>
      <c r="K1510" s="93">
        <v>3</v>
      </c>
      <c r="L1510" s="93" t="s">
        <v>111</v>
      </c>
      <c r="M1510" s="93" t="s">
        <v>111</v>
      </c>
      <c r="N1510" s="93" t="s">
        <v>111</v>
      </c>
      <c r="O1510" s="93" t="s">
        <v>111</v>
      </c>
      <c r="P1510" s="93" t="s">
        <v>111</v>
      </c>
      <c r="Q1510" s="93" t="s">
        <v>228</v>
      </c>
      <c r="R1510" s="93" t="s">
        <v>2</v>
      </c>
      <c r="S1510" s="93" t="s">
        <v>115</v>
      </c>
      <c r="T1510" s="93" t="s">
        <v>116</v>
      </c>
      <c r="U1510" s="94">
        <v>44602.409722222219</v>
      </c>
      <c r="V1510" s="93" t="s">
        <v>120</v>
      </c>
      <c r="W1510" s="93" t="s">
        <v>24</v>
      </c>
    </row>
    <row r="1511" spans="1:23" x14ac:dyDescent="0.15">
      <c r="A1511" s="93" t="s">
        <v>8775</v>
      </c>
      <c r="B1511" s="93" t="s">
        <v>8776</v>
      </c>
      <c r="C1511" s="93">
        <v>80</v>
      </c>
      <c r="D1511" s="93" t="s">
        <v>24</v>
      </c>
      <c r="E1511" s="93" t="s">
        <v>9</v>
      </c>
      <c r="F1511" s="93" t="s">
        <v>7912</v>
      </c>
      <c r="G1511" s="93" t="s">
        <v>7104</v>
      </c>
      <c r="H1511" s="93" t="s">
        <v>118</v>
      </c>
      <c r="I1511" s="93" t="s">
        <v>111</v>
      </c>
      <c r="J1511" s="93" t="s">
        <v>118</v>
      </c>
      <c r="K1511" s="93">
        <v>3</v>
      </c>
      <c r="L1511" s="93" t="s">
        <v>111</v>
      </c>
      <c r="M1511" s="93" t="s">
        <v>111</v>
      </c>
      <c r="N1511" s="93" t="s">
        <v>111</v>
      </c>
      <c r="O1511" s="93" t="s">
        <v>111</v>
      </c>
      <c r="P1511" s="93" t="s">
        <v>111</v>
      </c>
      <c r="Q1511" s="93" t="s">
        <v>228</v>
      </c>
      <c r="R1511" s="93" t="s">
        <v>2</v>
      </c>
      <c r="S1511" s="93" t="s">
        <v>115</v>
      </c>
      <c r="T1511" s="93" t="s">
        <v>116</v>
      </c>
      <c r="U1511" s="94">
        <v>44602.409722222219</v>
      </c>
      <c r="V1511" s="93" t="s">
        <v>120</v>
      </c>
      <c r="W1511" s="93" t="s">
        <v>24</v>
      </c>
    </row>
    <row r="1512" spans="1:23" x14ac:dyDescent="0.15">
      <c r="A1512" s="93" t="s">
        <v>8777</v>
      </c>
      <c r="B1512" s="93" t="s">
        <v>8778</v>
      </c>
      <c r="C1512" s="93">
        <v>370</v>
      </c>
      <c r="D1512" s="93" t="s">
        <v>24</v>
      </c>
      <c r="E1512" s="93" t="s">
        <v>24</v>
      </c>
      <c r="F1512" s="93" t="s">
        <v>126</v>
      </c>
      <c r="G1512" s="93" t="s">
        <v>7104</v>
      </c>
      <c r="H1512" s="93" t="s">
        <v>118</v>
      </c>
      <c r="I1512" s="93" t="s">
        <v>111</v>
      </c>
      <c r="J1512" s="93" t="s">
        <v>7105</v>
      </c>
      <c r="K1512" s="93" t="s">
        <v>111</v>
      </c>
      <c r="L1512" s="93" t="s">
        <v>111</v>
      </c>
      <c r="M1512" s="93" t="s">
        <v>111</v>
      </c>
      <c r="N1512" s="93" t="s">
        <v>111</v>
      </c>
      <c r="O1512" s="93" t="s">
        <v>111</v>
      </c>
      <c r="P1512" s="93" t="s">
        <v>111</v>
      </c>
      <c r="Q1512" s="93" t="s">
        <v>111</v>
      </c>
      <c r="R1512" s="93" t="s">
        <v>2</v>
      </c>
      <c r="S1512" s="93" t="s">
        <v>111</v>
      </c>
      <c r="T1512" s="93" t="s">
        <v>116</v>
      </c>
      <c r="U1512" s="94">
        <v>44610.106249999997</v>
      </c>
      <c r="V1512" s="93" t="s">
        <v>7072</v>
      </c>
      <c r="W1512" s="93" t="s">
        <v>24</v>
      </c>
    </row>
    <row r="1513" spans="1:23" x14ac:dyDescent="0.15">
      <c r="A1513" s="93" t="s">
        <v>8779</v>
      </c>
      <c r="B1513" s="93" t="s">
        <v>8780</v>
      </c>
      <c r="C1513" s="93">
        <v>740</v>
      </c>
      <c r="D1513" s="93" t="s">
        <v>24</v>
      </c>
      <c r="E1513" s="93" t="s">
        <v>24</v>
      </c>
      <c r="F1513" s="93" t="s">
        <v>126</v>
      </c>
      <c r="G1513" s="93" t="s">
        <v>7104</v>
      </c>
      <c r="H1513" s="93" t="s">
        <v>118</v>
      </c>
      <c r="I1513" s="93" t="s">
        <v>111</v>
      </c>
      <c r="J1513" s="93" t="s">
        <v>7105</v>
      </c>
      <c r="K1513" s="93" t="s">
        <v>111</v>
      </c>
      <c r="L1513" s="93" t="s">
        <v>111</v>
      </c>
      <c r="M1513" s="93" t="s">
        <v>111</v>
      </c>
      <c r="N1513" s="93" t="s">
        <v>111</v>
      </c>
      <c r="O1513" s="93" t="s">
        <v>111</v>
      </c>
      <c r="P1513" s="93" t="s">
        <v>111</v>
      </c>
      <c r="Q1513" s="93" t="s">
        <v>111</v>
      </c>
      <c r="R1513" s="93" t="s">
        <v>2</v>
      </c>
      <c r="S1513" s="93" t="s">
        <v>111</v>
      </c>
      <c r="T1513" s="93" t="s">
        <v>116</v>
      </c>
      <c r="U1513" s="94">
        <v>44610.053472222222</v>
      </c>
      <c r="V1513" s="93" t="s">
        <v>7072</v>
      </c>
      <c r="W1513" s="93" t="s">
        <v>24</v>
      </c>
    </row>
    <row r="1514" spans="1:23" x14ac:dyDescent="0.15">
      <c r="A1514" s="93" t="s">
        <v>8781</v>
      </c>
      <c r="B1514" s="93" t="s">
        <v>8782</v>
      </c>
      <c r="C1514" s="93">
        <v>1110</v>
      </c>
      <c r="D1514" s="93" t="s">
        <v>24</v>
      </c>
      <c r="E1514" s="93" t="s">
        <v>24</v>
      </c>
      <c r="F1514" s="93" t="s">
        <v>126</v>
      </c>
      <c r="G1514" s="93" t="s">
        <v>7104</v>
      </c>
      <c r="H1514" s="93" t="s">
        <v>118</v>
      </c>
      <c r="I1514" s="93" t="s">
        <v>111</v>
      </c>
      <c r="J1514" s="93" t="s">
        <v>7105</v>
      </c>
      <c r="K1514" s="93" t="s">
        <v>111</v>
      </c>
      <c r="L1514" s="93" t="s">
        <v>111</v>
      </c>
      <c r="M1514" s="93" t="s">
        <v>111</v>
      </c>
      <c r="N1514" s="93" t="s">
        <v>111</v>
      </c>
      <c r="O1514" s="93" t="s">
        <v>111</v>
      </c>
      <c r="P1514" s="93" t="s">
        <v>111</v>
      </c>
      <c r="Q1514" s="93" t="s">
        <v>111</v>
      </c>
      <c r="R1514" s="93" t="s">
        <v>2</v>
      </c>
      <c r="S1514" s="93" t="s">
        <v>111</v>
      </c>
      <c r="T1514" s="93" t="s">
        <v>116</v>
      </c>
      <c r="U1514" s="94">
        <v>44610.099305555559</v>
      </c>
      <c r="V1514" s="93" t="s">
        <v>7072</v>
      </c>
      <c r="W1514" s="93" t="s">
        <v>24</v>
      </c>
    </row>
    <row r="1515" spans="1:23" x14ac:dyDescent="0.15">
      <c r="A1515" s="93" t="s">
        <v>8783</v>
      </c>
      <c r="B1515" s="93" t="s">
        <v>8784</v>
      </c>
      <c r="C1515" s="93">
        <v>80</v>
      </c>
      <c r="D1515" s="93" t="s">
        <v>24</v>
      </c>
      <c r="E1515" s="93" t="s">
        <v>9</v>
      </c>
      <c r="F1515" s="93" t="s">
        <v>7912</v>
      </c>
      <c r="G1515" s="93" t="s">
        <v>7104</v>
      </c>
      <c r="H1515" s="93" t="s">
        <v>118</v>
      </c>
      <c r="I1515" s="93" t="s">
        <v>111</v>
      </c>
      <c r="J1515" s="93" t="s">
        <v>118</v>
      </c>
      <c r="K1515" s="93">
        <v>3</v>
      </c>
      <c r="L1515" s="93" t="s">
        <v>111</v>
      </c>
      <c r="M1515" s="93" t="s">
        <v>111</v>
      </c>
      <c r="N1515" s="93" t="s">
        <v>111</v>
      </c>
      <c r="O1515" s="93" t="s">
        <v>111</v>
      </c>
      <c r="P1515" s="93" t="s">
        <v>111</v>
      </c>
      <c r="Q1515" s="93" t="s">
        <v>228</v>
      </c>
      <c r="R1515" s="93" t="s">
        <v>2</v>
      </c>
      <c r="S1515" s="93" t="s">
        <v>115</v>
      </c>
      <c r="T1515" s="93" t="s">
        <v>116</v>
      </c>
      <c r="U1515" s="94">
        <v>44602.409722222219</v>
      </c>
      <c r="V1515" s="93" t="s">
        <v>120</v>
      </c>
      <c r="W1515" s="93" t="s">
        <v>24</v>
      </c>
    </row>
    <row r="1516" spans="1:23" x14ac:dyDescent="0.15">
      <c r="A1516" s="93" t="s">
        <v>8785</v>
      </c>
      <c r="B1516" s="93" t="s">
        <v>8786</v>
      </c>
      <c r="C1516" s="93">
        <v>160</v>
      </c>
      <c r="D1516" s="93" t="s">
        <v>24</v>
      </c>
      <c r="E1516" s="93" t="s">
        <v>9</v>
      </c>
      <c r="F1516" s="93" t="s">
        <v>7912</v>
      </c>
      <c r="G1516" s="93" t="s">
        <v>7104</v>
      </c>
      <c r="H1516" s="93" t="s">
        <v>118</v>
      </c>
      <c r="I1516" s="93" t="s">
        <v>111</v>
      </c>
      <c r="J1516" s="93" t="s">
        <v>118</v>
      </c>
      <c r="K1516" s="93">
        <v>3</v>
      </c>
      <c r="L1516" s="93" t="s">
        <v>111</v>
      </c>
      <c r="M1516" s="93" t="s">
        <v>111</v>
      </c>
      <c r="N1516" s="93" t="s">
        <v>111</v>
      </c>
      <c r="O1516" s="93" t="s">
        <v>111</v>
      </c>
      <c r="P1516" s="93" t="s">
        <v>111</v>
      </c>
      <c r="Q1516" s="93" t="s">
        <v>228</v>
      </c>
      <c r="R1516" s="93" t="s">
        <v>2</v>
      </c>
      <c r="S1516" s="93" t="s">
        <v>115</v>
      </c>
      <c r="T1516" s="93" t="s">
        <v>116</v>
      </c>
      <c r="U1516" s="94">
        <v>44602.409722222219</v>
      </c>
      <c r="V1516" s="93" t="s">
        <v>120</v>
      </c>
      <c r="W1516" s="93" t="s">
        <v>24</v>
      </c>
    </row>
    <row r="1517" spans="1:23" x14ac:dyDescent="0.15">
      <c r="A1517" s="93" t="s">
        <v>8787</v>
      </c>
      <c r="B1517" s="93" t="s">
        <v>8788</v>
      </c>
      <c r="C1517" s="93">
        <v>240</v>
      </c>
      <c r="D1517" s="93" t="s">
        <v>24</v>
      </c>
      <c r="E1517" s="93" t="s">
        <v>9</v>
      </c>
      <c r="F1517" s="93" t="s">
        <v>7912</v>
      </c>
      <c r="G1517" s="93" t="s">
        <v>7104</v>
      </c>
      <c r="H1517" s="93" t="s">
        <v>118</v>
      </c>
      <c r="I1517" s="93" t="s">
        <v>111</v>
      </c>
      <c r="J1517" s="93" t="s">
        <v>118</v>
      </c>
      <c r="K1517" s="93">
        <v>3</v>
      </c>
      <c r="L1517" s="93" t="s">
        <v>111</v>
      </c>
      <c r="M1517" s="93" t="s">
        <v>111</v>
      </c>
      <c r="N1517" s="93" t="s">
        <v>111</v>
      </c>
      <c r="O1517" s="93" t="s">
        <v>111</v>
      </c>
      <c r="P1517" s="93" t="s">
        <v>111</v>
      </c>
      <c r="Q1517" s="93" t="s">
        <v>228</v>
      </c>
      <c r="R1517" s="93" t="s">
        <v>2</v>
      </c>
      <c r="S1517" s="93" t="s">
        <v>115</v>
      </c>
      <c r="T1517" s="93" t="s">
        <v>116</v>
      </c>
      <c r="U1517" s="94">
        <v>44602.409722222219</v>
      </c>
      <c r="V1517" s="93" t="s">
        <v>120</v>
      </c>
      <c r="W1517" s="93" t="s">
        <v>24</v>
      </c>
    </row>
    <row r="1518" spans="1:23" x14ac:dyDescent="0.15">
      <c r="A1518" s="93" t="s">
        <v>8789</v>
      </c>
      <c r="B1518" s="93" t="s">
        <v>8790</v>
      </c>
      <c r="C1518" s="93">
        <v>440</v>
      </c>
      <c r="D1518" s="93" t="s">
        <v>24</v>
      </c>
      <c r="E1518" s="93" t="s">
        <v>24</v>
      </c>
      <c r="F1518" s="93" t="s">
        <v>126</v>
      </c>
      <c r="G1518" s="93" t="s">
        <v>7104</v>
      </c>
      <c r="H1518" s="93" t="s">
        <v>118</v>
      </c>
      <c r="I1518" s="93" t="s">
        <v>111</v>
      </c>
      <c r="J1518" s="93" t="s">
        <v>7105</v>
      </c>
      <c r="K1518" s="93" t="s">
        <v>111</v>
      </c>
      <c r="L1518" s="93" t="s">
        <v>111</v>
      </c>
      <c r="M1518" s="93" t="s">
        <v>111</v>
      </c>
      <c r="N1518" s="93" t="s">
        <v>111</v>
      </c>
      <c r="O1518" s="93" t="s">
        <v>111</v>
      </c>
      <c r="P1518" s="93" t="s">
        <v>111</v>
      </c>
      <c r="Q1518" s="93" t="s">
        <v>111</v>
      </c>
      <c r="R1518" s="93" t="s">
        <v>2</v>
      </c>
      <c r="S1518" s="93" t="s">
        <v>111</v>
      </c>
      <c r="T1518" s="93" t="s">
        <v>116</v>
      </c>
      <c r="U1518" s="94">
        <v>44610.083333333336</v>
      </c>
      <c r="V1518" s="93" t="s">
        <v>7072</v>
      </c>
      <c r="W1518" s="93" t="s">
        <v>24</v>
      </c>
    </row>
    <row r="1519" spans="1:23" x14ac:dyDescent="0.15">
      <c r="A1519" s="93" t="s">
        <v>8791</v>
      </c>
      <c r="B1519" s="93" t="s">
        <v>8792</v>
      </c>
      <c r="C1519" s="93">
        <v>880</v>
      </c>
      <c r="D1519" s="93" t="s">
        <v>24</v>
      </c>
      <c r="E1519" s="93" t="s">
        <v>24</v>
      </c>
      <c r="F1519" s="93" t="s">
        <v>126</v>
      </c>
      <c r="G1519" s="93" t="s">
        <v>7104</v>
      </c>
      <c r="H1519" s="93" t="s">
        <v>118</v>
      </c>
      <c r="I1519" s="93" t="s">
        <v>111</v>
      </c>
      <c r="J1519" s="93" t="s">
        <v>7105</v>
      </c>
      <c r="K1519" s="93" t="s">
        <v>111</v>
      </c>
      <c r="L1519" s="93" t="s">
        <v>111</v>
      </c>
      <c r="M1519" s="93" t="s">
        <v>111</v>
      </c>
      <c r="N1519" s="93" t="s">
        <v>111</v>
      </c>
      <c r="O1519" s="93" t="s">
        <v>111</v>
      </c>
      <c r="P1519" s="93" t="s">
        <v>111</v>
      </c>
      <c r="Q1519" s="93" t="s">
        <v>111</v>
      </c>
      <c r="R1519" s="93" t="s">
        <v>2</v>
      </c>
      <c r="S1519" s="93" t="s">
        <v>111</v>
      </c>
      <c r="T1519" s="93" t="s">
        <v>116</v>
      </c>
      <c r="U1519" s="94">
        <v>44610.083333333336</v>
      </c>
      <c r="V1519" s="93" t="s">
        <v>7072</v>
      </c>
      <c r="W1519" s="93" t="s">
        <v>24</v>
      </c>
    </row>
    <row r="1520" spans="1:23" x14ac:dyDescent="0.15">
      <c r="A1520" s="93" t="s">
        <v>8793</v>
      </c>
      <c r="B1520" s="93" t="s">
        <v>8794</v>
      </c>
      <c r="C1520" s="93">
        <v>1320</v>
      </c>
      <c r="D1520" s="93" t="s">
        <v>24</v>
      </c>
      <c r="E1520" s="93" t="s">
        <v>24</v>
      </c>
      <c r="F1520" s="93" t="s">
        <v>126</v>
      </c>
      <c r="G1520" s="93" t="s">
        <v>7104</v>
      </c>
      <c r="H1520" s="93" t="s">
        <v>118</v>
      </c>
      <c r="I1520" s="93" t="s">
        <v>111</v>
      </c>
      <c r="J1520" s="93" t="s">
        <v>7105</v>
      </c>
      <c r="K1520" s="93" t="s">
        <v>111</v>
      </c>
      <c r="L1520" s="93" t="s">
        <v>111</v>
      </c>
      <c r="M1520" s="93" t="s">
        <v>111</v>
      </c>
      <c r="N1520" s="93" t="s">
        <v>111</v>
      </c>
      <c r="O1520" s="93" t="s">
        <v>111</v>
      </c>
      <c r="P1520" s="93" t="s">
        <v>111</v>
      </c>
      <c r="Q1520" s="93" t="s">
        <v>111</v>
      </c>
      <c r="R1520" s="93" t="s">
        <v>2</v>
      </c>
      <c r="S1520" s="93" t="s">
        <v>111</v>
      </c>
      <c r="T1520" s="93" t="s">
        <v>116</v>
      </c>
      <c r="U1520" s="94">
        <v>44610.114583333336</v>
      </c>
      <c r="V1520" s="93" t="s">
        <v>7072</v>
      </c>
      <c r="W1520" s="93" t="s">
        <v>24</v>
      </c>
    </row>
    <row r="1521" spans="1:23" x14ac:dyDescent="0.15">
      <c r="A1521" s="93" t="s">
        <v>8795</v>
      </c>
      <c r="B1521" s="93" t="s">
        <v>8796</v>
      </c>
      <c r="C1521" s="93">
        <v>45</v>
      </c>
      <c r="D1521" s="93" t="s">
        <v>24</v>
      </c>
      <c r="E1521" s="93" t="s">
        <v>9</v>
      </c>
      <c r="F1521" s="93" t="s">
        <v>7912</v>
      </c>
      <c r="G1521" s="93" t="s">
        <v>7104</v>
      </c>
      <c r="H1521" s="93" t="s">
        <v>118</v>
      </c>
      <c r="I1521" s="93" t="s">
        <v>111</v>
      </c>
      <c r="J1521" s="93" t="s">
        <v>118</v>
      </c>
      <c r="K1521" s="93">
        <v>3</v>
      </c>
      <c r="L1521" s="93" t="s">
        <v>111</v>
      </c>
      <c r="M1521" s="93" t="s">
        <v>111</v>
      </c>
      <c r="N1521" s="93" t="s">
        <v>111</v>
      </c>
      <c r="O1521" s="93" t="s">
        <v>111</v>
      </c>
      <c r="P1521" s="93" t="s">
        <v>111</v>
      </c>
      <c r="Q1521" s="93" t="s">
        <v>228</v>
      </c>
      <c r="R1521" s="93" t="s">
        <v>2</v>
      </c>
      <c r="S1521" s="93" t="s">
        <v>115</v>
      </c>
      <c r="T1521" s="93" t="s">
        <v>116</v>
      </c>
      <c r="U1521" s="94">
        <v>44602.409722222219</v>
      </c>
      <c r="V1521" s="93" t="s">
        <v>120</v>
      </c>
      <c r="W1521" s="93" t="s">
        <v>24</v>
      </c>
    </row>
    <row r="1522" spans="1:23" x14ac:dyDescent="0.15">
      <c r="A1522" s="93" t="s">
        <v>8797</v>
      </c>
      <c r="B1522" s="93" t="s">
        <v>8798</v>
      </c>
      <c r="C1522" s="93">
        <v>90</v>
      </c>
      <c r="D1522" s="93" t="s">
        <v>24</v>
      </c>
      <c r="E1522" s="93" t="s">
        <v>9</v>
      </c>
      <c r="F1522" s="93" t="s">
        <v>7912</v>
      </c>
      <c r="G1522" s="93" t="s">
        <v>7104</v>
      </c>
      <c r="H1522" s="93" t="s">
        <v>118</v>
      </c>
      <c r="I1522" s="93" t="s">
        <v>111</v>
      </c>
      <c r="J1522" s="93" t="s">
        <v>118</v>
      </c>
      <c r="K1522" s="93">
        <v>3</v>
      </c>
      <c r="L1522" s="93" t="s">
        <v>111</v>
      </c>
      <c r="M1522" s="93" t="s">
        <v>111</v>
      </c>
      <c r="N1522" s="93" t="s">
        <v>111</v>
      </c>
      <c r="O1522" s="93" t="s">
        <v>111</v>
      </c>
      <c r="P1522" s="93" t="s">
        <v>111</v>
      </c>
      <c r="Q1522" s="93" t="s">
        <v>228</v>
      </c>
      <c r="R1522" s="93" t="s">
        <v>2</v>
      </c>
      <c r="S1522" s="93" t="s">
        <v>115</v>
      </c>
      <c r="T1522" s="93" t="s">
        <v>116</v>
      </c>
      <c r="U1522" s="94">
        <v>44602.409722222219</v>
      </c>
      <c r="V1522" s="93" t="s">
        <v>120</v>
      </c>
      <c r="W1522" s="93" t="s">
        <v>24</v>
      </c>
    </row>
    <row r="1523" spans="1:23" x14ac:dyDescent="0.15">
      <c r="A1523" s="93" t="s">
        <v>8799</v>
      </c>
      <c r="B1523" s="93" t="s">
        <v>8800</v>
      </c>
      <c r="C1523" s="93">
        <v>135</v>
      </c>
      <c r="D1523" s="93" t="s">
        <v>24</v>
      </c>
      <c r="E1523" s="93" t="s">
        <v>9</v>
      </c>
      <c r="F1523" s="93" t="s">
        <v>7912</v>
      </c>
      <c r="G1523" s="93" t="s">
        <v>7104</v>
      </c>
      <c r="H1523" s="93" t="s">
        <v>118</v>
      </c>
      <c r="I1523" s="93" t="s">
        <v>111</v>
      </c>
      <c r="J1523" s="93" t="s">
        <v>118</v>
      </c>
      <c r="K1523" s="93">
        <v>3</v>
      </c>
      <c r="L1523" s="93" t="s">
        <v>111</v>
      </c>
      <c r="M1523" s="93" t="s">
        <v>111</v>
      </c>
      <c r="N1523" s="93" t="s">
        <v>111</v>
      </c>
      <c r="O1523" s="93" t="s">
        <v>111</v>
      </c>
      <c r="P1523" s="93" t="s">
        <v>111</v>
      </c>
      <c r="Q1523" s="93" t="s">
        <v>228</v>
      </c>
      <c r="R1523" s="93" t="s">
        <v>2</v>
      </c>
      <c r="S1523" s="93" t="s">
        <v>115</v>
      </c>
      <c r="T1523" s="93" t="s">
        <v>116</v>
      </c>
      <c r="U1523" s="94">
        <v>44602.409722222219</v>
      </c>
      <c r="V1523" s="93" t="s">
        <v>120</v>
      </c>
      <c r="W1523" s="93" t="s">
        <v>24</v>
      </c>
    </row>
    <row r="1524" spans="1:23" x14ac:dyDescent="0.15">
      <c r="A1524" s="93" t="s">
        <v>8801</v>
      </c>
      <c r="B1524" s="93" t="s">
        <v>8802</v>
      </c>
      <c r="C1524" s="93">
        <v>90</v>
      </c>
      <c r="D1524" s="93" t="s">
        <v>24</v>
      </c>
      <c r="E1524" s="93" t="s">
        <v>24</v>
      </c>
      <c r="F1524" s="93" t="s">
        <v>126</v>
      </c>
      <c r="G1524" s="93" t="s">
        <v>7104</v>
      </c>
      <c r="H1524" s="93" t="s">
        <v>118</v>
      </c>
      <c r="I1524" s="93" t="s">
        <v>111</v>
      </c>
      <c r="J1524" s="93" t="s">
        <v>7105</v>
      </c>
      <c r="K1524" s="93" t="s">
        <v>111</v>
      </c>
      <c r="L1524" s="93" t="s">
        <v>111</v>
      </c>
      <c r="M1524" s="93" t="s">
        <v>111</v>
      </c>
      <c r="N1524" s="93" t="s">
        <v>111</v>
      </c>
      <c r="O1524" s="93" t="s">
        <v>111</v>
      </c>
      <c r="P1524" s="93" t="s">
        <v>111</v>
      </c>
      <c r="Q1524" s="93" t="s">
        <v>111</v>
      </c>
      <c r="R1524" s="93" t="s">
        <v>2</v>
      </c>
      <c r="S1524" s="93" t="s">
        <v>111</v>
      </c>
      <c r="T1524" s="93" t="s">
        <v>116</v>
      </c>
      <c r="U1524" s="94">
        <v>44610.074999999997</v>
      </c>
      <c r="V1524" s="93" t="s">
        <v>7072</v>
      </c>
      <c r="W1524" s="93" t="s">
        <v>24</v>
      </c>
    </row>
    <row r="1525" spans="1:23" x14ac:dyDescent="0.15">
      <c r="A1525" s="93" t="s">
        <v>8803</v>
      </c>
      <c r="B1525" s="93" t="s">
        <v>8804</v>
      </c>
      <c r="C1525" s="93">
        <v>180</v>
      </c>
      <c r="D1525" s="93" t="s">
        <v>24</v>
      </c>
      <c r="E1525" s="93" t="s">
        <v>24</v>
      </c>
      <c r="F1525" s="93" t="s">
        <v>126</v>
      </c>
      <c r="G1525" s="93" t="s">
        <v>7104</v>
      </c>
      <c r="H1525" s="93" t="s">
        <v>118</v>
      </c>
      <c r="I1525" s="93" t="s">
        <v>111</v>
      </c>
      <c r="J1525" s="93" t="s">
        <v>7105</v>
      </c>
      <c r="K1525" s="93" t="s">
        <v>111</v>
      </c>
      <c r="L1525" s="93" t="s">
        <v>111</v>
      </c>
      <c r="M1525" s="93" t="s">
        <v>111</v>
      </c>
      <c r="N1525" s="93" t="s">
        <v>111</v>
      </c>
      <c r="O1525" s="93" t="s">
        <v>111</v>
      </c>
      <c r="P1525" s="93" t="s">
        <v>111</v>
      </c>
      <c r="Q1525" s="93" t="s">
        <v>111</v>
      </c>
      <c r="R1525" s="93" t="s">
        <v>111</v>
      </c>
      <c r="S1525" s="93" t="s">
        <v>111</v>
      </c>
      <c r="T1525" s="93" t="s">
        <v>116</v>
      </c>
      <c r="U1525" s="94">
        <v>44610.099305555559</v>
      </c>
      <c r="V1525" s="93" t="s">
        <v>7072</v>
      </c>
      <c r="W1525" s="93" t="s">
        <v>24</v>
      </c>
    </row>
    <row r="1526" spans="1:23" x14ac:dyDescent="0.15">
      <c r="A1526" s="93" t="s">
        <v>8805</v>
      </c>
      <c r="B1526" s="93" t="s">
        <v>8806</v>
      </c>
      <c r="C1526" s="93">
        <v>270</v>
      </c>
      <c r="D1526" s="93" t="s">
        <v>24</v>
      </c>
      <c r="E1526" s="93" t="s">
        <v>24</v>
      </c>
      <c r="F1526" s="93" t="s">
        <v>126</v>
      </c>
      <c r="G1526" s="93" t="s">
        <v>7104</v>
      </c>
      <c r="H1526" s="93" t="s">
        <v>118</v>
      </c>
      <c r="I1526" s="93" t="s">
        <v>111</v>
      </c>
      <c r="J1526" s="93" t="s">
        <v>7105</v>
      </c>
      <c r="K1526" s="93" t="s">
        <v>111</v>
      </c>
      <c r="L1526" s="93" t="s">
        <v>111</v>
      </c>
      <c r="M1526" s="93" t="s">
        <v>111</v>
      </c>
      <c r="N1526" s="93" t="s">
        <v>111</v>
      </c>
      <c r="O1526" s="93" t="s">
        <v>111</v>
      </c>
      <c r="P1526" s="93" t="s">
        <v>111</v>
      </c>
      <c r="Q1526" s="93" t="s">
        <v>111</v>
      </c>
      <c r="R1526" s="93" t="s">
        <v>111</v>
      </c>
      <c r="S1526" s="93" t="s">
        <v>111</v>
      </c>
      <c r="T1526" s="93" t="s">
        <v>116</v>
      </c>
      <c r="U1526" s="94">
        <v>44610.099305555559</v>
      </c>
      <c r="V1526" s="93" t="s">
        <v>7072</v>
      </c>
      <c r="W1526" s="93" t="s">
        <v>24</v>
      </c>
    </row>
    <row r="1527" spans="1:23" x14ac:dyDescent="0.15">
      <c r="A1527" s="93" t="s">
        <v>8807</v>
      </c>
      <c r="B1527" s="93" t="s">
        <v>8808</v>
      </c>
      <c r="C1527" s="93">
        <v>720</v>
      </c>
      <c r="D1527" s="93" t="s">
        <v>24</v>
      </c>
      <c r="E1527" s="93" t="s">
        <v>24</v>
      </c>
      <c r="F1527" s="93" t="s">
        <v>126</v>
      </c>
      <c r="G1527" s="93" t="s">
        <v>7104</v>
      </c>
      <c r="H1527" s="93" t="s">
        <v>118</v>
      </c>
      <c r="I1527" s="93" t="s">
        <v>111</v>
      </c>
      <c r="J1527" s="93" t="s">
        <v>7105</v>
      </c>
      <c r="K1527" s="93" t="s">
        <v>111</v>
      </c>
      <c r="L1527" s="93" t="s">
        <v>111</v>
      </c>
      <c r="M1527" s="93" t="s">
        <v>111</v>
      </c>
      <c r="N1527" s="93" t="s">
        <v>111</v>
      </c>
      <c r="O1527" s="93" t="s">
        <v>111</v>
      </c>
      <c r="P1527" s="93" t="s">
        <v>111</v>
      </c>
      <c r="Q1527" s="93" t="s">
        <v>111</v>
      </c>
      <c r="R1527" s="93" t="s">
        <v>2</v>
      </c>
      <c r="S1527" s="93" t="s">
        <v>111</v>
      </c>
      <c r="T1527" s="93" t="s">
        <v>116</v>
      </c>
      <c r="U1527" s="94">
        <v>44610.124305555553</v>
      </c>
      <c r="V1527" s="93" t="s">
        <v>7072</v>
      </c>
      <c r="W1527" s="93" t="s">
        <v>24</v>
      </c>
    </row>
    <row r="1528" spans="1:23" x14ac:dyDescent="0.15">
      <c r="A1528" s="93" t="s">
        <v>8809</v>
      </c>
      <c r="B1528" s="93" t="s">
        <v>8810</v>
      </c>
      <c r="C1528" s="93">
        <v>20</v>
      </c>
      <c r="D1528" s="93" t="s">
        <v>24</v>
      </c>
      <c r="E1528" s="93" t="s">
        <v>24</v>
      </c>
      <c r="F1528" s="93" t="s">
        <v>126</v>
      </c>
      <c r="G1528" s="93" t="s">
        <v>7104</v>
      </c>
      <c r="H1528" s="93" t="s">
        <v>118</v>
      </c>
      <c r="I1528" s="93" t="s">
        <v>111</v>
      </c>
      <c r="J1528" s="93" t="s">
        <v>7105</v>
      </c>
      <c r="K1528" s="93" t="s">
        <v>111</v>
      </c>
      <c r="L1528" s="93" t="s">
        <v>111</v>
      </c>
      <c r="M1528" s="93" t="s">
        <v>111</v>
      </c>
      <c r="N1528" s="93" t="s">
        <v>111</v>
      </c>
      <c r="O1528" s="93" t="s">
        <v>111</v>
      </c>
      <c r="P1528" s="93" t="s">
        <v>111</v>
      </c>
      <c r="Q1528" s="93" t="s">
        <v>111</v>
      </c>
      <c r="R1528" s="93" t="s">
        <v>2</v>
      </c>
      <c r="S1528" s="93" t="s">
        <v>111</v>
      </c>
      <c r="T1528" s="93" t="s">
        <v>116</v>
      </c>
      <c r="U1528" s="94">
        <v>44610.123611111114</v>
      </c>
      <c r="V1528" s="93" t="s">
        <v>7072</v>
      </c>
      <c r="W1528" s="93" t="s">
        <v>24</v>
      </c>
    </row>
    <row r="1529" spans="1:23" x14ac:dyDescent="0.15">
      <c r="A1529" s="93" t="s">
        <v>8811</v>
      </c>
      <c r="B1529" s="93" t="s">
        <v>8812</v>
      </c>
      <c r="C1529" s="93">
        <v>900</v>
      </c>
      <c r="D1529" s="93" t="s">
        <v>24</v>
      </c>
      <c r="E1529" s="93" t="s">
        <v>24</v>
      </c>
      <c r="F1529" s="93" t="s">
        <v>126</v>
      </c>
      <c r="G1529" s="93" t="s">
        <v>7104</v>
      </c>
      <c r="H1529" s="93" t="s">
        <v>118</v>
      </c>
      <c r="I1529" s="93" t="s">
        <v>111</v>
      </c>
      <c r="J1529" s="93" t="s">
        <v>118</v>
      </c>
      <c r="K1529" s="93">
        <v>3</v>
      </c>
      <c r="L1529" s="93" t="s">
        <v>111</v>
      </c>
      <c r="M1529" s="93" t="s">
        <v>111</v>
      </c>
      <c r="N1529" s="93" t="s">
        <v>111</v>
      </c>
      <c r="O1529" s="93" t="s">
        <v>111</v>
      </c>
      <c r="P1529" s="93" t="s">
        <v>111</v>
      </c>
      <c r="Q1529" s="93" t="s">
        <v>111</v>
      </c>
      <c r="R1529" s="93" t="s">
        <v>2</v>
      </c>
      <c r="S1529" s="93" t="s">
        <v>111</v>
      </c>
      <c r="T1529" s="93" t="s">
        <v>116</v>
      </c>
      <c r="U1529" s="94">
        <v>44610.093055555553</v>
      </c>
      <c r="V1529" s="93" t="s">
        <v>7072</v>
      </c>
      <c r="W1529" s="93" t="s">
        <v>24</v>
      </c>
    </row>
    <row r="1530" spans="1:23" x14ac:dyDescent="0.15">
      <c r="A1530" s="93" t="s">
        <v>8813</v>
      </c>
      <c r="B1530" s="93" t="s">
        <v>8814</v>
      </c>
      <c r="C1530" s="93">
        <v>25</v>
      </c>
      <c r="D1530" s="93" t="s">
        <v>24</v>
      </c>
      <c r="E1530" s="93" t="s">
        <v>24</v>
      </c>
      <c r="F1530" s="93" t="s">
        <v>126</v>
      </c>
      <c r="G1530" s="93" t="s">
        <v>7104</v>
      </c>
      <c r="H1530" s="93" t="s">
        <v>118</v>
      </c>
      <c r="I1530" s="93" t="s">
        <v>111</v>
      </c>
      <c r="J1530" s="93" t="s">
        <v>7105</v>
      </c>
      <c r="K1530" s="93" t="s">
        <v>111</v>
      </c>
      <c r="L1530" s="93" t="s">
        <v>111</v>
      </c>
      <c r="M1530" s="93" t="s">
        <v>111</v>
      </c>
      <c r="N1530" s="93" t="s">
        <v>111</v>
      </c>
      <c r="O1530" s="93" t="s">
        <v>111</v>
      </c>
      <c r="P1530" s="93" t="s">
        <v>111</v>
      </c>
      <c r="Q1530" s="93" t="s">
        <v>111</v>
      </c>
      <c r="R1530" s="93" t="s">
        <v>2</v>
      </c>
      <c r="S1530" s="93" t="s">
        <v>111</v>
      </c>
      <c r="T1530" s="93" t="s">
        <v>116</v>
      </c>
      <c r="U1530" s="94">
        <v>44610.114583333336</v>
      </c>
      <c r="V1530" s="93" t="s">
        <v>7072</v>
      </c>
      <c r="W1530" s="93" t="s">
        <v>24</v>
      </c>
    </row>
    <row r="1531" spans="1:23" x14ac:dyDescent="0.15">
      <c r="A1531" s="93" t="s">
        <v>8815</v>
      </c>
      <c r="B1531" s="93" t="s">
        <v>8816</v>
      </c>
      <c r="C1531" s="93">
        <v>180</v>
      </c>
      <c r="D1531" s="93" t="s">
        <v>24</v>
      </c>
      <c r="E1531" s="93" t="s">
        <v>24</v>
      </c>
      <c r="F1531" s="93" t="s">
        <v>126</v>
      </c>
      <c r="G1531" s="93" t="s">
        <v>7104</v>
      </c>
      <c r="H1531" s="93" t="s">
        <v>118</v>
      </c>
      <c r="I1531" s="93" t="s">
        <v>111</v>
      </c>
      <c r="J1531" s="93" t="s">
        <v>7105</v>
      </c>
      <c r="K1531" s="93" t="s">
        <v>111</v>
      </c>
      <c r="L1531" s="93" t="s">
        <v>111</v>
      </c>
      <c r="M1531" s="93" t="s">
        <v>111</v>
      </c>
      <c r="N1531" s="93" t="s">
        <v>111</v>
      </c>
      <c r="O1531" s="93" t="s">
        <v>111</v>
      </c>
      <c r="P1531" s="93" t="s">
        <v>111</v>
      </c>
      <c r="Q1531" s="93" t="s">
        <v>111</v>
      </c>
      <c r="R1531" s="93" t="s">
        <v>2</v>
      </c>
      <c r="S1531" s="93" t="s">
        <v>111</v>
      </c>
      <c r="T1531" s="93" t="s">
        <v>116</v>
      </c>
      <c r="U1531" s="94">
        <v>44609.240972222222</v>
      </c>
      <c r="V1531" s="93" t="s">
        <v>7072</v>
      </c>
      <c r="W1531" s="93" t="s">
        <v>24</v>
      </c>
    </row>
    <row r="1532" spans="1:23" x14ac:dyDescent="0.15">
      <c r="A1532" s="93" t="s">
        <v>8817</v>
      </c>
      <c r="B1532" s="93" t="s">
        <v>8818</v>
      </c>
      <c r="C1532" s="93">
        <v>320</v>
      </c>
      <c r="D1532" s="93" t="s">
        <v>24</v>
      </c>
      <c r="E1532" s="93" t="s">
        <v>24</v>
      </c>
      <c r="F1532" s="93" t="s">
        <v>126</v>
      </c>
      <c r="G1532" s="93" t="s">
        <v>7104</v>
      </c>
      <c r="H1532" s="93" t="s">
        <v>118</v>
      </c>
      <c r="I1532" s="93" t="s">
        <v>111</v>
      </c>
      <c r="J1532" s="93" t="s">
        <v>7105</v>
      </c>
      <c r="K1532" s="93" t="s">
        <v>111</v>
      </c>
      <c r="L1532" s="93" t="s">
        <v>111</v>
      </c>
      <c r="M1532" s="93" t="s">
        <v>111</v>
      </c>
      <c r="N1532" s="93" t="s">
        <v>111</v>
      </c>
      <c r="O1532" s="93" t="s">
        <v>111</v>
      </c>
      <c r="P1532" s="93" t="s">
        <v>111</v>
      </c>
      <c r="Q1532" s="93" t="s">
        <v>111</v>
      </c>
      <c r="R1532" s="93" t="s">
        <v>2</v>
      </c>
      <c r="S1532" s="93" t="s">
        <v>111</v>
      </c>
      <c r="T1532" s="93" t="s">
        <v>116</v>
      </c>
      <c r="U1532" s="94">
        <v>44610.115277777775</v>
      </c>
      <c r="V1532" s="93" t="s">
        <v>7072</v>
      </c>
      <c r="W1532" s="93" t="s">
        <v>24</v>
      </c>
    </row>
    <row r="1533" spans="1:23" x14ac:dyDescent="0.15">
      <c r="A1533" s="93" t="s">
        <v>8819</v>
      </c>
      <c r="B1533" s="93" t="s">
        <v>8820</v>
      </c>
      <c r="C1533" s="93">
        <v>540</v>
      </c>
      <c r="D1533" s="93" t="s">
        <v>24</v>
      </c>
      <c r="E1533" s="93" t="s">
        <v>24</v>
      </c>
      <c r="F1533" s="93" t="s">
        <v>126</v>
      </c>
      <c r="G1533" s="93" t="s">
        <v>7104</v>
      </c>
      <c r="H1533" s="93" t="s">
        <v>118</v>
      </c>
      <c r="I1533" s="93" t="s">
        <v>111</v>
      </c>
      <c r="J1533" s="93" t="s">
        <v>7105</v>
      </c>
      <c r="K1533" s="93" t="s">
        <v>111</v>
      </c>
      <c r="L1533" s="93" t="s">
        <v>111</v>
      </c>
      <c r="M1533" s="93" t="s">
        <v>111</v>
      </c>
      <c r="N1533" s="93" t="s">
        <v>111</v>
      </c>
      <c r="O1533" s="93" t="s">
        <v>111</v>
      </c>
      <c r="P1533" s="93" t="s">
        <v>111</v>
      </c>
      <c r="Q1533" s="93" t="s">
        <v>111</v>
      </c>
      <c r="R1533" s="93" t="s">
        <v>2</v>
      </c>
      <c r="S1533" s="93" t="s">
        <v>111</v>
      </c>
      <c r="T1533" s="93" t="s">
        <v>116</v>
      </c>
      <c r="U1533" s="94">
        <v>44610.093055555553</v>
      </c>
      <c r="V1533" s="93" t="s">
        <v>7072</v>
      </c>
      <c r="W1533" s="93" t="s">
        <v>24</v>
      </c>
    </row>
    <row r="1534" spans="1:23" x14ac:dyDescent="0.15">
      <c r="A1534" s="93" t="s">
        <v>8821</v>
      </c>
      <c r="B1534" s="93" t="s">
        <v>8822</v>
      </c>
      <c r="C1534" s="93">
        <v>15</v>
      </c>
      <c r="D1534" s="93" t="s">
        <v>24</v>
      </c>
      <c r="E1534" s="93" t="s">
        <v>24</v>
      </c>
      <c r="F1534" s="93" t="s">
        <v>126</v>
      </c>
      <c r="G1534" s="93" t="s">
        <v>7104</v>
      </c>
      <c r="H1534" s="93" t="s">
        <v>118</v>
      </c>
      <c r="I1534" s="93" t="s">
        <v>111</v>
      </c>
      <c r="J1534" s="93" t="s">
        <v>7105</v>
      </c>
      <c r="K1534" s="93" t="s">
        <v>111</v>
      </c>
      <c r="L1534" s="93" t="s">
        <v>111</v>
      </c>
      <c r="M1534" s="93" t="s">
        <v>111</v>
      </c>
      <c r="N1534" s="93" t="s">
        <v>111</v>
      </c>
      <c r="O1534" s="93" t="s">
        <v>111</v>
      </c>
      <c r="P1534" s="93" t="s">
        <v>111</v>
      </c>
      <c r="Q1534" s="93" t="s">
        <v>111</v>
      </c>
      <c r="R1534" s="93" t="s">
        <v>2</v>
      </c>
      <c r="S1534" s="93" t="s">
        <v>111</v>
      </c>
      <c r="T1534" s="93" t="s">
        <v>116</v>
      </c>
      <c r="U1534" s="94">
        <v>44610.066666666666</v>
      </c>
      <c r="V1534" s="93" t="s">
        <v>7072</v>
      </c>
      <c r="W1534" s="93" t="s">
        <v>24</v>
      </c>
    </row>
    <row r="1535" spans="1:23" x14ac:dyDescent="0.15">
      <c r="A1535" s="93" t="s">
        <v>8823</v>
      </c>
      <c r="B1535" s="93" t="s">
        <v>8824</v>
      </c>
      <c r="C1535" s="93">
        <v>150</v>
      </c>
      <c r="D1535" s="93" t="s">
        <v>24</v>
      </c>
      <c r="E1535" s="93" t="s">
        <v>24</v>
      </c>
      <c r="F1535" s="93" t="s">
        <v>126</v>
      </c>
      <c r="G1535" s="93" t="s">
        <v>7104</v>
      </c>
      <c r="H1535" s="93" t="s">
        <v>118</v>
      </c>
      <c r="I1535" s="93" t="s">
        <v>111</v>
      </c>
      <c r="J1535" s="93" t="s">
        <v>7105</v>
      </c>
      <c r="K1535" s="93" t="s">
        <v>111</v>
      </c>
      <c r="L1535" s="93" t="s">
        <v>111</v>
      </c>
      <c r="M1535" s="93" t="s">
        <v>111</v>
      </c>
      <c r="N1535" s="93" t="s">
        <v>111</v>
      </c>
      <c r="O1535" s="93" t="s">
        <v>111</v>
      </c>
      <c r="P1535" s="93" t="s">
        <v>111</v>
      </c>
      <c r="Q1535" s="93" t="s">
        <v>111</v>
      </c>
      <c r="R1535" s="93" t="s">
        <v>111</v>
      </c>
      <c r="S1535" s="93" t="s">
        <v>111</v>
      </c>
      <c r="T1535" s="93" t="s">
        <v>116</v>
      </c>
      <c r="U1535" s="94">
        <v>44610.073611111111</v>
      </c>
      <c r="V1535" s="93" t="s">
        <v>7072</v>
      </c>
      <c r="W1535" s="93" t="s">
        <v>24</v>
      </c>
    </row>
    <row r="1536" spans="1:23" x14ac:dyDescent="0.15">
      <c r="A1536" s="93" t="s">
        <v>8825</v>
      </c>
      <c r="B1536" s="93" t="s">
        <v>8826</v>
      </c>
      <c r="C1536" s="93">
        <v>300</v>
      </c>
      <c r="D1536" s="93" t="s">
        <v>24</v>
      </c>
      <c r="E1536" s="93" t="s">
        <v>24</v>
      </c>
      <c r="F1536" s="93" t="s">
        <v>126</v>
      </c>
      <c r="G1536" s="93" t="s">
        <v>7104</v>
      </c>
      <c r="H1536" s="93" t="s">
        <v>118</v>
      </c>
      <c r="I1536" s="93" t="s">
        <v>111</v>
      </c>
      <c r="J1536" s="93" t="s">
        <v>7105</v>
      </c>
      <c r="K1536" s="93" t="s">
        <v>111</v>
      </c>
      <c r="L1536" s="93" t="s">
        <v>111</v>
      </c>
      <c r="M1536" s="93" t="s">
        <v>111</v>
      </c>
      <c r="N1536" s="93" t="s">
        <v>111</v>
      </c>
      <c r="O1536" s="93" t="s">
        <v>111</v>
      </c>
      <c r="P1536" s="93" t="s">
        <v>111</v>
      </c>
      <c r="Q1536" s="93" t="s">
        <v>111</v>
      </c>
      <c r="R1536" s="93" t="s">
        <v>111</v>
      </c>
      <c r="S1536" s="93" t="s">
        <v>111</v>
      </c>
      <c r="T1536" s="93" t="s">
        <v>116</v>
      </c>
      <c r="U1536" s="94">
        <v>44610.083333333336</v>
      </c>
      <c r="V1536" s="93" t="s">
        <v>7072</v>
      </c>
      <c r="W1536" s="93" t="s">
        <v>24</v>
      </c>
    </row>
    <row r="1537" spans="1:23" x14ac:dyDescent="0.15">
      <c r="A1537" s="93" t="s">
        <v>8827</v>
      </c>
      <c r="B1537" s="93" t="s">
        <v>8828</v>
      </c>
      <c r="C1537" s="93">
        <v>450</v>
      </c>
      <c r="D1537" s="93" t="s">
        <v>24</v>
      </c>
      <c r="E1537" s="93" t="s">
        <v>24</v>
      </c>
      <c r="F1537" s="93" t="s">
        <v>126</v>
      </c>
      <c r="G1537" s="93" t="s">
        <v>7104</v>
      </c>
      <c r="H1537" s="93" t="s">
        <v>118</v>
      </c>
      <c r="I1537" s="93" t="s">
        <v>111</v>
      </c>
      <c r="J1537" s="93" t="s">
        <v>7105</v>
      </c>
      <c r="K1537" s="93" t="s">
        <v>111</v>
      </c>
      <c r="L1537" s="93" t="s">
        <v>111</v>
      </c>
      <c r="M1537" s="93" t="s">
        <v>111</v>
      </c>
      <c r="N1537" s="93" t="s">
        <v>111</v>
      </c>
      <c r="O1537" s="93" t="s">
        <v>111</v>
      </c>
      <c r="P1537" s="93" t="s">
        <v>111</v>
      </c>
      <c r="Q1537" s="93" t="s">
        <v>111</v>
      </c>
      <c r="R1537" s="93" t="s">
        <v>111</v>
      </c>
      <c r="S1537" s="93" t="s">
        <v>111</v>
      </c>
      <c r="T1537" s="93" t="s">
        <v>116</v>
      </c>
      <c r="U1537" s="94">
        <v>44610.083333333336</v>
      </c>
      <c r="V1537" s="93" t="s">
        <v>7072</v>
      </c>
      <c r="W1537" s="93" t="s">
        <v>24</v>
      </c>
    </row>
    <row r="1538" spans="1:23" x14ac:dyDescent="0.15">
      <c r="A1538" s="93" t="s">
        <v>8829</v>
      </c>
      <c r="B1538" s="93" t="s">
        <v>8830</v>
      </c>
      <c r="C1538" s="93">
        <v>270</v>
      </c>
      <c r="D1538" s="93" t="s">
        <v>24</v>
      </c>
      <c r="E1538" s="93" t="s">
        <v>24</v>
      </c>
      <c r="F1538" s="93" t="s">
        <v>126</v>
      </c>
      <c r="G1538" s="93" t="s">
        <v>7104</v>
      </c>
      <c r="H1538" s="93" t="s">
        <v>118</v>
      </c>
      <c r="I1538" s="93" t="s">
        <v>111</v>
      </c>
      <c r="J1538" s="93" t="s">
        <v>7105</v>
      </c>
      <c r="K1538" s="93" t="s">
        <v>111</v>
      </c>
      <c r="L1538" s="93" t="s">
        <v>111</v>
      </c>
      <c r="M1538" s="93" t="s">
        <v>111</v>
      </c>
      <c r="N1538" s="93" t="s">
        <v>111</v>
      </c>
      <c r="O1538" s="93" t="s">
        <v>111</v>
      </c>
      <c r="P1538" s="93" t="s">
        <v>111</v>
      </c>
      <c r="Q1538" s="93" t="s">
        <v>111</v>
      </c>
      <c r="R1538" s="93" t="s">
        <v>2</v>
      </c>
      <c r="S1538" s="93" t="s">
        <v>111</v>
      </c>
      <c r="T1538" s="93" t="s">
        <v>116</v>
      </c>
      <c r="U1538" s="94">
        <v>44610.123611111114</v>
      </c>
      <c r="V1538" s="93" t="s">
        <v>7072</v>
      </c>
      <c r="W1538" s="93" t="s">
        <v>24</v>
      </c>
    </row>
    <row r="1539" spans="1:23" x14ac:dyDescent="0.15">
      <c r="A1539" s="93" t="s">
        <v>8831</v>
      </c>
      <c r="B1539" s="93" t="s">
        <v>8832</v>
      </c>
      <c r="C1539" s="93">
        <v>480</v>
      </c>
      <c r="D1539" s="93" t="s">
        <v>24</v>
      </c>
      <c r="E1539" s="93" t="s">
        <v>24</v>
      </c>
      <c r="F1539" s="93" t="s">
        <v>126</v>
      </c>
      <c r="G1539" s="93" t="s">
        <v>7104</v>
      </c>
      <c r="H1539" s="93" t="s">
        <v>118</v>
      </c>
      <c r="I1539" s="93" t="s">
        <v>111</v>
      </c>
      <c r="J1539" s="93" t="s">
        <v>7105</v>
      </c>
      <c r="K1539" s="93" t="s">
        <v>111</v>
      </c>
      <c r="L1539" s="93" t="s">
        <v>111</v>
      </c>
      <c r="M1539" s="93" t="s">
        <v>111</v>
      </c>
      <c r="N1539" s="93" t="s">
        <v>111</v>
      </c>
      <c r="O1539" s="93" t="s">
        <v>111</v>
      </c>
      <c r="P1539" s="93" t="s">
        <v>111</v>
      </c>
      <c r="Q1539" s="93" t="s">
        <v>111</v>
      </c>
      <c r="R1539" s="93" t="s">
        <v>2</v>
      </c>
      <c r="S1539" s="93" t="s">
        <v>111</v>
      </c>
      <c r="T1539" s="93" t="s">
        <v>116</v>
      </c>
      <c r="U1539" s="94">
        <v>44610.05972222222</v>
      </c>
      <c r="V1539" s="93" t="s">
        <v>7072</v>
      </c>
      <c r="W1539" s="93" t="s">
        <v>24</v>
      </c>
    </row>
    <row r="1540" spans="1:23" x14ac:dyDescent="0.15">
      <c r="A1540" s="93" t="s">
        <v>8833</v>
      </c>
      <c r="B1540" s="93" t="s">
        <v>8834</v>
      </c>
      <c r="C1540" s="93">
        <v>80</v>
      </c>
      <c r="D1540" s="93" t="s">
        <v>24</v>
      </c>
      <c r="E1540" s="93" t="s">
        <v>9</v>
      </c>
      <c r="F1540" s="93" t="s">
        <v>7912</v>
      </c>
      <c r="G1540" s="93" t="s">
        <v>7104</v>
      </c>
      <c r="H1540" s="93" t="s">
        <v>118</v>
      </c>
      <c r="I1540" s="93" t="s">
        <v>111</v>
      </c>
      <c r="J1540" s="93" t="s">
        <v>118</v>
      </c>
      <c r="K1540" s="93">
        <v>3</v>
      </c>
      <c r="L1540" s="93" t="s">
        <v>111</v>
      </c>
      <c r="M1540" s="93" t="s">
        <v>111</v>
      </c>
      <c r="N1540" s="93" t="s">
        <v>111</v>
      </c>
      <c r="O1540" s="93" t="s">
        <v>111</v>
      </c>
      <c r="P1540" s="93" t="s">
        <v>111</v>
      </c>
      <c r="Q1540" s="93" t="s">
        <v>228</v>
      </c>
      <c r="R1540" s="93" t="s">
        <v>2</v>
      </c>
      <c r="S1540" s="93" t="s">
        <v>115</v>
      </c>
      <c r="T1540" s="93" t="s">
        <v>116</v>
      </c>
      <c r="U1540" s="94">
        <v>44602.409722222219</v>
      </c>
      <c r="V1540" s="93" t="s">
        <v>120</v>
      </c>
      <c r="W1540" s="93" t="s">
        <v>24</v>
      </c>
    </row>
    <row r="1541" spans="1:23" x14ac:dyDescent="0.15">
      <c r="A1541" s="93" t="s">
        <v>8835</v>
      </c>
      <c r="B1541" s="93" t="s">
        <v>8836</v>
      </c>
      <c r="C1541" s="93">
        <v>160</v>
      </c>
      <c r="D1541" s="93" t="s">
        <v>24</v>
      </c>
      <c r="E1541" s="93" t="s">
        <v>9</v>
      </c>
      <c r="F1541" s="93" t="s">
        <v>7912</v>
      </c>
      <c r="G1541" s="93" t="s">
        <v>7104</v>
      </c>
      <c r="H1541" s="93" t="s">
        <v>118</v>
      </c>
      <c r="I1541" s="93" t="s">
        <v>111</v>
      </c>
      <c r="J1541" s="93" t="s">
        <v>118</v>
      </c>
      <c r="K1541" s="93">
        <v>3</v>
      </c>
      <c r="L1541" s="93" t="s">
        <v>111</v>
      </c>
      <c r="M1541" s="93" t="s">
        <v>111</v>
      </c>
      <c r="N1541" s="93" t="s">
        <v>111</v>
      </c>
      <c r="O1541" s="93" t="s">
        <v>111</v>
      </c>
      <c r="P1541" s="93" t="s">
        <v>111</v>
      </c>
      <c r="Q1541" s="93" t="s">
        <v>228</v>
      </c>
      <c r="R1541" s="93" t="s">
        <v>2</v>
      </c>
      <c r="S1541" s="93" t="s">
        <v>115</v>
      </c>
      <c r="T1541" s="93" t="s">
        <v>116</v>
      </c>
      <c r="U1541" s="94">
        <v>44602.409722222219</v>
      </c>
      <c r="V1541" s="93" t="s">
        <v>120</v>
      </c>
      <c r="W1541" s="93" t="s">
        <v>24</v>
      </c>
    </row>
    <row r="1542" spans="1:23" x14ac:dyDescent="0.15">
      <c r="A1542" s="93" t="s">
        <v>8837</v>
      </c>
      <c r="B1542" s="93" t="s">
        <v>8838</v>
      </c>
      <c r="C1542" s="93">
        <v>240</v>
      </c>
      <c r="D1542" s="93" t="s">
        <v>24</v>
      </c>
      <c r="E1542" s="93" t="s">
        <v>9</v>
      </c>
      <c r="F1542" s="93" t="s">
        <v>7912</v>
      </c>
      <c r="G1542" s="93" t="s">
        <v>7104</v>
      </c>
      <c r="H1542" s="93" t="s">
        <v>118</v>
      </c>
      <c r="I1542" s="93" t="s">
        <v>111</v>
      </c>
      <c r="J1542" s="93" t="s">
        <v>118</v>
      </c>
      <c r="K1542" s="93">
        <v>3</v>
      </c>
      <c r="L1542" s="93" t="s">
        <v>111</v>
      </c>
      <c r="M1542" s="93" t="s">
        <v>111</v>
      </c>
      <c r="N1542" s="93" t="s">
        <v>111</v>
      </c>
      <c r="O1542" s="93" t="s">
        <v>111</v>
      </c>
      <c r="P1542" s="93" t="s">
        <v>111</v>
      </c>
      <c r="Q1542" s="93" t="s">
        <v>228</v>
      </c>
      <c r="R1542" s="93" t="s">
        <v>2</v>
      </c>
      <c r="S1542" s="93" t="s">
        <v>115</v>
      </c>
      <c r="T1542" s="93" t="s">
        <v>116</v>
      </c>
      <c r="U1542" s="94">
        <v>44602.409722222219</v>
      </c>
      <c r="V1542" s="93" t="s">
        <v>120</v>
      </c>
      <c r="W1542" s="93" t="s">
        <v>24</v>
      </c>
    </row>
    <row r="1543" spans="1:23" x14ac:dyDescent="0.15">
      <c r="A1543" s="93" t="s">
        <v>8839</v>
      </c>
      <c r="B1543" s="93" t="s">
        <v>8840</v>
      </c>
      <c r="C1543" s="93">
        <v>260</v>
      </c>
      <c r="D1543" s="93" t="s">
        <v>24</v>
      </c>
      <c r="E1543" s="93" t="s">
        <v>24</v>
      </c>
      <c r="F1543" s="93" t="s">
        <v>126</v>
      </c>
      <c r="G1543" s="93" t="s">
        <v>7104</v>
      </c>
      <c r="H1543" s="93" t="s">
        <v>118</v>
      </c>
      <c r="I1543" s="93" t="s">
        <v>111</v>
      </c>
      <c r="J1543" s="93" t="s">
        <v>7105</v>
      </c>
      <c r="K1543" s="93" t="s">
        <v>111</v>
      </c>
      <c r="L1543" s="93" t="s">
        <v>111</v>
      </c>
      <c r="M1543" s="93" t="s">
        <v>111</v>
      </c>
      <c r="N1543" s="93" t="s">
        <v>111</v>
      </c>
      <c r="O1543" s="93" t="s">
        <v>111</v>
      </c>
      <c r="P1543" s="93" t="s">
        <v>111</v>
      </c>
      <c r="Q1543" s="93" t="s">
        <v>111</v>
      </c>
      <c r="R1543" s="93" t="s">
        <v>111</v>
      </c>
      <c r="S1543" s="93" t="s">
        <v>111</v>
      </c>
      <c r="T1543" s="93" t="s">
        <v>116</v>
      </c>
      <c r="U1543" s="94">
        <v>44610.113888888889</v>
      </c>
      <c r="V1543" s="93" t="s">
        <v>7072</v>
      </c>
      <c r="W1543" s="93" t="s">
        <v>24</v>
      </c>
    </row>
    <row r="1544" spans="1:23" x14ac:dyDescent="0.15">
      <c r="A1544" s="93" t="s">
        <v>8841</v>
      </c>
      <c r="B1544" s="93" t="s">
        <v>8842</v>
      </c>
      <c r="C1544" s="93">
        <v>520</v>
      </c>
      <c r="D1544" s="93" t="s">
        <v>24</v>
      </c>
      <c r="E1544" s="93" t="s">
        <v>24</v>
      </c>
      <c r="F1544" s="93" t="s">
        <v>126</v>
      </c>
      <c r="G1544" s="93" t="s">
        <v>7104</v>
      </c>
      <c r="H1544" s="93" t="s">
        <v>118</v>
      </c>
      <c r="I1544" s="93" t="s">
        <v>111</v>
      </c>
      <c r="J1544" s="93" t="s">
        <v>7105</v>
      </c>
      <c r="K1544" s="93" t="s">
        <v>111</v>
      </c>
      <c r="L1544" s="93" t="s">
        <v>111</v>
      </c>
      <c r="M1544" s="93" t="s">
        <v>111</v>
      </c>
      <c r="N1544" s="93" t="s">
        <v>111</v>
      </c>
      <c r="O1544" s="93" t="s">
        <v>111</v>
      </c>
      <c r="P1544" s="93" t="s">
        <v>111</v>
      </c>
      <c r="Q1544" s="93" t="s">
        <v>111</v>
      </c>
      <c r="R1544" s="93" t="s">
        <v>2</v>
      </c>
      <c r="S1544" s="93" t="s">
        <v>111</v>
      </c>
      <c r="T1544" s="93" t="s">
        <v>116</v>
      </c>
      <c r="U1544" s="94">
        <v>44610.059027777781</v>
      </c>
      <c r="V1544" s="93" t="s">
        <v>7072</v>
      </c>
      <c r="W1544" s="93" t="s">
        <v>24</v>
      </c>
    </row>
    <row r="1545" spans="1:23" x14ac:dyDescent="0.15">
      <c r="A1545" s="93" t="s">
        <v>8843</v>
      </c>
      <c r="B1545" s="93" t="s">
        <v>8844</v>
      </c>
      <c r="C1545" s="93">
        <v>780</v>
      </c>
      <c r="D1545" s="93" t="s">
        <v>24</v>
      </c>
      <c r="E1545" s="93" t="s">
        <v>24</v>
      </c>
      <c r="F1545" s="93" t="s">
        <v>126</v>
      </c>
      <c r="G1545" s="93" t="s">
        <v>7104</v>
      </c>
      <c r="H1545" s="93" t="s">
        <v>118</v>
      </c>
      <c r="I1545" s="93" t="s">
        <v>111</v>
      </c>
      <c r="J1545" s="93" t="s">
        <v>7105</v>
      </c>
      <c r="K1545" s="93" t="s">
        <v>111</v>
      </c>
      <c r="L1545" s="93" t="s">
        <v>111</v>
      </c>
      <c r="M1545" s="93" t="s">
        <v>111</v>
      </c>
      <c r="N1545" s="93" t="s">
        <v>111</v>
      </c>
      <c r="O1545" s="93" t="s">
        <v>111</v>
      </c>
      <c r="P1545" s="93" t="s">
        <v>111</v>
      </c>
      <c r="Q1545" s="93" t="s">
        <v>111</v>
      </c>
      <c r="R1545" s="93" t="s">
        <v>2</v>
      </c>
      <c r="S1545" s="93" t="s">
        <v>111</v>
      </c>
      <c r="T1545" s="93" t="s">
        <v>116</v>
      </c>
      <c r="U1545" s="94">
        <v>44610.09097222222</v>
      </c>
      <c r="V1545" s="93" t="s">
        <v>7072</v>
      </c>
      <c r="W1545" s="93" t="s">
        <v>24</v>
      </c>
    </row>
    <row r="1546" spans="1:23" x14ac:dyDescent="0.15">
      <c r="A1546" s="93" t="s">
        <v>8845</v>
      </c>
      <c r="B1546" s="93" t="s">
        <v>8846</v>
      </c>
      <c r="C1546" s="93">
        <v>20</v>
      </c>
      <c r="D1546" s="93" t="s">
        <v>24</v>
      </c>
      <c r="E1546" s="93" t="s">
        <v>9</v>
      </c>
      <c r="F1546" s="93" t="s">
        <v>7912</v>
      </c>
      <c r="G1546" s="93" t="s">
        <v>7104</v>
      </c>
      <c r="H1546" s="93" t="s">
        <v>118</v>
      </c>
      <c r="I1546" s="93" t="s">
        <v>111</v>
      </c>
      <c r="J1546" s="93" t="s">
        <v>118</v>
      </c>
      <c r="K1546" s="93">
        <v>3</v>
      </c>
      <c r="L1546" s="93" t="s">
        <v>111</v>
      </c>
      <c r="M1546" s="93" t="s">
        <v>111</v>
      </c>
      <c r="N1546" s="93" t="s">
        <v>111</v>
      </c>
      <c r="O1546" s="93" t="s">
        <v>111</v>
      </c>
      <c r="P1546" s="93" t="s">
        <v>111</v>
      </c>
      <c r="Q1546" s="93" t="s">
        <v>228</v>
      </c>
      <c r="R1546" s="93" t="s">
        <v>2</v>
      </c>
      <c r="S1546" s="93" t="s">
        <v>115</v>
      </c>
      <c r="T1546" s="93" t="s">
        <v>116</v>
      </c>
      <c r="U1546" s="94">
        <v>44610.09097222222</v>
      </c>
      <c r="V1546" s="93" t="s">
        <v>7913</v>
      </c>
      <c r="W1546" s="93" t="s">
        <v>24</v>
      </c>
    </row>
    <row r="1547" spans="1:23" x14ac:dyDescent="0.15">
      <c r="A1547" s="93" t="s">
        <v>8847</v>
      </c>
      <c r="B1547" s="93" t="s">
        <v>8848</v>
      </c>
      <c r="C1547" s="93">
        <v>40</v>
      </c>
      <c r="D1547" s="93" t="s">
        <v>24</v>
      </c>
      <c r="E1547" s="93" t="s">
        <v>9</v>
      </c>
      <c r="F1547" s="93" t="s">
        <v>7912</v>
      </c>
      <c r="G1547" s="93" t="s">
        <v>7104</v>
      </c>
      <c r="H1547" s="93" t="s">
        <v>118</v>
      </c>
      <c r="I1547" s="93" t="s">
        <v>111</v>
      </c>
      <c r="J1547" s="93" t="s">
        <v>118</v>
      </c>
      <c r="K1547" s="93">
        <v>3</v>
      </c>
      <c r="L1547" s="93" t="s">
        <v>111</v>
      </c>
      <c r="M1547" s="93" t="s">
        <v>111</v>
      </c>
      <c r="N1547" s="93" t="s">
        <v>111</v>
      </c>
      <c r="O1547" s="93" t="s">
        <v>111</v>
      </c>
      <c r="P1547" s="93" t="s">
        <v>111</v>
      </c>
      <c r="Q1547" s="93" t="s">
        <v>228</v>
      </c>
      <c r="R1547" s="93" t="s">
        <v>2</v>
      </c>
      <c r="S1547" s="93" t="s">
        <v>115</v>
      </c>
      <c r="T1547" s="93" t="s">
        <v>116</v>
      </c>
      <c r="U1547" s="94">
        <v>44610.129166666666</v>
      </c>
      <c r="V1547" s="93" t="s">
        <v>7913</v>
      </c>
      <c r="W1547" s="93" t="s">
        <v>24</v>
      </c>
    </row>
    <row r="1548" spans="1:23" x14ac:dyDescent="0.15">
      <c r="A1548" s="93" t="s">
        <v>8849</v>
      </c>
      <c r="B1548" s="93" t="s">
        <v>8850</v>
      </c>
      <c r="C1548" s="93">
        <v>60</v>
      </c>
      <c r="D1548" s="93" t="s">
        <v>24</v>
      </c>
      <c r="E1548" s="93" t="s">
        <v>9</v>
      </c>
      <c r="F1548" s="93" t="s">
        <v>7912</v>
      </c>
      <c r="G1548" s="93" t="s">
        <v>7104</v>
      </c>
      <c r="H1548" s="93" t="s">
        <v>118</v>
      </c>
      <c r="I1548" s="93" t="s">
        <v>111</v>
      </c>
      <c r="J1548" s="93" t="s">
        <v>118</v>
      </c>
      <c r="K1548" s="93">
        <v>3</v>
      </c>
      <c r="L1548" s="93" t="s">
        <v>111</v>
      </c>
      <c r="M1548" s="93" t="s">
        <v>111</v>
      </c>
      <c r="N1548" s="93" t="s">
        <v>111</v>
      </c>
      <c r="O1548" s="93" t="s">
        <v>111</v>
      </c>
      <c r="P1548" s="93" t="s">
        <v>111</v>
      </c>
      <c r="Q1548" s="93" t="s">
        <v>228</v>
      </c>
      <c r="R1548" s="93" t="s">
        <v>2</v>
      </c>
      <c r="S1548" s="93" t="s">
        <v>115</v>
      </c>
      <c r="T1548" s="93" t="s">
        <v>116</v>
      </c>
      <c r="U1548" s="94">
        <v>44610.058333333334</v>
      </c>
      <c r="V1548" s="93" t="s">
        <v>7913</v>
      </c>
      <c r="W1548" s="93" t="s">
        <v>24</v>
      </c>
    </row>
    <row r="1549" spans="1:23" x14ac:dyDescent="0.15">
      <c r="A1549" s="93" t="s">
        <v>8851</v>
      </c>
      <c r="B1549" s="93" t="s">
        <v>8852</v>
      </c>
      <c r="C1549" s="93">
        <v>80</v>
      </c>
      <c r="D1549" s="93" t="s">
        <v>24</v>
      </c>
      <c r="E1549" s="93" t="s">
        <v>9</v>
      </c>
      <c r="F1549" s="93" t="s">
        <v>7912</v>
      </c>
      <c r="G1549" s="93" t="s">
        <v>7104</v>
      </c>
      <c r="H1549" s="93" t="s">
        <v>118</v>
      </c>
      <c r="I1549" s="93" t="s">
        <v>111</v>
      </c>
      <c r="J1549" s="93" t="s">
        <v>118</v>
      </c>
      <c r="K1549" s="93">
        <v>3</v>
      </c>
      <c r="L1549" s="93" t="s">
        <v>111</v>
      </c>
      <c r="M1549" s="93" t="s">
        <v>111</v>
      </c>
      <c r="N1549" s="93" t="s">
        <v>111</v>
      </c>
      <c r="O1549" s="93" t="s">
        <v>111</v>
      </c>
      <c r="P1549" s="93" t="s">
        <v>111</v>
      </c>
      <c r="Q1549" s="93" t="s">
        <v>228</v>
      </c>
      <c r="R1549" s="93" t="s">
        <v>2</v>
      </c>
      <c r="S1549" s="93" t="s">
        <v>115</v>
      </c>
      <c r="T1549" s="93" t="s">
        <v>116</v>
      </c>
      <c r="U1549" s="94">
        <v>44597.553472222222</v>
      </c>
      <c r="V1549" s="93" t="s">
        <v>120</v>
      </c>
      <c r="W1549" s="93" t="s">
        <v>24</v>
      </c>
    </row>
    <row r="1550" spans="1:23" x14ac:dyDescent="0.15">
      <c r="A1550" s="93" t="s">
        <v>8853</v>
      </c>
      <c r="B1550" s="93" t="s">
        <v>8854</v>
      </c>
      <c r="C1550" s="93">
        <v>160</v>
      </c>
      <c r="D1550" s="93" t="s">
        <v>24</v>
      </c>
      <c r="E1550" s="93" t="s">
        <v>9</v>
      </c>
      <c r="F1550" s="93" t="s">
        <v>7912</v>
      </c>
      <c r="G1550" s="93" t="s">
        <v>7104</v>
      </c>
      <c r="H1550" s="93" t="s">
        <v>118</v>
      </c>
      <c r="I1550" s="93" t="s">
        <v>111</v>
      </c>
      <c r="J1550" s="93" t="s">
        <v>118</v>
      </c>
      <c r="K1550" s="93">
        <v>3</v>
      </c>
      <c r="L1550" s="93" t="s">
        <v>111</v>
      </c>
      <c r="M1550" s="93" t="s">
        <v>111</v>
      </c>
      <c r="N1550" s="93" t="s">
        <v>111</v>
      </c>
      <c r="O1550" s="93" t="s">
        <v>111</v>
      </c>
      <c r="P1550" s="93" t="s">
        <v>111</v>
      </c>
      <c r="Q1550" s="93" t="s">
        <v>228</v>
      </c>
      <c r="R1550" s="93" t="s">
        <v>2</v>
      </c>
      <c r="S1550" s="93" t="s">
        <v>115</v>
      </c>
      <c r="T1550" s="93" t="s">
        <v>116</v>
      </c>
      <c r="U1550" s="94">
        <v>44597.553472222222</v>
      </c>
      <c r="V1550" s="93" t="s">
        <v>120</v>
      </c>
      <c r="W1550" s="93" t="s">
        <v>24</v>
      </c>
    </row>
    <row r="1551" spans="1:23" x14ac:dyDescent="0.15">
      <c r="A1551" s="93" t="s">
        <v>8855</v>
      </c>
      <c r="B1551" s="93" t="s">
        <v>8856</v>
      </c>
      <c r="C1551" s="93">
        <v>240</v>
      </c>
      <c r="D1551" s="93" t="s">
        <v>24</v>
      </c>
      <c r="E1551" s="93" t="s">
        <v>9</v>
      </c>
      <c r="F1551" s="93" t="s">
        <v>7912</v>
      </c>
      <c r="G1551" s="93" t="s">
        <v>7104</v>
      </c>
      <c r="H1551" s="93" t="s">
        <v>118</v>
      </c>
      <c r="I1551" s="93" t="s">
        <v>111</v>
      </c>
      <c r="J1551" s="93" t="s">
        <v>118</v>
      </c>
      <c r="K1551" s="93">
        <v>3</v>
      </c>
      <c r="L1551" s="93" t="s">
        <v>111</v>
      </c>
      <c r="M1551" s="93" t="s">
        <v>111</v>
      </c>
      <c r="N1551" s="93" t="s">
        <v>111</v>
      </c>
      <c r="O1551" s="93" t="s">
        <v>111</v>
      </c>
      <c r="P1551" s="93" t="s">
        <v>111</v>
      </c>
      <c r="Q1551" s="93" t="s">
        <v>228</v>
      </c>
      <c r="R1551" s="93" t="s">
        <v>2</v>
      </c>
      <c r="S1551" s="93" t="s">
        <v>115</v>
      </c>
      <c r="T1551" s="93" t="s">
        <v>116</v>
      </c>
      <c r="U1551" s="94">
        <v>44597.553472222222</v>
      </c>
      <c r="V1551" s="93" t="s">
        <v>120</v>
      </c>
      <c r="W1551" s="93" t="s">
        <v>24</v>
      </c>
    </row>
    <row r="1552" spans="1:23" x14ac:dyDescent="0.15">
      <c r="A1552" s="93" t="s">
        <v>8857</v>
      </c>
      <c r="B1552" s="93" t="s">
        <v>8858</v>
      </c>
      <c r="C1552" s="93">
        <v>360</v>
      </c>
      <c r="D1552" s="93" t="s">
        <v>24</v>
      </c>
      <c r="E1552" s="93" t="s">
        <v>9</v>
      </c>
      <c r="F1552" s="93" t="s">
        <v>7912</v>
      </c>
      <c r="G1552" s="93" t="s">
        <v>7104</v>
      </c>
      <c r="H1552" s="93" t="s">
        <v>118</v>
      </c>
      <c r="I1552" s="93" t="s">
        <v>111</v>
      </c>
      <c r="J1552" s="93" t="s">
        <v>7105</v>
      </c>
      <c r="K1552" s="93" t="s">
        <v>111</v>
      </c>
      <c r="L1552" s="93" t="s">
        <v>111</v>
      </c>
      <c r="M1552" s="93" t="s">
        <v>111</v>
      </c>
      <c r="N1552" s="93" t="s">
        <v>111</v>
      </c>
      <c r="O1552" s="93" t="s">
        <v>111</v>
      </c>
      <c r="P1552" s="93" t="s">
        <v>111</v>
      </c>
      <c r="Q1552" s="93" t="s">
        <v>111</v>
      </c>
      <c r="R1552" s="93" t="s">
        <v>2</v>
      </c>
      <c r="S1552" s="93" t="s">
        <v>111</v>
      </c>
      <c r="T1552" s="93" t="s">
        <v>116</v>
      </c>
      <c r="U1552" s="94">
        <v>44596.57916666667</v>
      </c>
      <c r="V1552" s="93" t="s">
        <v>7913</v>
      </c>
      <c r="W1552" s="93" t="s">
        <v>24</v>
      </c>
    </row>
    <row r="1553" spans="1:23" x14ac:dyDescent="0.15">
      <c r="A1553" s="93" t="s">
        <v>8859</v>
      </c>
      <c r="B1553" s="93" t="s">
        <v>8860</v>
      </c>
      <c r="C1553" s="93">
        <v>720</v>
      </c>
      <c r="D1553" s="93" t="s">
        <v>24</v>
      </c>
      <c r="E1553" s="93" t="s">
        <v>9</v>
      </c>
      <c r="F1553" s="93" t="s">
        <v>7912</v>
      </c>
      <c r="G1553" s="93" t="s">
        <v>7104</v>
      </c>
      <c r="H1553" s="93" t="s">
        <v>118</v>
      </c>
      <c r="I1553" s="93" t="s">
        <v>111</v>
      </c>
      <c r="J1553" s="93" t="s">
        <v>7105</v>
      </c>
      <c r="K1553" s="93" t="s">
        <v>111</v>
      </c>
      <c r="L1553" s="93" t="s">
        <v>111</v>
      </c>
      <c r="M1553" s="93" t="s">
        <v>111</v>
      </c>
      <c r="N1553" s="93" t="s">
        <v>111</v>
      </c>
      <c r="O1553" s="93" t="s">
        <v>111</v>
      </c>
      <c r="P1553" s="93" t="s">
        <v>111</v>
      </c>
      <c r="Q1553" s="93" t="s">
        <v>111</v>
      </c>
      <c r="R1553" s="93" t="s">
        <v>2</v>
      </c>
      <c r="S1553" s="93" t="s">
        <v>111</v>
      </c>
      <c r="T1553" s="93" t="s">
        <v>116</v>
      </c>
      <c r="U1553" s="94">
        <v>44596.61041666667</v>
      </c>
      <c r="V1553" s="93" t="s">
        <v>7913</v>
      </c>
      <c r="W1553" s="93" t="s">
        <v>24</v>
      </c>
    </row>
    <row r="1554" spans="1:23" x14ac:dyDescent="0.15">
      <c r="A1554" s="93" t="s">
        <v>8861</v>
      </c>
      <c r="B1554" s="93" t="s">
        <v>8862</v>
      </c>
      <c r="C1554" s="93">
        <v>80</v>
      </c>
      <c r="D1554" s="93" t="s">
        <v>24</v>
      </c>
      <c r="E1554" s="93" t="s">
        <v>9</v>
      </c>
      <c r="F1554" s="93" t="s">
        <v>7912</v>
      </c>
      <c r="G1554" s="93" t="s">
        <v>7104</v>
      </c>
      <c r="H1554" s="93" t="s">
        <v>118</v>
      </c>
      <c r="I1554" s="93" t="s">
        <v>111</v>
      </c>
      <c r="J1554" s="93" t="s">
        <v>118</v>
      </c>
      <c r="K1554" s="93">
        <v>3</v>
      </c>
      <c r="L1554" s="93" t="s">
        <v>111</v>
      </c>
      <c r="M1554" s="93" t="s">
        <v>111</v>
      </c>
      <c r="N1554" s="93" t="s">
        <v>111</v>
      </c>
      <c r="O1554" s="93" t="s">
        <v>111</v>
      </c>
      <c r="P1554" s="93" t="s">
        <v>111</v>
      </c>
      <c r="Q1554" s="93" t="s">
        <v>228</v>
      </c>
      <c r="R1554" s="93" t="s">
        <v>2</v>
      </c>
      <c r="S1554" s="93" t="s">
        <v>115</v>
      </c>
      <c r="T1554" s="93" t="s">
        <v>116</v>
      </c>
      <c r="U1554" s="94">
        <v>44610.082638888889</v>
      </c>
      <c r="V1554" s="93" t="s">
        <v>7913</v>
      </c>
      <c r="W1554" s="93" t="s">
        <v>24</v>
      </c>
    </row>
    <row r="1555" spans="1:23" x14ac:dyDescent="0.15">
      <c r="A1555" s="93" t="s">
        <v>8863</v>
      </c>
      <c r="B1555" s="93" t="s">
        <v>8864</v>
      </c>
      <c r="C1555" s="93">
        <v>160</v>
      </c>
      <c r="D1555" s="93" t="s">
        <v>24</v>
      </c>
      <c r="E1555" s="93" t="s">
        <v>9</v>
      </c>
      <c r="F1555" s="93" t="s">
        <v>7912</v>
      </c>
      <c r="G1555" s="93" t="s">
        <v>7104</v>
      </c>
      <c r="H1555" s="93" t="s">
        <v>118</v>
      </c>
      <c r="I1555" s="93" t="s">
        <v>111</v>
      </c>
      <c r="J1555" s="93" t="s">
        <v>118</v>
      </c>
      <c r="K1555" s="93">
        <v>3</v>
      </c>
      <c r="L1555" s="93" t="s">
        <v>111</v>
      </c>
      <c r="M1555" s="93" t="s">
        <v>111</v>
      </c>
      <c r="N1555" s="93" t="s">
        <v>111</v>
      </c>
      <c r="O1555" s="93" t="s">
        <v>111</v>
      </c>
      <c r="P1555" s="93" t="s">
        <v>111</v>
      </c>
      <c r="Q1555" s="93" t="s">
        <v>228</v>
      </c>
      <c r="R1555" s="93" t="s">
        <v>2</v>
      </c>
      <c r="S1555" s="93" t="s">
        <v>115</v>
      </c>
      <c r="T1555" s="93" t="s">
        <v>116</v>
      </c>
      <c r="U1555" s="94">
        <v>44610.082638888889</v>
      </c>
      <c r="V1555" s="93" t="s">
        <v>7913</v>
      </c>
      <c r="W1555" s="93" t="s">
        <v>24</v>
      </c>
    </row>
    <row r="1556" spans="1:23" x14ac:dyDescent="0.15">
      <c r="A1556" s="93" t="s">
        <v>8865</v>
      </c>
      <c r="B1556" s="93" t="s">
        <v>8866</v>
      </c>
      <c r="C1556" s="93">
        <v>240</v>
      </c>
      <c r="D1556" s="93" t="s">
        <v>24</v>
      </c>
      <c r="E1556" s="93" t="s">
        <v>9</v>
      </c>
      <c r="F1556" s="93" t="s">
        <v>7912</v>
      </c>
      <c r="G1556" s="93" t="s">
        <v>7104</v>
      </c>
      <c r="H1556" s="93" t="s">
        <v>118</v>
      </c>
      <c r="I1556" s="93" t="s">
        <v>111</v>
      </c>
      <c r="J1556" s="93" t="s">
        <v>118</v>
      </c>
      <c r="K1556" s="93">
        <v>3</v>
      </c>
      <c r="L1556" s="93" t="s">
        <v>111</v>
      </c>
      <c r="M1556" s="93" t="s">
        <v>111</v>
      </c>
      <c r="N1556" s="93" t="s">
        <v>111</v>
      </c>
      <c r="O1556" s="93" t="s">
        <v>111</v>
      </c>
      <c r="P1556" s="93" t="s">
        <v>111</v>
      </c>
      <c r="Q1556" s="93" t="s">
        <v>228</v>
      </c>
      <c r="R1556" s="93" t="s">
        <v>2</v>
      </c>
      <c r="S1556" s="93" t="s">
        <v>115</v>
      </c>
      <c r="T1556" s="93" t="s">
        <v>116</v>
      </c>
      <c r="U1556" s="94">
        <v>44610.072916666664</v>
      </c>
      <c r="V1556" s="93" t="s">
        <v>7913</v>
      </c>
      <c r="W1556" s="93" t="s">
        <v>24</v>
      </c>
    </row>
    <row r="1557" spans="1:23" x14ac:dyDescent="0.15">
      <c r="A1557" s="93" t="s">
        <v>8867</v>
      </c>
      <c r="B1557" s="93" t="s">
        <v>8868</v>
      </c>
      <c r="C1557" s="93">
        <v>450</v>
      </c>
      <c r="D1557" s="93" t="s">
        <v>24</v>
      </c>
      <c r="E1557" s="93" t="s">
        <v>9</v>
      </c>
      <c r="F1557" s="93" t="s">
        <v>7912</v>
      </c>
      <c r="G1557" s="93" t="s">
        <v>7104</v>
      </c>
      <c r="H1557" s="93" t="s">
        <v>118</v>
      </c>
      <c r="I1557" s="93" t="s">
        <v>111</v>
      </c>
      <c r="J1557" s="93" t="s">
        <v>7105</v>
      </c>
      <c r="K1557" s="93" t="s">
        <v>111</v>
      </c>
      <c r="L1557" s="93" t="s">
        <v>111</v>
      </c>
      <c r="M1557" s="93" t="s">
        <v>111</v>
      </c>
      <c r="N1557" s="93" t="s">
        <v>111</v>
      </c>
      <c r="O1557" s="93" t="s">
        <v>111</v>
      </c>
      <c r="P1557" s="93" t="s">
        <v>111</v>
      </c>
      <c r="Q1557" s="93" t="s">
        <v>111</v>
      </c>
      <c r="R1557" s="93" t="s">
        <v>2</v>
      </c>
      <c r="S1557" s="93" t="s">
        <v>111</v>
      </c>
      <c r="T1557" s="93" t="s">
        <v>116</v>
      </c>
      <c r="U1557" s="94">
        <v>44596.571527777778</v>
      </c>
      <c r="V1557" s="93" t="s">
        <v>7913</v>
      </c>
      <c r="W1557" s="93" t="s">
        <v>24</v>
      </c>
    </row>
    <row r="1558" spans="1:23" x14ac:dyDescent="0.15">
      <c r="A1558" s="93" t="s">
        <v>8869</v>
      </c>
      <c r="B1558" s="93" t="s">
        <v>8870</v>
      </c>
      <c r="C1558" s="93">
        <v>900</v>
      </c>
      <c r="D1558" s="93" t="s">
        <v>24</v>
      </c>
      <c r="E1558" s="93" t="s">
        <v>9</v>
      </c>
      <c r="F1558" s="93" t="s">
        <v>7912</v>
      </c>
      <c r="G1558" s="93" t="s">
        <v>7104</v>
      </c>
      <c r="H1558" s="93" t="s">
        <v>118</v>
      </c>
      <c r="I1558" s="93" t="s">
        <v>111</v>
      </c>
      <c r="J1558" s="93" t="s">
        <v>7105</v>
      </c>
      <c r="K1558" s="93" t="s">
        <v>111</v>
      </c>
      <c r="L1558" s="93" t="s">
        <v>111</v>
      </c>
      <c r="M1558" s="93" t="s">
        <v>111</v>
      </c>
      <c r="N1558" s="93" t="s">
        <v>111</v>
      </c>
      <c r="O1558" s="93" t="s">
        <v>111</v>
      </c>
      <c r="P1558" s="93" t="s">
        <v>111</v>
      </c>
      <c r="Q1558" s="93" t="s">
        <v>111</v>
      </c>
      <c r="R1558" s="93" t="s">
        <v>2</v>
      </c>
      <c r="S1558" s="93" t="s">
        <v>111</v>
      </c>
      <c r="T1558" s="93" t="s">
        <v>116</v>
      </c>
      <c r="U1558" s="94">
        <v>44596.602083333331</v>
      </c>
      <c r="V1558" s="93" t="s">
        <v>7913</v>
      </c>
      <c r="W1558" s="93" t="s">
        <v>24</v>
      </c>
    </row>
    <row r="1559" spans="1:23" x14ac:dyDescent="0.15">
      <c r="A1559" s="93" t="s">
        <v>8871</v>
      </c>
      <c r="B1559" s="93" t="s">
        <v>8872</v>
      </c>
      <c r="C1559" s="93">
        <v>100</v>
      </c>
      <c r="D1559" s="93" t="s">
        <v>24</v>
      </c>
      <c r="E1559" s="93" t="s">
        <v>9</v>
      </c>
      <c r="F1559" s="93" t="s">
        <v>7912</v>
      </c>
      <c r="G1559" s="93" t="s">
        <v>7104</v>
      </c>
      <c r="H1559" s="93" t="s">
        <v>118</v>
      </c>
      <c r="I1559" s="93" t="s">
        <v>111</v>
      </c>
      <c r="J1559" s="93" t="s">
        <v>118</v>
      </c>
      <c r="K1559" s="93">
        <v>3</v>
      </c>
      <c r="L1559" s="93" t="s">
        <v>111</v>
      </c>
      <c r="M1559" s="93" t="s">
        <v>111</v>
      </c>
      <c r="N1559" s="93" t="s">
        <v>111</v>
      </c>
      <c r="O1559" s="93" t="s">
        <v>111</v>
      </c>
      <c r="P1559" s="93" t="s">
        <v>111</v>
      </c>
      <c r="Q1559" s="93" t="s">
        <v>228</v>
      </c>
      <c r="R1559" s="93" t="s">
        <v>2</v>
      </c>
      <c r="S1559" s="93" t="s">
        <v>115</v>
      </c>
      <c r="T1559" s="93" t="s">
        <v>116</v>
      </c>
      <c r="U1559" s="94">
        <v>44597.553472222222</v>
      </c>
      <c r="V1559" s="93" t="s">
        <v>120</v>
      </c>
      <c r="W1559" s="93" t="s">
        <v>24</v>
      </c>
    </row>
    <row r="1560" spans="1:23" x14ac:dyDescent="0.15">
      <c r="A1560" s="93" t="s">
        <v>8873</v>
      </c>
      <c r="B1560" s="93" t="s">
        <v>8874</v>
      </c>
      <c r="C1560" s="93">
        <v>200</v>
      </c>
      <c r="D1560" s="93" t="s">
        <v>24</v>
      </c>
      <c r="E1560" s="93" t="s">
        <v>9</v>
      </c>
      <c r="F1560" s="93" t="s">
        <v>7912</v>
      </c>
      <c r="G1560" s="93" t="s">
        <v>7104</v>
      </c>
      <c r="H1560" s="93" t="s">
        <v>118</v>
      </c>
      <c r="I1560" s="93" t="s">
        <v>111</v>
      </c>
      <c r="J1560" s="93" t="s">
        <v>118</v>
      </c>
      <c r="K1560" s="93">
        <v>3</v>
      </c>
      <c r="L1560" s="93" t="s">
        <v>111</v>
      </c>
      <c r="M1560" s="93" t="s">
        <v>111</v>
      </c>
      <c r="N1560" s="93" t="s">
        <v>111</v>
      </c>
      <c r="O1560" s="93" t="s">
        <v>111</v>
      </c>
      <c r="P1560" s="93" t="s">
        <v>111</v>
      </c>
      <c r="Q1560" s="93" t="s">
        <v>228</v>
      </c>
      <c r="R1560" s="93" t="s">
        <v>2</v>
      </c>
      <c r="S1560" s="93" t="s">
        <v>115</v>
      </c>
      <c r="T1560" s="93" t="s">
        <v>116</v>
      </c>
      <c r="U1560" s="94">
        <v>44597.553472222222</v>
      </c>
      <c r="V1560" s="93" t="s">
        <v>120</v>
      </c>
      <c r="W1560" s="93" t="s">
        <v>24</v>
      </c>
    </row>
    <row r="1561" spans="1:23" x14ac:dyDescent="0.15">
      <c r="A1561" s="93" t="s">
        <v>8875</v>
      </c>
      <c r="B1561" s="93" t="s">
        <v>8876</v>
      </c>
      <c r="C1561" s="93">
        <v>300</v>
      </c>
      <c r="D1561" s="93" t="s">
        <v>24</v>
      </c>
      <c r="E1561" s="93" t="s">
        <v>9</v>
      </c>
      <c r="F1561" s="93" t="s">
        <v>7912</v>
      </c>
      <c r="G1561" s="93" t="s">
        <v>7104</v>
      </c>
      <c r="H1561" s="93" t="s">
        <v>118</v>
      </c>
      <c r="I1561" s="93" t="s">
        <v>111</v>
      </c>
      <c r="J1561" s="93" t="s">
        <v>118</v>
      </c>
      <c r="K1561" s="93">
        <v>3</v>
      </c>
      <c r="L1561" s="93" t="s">
        <v>111</v>
      </c>
      <c r="M1561" s="93" t="s">
        <v>111</v>
      </c>
      <c r="N1561" s="93" t="s">
        <v>111</v>
      </c>
      <c r="O1561" s="93" t="s">
        <v>111</v>
      </c>
      <c r="P1561" s="93" t="s">
        <v>111</v>
      </c>
      <c r="Q1561" s="93" t="s">
        <v>228</v>
      </c>
      <c r="R1561" s="93" t="s">
        <v>2</v>
      </c>
      <c r="S1561" s="93" t="s">
        <v>115</v>
      </c>
      <c r="T1561" s="93" t="s">
        <v>116</v>
      </c>
      <c r="U1561" s="94">
        <v>44597.554166666669</v>
      </c>
      <c r="V1561" s="93" t="s">
        <v>120</v>
      </c>
      <c r="W1561" s="93" t="s">
        <v>24</v>
      </c>
    </row>
    <row r="1562" spans="1:23" x14ac:dyDescent="0.15">
      <c r="A1562" s="93" t="s">
        <v>8877</v>
      </c>
      <c r="B1562" s="93" t="s">
        <v>8878</v>
      </c>
      <c r="C1562" s="93">
        <v>45</v>
      </c>
      <c r="D1562" s="93" t="s">
        <v>24</v>
      </c>
      <c r="E1562" s="93" t="s">
        <v>9</v>
      </c>
      <c r="F1562" s="93" t="s">
        <v>7912</v>
      </c>
      <c r="G1562" s="93" t="s">
        <v>7104</v>
      </c>
      <c r="H1562" s="93" t="s">
        <v>118</v>
      </c>
      <c r="I1562" s="93" t="s">
        <v>111</v>
      </c>
      <c r="J1562" s="93" t="s">
        <v>118</v>
      </c>
      <c r="K1562" s="93">
        <v>3</v>
      </c>
      <c r="L1562" s="93" t="s">
        <v>111</v>
      </c>
      <c r="M1562" s="93" t="s">
        <v>111</v>
      </c>
      <c r="N1562" s="93" t="s">
        <v>111</v>
      </c>
      <c r="O1562" s="93" t="s">
        <v>111</v>
      </c>
      <c r="P1562" s="93" t="s">
        <v>111</v>
      </c>
      <c r="Q1562" s="93" t="s">
        <v>228</v>
      </c>
      <c r="R1562" s="93" t="s">
        <v>2</v>
      </c>
      <c r="S1562" s="93" t="s">
        <v>115</v>
      </c>
      <c r="T1562" s="93" t="s">
        <v>116</v>
      </c>
      <c r="U1562" s="94">
        <v>44610.106249999997</v>
      </c>
      <c r="V1562" s="93" t="s">
        <v>7913</v>
      </c>
      <c r="W1562" s="93" t="s">
        <v>24</v>
      </c>
    </row>
    <row r="1563" spans="1:23" x14ac:dyDescent="0.15">
      <c r="A1563" s="93" t="s">
        <v>8879</v>
      </c>
      <c r="B1563" s="93" t="s">
        <v>8880</v>
      </c>
      <c r="C1563" s="93">
        <v>90</v>
      </c>
      <c r="D1563" s="93" t="s">
        <v>24</v>
      </c>
      <c r="E1563" s="93" t="s">
        <v>9</v>
      </c>
      <c r="F1563" s="93" t="s">
        <v>7912</v>
      </c>
      <c r="G1563" s="93" t="s">
        <v>7104</v>
      </c>
      <c r="H1563" s="93" t="s">
        <v>118</v>
      </c>
      <c r="I1563" s="93" t="s">
        <v>111</v>
      </c>
      <c r="J1563" s="93" t="s">
        <v>118</v>
      </c>
      <c r="K1563" s="93">
        <v>3</v>
      </c>
      <c r="L1563" s="93" t="s">
        <v>111</v>
      </c>
      <c r="M1563" s="93" t="s">
        <v>111</v>
      </c>
      <c r="N1563" s="93" t="s">
        <v>111</v>
      </c>
      <c r="O1563" s="93" t="s">
        <v>111</v>
      </c>
      <c r="P1563" s="93" t="s">
        <v>111</v>
      </c>
      <c r="Q1563" s="93" t="s">
        <v>228</v>
      </c>
      <c r="R1563" s="93" t="s">
        <v>2</v>
      </c>
      <c r="S1563" s="93" t="s">
        <v>115</v>
      </c>
      <c r="T1563" s="93" t="s">
        <v>116</v>
      </c>
      <c r="U1563" s="94">
        <v>44610.073611111111</v>
      </c>
      <c r="V1563" s="93" t="s">
        <v>7913</v>
      </c>
      <c r="W1563" s="93" t="s">
        <v>24</v>
      </c>
    </row>
    <row r="1564" spans="1:23" x14ac:dyDescent="0.15">
      <c r="A1564" s="93" t="s">
        <v>8881</v>
      </c>
      <c r="B1564" s="93" t="s">
        <v>8882</v>
      </c>
      <c r="C1564" s="93">
        <v>135</v>
      </c>
      <c r="D1564" s="93" t="s">
        <v>24</v>
      </c>
      <c r="E1564" s="93" t="s">
        <v>9</v>
      </c>
      <c r="F1564" s="93" t="s">
        <v>7912</v>
      </c>
      <c r="G1564" s="93" t="s">
        <v>7104</v>
      </c>
      <c r="H1564" s="93" t="s">
        <v>118</v>
      </c>
      <c r="I1564" s="93" t="s">
        <v>111</v>
      </c>
      <c r="J1564" s="93" t="s">
        <v>118</v>
      </c>
      <c r="K1564" s="93">
        <v>3</v>
      </c>
      <c r="L1564" s="93" t="s">
        <v>111</v>
      </c>
      <c r="M1564" s="93" t="s">
        <v>111</v>
      </c>
      <c r="N1564" s="93" t="s">
        <v>111</v>
      </c>
      <c r="O1564" s="93" t="s">
        <v>111</v>
      </c>
      <c r="P1564" s="93" t="s">
        <v>111</v>
      </c>
      <c r="Q1564" s="93" t="s">
        <v>228</v>
      </c>
      <c r="R1564" s="93" t="s">
        <v>2</v>
      </c>
      <c r="S1564" s="93" t="s">
        <v>115</v>
      </c>
      <c r="T1564" s="93" t="s">
        <v>116</v>
      </c>
      <c r="U1564" s="94">
        <v>44610.129166666666</v>
      </c>
      <c r="V1564" s="93" t="s">
        <v>7913</v>
      </c>
      <c r="W1564" s="93" t="s">
        <v>24</v>
      </c>
    </row>
    <row r="1565" spans="1:23" x14ac:dyDescent="0.15">
      <c r="A1565" s="93" t="s">
        <v>8883</v>
      </c>
      <c r="B1565" s="93" t="s">
        <v>8884</v>
      </c>
      <c r="C1565" s="93">
        <v>90</v>
      </c>
      <c r="D1565" s="93" t="s">
        <v>24</v>
      </c>
      <c r="E1565" s="93" t="s">
        <v>9</v>
      </c>
      <c r="F1565" s="93" t="s">
        <v>7912</v>
      </c>
      <c r="G1565" s="93" t="s">
        <v>7104</v>
      </c>
      <c r="H1565" s="93" t="s">
        <v>118</v>
      </c>
      <c r="I1565" s="93" t="s">
        <v>111</v>
      </c>
      <c r="J1565" s="93" t="s">
        <v>118</v>
      </c>
      <c r="K1565" s="93">
        <v>3</v>
      </c>
      <c r="L1565" s="93" t="s">
        <v>111</v>
      </c>
      <c r="M1565" s="93" t="s">
        <v>111</v>
      </c>
      <c r="N1565" s="93" t="s">
        <v>111</v>
      </c>
      <c r="O1565" s="93" t="s">
        <v>111</v>
      </c>
      <c r="P1565" s="93" t="s">
        <v>111</v>
      </c>
      <c r="Q1565" s="93" t="s">
        <v>111</v>
      </c>
      <c r="R1565" s="93" t="s">
        <v>2</v>
      </c>
      <c r="S1565" s="93" t="s">
        <v>111</v>
      </c>
      <c r="T1565" s="93" t="s">
        <v>116</v>
      </c>
      <c r="U1565" s="94">
        <v>44596.560416666667</v>
      </c>
      <c r="V1565" s="93" t="s">
        <v>7913</v>
      </c>
      <c r="W1565" s="93" t="s">
        <v>24</v>
      </c>
    </row>
    <row r="1566" spans="1:23" x14ac:dyDescent="0.15">
      <c r="A1566" s="93" t="s">
        <v>8885</v>
      </c>
      <c r="B1566" s="93" t="s">
        <v>8886</v>
      </c>
      <c r="C1566" s="93">
        <v>180</v>
      </c>
      <c r="D1566" s="93" t="s">
        <v>24</v>
      </c>
      <c r="E1566" s="93" t="s">
        <v>9</v>
      </c>
      <c r="F1566" s="93" t="s">
        <v>7912</v>
      </c>
      <c r="G1566" s="93" t="s">
        <v>7104</v>
      </c>
      <c r="H1566" s="93" t="s">
        <v>118</v>
      </c>
      <c r="I1566" s="93" t="s">
        <v>111</v>
      </c>
      <c r="J1566" s="93" t="s">
        <v>118</v>
      </c>
      <c r="K1566" s="93">
        <v>3</v>
      </c>
      <c r="L1566" s="93" t="s">
        <v>111</v>
      </c>
      <c r="M1566" s="93" t="s">
        <v>111</v>
      </c>
      <c r="N1566" s="93" t="s">
        <v>111</v>
      </c>
      <c r="O1566" s="93" t="s">
        <v>111</v>
      </c>
      <c r="P1566" s="93" t="s">
        <v>111</v>
      </c>
      <c r="Q1566" s="93" t="s">
        <v>111</v>
      </c>
      <c r="R1566" s="93" t="s">
        <v>2</v>
      </c>
      <c r="S1566" s="93" t="s">
        <v>111</v>
      </c>
      <c r="T1566" s="93" t="s">
        <v>116</v>
      </c>
      <c r="U1566" s="94">
        <v>44596.556944444441</v>
      </c>
      <c r="V1566" s="93" t="s">
        <v>7913</v>
      </c>
      <c r="W1566" s="93" t="s">
        <v>24</v>
      </c>
    </row>
    <row r="1567" spans="1:23" x14ac:dyDescent="0.15">
      <c r="A1567" s="93" t="s">
        <v>8887</v>
      </c>
      <c r="B1567" s="93" t="s">
        <v>8888</v>
      </c>
      <c r="C1567" s="93">
        <v>270</v>
      </c>
      <c r="D1567" s="93" t="s">
        <v>24</v>
      </c>
      <c r="E1567" s="93" t="s">
        <v>9</v>
      </c>
      <c r="F1567" s="93" t="s">
        <v>7912</v>
      </c>
      <c r="G1567" s="93" t="s">
        <v>7104</v>
      </c>
      <c r="H1567" s="93" t="s">
        <v>118</v>
      </c>
      <c r="I1567" s="93" t="s">
        <v>111</v>
      </c>
      <c r="J1567" s="93" t="s">
        <v>7105</v>
      </c>
      <c r="K1567" s="93" t="s">
        <v>111</v>
      </c>
      <c r="L1567" s="93" t="s">
        <v>111</v>
      </c>
      <c r="M1567" s="93" t="s">
        <v>111</v>
      </c>
      <c r="N1567" s="93" t="s">
        <v>111</v>
      </c>
      <c r="O1567" s="93" t="s">
        <v>111</v>
      </c>
      <c r="P1567" s="93" t="s">
        <v>111</v>
      </c>
      <c r="Q1567" s="93" t="s">
        <v>111</v>
      </c>
      <c r="R1567" s="93" t="s">
        <v>2</v>
      </c>
      <c r="S1567" s="93" t="s">
        <v>111</v>
      </c>
      <c r="T1567" s="93" t="s">
        <v>116</v>
      </c>
      <c r="U1567" s="94">
        <v>44596.574305555558</v>
      </c>
      <c r="V1567" s="93" t="s">
        <v>7913</v>
      </c>
      <c r="W1567" s="93" t="s">
        <v>24</v>
      </c>
    </row>
    <row r="1568" spans="1:23" x14ac:dyDescent="0.15">
      <c r="A1568" s="93" t="s">
        <v>8889</v>
      </c>
      <c r="B1568" s="93" t="s">
        <v>8890</v>
      </c>
      <c r="C1568" s="93">
        <v>160</v>
      </c>
      <c r="D1568" s="93" t="s">
        <v>24</v>
      </c>
      <c r="E1568" s="93" t="s">
        <v>9</v>
      </c>
      <c r="F1568" s="93" t="s">
        <v>7912</v>
      </c>
      <c r="G1568" s="93" t="s">
        <v>7104</v>
      </c>
      <c r="H1568" s="93" t="s">
        <v>118</v>
      </c>
      <c r="I1568" s="93" t="s">
        <v>111</v>
      </c>
      <c r="J1568" s="93" t="s">
        <v>7105</v>
      </c>
      <c r="K1568" s="93" t="s">
        <v>111</v>
      </c>
      <c r="L1568" s="93" t="s">
        <v>111</v>
      </c>
      <c r="M1568" s="93" t="s">
        <v>111</v>
      </c>
      <c r="N1568" s="93" t="s">
        <v>111</v>
      </c>
      <c r="O1568" s="93" t="s">
        <v>111</v>
      </c>
      <c r="P1568" s="93" t="s">
        <v>111</v>
      </c>
      <c r="Q1568" s="93" t="s">
        <v>111</v>
      </c>
      <c r="R1568" s="93" t="s">
        <v>2</v>
      </c>
      <c r="S1568" s="93" t="s">
        <v>111</v>
      </c>
      <c r="T1568" s="93" t="s">
        <v>116</v>
      </c>
      <c r="U1568" s="94">
        <v>44596.556944444441</v>
      </c>
      <c r="V1568" s="93" t="s">
        <v>7913</v>
      </c>
      <c r="W1568" s="93" t="s">
        <v>24</v>
      </c>
    </row>
    <row r="1569" spans="1:23" x14ac:dyDescent="0.15">
      <c r="A1569" s="93" t="s">
        <v>8891</v>
      </c>
      <c r="B1569" s="93" t="s">
        <v>8892</v>
      </c>
      <c r="C1569" s="93">
        <v>320</v>
      </c>
      <c r="D1569" s="93" t="s">
        <v>24</v>
      </c>
      <c r="E1569" s="93" t="s">
        <v>9</v>
      </c>
      <c r="F1569" s="93" t="s">
        <v>7912</v>
      </c>
      <c r="G1569" s="93" t="s">
        <v>7104</v>
      </c>
      <c r="H1569" s="93" t="s">
        <v>118</v>
      </c>
      <c r="I1569" s="93" t="s">
        <v>111</v>
      </c>
      <c r="J1569" s="93" t="s">
        <v>118</v>
      </c>
      <c r="K1569" s="93">
        <v>3</v>
      </c>
      <c r="L1569" s="93" t="s">
        <v>111</v>
      </c>
      <c r="M1569" s="93" t="s">
        <v>111</v>
      </c>
      <c r="N1569" s="93" t="s">
        <v>111</v>
      </c>
      <c r="O1569" s="93" t="s">
        <v>111</v>
      </c>
      <c r="P1569" s="93" t="s">
        <v>111</v>
      </c>
      <c r="Q1569" s="93" t="s">
        <v>111</v>
      </c>
      <c r="R1569" s="93" t="s">
        <v>2</v>
      </c>
      <c r="S1569" s="93" t="s">
        <v>111</v>
      </c>
      <c r="T1569" s="93" t="s">
        <v>116</v>
      </c>
      <c r="U1569" s="94">
        <v>44596.570833333331</v>
      </c>
      <c r="V1569" s="93" t="s">
        <v>7913</v>
      </c>
      <c r="W1569" s="93" t="s">
        <v>24</v>
      </c>
    </row>
    <row r="1570" spans="1:23" x14ac:dyDescent="0.15">
      <c r="A1570" s="93" t="s">
        <v>8893</v>
      </c>
      <c r="B1570" s="93" t="s">
        <v>8894</v>
      </c>
      <c r="C1570" s="93">
        <v>480</v>
      </c>
      <c r="D1570" s="93" t="s">
        <v>24</v>
      </c>
      <c r="E1570" s="93" t="s">
        <v>9</v>
      </c>
      <c r="F1570" s="93" t="s">
        <v>7912</v>
      </c>
      <c r="G1570" s="93" t="s">
        <v>7104</v>
      </c>
      <c r="H1570" s="93" t="s">
        <v>118</v>
      </c>
      <c r="I1570" s="93" t="s">
        <v>111</v>
      </c>
      <c r="J1570" s="93" t="s">
        <v>7105</v>
      </c>
      <c r="K1570" s="93" t="s">
        <v>111</v>
      </c>
      <c r="L1570" s="93" t="s">
        <v>111</v>
      </c>
      <c r="M1570" s="93" t="s">
        <v>111</v>
      </c>
      <c r="N1570" s="93" t="s">
        <v>111</v>
      </c>
      <c r="O1570" s="93" t="s">
        <v>111</v>
      </c>
      <c r="P1570" s="93" t="s">
        <v>111</v>
      </c>
      <c r="Q1570" s="93" t="s">
        <v>111</v>
      </c>
      <c r="R1570" s="93" t="s">
        <v>2</v>
      </c>
      <c r="S1570" s="93" t="s">
        <v>111</v>
      </c>
      <c r="T1570" s="93" t="s">
        <v>116</v>
      </c>
      <c r="U1570" s="94">
        <v>44596.601388888892</v>
      </c>
      <c r="V1570" s="93" t="s">
        <v>7913</v>
      </c>
      <c r="W1570" s="93" t="s">
        <v>24</v>
      </c>
    </row>
    <row r="1571" spans="1:23" x14ac:dyDescent="0.15">
      <c r="A1571" s="93" t="s">
        <v>8895</v>
      </c>
      <c r="B1571" s="93" t="s">
        <v>8896</v>
      </c>
      <c r="C1571" s="93">
        <v>80</v>
      </c>
      <c r="D1571" s="93" t="s">
        <v>24</v>
      </c>
      <c r="E1571" s="93" t="s">
        <v>9</v>
      </c>
      <c r="F1571" s="93" t="s">
        <v>7912</v>
      </c>
      <c r="G1571" s="93" t="s">
        <v>7104</v>
      </c>
      <c r="H1571" s="93" t="s">
        <v>118</v>
      </c>
      <c r="I1571" s="93" t="s">
        <v>111</v>
      </c>
      <c r="J1571" s="93" t="s">
        <v>118</v>
      </c>
      <c r="K1571" s="93">
        <v>3</v>
      </c>
      <c r="L1571" s="93" t="s">
        <v>111</v>
      </c>
      <c r="M1571" s="93" t="s">
        <v>111</v>
      </c>
      <c r="N1571" s="93" t="s">
        <v>111</v>
      </c>
      <c r="O1571" s="93" t="s">
        <v>111</v>
      </c>
      <c r="P1571" s="93" t="s">
        <v>111</v>
      </c>
      <c r="Q1571" s="93" t="s">
        <v>228</v>
      </c>
      <c r="R1571" s="93" t="s">
        <v>2</v>
      </c>
      <c r="S1571" s="93" t="s">
        <v>115</v>
      </c>
      <c r="T1571" s="93" t="s">
        <v>116</v>
      </c>
      <c r="U1571" s="94">
        <v>44610.121527777781</v>
      </c>
      <c r="V1571" s="93" t="s">
        <v>7913</v>
      </c>
      <c r="W1571" s="93" t="s">
        <v>24</v>
      </c>
    </row>
    <row r="1572" spans="1:23" x14ac:dyDescent="0.15">
      <c r="A1572" s="93" t="s">
        <v>8897</v>
      </c>
      <c r="B1572" s="93" t="s">
        <v>8898</v>
      </c>
      <c r="C1572" s="93">
        <v>160</v>
      </c>
      <c r="D1572" s="93" t="s">
        <v>24</v>
      </c>
      <c r="E1572" s="93" t="s">
        <v>9</v>
      </c>
      <c r="F1572" s="93" t="s">
        <v>7912</v>
      </c>
      <c r="G1572" s="93" t="s">
        <v>7104</v>
      </c>
      <c r="H1572" s="93" t="s">
        <v>118</v>
      </c>
      <c r="I1572" s="93" t="s">
        <v>111</v>
      </c>
      <c r="J1572" s="93" t="s">
        <v>118</v>
      </c>
      <c r="K1572" s="93">
        <v>3</v>
      </c>
      <c r="L1572" s="93" t="s">
        <v>111</v>
      </c>
      <c r="M1572" s="93" t="s">
        <v>111</v>
      </c>
      <c r="N1572" s="93" t="s">
        <v>111</v>
      </c>
      <c r="O1572" s="93" t="s">
        <v>111</v>
      </c>
      <c r="P1572" s="93" t="s">
        <v>111</v>
      </c>
      <c r="Q1572" s="93" t="s">
        <v>228</v>
      </c>
      <c r="R1572" s="93" t="s">
        <v>2</v>
      </c>
      <c r="S1572" s="93" t="s">
        <v>115</v>
      </c>
      <c r="T1572" s="93" t="s">
        <v>116</v>
      </c>
      <c r="U1572" s="94">
        <v>44610.073611111111</v>
      </c>
      <c r="V1572" s="93" t="s">
        <v>7913</v>
      </c>
      <c r="W1572" s="93" t="s">
        <v>24</v>
      </c>
    </row>
    <row r="1573" spans="1:23" x14ac:dyDescent="0.15">
      <c r="A1573" s="93" t="s">
        <v>8899</v>
      </c>
      <c r="B1573" s="93" t="s">
        <v>8900</v>
      </c>
      <c r="C1573" s="93">
        <v>240</v>
      </c>
      <c r="D1573" s="93" t="s">
        <v>24</v>
      </c>
      <c r="E1573" s="93" t="s">
        <v>9</v>
      </c>
      <c r="F1573" s="93" t="s">
        <v>7912</v>
      </c>
      <c r="G1573" s="93" t="s">
        <v>7104</v>
      </c>
      <c r="H1573" s="93" t="s">
        <v>118</v>
      </c>
      <c r="I1573" s="93" t="s">
        <v>111</v>
      </c>
      <c r="J1573" s="93" t="s">
        <v>118</v>
      </c>
      <c r="K1573" s="93">
        <v>3</v>
      </c>
      <c r="L1573" s="93" t="s">
        <v>111</v>
      </c>
      <c r="M1573" s="93" t="s">
        <v>111</v>
      </c>
      <c r="N1573" s="93" t="s">
        <v>111</v>
      </c>
      <c r="O1573" s="93" t="s">
        <v>111</v>
      </c>
      <c r="P1573" s="93" t="s">
        <v>111</v>
      </c>
      <c r="Q1573" s="93" t="s">
        <v>228</v>
      </c>
      <c r="R1573" s="93" t="s">
        <v>2</v>
      </c>
      <c r="S1573" s="93" t="s">
        <v>115</v>
      </c>
      <c r="T1573" s="93" t="s">
        <v>116</v>
      </c>
      <c r="U1573" s="94">
        <v>44610.106249999997</v>
      </c>
      <c r="V1573" s="93" t="s">
        <v>7913</v>
      </c>
      <c r="W1573" s="93" t="s">
        <v>24</v>
      </c>
    </row>
    <row r="1574" spans="1:23" x14ac:dyDescent="0.15">
      <c r="A1574" s="93" t="s">
        <v>8901</v>
      </c>
      <c r="B1574" s="93" t="s">
        <v>8902</v>
      </c>
      <c r="C1574" s="93">
        <v>270</v>
      </c>
      <c r="D1574" s="93" t="s">
        <v>24</v>
      </c>
      <c r="E1574" s="93" t="s">
        <v>9</v>
      </c>
      <c r="F1574" s="93" t="s">
        <v>7912</v>
      </c>
      <c r="G1574" s="93" t="s">
        <v>7104</v>
      </c>
      <c r="H1574" s="93" t="s">
        <v>118</v>
      </c>
      <c r="I1574" s="93" t="s">
        <v>111</v>
      </c>
      <c r="J1574" s="93" t="s">
        <v>7105</v>
      </c>
      <c r="K1574" s="93" t="s">
        <v>111</v>
      </c>
      <c r="L1574" s="93" t="s">
        <v>111</v>
      </c>
      <c r="M1574" s="93" t="s">
        <v>111</v>
      </c>
      <c r="N1574" s="93" t="s">
        <v>111</v>
      </c>
      <c r="O1574" s="93" t="s">
        <v>111</v>
      </c>
      <c r="P1574" s="93" t="s">
        <v>111</v>
      </c>
      <c r="Q1574" s="93" t="s">
        <v>111</v>
      </c>
      <c r="R1574" s="93" t="s">
        <v>2</v>
      </c>
      <c r="S1574" s="93" t="s">
        <v>111</v>
      </c>
      <c r="T1574" s="93" t="s">
        <v>116</v>
      </c>
      <c r="U1574" s="94">
        <v>44596.584027777775</v>
      </c>
      <c r="V1574" s="93" t="s">
        <v>7913</v>
      </c>
      <c r="W1574" s="93" t="s">
        <v>24</v>
      </c>
    </row>
    <row r="1575" spans="1:23" x14ac:dyDescent="0.15">
      <c r="A1575" s="93" t="s">
        <v>8903</v>
      </c>
      <c r="B1575" s="93" t="s">
        <v>8904</v>
      </c>
      <c r="C1575" s="93">
        <v>540</v>
      </c>
      <c r="D1575" s="93" t="s">
        <v>24</v>
      </c>
      <c r="E1575" s="93" t="s">
        <v>9</v>
      </c>
      <c r="F1575" s="93" t="s">
        <v>7912</v>
      </c>
      <c r="G1575" s="93" t="s">
        <v>7104</v>
      </c>
      <c r="H1575" s="93" t="s">
        <v>118</v>
      </c>
      <c r="I1575" s="93" t="s">
        <v>111</v>
      </c>
      <c r="J1575" s="93" t="s">
        <v>7105</v>
      </c>
      <c r="K1575" s="93" t="s">
        <v>111</v>
      </c>
      <c r="L1575" s="93" t="s">
        <v>111</v>
      </c>
      <c r="M1575" s="93" t="s">
        <v>111</v>
      </c>
      <c r="N1575" s="93" t="s">
        <v>111</v>
      </c>
      <c r="O1575" s="93" t="s">
        <v>111</v>
      </c>
      <c r="P1575" s="93" t="s">
        <v>111</v>
      </c>
      <c r="Q1575" s="93" t="s">
        <v>111</v>
      </c>
      <c r="R1575" s="93" t="s">
        <v>2</v>
      </c>
      <c r="S1575" s="93" t="s">
        <v>111</v>
      </c>
      <c r="T1575" s="93" t="s">
        <v>116</v>
      </c>
      <c r="U1575" s="94">
        <v>44596.61041666667</v>
      </c>
      <c r="V1575" s="93" t="s">
        <v>7913</v>
      </c>
      <c r="W1575" s="93" t="s">
        <v>24</v>
      </c>
    </row>
    <row r="1576" spans="1:23" x14ac:dyDescent="0.15">
      <c r="A1576" s="93" t="s">
        <v>8905</v>
      </c>
      <c r="B1576" s="93" t="s">
        <v>8906</v>
      </c>
      <c r="C1576" s="93">
        <v>4000</v>
      </c>
      <c r="D1576" s="93" t="s">
        <v>24</v>
      </c>
      <c r="E1576" s="93" t="s">
        <v>9</v>
      </c>
      <c r="F1576" s="93" t="s">
        <v>7103</v>
      </c>
      <c r="G1576" s="93" t="s">
        <v>7104</v>
      </c>
      <c r="H1576" s="93" t="s">
        <v>118</v>
      </c>
      <c r="I1576" s="93" t="s">
        <v>111</v>
      </c>
      <c r="J1576" s="93" t="s">
        <v>7105</v>
      </c>
      <c r="K1576" s="93" t="s">
        <v>111</v>
      </c>
      <c r="L1576" s="93" t="s">
        <v>111</v>
      </c>
      <c r="M1576" s="93" t="s">
        <v>111</v>
      </c>
      <c r="N1576" s="93" t="s">
        <v>111</v>
      </c>
      <c r="O1576" s="93" t="s">
        <v>111</v>
      </c>
      <c r="P1576" s="93" t="s">
        <v>111</v>
      </c>
      <c r="Q1576" s="93" t="s">
        <v>111</v>
      </c>
      <c r="R1576" s="93" t="s">
        <v>2</v>
      </c>
      <c r="S1576" s="93" t="s">
        <v>111</v>
      </c>
      <c r="T1576" s="93" t="s">
        <v>116</v>
      </c>
      <c r="U1576" s="94">
        <v>44588.109722222223</v>
      </c>
      <c r="V1576" s="93" t="s">
        <v>7913</v>
      </c>
      <c r="W1576" s="93" t="s">
        <v>24</v>
      </c>
    </row>
    <row r="1577" spans="1:23" x14ac:dyDescent="0.15">
      <c r="A1577" s="93" t="s">
        <v>8907</v>
      </c>
      <c r="B1577" s="93" t="s">
        <v>8908</v>
      </c>
      <c r="C1577" s="93">
        <v>20000</v>
      </c>
      <c r="D1577" s="93" t="s">
        <v>24</v>
      </c>
      <c r="E1577" s="93" t="s">
        <v>9</v>
      </c>
      <c r="F1577" s="93" t="s">
        <v>7103</v>
      </c>
      <c r="G1577" s="93" t="s">
        <v>8909</v>
      </c>
      <c r="H1577" s="93" t="s">
        <v>118</v>
      </c>
      <c r="I1577" s="93" t="s">
        <v>111</v>
      </c>
      <c r="J1577" s="93" t="s">
        <v>7105</v>
      </c>
      <c r="K1577" s="93" t="s">
        <v>111</v>
      </c>
      <c r="L1577" s="93" t="s">
        <v>111</v>
      </c>
      <c r="M1577" s="93" t="s">
        <v>111</v>
      </c>
      <c r="N1577" s="93" t="s">
        <v>111</v>
      </c>
      <c r="O1577" s="93" t="s">
        <v>111</v>
      </c>
      <c r="P1577" s="93" t="s">
        <v>111</v>
      </c>
      <c r="Q1577" s="93" t="s">
        <v>111</v>
      </c>
      <c r="R1577" s="93" t="s">
        <v>2</v>
      </c>
      <c r="S1577" s="93" t="s">
        <v>111</v>
      </c>
      <c r="T1577" s="93" t="s">
        <v>116</v>
      </c>
      <c r="U1577" s="94">
        <v>44588.118750000001</v>
      </c>
      <c r="V1577" s="93" t="s">
        <v>7913</v>
      </c>
      <c r="W1577" s="93" t="s">
        <v>24</v>
      </c>
    </row>
    <row r="1578" spans="1:23" x14ac:dyDescent="0.15">
      <c r="A1578" s="93" t="s">
        <v>8910</v>
      </c>
      <c r="B1578" s="93" t="s">
        <v>8911</v>
      </c>
      <c r="C1578" s="93">
        <v>1500</v>
      </c>
      <c r="D1578" s="93" t="s">
        <v>24</v>
      </c>
      <c r="E1578" s="93" t="s">
        <v>9</v>
      </c>
      <c r="F1578" s="93" t="s">
        <v>7103</v>
      </c>
      <c r="G1578" s="93" t="s">
        <v>8909</v>
      </c>
      <c r="H1578" s="93" t="s">
        <v>118</v>
      </c>
      <c r="I1578" s="93" t="s">
        <v>111</v>
      </c>
      <c r="J1578" s="93" t="s">
        <v>7105</v>
      </c>
      <c r="K1578" s="93" t="s">
        <v>111</v>
      </c>
      <c r="L1578" s="93" t="s">
        <v>111</v>
      </c>
      <c r="M1578" s="93" t="s">
        <v>111</v>
      </c>
      <c r="N1578" s="93" t="s">
        <v>111</v>
      </c>
      <c r="O1578" s="93" t="s">
        <v>111</v>
      </c>
      <c r="P1578" s="93" t="s">
        <v>111</v>
      </c>
      <c r="Q1578" s="93" t="s">
        <v>111</v>
      </c>
      <c r="R1578" s="93" t="s">
        <v>2</v>
      </c>
      <c r="S1578" s="93" t="s">
        <v>111</v>
      </c>
      <c r="T1578" s="93" t="s">
        <v>116</v>
      </c>
      <c r="U1578" s="94">
        <v>44588.109722222223</v>
      </c>
      <c r="V1578" s="93" t="s">
        <v>7913</v>
      </c>
      <c r="W1578" s="93" t="s">
        <v>24</v>
      </c>
    </row>
    <row r="1579" spans="1:23" x14ac:dyDescent="0.15">
      <c r="A1579" s="93" t="s">
        <v>8912</v>
      </c>
      <c r="B1579" s="93" t="s">
        <v>8913</v>
      </c>
      <c r="C1579" s="93">
        <v>7000</v>
      </c>
      <c r="D1579" s="93" t="s">
        <v>24</v>
      </c>
      <c r="E1579" s="93" t="s">
        <v>9</v>
      </c>
      <c r="F1579" s="93" t="s">
        <v>7103</v>
      </c>
      <c r="G1579" s="93" t="s">
        <v>8909</v>
      </c>
      <c r="H1579" s="93" t="s">
        <v>118</v>
      </c>
      <c r="I1579" s="93" t="s">
        <v>111</v>
      </c>
      <c r="J1579" s="93" t="s">
        <v>7105</v>
      </c>
      <c r="K1579" s="93" t="s">
        <v>111</v>
      </c>
      <c r="L1579" s="93" t="s">
        <v>111</v>
      </c>
      <c r="M1579" s="93" t="s">
        <v>111</v>
      </c>
      <c r="N1579" s="93" t="s">
        <v>111</v>
      </c>
      <c r="O1579" s="93" t="s">
        <v>111</v>
      </c>
      <c r="P1579" s="93" t="s">
        <v>111</v>
      </c>
      <c r="Q1579" s="93" t="s">
        <v>111</v>
      </c>
      <c r="R1579" s="93" t="s">
        <v>2</v>
      </c>
      <c r="S1579" s="93" t="s">
        <v>111</v>
      </c>
      <c r="T1579" s="93" t="s">
        <v>116</v>
      </c>
      <c r="U1579" s="94">
        <v>44588.109722222223</v>
      </c>
      <c r="V1579" s="93" t="s">
        <v>7913</v>
      </c>
      <c r="W1579" s="93" t="s">
        <v>24</v>
      </c>
    </row>
    <row r="1580" spans="1:23" x14ac:dyDescent="0.15">
      <c r="A1580" s="93" t="s">
        <v>8914</v>
      </c>
      <c r="B1580" s="93" t="s">
        <v>8915</v>
      </c>
      <c r="C1580" s="93">
        <v>30000</v>
      </c>
      <c r="D1580" s="93" t="s">
        <v>24</v>
      </c>
      <c r="E1580" s="93" t="s">
        <v>9</v>
      </c>
      <c r="F1580" s="93" t="s">
        <v>7103</v>
      </c>
      <c r="G1580" s="93" t="s">
        <v>8909</v>
      </c>
      <c r="H1580" s="93" t="s">
        <v>118</v>
      </c>
      <c r="I1580" s="93" t="s">
        <v>111</v>
      </c>
      <c r="J1580" s="93" t="s">
        <v>7105</v>
      </c>
      <c r="K1580" s="93" t="s">
        <v>111</v>
      </c>
      <c r="L1580" s="93" t="s">
        <v>111</v>
      </c>
      <c r="M1580" s="93" t="s">
        <v>111</v>
      </c>
      <c r="N1580" s="93" t="s">
        <v>111</v>
      </c>
      <c r="O1580" s="93" t="s">
        <v>111</v>
      </c>
      <c r="P1580" s="93" t="s">
        <v>111</v>
      </c>
      <c r="Q1580" s="93" t="s">
        <v>111</v>
      </c>
      <c r="R1580" s="93" t="s">
        <v>2</v>
      </c>
      <c r="S1580" s="93" t="s">
        <v>111</v>
      </c>
      <c r="T1580" s="93" t="s">
        <v>116</v>
      </c>
      <c r="U1580" s="94">
        <v>44588.118750000001</v>
      </c>
      <c r="V1580" s="93" t="s">
        <v>7913</v>
      </c>
      <c r="W1580" s="93" t="s">
        <v>24</v>
      </c>
    </row>
    <row r="1581" spans="1:23" x14ac:dyDescent="0.15">
      <c r="A1581" s="93" t="s">
        <v>8916</v>
      </c>
      <c r="B1581" s="93" t="s">
        <v>8917</v>
      </c>
      <c r="C1581" s="93">
        <v>1850</v>
      </c>
      <c r="D1581" s="93" t="s">
        <v>24</v>
      </c>
      <c r="E1581" s="93" t="s">
        <v>9</v>
      </c>
      <c r="F1581" s="93" t="s">
        <v>7103</v>
      </c>
      <c r="G1581" s="93" t="s">
        <v>8909</v>
      </c>
      <c r="H1581" s="93" t="s">
        <v>118</v>
      </c>
      <c r="I1581" s="93" t="s">
        <v>111</v>
      </c>
      <c r="J1581" s="93" t="s">
        <v>118</v>
      </c>
      <c r="K1581" s="93">
        <v>3</v>
      </c>
      <c r="L1581" s="93" t="s">
        <v>111</v>
      </c>
      <c r="M1581" s="93" t="s">
        <v>111</v>
      </c>
      <c r="N1581" s="93" t="s">
        <v>111</v>
      </c>
      <c r="O1581" s="93" t="s">
        <v>111</v>
      </c>
      <c r="P1581" s="93" t="s">
        <v>111</v>
      </c>
      <c r="Q1581" s="93" t="s">
        <v>111</v>
      </c>
      <c r="R1581" s="93" t="s">
        <v>2</v>
      </c>
      <c r="S1581" s="93" t="s">
        <v>111</v>
      </c>
      <c r="T1581" s="93" t="s">
        <v>116</v>
      </c>
      <c r="U1581" s="94">
        <v>44588.109722222223</v>
      </c>
      <c r="V1581" s="93" t="s">
        <v>7913</v>
      </c>
      <c r="W1581" s="93" t="s">
        <v>24</v>
      </c>
    </row>
    <row r="1582" spans="1:23" x14ac:dyDescent="0.15">
      <c r="A1582" s="93" t="s">
        <v>8918</v>
      </c>
      <c r="B1582" s="93" t="s">
        <v>8919</v>
      </c>
      <c r="C1582" s="93">
        <v>9000</v>
      </c>
      <c r="D1582" s="93" t="s">
        <v>24</v>
      </c>
      <c r="E1582" s="93" t="s">
        <v>9</v>
      </c>
      <c r="F1582" s="93" t="s">
        <v>7103</v>
      </c>
      <c r="G1582" s="93" t="s">
        <v>8909</v>
      </c>
      <c r="H1582" s="93" t="s">
        <v>118</v>
      </c>
      <c r="I1582" s="93" t="s">
        <v>111</v>
      </c>
      <c r="J1582" s="93" t="s">
        <v>7105</v>
      </c>
      <c r="K1582" s="93" t="s">
        <v>111</v>
      </c>
      <c r="L1582" s="93" t="s">
        <v>111</v>
      </c>
      <c r="M1582" s="93" t="s">
        <v>111</v>
      </c>
      <c r="N1582" s="93" t="s">
        <v>111</v>
      </c>
      <c r="O1582" s="93" t="s">
        <v>111</v>
      </c>
      <c r="P1582" s="93" t="s">
        <v>111</v>
      </c>
      <c r="Q1582" s="93" t="s">
        <v>111</v>
      </c>
      <c r="R1582" s="93" t="s">
        <v>2</v>
      </c>
      <c r="S1582" s="93" t="s">
        <v>111</v>
      </c>
      <c r="T1582" s="93" t="s">
        <v>116</v>
      </c>
      <c r="U1582" s="94">
        <v>44588.109722222223</v>
      </c>
      <c r="V1582" s="93" t="s">
        <v>7913</v>
      </c>
      <c r="W1582" s="93" t="s">
        <v>24</v>
      </c>
    </row>
    <row r="1583" spans="1:23" x14ac:dyDescent="0.15">
      <c r="A1583" s="93" t="s">
        <v>8920</v>
      </c>
      <c r="B1583" s="93" t="s">
        <v>8921</v>
      </c>
      <c r="C1583" s="93">
        <v>38000</v>
      </c>
      <c r="D1583" s="93" t="s">
        <v>24</v>
      </c>
      <c r="E1583" s="93" t="s">
        <v>9</v>
      </c>
      <c r="F1583" s="93" t="s">
        <v>7103</v>
      </c>
      <c r="G1583" s="93" t="s">
        <v>8909</v>
      </c>
      <c r="H1583" s="93" t="s">
        <v>118</v>
      </c>
      <c r="I1583" s="93" t="s">
        <v>111</v>
      </c>
      <c r="J1583" s="93" t="s">
        <v>7105</v>
      </c>
      <c r="K1583" s="93" t="s">
        <v>111</v>
      </c>
      <c r="L1583" s="93" t="s">
        <v>111</v>
      </c>
      <c r="M1583" s="93" t="s">
        <v>111</v>
      </c>
      <c r="N1583" s="93" t="s">
        <v>111</v>
      </c>
      <c r="O1583" s="93" t="s">
        <v>111</v>
      </c>
      <c r="P1583" s="93" t="s">
        <v>111</v>
      </c>
      <c r="Q1583" s="93" t="s">
        <v>111</v>
      </c>
      <c r="R1583" s="93" t="s">
        <v>2</v>
      </c>
      <c r="S1583" s="93" t="s">
        <v>111</v>
      </c>
      <c r="T1583" s="93" t="s">
        <v>116</v>
      </c>
      <c r="U1583" s="94">
        <v>44588.118750000001</v>
      </c>
      <c r="V1583" s="93" t="s">
        <v>7913</v>
      </c>
      <c r="W1583" s="93" t="s">
        <v>24</v>
      </c>
    </row>
    <row r="1584" spans="1:23" x14ac:dyDescent="0.15">
      <c r="A1584" s="93" t="s">
        <v>8922</v>
      </c>
      <c r="B1584" s="93" t="s">
        <v>8923</v>
      </c>
      <c r="C1584" s="93">
        <v>2200</v>
      </c>
      <c r="D1584" s="93" t="s">
        <v>24</v>
      </c>
      <c r="E1584" s="93" t="s">
        <v>9</v>
      </c>
      <c r="F1584" s="93" t="s">
        <v>7103</v>
      </c>
      <c r="G1584" s="93" t="s">
        <v>8909</v>
      </c>
      <c r="H1584" s="93" t="s">
        <v>118</v>
      </c>
      <c r="I1584" s="93" t="s">
        <v>111</v>
      </c>
      <c r="J1584" s="93" t="s">
        <v>7105</v>
      </c>
      <c r="K1584" s="93" t="s">
        <v>111</v>
      </c>
      <c r="L1584" s="93" t="s">
        <v>111</v>
      </c>
      <c r="M1584" s="93" t="s">
        <v>111</v>
      </c>
      <c r="N1584" s="93" t="s">
        <v>111</v>
      </c>
      <c r="O1584" s="93" t="s">
        <v>111</v>
      </c>
      <c r="P1584" s="93" t="s">
        <v>111</v>
      </c>
      <c r="Q1584" s="93" t="s">
        <v>111</v>
      </c>
      <c r="R1584" s="93" t="s">
        <v>2</v>
      </c>
      <c r="S1584" s="93" t="s">
        <v>111</v>
      </c>
      <c r="T1584" s="93" t="s">
        <v>116</v>
      </c>
      <c r="U1584" s="94">
        <v>44588.109722222223</v>
      </c>
      <c r="V1584" s="93" t="s">
        <v>7913</v>
      </c>
      <c r="W1584" s="93" t="s">
        <v>24</v>
      </c>
    </row>
    <row r="1585" spans="1:23" x14ac:dyDescent="0.15">
      <c r="A1585" s="93" t="s">
        <v>8924</v>
      </c>
      <c r="B1585" s="93" t="s">
        <v>8925</v>
      </c>
      <c r="C1585" s="93">
        <v>10500</v>
      </c>
      <c r="D1585" s="93" t="s">
        <v>24</v>
      </c>
      <c r="E1585" s="93" t="s">
        <v>9</v>
      </c>
      <c r="F1585" s="93" t="s">
        <v>7103</v>
      </c>
      <c r="G1585" s="93" t="s">
        <v>8909</v>
      </c>
      <c r="H1585" s="93" t="s">
        <v>118</v>
      </c>
      <c r="I1585" s="93" t="s">
        <v>111</v>
      </c>
      <c r="J1585" s="93" t="s">
        <v>7105</v>
      </c>
      <c r="K1585" s="93" t="s">
        <v>111</v>
      </c>
      <c r="L1585" s="93" t="s">
        <v>111</v>
      </c>
      <c r="M1585" s="93" t="s">
        <v>111</v>
      </c>
      <c r="N1585" s="93" t="s">
        <v>111</v>
      </c>
      <c r="O1585" s="93" t="s">
        <v>111</v>
      </c>
      <c r="P1585" s="93" t="s">
        <v>111</v>
      </c>
      <c r="Q1585" s="93" t="s">
        <v>111</v>
      </c>
      <c r="R1585" s="93" t="s">
        <v>2</v>
      </c>
      <c r="S1585" s="93" t="s">
        <v>111</v>
      </c>
      <c r="T1585" s="93" t="s">
        <v>116</v>
      </c>
      <c r="U1585" s="94">
        <v>44588.118750000001</v>
      </c>
      <c r="V1585" s="93" t="s">
        <v>7913</v>
      </c>
      <c r="W1585" s="93" t="s">
        <v>24</v>
      </c>
    </row>
    <row r="1586" spans="1:23" x14ac:dyDescent="0.15">
      <c r="A1586" s="93" t="s">
        <v>8926</v>
      </c>
      <c r="B1586" s="93" t="s">
        <v>8927</v>
      </c>
      <c r="C1586" s="93">
        <v>45000</v>
      </c>
      <c r="D1586" s="93" t="s">
        <v>24</v>
      </c>
      <c r="E1586" s="93" t="s">
        <v>9</v>
      </c>
      <c r="F1586" s="93" t="s">
        <v>7103</v>
      </c>
      <c r="G1586" s="93" t="s">
        <v>8909</v>
      </c>
      <c r="H1586" s="93" t="s">
        <v>118</v>
      </c>
      <c r="I1586" s="93" t="s">
        <v>111</v>
      </c>
      <c r="J1586" s="93" t="s">
        <v>7105</v>
      </c>
      <c r="K1586" s="93" t="s">
        <v>111</v>
      </c>
      <c r="L1586" s="93" t="s">
        <v>111</v>
      </c>
      <c r="M1586" s="93" t="s">
        <v>111</v>
      </c>
      <c r="N1586" s="93" t="s">
        <v>111</v>
      </c>
      <c r="O1586" s="93" t="s">
        <v>111</v>
      </c>
      <c r="P1586" s="93" t="s">
        <v>111</v>
      </c>
      <c r="Q1586" s="93" t="s">
        <v>111</v>
      </c>
      <c r="R1586" s="93" t="s">
        <v>2</v>
      </c>
      <c r="S1586" s="93" t="s">
        <v>111</v>
      </c>
      <c r="T1586" s="93" t="s">
        <v>116</v>
      </c>
      <c r="U1586" s="94">
        <v>44588.118750000001</v>
      </c>
      <c r="V1586" s="93" t="s">
        <v>7913</v>
      </c>
      <c r="W1586" s="93" t="s">
        <v>24</v>
      </c>
    </row>
    <row r="1587" spans="1:23" x14ac:dyDescent="0.15">
      <c r="A1587" s="93" t="s">
        <v>8928</v>
      </c>
      <c r="B1587" s="93" t="s">
        <v>8929</v>
      </c>
      <c r="C1587" s="93">
        <v>2500</v>
      </c>
      <c r="D1587" s="93" t="s">
        <v>24</v>
      </c>
      <c r="E1587" s="93" t="s">
        <v>9</v>
      </c>
      <c r="F1587" s="93" t="s">
        <v>7103</v>
      </c>
      <c r="G1587" s="93" t="s">
        <v>8909</v>
      </c>
      <c r="H1587" s="93" t="s">
        <v>118</v>
      </c>
      <c r="I1587" s="93" t="s">
        <v>111</v>
      </c>
      <c r="J1587" s="93" t="s">
        <v>7105</v>
      </c>
      <c r="K1587" s="93" t="s">
        <v>111</v>
      </c>
      <c r="L1587" s="93" t="s">
        <v>111</v>
      </c>
      <c r="M1587" s="93" t="s">
        <v>111</v>
      </c>
      <c r="N1587" s="93" t="s">
        <v>111</v>
      </c>
      <c r="O1587" s="93" t="s">
        <v>111</v>
      </c>
      <c r="P1587" s="93" t="s">
        <v>111</v>
      </c>
      <c r="Q1587" s="93" t="s">
        <v>111</v>
      </c>
      <c r="R1587" s="93" t="s">
        <v>2</v>
      </c>
      <c r="S1587" s="93" t="s">
        <v>111</v>
      </c>
      <c r="T1587" s="93" t="s">
        <v>116</v>
      </c>
      <c r="U1587" s="94">
        <v>44588.109722222223</v>
      </c>
      <c r="V1587" s="93" t="s">
        <v>7913</v>
      </c>
      <c r="W1587" s="93" t="s">
        <v>24</v>
      </c>
    </row>
    <row r="1588" spans="1:23" x14ac:dyDescent="0.15">
      <c r="A1588" s="93" t="s">
        <v>8930</v>
      </c>
      <c r="B1588" s="93" t="s">
        <v>8931</v>
      </c>
      <c r="C1588" s="93">
        <v>12000</v>
      </c>
      <c r="D1588" s="93" t="s">
        <v>24</v>
      </c>
      <c r="E1588" s="93" t="s">
        <v>9</v>
      </c>
      <c r="F1588" s="93" t="s">
        <v>7103</v>
      </c>
      <c r="G1588" s="93" t="s">
        <v>8909</v>
      </c>
      <c r="H1588" s="93" t="s">
        <v>118</v>
      </c>
      <c r="I1588" s="93" t="s">
        <v>111</v>
      </c>
      <c r="J1588" s="93" t="s">
        <v>7105</v>
      </c>
      <c r="K1588" s="93" t="s">
        <v>111</v>
      </c>
      <c r="L1588" s="93" t="s">
        <v>111</v>
      </c>
      <c r="M1588" s="93" t="s">
        <v>111</v>
      </c>
      <c r="N1588" s="93" t="s">
        <v>111</v>
      </c>
      <c r="O1588" s="93" t="s">
        <v>111</v>
      </c>
      <c r="P1588" s="93" t="s">
        <v>111</v>
      </c>
      <c r="Q1588" s="93" t="s">
        <v>111</v>
      </c>
      <c r="R1588" s="93" t="s">
        <v>2</v>
      </c>
      <c r="S1588" s="93" t="s">
        <v>111</v>
      </c>
      <c r="T1588" s="93" t="s">
        <v>116</v>
      </c>
      <c r="U1588" s="94">
        <v>44588.118750000001</v>
      </c>
      <c r="V1588" s="93" t="s">
        <v>7913</v>
      </c>
      <c r="W1588" s="93" t="s">
        <v>24</v>
      </c>
    </row>
    <row r="1589" spans="1:23" x14ac:dyDescent="0.15">
      <c r="A1589" s="93" t="s">
        <v>8932</v>
      </c>
      <c r="B1589" s="93" t="s">
        <v>8933</v>
      </c>
      <c r="C1589" s="93">
        <v>50000</v>
      </c>
      <c r="D1589" s="93" t="s">
        <v>24</v>
      </c>
      <c r="E1589" s="93" t="s">
        <v>9</v>
      </c>
      <c r="F1589" s="93" t="s">
        <v>7103</v>
      </c>
      <c r="G1589" s="93" t="s">
        <v>8909</v>
      </c>
      <c r="H1589" s="93" t="s">
        <v>118</v>
      </c>
      <c r="I1589" s="93" t="s">
        <v>111</v>
      </c>
      <c r="J1589" s="93" t="s">
        <v>7105</v>
      </c>
      <c r="K1589" s="93" t="s">
        <v>111</v>
      </c>
      <c r="L1589" s="93" t="s">
        <v>111</v>
      </c>
      <c r="M1589" s="93" t="s">
        <v>111</v>
      </c>
      <c r="N1589" s="93" t="s">
        <v>111</v>
      </c>
      <c r="O1589" s="93" t="s">
        <v>111</v>
      </c>
      <c r="P1589" s="93" t="s">
        <v>111</v>
      </c>
      <c r="Q1589" s="93" t="s">
        <v>111</v>
      </c>
      <c r="R1589" s="93" t="s">
        <v>2</v>
      </c>
      <c r="S1589" s="93" t="s">
        <v>111</v>
      </c>
      <c r="T1589" s="93" t="s">
        <v>116</v>
      </c>
      <c r="U1589" s="94">
        <v>44588.118750000001</v>
      </c>
      <c r="V1589" s="93" t="s">
        <v>7913</v>
      </c>
      <c r="W1589" s="93" t="s">
        <v>24</v>
      </c>
    </row>
    <row r="1590" spans="1:23" x14ac:dyDescent="0.15">
      <c r="A1590" s="93" t="s">
        <v>8934</v>
      </c>
      <c r="B1590" s="93" t="s">
        <v>8935</v>
      </c>
      <c r="C1590" s="93">
        <v>2800</v>
      </c>
      <c r="D1590" s="93" t="s">
        <v>24</v>
      </c>
      <c r="E1590" s="93" t="s">
        <v>9</v>
      </c>
      <c r="F1590" s="93" t="s">
        <v>7103</v>
      </c>
      <c r="G1590" s="93" t="s">
        <v>8909</v>
      </c>
      <c r="H1590" s="93" t="s">
        <v>118</v>
      </c>
      <c r="I1590" s="93" t="s">
        <v>111</v>
      </c>
      <c r="J1590" s="93" t="s">
        <v>7105</v>
      </c>
      <c r="K1590" s="93" t="s">
        <v>111</v>
      </c>
      <c r="L1590" s="93" t="s">
        <v>111</v>
      </c>
      <c r="M1590" s="93" t="s">
        <v>111</v>
      </c>
      <c r="N1590" s="93" t="s">
        <v>111</v>
      </c>
      <c r="O1590" s="93" t="s">
        <v>111</v>
      </c>
      <c r="P1590" s="93" t="s">
        <v>111</v>
      </c>
      <c r="Q1590" s="93" t="s">
        <v>111</v>
      </c>
      <c r="R1590" s="93" t="s">
        <v>2</v>
      </c>
      <c r="S1590" s="93" t="s">
        <v>111</v>
      </c>
      <c r="T1590" s="93" t="s">
        <v>116</v>
      </c>
      <c r="U1590" s="94">
        <v>44588.109722222223</v>
      </c>
      <c r="V1590" s="93" t="s">
        <v>7913</v>
      </c>
      <c r="W1590" s="93" t="s">
        <v>24</v>
      </c>
    </row>
    <row r="1591" spans="1:23" x14ac:dyDescent="0.15">
      <c r="A1591" s="93" t="s">
        <v>8936</v>
      </c>
      <c r="B1591" s="93" t="s">
        <v>8937</v>
      </c>
      <c r="C1591" s="93">
        <v>14000</v>
      </c>
      <c r="D1591" s="93" t="s">
        <v>24</v>
      </c>
      <c r="E1591" s="93" t="s">
        <v>9</v>
      </c>
      <c r="F1591" s="93" t="s">
        <v>7103</v>
      </c>
      <c r="G1591" s="93" t="s">
        <v>8909</v>
      </c>
      <c r="H1591" s="93" t="s">
        <v>118</v>
      </c>
      <c r="I1591" s="93" t="s">
        <v>111</v>
      </c>
      <c r="J1591" s="93" t="s">
        <v>7105</v>
      </c>
      <c r="K1591" s="93" t="s">
        <v>111</v>
      </c>
      <c r="L1591" s="93" t="s">
        <v>111</v>
      </c>
      <c r="M1591" s="93" t="s">
        <v>111</v>
      </c>
      <c r="N1591" s="93" t="s">
        <v>111</v>
      </c>
      <c r="O1591" s="93" t="s">
        <v>111</v>
      </c>
      <c r="P1591" s="93" t="s">
        <v>111</v>
      </c>
      <c r="Q1591" s="93" t="s">
        <v>111</v>
      </c>
      <c r="R1591" s="93" t="s">
        <v>2</v>
      </c>
      <c r="S1591" s="93" t="s">
        <v>111</v>
      </c>
      <c r="T1591" s="93" t="s">
        <v>116</v>
      </c>
      <c r="U1591" s="94">
        <v>44588.118750000001</v>
      </c>
      <c r="V1591" s="93" t="s">
        <v>7913</v>
      </c>
      <c r="W1591" s="93" t="s">
        <v>24</v>
      </c>
    </row>
    <row r="1592" spans="1:23" x14ac:dyDescent="0.15">
      <c r="A1592" s="93" t="s">
        <v>8938</v>
      </c>
      <c r="B1592" s="93" t="s">
        <v>8939</v>
      </c>
      <c r="C1592" s="93">
        <v>3100</v>
      </c>
      <c r="D1592" s="93" t="s">
        <v>24</v>
      </c>
      <c r="E1592" s="93" t="s">
        <v>9</v>
      </c>
      <c r="F1592" s="93" t="s">
        <v>7103</v>
      </c>
      <c r="G1592" s="93" t="s">
        <v>8909</v>
      </c>
      <c r="H1592" s="93" t="s">
        <v>118</v>
      </c>
      <c r="I1592" s="93" t="s">
        <v>111</v>
      </c>
      <c r="J1592" s="93" t="s">
        <v>7105</v>
      </c>
      <c r="K1592" s="93" t="s">
        <v>111</v>
      </c>
      <c r="L1592" s="93" t="s">
        <v>111</v>
      </c>
      <c r="M1592" s="93" t="s">
        <v>111</v>
      </c>
      <c r="N1592" s="93" t="s">
        <v>111</v>
      </c>
      <c r="O1592" s="93" t="s">
        <v>111</v>
      </c>
      <c r="P1592" s="93" t="s">
        <v>111</v>
      </c>
      <c r="Q1592" s="93" t="s">
        <v>111</v>
      </c>
      <c r="R1592" s="93" t="s">
        <v>2</v>
      </c>
      <c r="S1592" s="93" t="s">
        <v>111</v>
      </c>
      <c r="T1592" s="93" t="s">
        <v>116</v>
      </c>
      <c r="U1592" s="94">
        <v>44588.109722222223</v>
      </c>
      <c r="V1592" s="93" t="s">
        <v>7913</v>
      </c>
      <c r="W1592" s="93" t="s">
        <v>24</v>
      </c>
    </row>
    <row r="1593" spans="1:23" x14ac:dyDescent="0.15">
      <c r="A1593" s="93" t="s">
        <v>8940</v>
      </c>
      <c r="B1593" s="93" t="s">
        <v>8941</v>
      </c>
      <c r="C1593" s="93">
        <v>15500</v>
      </c>
      <c r="D1593" s="93" t="s">
        <v>24</v>
      </c>
      <c r="E1593" s="93" t="s">
        <v>9</v>
      </c>
      <c r="F1593" s="93" t="s">
        <v>7103</v>
      </c>
      <c r="G1593" s="93" t="s">
        <v>8909</v>
      </c>
      <c r="H1593" s="93" t="s">
        <v>118</v>
      </c>
      <c r="I1593" s="93" t="s">
        <v>111</v>
      </c>
      <c r="J1593" s="93" t="s">
        <v>7105</v>
      </c>
      <c r="K1593" s="93" t="s">
        <v>111</v>
      </c>
      <c r="L1593" s="93" t="s">
        <v>111</v>
      </c>
      <c r="M1593" s="93" t="s">
        <v>111</v>
      </c>
      <c r="N1593" s="93" t="s">
        <v>111</v>
      </c>
      <c r="O1593" s="93" t="s">
        <v>111</v>
      </c>
      <c r="P1593" s="93" t="s">
        <v>111</v>
      </c>
      <c r="Q1593" s="93" t="s">
        <v>111</v>
      </c>
      <c r="R1593" s="93" t="s">
        <v>2</v>
      </c>
      <c r="S1593" s="93" t="s">
        <v>111</v>
      </c>
      <c r="T1593" s="93" t="s">
        <v>116</v>
      </c>
      <c r="U1593" s="94">
        <v>44588.118750000001</v>
      </c>
      <c r="V1593" s="93" t="s">
        <v>7913</v>
      </c>
      <c r="W1593" s="93" t="s">
        <v>24</v>
      </c>
    </row>
    <row r="1594" spans="1:23" x14ac:dyDescent="0.15">
      <c r="A1594" s="93" t="s">
        <v>8942</v>
      </c>
      <c r="B1594" s="93" t="s">
        <v>8943</v>
      </c>
      <c r="C1594" s="93">
        <v>3400</v>
      </c>
      <c r="D1594" s="93" t="s">
        <v>24</v>
      </c>
      <c r="E1594" s="93" t="s">
        <v>9</v>
      </c>
      <c r="F1594" s="93" t="s">
        <v>7103</v>
      </c>
      <c r="G1594" s="93" t="s">
        <v>8909</v>
      </c>
      <c r="H1594" s="93" t="s">
        <v>118</v>
      </c>
      <c r="I1594" s="93" t="s">
        <v>111</v>
      </c>
      <c r="J1594" s="93" t="s">
        <v>7105</v>
      </c>
      <c r="K1594" s="93" t="s">
        <v>111</v>
      </c>
      <c r="L1594" s="93" t="s">
        <v>111</v>
      </c>
      <c r="M1594" s="93" t="s">
        <v>111</v>
      </c>
      <c r="N1594" s="93" t="s">
        <v>111</v>
      </c>
      <c r="O1594" s="93" t="s">
        <v>111</v>
      </c>
      <c r="P1594" s="93" t="s">
        <v>111</v>
      </c>
      <c r="Q1594" s="93" t="s">
        <v>111</v>
      </c>
      <c r="R1594" s="93" t="s">
        <v>2</v>
      </c>
      <c r="S1594" s="93" t="s">
        <v>111</v>
      </c>
      <c r="T1594" s="93" t="s">
        <v>116</v>
      </c>
      <c r="U1594" s="94">
        <v>44588.109722222223</v>
      </c>
      <c r="V1594" s="93" t="s">
        <v>7913</v>
      </c>
      <c r="W1594" s="93" t="s">
        <v>24</v>
      </c>
    </row>
    <row r="1595" spans="1:23" x14ac:dyDescent="0.15">
      <c r="A1595" s="93" t="s">
        <v>8944</v>
      </c>
      <c r="B1595" s="93" t="s">
        <v>8945</v>
      </c>
      <c r="C1595" s="93">
        <v>17000</v>
      </c>
      <c r="D1595" s="93" t="s">
        <v>24</v>
      </c>
      <c r="E1595" s="93" t="s">
        <v>9</v>
      </c>
      <c r="F1595" s="93" t="s">
        <v>7103</v>
      </c>
      <c r="G1595" s="93" t="s">
        <v>8909</v>
      </c>
      <c r="H1595" s="93" t="s">
        <v>118</v>
      </c>
      <c r="I1595" s="93" t="s">
        <v>111</v>
      </c>
      <c r="J1595" s="93" t="s">
        <v>7105</v>
      </c>
      <c r="K1595" s="93" t="s">
        <v>111</v>
      </c>
      <c r="L1595" s="93" t="s">
        <v>111</v>
      </c>
      <c r="M1595" s="93" t="s">
        <v>111</v>
      </c>
      <c r="N1595" s="93" t="s">
        <v>111</v>
      </c>
      <c r="O1595" s="93" t="s">
        <v>111</v>
      </c>
      <c r="P1595" s="93" t="s">
        <v>111</v>
      </c>
      <c r="Q1595" s="93" t="s">
        <v>111</v>
      </c>
      <c r="R1595" s="93" t="s">
        <v>2</v>
      </c>
      <c r="S1595" s="93" t="s">
        <v>111</v>
      </c>
      <c r="T1595" s="93" t="s">
        <v>116</v>
      </c>
      <c r="U1595" s="94">
        <v>44588.118750000001</v>
      </c>
      <c r="V1595" s="93" t="s">
        <v>7913</v>
      </c>
      <c r="W1595" s="93" t="s">
        <v>24</v>
      </c>
    </row>
    <row r="1596" spans="1:23" x14ac:dyDescent="0.15">
      <c r="A1596" s="93" t="s">
        <v>8946</v>
      </c>
      <c r="B1596" s="93" t="s">
        <v>8947</v>
      </c>
      <c r="C1596" s="93">
        <v>3700</v>
      </c>
      <c r="D1596" s="93" t="s">
        <v>24</v>
      </c>
      <c r="E1596" s="93" t="s">
        <v>9</v>
      </c>
      <c r="F1596" s="93" t="s">
        <v>7103</v>
      </c>
      <c r="G1596" s="93" t="s">
        <v>8909</v>
      </c>
      <c r="H1596" s="93" t="s">
        <v>118</v>
      </c>
      <c r="I1596" s="93" t="s">
        <v>111</v>
      </c>
      <c r="J1596" s="93" t="s">
        <v>7105</v>
      </c>
      <c r="K1596" s="93" t="s">
        <v>111</v>
      </c>
      <c r="L1596" s="93" t="s">
        <v>111</v>
      </c>
      <c r="M1596" s="93" t="s">
        <v>111</v>
      </c>
      <c r="N1596" s="93" t="s">
        <v>111</v>
      </c>
      <c r="O1596" s="93" t="s">
        <v>111</v>
      </c>
      <c r="P1596" s="93" t="s">
        <v>111</v>
      </c>
      <c r="Q1596" s="93" t="s">
        <v>111</v>
      </c>
      <c r="R1596" s="93" t="s">
        <v>2</v>
      </c>
      <c r="S1596" s="93" t="s">
        <v>111</v>
      </c>
      <c r="T1596" s="93" t="s">
        <v>116</v>
      </c>
      <c r="U1596" s="94">
        <v>44588.109722222223</v>
      </c>
      <c r="V1596" s="93" t="s">
        <v>7913</v>
      </c>
      <c r="W1596" s="93" t="s">
        <v>24</v>
      </c>
    </row>
    <row r="1597" spans="1:23" x14ac:dyDescent="0.15">
      <c r="A1597" s="93" t="s">
        <v>8948</v>
      </c>
      <c r="B1597" s="93" t="s">
        <v>8949</v>
      </c>
      <c r="C1597" s="93">
        <v>18500</v>
      </c>
      <c r="D1597" s="93" t="s">
        <v>24</v>
      </c>
      <c r="E1597" s="93" t="s">
        <v>9</v>
      </c>
      <c r="F1597" s="93" t="s">
        <v>7103</v>
      </c>
      <c r="G1597" s="93" t="s">
        <v>8909</v>
      </c>
      <c r="H1597" s="93" t="s">
        <v>118</v>
      </c>
      <c r="I1597" s="93" t="s">
        <v>111</v>
      </c>
      <c r="J1597" s="93" t="s">
        <v>7105</v>
      </c>
      <c r="K1597" s="93" t="s">
        <v>111</v>
      </c>
      <c r="L1597" s="93" t="s">
        <v>111</v>
      </c>
      <c r="M1597" s="93" t="s">
        <v>111</v>
      </c>
      <c r="N1597" s="93" t="s">
        <v>111</v>
      </c>
      <c r="O1597" s="93" t="s">
        <v>111</v>
      </c>
      <c r="P1597" s="93" t="s">
        <v>111</v>
      </c>
      <c r="Q1597" s="93" t="s">
        <v>111</v>
      </c>
      <c r="R1597" s="93" t="s">
        <v>2</v>
      </c>
      <c r="S1597" s="93" t="s">
        <v>111</v>
      </c>
      <c r="T1597" s="93" t="s">
        <v>116</v>
      </c>
      <c r="U1597" s="94">
        <v>44588.118750000001</v>
      </c>
      <c r="V1597" s="93" t="s">
        <v>7913</v>
      </c>
      <c r="W1597" s="93" t="s">
        <v>24</v>
      </c>
    </row>
    <row r="1598" spans="1:23" x14ac:dyDescent="0.15">
      <c r="A1598" s="93" t="s">
        <v>8950</v>
      </c>
      <c r="B1598" s="93" t="s">
        <v>8951</v>
      </c>
      <c r="C1598" s="93">
        <v>10</v>
      </c>
      <c r="D1598" s="93" t="s">
        <v>24</v>
      </c>
      <c r="E1598" s="93" t="s">
        <v>9</v>
      </c>
      <c r="F1598" s="93" t="s">
        <v>7103</v>
      </c>
      <c r="G1598" s="93" t="s">
        <v>8909</v>
      </c>
      <c r="H1598" s="93" t="s">
        <v>118</v>
      </c>
      <c r="I1598" s="93" t="s">
        <v>111</v>
      </c>
      <c r="J1598" s="93" t="s">
        <v>7105</v>
      </c>
      <c r="K1598" s="93" t="s">
        <v>111</v>
      </c>
      <c r="L1598" s="93" t="s">
        <v>111</v>
      </c>
      <c r="M1598" s="93" t="s">
        <v>111</v>
      </c>
      <c r="N1598" s="93" t="s">
        <v>111</v>
      </c>
      <c r="O1598" s="93" t="s">
        <v>111</v>
      </c>
      <c r="P1598" s="93" t="s">
        <v>111</v>
      </c>
      <c r="Q1598" s="93" t="s">
        <v>111</v>
      </c>
      <c r="R1598" s="93" t="s">
        <v>2</v>
      </c>
      <c r="S1598" s="93" t="s">
        <v>111</v>
      </c>
      <c r="T1598" s="93" t="s">
        <v>116</v>
      </c>
      <c r="U1598" s="94">
        <v>44588.109027777777</v>
      </c>
      <c r="V1598" s="93" t="s">
        <v>7913</v>
      </c>
      <c r="W1598" s="93" t="s">
        <v>24</v>
      </c>
    </row>
    <row r="1599" spans="1:23" x14ac:dyDescent="0.15">
      <c r="A1599" s="93" t="s">
        <v>8952</v>
      </c>
      <c r="B1599" s="93" t="s">
        <v>8953</v>
      </c>
      <c r="C1599" s="93">
        <v>10</v>
      </c>
      <c r="D1599" s="93" t="s">
        <v>24</v>
      </c>
      <c r="E1599" s="93" t="s">
        <v>9</v>
      </c>
      <c r="F1599" s="93" t="s">
        <v>7103</v>
      </c>
      <c r="G1599" s="93" t="s">
        <v>8909</v>
      </c>
      <c r="H1599" s="93" t="s">
        <v>118</v>
      </c>
      <c r="I1599" s="93" t="s">
        <v>111</v>
      </c>
      <c r="J1599" s="93" t="s">
        <v>118</v>
      </c>
      <c r="K1599" s="93">
        <v>3</v>
      </c>
      <c r="L1599" s="93" t="s">
        <v>111</v>
      </c>
      <c r="M1599" s="93" t="s">
        <v>111</v>
      </c>
      <c r="N1599" s="93" t="s">
        <v>111</v>
      </c>
      <c r="O1599" s="93" t="s">
        <v>111</v>
      </c>
      <c r="P1599" s="93" t="s">
        <v>111</v>
      </c>
      <c r="Q1599" s="93" t="s">
        <v>111</v>
      </c>
      <c r="R1599" s="93" t="s">
        <v>2</v>
      </c>
      <c r="S1599" s="93" t="s">
        <v>111</v>
      </c>
      <c r="T1599" s="93" t="s">
        <v>116</v>
      </c>
      <c r="U1599" s="94">
        <v>44602.409722222219</v>
      </c>
      <c r="V1599" s="93" t="s">
        <v>7913</v>
      </c>
      <c r="W1599" s="93" t="s">
        <v>24</v>
      </c>
    </row>
    <row r="1600" spans="1:23" x14ac:dyDescent="0.15">
      <c r="A1600" s="93" t="s">
        <v>8954</v>
      </c>
      <c r="B1600" s="93" t="s">
        <v>8955</v>
      </c>
      <c r="C1600" s="93">
        <v>85.2</v>
      </c>
      <c r="D1600" s="93" t="s">
        <v>24</v>
      </c>
      <c r="E1600" s="93" t="s">
        <v>24</v>
      </c>
      <c r="F1600" s="93" t="s">
        <v>7070</v>
      </c>
      <c r="G1600" s="93" t="s">
        <v>7071</v>
      </c>
      <c r="H1600" s="93" t="s">
        <v>11</v>
      </c>
      <c r="I1600" s="93" t="s">
        <v>111</v>
      </c>
      <c r="J1600" s="93" t="s">
        <v>112</v>
      </c>
      <c r="K1600" s="93">
        <v>60</v>
      </c>
      <c r="L1600" s="93">
        <v>0.27</v>
      </c>
      <c r="M1600" s="93" t="s">
        <v>113</v>
      </c>
      <c r="N1600" s="93">
        <v>5</v>
      </c>
      <c r="O1600" s="93">
        <v>8</v>
      </c>
      <c r="P1600" s="93">
        <v>20</v>
      </c>
      <c r="Q1600" s="93" t="s">
        <v>121</v>
      </c>
      <c r="R1600" s="93" t="s">
        <v>2</v>
      </c>
      <c r="S1600" s="93" t="s">
        <v>115</v>
      </c>
      <c r="T1600" s="93" t="s">
        <v>116</v>
      </c>
      <c r="U1600" s="94">
        <v>44642.535416666666</v>
      </c>
      <c r="V1600" s="93" t="s">
        <v>8956</v>
      </c>
      <c r="W1600" s="93" t="s">
        <v>9</v>
      </c>
    </row>
    <row r="1601" spans="1:23" x14ac:dyDescent="0.15">
      <c r="A1601" s="93" t="s">
        <v>8957</v>
      </c>
      <c r="B1601" s="93" t="s">
        <v>8958</v>
      </c>
      <c r="C1601" s="93">
        <v>207.6</v>
      </c>
      <c r="D1601" s="93" t="s">
        <v>24</v>
      </c>
      <c r="E1601" s="93" t="s">
        <v>24</v>
      </c>
      <c r="F1601" s="93" t="s">
        <v>7070</v>
      </c>
      <c r="G1601" s="93" t="s">
        <v>7071</v>
      </c>
      <c r="H1601" s="93" t="s">
        <v>11</v>
      </c>
      <c r="I1601" s="93" t="s">
        <v>111</v>
      </c>
      <c r="J1601" s="93" t="s">
        <v>112</v>
      </c>
      <c r="K1601" s="93">
        <v>60</v>
      </c>
      <c r="L1601" s="93">
        <v>0.7</v>
      </c>
      <c r="M1601" s="93" t="s">
        <v>113</v>
      </c>
      <c r="N1601" s="93">
        <v>8</v>
      </c>
      <c r="O1601" s="93">
        <v>10</v>
      </c>
      <c r="P1601" s="93">
        <v>20</v>
      </c>
      <c r="Q1601" s="93" t="s">
        <v>121</v>
      </c>
      <c r="R1601" s="93" t="s">
        <v>20</v>
      </c>
      <c r="S1601" s="93" t="s">
        <v>115</v>
      </c>
      <c r="T1601" s="93" t="s">
        <v>116</v>
      </c>
      <c r="U1601" s="94">
        <v>44642.490972222222</v>
      </c>
      <c r="V1601" s="93" t="s">
        <v>8956</v>
      </c>
      <c r="W1601" s="93" t="s">
        <v>9</v>
      </c>
    </row>
    <row r="1602" spans="1:23" x14ac:dyDescent="0.15">
      <c r="A1602" s="93" t="s">
        <v>8959</v>
      </c>
      <c r="B1602" s="93" t="s">
        <v>8960</v>
      </c>
      <c r="C1602" s="93">
        <v>1200</v>
      </c>
      <c r="D1602" s="93" t="s">
        <v>24</v>
      </c>
      <c r="E1602" s="93" t="s">
        <v>24</v>
      </c>
      <c r="F1602" s="93" t="s">
        <v>7070</v>
      </c>
      <c r="G1602" s="93" t="s">
        <v>7071</v>
      </c>
      <c r="H1602" s="93" t="s">
        <v>11</v>
      </c>
      <c r="I1602" s="93" t="s">
        <v>111</v>
      </c>
      <c r="J1602" s="93" t="s">
        <v>112</v>
      </c>
      <c r="K1602" s="93">
        <v>60</v>
      </c>
      <c r="L1602" s="93">
        <v>3.9</v>
      </c>
      <c r="M1602" s="93" t="s">
        <v>113</v>
      </c>
      <c r="N1602" s="93">
        <v>5</v>
      </c>
      <c r="O1602" s="93">
        <v>23</v>
      </c>
      <c r="P1602" s="93">
        <v>46</v>
      </c>
      <c r="Q1602" s="93" t="s">
        <v>121</v>
      </c>
      <c r="R1602" s="93" t="s">
        <v>20</v>
      </c>
      <c r="S1602" s="93" t="s">
        <v>115</v>
      </c>
      <c r="T1602" s="93" t="s">
        <v>119</v>
      </c>
      <c r="U1602" s="94">
        <v>44642.589583333334</v>
      </c>
      <c r="V1602" s="93" t="s">
        <v>8956</v>
      </c>
      <c r="W1602" s="93" t="s">
        <v>24</v>
      </c>
    </row>
    <row r="1603" spans="1:23" x14ac:dyDescent="0.15">
      <c r="A1603" s="93" t="s">
        <v>8961</v>
      </c>
      <c r="B1603" s="93" t="s">
        <v>8962</v>
      </c>
      <c r="C1603" s="93">
        <v>474</v>
      </c>
      <c r="D1603" s="93" t="s">
        <v>9</v>
      </c>
      <c r="E1603" s="93" t="s">
        <v>9</v>
      </c>
      <c r="F1603" s="93" t="s">
        <v>8468</v>
      </c>
      <c r="G1603" s="93" t="s">
        <v>8963</v>
      </c>
      <c r="H1603" s="93" t="s">
        <v>6</v>
      </c>
      <c r="I1603" s="93" t="s">
        <v>111</v>
      </c>
      <c r="J1603" s="93" t="s">
        <v>112</v>
      </c>
      <c r="K1603" s="93">
        <v>60</v>
      </c>
      <c r="L1603" s="93">
        <v>0.45</v>
      </c>
      <c r="M1603" s="93" t="s">
        <v>113</v>
      </c>
      <c r="N1603" s="93">
        <v>8</v>
      </c>
      <c r="O1603" s="93">
        <v>13</v>
      </c>
      <c r="P1603" s="93">
        <v>18</v>
      </c>
      <c r="Q1603" s="93" t="s">
        <v>123</v>
      </c>
      <c r="R1603" s="93" t="s">
        <v>20</v>
      </c>
      <c r="S1603" s="93" t="s">
        <v>383</v>
      </c>
      <c r="T1603" s="93" t="s">
        <v>119</v>
      </c>
      <c r="U1603" s="94">
        <v>44642.425000000003</v>
      </c>
      <c r="V1603" s="93" t="s">
        <v>7072</v>
      </c>
      <c r="W1603" s="93" t="s">
        <v>9</v>
      </c>
    </row>
    <row r="1604" spans="1:23" x14ac:dyDescent="0.15">
      <c r="A1604" s="93" t="s">
        <v>8964</v>
      </c>
      <c r="B1604" s="93" t="s">
        <v>8965</v>
      </c>
      <c r="C1604" s="93">
        <v>474</v>
      </c>
      <c r="D1604" s="93" t="s">
        <v>9</v>
      </c>
      <c r="E1604" s="93" t="s">
        <v>9</v>
      </c>
      <c r="F1604" s="93" t="s">
        <v>8468</v>
      </c>
      <c r="G1604" s="93" t="s">
        <v>8963</v>
      </c>
      <c r="H1604" s="93" t="s">
        <v>6</v>
      </c>
      <c r="I1604" s="93" t="s">
        <v>111</v>
      </c>
      <c r="J1604" s="93" t="s">
        <v>112</v>
      </c>
      <c r="K1604" s="93">
        <v>60</v>
      </c>
      <c r="L1604" s="93">
        <v>0.45</v>
      </c>
      <c r="M1604" s="93" t="s">
        <v>113</v>
      </c>
      <c r="N1604" s="93">
        <v>8</v>
      </c>
      <c r="O1604" s="93">
        <v>13</v>
      </c>
      <c r="P1604" s="93">
        <v>18</v>
      </c>
      <c r="Q1604" s="93" t="s">
        <v>123</v>
      </c>
      <c r="R1604" s="93" t="s">
        <v>20</v>
      </c>
      <c r="S1604" s="93" t="s">
        <v>383</v>
      </c>
      <c r="T1604" s="93" t="s">
        <v>119</v>
      </c>
      <c r="U1604" s="94">
        <v>44642.589583333334</v>
      </c>
      <c r="V1604" s="93" t="s">
        <v>7072</v>
      </c>
      <c r="W1604" s="93" t="s">
        <v>9</v>
      </c>
    </row>
    <row r="1605" spans="1:23" x14ac:dyDescent="0.15">
      <c r="A1605" s="93" t="s">
        <v>8966</v>
      </c>
      <c r="B1605" s="93" t="s">
        <v>8967</v>
      </c>
      <c r="C1605" s="93">
        <v>474</v>
      </c>
      <c r="D1605" s="93" t="s">
        <v>9</v>
      </c>
      <c r="E1605" s="93" t="s">
        <v>9</v>
      </c>
      <c r="F1605" s="93" t="s">
        <v>8468</v>
      </c>
      <c r="G1605" s="93" t="s">
        <v>8963</v>
      </c>
      <c r="H1605" s="93" t="s">
        <v>6</v>
      </c>
      <c r="I1605" s="93" t="s">
        <v>111</v>
      </c>
      <c r="J1605" s="93" t="s">
        <v>112</v>
      </c>
      <c r="K1605" s="93">
        <v>60</v>
      </c>
      <c r="L1605" s="93">
        <v>0.45</v>
      </c>
      <c r="M1605" s="93" t="s">
        <v>113</v>
      </c>
      <c r="N1605" s="93">
        <v>8</v>
      </c>
      <c r="O1605" s="93">
        <v>13</v>
      </c>
      <c r="P1605" s="93">
        <v>18</v>
      </c>
      <c r="Q1605" s="93" t="s">
        <v>123</v>
      </c>
      <c r="R1605" s="93" t="s">
        <v>20</v>
      </c>
      <c r="S1605" s="93" t="s">
        <v>383</v>
      </c>
      <c r="T1605" s="93" t="s">
        <v>119</v>
      </c>
      <c r="U1605" s="94">
        <v>44642.513194444444</v>
      </c>
      <c r="V1605" s="93" t="s">
        <v>7072</v>
      </c>
      <c r="W1605" s="93" t="s">
        <v>9</v>
      </c>
    </row>
    <row r="1606" spans="1:23" x14ac:dyDescent="0.15">
      <c r="A1606" s="93" t="s">
        <v>8968</v>
      </c>
      <c r="B1606" s="93" t="s">
        <v>8969</v>
      </c>
      <c r="C1606" s="93">
        <v>502.44</v>
      </c>
      <c r="D1606" s="93" t="s">
        <v>9</v>
      </c>
      <c r="E1606" s="93" t="s">
        <v>9</v>
      </c>
      <c r="F1606" s="93" t="s">
        <v>8468</v>
      </c>
      <c r="G1606" s="93" t="s">
        <v>8963</v>
      </c>
      <c r="H1606" s="93" t="s">
        <v>6</v>
      </c>
      <c r="I1606" s="93" t="s">
        <v>111</v>
      </c>
      <c r="J1606" s="93" t="s">
        <v>112</v>
      </c>
      <c r="K1606" s="93">
        <v>60</v>
      </c>
      <c r="L1606" s="93">
        <v>0.45</v>
      </c>
      <c r="M1606" s="93" t="s">
        <v>113</v>
      </c>
      <c r="N1606" s="93">
        <v>8</v>
      </c>
      <c r="O1606" s="93">
        <v>13</v>
      </c>
      <c r="P1606" s="93">
        <v>18</v>
      </c>
      <c r="Q1606" s="93" t="s">
        <v>123</v>
      </c>
      <c r="R1606" s="93" t="s">
        <v>20</v>
      </c>
      <c r="S1606" s="93" t="s">
        <v>383</v>
      </c>
      <c r="T1606" s="93" t="s">
        <v>119</v>
      </c>
      <c r="U1606" s="94">
        <v>44642.589583333334</v>
      </c>
      <c r="V1606" s="93" t="s">
        <v>7072</v>
      </c>
      <c r="W1606" s="93" t="s">
        <v>9</v>
      </c>
    </row>
    <row r="1607" spans="1:23" x14ac:dyDescent="0.15">
      <c r="A1607" s="93" t="s">
        <v>8970</v>
      </c>
      <c r="B1607" s="93" t="s">
        <v>8971</v>
      </c>
      <c r="C1607" s="93">
        <v>774</v>
      </c>
      <c r="D1607" s="93" t="s">
        <v>9</v>
      </c>
      <c r="E1607" s="93" t="s">
        <v>9</v>
      </c>
      <c r="F1607" s="93" t="s">
        <v>8564</v>
      </c>
      <c r="G1607" s="93" t="s">
        <v>8972</v>
      </c>
      <c r="H1607" s="93" t="s">
        <v>6</v>
      </c>
      <c r="I1607" s="93" t="s">
        <v>111</v>
      </c>
      <c r="J1607" s="93" t="s">
        <v>8564</v>
      </c>
      <c r="K1607" s="93">
        <v>90</v>
      </c>
      <c r="L1607" s="93">
        <v>3.17</v>
      </c>
      <c r="M1607" s="93" t="s">
        <v>113</v>
      </c>
      <c r="N1607" s="93">
        <v>10.43</v>
      </c>
      <c r="O1607" s="93">
        <v>20</v>
      </c>
      <c r="P1607" s="93">
        <v>58.13</v>
      </c>
      <c r="Q1607" s="93" t="s">
        <v>123</v>
      </c>
      <c r="R1607" s="93" t="s">
        <v>20</v>
      </c>
      <c r="S1607" s="93" t="s">
        <v>124</v>
      </c>
      <c r="T1607" s="93" t="s">
        <v>116</v>
      </c>
      <c r="U1607" s="94">
        <v>44642.488888888889</v>
      </c>
      <c r="V1607" s="93" t="s">
        <v>8564</v>
      </c>
      <c r="W1607" s="93" t="s">
        <v>9</v>
      </c>
    </row>
    <row r="1608" spans="1:23" x14ac:dyDescent="0.15">
      <c r="A1608" s="93" t="s">
        <v>8973</v>
      </c>
      <c r="B1608" s="93" t="s">
        <v>8974</v>
      </c>
      <c r="C1608" s="93">
        <v>774</v>
      </c>
      <c r="D1608" s="93" t="s">
        <v>9</v>
      </c>
      <c r="E1608" s="93" t="s">
        <v>9</v>
      </c>
      <c r="F1608" s="93" t="s">
        <v>8564</v>
      </c>
      <c r="G1608" s="93" t="s">
        <v>8972</v>
      </c>
      <c r="H1608" s="93" t="s">
        <v>6</v>
      </c>
      <c r="I1608" s="93" t="s">
        <v>111</v>
      </c>
      <c r="J1608" s="93" t="s">
        <v>8564</v>
      </c>
      <c r="K1608" s="93">
        <v>90</v>
      </c>
      <c r="L1608" s="93">
        <v>3.17</v>
      </c>
      <c r="M1608" s="93" t="s">
        <v>113</v>
      </c>
      <c r="N1608" s="93">
        <v>10.43</v>
      </c>
      <c r="O1608" s="93">
        <v>20</v>
      </c>
      <c r="P1608" s="93">
        <v>58.13</v>
      </c>
      <c r="Q1608" s="93" t="s">
        <v>123</v>
      </c>
      <c r="R1608" s="93" t="s">
        <v>20</v>
      </c>
      <c r="S1608" s="93" t="s">
        <v>124</v>
      </c>
      <c r="T1608" s="93" t="s">
        <v>116</v>
      </c>
      <c r="U1608" s="94">
        <v>44642.42291666667</v>
      </c>
      <c r="V1608" s="93" t="s">
        <v>8564</v>
      </c>
      <c r="W1608" s="93" t="s">
        <v>9</v>
      </c>
    </row>
    <row r="1609" spans="1:23" x14ac:dyDescent="0.15">
      <c r="A1609" s="93" t="s">
        <v>8975</v>
      </c>
      <c r="B1609" s="93" t="s">
        <v>8976</v>
      </c>
      <c r="C1609" s="93">
        <v>774</v>
      </c>
      <c r="D1609" s="93" t="s">
        <v>9</v>
      </c>
      <c r="E1609" s="93" t="s">
        <v>9</v>
      </c>
      <c r="F1609" s="93" t="s">
        <v>8564</v>
      </c>
      <c r="G1609" s="93" t="s">
        <v>8972</v>
      </c>
      <c r="H1609" s="93" t="s">
        <v>6</v>
      </c>
      <c r="I1609" s="93" t="s">
        <v>111</v>
      </c>
      <c r="J1609" s="93" t="s">
        <v>8564</v>
      </c>
      <c r="K1609" s="93">
        <v>90</v>
      </c>
      <c r="L1609" s="93">
        <v>3.17</v>
      </c>
      <c r="M1609" s="93" t="s">
        <v>113</v>
      </c>
      <c r="N1609" s="93">
        <v>10.43</v>
      </c>
      <c r="O1609" s="93">
        <v>20</v>
      </c>
      <c r="P1609" s="93">
        <v>58.13</v>
      </c>
      <c r="Q1609" s="93" t="s">
        <v>123</v>
      </c>
      <c r="R1609" s="93" t="s">
        <v>20</v>
      </c>
      <c r="S1609" s="93" t="s">
        <v>124</v>
      </c>
      <c r="T1609" s="93" t="s">
        <v>116</v>
      </c>
      <c r="U1609" s="94">
        <v>44642.488888888889</v>
      </c>
      <c r="V1609" s="93" t="s">
        <v>8564</v>
      </c>
      <c r="W1609" s="93" t="s">
        <v>9</v>
      </c>
    </row>
    <row r="1610" spans="1:23" x14ac:dyDescent="0.15">
      <c r="A1610" s="93" t="s">
        <v>8977</v>
      </c>
      <c r="B1610" s="93" t="s">
        <v>8978</v>
      </c>
      <c r="C1610" s="93">
        <v>820.8</v>
      </c>
      <c r="D1610" s="93" t="s">
        <v>9</v>
      </c>
      <c r="E1610" s="93" t="s">
        <v>9</v>
      </c>
      <c r="F1610" s="93" t="s">
        <v>8564</v>
      </c>
      <c r="G1610" s="93" t="s">
        <v>8972</v>
      </c>
      <c r="H1610" s="93" t="s">
        <v>6</v>
      </c>
      <c r="I1610" s="93" t="s">
        <v>111</v>
      </c>
      <c r="J1610" s="93" t="s">
        <v>8564</v>
      </c>
      <c r="K1610" s="93">
        <v>90</v>
      </c>
      <c r="L1610" s="93">
        <v>3.17</v>
      </c>
      <c r="M1610" s="93" t="s">
        <v>113</v>
      </c>
      <c r="N1610" s="93">
        <v>10.43</v>
      </c>
      <c r="O1610" s="93">
        <v>20</v>
      </c>
      <c r="P1610" s="93">
        <v>58.13</v>
      </c>
      <c r="Q1610" s="93" t="s">
        <v>123</v>
      </c>
      <c r="R1610" s="93" t="s">
        <v>20</v>
      </c>
      <c r="S1610" s="93" t="s">
        <v>124</v>
      </c>
      <c r="T1610" s="93" t="s">
        <v>116</v>
      </c>
      <c r="U1610" s="94">
        <v>44642.511111111111</v>
      </c>
      <c r="V1610" s="93" t="s">
        <v>8564</v>
      </c>
      <c r="W1610" s="93" t="s">
        <v>9</v>
      </c>
    </row>
    <row r="1611" spans="1:23" x14ac:dyDescent="0.15">
      <c r="A1611" s="93" t="s">
        <v>8979</v>
      </c>
      <c r="B1611" s="93" t="s">
        <v>8980</v>
      </c>
      <c r="C1611" s="93">
        <v>534</v>
      </c>
      <c r="D1611" s="93" t="s">
        <v>9</v>
      </c>
      <c r="E1611" s="93" t="s">
        <v>9</v>
      </c>
      <c r="F1611" s="93" t="s">
        <v>8564</v>
      </c>
      <c r="G1611" s="93" t="s">
        <v>8981</v>
      </c>
      <c r="H1611" s="93" t="s">
        <v>6</v>
      </c>
      <c r="I1611" s="93" t="s">
        <v>111</v>
      </c>
      <c r="J1611" s="93" t="s">
        <v>8564</v>
      </c>
      <c r="K1611" s="93">
        <v>90</v>
      </c>
      <c r="L1611" s="93">
        <v>1.1399999999999999</v>
      </c>
      <c r="M1611" s="93" t="s">
        <v>113</v>
      </c>
      <c r="N1611" s="93">
        <v>7</v>
      </c>
      <c r="O1611" s="93">
        <v>22.3</v>
      </c>
      <c r="P1611" s="93">
        <v>25.7</v>
      </c>
      <c r="Q1611" s="93" t="s">
        <v>123</v>
      </c>
      <c r="R1611" s="93" t="s">
        <v>20</v>
      </c>
      <c r="S1611" s="93" t="s">
        <v>124</v>
      </c>
      <c r="T1611" s="93" t="s">
        <v>116</v>
      </c>
      <c r="U1611" s="94">
        <v>44642.489583333336</v>
      </c>
      <c r="V1611" s="93" t="s">
        <v>8564</v>
      </c>
      <c r="W1611" s="93" t="s">
        <v>9</v>
      </c>
    </row>
    <row r="1612" spans="1:23" x14ac:dyDescent="0.15">
      <c r="A1612" s="93" t="s">
        <v>8982</v>
      </c>
      <c r="B1612" s="93" t="s">
        <v>8983</v>
      </c>
      <c r="C1612" s="93">
        <v>534</v>
      </c>
      <c r="D1612" s="93" t="s">
        <v>9</v>
      </c>
      <c r="E1612" s="93" t="s">
        <v>9</v>
      </c>
      <c r="F1612" s="93" t="s">
        <v>8564</v>
      </c>
      <c r="G1612" s="93" t="s">
        <v>8981</v>
      </c>
      <c r="H1612" s="93" t="s">
        <v>6</v>
      </c>
      <c r="I1612" s="93" t="s">
        <v>111</v>
      </c>
      <c r="J1612" s="93" t="s">
        <v>8564</v>
      </c>
      <c r="K1612" s="93">
        <v>90</v>
      </c>
      <c r="L1612" s="93">
        <v>1.1399999999999999</v>
      </c>
      <c r="M1612" s="93" t="s">
        <v>113</v>
      </c>
      <c r="N1612" s="93">
        <v>3.5</v>
      </c>
      <c r="O1612" s="93">
        <v>19</v>
      </c>
      <c r="P1612" s="93">
        <v>19</v>
      </c>
      <c r="Q1612" s="93" t="s">
        <v>123</v>
      </c>
      <c r="R1612" s="93" t="s">
        <v>20</v>
      </c>
      <c r="S1612" s="93" t="s">
        <v>124</v>
      </c>
      <c r="T1612" s="93" t="s">
        <v>116</v>
      </c>
      <c r="U1612" s="94">
        <v>44642.588888888888</v>
      </c>
      <c r="V1612" s="93" t="s">
        <v>8564</v>
      </c>
      <c r="W1612" s="93" t="s">
        <v>9</v>
      </c>
    </row>
    <row r="1613" spans="1:23" x14ac:dyDescent="0.15">
      <c r="A1613" s="93" t="s">
        <v>8984</v>
      </c>
      <c r="B1613" s="93" t="s">
        <v>8985</v>
      </c>
      <c r="C1613" s="93">
        <v>534</v>
      </c>
      <c r="D1613" s="93" t="s">
        <v>9</v>
      </c>
      <c r="E1613" s="93" t="s">
        <v>9</v>
      </c>
      <c r="F1613" s="93" t="s">
        <v>8564</v>
      </c>
      <c r="G1613" s="93" t="s">
        <v>8981</v>
      </c>
      <c r="H1613" s="93" t="s">
        <v>6</v>
      </c>
      <c r="I1613" s="93" t="s">
        <v>111</v>
      </c>
      <c r="J1613" s="93" t="s">
        <v>8564</v>
      </c>
      <c r="K1613" s="93">
        <v>90</v>
      </c>
      <c r="L1613" s="93">
        <v>1.1399999999999999</v>
      </c>
      <c r="M1613" s="93" t="s">
        <v>113</v>
      </c>
      <c r="N1613" s="93">
        <v>3.5</v>
      </c>
      <c r="O1613" s="93">
        <v>19</v>
      </c>
      <c r="P1613" s="93">
        <v>19</v>
      </c>
      <c r="Q1613" s="93" t="s">
        <v>123</v>
      </c>
      <c r="R1613" s="93" t="s">
        <v>20</v>
      </c>
      <c r="S1613" s="93" t="s">
        <v>111</v>
      </c>
      <c r="T1613" s="93" t="s">
        <v>116</v>
      </c>
      <c r="U1613" s="94">
        <v>44642.513194444444</v>
      </c>
      <c r="V1613" s="93" t="s">
        <v>8564</v>
      </c>
      <c r="W1613" s="93" t="s">
        <v>9</v>
      </c>
    </row>
    <row r="1614" spans="1:23" x14ac:dyDescent="0.15">
      <c r="A1614" s="93" t="s">
        <v>8986</v>
      </c>
      <c r="B1614" s="93" t="s">
        <v>8987</v>
      </c>
      <c r="C1614" s="93">
        <v>566.4</v>
      </c>
      <c r="D1614" s="93" t="s">
        <v>9</v>
      </c>
      <c r="E1614" s="93" t="s">
        <v>9</v>
      </c>
      <c r="F1614" s="93" t="s">
        <v>8564</v>
      </c>
      <c r="G1614" s="93" t="s">
        <v>8981</v>
      </c>
      <c r="H1614" s="93" t="s">
        <v>6</v>
      </c>
      <c r="I1614" s="93" t="s">
        <v>111</v>
      </c>
      <c r="J1614" s="93" t="s">
        <v>8564</v>
      </c>
      <c r="K1614" s="93">
        <v>90</v>
      </c>
      <c r="L1614" s="93">
        <v>1.1399999999999999</v>
      </c>
      <c r="M1614" s="93" t="s">
        <v>113</v>
      </c>
      <c r="N1614" s="93">
        <v>3.5</v>
      </c>
      <c r="O1614" s="93">
        <v>19</v>
      </c>
      <c r="P1614" s="93">
        <v>19</v>
      </c>
      <c r="Q1614" s="93" t="s">
        <v>123</v>
      </c>
      <c r="R1614" s="93" t="s">
        <v>20</v>
      </c>
      <c r="S1614" s="93" t="s">
        <v>124</v>
      </c>
      <c r="T1614" s="93" t="s">
        <v>116</v>
      </c>
      <c r="U1614" s="94">
        <v>44642.423611111109</v>
      </c>
      <c r="V1614" s="93" t="s">
        <v>8564</v>
      </c>
      <c r="W1614" s="93" t="s">
        <v>9</v>
      </c>
    </row>
    <row r="1615" spans="1:23" x14ac:dyDescent="0.15">
      <c r="A1615" s="93" t="s">
        <v>8988</v>
      </c>
      <c r="B1615" s="93" t="s">
        <v>8989</v>
      </c>
      <c r="C1615" s="93">
        <v>1314</v>
      </c>
      <c r="D1615" s="93" t="s">
        <v>9</v>
      </c>
      <c r="E1615" s="93" t="s">
        <v>9</v>
      </c>
      <c r="F1615" s="93" t="s">
        <v>8564</v>
      </c>
      <c r="G1615" s="93" t="s">
        <v>8990</v>
      </c>
      <c r="H1615" s="93" t="s">
        <v>6</v>
      </c>
      <c r="I1615" s="93" t="s">
        <v>111</v>
      </c>
      <c r="J1615" s="93" t="s">
        <v>8564</v>
      </c>
      <c r="K1615" s="93">
        <v>90</v>
      </c>
      <c r="L1615" s="93">
        <v>1.85</v>
      </c>
      <c r="M1615" s="93" t="s">
        <v>113</v>
      </c>
      <c r="N1615" s="93">
        <v>8.6999999999999993</v>
      </c>
      <c r="O1615" s="93">
        <v>29.9</v>
      </c>
      <c r="P1615" s="93">
        <v>35.5</v>
      </c>
      <c r="Q1615" s="93" t="s">
        <v>123</v>
      </c>
      <c r="R1615" s="93" t="s">
        <v>20</v>
      </c>
      <c r="S1615" s="93" t="s">
        <v>124</v>
      </c>
      <c r="T1615" s="93" t="s">
        <v>116</v>
      </c>
      <c r="U1615" s="94">
        <v>44642.535416666666</v>
      </c>
      <c r="V1615" s="93" t="s">
        <v>8564</v>
      </c>
      <c r="W1615" s="93" t="s">
        <v>9</v>
      </c>
    </row>
    <row r="1616" spans="1:23" x14ac:dyDescent="0.15">
      <c r="A1616" s="93" t="s">
        <v>8991</v>
      </c>
      <c r="B1616" s="93" t="s">
        <v>8992</v>
      </c>
      <c r="C1616" s="93">
        <v>1314</v>
      </c>
      <c r="D1616" s="93" t="s">
        <v>9</v>
      </c>
      <c r="E1616" s="93" t="s">
        <v>9</v>
      </c>
      <c r="F1616" s="93" t="s">
        <v>8564</v>
      </c>
      <c r="G1616" s="93" t="s">
        <v>8990</v>
      </c>
      <c r="H1616" s="93" t="s">
        <v>6</v>
      </c>
      <c r="I1616" s="93" t="s">
        <v>111</v>
      </c>
      <c r="J1616" s="93" t="s">
        <v>8564</v>
      </c>
      <c r="K1616" s="93">
        <v>90</v>
      </c>
      <c r="L1616" s="93">
        <v>1.85</v>
      </c>
      <c r="M1616" s="93" t="s">
        <v>113</v>
      </c>
      <c r="N1616" s="93">
        <v>8.6999999999999993</v>
      </c>
      <c r="O1616" s="93">
        <v>29.9</v>
      </c>
      <c r="P1616" s="93">
        <v>35</v>
      </c>
      <c r="Q1616" s="93" t="s">
        <v>123</v>
      </c>
      <c r="R1616" s="93" t="s">
        <v>20</v>
      </c>
      <c r="S1616" s="93" t="s">
        <v>124</v>
      </c>
      <c r="T1616" s="93" t="s">
        <v>116</v>
      </c>
      <c r="U1616" s="94">
        <v>44642.535416666666</v>
      </c>
      <c r="V1616" s="93" t="s">
        <v>8564</v>
      </c>
      <c r="W1616" s="93" t="s">
        <v>9</v>
      </c>
    </row>
    <row r="1617" spans="1:23" x14ac:dyDescent="0.15">
      <c r="A1617" s="93" t="s">
        <v>8993</v>
      </c>
      <c r="B1617" s="93" t="s">
        <v>8994</v>
      </c>
      <c r="C1617" s="93">
        <v>1314</v>
      </c>
      <c r="D1617" s="93" t="s">
        <v>9</v>
      </c>
      <c r="E1617" s="93" t="s">
        <v>9</v>
      </c>
      <c r="F1617" s="93" t="s">
        <v>8564</v>
      </c>
      <c r="G1617" s="93" t="s">
        <v>8990</v>
      </c>
      <c r="H1617" s="93" t="s">
        <v>6</v>
      </c>
      <c r="I1617" s="93" t="s">
        <v>111</v>
      </c>
      <c r="J1617" s="93" t="s">
        <v>8564</v>
      </c>
      <c r="K1617" s="93">
        <v>90</v>
      </c>
      <c r="L1617" s="93">
        <v>1.85</v>
      </c>
      <c r="M1617" s="93" t="s">
        <v>113</v>
      </c>
      <c r="N1617" s="93">
        <v>8.6999999999999993</v>
      </c>
      <c r="O1617" s="93">
        <v>29.9</v>
      </c>
      <c r="P1617" s="93">
        <v>35</v>
      </c>
      <c r="Q1617" s="93" t="s">
        <v>123</v>
      </c>
      <c r="R1617" s="93" t="s">
        <v>20</v>
      </c>
      <c r="S1617" s="93" t="s">
        <v>124</v>
      </c>
      <c r="T1617" s="93" t="s">
        <v>116</v>
      </c>
      <c r="U1617" s="94">
        <v>44642.468055555553</v>
      </c>
      <c r="V1617" s="93" t="s">
        <v>8564</v>
      </c>
      <c r="W1617" s="93" t="s">
        <v>9</v>
      </c>
    </row>
    <row r="1618" spans="1:23" x14ac:dyDescent="0.15">
      <c r="A1618" s="93" t="s">
        <v>8995</v>
      </c>
      <c r="B1618" s="93" t="s">
        <v>8996</v>
      </c>
      <c r="C1618" s="93">
        <v>1392.84</v>
      </c>
      <c r="D1618" s="93" t="s">
        <v>9</v>
      </c>
      <c r="E1618" s="93" t="s">
        <v>9</v>
      </c>
      <c r="F1618" s="93" t="s">
        <v>8564</v>
      </c>
      <c r="G1618" s="93" t="s">
        <v>8990</v>
      </c>
      <c r="H1618" s="93" t="s">
        <v>6</v>
      </c>
      <c r="I1618" s="93" t="s">
        <v>111</v>
      </c>
      <c r="J1618" s="93" t="s">
        <v>8564</v>
      </c>
      <c r="K1618" s="93">
        <v>90</v>
      </c>
      <c r="L1618" s="93">
        <v>1.85</v>
      </c>
      <c r="M1618" s="93" t="s">
        <v>113</v>
      </c>
      <c r="N1618" s="93">
        <v>8.6999999999999993</v>
      </c>
      <c r="O1618" s="93">
        <v>29.9</v>
      </c>
      <c r="P1618" s="93">
        <v>35</v>
      </c>
      <c r="Q1618" s="93" t="s">
        <v>123</v>
      </c>
      <c r="R1618" s="93" t="s">
        <v>20</v>
      </c>
      <c r="S1618" s="93" t="s">
        <v>124</v>
      </c>
      <c r="T1618" s="93" t="s">
        <v>116</v>
      </c>
      <c r="U1618" s="94">
        <v>44642.446527777778</v>
      </c>
      <c r="V1618" s="93" t="s">
        <v>8564</v>
      </c>
      <c r="W1618" s="93" t="s">
        <v>9</v>
      </c>
    </row>
  </sheetData>
  <autoFilter ref="A1:W1618" xr:uid="{AF4BDEFC-657A-5F48-BA43-F55B9462227B}"/>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AC9E-BB5B-C94C-95D0-B72D8D755953}">
  <sheetPr filterMode="1">
    <tabColor theme="9" tint="0.79998168889431442"/>
  </sheetPr>
  <dimension ref="A1:X4214"/>
  <sheetViews>
    <sheetView workbookViewId="0">
      <pane xSplit="5" ySplit="2" topLeftCell="F64" activePane="bottomRight" state="frozen"/>
      <selection pane="topRight" activeCell="F1" sqref="F1"/>
      <selection pane="bottomLeft" activeCell="A3" sqref="A3"/>
      <selection pane="bottomRight" activeCell="G64" sqref="A1:X4214"/>
    </sheetView>
  </sheetViews>
  <sheetFormatPr baseColWidth="10" defaultColWidth="5.83203125" defaultRowHeight="11" x14ac:dyDescent="0.15"/>
  <cols>
    <col min="1" max="1" width="20.1640625" style="93" bestFit="1" customWidth="1"/>
    <col min="2" max="2" width="41.6640625" style="93" customWidth="1"/>
    <col min="3" max="3" width="7.33203125" style="410" bestFit="1" customWidth="1"/>
    <col min="4" max="4" width="5.83203125" style="93" bestFit="1" customWidth="1"/>
    <col min="5" max="5" width="5.1640625" style="93" bestFit="1" customWidth="1"/>
    <col min="6" max="6" width="13.33203125" style="93" bestFit="1" customWidth="1"/>
    <col min="7" max="7" width="34.33203125" style="93" bestFit="1" customWidth="1"/>
    <col min="8" max="8" width="14.1640625" style="93" bestFit="1" customWidth="1"/>
    <col min="9" max="9" width="5.5" style="93" bestFit="1" customWidth="1"/>
    <col min="10" max="10" width="15.1640625" style="93" customWidth="1"/>
    <col min="11" max="11" width="6.6640625" style="93" customWidth="1"/>
    <col min="12" max="12" width="7" style="93" customWidth="1"/>
    <col min="13" max="13" width="7.33203125" style="93" bestFit="1" customWidth="1"/>
    <col min="14" max="15" width="4.6640625" style="93" bestFit="1" customWidth="1"/>
    <col min="16" max="16" width="6" style="93" bestFit="1" customWidth="1"/>
    <col min="17" max="17" width="4.6640625" style="93" bestFit="1" customWidth="1"/>
    <col min="18" max="18" width="8" style="93" bestFit="1" customWidth="1"/>
    <col min="19" max="19" width="9.1640625" style="93" bestFit="1" customWidth="1"/>
    <col min="20" max="20" width="7.33203125" style="93" bestFit="1" customWidth="1"/>
    <col min="21" max="21" width="10.1640625" style="93" bestFit="1" customWidth="1"/>
    <col min="22" max="22" width="9.5" style="93" bestFit="1" customWidth="1"/>
    <col min="23" max="23" width="74.6640625" style="93" bestFit="1" customWidth="1"/>
    <col min="24" max="24" width="3" style="93" bestFit="1" customWidth="1"/>
    <col min="25" max="16384" width="5.83203125" style="93"/>
  </cols>
  <sheetData>
    <row r="1" spans="1:24" x14ac:dyDescent="0.15">
      <c r="A1" s="409" t="s">
        <v>9021</v>
      </c>
    </row>
    <row r="2" spans="1:24" s="413" customFormat="1" ht="60" x14ac:dyDescent="0.2">
      <c r="A2" s="411" t="s">
        <v>8</v>
      </c>
      <c r="B2" s="411" t="s">
        <v>5</v>
      </c>
      <c r="C2" s="412" t="s">
        <v>93</v>
      </c>
      <c r="D2" s="411" t="s">
        <v>7066</v>
      </c>
      <c r="E2" s="411" t="s">
        <v>7067</v>
      </c>
      <c r="F2" s="411" t="s">
        <v>94</v>
      </c>
      <c r="G2" s="411" t="s">
        <v>69</v>
      </c>
      <c r="H2" s="411" t="s">
        <v>95</v>
      </c>
      <c r="I2" s="411" t="s">
        <v>96</v>
      </c>
      <c r="J2" s="411" t="s">
        <v>97</v>
      </c>
      <c r="K2" s="411" t="s">
        <v>98</v>
      </c>
      <c r="L2" s="411" t="s">
        <v>9022</v>
      </c>
      <c r="M2" s="411" t="s">
        <v>99</v>
      </c>
      <c r="N2" s="411" t="s">
        <v>100</v>
      </c>
      <c r="O2" s="411" t="s">
        <v>101</v>
      </c>
      <c r="P2" s="411" t="s">
        <v>102</v>
      </c>
      <c r="Q2" s="411" t="s">
        <v>103</v>
      </c>
      <c r="R2" s="411" t="s">
        <v>104</v>
      </c>
      <c r="S2" s="411" t="s">
        <v>105</v>
      </c>
      <c r="T2" s="411" t="s">
        <v>106</v>
      </c>
      <c r="U2" s="411" t="s">
        <v>107</v>
      </c>
      <c r="V2" s="411" t="s">
        <v>108</v>
      </c>
      <c r="W2" s="411" t="s">
        <v>109</v>
      </c>
      <c r="X2" s="411" t="s">
        <v>110</v>
      </c>
    </row>
    <row r="3" spans="1:24" hidden="1" x14ac:dyDescent="0.15">
      <c r="A3" s="93" t="s">
        <v>1163</v>
      </c>
      <c r="B3" s="93" t="s">
        <v>1164</v>
      </c>
      <c r="C3" s="410">
        <v>3700</v>
      </c>
      <c r="D3" s="93" t="s">
        <v>24</v>
      </c>
      <c r="E3" s="93" t="s">
        <v>24</v>
      </c>
      <c r="F3" s="93" t="s">
        <v>1165</v>
      </c>
      <c r="G3" s="93" t="s">
        <v>8237</v>
      </c>
      <c r="H3" s="93" t="s">
        <v>11</v>
      </c>
      <c r="I3" s="93" t="s">
        <v>111</v>
      </c>
      <c r="J3" s="93" t="s">
        <v>390</v>
      </c>
      <c r="K3" s="93">
        <v>80</v>
      </c>
      <c r="L3" s="93">
        <v>1</v>
      </c>
      <c r="M3" s="93">
        <v>21.818000000000001</v>
      </c>
      <c r="N3" s="93" t="s">
        <v>113</v>
      </c>
      <c r="O3" s="93">
        <v>55.88</v>
      </c>
      <c r="P3" s="93">
        <v>53.34</v>
      </c>
      <c r="Q3" s="93">
        <v>40.64</v>
      </c>
      <c r="R3" s="93" t="s">
        <v>1166</v>
      </c>
      <c r="S3" s="93" t="s">
        <v>2</v>
      </c>
      <c r="T3" s="93" t="s">
        <v>115</v>
      </c>
      <c r="U3" s="93" t="s">
        <v>116</v>
      </c>
      <c r="V3" s="94">
        <v>44628.593055555553</v>
      </c>
      <c r="W3" s="93" t="s">
        <v>1167</v>
      </c>
      <c r="X3" s="93" t="s">
        <v>24</v>
      </c>
    </row>
    <row r="4" spans="1:24" hidden="1" x14ac:dyDescent="0.15">
      <c r="A4" s="93" t="s">
        <v>1168</v>
      </c>
      <c r="B4" s="93" t="s">
        <v>1169</v>
      </c>
      <c r="C4" s="410">
        <v>26</v>
      </c>
      <c r="D4" s="93" t="s">
        <v>24</v>
      </c>
      <c r="E4" s="93" t="s">
        <v>24</v>
      </c>
      <c r="F4" s="93" t="s">
        <v>7070</v>
      </c>
      <c r="G4" s="93" t="s">
        <v>8237</v>
      </c>
      <c r="H4" s="93" t="s">
        <v>11</v>
      </c>
      <c r="I4" s="93" t="s">
        <v>111</v>
      </c>
      <c r="J4" s="93" t="s">
        <v>390</v>
      </c>
      <c r="K4" s="93">
        <v>80</v>
      </c>
      <c r="L4" s="93">
        <v>1</v>
      </c>
      <c r="M4" s="93">
        <v>0.26</v>
      </c>
      <c r="N4" s="93" t="s">
        <v>113</v>
      </c>
      <c r="O4" s="93">
        <v>25.4</v>
      </c>
      <c r="P4" s="93">
        <v>5.08</v>
      </c>
      <c r="Q4" s="93">
        <v>15.3</v>
      </c>
      <c r="R4" s="93" t="s">
        <v>391</v>
      </c>
      <c r="S4" s="93" t="s">
        <v>16</v>
      </c>
      <c r="T4" s="93" t="s">
        <v>115</v>
      </c>
      <c r="U4" s="93" t="s">
        <v>116</v>
      </c>
      <c r="V4" s="94">
        <v>44628.570833333331</v>
      </c>
      <c r="W4" s="93" t="s">
        <v>1170</v>
      </c>
      <c r="X4" s="93" t="s">
        <v>24</v>
      </c>
    </row>
    <row r="5" spans="1:24" hidden="1" x14ac:dyDescent="0.15">
      <c r="A5" s="93" t="s">
        <v>1171</v>
      </c>
      <c r="B5" s="93" t="s">
        <v>1172</v>
      </c>
      <c r="C5" s="410">
        <v>24.99</v>
      </c>
      <c r="D5" s="93" t="s">
        <v>24</v>
      </c>
      <c r="E5" s="93" t="s">
        <v>24</v>
      </c>
      <c r="F5" s="93" t="s">
        <v>1165</v>
      </c>
      <c r="G5" s="93" t="s">
        <v>8237</v>
      </c>
      <c r="H5" s="93" t="s">
        <v>11</v>
      </c>
      <c r="I5" s="93" t="s">
        <v>111</v>
      </c>
      <c r="J5" s="93" t="s">
        <v>390</v>
      </c>
      <c r="K5" s="93">
        <v>80</v>
      </c>
      <c r="L5" s="93">
        <v>1</v>
      </c>
      <c r="M5" s="93">
        <v>0.01</v>
      </c>
      <c r="N5" s="93" t="s">
        <v>113</v>
      </c>
      <c r="O5" s="93">
        <v>5</v>
      </c>
      <c r="P5" s="93">
        <v>5</v>
      </c>
      <c r="Q5" s="93">
        <v>5</v>
      </c>
      <c r="R5" s="93" t="s">
        <v>1173</v>
      </c>
      <c r="S5" s="93" t="s">
        <v>1174</v>
      </c>
      <c r="T5" s="93" t="s">
        <v>115</v>
      </c>
      <c r="U5" s="93" t="s">
        <v>116</v>
      </c>
      <c r="V5" s="94">
        <v>44628.615277777775</v>
      </c>
      <c r="W5" s="93" t="s">
        <v>1170</v>
      </c>
      <c r="X5" s="93" t="s">
        <v>24</v>
      </c>
    </row>
    <row r="6" spans="1:24" hidden="1" x14ac:dyDescent="0.15">
      <c r="A6" s="93" t="s">
        <v>1175</v>
      </c>
      <c r="B6" s="93" t="s">
        <v>1176</v>
      </c>
      <c r="C6" s="410">
        <v>21</v>
      </c>
      <c r="D6" s="93" t="s">
        <v>24</v>
      </c>
      <c r="E6" s="93" t="s">
        <v>24</v>
      </c>
      <c r="F6" s="93" t="s">
        <v>1165</v>
      </c>
      <c r="G6" s="93" t="s">
        <v>8237</v>
      </c>
      <c r="H6" s="93" t="s">
        <v>11</v>
      </c>
      <c r="I6" s="93" t="s">
        <v>111</v>
      </c>
      <c r="J6" s="93" t="s">
        <v>390</v>
      </c>
      <c r="K6" s="93">
        <v>80</v>
      </c>
      <c r="L6" s="93">
        <v>1</v>
      </c>
      <c r="M6" s="93">
        <v>0.3</v>
      </c>
      <c r="N6" s="93" t="s">
        <v>113</v>
      </c>
      <c r="O6" s="93">
        <v>3</v>
      </c>
      <c r="P6" s="93">
        <v>45.72</v>
      </c>
      <c r="Q6" s="93">
        <v>13</v>
      </c>
      <c r="R6" s="93" t="s">
        <v>1177</v>
      </c>
      <c r="S6" s="93" t="s">
        <v>1174</v>
      </c>
      <c r="T6" s="93" t="s">
        <v>115</v>
      </c>
      <c r="U6" s="93" t="s">
        <v>116</v>
      </c>
      <c r="V6" s="94">
        <v>44628.549305555556</v>
      </c>
      <c r="W6" s="93" t="s">
        <v>1170</v>
      </c>
      <c r="X6" s="93" t="s">
        <v>24</v>
      </c>
    </row>
    <row r="7" spans="1:24" hidden="1" x14ac:dyDescent="0.15">
      <c r="A7" s="93" t="s">
        <v>1178</v>
      </c>
      <c r="B7" s="93" t="s">
        <v>1179</v>
      </c>
      <c r="C7" s="410">
        <v>47.25</v>
      </c>
      <c r="D7" s="93" t="s">
        <v>24</v>
      </c>
      <c r="E7" s="93" t="s">
        <v>24</v>
      </c>
      <c r="F7" s="93" t="s">
        <v>1165</v>
      </c>
      <c r="G7" s="93" t="s">
        <v>8237</v>
      </c>
      <c r="H7" s="93" t="s">
        <v>11</v>
      </c>
      <c r="I7" s="93" t="s">
        <v>111</v>
      </c>
      <c r="J7" s="93" t="s">
        <v>390</v>
      </c>
      <c r="K7" s="93">
        <v>80</v>
      </c>
      <c r="L7" s="93" t="s">
        <v>111</v>
      </c>
      <c r="M7" s="93">
        <v>0.71667585</v>
      </c>
      <c r="N7" s="93" t="s">
        <v>113</v>
      </c>
      <c r="O7" s="93">
        <v>41.5</v>
      </c>
      <c r="P7" s="93">
        <v>86.5</v>
      </c>
      <c r="Q7" s="93">
        <v>180</v>
      </c>
      <c r="R7" s="93" t="s">
        <v>391</v>
      </c>
      <c r="S7" s="93" t="s">
        <v>2</v>
      </c>
      <c r="T7" s="93" t="s">
        <v>115</v>
      </c>
      <c r="U7" s="93" t="s">
        <v>116</v>
      </c>
      <c r="V7" s="94">
        <v>44628.505555555559</v>
      </c>
      <c r="W7" s="93" t="s">
        <v>1167</v>
      </c>
      <c r="X7" s="93" t="s">
        <v>24</v>
      </c>
    </row>
    <row r="8" spans="1:24" hidden="1" x14ac:dyDescent="0.15">
      <c r="A8" s="93" t="s">
        <v>1180</v>
      </c>
      <c r="B8" s="93" t="s">
        <v>1181</v>
      </c>
      <c r="C8" s="410">
        <v>44.1</v>
      </c>
      <c r="D8" s="93" t="s">
        <v>24</v>
      </c>
      <c r="E8" s="93" t="s">
        <v>24</v>
      </c>
      <c r="F8" s="93" t="s">
        <v>1165</v>
      </c>
      <c r="G8" s="93" t="s">
        <v>8237</v>
      </c>
      <c r="H8" s="93" t="s">
        <v>11</v>
      </c>
      <c r="I8" s="93" t="s">
        <v>111</v>
      </c>
      <c r="J8" s="93" t="s">
        <v>390</v>
      </c>
      <c r="K8" s="93">
        <v>80</v>
      </c>
      <c r="L8" s="93" t="s">
        <v>111</v>
      </c>
      <c r="M8" s="93">
        <v>0.71667585</v>
      </c>
      <c r="N8" s="93" t="s">
        <v>113</v>
      </c>
      <c r="O8" s="93">
        <v>213.5</v>
      </c>
      <c r="P8" s="93">
        <v>65.599999999999994</v>
      </c>
      <c r="Q8" s="93">
        <v>204</v>
      </c>
      <c r="R8" s="93" t="s">
        <v>391</v>
      </c>
      <c r="S8" s="93" t="s">
        <v>2</v>
      </c>
      <c r="T8" s="93" t="s">
        <v>115</v>
      </c>
      <c r="U8" s="93" t="s">
        <v>116</v>
      </c>
      <c r="V8" s="94">
        <v>44628.65</v>
      </c>
      <c r="W8" s="93" t="s">
        <v>1167</v>
      </c>
      <c r="X8" s="93" t="s">
        <v>24</v>
      </c>
    </row>
    <row r="9" spans="1:24" hidden="1" x14ac:dyDescent="0.15">
      <c r="A9" s="93" t="s">
        <v>1182</v>
      </c>
      <c r="B9" s="93" t="s">
        <v>1183</v>
      </c>
      <c r="C9" s="410">
        <v>54.6</v>
      </c>
      <c r="D9" s="93" t="s">
        <v>24</v>
      </c>
      <c r="E9" s="93" t="s">
        <v>24</v>
      </c>
      <c r="F9" s="93" t="s">
        <v>1165</v>
      </c>
      <c r="G9" s="93" t="s">
        <v>8237</v>
      </c>
      <c r="H9" s="93" t="s">
        <v>11</v>
      </c>
      <c r="I9" s="93" t="s">
        <v>111</v>
      </c>
      <c r="J9" s="93" t="s">
        <v>390</v>
      </c>
      <c r="K9" s="93">
        <v>80</v>
      </c>
      <c r="L9" s="93" t="s">
        <v>111</v>
      </c>
      <c r="M9" s="93">
        <v>0.39961482999999998</v>
      </c>
      <c r="N9" s="93" t="s">
        <v>113</v>
      </c>
      <c r="O9" s="93">
        <v>4.0999999999999996</v>
      </c>
      <c r="P9" s="93">
        <v>5.4</v>
      </c>
      <c r="Q9" s="93">
        <v>30.5</v>
      </c>
      <c r="R9" s="93" t="s">
        <v>1177</v>
      </c>
      <c r="S9" s="93" t="s">
        <v>2</v>
      </c>
      <c r="T9" s="93" t="s">
        <v>115</v>
      </c>
      <c r="U9" s="93" t="s">
        <v>116</v>
      </c>
      <c r="V9" s="94">
        <v>44628.527083333334</v>
      </c>
      <c r="W9" s="93" t="s">
        <v>1167</v>
      </c>
      <c r="X9" s="93" t="s">
        <v>24</v>
      </c>
    </row>
    <row r="10" spans="1:24" hidden="1" x14ac:dyDescent="0.15">
      <c r="A10" s="93" t="s">
        <v>1184</v>
      </c>
      <c r="B10" s="93" t="s">
        <v>1185</v>
      </c>
      <c r="C10" s="410">
        <v>50.4</v>
      </c>
      <c r="D10" s="93" t="s">
        <v>24</v>
      </c>
      <c r="E10" s="93" t="s">
        <v>24</v>
      </c>
      <c r="F10" s="93" t="s">
        <v>1165</v>
      </c>
      <c r="G10" s="93" t="s">
        <v>8237</v>
      </c>
      <c r="H10" s="93" t="s">
        <v>11</v>
      </c>
      <c r="I10" s="93" t="s">
        <v>111</v>
      </c>
      <c r="J10" s="93" t="s">
        <v>390</v>
      </c>
      <c r="K10" s="93">
        <v>80</v>
      </c>
      <c r="L10" s="93" t="s">
        <v>111</v>
      </c>
      <c r="M10" s="93">
        <v>0.29982451999999998</v>
      </c>
      <c r="N10" s="93" t="s">
        <v>113</v>
      </c>
      <c r="O10" s="93">
        <v>5</v>
      </c>
      <c r="P10" s="93">
        <v>25</v>
      </c>
      <c r="Q10" s="93">
        <v>25</v>
      </c>
      <c r="R10" s="93" t="s">
        <v>1177</v>
      </c>
      <c r="S10" s="93" t="s">
        <v>2</v>
      </c>
      <c r="T10" s="93" t="s">
        <v>115</v>
      </c>
      <c r="U10" s="93" t="s">
        <v>116</v>
      </c>
      <c r="V10" s="94">
        <v>44628.484722222223</v>
      </c>
      <c r="W10" s="93" t="s">
        <v>1167</v>
      </c>
      <c r="X10" s="93" t="s">
        <v>24</v>
      </c>
    </row>
    <row r="11" spans="1:24" hidden="1" x14ac:dyDescent="0.15">
      <c r="A11" s="93" t="s">
        <v>1186</v>
      </c>
      <c r="B11" s="93" t="s">
        <v>1187</v>
      </c>
      <c r="C11" s="410">
        <v>656.25</v>
      </c>
      <c r="D11" s="93" t="s">
        <v>24</v>
      </c>
      <c r="E11" s="93" t="s">
        <v>24</v>
      </c>
      <c r="F11" s="93" t="s">
        <v>1165</v>
      </c>
      <c r="G11" s="93" t="s">
        <v>8237</v>
      </c>
      <c r="H11" s="93" t="s">
        <v>11</v>
      </c>
      <c r="I11" s="93" t="s">
        <v>111</v>
      </c>
      <c r="J11" s="93" t="s">
        <v>390</v>
      </c>
      <c r="K11" s="93">
        <v>80</v>
      </c>
      <c r="L11" s="93" t="s">
        <v>111</v>
      </c>
      <c r="M11" s="93">
        <v>1.8</v>
      </c>
      <c r="N11" s="93" t="s">
        <v>113</v>
      </c>
      <c r="O11" s="93">
        <v>5.6</v>
      </c>
      <c r="P11" s="93">
        <v>23.4</v>
      </c>
      <c r="Q11" s="93">
        <v>23.4</v>
      </c>
      <c r="R11" s="93" t="s">
        <v>1188</v>
      </c>
      <c r="S11" s="93" t="s">
        <v>18</v>
      </c>
      <c r="T11" s="93" t="s">
        <v>115</v>
      </c>
      <c r="U11" s="93" t="s">
        <v>116</v>
      </c>
      <c r="V11" s="94">
        <v>44628.505555555559</v>
      </c>
      <c r="W11" s="93" t="s">
        <v>1167</v>
      </c>
      <c r="X11" s="93" t="s">
        <v>24</v>
      </c>
    </row>
    <row r="12" spans="1:24" hidden="1" x14ac:dyDescent="0.15">
      <c r="A12" s="93" t="s">
        <v>1189</v>
      </c>
      <c r="B12" s="93" t="s">
        <v>1190</v>
      </c>
      <c r="C12" s="410">
        <v>456.75</v>
      </c>
      <c r="D12" s="93" t="s">
        <v>24</v>
      </c>
      <c r="E12" s="93" t="s">
        <v>24</v>
      </c>
      <c r="F12" s="93" t="s">
        <v>1165</v>
      </c>
      <c r="G12" s="93" t="s">
        <v>8237</v>
      </c>
      <c r="H12" s="93" t="s">
        <v>11</v>
      </c>
      <c r="I12" s="93" t="s">
        <v>111</v>
      </c>
      <c r="J12" s="93" t="s">
        <v>390</v>
      </c>
      <c r="K12" s="93">
        <v>80</v>
      </c>
      <c r="L12" s="93" t="s">
        <v>111</v>
      </c>
      <c r="M12" s="93">
        <v>1</v>
      </c>
      <c r="N12" s="93" t="s">
        <v>113</v>
      </c>
      <c r="O12" s="93">
        <v>10.5</v>
      </c>
      <c r="P12" s="93">
        <v>13.4</v>
      </c>
      <c r="Q12" s="93">
        <v>23.2</v>
      </c>
      <c r="R12" s="93" t="s">
        <v>1188</v>
      </c>
      <c r="S12" s="93" t="s">
        <v>18</v>
      </c>
      <c r="T12" s="93" t="s">
        <v>115</v>
      </c>
      <c r="U12" s="93" t="s">
        <v>116</v>
      </c>
      <c r="V12" s="94">
        <v>44628.570138888892</v>
      </c>
      <c r="W12" s="93" t="s">
        <v>1167</v>
      </c>
      <c r="X12" s="93" t="s">
        <v>24</v>
      </c>
    </row>
    <row r="13" spans="1:24" hidden="1" x14ac:dyDescent="0.15">
      <c r="A13" s="93" t="s">
        <v>1191</v>
      </c>
      <c r="B13" s="93" t="s">
        <v>1192</v>
      </c>
      <c r="C13" s="410">
        <v>430.5</v>
      </c>
      <c r="D13" s="93" t="s">
        <v>24</v>
      </c>
      <c r="E13" s="93" t="s">
        <v>24</v>
      </c>
      <c r="F13" s="93" t="s">
        <v>1165</v>
      </c>
      <c r="G13" s="93" t="s">
        <v>8237</v>
      </c>
      <c r="H13" s="93" t="s">
        <v>11</v>
      </c>
      <c r="I13" s="93" t="s">
        <v>111</v>
      </c>
      <c r="J13" s="93" t="s">
        <v>390</v>
      </c>
      <c r="K13" s="93">
        <v>80</v>
      </c>
      <c r="L13" s="93" t="s">
        <v>111</v>
      </c>
      <c r="M13" s="93">
        <v>1.7</v>
      </c>
      <c r="N13" s="93" t="s">
        <v>113</v>
      </c>
      <c r="O13" s="93">
        <v>1</v>
      </c>
      <c r="P13" s="93">
        <v>12.7</v>
      </c>
      <c r="Q13" s="93">
        <v>17.8</v>
      </c>
      <c r="R13" s="93" t="s">
        <v>1188</v>
      </c>
      <c r="S13" s="93" t="s">
        <v>18</v>
      </c>
      <c r="T13" s="93" t="s">
        <v>115</v>
      </c>
      <c r="U13" s="93" t="s">
        <v>116</v>
      </c>
      <c r="V13" s="94">
        <v>44628.527083333334</v>
      </c>
      <c r="W13" s="93" t="s">
        <v>1167</v>
      </c>
      <c r="X13" s="93" t="s">
        <v>24</v>
      </c>
    </row>
    <row r="14" spans="1:24" hidden="1" x14ac:dyDescent="0.15">
      <c r="A14" s="93" t="s">
        <v>1193</v>
      </c>
      <c r="B14" s="93" t="s">
        <v>1194</v>
      </c>
      <c r="C14" s="410">
        <v>11.68</v>
      </c>
      <c r="D14" s="93" t="s">
        <v>24</v>
      </c>
      <c r="E14" s="93" t="s">
        <v>24</v>
      </c>
      <c r="F14" s="93" t="s">
        <v>1165</v>
      </c>
      <c r="G14" s="93" t="s">
        <v>8237</v>
      </c>
      <c r="H14" s="93" t="s">
        <v>11</v>
      </c>
      <c r="I14" s="93" t="s">
        <v>111</v>
      </c>
      <c r="J14" s="93" t="s">
        <v>390</v>
      </c>
      <c r="K14" s="93">
        <v>80</v>
      </c>
      <c r="L14" s="93">
        <v>1</v>
      </c>
      <c r="M14" s="93">
        <v>0.1</v>
      </c>
      <c r="N14" s="93" t="s">
        <v>113</v>
      </c>
      <c r="O14" s="93">
        <v>5</v>
      </c>
      <c r="P14" s="93">
        <v>5</v>
      </c>
      <c r="Q14" s="93">
        <v>5</v>
      </c>
      <c r="R14" s="93" t="s">
        <v>1173</v>
      </c>
      <c r="S14" s="93" t="s">
        <v>1174</v>
      </c>
      <c r="T14" s="93" t="s">
        <v>115</v>
      </c>
      <c r="U14" s="93" t="s">
        <v>116</v>
      </c>
      <c r="V14" s="94">
        <v>44628.592361111114</v>
      </c>
      <c r="W14" s="93" t="s">
        <v>1170</v>
      </c>
      <c r="X14" s="93" t="s">
        <v>24</v>
      </c>
    </row>
    <row r="15" spans="1:24" hidden="1" x14ac:dyDescent="0.15">
      <c r="A15" s="93" t="s">
        <v>1195</v>
      </c>
      <c r="B15" s="93" t="s">
        <v>1196</v>
      </c>
      <c r="C15" s="410">
        <v>939.75</v>
      </c>
      <c r="D15" s="93" t="s">
        <v>9</v>
      </c>
      <c r="E15" s="93" t="s">
        <v>24</v>
      </c>
      <c r="F15" s="93" t="s">
        <v>7070</v>
      </c>
      <c r="G15" s="93" t="s">
        <v>9023</v>
      </c>
      <c r="H15" s="93" t="s">
        <v>1198</v>
      </c>
      <c r="I15" s="93" t="s">
        <v>111</v>
      </c>
      <c r="J15" s="93" t="s">
        <v>1197</v>
      </c>
      <c r="K15" s="93">
        <v>60</v>
      </c>
      <c r="L15" s="93">
        <v>1</v>
      </c>
      <c r="M15" s="93">
        <v>14</v>
      </c>
      <c r="N15" s="93" t="s">
        <v>113</v>
      </c>
      <c r="O15" s="93">
        <v>25.3</v>
      </c>
      <c r="P15" s="93">
        <v>36.5</v>
      </c>
      <c r="Q15" s="93">
        <v>118.4</v>
      </c>
      <c r="R15" s="93" t="s">
        <v>1199</v>
      </c>
      <c r="S15" s="93" t="s">
        <v>20</v>
      </c>
      <c r="T15" s="93" t="s">
        <v>115</v>
      </c>
      <c r="U15" s="93" t="s">
        <v>116</v>
      </c>
      <c r="V15" s="94">
        <v>44628.488888888889</v>
      </c>
      <c r="W15" s="93" t="s">
        <v>1170</v>
      </c>
      <c r="X15" s="93" t="s">
        <v>24</v>
      </c>
    </row>
    <row r="16" spans="1:24" hidden="1" x14ac:dyDescent="0.15">
      <c r="A16" s="93" t="s">
        <v>1200</v>
      </c>
      <c r="B16" s="93" t="s">
        <v>1201</v>
      </c>
      <c r="C16" s="410">
        <v>3673.95</v>
      </c>
      <c r="D16" s="93" t="s">
        <v>9</v>
      </c>
      <c r="E16" s="93" t="s">
        <v>9</v>
      </c>
      <c r="F16" s="93" t="s">
        <v>7070</v>
      </c>
      <c r="G16" s="93" t="s">
        <v>9024</v>
      </c>
      <c r="H16" s="93" t="s">
        <v>6</v>
      </c>
      <c r="I16" s="93" t="s">
        <v>1202</v>
      </c>
      <c r="J16" s="93" t="s">
        <v>1197</v>
      </c>
      <c r="K16" s="93">
        <v>60</v>
      </c>
      <c r="L16" s="93">
        <v>1</v>
      </c>
      <c r="M16" s="93">
        <v>6.6</v>
      </c>
      <c r="N16" s="93" t="s">
        <v>113</v>
      </c>
      <c r="O16" s="93">
        <v>19.5</v>
      </c>
      <c r="P16" s="93">
        <v>43</v>
      </c>
      <c r="Q16" s="93">
        <v>37</v>
      </c>
      <c r="R16" s="93" t="s">
        <v>398</v>
      </c>
      <c r="S16" s="93" t="s">
        <v>20</v>
      </c>
      <c r="T16" s="93" t="s">
        <v>397</v>
      </c>
      <c r="U16" s="93" t="s">
        <v>116</v>
      </c>
      <c r="V16" s="94">
        <v>44628.53402777778</v>
      </c>
      <c r="W16" s="93" t="s">
        <v>1170</v>
      </c>
      <c r="X16" s="93" t="s">
        <v>24</v>
      </c>
    </row>
    <row r="17" spans="1:24" hidden="1" x14ac:dyDescent="0.15">
      <c r="A17" s="93" t="s">
        <v>1203</v>
      </c>
      <c r="B17" s="93" t="s">
        <v>1204</v>
      </c>
      <c r="C17" s="410">
        <v>229.95</v>
      </c>
      <c r="D17" s="93" t="s">
        <v>9</v>
      </c>
      <c r="E17" s="93" t="s">
        <v>9</v>
      </c>
      <c r="F17" s="93" t="s">
        <v>7070</v>
      </c>
      <c r="G17" s="93" t="s">
        <v>9025</v>
      </c>
      <c r="H17" s="93" t="s">
        <v>1205</v>
      </c>
      <c r="I17" s="93" t="s">
        <v>1202</v>
      </c>
      <c r="J17" s="93" t="s">
        <v>1197</v>
      </c>
      <c r="K17" s="93">
        <v>60</v>
      </c>
      <c r="L17" s="93">
        <v>4</v>
      </c>
      <c r="M17" s="93">
        <v>2.02</v>
      </c>
      <c r="N17" s="93" t="s">
        <v>113</v>
      </c>
      <c r="O17" s="93">
        <v>9.23</v>
      </c>
      <c r="P17" s="93">
        <v>26</v>
      </c>
      <c r="Q17" s="93">
        <v>26</v>
      </c>
      <c r="R17" s="93" t="s">
        <v>398</v>
      </c>
      <c r="S17" s="93" t="s">
        <v>20</v>
      </c>
      <c r="T17" s="93" t="s">
        <v>397</v>
      </c>
      <c r="U17" s="93" t="s">
        <v>116</v>
      </c>
      <c r="V17" s="94">
        <v>44628.512499999997</v>
      </c>
      <c r="W17" s="93" t="s">
        <v>1170</v>
      </c>
      <c r="X17" s="93" t="s">
        <v>24</v>
      </c>
    </row>
    <row r="18" spans="1:24" hidden="1" x14ac:dyDescent="0.15">
      <c r="A18" s="93" t="s">
        <v>1206</v>
      </c>
      <c r="B18" s="93" t="s">
        <v>9026</v>
      </c>
      <c r="C18" s="410">
        <v>229.95</v>
      </c>
      <c r="D18" s="93" t="s">
        <v>9</v>
      </c>
      <c r="E18" s="93" t="s">
        <v>9</v>
      </c>
      <c r="F18" s="93" t="s">
        <v>7070</v>
      </c>
      <c r="G18" s="93" t="s">
        <v>9025</v>
      </c>
      <c r="H18" s="93" t="s">
        <v>1205</v>
      </c>
      <c r="I18" s="93" t="s">
        <v>1202</v>
      </c>
      <c r="J18" s="93" t="s">
        <v>1197</v>
      </c>
      <c r="K18" s="93">
        <v>60</v>
      </c>
      <c r="L18" s="93">
        <v>4</v>
      </c>
      <c r="M18" s="93">
        <v>2.2200000000000002</v>
      </c>
      <c r="N18" s="93" t="s">
        <v>113</v>
      </c>
      <c r="O18" s="93">
        <v>9.23</v>
      </c>
      <c r="P18" s="93">
        <v>26</v>
      </c>
      <c r="Q18" s="93">
        <v>26</v>
      </c>
      <c r="R18" s="93" t="s">
        <v>396</v>
      </c>
      <c r="S18" s="93" t="s">
        <v>20</v>
      </c>
      <c r="T18" s="93" t="s">
        <v>397</v>
      </c>
      <c r="U18" s="93" t="s">
        <v>116</v>
      </c>
      <c r="V18" s="94">
        <v>44628.57708333333</v>
      </c>
      <c r="W18" s="93" t="s">
        <v>1207</v>
      </c>
      <c r="X18" s="93" t="s">
        <v>24</v>
      </c>
    </row>
    <row r="19" spans="1:24" hidden="1" x14ac:dyDescent="0.15">
      <c r="A19" s="93" t="s">
        <v>9027</v>
      </c>
      <c r="B19" s="93" t="s">
        <v>9028</v>
      </c>
      <c r="C19" s="410">
        <v>334.95</v>
      </c>
      <c r="D19" s="93" t="s">
        <v>9</v>
      </c>
      <c r="E19" s="93" t="s">
        <v>9</v>
      </c>
      <c r="F19" s="93" t="s">
        <v>7070</v>
      </c>
      <c r="G19" s="93" t="s">
        <v>9025</v>
      </c>
      <c r="H19" s="93" t="s">
        <v>1205</v>
      </c>
      <c r="I19" s="93" t="s">
        <v>1202</v>
      </c>
      <c r="J19" s="93" t="s">
        <v>1197</v>
      </c>
      <c r="K19" s="93">
        <v>60</v>
      </c>
      <c r="L19" s="93">
        <v>4</v>
      </c>
      <c r="M19" s="93" t="s">
        <v>111</v>
      </c>
      <c r="N19" s="93" t="s">
        <v>111</v>
      </c>
      <c r="O19" s="93" t="s">
        <v>111</v>
      </c>
      <c r="P19" s="93" t="s">
        <v>111</v>
      </c>
      <c r="Q19" s="93" t="s">
        <v>111</v>
      </c>
      <c r="R19" s="93" t="s">
        <v>123</v>
      </c>
      <c r="S19" s="93" t="s">
        <v>20</v>
      </c>
      <c r="T19" s="93" t="s">
        <v>397</v>
      </c>
      <c r="U19" s="93" t="s">
        <v>116</v>
      </c>
      <c r="V19" s="94">
        <v>44628.554166666669</v>
      </c>
      <c r="W19" s="93" t="s">
        <v>1170</v>
      </c>
      <c r="X19" s="93" t="s">
        <v>9</v>
      </c>
    </row>
    <row r="20" spans="1:24" hidden="1" x14ac:dyDescent="0.15">
      <c r="A20" s="93" t="s">
        <v>9029</v>
      </c>
      <c r="B20" s="93" t="s">
        <v>9030</v>
      </c>
      <c r="C20" s="410">
        <v>334.95</v>
      </c>
      <c r="D20" s="93" t="s">
        <v>9</v>
      </c>
      <c r="E20" s="93" t="s">
        <v>9</v>
      </c>
      <c r="F20" s="93" t="s">
        <v>7070</v>
      </c>
      <c r="G20" s="93" t="s">
        <v>9025</v>
      </c>
      <c r="H20" s="93" t="s">
        <v>1205</v>
      </c>
      <c r="I20" s="93" t="s">
        <v>1202</v>
      </c>
      <c r="J20" s="93" t="s">
        <v>1197</v>
      </c>
      <c r="K20" s="93">
        <v>60</v>
      </c>
      <c r="L20" s="93">
        <v>4</v>
      </c>
      <c r="M20" s="93">
        <v>0.26</v>
      </c>
      <c r="N20" s="93" t="s">
        <v>1221</v>
      </c>
      <c r="O20" s="93" t="s">
        <v>111</v>
      </c>
      <c r="P20" s="93" t="s">
        <v>111</v>
      </c>
      <c r="Q20" s="93" t="s">
        <v>111</v>
      </c>
      <c r="R20" s="93" t="s">
        <v>123</v>
      </c>
      <c r="S20" s="93" t="s">
        <v>20</v>
      </c>
      <c r="T20" s="93" t="s">
        <v>397</v>
      </c>
      <c r="U20" s="93" t="s">
        <v>395</v>
      </c>
      <c r="V20" s="94">
        <v>44628.597916666666</v>
      </c>
      <c r="W20" s="93" t="s">
        <v>1170</v>
      </c>
      <c r="X20" s="93" t="s">
        <v>9</v>
      </c>
    </row>
    <row r="21" spans="1:24" hidden="1" x14ac:dyDescent="0.15">
      <c r="A21" s="93" t="s">
        <v>9031</v>
      </c>
      <c r="B21" s="93" t="s">
        <v>9032</v>
      </c>
      <c r="C21" s="410">
        <v>334.95</v>
      </c>
      <c r="D21" s="93" t="s">
        <v>9</v>
      </c>
      <c r="E21" s="93" t="s">
        <v>9</v>
      </c>
      <c r="F21" s="93" t="s">
        <v>7070</v>
      </c>
      <c r="G21" s="93" t="s">
        <v>9025</v>
      </c>
      <c r="H21" s="93" t="s">
        <v>1205</v>
      </c>
      <c r="I21" s="93" t="s">
        <v>1202</v>
      </c>
      <c r="J21" s="93" t="s">
        <v>1197</v>
      </c>
      <c r="K21" s="93">
        <v>60</v>
      </c>
      <c r="L21" s="93">
        <v>4</v>
      </c>
      <c r="M21" s="93">
        <v>0.35</v>
      </c>
      <c r="N21" s="93" t="s">
        <v>1221</v>
      </c>
      <c r="O21" s="93" t="s">
        <v>111</v>
      </c>
      <c r="P21" s="93" t="s">
        <v>111</v>
      </c>
      <c r="Q21" s="93" t="s">
        <v>111</v>
      </c>
      <c r="R21" s="93" t="s">
        <v>123</v>
      </c>
      <c r="S21" s="93" t="s">
        <v>20</v>
      </c>
      <c r="T21" s="93" t="s">
        <v>397</v>
      </c>
      <c r="U21" s="93" t="s">
        <v>395</v>
      </c>
      <c r="V21" s="94">
        <v>44628.488888888889</v>
      </c>
      <c r="W21" s="93" t="s">
        <v>1170</v>
      </c>
      <c r="X21" s="93" t="s">
        <v>9</v>
      </c>
    </row>
    <row r="22" spans="1:24" hidden="1" x14ac:dyDescent="0.15">
      <c r="A22" s="93" t="s">
        <v>9033</v>
      </c>
      <c r="B22" s="93" t="s">
        <v>9034</v>
      </c>
      <c r="C22" s="410">
        <v>334.95</v>
      </c>
      <c r="D22" s="93" t="s">
        <v>9</v>
      </c>
      <c r="E22" s="93" t="s">
        <v>9</v>
      </c>
      <c r="F22" s="93" t="s">
        <v>7070</v>
      </c>
      <c r="G22" s="93" t="s">
        <v>9025</v>
      </c>
      <c r="H22" s="93" t="s">
        <v>1205</v>
      </c>
      <c r="I22" s="93" t="s">
        <v>1202</v>
      </c>
      <c r="J22" s="93" t="s">
        <v>1197</v>
      </c>
      <c r="K22" s="93">
        <v>60</v>
      </c>
      <c r="L22" s="93">
        <v>4</v>
      </c>
      <c r="M22" s="93">
        <v>0.18</v>
      </c>
      <c r="N22" s="93" t="s">
        <v>1221</v>
      </c>
      <c r="O22" s="93" t="s">
        <v>111</v>
      </c>
      <c r="P22" s="93" t="s">
        <v>111</v>
      </c>
      <c r="Q22" s="93" t="s">
        <v>111</v>
      </c>
      <c r="R22" s="93" t="s">
        <v>123</v>
      </c>
      <c r="S22" s="93" t="s">
        <v>20</v>
      </c>
      <c r="T22" s="93" t="s">
        <v>397</v>
      </c>
      <c r="U22" s="93" t="s">
        <v>395</v>
      </c>
      <c r="V22" s="94">
        <v>44628.575694444444</v>
      </c>
      <c r="W22" s="93" t="s">
        <v>1170</v>
      </c>
      <c r="X22" s="93" t="s">
        <v>9</v>
      </c>
    </row>
    <row r="23" spans="1:24" hidden="1" x14ac:dyDescent="0.15">
      <c r="A23" s="93" t="s">
        <v>1208</v>
      </c>
      <c r="B23" s="93" t="s">
        <v>1209</v>
      </c>
      <c r="C23" s="410">
        <v>25.92</v>
      </c>
      <c r="D23" s="93" t="s">
        <v>24</v>
      </c>
      <c r="E23" s="93" t="s">
        <v>24</v>
      </c>
      <c r="F23" s="93" t="s">
        <v>7070</v>
      </c>
      <c r="G23" s="93" t="s">
        <v>7168</v>
      </c>
      <c r="H23" s="93" t="s">
        <v>11</v>
      </c>
      <c r="I23" s="93" t="s">
        <v>111</v>
      </c>
      <c r="J23" s="93" t="s">
        <v>387</v>
      </c>
      <c r="K23" s="93">
        <v>60</v>
      </c>
      <c r="L23" s="93" t="s">
        <v>111</v>
      </c>
      <c r="M23" s="93">
        <v>0.09</v>
      </c>
      <c r="N23" s="93" t="s">
        <v>113</v>
      </c>
      <c r="O23" s="93">
        <v>2</v>
      </c>
      <c r="P23" s="93">
        <v>2</v>
      </c>
      <c r="Q23" s="93">
        <v>44</v>
      </c>
      <c r="R23" s="93" t="s">
        <v>1210</v>
      </c>
      <c r="S23" s="93" t="s">
        <v>2</v>
      </c>
      <c r="T23" s="93" t="s">
        <v>115</v>
      </c>
      <c r="U23" s="93" t="s">
        <v>116</v>
      </c>
      <c r="V23" s="94">
        <v>44628.547222222223</v>
      </c>
      <c r="W23" s="93" t="s">
        <v>1170</v>
      </c>
      <c r="X23" s="93" t="s">
        <v>24</v>
      </c>
    </row>
    <row r="24" spans="1:24" hidden="1" x14ac:dyDescent="0.15">
      <c r="A24" s="93" t="s">
        <v>1211</v>
      </c>
      <c r="B24" s="93" t="s">
        <v>1212</v>
      </c>
      <c r="C24" s="410">
        <v>420</v>
      </c>
      <c r="D24" s="93" t="s">
        <v>24</v>
      </c>
      <c r="E24" s="93" t="s">
        <v>24</v>
      </c>
      <c r="F24" s="93" t="s">
        <v>7070</v>
      </c>
      <c r="G24" s="93" t="s">
        <v>8237</v>
      </c>
      <c r="H24" s="93" t="s">
        <v>11</v>
      </c>
      <c r="I24" s="93" t="s">
        <v>111</v>
      </c>
      <c r="J24" s="93" t="s">
        <v>390</v>
      </c>
      <c r="K24" s="93">
        <v>80</v>
      </c>
      <c r="L24" s="93" t="s">
        <v>111</v>
      </c>
      <c r="M24" s="93">
        <v>7.7</v>
      </c>
      <c r="N24" s="93" t="s">
        <v>113</v>
      </c>
      <c r="O24" s="93">
        <v>16</v>
      </c>
      <c r="P24" s="93">
        <v>60</v>
      </c>
      <c r="Q24" s="93">
        <v>60</v>
      </c>
      <c r="R24" s="93" t="s">
        <v>1210</v>
      </c>
      <c r="S24" s="93" t="s">
        <v>2</v>
      </c>
      <c r="T24" s="93" t="s">
        <v>115</v>
      </c>
      <c r="U24" s="93" t="s">
        <v>116</v>
      </c>
      <c r="V24" s="94">
        <v>44628.614583333336</v>
      </c>
      <c r="W24" s="93" t="s">
        <v>1170</v>
      </c>
      <c r="X24" s="93" t="s">
        <v>24</v>
      </c>
    </row>
    <row r="25" spans="1:24" hidden="1" x14ac:dyDescent="0.15">
      <c r="A25" s="93" t="s">
        <v>1213</v>
      </c>
      <c r="B25" s="93" t="s">
        <v>9035</v>
      </c>
      <c r="C25" s="410">
        <v>2100</v>
      </c>
      <c r="D25" s="93" t="s">
        <v>24</v>
      </c>
      <c r="E25" s="93" t="s">
        <v>24</v>
      </c>
      <c r="F25" s="93" t="s">
        <v>7070</v>
      </c>
      <c r="G25" s="93" t="s">
        <v>8237</v>
      </c>
      <c r="H25" s="93" t="s">
        <v>11</v>
      </c>
      <c r="I25" s="93" t="s">
        <v>111</v>
      </c>
      <c r="J25" s="93" t="s">
        <v>390</v>
      </c>
      <c r="K25" s="93">
        <v>80</v>
      </c>
      <c r="L25" s="93" t="s">
        <v>111</v>
      </c>
      <c r="M25" s="93">
        <v>55</v>
      </c>
      <c r="N25" s="93" t="s">
        <v>113</v>
      </c>
      <c r="O25" s="93">
        <v>30</v>
      </c>
      <c r="P25" s="93">
        <v>56</v>
      </c>
      <c r="Q25" s="93">
        <v>56</v>
      </c>
      <c r="R25" s="93" t="s">
        <v>1210</v>
      </c>
      <c r="S25" s="93" t="s">
        <v>2</v>
      </c>
      <c r="T25" s="93" t="s">
        <v>115</v>
      </c>
      <c r="U25" s="93" t="s">
        <v>116</v>
      </c>
      <c r="V25" s="94">
        <v>44628.649305555555</v>
      </c>
      <c r="W25" s="93" t="s">
        <v>1170</v>
      </c>
      <c r="X25" s="93" t="s">
        <v>24</v>
      </c>
    </row>
    <row r="26" spans="1:24" hidden="1" x14ac:dyDescent="0.15">
      <c r="A26" s="93" t="s">
        <v>1214</v>
      </c>
      <c r="B26" s="93" t="s">
        <v>1215</v>
      </c>
      <c r="C26" s="410">
        <v>16.2</v>
      </c>
      <c r="D26" s="93" t="s">
        <v>24</v>
      </c>
      <c r="E26" s="93" t="s">
        <v>24</v>
      </c>
      <c r="F26" s="93" t="s">
        <v>7070</v>
      </c>
      <c r="G26" s="93" t="s">
        <v>7168</v>
      </c>
      <c r="H26" s="93" t="s">
        <v>11</v>
      </c>
      <c r="I26" s="93" t="s">
        <v>111</v>
      </c>
      <c r="J26" s="93" t="s">
        <v>387</v>
      </c>
      <c r="K26" s="93">
        <v>60</v>
      </c>
      <c r="L26" s="93" t="s">
        <v>111</v>
      </c>
      <c r="M26" s="93">
        <v>0.1</v>
      </c>
      <c r="N26" s="93" t="s">
        <v>113</v>
      </c>
      <c r="O26" s="93">
        <v>3</v>
      </c>
      <c r="P26" s="93">
        <v>18</v>
      </c>
      <c r="Q26" s="93">
        <v>21</v>
      </c>
      <c r="R26" s="93" t="s">
        <v>121</v>
      </c>
      <c r="S26" s="93" t="s">
        <v>20</v>
      </c>
      <c r="T26" s="93" t="s">
        <v>115</v>
      </c>
      <c r="U26" s="93" t="s">
        <v>119</v>
      </c>
      <c r="V26" s="94">
        <v>44628.612500000003</v>
      </c>
      <c r="W26" s="93" t="s">
        <v>1216</v>
      </c>
      <c r="X26" s="93" t="s">
        <v>9</v>
      </c>
    </row>
    <row r="27" spans="1:24" hidden="1" x14ac:dyDescent="0.15">
      <c r="A27" s="93" t="s">
        <v>9036</v>
      </c>
      <c r="B27" s="93" t="s">
        <v>9037</v>
      </c>
      <c r="C27" s="410">
        <v>939.75</v>
      </c>
      <c r="D27" s="93" t="s">
        <v>24</v>
      </c>
      <c r="E27" s="93" t="s">
        <v>9</v>
      </c>
      <c r="F27" s="93" t="s">
        <v>7070</v>
      </c>
      <c r="G27" s="93" t="s">
        <v>9023</v>
      </c>
      <c r="H27" s="93" t="s">
        <v>1198</v>
      </c>
      <c r="I27" s="93" t="s">
        <v>9038</v>
      </c>
      <c r="J27" s="93" t="s">
        <v>1197</v>
      </c>
      <c r="K27" s="93">
        <v>60</v>
      </c>
      <c r="L27" s="93" t="s">
        <v>111</v>
      </c>
      <c r="M27" s="93">
        <v>4</v>
      </c>
      <c r="N27" s="93" t="s">
        <v>113</v>
      </c>
      <c r="O27" s="93">
        <v>11.46</v>
      </c>
      <c r="P27" s="93">
        <v>19.72</v>
      </c>
      <c r="Q27" s="93">
        <v>73.2</v>
      </c>
      <c r="R27" s="93" t="s">
        <v>115</v>
      </c>
      <c r="S27" s="93" t="s">
        <v>20</v>
      </c>
      <c r="T27" s="93" t="s">
        <v>111</v>
      </c>
      <c r="U27" s="93" t="s">
        <v>116</v>
      </c>
      <c r="V27" s="94">
        <v>44628.529861111114</v>
      </c>
      <c r="W27" s="93" t="s">
        <v>1170</v>
      </c>
      <c r="X27" s="93" t="s">
        <v>9</v>
      </c>
    </row>
    <row r="28" spans="1:24" hidden="1" x14ac:dyDescent="0.15">
      <c r="A28" s="93" t="s">
        <v>9039</v>
      </c>
      <c r="B28" s="93" t="s">
        <v>9040</v>
      </c>
      <c r="C28" s="410">
        <v>3673.95</v>
      </c>
      <c r="D28" s="93" t="s">
        <v>9</v>
      </c>
      <c r="E28" s="93" t="s">
        <v>9</v>
      </c>
      <c r="F28" s="93" t="s">
        <v>7070</v>
      </c>
      <c r="G28" s="93" t="s">
        <v>9041</v>
      </c>
      <c r="H28" s="93" t="s">
        <v>6</v>
      </c>
      <c r="I28" s="93" t="s">
        <v>9038</v>
      </c>
      <c r="J28" s="93" t="s">
        <v>1197</v>
      </c>
      <c r="K28" s="93">
        <v>60</v>
      </c>
      <c r="L28" s="93">
        <v>1</v>
      </c>
      <c r="M28" s="93">
        <v>4.75</v>
      </c>
      <c r="N28" s="93" t="s">
        <v>113</v>
      </c>
      <c r="O28" s="93">
        <v>19.5</v>
      </c>
      <c r="P28" s="93">
        <v>37</v>
      </c>
      <c r="Q28" s="93">
        <v>43</v>
      </c>
      <c r="R28" s="93" t="s">
        <v>396</v>
      </c>
      <c r="S28" s="93" t="s">
        <v>20</v>
      </c>
      <c r="T28" s="93" t="s">
        <v>397</v>
      </c>
      <c r="U28" s="93" t="s">
        <v>116</v>
      </c>
      <c r="V28" s="94">
        <v>44628.490277777775</v>
      </c>
      <c r="W28" s="93" t="s">
        <v>1170</v>
      </c>
      <c r="X28" s="93" t="s">
        <v>9</v>
      </c>
    </row>
    <row r="29" spans="1:24" hidden="1" x14ac:dyDescent="0.15">
      <c r="A29" s="93" t="s">
        <v>1217</v>
      </c>
      <c r="B29" s="93" t="s">
        <v>1218</v>
      </c>
      <c r="C29" s="410">
        <v>334.95</v>
      </c>
      <c r="D29" s="93" t="s">
        <v>9</v>
      </c>
      <c r="E29" s="93" t="s">
        <v>9</v>
      </c>
      <c r="F29" s="93" t="s">
        <v>7070</v>
      </c>
      <c r="G29" s="93" t="s">
        <v>9042</v>
      </c>
      <c r="H29" s="93" t="s">
        <v>1205</v>
      </c>
      <c r="I29" s="93" t="s">
        <v>9038</v>
      </c>
      <c r="J29" s="93" t="s">
        <v>1197</v>
      </c>
      <c r="K29" s="93">
        <v>60</v>
      </c>
      <c r="L29" s="93">
        <v>4</v>
      </c>
      <c r="M29" s="93" t="s">
        <v>111</v>
      </c>
      <c r="N29" s="93" t="s">
        <v>111</v>
      </c>
      <c r="O29" s="93" t="s">
        <v>111</v>
      </c>
      <c r="P29" s="93" t="s">
        <v>111</v>
      </c>
      <c r="Q29" s="93" t="s">
        <v>111</v>
      </c>
      <c r="R29" s="93" t="s">
        <v>123</v>
      </c>
      <c r="S29" s="93" t="s">
        <v>20</v>
      </c>
      <c r="T29" s="93" t="s">
        <v>397</v>
      </c>
      <c r="U29" s="93" t="s">
        <v>116</v>
      </c>
      <c r="V29" s="94">
        <v>44628.597222222219</v>
      </c>
      <c r="W29" s="93" t="s">
        <v>1170</v>
      </c>
      <c r="X29" s="93" t="s">
        <v>9</v>
      </c>
    </row>
    <row r="30" spans="1:24" hidden="1" x14ac:dyDescent="0.15">
      <c r="A30" s="93" t="s">
        <v>1219</v>
      </c>
      <c r="B30" s="93" t="s">
        <v>1220</v>
      </c>
      <c r="C30" s="410">
        <v>334.95</v>
      </c>
      <c r="D30" s="93" t="s">
        <v>9</v>
      </c>
      <c r="E30" s="93" t="s">
        <v>9</v>
      </c>
      <c r="F30" s="93" t="s">
        <v>7070</v>
      </c>
      <c r="G30" s="93" t="s">
        <v>9042</v>
      </c>
      <c r="H30" s="93" t="s">
        <v>1205</v>
      </c>
      <c r="I30" s="93" t="s">
        <v>9038</v>
      </c>
      <c r="J30" s="93" t="s">
        <v>1197</v>
      </c>
      <c r="K30" s="93">
        <v>60</v>
      </c>
      <c r="L30" s="93">
        <v>4</v>
      </c>
      <c r="M30" s="93">
        <v>0.26</v>
      </c>
      <c r="N30" s="93" t="s">
        <v>1221</v>
      </c>
      <c r="O30" s="93" t="s">
        <v>111</v>
      </c>
      <c r="P30" s="93" t="s">
        <v>111</v>
      </c>
      <c r="Q30" s="93" t="s">
        <v>111</v>
      </c>
      <c r="R30" s="93" t="s">
        <v>123</v>
      </c>
      <c r="S30" s="93" t="s">
        <v>20</v>
      </c>
      <c r="T30" s="93" t="s">
        <v>397</v>
      </c>
      <c r="U30" s="93" t="s">
        <v>395</v>
      </c>
      <c r="V30" s="94">
        <v>44628.531944444447</v>
      </c>
      <c r="W30" s="93" t="s">
        <v>1170</v>
      </c>
      <c r="X30" s="93" t="s">
        <v>9</v>
      </c>
    </row>
    <row r="31" spans="1:24" hidden="1" x14ac:dyDescent="0.15">
      <c r="A31" s="93" t="s">
        <v>1222</v>
      </c>
      <c r="B31" s="93" t="s">
        <v>1223</v>
      </c>
      <c r="C31" s="410">
        <v>334.95</v>
      </c>
      <c r="D31" s="93" t="s">
        <v>9</v>
      </c>
      <c r="E31" s="93" t="s">
        <v>9</v>
      </c>
      <c r="F31" s="93" t="s">
        <v>7070</v>
      </c>
      <c r="G31" s="93" t="s">
        <v>9042</v>
      </c>
      <c r="H31" s="93" t="s">
        <v>1205</v>
      </c>
      <c r="I31" s="93" t="s">
        <v>9038</v>
      </c>
      <c r="J31" s="93" t="s">
        <v>1197</v>
      </c>
      <c r="K31" s="93">
        <v>60</v>
      </c>
      <c r="L31" s="93">
        <v>4</v>
      </c>
      <c r="M31" s="93">
        <v>0.35</v>
      </c>
      <c r="N31" s="93" t="s">
        <v>1221</v>
      </c>
      <c r="O31" s="93" t="s">
        <v>111</v>
      </c>
      <c r="P31" s="93" t="s">
        <v>111</v>
      </c>
      <c r="Q31" s="93" t="s">
        <v>111</v>
      </c>
      <c r="R31" s="93" t="s">
        <v>123</v>
      </c>
      <c r="S31" s="93" t="s">
        <v>20</v>
      </c>
      <c r="T31" s="93" t="s">
        <v>397</v>
      </c>
      <c r="U31" s="93" t="s">
        <v>395</v>
      </c>
      <c r="V31" s="94">
        <v>44628.531944444447</v>
      </c>
      <c r="W31" s="93" t="s">
        <v>1170</v>
      </c>
      <c r="X31" s="93" t="s">
        <v>9</v>
      </c>
    </row>
    <row r="32" spans="1:24" hidden="1" x14ac:dyDescent="0.15">
      <c r="A32" s="93" t="s">
        <v>1224</v>
      </c>
      <c r="B32" s="93" t="s">
        <v>1225</v>
      </c>
      <c r="C32" s="410">
        <v>334.95</v>
      </c>
      <c r="D32" s="93" t="s">
        <v>9</v>
      </c>
      <c r="E32" s="93" t="s">
        <v>9</v>
      </c>
      <c r="F32" s="93" t="s">
        <v>7070</v>
      </c>
      <c r="G32" s="93" t="s">
        <v>9042</v>
      </c>
      <c r="H32" s="93" t="s">
        <v>1205</v>
      </c>
      <c r="I32" s="93" t="s">
        <v>9038</v>
      </c>
      <c r="J32" s="93" t="s">
        <v>1197</v>
      </c>
      <c r="K32" s="93">
        <v>60</v>
      </c>
      <c r="L32" s="93">
        <v>4</v>
      </c>
      <c r="M32" s="93">
        <v>0.18</v>
      </c>
      <c r="N32" s="93" t="s">
        <v>1221</v>
      </c>
      <c r="O32" s="93" t="s">
        <v>111</v>
      </c>
      <c r="P32" s="93" t="s">
        <v>111</v>
      </c>
      <c r="Q32" s="93" t="s">
        <v>111</v>
      </c>
      <c r="R32" s="93" t="s">
        <v>123</v>
      </c>
      <c r="S32" s="93" t="s">
        <v>20</v>
      </c>
      <c r="T32" s="93" t="s">
        <v>397</v>
      </c>
      <c r="U32" s="93" t="s">
        <v>116</v>
      </c>
      <c r="V32" s="94">
        <v>44628.531944444447</v>
      </c>
      <c r="W32" s="93" t="s">
        <v>1170</v>
      </c>
      <c r="X32" s="93" t="s">
        <v>9</v>
      </c>
    </row>
    <row r="33" spans="1:24" hidden="1" x14ac:dyDescent="0.15">
      <c r="A33" s="93" t="s">
        <v>1227</v>
      </c>
      <c r="B33" s="93" t="s">
        <v>1228</v>
      </c>
      <c r="C33" s="410">
        <v>472.5</v>
      </c>
      <c r="D33" s="93" t="s">
        <v>24</v>
      </c>
      <c r="E33" s="93" t="s">
        <v>24</v>
      </c>
      <c r="F33" s="93" t="s">
        <v>1165</v>
      </c>
      <c r="G33" s="93" t="s">
        <v>8237</v>
      </c>
      <c r="H33" s="93" t="s">
        <v>11</v>
      </c>
      <c r="I33" s="93" t="s">
        <v>111</v>
      </c>
      <c r="J33" s="93" t="s">
        <v>390</v>
      </c>
      <c r="K33" s="93">
        <v>80</v>
      </c>
      <c r="L33" s="93" t="s">
        <v>111</v>
      </c>
      <c r="M33" s="93">
        <v>5.3</v>
      </c>
      <c r="N33" s="93" t="s">
        <v>113</v>
      </c>
      <c r="O33" s="93">
        <v>10.199999999999999</v>
      </c>
      <c r="P33" s="93">
        <v>10.199999999999999</v>
      </c>
      <c r="Q33" s="93">
        <v>35.6</v>
      </c>
      <c r="R33" s="93" t="s">
        <v>1230</v>
      </c>
      <c r="S33" s="93" t="s">
        <v>1174</v>
      </c>
      <c r="T33" s="93" t="s">
        <v>115</v>
      </c>
      <c r="U33" s="93" t="s">
        <v>119</v>
      </c>
      <c r="V33" s="94">
        <v>44628.570138888892</v>
      </c>
      <c r="W33" s="93" t="s">
        <v>1167</v>
      </c>
      <c r="X33" s="93" t="s">
        <v>24</v>
      </c>
    </row>
    <row r="34" spans="1:24" hidden="1" x14ac:dyDescent="0.15">
      <c r="A34" s="93" t="s">
        <v>1231</v>
      </c>
      <c r="B34" s="93" t="s">
        <v>1232</v>
      </c>
      <c r="C34" s="410">
        <v>472.5</v>
      </c>
      <c r="D34" s="93" t="s">
        <v>24</v>
      </c>
      <c r="E34" s="93" t="s">
        <v>24</v>
      </c>
      <c r="F34" s="93" t="s">
        <v>1165</v>
      </c>
      <c r="G34" s="93" t="s">
        <v>8237</v>
      </c>
      <c r="H34" s="93" t="s">
        <v>11</v>
      </c>
      <c r="I34" s="93" t="s">
        <v>111</v>
      </c>
      <c r="J34" s="93" t="s">
        <v>390</v>
      </c>
      <c r="K34" s="93">
        <v>80</v>
      </c>
      <c r="L34" s="93" t="s">
        <v>111</v>
      </c>
      <c r="M34" s="93">
        <v>0.75840633999999996</v>
      </c>
      <c r="N34" s="93" t="s">
        <v>113</v>
      </c>
      <c r="O34" s="93">
        <v>10.199999999999999</v>
      </c>
      <c r="P34" s="93">
        <v>10.199999999999999</v>
      </c>
      <c r="Q34" s="93">
        <v>64.2</v>
      </c>
      <c r="R34" s="93" t="s">
        <v>1230</v>
      </c>
      <c r="S34" s="93" t="s">
        <v>1174</v>
      </c>
      <c r="T34" s="93" t="s">
        <v>115</v>
      </c>
      <c r="U34" s="93" t="s">
        <v>116</v>
      </c>
      <c r="V34" s="94">
        <v>44628.649305555555</v>
      </c>
      <c r="W34" s="93" t="s">
        <v>1167</v>
      </c>
      <c r="X34" s="93" t="s">
        <v>24</v>
      </c>
    </row>
    <row r="35" spans="1:24" hidden="1" x14ac:dyDescent="0.15">
      <c r="A35" s="93" t="s">
        <v>9043</v>
      </c>
      <c r="B35" s="93" t="s">
        <v>9044</v>
      </c>
      <c r="C35" s="410">
        <v>540.75</v>
      </c>
      <c r="D35" s="93" t="s">
        <v>24</v>
      </c>
      <c r="E35" s="93" t="s">
        <v>24</v>
      </c>
      <c r="F35" s="93" t="s">
        <v>1165</v>
      </c>
      <c r="G35" s="93" t="s">
        <v>8237</v>
      </c>
      <c r="H35" s="93" t="s">
        <v>11</v>
      </c>
      <c r="I35" s="93" t="s">
        <v>111</v>
      </c>
      <c r="J35" s="93" t="s">
        <v>390</v>
      </c>
      <c r="K35" s="93">
        <v>80</v>
      </c>
      <c r="L35" s="93" t="s">
        <v>111</v>
      </c>
      <c r="M35" s="93">
        <v>0.99</v>
      </c>
      <c r="N35" s="93" t="s">
        <v>113</v>
      </c>
      <c r="O35" s="93">
        <v>33</v>
      </c>
      <c r="P35" s="93">
        <v>39.4</v>
      </c>
      <c r="Q35" s="93">
        <v>39.4</v>
      </c>
      <c r="R35" s="93" t="s">
        <v>1230</v>
      </c>
      <c r="S35" s="93" t="s">
        <v>1174</v>
      </c>
      <c r="T35" s="93" t="s">
        <v>115</v>
      </c>
      <c r="U35" s="93" t="s">
        <v>116</v>
      </c>
      <c r="V35" s="94">
        <v>44628.635416666664</v>
      </c>
      <c r="W35" s="93" t="s">
        <v>1207</v>
      </c>
      <c r="X35" s="93" t="s">
        <v>24</v>
      </c>
    </row>
    <row r="36" spans="1:24" hidden="1" x14ac:dyDescent="0.15">
      <c r="A36" s="93" t="s">
        <v>1233</v>
      </c>
      <c r="B36" s="93" t="s">
        <v>1234</v>
      </c>
      <c r="C36" s="410">
        <v>525</v>
      </c>
      <c r="D36" s="93" t="s">
        <v>24</v>
      </c>
      <c r="E36" s="93" t="s">
        <v>24</v>
      </c>
      <c r="F36" s="93" t="s">
        <v>1165</v>
      </c>
      <c r="G36" s="93" t="s">
        <v>8237</v>
      </c>
      <c r="H36" s="93" t="s">
        <v>11</v>
      </c>
      <c r="I36" s="93" t="s">
        <v>111</v>
      </c>
      <c r="J36" s="93" t="s">
        <v>390</v>
      </c>
      <c r="K36" s="93">
        <v>80</v>
      </c>
      <c r="L36" s="93" t="s">
        <v>111</v>
      </c>
      <c r="M36" s="93">
        <v>0.99835666999999995</v>
      </c>
      <c r="N36" s="93" t="s">
        <v>113</v>
      </c>
      <c r="O36" s="93">
        <v>10.199999999999999</v>
      </c>
      <c r="P36" s="93">
        <v>10.199999999999999</v>
      </c>
      <c r="Q36" s="93">
        <v>35.6</v>
      </c>
      <c r="R36" s="93" t="s">
        <v>1230</v>
      </c>
      <c r="S36" s="93" t="s">
        <v>1174</v>
      </c>
      <c r="T36" s="93" t="s">
        <v>115</v>
      </c>
      <c r="U36" s="93" t="s">
        <v>116</v>
      </c>
      <c r="V36" s="94">
        <v>44628.527083333334</v>
      </c>
      <c r="W36" s="93" t="s">
        <v>1167</v>
      </c>
      <c r="X36" s="93" t="s">
        <v>24</v>
      </c>
    </row>
    <row r="37" spans="1:24" hidden="1" x14ac:dyDescent="0.15">
      <c r="A37" s="93" t="s">
        <v>1235</v>
      </c>
      <c r="B37" s="93" t="s">
        <v>1236</v>
      </c>
      <c r="C37" s="410">
        <v>525</v>
      </c>
      <c r="D37" s="93" t="s">
        <v>24</v>
      </c>
      <c r="E37" s="93" t="s">
        <v>24</v>
      </c>
      <c r="F37" s="93" t="s">
        <v>1165</v>
      </c>
      <c r="G37" s="93" t="s">
        <v>8237</v>
      </c>
      <c r="H37" s="93" t="s">
        <v>11</v>
      </c>
      <c r="I37" s="93" t="s">
        <v>111</v>
      </c>
      <c r="J37" s="93" t="s">
        <v>390</v>
      </c>
      <c r="K37" s="93">
        <v>80</v>
      </c>
      <c r="L37" s="93" t="s">
        <v>111</v>
      </c>
      <c r="M37" s="93">
        <v>1.47508219</v>
      </c>
      <c r="N37" s="93" t="s">
        <v>113</v>
      </c>
      <c r="O37" s="93">
        <v>10.199999999999999</v>
      </c>
      <c r="P37" s="93">
        <v>10.199999999999999</v>
      </c>
      <c r="Q37" s="93">
        <v>64.8</v>
      </c>
      <c r="R37" s="93" t="s">
        <v>1230</v>
      </c>
      <c r="S37" s="93" t="s">
        <v>1174</v>
      </c>
      <c r="T37" s="93" t="s">
        <v>115</v>
      </c>
      <c r="U37" s="93" t="s">
        <v>116</v>
      </c>
      <c r="V37" s="94">
        <v>44628.504861111112</v>
      </c>
      <c r="W37" s="93" t="s">
        <v>1167</v>
      </c>
      <c r="X37" s="93" t="s">
        <v>24</v>
      </c>
    </row>
    <row r="38" spans="1:24" hidden="1" x14ac:dyDescent="0.15">
      <c r="A38" s="93" t="s">
        <v>1237</v>
      </c>
      <c r="B38" s="93" t="s">
        <v>1238</v>
      </c>
      <c r="C38" s="410">
        <v>593.25</v>
      </c>
      <c r="D38" s="93" t="s">
        <v>24</v>
      </c>
      <c r="E38" s="93" t="s">
        <v>24</v>
      </c>
      <c r="F38" s="93" t="s">
        <v>1165</v>
      </c>
      <c r="G38" s="93" t="s">
        <v>8237</v>
      </c>
      <c r="H38" s="93" t="s">
        <v>11</v>
      </c>
      <c r="I38" s="93" t="s">
        <v>111</v>
      </c>
      <c r="J38" s="93" t="s">
        <v>390</v>
      </c>
      <c r="K38" s="93">
        <v>80</v>
      </c>
      <c r="L38" s="93" t="s">
        <v>111</v>
      </c>
      <c r="M38" s="93">
        <v>1.95</v>
      </c>
      <c r="N38" s="93" t="s">
        <v>113</v>
      </c>
      <c r="O38" s="93">
        <v>10.199999999999999</v>
      </c>
      <c r="P38" s="93">
        <v>10.199999999999999</v>
      </c>
      <c r="Q38" s="93">
        <v>101.6</v>
      </c>
      <c r="R38" s="93" t="s">
        <v>1230</v>
      </c>
      <c r="S38" s="93" t="s">
        <v>1174</v>
      </c>
      <c r="T38" s="93" t="s">
        <v>115</v>
      </c>
      <c r="U38" s="93" t="s">
        <v>116</v>
      </c>
      <c r="V38" s="94">
        <v>44628.614583333336</v>
      </c>
      <c r="W38" s="93" t="s">
        <v>1167</v>
      </c>
      <c r="X38" s="93" t="s">
        <v>24</v>
      </c>
    </row>
    <row r="39" spans="1:24" hidden="1" x14ac:dyDescent="0.15">
      <c r="A39" s="93" t="s">
        <v>1239</v>
      </c>
      <c r="B39" s="93" t="s">
        <v>1240</v>
      </c>
      <c r="C39" s="410">
        <v>156.44999999999999</v>
      </c>
      <c r="D39" s="93" t="s">
        <v>24</v>
      </c>
      <c r="E39" s="93" t="s">
        <v>24</v>
      </c>
      <c r="F39" s="93" t="s">
        <v>1165</v>
      </c>
      <c r="G39" s="93" t="s">
        <v>8237</v>
      </c>
      <c r="H39" s="93" t="s">
        <v>11</v>
      </c>
      <c r="I39" s="93" t="s">
        <v>111</v>
      </c>
      <c r="J39" s="93" t="s">
        <v>390</v>
      </c>
      <c r="K39" s="93">
        <v>80</v>
      </c>
      <c r="L39" s="93" t="s">
        <v>111</v>
      </c>
      <c r="M39" s="93">
        <v>4.4905639999999997E-2</v>
      </c>
      <c r="N39" s="93" t="s">
        <v>113</v>
      </c>
      <c r="O39" s="93">
        <v>2.2999999999999998</v>
      </c>
      <c r="P39" s="93">
        <v>5</v>
      </c>
      <c r="Q39" s="93">
        <v>15.7</v>
      </c>
      <c r="R39" s="93" t="s">
        <v>1188</v>
      </c>
      <c r="S39" s="93" t="s">
        <v>18</v>
      </c>
      <c r="T39" s="93" t="s">
        <v>115</v>
      </c>
      <c r="U39" s="93" t="s">
        <v>116</v>
      </c>
      <c r="V39" s="94">
        <v>44628.614583333336</v>
      </c>
      <c r="W39" s="93" t="s">
        <v>1167</v>
      </c>
      <c r="X39" s="93" t="s">
        <v>24</v>
      </c>
    </row>
    <row r="40" spans="1:24" hidden="1" x14ac:dyDescent="0.15">
      <c r="A40" s="93" t="s">
        <v>1241</v>
      </c>
      <c r="B40" s="93" t="s">
        <v>1242</v>
      </c>
      <c r="C40" s="410">
        <v>156.44999999999999</v>
      </c>
      <c r="D40" s="93" t="s">
        <v>24</v>
      </c>
      <c r="E40" s="93" t="s">
        <v>24</v>
      </c>
      <c r="F40" s="93" t="s">
        <v>1165</v>
      </c>
      <c r="G40" s="93" t="s">
        <v>8237</v>
      </c>
      <c r="H40" s="93" t="s">
        <v>11</v>
      </c>
      <c r="I40" s="93" t="s">
        <v>111</v>
      </c>
      <c r="J40" s="93" t="s">
        <v>390</v>
      </c>
      <c r="K40" s="93">
        <v>80</v>
      </c>
      <c r="L40" s="93" t="s">
        <v>111</v>
      </c>
      <c r="M40" s="93">
        <v>5.3977480000000001E-2</v>
      </c>
      <c r="N40" s="93" t="s">
        <v>113</v>
      </c>
      <c r="O40" s="93">
        <v>65</v>
      </c>
      <c r="P40" s="93">
        <v>70.3</v>
      </c>
      <c r="Q40" s="93">
        <v>70.3</v>
      </c>
      <c r="R40" s="93" t="s">
        <v>1188</v>
      </c>
      <c r="S40" s="93" t="s">
        <v>18</v>
      </c>
      <c r="T40" s="93" t="s">
        <v>115</v>
      </c>
      <c r="U40" s="93" t="s">
        <v>116</v>
      </c>
      <c r="V40" s="94">
        <v>44628.527083333334</v>
      </c>
      <c r="W40" s="93" t="s">
        <v>1167</v>
      </c>
      <c r="X40" s="93" t="s">
        <v>24</v>
      </c>
    </row>
    <row r="41" spans="1:24" hidden="1" x14ac:dyDescent="0.15">
      <c r="A41" s="93" t="s">
        <v>1243</v>
      </c>
      <c r="B41" s="93" t="s">
        <v>1244</v>
      </c>
      <c r="C41" s="410">
        <v>366.45</v>
      </c>
      <c r="D41" s="93" t="s">
        <v>24</v>
      </c>
      <c r="E41" s="93" t="s">
        <v>24</v>
      </c>
      <c r="F41" s="93" t="s">
        <v>1165</v>
      </c>
      <c r="G41" s="93" t="s">
        <v>8237</v>
      </c>
      <c r="H41" s="93" t="s">
        <v>11</v>
      </c>
      <c r="I41" s="93" t="s">
        <v>111</v>
      </c>
      <c r="J41" s="93" t="s">
        <v>390</v>
      </c>
      <c r="K41" s="93">
        <v>80</v>
      </c>
      <c r="L41" s="93" t="s">
        <v>111</v>
      </c>
      <c r="M41" s="93">
        <v>2.73</v>
      </c>
      <c r="N41" s="93" t="s">
        <v>113</v>
      </c>
      <c r="O41" s="93">
        <v>40.700000000000003</v>
      </c>
      <c r="P41" s="93">
        <v>17.8</v>
      </c>
      <c r="Q41" s="93">
        <v>55.9</v>
      </c>
      <c r="R41" s="93" t="s">
        <v>1245</v>
      </c>
      <c r="S41" s="93" t="s">
        <v>2</v>
      </c>
      <c r="T41" s="93" t="s">
        <v>115</v>
      </c>
      <c r="U41" s="93" t="s">
        <v>119</v>
      </c>
      <c r="V41" s="94">
        <v>44628.614583333336</v>
      </c>
      <c r="W41" s="93" t="s">
        <v>1167</v>
      </c>
      <c r="X41" s="93" t="s">
        <v>24</v>
      </c>
    </row>
    <row r="42" spans="1:24" hidden="1" x14ac:dyDescent="0.15">
      <c r="A42" s="93" t="s">
        <v>1246</v>
      </c>
      <c r="B42" s="93" t="s">
        <v>1247</v>
      </c>
      <c r="C42" s="410">
        <v>393.75</v>
      </c>
      <c r="D42" s="93" t="s">
        <v>24</v>
      </c>
      <c r="E42" s="93" t="s">
        <v>24</v>
      </c>
      <c r="F42" s="93" t="s">
        <v>1165</v>
      </c>
      <c r="G42" s="93" t="s">
        <v>8237</v>
      </c>
      <c r="H42" s="93" t="s">
        <v>11</v>
      </c>
      <c r="I42" s="93" t="s">
        <v>111</v>
      </c>
      <c r="J42" s="93" t="s">
        <v>390</v>
      </c>
      <c r="K42" s="93">
        <v>80</v>
      </c>
      <c r="L42" s="93" t="s">
        <v>111</v>
      </c>
      <c r="M42" s="93">
        <v>0.42</v>
      </c>
      <c r="N42" s="93" t="s">
        <v>113</v>
      </c>
      <c r="O42" s="93">
        <v>36</v>
      </c>
      <c r="P42" s="93">
        <v>11</v>
      </c>
      <c r="Q42" s="93">
        <v>11</v>
      </c>
      <c r="R42" s="93" t="s">
        <v>1188</v>
      </c>
      <c r="S42" s="93" t="s">
        <v>1174</v>
      </c>
      <c r="T42" s="93" t="s">
        <v>115</v>
      </c>
      <c r="U42" s="93" t="s">
        <v>116</v>
      </c>
      <c r="V42" s="94">
        <v>44628.570138888892</v>
      </c>
      <c r="W42" s="93" t="s">
        <v>1170</v>
      </c>
      <c r="X42" s="93" t="s">
        <v>24</v>
      </c>
    </row>
    <row r="43" spans="1:24" hidden="1" x14ac:dyDescent="0.15">
      <c r="A43" s="93" t="s">
        <v>1248</v>
      </c>
      <c r="B43" s="93" t="s">
        <v>1249</v>
      </c>
      <c r="C43" s="410">
        <v>37.799999999999997</v>
      </c>
      <c r="D43" s="93" t="s">
        <v>24</v>
      </c>
      <c r="E43" s="93" t="s">
        <v>24</v>
      </c>
      <c r="F43" s="93" t="s">
        <v>7070</v>
      </c>
      <c r="G43" s="93" t="s">
        <v>7168</v>
      </c>
      <c r="H43" s="93" t="s">
        <v>11</v>
      </c>
      <c r="I43" s="93" t="s">
        <v>111</v>
      </c>
      <c r="J43" s="93" t="s">
        <v>387</v>
      </c>
      <c r="K43" s="93">
        <v>60</v>
      </c>
      <c r="L43" s="93" t="s">
        <v>111</v>
      </c>
      <c r="M43" s="93">
        <v>0.2</v>
      </c>
      <c r="N43" s="93" t="s">
        <v>113</v>
      </c>
      <c r="O43" s="93">
        <v>5</v>
      </c>
      <c r="P43" s="93">
        <v>12.5</v>
      </c>
      <c r="Q43" s="93">
        <v>15</v>
      </c>
      <c r="R43" s="93" t="s">
        <v>411</v>
      </c>
      <c r="S43" s="93" t="s">
        <v>18</v>
      </c>
      <c r="T43" s="93" t="s">
        <v>115</v>
      </c>
      <c r="U43" s="93" t="s">
        <v>116</v>
      </c>
      <c r="V43" s="94">
        <v>44628.59097222222</v>
      </c>
      <c r="W43" s="93" t="s">
        <v>1216</v>
      </c>
      <c r="X43" s="93" t="s">
        <v>9</v>
      </c>
    </row>
    <row r="44" spans="1:24" hidden="1" x14ac:dyDescent="0.15">
      <c r="A44" s="93" t="s">
        <v>1250</v>
      </c>
      <c r="B44" s="93" t="s">
        <v>1251</v>
      </c>
      <c r="C44" s="410">
        <v>152.25</v>
      </c>
      <c r="D44" s="93" t="s">
        <v>24</v>
      </c>
      <c r="E44" s="93" t="s">
        <v>24</v>
      </c>
      <c r="F44" s="93" t="s">
        <v>1165</v>
      </c>
      <c r="G44" s="93" t="s">
        <v>8237</v>
      </c>
      <c r="H44" s="93" t="s">
        <v>11</v>
      </c>
      <c r="I44" s="93" t="s">
        <v>111</v>
      </c>
      <c r="J44" s="93" t="s">
        <v>390</v>
      </c>
      <c r="K44" s="93">
        <v>80</v>
      </c>
      <c r="L44" s="93" t="s">
        <v>111</v>
      </c>
      <c r="M44" s="93">
        <v>0.66</v>
      </c>
      <c r="N44" s="93" t="s">
        <v>113</v>
      </c>
      <c r="O44" s="93">
        <v>22.86</v>
      </c>
      <c r="P44" s="93">
        <v>1.27</v>
      </c>
      <c r="Q44" s="93">
        <v>7.62</v>
      </c>
      <c r="R44" s="93" t="s">
        <v>1252</v>
      </c>
      <c r="S44" s="93" t="s">
        <v>2</v>
      </c>
      <c r="T44" s="93" t="s">
        <v>115</v>
      </c>
      <c r="U44" s="93" t="s">
        <v>116</v>
      </c>
      <c r="V44" s="94">
        <v>44628.504861111112</v>
      </c>
      <c r="W44" s="93" t="s">
        <v>1170</v>
      </c>
      <c r="X44" s="93" t="s">
        <v>24</v>
      </c>
    </row>
    <row r="45" spans="1:24" hidden="1" x14ac:dyDescent="0.15">
      <c r="A45" s="93" t="s">
        <v>1253</v>
      </c>
      <c r="B45" s="93" t="s">
        <v>1254</v>
      </c>
      <c r="C45" s="410">
        <v>642.6</v>
      </c>
      <c r="D45" s="93" t="s">
        <v>24</v>
      </c>
      <c r="E45" s="93" t="s">
        <v>24</v>
      </c>
      <c r="F45" s="93" t="s">
        <v>7070</v>
      </c>
      <c r="G45" s="93" t="s">
        <v>7168</v>
      </c>
      <c r="H45" s="93" t="s">
        <v>1198</v>
      </c>
      <c r="I45" s="93" t="s">
        <v>111</v>
      </c>
      <c r="J45" s="93" t="s">
        <v>387</v>
      </c>
      <c r="K45" s="93">
        <v>60</v>
      </c>
      <c r="L45" s="93" t="s">
        <v>111</v>
      </c>
      <c r="M45" s="93">
        <v>3.91</v>
      </c>
      <c r="N45" s="93" t="s">
        <v>113</v>
      </c>
      <c r="O45" s="93">
        <v>21</v>
      </c>
      <c r="P45" s="93">
        <v>23.3</v>
      </c>
      <c r="Q45" s="93">
        <v>64.599999999999994</v>
      </c>
      <c r="R45" s="93" t="s">
        <v>117</v>
      </c>
      <c r="S45" s="93" t="s">
        <v>20</v>
      </c>
      <c r="T45" s="93" t="s">
        <v>115</v>
      </c>
      <c r="U45" s="93" t="s">
        <v>116</v>
      </c>
      <c r="V45" s="94">
        <v>44628.612500000003</v>
      </c>
      <c r="W45" s="93" t="s">
        <v>1170</v>
      </c>
      <c r="X45" s="93" t="s">
        <v>24</v>
      </c>
    </row>
    <row r="46" spans="1:24" hidden="1" x14ac:dyDescent="0.15">
      <c r="A46" s="93" t="s">
        <v>1255</v>
      </c>
      <c r="B46" s="93" t="s">
        <v>1256</v>
      </c>
      <c r="C46" s="410">
        <v>534.6</v>
      </c>
      <c r="D46" s="93" t="s">
        <v>24</v>
      </c>
      <c r="E46" s="93" t="s">
        <v>24</v>
      </c>
      <c r="F46" s="93" t="s">
        <v>7070</v>
      </c>
      <c r="G46" s="93" t="s">
        <v>7168</v>
      </c>
      <c r="H46" s="93" t="s">
        <v>1198</v>
      </c>
      <c r="I46" s="93" t="s">
        <v>111</v>
      </c>
      <c r="J46" s="93" t="s">
        <v>387</v>
      </c>
      <c r="K46" s="93">
        <v>60</v>
      </c>
      <c r="L46" s="93" t="s">
        <v>111</v>
      </c>
      <c r="M46" s="93">
        <v>7.5</v>
      </c>
      <c r="N46" s="93" t="s">
        <v>113</v>
      </c>
      <c r="O46" s="93">
        <v>22</v>
      </c>
      <c r="P46" s="93">
        <v>23</v>
      </c>
      <c r="Q46" s="93">
        <v>54</v>
      </c>
      <c r="R46" s="93" t="s">
        <v>117</v>
      </c>
      <c r="S46" s="93" t="s">
        <v>20</v>
      </c>
      <c r="T46" s="93" t="s">
        <v>115</v>
      </c>
      <c r="U46" s="93" t="s">
        <v>119</v>
      </c>
      <c r="V46" s="94">
        <v>44628.482638888891</v>
      </c>
      <c r="W46" s="93" t="s">
        <v>1170</v>
      </c>
      <c r="X46" s="93" t="s">
        <v>24</v>
      </c>
    </row>
    <row r="47" spans="1:24" hidden="1" x14ac:dyDescent="0.15">
      <c r="A47" s="93" t="s">
        <v>1257</v>
      </c>
      <c r="B47" s="93" t="s">
        <v>1258</v>
      </c>
      <c r="C47" s="410">
        <v>48.6</v>
      </c>
      <c r="D47" s="93" t="s">
        <v>24</v>
      </c>
      <c r="E47" s="93" t="s">
        <v>24</v>
      </c>
      <c r="F47" s="93" t="s">
        <v>7070</v>
      </c>
      <c r="G47" s="93" t="s">
        <v>7168</v>
      </c>
      <c r="H47" s="93" t="s">
        <v>11</v>
      </c>
      <c r="I47" s="93" t="s">
        <v>111</v>
      </c>
      <c r="J47" s="93" t="s">
        <v>387</v>
      </c>
      <c r="K47" s="93">
        <v>60</v>
      </c>
      <c r="L47" s="93" t="s">
        <v>111</v>
      </c>
      <c r="M47" s="93">
        <v>0.2</v>
      </c>
      <c r="N47" s="93" t="s">
        <v>113</v>
      </c>
      <c r="O47" s="93">
        <v>12</v>
      </c>
      <c r="P47" s="93">
        <v>16</v>
      </c>
      <c r="Q47" s="93">
        <v>20</v>
      </c>
      <c r="R47" s="93" t="s">
        <v>1259</v>
      </c>
      <c r="S47" s="93" t="s">
        <v>2</v>
      </c>
      <c r="T47" s="93" t="s">
        <v>115</v>
      </c>
      <c r="U47" s="93" t="s">
        <v>116</v>
      </c>
      <c r="V47" s="94">
        <v>44628.504166666666</v>
      </c>
      <c r="W47" s="93" t="s">
        <v>1170</v>
      </c>
      <c r="X47" s="93" t="s">
        <v>9</v>
      </c>
    </row>
    <row r="48" spans="1:24" hidden="1" x14ac:dyDescent="0.15">
      <c r="A48" s="93" t="s">
        <v>7068</v>
      </c>
      <c r="B48" s="93" t="s">
        <v>7069</v>
      </c>
      <c r="C48" s="410">
        <v>90</v>
      </c>
      <c r="D48" s="93" t="s">
        <v>24</v>
      </c>
      <c r="E48" s="93" t="s">
        <v>24</v>
      </c>
      <c r="F48" s="93" t="s">
        <v>7070</v>
      </c>
      <c r="G48" s="93" t="s">
        <v>7071</v>
      </c>
      <c r="H48" s="93" t="s">
        <v>11</v>
      </c>
      <c r="I48" s="93" t="s">
        <v>111</v>
      </c>
      <c r="J48" s="93" t="s">
        <v>112</v>
      </c>
      <c r="K48" s="93">
        <v>60</v>
      </c>
      <c r="L48" s="93">
        <v>1</v>
      </c>
      <c r="M48" s="93">
        <v>0.15</v>
      </c>
      <c r="N48" s="93" t="s">
        <v>113</v>
      </c>
      <c r="O48" s="93">
        <v>2</v>
      </c>
      <c r="P48" s="93">
        <v>16</v>
      </c>
      <c r="Q48" s="93">
        <v>25.5</v>
      </c>
      <c r="R48" s="93" t="s">
        <v>114</v>
      </c>
      <c r="S48" s="93" t="s">
        <v>16</v>
      </c>
      <c r="T48" s="93" t="s">
        <v>115</v>
      </c>
      <c r="U48" s="93" t="s">
        <v>116</v>
      </c>
      <c r="V48" s="94">
        <v>44628.509722222225</v>
      </c>
      <c r="W48" s="93" t="s">
        <v>7072</v>
      </c>
      <c r="X48" s="93" t="s">
        <v>9</v>
      </c>
    </row>
    <row r="49" spans="1:24" hidden="1" x14ac:dyDescent="0.15">
      <c r="A49" s="93" t="s">
        <v>7073</v>
      </c>
      <c r="B49" s="93" t="s">
        <v>7074</v>
      </c>
      <c r="C49" s="410">
        <v>48</v>
      </c>
      <c r="D49" s="93" t="s">
        <v>24</v>
      </c>
      <c r="E49" s="93" t="s">
        <v>24</v>
      </c>
      <c r="F49" s="93" t="s">
        <v>7070</v>
      </c>
      <c r="G49" s="93" t="s">
        <v>7071</v>
      </c>
      <c r="H49" s="93" t="s">
        <v>11</v>
      </c>
      <c r="I49" s="93" t="s">
        <v>111</v>
      </c>
      <c r="J49" s="93" t="s">
        <v>112</v>
      </c>
      <c r="K49" s="93">
        <v>60</v>
      </c>
      <c r="L49" s="93">
        <v>1</v>
      </c>
      <c r="M49" s="93" t="s">
        <v>111</v>
      </c>
      <c r="N49" s="93" t="s">
        <v>111</v>
      </c>
      <c r="O49" s="93" t="s">
        <v>111</v>
      </c>
      <c r="P49" s="93" t="s">
        <v>111</v>
      </c>
      <c r="Q49" s="93" t="s">
        <v>111</v>
      </c>
      <c r="R49" s="93" t="s">
        <v>114</v>
      </c>
      <c r="S49" s="93" t="s">
        <v>16</v>
      </c>
      <c r="T49" s="93" t="s">
        <v>115</v>
      </c>
      <c r="U49" s="93" t="s">
        <v>116</v>
      </c>
      <c r="V49" s="94">
        <v>44628.53125</v>
      </c>
      <c r="W49" s="93" t="s">
        <v>7072</v>
      </c>
      <c r="X49" s="93" t="s">
        <v>9</v>
      </c>
    </row>
    <row r="50" spans="1:24" hidden="1" x14ac:dyDescent="0.15">
      <c r="A50" s="93" t="s">
        <v>7075</v>
      </c>
      <c r="B50" s="93" t="s">
        <v>7076</v>
      </c>
      <c r="C50" s="410">
        <v>408</v>
      </c>
      <c r="D50" s="93" t="s">
        <v>24</v>
      </c>
      <c r="E50" s="93" t="s">
        <v>24</v>
      </c>
      <c r="F50" s="93" t="s">
        <v>7070</v>
      </c>
      <c r="G50" s="93" t="s">
        <v>7071</v>
      </c>
      <c r="H50" s="93" t="s">
        <v>11</v>
      </c>
      <c r="I50" s="93" t="s">
        <v>111</v>
      </c>
      <c r="J50" s="93" t="s">
        <v>112</v>
      </c>
      <c r="K50" s="93">
        <v>60</v>
      </c>
      <c r="L50" s="93">
        <v>1</v>
      </c>
      <c r="M50" s="93" t="s">
        <v>111</v>
      </c>
      <c r="N50" s="93" t="s">
        <v>111</v>
      </c>
      <c r="O50" s="93" t="s">
        <v>111</v>
      </c>
      <c r="P50" s="93" t="s">
        <v>111</v>
      </c>
      <c r="Q50" s="93" t="s">
        <v>111</v>
      </c>
      <c r="R50" s="93" t="s">
        <v>117</v>
      </c>
      <c r="S50" s="93" t="s">
        <v>20</v>
      </c>
      <c r="T50" s="93" t="s">
        <v>115</v>
      </c>
      <c r="U50" s="93" t="s">
        <v>116</v>
      </c>
      <c r="V50" s="94">
        <v>44628.466666666667</v>
      </c>
      <c r="W50" s="93" t="s">
        <v>7072</v>
      </c>
      <c r="X50" s="93" t="s">
        <v>9</v>
      </c>
    </row>
    <row r="51" spans="1:24" hidden="1" x14ac:dyDescent="0.15">
      <c r="A51" s="93" t="s">
        <v>7077</v>
      </c>
      <c r="B51" s="93" t="s">
        <v>7078</v>
      </c>
      <c r="C51" s="410">
        <v>168</v>
      </c>
      <c r="D51" s="93" t="s">
        <v>24</v>
      </c>
      <c r="E51" s="93" t="s">
        <v>24</v>
      </c>
      <c r="F51" s="93" t="s">
        <v>7070</v>
      </c>
      <c r="G51" s="93" t="s">
        <v>7071</v>
      </c>
      <c r="H51" s="93" t="s">
        <v>11</v>
      </c>
      <c r="I51" s="93" t="s">
        <v>111</v>
      </c>
      <c r="J51" s="93" t="s">
        <v>112</v>
      </c>
      <c r="K51" s="93">
        <v>60</v>
      </c>
      <c r="L51" s="93">
        <v>1</v>
      </c>
      <c r="M51" s="93" t="s">
        <v>111</v>
      </c>
      <c r="N51" s="93" t="s">
        <v>111</v>
      </c>
      <c r="O51" s="93" t="s">
        <v>111</v>
      </c>
      <c r="P51" s="93" t="s">
        <v>111</v>
      </c>
      <c r="Q51" s="93" t="s">
        <v>111</v>
      </c>
      <c r="R51" s="93" t="s">
        <v>117</v>
      </c>
      <c r="S51" s="93" t="s">
        <v>20</v>
      </c>
      <c r="T51" s="93" t="s">
        <v>115</v>
      </c>
      <c r="U51" s="93" t="s">
        <v>116</v>
      </c>
      <c r="V51" s="94">
        <v>44628.59652777778</v>
      </c>
      <c r="W51" s="93" t="s">
        <v>7072</v>
      </c>
      <c r="X51" s="93" t="s">
        <v>9</v>
      </c>
    </row>
    <row r="52" spans="1:24" hidden="1" x14ac:dyDescent="0.15">
      <c r="A52" s="93" t="s">
        <v>7079</v>
      </c>
      <c r="B52" s="93" t="s">
        <v>7080</v>
      </c>
      <c r="C52" s="410">
        <v>529.20000000000005</v>
      </c>
      <c r="D52" s="93" t="s">
        <v>24</v>
      </c>
      <c r="E52" s="93" t="s">
        <v>24</v>
      </c>
      <c r="F52" s="93" t="s">
        <v>7070</v>
      </c>
      <c r="G52" s="93" t="s">
        <v>7071</v>
      </c>
      <c r="H52" s="93" t="s">
        <v>11</v>
      </c>
      <c r="I52" s="93" t="s">
        <v>111</v>
      </c>
      <c r="J52" s="93" t="s">
        <v>112</v>
      </c>
      <c r="K52" s="93">
        <v>60</v>
      </c>
      <c r="L52" s="93">
        <v>1</v>
      </c>
      <c r="M52" s="93" t="s">
        <v>111</v>
      </c>
      <c r="N52" s="93" t="s">
        <v>111</v>
      </c>
      <c r="O52" s="93" t="s">
        <v>111</v>
      </c>
      <c r="P52" s="93" t="s">
        <v>111</v>
      </c>
      <c r="Q52" s="93" t="s">
        <v>111</v>
      </c>
      <c r="R52" s="93" t="s">
        <v>117</v>
      </c>
      <c r="S52" s="93" t="s">
        <v>2</v>
      </c>
      <c r="T52" s="93" t="s">
        <v>115</v>
      </c>
      <c r="U52" s="93" t="s">
        <v>116</v>
      </c>
      <c r="V52" s="94">
        <v>44628.59652777778</v>
      </c>
      <c r="W52" s="93" t="s">
        <v>7072</v>
      </c>
      <c r="X52" s="93" t="s">
        <v>9</v>
      </c>
    </row>
    <row r="53" spans="1:24" hidden="1" x14ac:dyDescent="0.15">
      <c r="A53" s="93" t="s">
        <v>7081</v>
      </c>
      <c r="B53" s="93" t="s">
        <v>7082</v>
      </c>
      <c r="C53" s="410">
        <v>478.8</v>
      </c>
      <c r="D53" s="93" t="s">
        <v>24</v>
      </c>
      <c r="E53" s="93" t="s">
        <v>24</v>
      </c>
      <c r="F53" s="93" t="s">
        <v>7070</v>
      </c>
      <c r="G53" s="93" t="s">
        <v>7071</v>
      </c>
      <c r="H53" s="93" t="s">
        <v>11</v>
      </c>
      <c r="I53" s="93" t="s">
        <v>111</v>
      </c>
      <c r="J53" s="93" t="s">
        <v>112</v>
      </c>
      <c r="K53" s="93">
        <v>60</v>
      </c>
      <c r="L53" s="93">
        <v>1</v>
      </c>
      <c r="M53" s="93">
        <v>3.75</v>
      </c>
      <c r="N53" s="93" t="s">
        <v>113</v>
      </c>
      <c r="O53" s="93">
        <v>16</v>
      </c>
      <c r="P53" s="93">
        <v>39</v>
      </c>
      <c r="Q53" s="93">
        <v>44.5</v>
      </c>
      <c r="R53" s="93" t="s">
        <v>117</v>
      </c>
      <c r="S53" s="93" t="s">
        <v>2</v>
      </c>
      <c r="T53" s="93" t="s">
        <v>115</v>
      </c>
      <c r="U53" s="93" t="s">
        <v>116</v>
      </c>
      <c r="V53" s="94">
        <v>44628.574999999997</v>
      </c>
      <c r="W53" s="93" t="s">
        <v>7072</v>
      </c>
      <c r="X53" s="93" t="s">
        <v>9</v>
      </c>
    </row>
    <row r="54" spans="1:24" hidden="1" x14ac:dyDescent="0.15">
      <c r="A54" s="93" t="s">
        <v>7083</v>
      </c>
      <c r="B54" s="93" t="s">
        <v>7084</v>
      </c>
      <c r="C54" s="410">
        <v>216</v>
      </c>
      <c r="D54" s="93" t="s">
        <v>24</v>
      </c>
      <c r="E54" s="93" t="s">
        <v>24</v>
      </c>
      <c r="F54" s="93" t="s">
        <v>7070</v>
      </c>
      <c r="G54" s="93" t="s">
        <v>7071</v>
      </c>
      <c r="H54" s="93" t="s">
        <v>11</v>
      </c>
      <c r="I54" s="93" t="s">
        <v>111</v>
      </c>
      <c r="J54" s="93" t="s">
        <v>112</v>
      </c>
      <c r="K54" s="93">
        <v>60</v>
      </c>
      <c r="L54" s="93">
        <v>1</v>
      </c>
      <c r="M54" s="93">
        <v>1.4</v>
      </c>
      <c r="N54" s="93" t="s">
        <v>113</v>
      </c>
      <c r="O54" s="93">
        <v>10</v>
      </c>
      <c r="P54" s="93">
        <v>29</v>
      </c>
      <c r="Q54" s="93">
        <v>58</v>
      </c>
      <c r="R54" s="93" t="s">
        <v>117</v>
      </c>
      <c r="S54" s="93" t="s">
        <v>2</v>
      </c>
      <c r="T54" s="93" t="s">
        <v>115</v>
      </c>
      <c r="U54" s="93" t="s">
        <v>116</v>
      </c>
      <c r="V54" s="94">
        <v>44628.466666666667</v>
      </c>
      <c r="W54" s="93" t="s">
        <v>7072</v>
      </c>
      <c r="X54" s="93" t="s">
        <v>9</v>
      </c>
    </row>
    <row r="55" spans="1:24" hidden="1" x14ac:dyDescent="0.15">
      <c r="A55" s="93" t="s">
        <v>7085</v>
      </c>
      <c r="B55" s="93" t="s">
        <v>7086</v>
      </c>
      <c r="C55" s="410">
        <v>445.2</v>
      </c>
      <c r="D55" s="93" t="s">
        <v>24</v>
      </c>
      <c r="E55" s="93" t="s">
        <v>24</v>
      </c>
      <c r="F55" s="93" t="s">
        <v>7070</v>
      </c>
      <c r="G55" s="93" t="s">
        <v>7071</v>
      </c>
      <c r="H55" s="93" t="s">
        <v>11</v>
      </c>
      <c r="I55" s="93" t="s">
        <v>111</v>
      </c>
      <c r="J55" s="93" t="s">
        <v>112</v>
      </c>
      <c r="K55" s="93">
        <v>60</v>
      </c>
      <c r="L55" s="93">
        <v>1</v>
      </c>
      <c r="M55" s="93" t="s">
        <v>111</v>
      </c>
      <c r="N55" s="93" t="s">
        <v>111</v>
      </c>
      <c r="O55" s="93" t="s">
        <v>111</v>
      </c>
      <c r="P55" s="93" t="s">
        <v>111</v>
      </c>
      <c r="Q55" s="93" t="s">
        <v>111</v>
      </c>
      <c r="R55" s="93" t="s">
        <v>117</v>
      </c>
      <c r="S55" s="93" t="s">
        <v>20</v>
      </c>
      <c r="T55" s="93" t="s">
        <v>115</v>
      </c>
      <c r="U55" s="93" t="s">
        <v>116</v>
      </c>
      <c r="V55" s="94">
        <v>44628.466666666667</v>
      </c>
      <c r="W55" s="93" t="s">
        <v>7072</v>
      </c>
      <c r="X55" s="93" t="s">
        <v>9</v>
      </c>
    </row>
    <row r="56" spans="1:24" hidden="1" x14ac:dyDescent="0.15">
      <c r="A56" s="93" t="s">
        <v>7087</v>
      </c>
      <c r="B56" s="93" t="s">
        <v>7088</v>
      </c>
      <c r="C56" s="410">
        <v>300</v>
      </c>
      <c r="D56" s="93" t="s">
        <v>24</v>
      </c>
      <c r="E56" s="93" t="s">
        <v>24</v>
      </c>
      <c r="F56" s="93" t="s">
        <v>7070</v>
      </c>
      <c r="G56" s="93" t="s">
        <v>7071</v>
      </c>
      <c r="H56" s="93" t="s">
        <v>11</v>
      </c>
      <c r="I56" s="93" t="s">
        <v>111</v>
      </c>
      <c r="J56" s="93" t="s">
        <v>112</v>
      </c>
      <c r="K56" s="93">
        <v>60</v>
      </c>
      <c r="L56" s="93">
        <v>1</v>
      </c>
      <c r="M56" s="93" t="s">
        <v>111</v>
      </c>
      <c r="N56" s="93" t="s">
        <v>111</v>
      </c>
      <c r="O56" s="93" t="s">
        <v>111</v>
      </c>
      <c r="P56" s="93" t="s">
        <v>111</v>
      </c>
      <c r="Q56" s="93" t="s">
        <v>111</v>
      </c>
      <c r="R56" s="93" t="s">
        <v>117</v>
      </c>
      <c r="S56" s="93" t="s">
        <v>12</v>
      </c>
      <c r="T56" s="93" t="s">
        <v>115</v>
      </c>
      <c r="U56" s="93" t="s">
        <v>116</v>
      </c>
      <c r="V56" s="94">
        <v>44628.531944444447</v>
      </c>
      <c r="W56" s="93" t="s">
        <v>7072</v>
      </c>
      <c r="X56" s="93" t="s">
        <v>9</v>
      </c>
    </row>
    <row r="57" spans="1:24" hidden="1" x14ac:dyDescent="0.15">
      <c r="A57" s="93" t="s">
        <v>7089</v>
      </c>
      <c r="B57" s="93" t="s">
        <v>7090</v>
      </c>
      <c r="C57" s="410">
        <v>216</v>
      </c>
      <c r="D57" s="93" t="s">
        <v>24</v>
      </c>
      <c r="E57" s="93" t="s">
        <v>24</v>
      </c>
      <c r="F57" s="93" t="s">
        <v>7070</v>
      </c>
      <c r="G57" s="93" t="s">
        <v>7071</v>
      </c>
      <c r="H57" s="93" t="s">
        <v>11</v>
      </c>
      <c r="I57" s="93" t="s">
        <v>111</v>
      </c>
      <c r="J57" s="93" t="s">
        <v>112</v>
      </c>
      <c r="K57" s="93">
        <v>60</v>
      </c>
      <c r="L57" s="93">
        <v>1</v>
      </c>
      <c r="M57" s="93">
        <v>1.4</v>
      </c>
      <c r="N57" s="93" t="s">
        <v>113</v>
      </c>
      <c r="O57" s="93">
        <v>10</v>
      </c>
      <c r="P57" s="93">
        <v>29</v>
      </c>
      <c r="Q57" s="93">
        <v>57</v>
      </c>
      <c r="R57" s="93" t="s">
        <v>117</v>
      </c>
      <c r="S57" s="93" t="s">
        <v>20</v>
      </c>
      <c r="T57" s="93" t="s">
        <v>115</v>
      </c>
      <c r="U57" s="93" t="s">
        <v>116</v>
      </c>
      <c r="V57" s="94">
        <v>44628.553472222222</v>
      </c>
      <c r="W57" s="93" t="s">
        <v>7072</v>
      </c>
      <c r="X57" s="93" t="s">
        <v>9</v>
      </c>
    </row>
    <row r="58" spans="1:24" hidden="1" x14ac:dyDescent="0.15">
      <c r="A58" s="93" t="s">
        <v>7091</v>
      </c>
      <c r="B58" s="93" t="s">
        <v>7092</v>
      </c>
      <c r="C58" s="410">
        <v>72</v>
      </c>
      <c r="D58" s="93" t="s">
        <v>24</v>
      </c>
      <c r="E58" s="93" t="s">
        <v>24</v>
      </c>
      <c r="F58" s="93" t="s">
        <v>7070</v>
      </c>
      <c r="G58" s="93" t="s">
        <v>7071</v>
      </c>
      <c r="H58" s="93" t="s">
        <v>11</v>
      </c>
      <c r="I58" s="93" t="s">
        <v>111</v>
      </c>
      <c r="J58" s="93" t="s">
        <v>112</v>
      </c>
      <c r="K58" s="93">
        <v>60</v>
      </c>
      <c r="L58" s="93">
        <v>1</v>
      </c>
      <c r="M58" s="93" t="s">
        <v>111</v>
      </c>
      <c r="N58" s="93" t="s">
        <v>111</v>
      </c>
      <c r="O58" s="93" t="s">
        <v>111</v>
      </c>
      <c r="P58" s="93" t="s">
        <v>111</v>
      </c>
      <c r="Q58" s="93" t="s">
        <v>111</v>
      </c>
      <c r="R58" s="93" t="s">
        <v>117</v>
      </c>
      <c r="S58" s="93" t="s">
        <v>2</v>
      </c>
      <c r="T58" s="93" t="s">
        <v>115</v>
      </c>
      <c r="U58" s="93" t="s">
        <v>116</v>
      </c>
      <c r="V58" s="94">
        <v>44628.466666666667</v>
      </c>
      <c r="W58" s="93" t="s">
        <v>7072</v>
      </c>
      <c r="X58" s="93" t="s">
        <v>9</v>
      </c>
    </row>
    <row r="59" spans="1:24" hidden="1" x14ac:dyDescent="0.15">
      <c r="A59" s="93" t="s">
        <v>7093</v>
      </c>
      <c r="B59" s="93" t="s">
        <v>7094</v>
      </c>
      <c r="C59" s="410">
        <v>78</v>
      </c>
      <c r="D59" s="93" t="s">
        <v>24</v>
      </c>
      <c r="E59" s="93" t="s">
        <v>24</v>
      </c>
      <c r="F59" s="93" t="s">
        <v>7070</v>
      </c>
      <c r="G59" s="93" t="s">
        <v>7071</v>
      </c>
      <c r="H59" s="93" t="s">
        <v>11</v>
      </c>
      <c r="I59" s="93" t="s">
        <v>111</v>
      </c>
      <c r="J59" s="93" t="s">
        <v>112</v>
      </c>
      <c r="K59" s="93">
        <v>60</v>
      </c>
      <c r="L59" s="93">
        <v>1</v>
      </c>
      <c r="M59" s="93">
        <v>0.1</v>
      </c>
      <c r="N59" s="93" t="s">
        <v>113</v>
      </c>
      <c r="O59" s="93" t="s">
        <v>111</v>
      </c>
      <c r="P59" s="93" t="s">
        <v>111</v>
      </c>
      <c r="Q59" s="93">
        <v>19.5</v>
      </c>
      <c r="R59" s="93" t="s">
        <v>117</v>
      </c>
      <c r="S59" s="93" t="s">
        <v>2</v>
      </c>
      <c r="T59" s="93" t="s">
        <v>115</v>
      </c>
      <c r="U59" s="93" t="s">
        <v>116</v>
      </c>
      <c r="V59" s="94">
        <v>44628.466666666667</v>
      </c>
      <c r="W59" s="93" t="s">
        <v>7072</v>
      </c>
      <c r="X59" s="93" t="s">
        <v>9</v>
      </c>
    </row>
    <row r="60" spans="1:24" hidden="1" x14ac:dyDescent="0.15">
      <c r="A60" s="93" t="s">
        <v>7095</v>
      </c>
      <c r="B60" s="93" t="s">
        <v>7096</v>
      </c>
      <c r="C60" s="410">
        <v>60</v>
      </c>
      <c r="D60" s="93" t="s">
        <v>24</v>
      </c>
      <c r="E60" s="93" t="s">
        <v>24</v>
      </c>
      <c r="F60" s="93" t="s">
        <v>7070</v>
      </c>
      <c r="G60" s="93" t="s">
        <v>7071</v>
      </c>
      <c r="H60" s="93" t="s">
        <v>11</v>
      </c>
      <c r="I60" s="93" t="s">
        <v>111</v>
      </c>
      <c r="J60" s="93" t="s">
        <v>112</v>
      </c>
      <c r="K60" s="93">
        <v>60</v>
      </c>
      <c r="L60" s="93">
        <v>1</v>
      </c>
      <c r="M60" s="93" t="s">
        <v>111</v>
      </c>
      <c r="N60" s="93" t="s">
        <v>111</v>
      </c>
      <c r="O60" s="93" t="s">
        <v>111</v>
      </c>
      <c r="P60" s="93" t="s">
        <v>111</v>
      </c>
      <c r="Q60" s="93" t="s">
        <v>111</v>
      </c>
      <c r="R60" s="93" t="s">
        <v>117</v>
      </c>
      <c r="S60" s="93" t="s">
        <v>20</v>
      </c>
      <c r="T60" s="93" t="s">
        <v>115</v>
      </c>
      <c r="U60" s="93" t="s">
        <v>116</v>
      </c>
      <c r="V60" s="94">
        <v>44628.466666666667</v>
      </c>
      <c r="W60" s="93" t="s">
        <v>7072</v>
      </c>
      <c r="X60" s="93" t="s">
        <v>9</v>
      </c>
    </row>
    <row r="61" spans="1:24" hidden="1" x14ac:dyDescent="0.15">
      <c r="A61" s="93" t="s">
        <v>7097</v>
      </c>
      <c r="B61" s="93" t="s">
        <v>7098</v>
      </c>
      <c r="C61" s="410">
        <v>360</v>
      </c>
      <c r="D61" s="93" t="s">
        <v>24</v>
      </c>
      <c r="E61" s="93" t="s">
        <v>24</v>
      </c>
      <c r="F61" s="93" t="s">
        <v>7070</v>
      </c>
      <c r="G61" s="93" t="s">
        <v>7071</v>
      </c>
      <c r="H61" s="93" t="s">
        <v>11</v>
      </c>
      <c r="I61" s="93" t="s">
        <v>111</v>
      </c>
      <c r="J61" s="93" t="s">
        <v>112</v>
      </c>
      <c r="K61" s="93">
        <v>60</v>
      </c>
      <c r="L61" s="93">
        <v>1</v>
      </c>
      <c r="M61" s="93" t="s">
        <v>111</v>
      </c>
      <c r="N61" s="93" t="s">
        <v>111</v>
      </c>
      <c r="O61" s="93" t="s">
        <v>111</v>
      </c>
      <c r="P61" s="93" t="s">
        <v>111</v>
      </c>
      <c r="Q61" s="93" t="s">
        <v>111</v>
      </c>
      <c r="R61" s="93" t="s">
        <v>117</v>
      </c>
      <c r="S61" s="93" t="s">
        <v>20</v>
      </c>
      <c r="T61" s="93" t="s">
        <v>115</v>
      </c>
      <c r="U61" s="93" t="s">
        <v>116</v>
      </c>
      <c r="V61" s="94">
        <v>44628.466666666667</v>
      </c>
      <c r="W61" s="93" t="s">
        <v>7072</v>
      </c>
      <c r="X61" s="93" t="s">
        <v>9</v>
      </c>
    </row>
    <row r="62" spans="1:24" hidden="1" x14ac:dyDescent="0.15">
      <c r="A62" s="93" t="s">
        <v>7099</v>
      </c>
      <c r="B62" s="93" t="s">
        <v>7100</v>
      </c>
      <c r="C62" s="410">
        <v>180</v>
      </c>
      <c r="D62" s="93" t="s">
        <v>24</v>
      </c>
      <c r="E62" s="93" t="s">
        <v>24</v>
      </c>
      <c r="F62" s="93" t="s">
        <v>7070</v>
      </c>
      <c r="G62" s="93" t="s">
        <v>7071</v>
      </c>
      <c r="H62" s="93" t="s">
        <v>11</v>
      </c>
      <c r="I62" s="93" t="s">
        <v>111</v>
      </c>
      <c r="J62" s="93" t="s">
        <v>112</v>
      </c>
      <c r="K62" s="93">
        <v>60</v>
      </c>
      <c r="L62" s="93">
        <v>1</v>
      </c>
      <c r="M62" s="93">
        <v>0.38550000000000001</v>
      </c>
      <c r="N62" s="93" t="s">
        <v>113</v>
      </c>
      <c r="O62" s="93">
        <v>5.8419999999999996</v>
      </c>
      <c r="P62" s="93">
        <v>26.161999999999999</v>
      </c>
      <c r="Q62" s="93">
        <v>11.43</v>
      </c>
      <c r="R62" s="93" t="s">
        <v>117</v>
      </c>
      <c r="S62" s="93" t="s">
        <v>20</v>
      </c>
      <c r="T62" s="93" t="s">
        <v>115</v>
      </c>
      <c r="U62" s="93" t="s">
        <v>116</v>
      </c>
      <c r="V62" s="94">
        <v>44628.488194444442</v>
      </c>
      <c r="W62" s="93" t="s">
        <v>7072</v>
      </c>
      <c r="X62" s="93" t="s">
        <v>9</v>
      </c>
    </row>
    <row r="63" spans="1:24" hidden="1" x14ac:dyDescent="0.15">
      <c r="A63" s="93" t="s">
        <v>7101</v>
      </c>
      <c r="B63" s="93" t="s">
        <v>7102</v>
      </c>
      <c r="C63" s="410">
        <v>0</v>
      </c>
      <c r="D63" s="93" t="s">
        <v>24</v>
      </c>
      <c r="E63" s="93" t="s">
        <v>24</v>
      </c>
      <c r="F63" s="93" t="s">
        <v>7103</v>
      </c>
      <c r="G63" s="93" t="s">
        <v>7104</v>
      </c>
      <c r="H63" s="93" t="s">
        <v>118</v>
      </c>
      <c r="I63" s="93" t="s">
        <v>111</v>
      </c>
      <c r="J63" s="93" t="s">
        <v>7105</v>
      </c>
      <c r="K63" s="93" t="s">
        <v>111</v>
      </c>
      <c r="L63" s="93" t="s">
        <v>111</v>
      </c>
      <c r="M63" s="93" t="s">
        <v>111</v>
      </c>
      <c r="N63" s="93" t="s">
        <v>111</v>
      </c>
      <c r="O63" s="93" t="s">
        <v>111</v>
      </c>
      <c r="P63" s="93" t="s">
        <v>111</v>
      </c>
      <c r="Q63" s="93" t="s">
        <v>111</v>
      </c>
      <c r="R63" s="93" t="s">
        <v>111</v>
      </c>
      <c r="S63" s="93" t="s">
        <v>2</v>
      </c>
      <c r="T63" s="93" t="s">
        <v>111</v>
      </c>
      <c r="U63" s="93" t="s">
        <v>119</v>
      </c>
      <c r="V63" s="94">
        <v>44588.272916666669</v>
      </c>
      <c r="W63" s="93" t="s">
        <v>7072</v>
      </c>
      <c r="X63" s="93" t="s">
        <v>24</v>
      </c>
    </row>
    <row r="64" spans="1:24" x14ac:dyDescent="0.15">
      <c r="A64" s="93" t="s">
        <v>9045</v>
      </c>
      <c r="B64" s="93" t="s">
        <v>9046</v>
      </c>
      <c r="C64" s="410">
        <v>57</v>
      </c>
      <c r="D64" s="93" t="s">
        <v>24</v>
      </c>
      <c r="E64" s="93" t="s">
        <v>24</v>
      </c>
      <c r="F64" s="93" t="s">
        <v>7070</v>
      </c>
      <c r="G64" s="93" t="s">
        <v>7108</v>
      </c>
      <c r="H64" s="93" t="s">
        <v>118</v>
      </c>
      <c r="I64" s="93" t="s">
        <v>111</v>
      </c>
      <c r="J64" s="93" t="s">
        <v>7105</v>
      </c>
      <c r="K64" s="93" t="s">
        <v>111</v>
      </c>
      <c r="L64" s="93" t="s">
        <v>111</v>
      </c>
      <c r="M64" s="93" t="s">
        <v>111</v>
      </c>
      <c r="N64" s="93" t="s">
        <v>111</v>
      </c>
      <c r="O64" s="93" t="s">
        <v>111</v>
      </c>
      <c r="P64" s="93" t="s">
        <v>111</v>
      </c>
      <c r="Q64" s="93" t="s">
        <v>111</v>
      </c>
      <c r="R64" s="93" t="s">
        <v>228</v>
      </c>
      <c r="S64" s="93" t="s">
        <v>2</v>
      </c>
      <c r="T64" s="93" t="s">
        <v>115</v>
      </c>
      <c r="U64" s="93" t="s">
        <v>116</v>
      </c>
      <c r="V64" s="94">
        <v>44596.659722222219</v>
      </c>
      <c r="W64" s="93" t="s">
        <v>1170</v>
      </c>
      <c r="X64" s="93" t="s">
        <v>24</v>
      </c>
    </row>
    <row r="65" spans="1:24" x14ac:dyDescent="0.15">
      <c r="A65" s="93" t="s">
        <v>7106</v>
      </c>
      <c r="B65" s="93" t="s">
        <v>7107</v>
      </c>
      <c r="C65" s="410">
        <v>39</v>
      </c>
      <c r="D65" s="93" t="s">
        <v>24</v>
      </c>
      <c r="E65" s="93" t="s">
        <v>24</v>
      </c>
      <c r="F65" s="93" t="s">
        <v>7070</v>
      </c>
      <c r="G65" s="93" t="s">
        <v>7108</v>
      </c>
      <c r="H65" s="93" t="s">
        <v>118</v>
      </c>
      <c r="I65" s="93" t="s">
        <v>111</v>
      </c>
      <c r="J65" s="93" t="s">
        <v>118</v>
      </c>
      <c r="K65" s="93">
        <v>3</v>
      </c>
      <c r="L65" s="93" t="s">
        <v>111</v>
      </c>
      <c r="M65" s="93" t="s">
        <v>111</v>
      </c>
      <c r="N65" s="93" t="s">
        <v>111</v>
      </c>
      <c r="O65" s="93" t="s">
        <v>111</v>
      </c>
      <c r="P65" s="93" t="s">
        <v>111</v>
      </c>
      <c r="Q65" s="93" t="s">
        <v>111</v>
      </c>
      <c r="R65" s="93" t="s">
        <v>228</v>
      </c>
      <c r="S65" s="93" t="s">
        <v>2</v>
      </c>
      <c r="T65" s="93" t="s">
        <v>115</v>
      </c>
      <c r="U65" s="93" t="s">
        <v>116</v>
      </c>
      <c r="V65" s="94">
        <v>44602.495138888888</v>
      </c>
      <c r="W65" s="93" t="s">
        <v>402</v>
      </c>
      <c r="X65" s="93" t="s">
        <v>24</v>
      </c>
    </row>
    <row r="66" spans="1:24" x14ac:dyDescent="0.15">
      <c r="A66" s="93" t="s">
        <v>7109</v>
      </c>
      <c r="B66" s="93" t="s">
        <v>7110</v>
      </c>
      <c r="C66" s="410">
        <v>44</v>
      </c>
      <c r="D66" s="93" t="s">
        <v>24</v>
      </c>
      <c r="E66" s="93" t="s">
        <v>24</v>
      </c>
      <c r="F66" s="93" t="s">
        <v>7070</v>
      </c>
      <c r="G66" s="93" t="s">
        <v>7108</v>
      </c>
      <c r="H66" s="93" t="s">
        <v>118</v>
      </c>
      <c r="I66" s="93" t="s">
        <v>111</v>
      </c>
      <c r="J66" s="93" t="s">
        <v>118</v>
      </c>
      <c r="K66" s="93">
        <v>3</v>
      </c>
      <c r="L66" s="93" t="s">
        <v>111</v>
      </c>
      <c r="M66" s="93" t="s">
        <v>111</v>
      </c>
      <c r="N66" s="93" t="s">
        <v>111</v>
      </c>
      <c r="O66" s="93" t="s">
        <v>111</v>
      </c>
      <c r="P66" s="93" t="s">
        <v>111</v>
      </c>
      <c r="Q66" s="93" t="s">
        <v>111</v>
      </c>
      <c r="R66" s="93" t="s">
        <v>228</v>
      </c>
      <c r="S66" s="93" t="s">
        <v>2</v>
      </c>
      <c r="T66" s="93" t="s">
        <v>115</v>
      </c>
      <c r="U66" s="93" t="s">
        <v>116</v>
      </c>
      <c r="V66" s="94">
        <v>44602.98541666667</v>
      </c>
      <c r="W66" s="93" t="s">
        <v>402</v>
      </c>
      <c r="X66" s="93" t="s">
        <v>24</v>
      </c>
    </row>
    <row r="67" spans="1:24" x14ac:dyDescent="0.15">
      <c r="A67" s="93" t="s">
        <v>7027</v>
      </c>
      <c r="B67" s="93" t="s">
        <v>7030</v>
      </c>
      <c r="C67" s="410">
        <v>68</v>
      </c>
      <c r="D67" s="93" t="s">
        <v>24</v>
      </c>
      <c r="E67" s="93" t="s">
        <v>24</v>
      </c>
      <c r="F67" s="93" t="s">
        <v>7070</v>
      </c>
      <c r="G67" s="93" t="s">
        <v>7108</v>
      </c>
      <c r="H67" s="93" t="s">
        <v>400</v>
      </c>
      <c r="I67" s="93" t="s">
        <v>111</v>
      </c>
      <c r="J67" s="93" t="s">
        <v>118</v>
      </c>
      <c r="K67" s="93">
        <v>3</v>
      </c>
      <c r="L67" s="93" t="s">
        <v>111</v>
      </c>
      <c r="M67" s="93" t="s">
        <v>111</v>
      </c>
      <c r="N67" s="93" t="s">
        <v>111</v>
      </c>
      <c r="O67" s="93" t="s">
        <v>111</v>
      </c>
      <c r="P67" s="93" t="s">
        <v>111</v>
      </c>
      <c r="Q67" s="93" t="s">
        <v>111</v>
      </c>
      <c r="R67" s="93" t="s">
        <v>228</v>
      </c>
      <c r="S67" s="93" t="s">
        <v>2</v>
      </c>
      <c r="T67" s="93" t="s">
        <v>115</v>
      </c>
      <c r="U67" s="93" t="s">
        <v>116</v>
      </c>
      <c r="V67" s="94">
        <v>44596.663888888892</v>
      </c>
      <c r="W67" s="93" t="s">
        <v>7336</v>
      </c>
      <c r="X67" s="93" t="s">
        <v>24</v>
      </c>
    </row>
    <row r="68" spans="1:24" x14ac:dyDescent="0.15">
      <c r="A68" s="93" t="s">
        <v>7037</v>
      </c>
      <c r="B68" s="93" t="s">
        <v>7038</v>
      </c>
      <c r="C68" s="410">
        <v>99</v>
      </c>
      <c r="D68" s="93" t="s">
        <v>24</v>
      </c>
      <c r="E68" s="93" t="s">
        <v>24</v>
      </c>
      <c r="F68" s="93" t="s">
        <v>7070</v>
      </c>
      <c r="G68" s="93" t="s">
        <v>7108</v>
      </c>
      <c r="H68" s="93" t="s">
        <v>400</v>
      </c>
      <c r="I68" s="93" t="s">
        <v>111</v>
      </c>
      <c r="J68" s="93" t="s">
        <v>118</v>
      </c>
      <c r="K68" s="93">
        <v>3</v>
      </c>
      <c r="L68" s="93" t="s">
        <v>111</v>
      </c>
      <c r="M68" s="93" t="s">
        <v>111</v>
      </c>
      <c r="N68" s="93" t="s">
        <v>111</v>
      </c>
      <c r="O68" s="93" t="s">
        <v>111</v>
      </c>
      <c r="P68" s="93" t="s">
        <v>111</v>
      </c>
      <c r="Q68" s="93" t="s">
        <v>111</v>
      </c>
      <c r="R68" s="93" t="s">
        <v>228</v>
      </c>
      <c r="S68" s="93" t="s">
        <v>2</v>
      </c>
      <c r="T68" s="93" t="s">
        <v>115</v>
      </c>
      <c r="U68" s="93" t="s">
        <v>116</v>
      </c>
      <c r="V68" s="94">
        <v>44596.650694444441</v>
      </c>
      <c r="W68" s="93" t="s">
        <v>7336</v>
      </c>
      <c r="X68" s="93" t="s">
        <v>24</v>
      </c>
    </row>
    <row r="69" spans="1:24" x14ac:dyDescent="0.15">
      <c r="A69" s="93" t="s">
        <v>7047</v>
      </c>
      <c r="B69" s="93" t="s">
        <v>7048</v>
      </c>
      <c r="C69" s="410">
        <v>104</v>
      </c>
      <c r="D69" s="93" t="s">
        <v>24</v>
      </c>
      <c r="E69" s="93" t="s">
        <v>24</v>
      </c>
      <c r="F69" s="93" t="s">
        <v>7070</v>
      </c>
      <c r="G69" s="93" t="s">
        <v>7108</v>
      </c>
      <c r="H69" s="93" t="s">
        <v>400</v>
      </c>
      <c r="I69" s="93" t="s">
        <v>111</v>
      </c>
      <c r="J69" s="93" t="s">
        <v>118</v>
      </c>
      <c r="K69" s="93">
        <v>3</v>
      </c>
      <c r="L69" s="93" t="s">
        <v>111</v>
      </c>
      <c r="M69" s="93" t="s">
        <v>111</v>
      </c>
      <c r="N69" s="93" t="s">
        <v>111</v>
      </c>
      <c r="O69" s="93" t="s">
        <v>111</v>
      </c>
      <c r="P69" s="93" t="s">
        <v>111</v>
      </c>
      <c r="Q69" s="93" t="s">
        <v>111</v>
      </c>
      <c r="R69" s="93" t="s">
        <v>228</v>
      </c>
      <c r="S69" s="93" t="s">
        <v>2</v>
      </c>
      <c r="T69" s="93" t="s">
        <v>115</v>
      </c>
      <c r="U69" s="93" t="s">
        <v>116</v>
      </c>
      <c r="V69" s="94">
        <v>44596.664583333331</v>
      </c>
      <c r="W69" s="93" t="s">
        <v>7336</v>
      </c>
      <c r="X69" s="93" t="s">
        <v>24</v>
      </c>
    </row>
    <row r="70" spans="1:24" x14ac:dyDescent="0.15">
      <c r="A70" s="93" t="s">
        <v>7111</v>
      </c>
      <c r="B70" s="93" t="s">
        <v>7112</v>
      </c>
      <c r="C70" s="410">
        <v>371</v>
      </c>
      <c r="D70" s="93" t="s">
        <v>24</v>
      </c>
      <c r="E70" s="93" t="s">
        <v>24</v>
      </c>
      <c r="F70" s="93" t="s">
        <v>5978</v>
      </c>
      <c r="G70" s="93" t="s">
        <v>7108</v>
      </c>
      <c r="H70" s="93" t="s">
        <v>118</v>
      </c>
      <c r="I70" s="93" t="s">
        <v>111</v>
      </c>
      <c r="J70" s="93" t="s">
        <v>118</v>
      </c>
      <c r="K70" s="93">
        <v>3</v>
      </c>
      <c r="L70" s="93" t="s">
        <v>111</v>
      </c>
      <c r="M70" s="93" t="s">
        <v>111</v>
      </c>
      <c r="N70" s="93" t="s">
        <v>111</v>
      </c>
      <c r="O70" s="93" t="s">
        <v>111</v>
      </c>
      <c r="P70" s="93" t="s">
        <v>111</v>
      </c>
      <c r="Q70" s="93" t="s">
        <v>111</v>
      </c>
      <c r="R70" s="93" t="s">
        <v>228</v>
      </c>
      <c r="S70" s="93" t="s">
        <v>2</v>
      </c>
      <c r="T70" s="93" t="s">
        <v>115</v>
      </c>
      <c r="U70" s="93" t="s">
        <v>116</v>
      </c>
      <c r="V70" s="94">
        <v>44602.490277777775</v>
      </c>
      <c r="W70" s="93" t="s">
        <v>402</v>
      </c>
      <c r="X70" s="93" t="s">
        <v>24</v>
      </c>
    </row>
    <row r="71" spans="1:24" x14ac:dyDescent="0.15">
      <c r="A71" s="93" t="s">
        <v>7113</v>
      </c>
      <c r="B71" s="93" t="s">
        <v>7114</v>
      </c>
      <c r="C71" s="410">
        <v>25</v>
      </c>
      <c r="D71" s="93" t="s">
        <v>24</v>
      </c>
      <c r="E71" s="93" t="s">
        <v>24</v>
      </c>
      <c r="F71" s="93" t="s">
        <v>5978</v>
      </c>
      <c r="G71" s="93" t="s">
        <v>7108</v>
      </c>
      <c r="H71" s="93" t="s">
        <v>118</v>
      </c>
      <c r="I71" s="93" t="s">
        <v>111</v>
      </c>
      <c r="J71" s="93" t="s">
        <v>118</v>
      </c>
      <c r="K71" s="93">
        <v>3</v>
      </c>
      <c r="L71" s="93" t="s">
        <v>111</v>
      </c>
      <c r="M71" s="93" t="s">
        <v>111</v>
      </c>
      <c r="N71" s="93" t="s">
        <v>111</v>
      </c>
      <c r="O71" s="93" t="s">
        <v>111</v>
      </c>
      <c r="P71" s="93" t="s">
        <v>111</v>
      </c>
      <c r="Q71" s="93" t="s">
        <v>111</v>
      </c>
      <c r="R71" s="93" t="s">
        <v>228</v>
      </c>
      <c r="S71" s="93" t="s">
        <v>2</v>
      </c>
      <c r="T71" s="93" t="s">
        <v>115</v>
      </c>
      <c r="U71" s="93" t="s">
        <v>116</v>
      </c>
      <c r="V71" s="94">
        <v>44602.495138888888</v>
      </c>
      <c r="W71" s="93" t="s">
        <v>402</v>
      </c>
      <c r="X71" s="93" t="s">
        <v>24</v>
      </c>
    </row>
    <row r="72" spans="1:24" x14ac:dyDescent="0.15">
      <c r="A72" s="93" t="s">
        <v>6297</v>
      </c>
      <c r="B72" s="93" t="s">
        <v>9047</v>
      </c>
      <c r="C72" s="410">
        <v>12</v>
      </c>
      <c r="D72" s="93" t="s">
        <v>24</v>
      </c>
      <c r="E72" s="93" t="s">
        <v>24</v>
      </c>
      <c r="F72" s="93" t="s">
        <v>7070</v>
      </c>
      <c r="G72" s="93" t="s">
        <v>7108</v>
      </c>
      <c r="H72" s="93" t="s">
        <v>118</v>
      </c>
      <c r="I72" s="93" t="s">
        <v>111</v>
      </c>
      <c r="J72" s="93" t="s">
        <v>118</v>
      </c>
      <c r="K72" s="93">
        <v>3</v>
      </c>
      <c r="L72" s="93" t="s">
        <v>111</v>
      </c>
      <c r="M72" s="93" t="s">
        <v>111</v>
      </c>
      <c r="N72" s="93" t="s">
        <v>111</v>
      </c>
      <c r="O72" s="93" t="s">
        <v>111</v>
      </c>
      <c r="P72" s="93" t="s">
        <v>111</v>
      </c>
      <c r="Q72" s="93" t="s">
        <v>111</v>
      </c>
      <c r="R72" s="93" t="s">
        <v>228</v>
      </c>
      <c r="S72" s="93" t="s">
        <v>2</v>
      </c>
      <c r="T72" s="93" t="s">
        <v>115</v>
      </c>
      <c r="U72" s="93" t="s">
        <v>116</v>
      </c>
      <c r="V72" s="94">
        <v>44596.64166666667</v>
      </c>
      <c r="W72" s="93" t="s">
        <v>1170</v>
      </c>
      <c r="X72" s="93" t="s">
        <v>24</v>
      </c>
    </row>
    <row r="73" spans="1:24" x14ac:dyDescent="0.15">
      <c r="A73" s="93" t="s">
        <v>6306</v>
      </c>
      <c r="B73" s="93" t="s">
        <v>9048</v>
      </c>
      <c r="C73" s="410">
        <v>27</v>
      </c>
      <c r="D73" s="93" t="s">
        <v>24</v>
      </c>
      <c r="E73" s="93" t="s">
        <v>24</v>
      </c>
      <c r="F73" s="93" t="s">
        <v>7070</v>
      </c>
      <c r="G73" s="93" t="s">
        <v>7108</v>
      </c>
      <c r="H73" s="93" t="s">
        <v>118</v>
      </c>
      <c r="I73" s="93" t="s">
        <v>111</v>
      </c>
      <c r="J73" s="93" t="s">
        <v>118</v>
      </c>
      <c r="K73" s="93">
        <v>3</v>
      </c>
      <c r="L73" s="93" t="s">
        <v>111</v>
      </c>
      <c r="M73" s="93" t="s">
        <v>111</v>
      </c>
      <c r="N73" s="93" t="s">
        <v>111</v>
      </c>
      <c r="O73" s="93" t="s">
        <v>111</v>
      </c>
      <c r="P73" s="93" t="s">
        <v>111</v>
      </c>
      <c r="Q73" s="93" t="s">
        <v>111</v>
      </c>
      <c r="R73" s="93" t="s">
        <v>228</v>
      </c>
      <c r="S73" s="93" t="s">
        <v>2</v>
      </c>
      <c r="T73" s="93" t="s">
        <v>115</v>
      </c>
      <c r="U73" s="93" t="s">
        <v>116</v>
      </c>
      <c r="V73" s="94">
        <v>44596.64166666667</v>
      </c>
      <c r="W73" s="93" t="s">
        <v>1170</v>
      </c>
      <c r="X73" s="93" t="s">
        <v>24</v>
      </c>
    </row>
    <row r="74" spans="1:24" x14ac:dyDescent="0.15">
      <c r="A74" s="93" t="s">
        <v>6315</v>
      </c>
      <c r="B74" s="93" t="s">
        <v>9049</v>
      </c>
      <c r="C74" s="410">
        <v>57</v>
      </c>
      <c r="D74" s="93" t="s">
        <v>24</v>
      </c>
      <c r="E74" s="93" t="s">
        <v>24</v>
      </c>
      <c r="F74" s="93" t="s">
        <v>7070</v>
      </c>
      <c r="G74" s="93" t="s">
        <v>7108</v>
      </c>
      <c r="H74" s="93" t="s">
        <v>118</v>
      </c>
      <c r="I74" s="93" t="s">
        <v>111</v>
      </c>
      <c r="J74" s="93" t="s">
        <v>118</v>
      </c>
      <c r="K74" s="93">
        <v>3</v>
      </c>
      <c r="L74" s="93" t="s">
        <v>111</v>
      </c>
      <c r="M74" s="93" t="s">
        <v>111</v>
      </c>
      <c r="N74" s="93" t="s">
        <v>111</v>
      </c>
      <c r="O74" s="93" t="s">
        <v>111</v>
      </c>
      <c r="P74" s="93" t="s">
        <v>111</v>
      </c>
      <c r="Q74" s="93" t="s">
        <v>111</v>
      </c>
      <c r="R74" s="93" t="s">
        <v>228</v>
      </c>
      <c r="S74" s="93" t="s">
        <v>2</v>
      </c>
      <c r="T74" s="93" t="s">
        <v>115</v>
      </c>
      <c r="U74" s="93" t="s">
        <v>116</v>
      </c>
      <c r="V74" s="94">
        <v>44596.686111111114</v>
      </c>
      <c r="W74" s="93" t="s">
        <v>1170</v>
      </c>
      <c r="X74" s="93" t="s">
        <v>24</v>
      </c>
    </row>
    <row r="75" spans="1:24" x14ac:dyDescent="0.15">
      <c r="A75" s="93" t="s">
        <v>7115</v>
      </c>
      <c r="B75" s="93" t="s">
        <v>7116</v>
      </c>
      <c r="C75" s="410">
        <v>22</v>
      </c>
      <c r="D75" s="93" t="s">
        <v>24</v>
      </c>
      <c r="E75" s="93" t="s">
        <v>24</v>
      </c>
      <c r="F75" s="93" t="s">
        <v>7070</v>
      </c>
      <c r="G75" s="93" t="s">
        <v>7108</v>
      </c>
      <c r="H75" s="93" t="s">
        <v>118</v>
      </c>
      <c r="I75" s="93" t="s">
        <v>111</v>
      </c>
      <c r="J75" s="93" t="s">
        <v>118</v>
      </c>
      <c r="K75" s="93">
        <v>3</v>
      </c>
      <c r="L75" s="93" t="s">
        <v>111</v>
      </c>
      <c r="M75" s="93" t="s">
        <v>111</v>
      </c>
      <c r="N75" s="93" t="s">
        <v>111</v>
      </c>
      <c r="O75" s="93" t="s">
        <v>111</v>
      </c>
      <c r="P75" s="93" t="s">
        <v>111</v>
      </c>
      <c r="Q75" s="93" t="s">
        <v>111</v>
      </c>
      <c r="R75" s="93" t="s">
        <v>228</v>
      </c>
      <c r="S75" s="93" t="s">
        <v>2</v>
      </c>
      <c r="T75" s="93" t="s">
        <v>115</v>
      </c>
      <c r="U75" s="93" t="s">
        <v>116</v>
      </c>
      <c r="V75" s="94">
        <v>44617.988888888889</v>
      </c>
      <c r="W75" s="93" t="s">
        <v>402</v>
      </c>
      <c r="X75" s="93" t="s">
        <v>24</v>
      </c>
    </row>
    <row r="76" spans="1:24" x14ac:dyDescent="0.15">
      <c r="A76" s="93" t="s">
        <v>7117</v>
      </c>
      <c r="B76" s="93" t="s">
        <v>7118</v>
      </c>
      <c r="C76" s="410">
        <v>22</v>
      </c>
      <c r="D76" s="93" t="s">
        <v>24</v>
      </c>
      <c r="E76" s="93" t="s">
        <v>24</v>
      </c>
      <c r="F76" s="93" t="s">
        <v>7070</v>
      </c>
      <c r="G76" s="93" t="s">
        <v>7108</v>
      </c>
      <c r="H76" s="93" t="s">
        <v>118</v>
      </c>
      <c r="I76" s="93" t="s">
        <v>111</v>
      </c>
      <c r="J76" s="93" t="s">
        <v>118</v>
      </c>
      <c r="K76" s="93">
        <v>3</v>
      </c>
      <c r="L76" s="93" t="s">
        <v>111</v>
      </c>
      <c r="M76" s="93" t="s">
        <v>111</v>
      </c>
      <c r="N76" s="93" t="s">
        <v>111</v>
      </c>
      <c r="O76" s="93" t="s">
        <v>111</v>
      </c>
      <c r="P76" s="93" t="s">
        <v>111</v>
      </c>
      <c r="Q76" s="93" t="s">
        <v>111</v>
      </c>
      <c r="R76" s="93" t="s">
        <v>228</v>
      </c>
      <c r="S76" s="93" t="s">
        <v>2</v>
      </c>
      <c r="T76" s="93" t="s">
        <v>115</v>
      </c>
      <c r="U76" s="93" t="s">
        <v>116</v>
      </c>
      <c r="V76" s="94">
        <v>44617.990277777775</v>
      </c>
      <c r="W76" s="93" t="s">
        <v>402</v>
      </c>
      <c r="X76" s="93" t="s">
        <v>24</v>
      </c>
    </row>
    <row r="77" spans="1:24" x14ac:dyDescent="0.15">
      <c r="A77" s="93" t="s">
        <v>1260</v>
      </c>
      <c r="B77" s="93" t="s">
        <v>1261</v>
      </c>
      <c r="C77" s="410">
        <v>79</v>
      </c>
      <c r="D77" s="93" t="s">
        <v>24</v>
      </c>
      <c r="E77" s="93" t="s">
        <v>24</v>
      </c>
      <c r="F77" s="93" t="s">
        <v>7070</v>
      </c>
      <c r="G77" s="93" t="s">
        <v>7108</v>
      </c>
      <c r="H77" s="93" t="s">
        <v>118</v>
      </c>
      <c r="I77" s="93" t="s">
        <v>111</v>
      </c>
      <c r="J77" s="93" t="s">
        <v>7105</v>
      </c>
      <c r="K77" s="93" t="s">
        <v>111</v>
      </c>
      <c r="L77" s="93" t="s">
        <v>111</v>
      </c>
      <c r="M77" s="93" t="s">
        <v>111</v>
      </c>
      <c r="N77" s="93" t="s">
        <v>111</v>
      </c>
      <c r="O77" s="93" t="s">
        <v>111</v>
      </c>
      <c r="P77" s="93" t="s">
        <v>111</v>
      </c>
      <c r="Q77" s="93" t="s">
        <v>111</v>
      </c>
      <c r="R77" s="93" t="s">
        <v>111</v>
      </c>
      <c r="S77" s="93" t="s">
        <v>111</v>
      </c>
      <c r="T77" s="93" t="s">
        <v>115</v>
      </c>
      <c r="U77" s="93" t="s">
        <v>116</v>
      </c>
      <c r="V77" s="94">
        <v>44610.210416666669</v>
      </c>
      <c r="W77" s="93" t="s">
        <v>1170</v>
      </c>
      <c r="X77" s="93" t="s">
        <v>24</v>
      </c>
    </row>
    <row r="78" spans="1:24" x14ac:dyDescent="0.15">
      <c r="A78" s="93" t="s">
        <v>1263</v>
      </c>
      <c r="B78" s="93" t="s">
        <v>1264</v>
      </c>
      <c r="C78" s="410">
        <v>180</v>
      </c>
      <c r="D78" s="93" t="s">
        <v>24</v>
      </c>
      <c r="E78" s="93" t="s">
        <v>24</v>
      </c>
      <c r="F78" s="93" t="s">
        <v>7070</v>
      </c>
      <c r="G78" s="93" t="s">
        <v>7108</v>
      </c>
      <c r="H78" s="93" t="s">
        <v>118</v>
      </c>
      <c r="I78" s="93" t="s">
        <v>111</v>
      </c>
      <c r="J78" s="93" t="s">
        <v>7105</v>
      </c>
      <c r="K78" s="93" t="s">
        <v>111</v>
      </c>
      <c r="L78" s="93" t="s">
        <v>111</v>
      </c>
      <c r="M78" s="93" t="s">
        <v>111</v>
      </c>
      <c r="N78" s="93" t="s">
        <v>111</v>
      </c>
      <c r="O78" s="93" t="s">
        <v>111</v>
      </c>
      <c r="P78" s="93" t="s">
        <v>111</v>
      </c>
      <c r="Q78" s="93" t="s">
        <v>111</v>
      </c>
      <c r="R78" s="93" t="s">
        <v>111</v>
      </c>
      <c r="S78" s="93" t="s">
        <v>111</v>
      </c>
      <c r="T78" s="93" t="s">
        <v>115</v>
      </c>
      <c r="U78" s="93" t="s">
        <v>116</v>
      </c>
      <c r="V78" s="94">
        <v>44610.152777777781</v>
      </c>
      <c r="W78" s="93" t="s">
        <v>1170</v>
      </c>
      <c r="X78" s="93" t="s">
        <v>24</v>
      </c>
    </row>
    <row r="79" spans="1:24" x14ac:dyDescent="0.15">
      <c r="A79" s="93" t="s">
        <v>1265</v>
      </c>
      <c r="B79" s="93" t="s">
        <v>1266</v>
      </c>
      <c r="C79" s="410">
        <v>34</v>
      </c>
      <c r="D79" s="93" t="s">
        <v>24</v>
      </c>
      <c r="E79" s="93" t="s">
        <v>24</v>
      </c>
      <c r="F79" s="93" t="s">
        <v>7070</v>
      </c>
      <c r="G79" s="93" t="s">
        <v>7108</v>
      </c>
      <c r="H79" s="93" t="s">
        <v>118</v>
      </c>
      <c r="I79" s="93" t="s">
        <v>111</v>
      </c>
      <c r="J79" s="93" t="s">
        <v>7105</v>
      </c>
      <c r="K79" s="93" t="s">
        <v>111</v>
      </c>
      <c r="L79" s="93" t="s">
        <v>111</v>
      </c>
      <c r="M79" s="93" t="s">
        <v>111</v>
      </c>
      <c r="N79" s="93" t="s">
        <v>111</v>
      </c>
      <c r="O79" s="93" t="s">
        <v>111</v>
      </c>
      <c r="P79" s="93" t="s">
        <v>111</v>
      </c>
      <c r="Q79" s="93" t="s">
        <v>111</v>
      </c>
      <c r="R79" s="93" t="s">
        <v>111</v>
      </c>
      <c r="S79" s="93" t="s">
        <v>111</v>
      </c>
      <c r="T79" s="93" t="s">
        <v>115</v>
      </c>
      <c r="U79" s="93" t="s">
        <v>116</v>
      </c>
      <c r="V79" s="94">
        <v>44596.646527777775</v>
      </c>
      <c r="W79" s="93" t="s">
        <v>1170</v>
      </c>
      <c r="X79" s="93" t="s">
        <v>24</v>
      </c>
    </row>
    <row r="80" spans="1:24" x14ac:dyDescent="0.15">
      <c r="A80" s="93" t="s">
        <v>1268</v>
      </c>
      <c r="B80" s="93" t="s">
        <v>1269</v>
      </c>
      <c r="C80" s="410">
        <v>47</v>
      </c>
      <c r="D80" s="93" t="s">
        <v>24</v>
      </c>
      <c r="E80" s="93" t="s">
        <v>24</v>
      </c>
      <c r="F80" s="93" t="s">
        <v>7070</v>
      </c>
      <c r="G80" s="93" t="s">
        <v>7108</v>
      </c>
      <c r="H80" s="93" t="s">
        <v>118</v>
      </c>
      <c r="I80" s="93" t="s">
        <v>111</v>
      </c>
      <c r="J80" s="93" t="s">
        <v>7105</v>
      </c>
      <c r="K80" s="93" t="s">
        <v>111</v>
      </c>
      <c r="L80" s="93" t="s">
        <v>111</v>
      </c>
      <c r="M80" s="93" t="s">
        <v>111</v>
      </c>
      <c r="N80" s="93" t="s">
        <v>111</v>
      </c>
      <c r="O80" s="93" t="s">
        <v>111</v>
      </c>
      <c r="P80" s="93" t="s">
        <v>111</v>
      </c>
      <c r="Q80" s="93" t="s">
        <v>111</v>
      </c>
      <c r="R80" s="93" t="s">
        <v>111</v>
      </c>
      <c r="S80" s="93" t="s">
        <v>111</v>
      </c>
      <c r="T80" s="93" t="s">
        <v>115</v>
      </c>
      <c r="U80" s="93" t="s">
        <v>116</v>
      </c>
      <c r="V80" s="94">
        <v>44596.651388888888</v>
      </c>
      <c r="W80" s="93" t="s">
        <v>1170</v>
      </c>
      <c r="X80" s="93" t="s">
        <v>24</v>
      </c>
    </row>
    <row r="81" spans="1:24" x14ac:dyDescent="0.15">
      <c r="A81" s="93" t="s">
        <v>1271</v>
      </c>
      <c r="B81" s="93" t="s">
        <v>1272</v>
      </c>
      <c r="C81" s="410">
        <v>138</v>
      </c>
      <c r="D81" s="93" t="s">
        <v>24</v>
      </c>
      <c r="E81" s="93" t="s">
        <v>24</v>
      </c>
      <c r="F81" s="93" t="s">
        <v>7070</v>
      </c>
      <c r="G81" s="93" t="s">
        <v>7108</v>
      </c>
      <c r="H81" s="93" t="s">
        <v>118</v>
      </c>
      <c r="I81" s="93" t="s">
        <v>111</v>
      </c>
      <c r="J81" s="93" t="s">
        <v>118</v>
      </c>
      <c r="K81" s="93">
        <v>3</v>
      </c>
      <c r="L81" s="93" t="s">
        <v>111</v>
      </c>
      <c r="M81" s="93" t="s">
        <v>111</v>
      </c>
      <c r="N81" s="93" t="s">
        <v>111</v>
      </c>
      <c r="O81" s="93" t="s">
        <v>111</v>
      </c>
      <c r="P81" s="93" t="s">
        <v>111</v>
      </c>
      <c r="Q81" s="93" t="s">
        <v>111</v>
      </c>
      <c r="R81" s="93" t="s">
        <v>111</v>
      </c>
      <c r="S81" s="93" t="s">
        <v>111</v>
      </c>
      <c r="T81" s="93" t="s">
        <v>115</v>
      </c>
      <c r="U81" s="93" t="s">
        <v>116</v>
      </c>
      <c r="V81" s="94">
        <v>44596.68472222222</v>
      </c>
      <c r="W81" s="93" t="s">
        <v>1170</v>
      </c>
      <c r="X81" s="93" t="s">
        <v>24</v>
      </c>
    </row>
    <row r="82" spans="1:24" x14ac:dyDescent="0.15">
      <c r="A82" s="93" t="s">
        <v>1273</v>
      </c>
      <c r="B82" s="93" t="s">
        <v>1274</v>
      </c>
      <c r="C82" s="410">
        <v>316</v>
      </c>
      <c r="D82" s="93" t="s">
        <v>24</v>
      </c>
      <c r="E82" s="93" t="s">
        <v>24</v>
      </c>
      <c r="F82" s="93" t="s">
        <v>7070</v>
      </c>
      <c r="G82" s="93" t="s">
        <v>7108</v>
      </c>
      <c r="H82" s="93" t="s">
        <v>118</v>
      </c>
      <c r="I82" s="93" t="s">
        <v>111</v>
      </c>
      <c r="J82" s="93" t="s">
        <v>118</v>
      </c>
      <c r="K82" s="93">
        <v>3</v>
      </c>
      <c r="L82" s="93" t="s">
        <v>111</v>
      </c>
      <c r="M82" s="93" t="s">
        <v>111</v>
      </c>
      <c r="N82" s="93" t="s">
        <v>111</v>
      </c>
      <c r="O82" s="93" t="s">
        <v>111</v>
      </c>
      <c r="P82" s="93" t="s">
        <v>111</v>
      </c>
      <c r="Q82" s="93" t="s">
        <v>111</v>
      </c>
      <c r="R82" s="93" t="s">
        <v>111</v>
      </c>
      <c r="S82" s="93" t="s">
        <v>111</v>
      </c>
      <c r="T82" s="93" t="s">
        <v>115</v>
      </c>
      <c r="U82" s="93" t="s">
        <v>116</v>
      </c>
      <c r="V82" s="94">
        <v>44596.651388888888</v>
      </c>
      <c r="W82" s="93" t="s">
        <v>1170</v>
      </c>
      <c r="X82" s="93" t="s">
        <v>24</v>
      </c>
    </row>
    <row r="83" spans="1:24" x14ac:dyDescent="0.15">
      <c r="A83" s="93" t="s">
        <v>1275</v>
      </c>
      <c r="B83" s="93" t="s">
        <v>1276</v>
      </c>
      <c r="C83" s="410">
        <v>40</v>
      </c>
      <c r="D83" s="93" t="s">
        <v>24</v>
      </c>
      <c r="E83" s="93" t="s">
        <v>24</v>
      </c>
      <c r="F83" s="93" t="s">
        <v>7070</v>
      </c>
      <c r="G83" s="93" t="s">
        <v>7108</v>
      </c>
      <c r="H83" s="93" t="s">
        <v>118</v>
      </c>
      <c r="I83" s="93" t="s">
        <v>111</v>
      </c>
      <c r="J83" s="93" t="s">
        <v>7105</v>
      </c>
      <c r="K83" s="93" t="s">
        <v>111</v>
      </c>
      <c r="L83" s="93" t="s">
        <v>111</v>
      </c>
      <c r="M83" s="93" t="s">
        <v>111</v>
      </c>
      <c r="N83" s="93" t="s">
        <v>111</v>
      </c>
      <c r="O83" s="93" t="s">
        <v>111</v>
      </c>
      <c r="P83" s="93" t="s">
        <v>111</v>
      </c>
      <c r="Q83" s="93" t="s">
        <v>111</v>
      </c>
      <c r="R83" s="93" t="s">
        <v>111</v>
      </c>
      <c r="S83" s="93" t="s">
        <v>111</v>
      </c>
      <c r="T83" s="93" t="s">
        <v>115</v>
      </c>
      <c r="U83" s="93" t="s">
        <v>116</v>
      </c>
      <c r="V83" s="94">
        <v>44596.642361111109</v>
      </c>
      <c r="W83" s="93" t="s">
        <v>1170</v>
      </c>
      <c r="X83" s="93" t="s">
        <v>24</v>
      </c>
    </row>
    <row r="84" spans="1:24" x14ac:dyDescent="0.15">
      <c r="A84" s="93" t="s">
        <v>1281</v>
      </c>
      <c r="B84" s="93" t="s">
        <v>1282</v>
      </c>
      <c r="C84" s="410">
        <v>112.5</v>
      </c>
      <c r="D84" s="93" t="s">
        <v>24</v>
      </c>
      <c r="E84" s="93" t="s">
        <v>24</v>
      </c>
      <c r="F84" s="93" t="s">
        <v>7070</v>
      </c>
      <c r="G84" s="93" t="s">
        <v>7108</v>
      </c>
      <c r="H84" s="93" t="s">
        <v>118</v>
      </c>
      <c r="I84" s="93" t="s">
        <v>111</v>
      </c>
      <c r="J84" s="93" t="s">
        <v>7105</v>
      </c>
      <c r="K84" s="93" t="s">
        <v>111</v>
      </c>
      <c r="L84" s="93" t="s">
        <v>111</v>
      </c>
      <c r="M84" s="93" t="s">
        <v>111</v>
      </c>
      <c r="N84" s="93" t="s">
        <v>111</v>
      </c>
      <c r="O84" s="93" t="s">
        <v>111</v>
      </c>
      <c r="P84" s="93" t="s">
        <v>111</v>
      </c>
      <c r="Q84" s="93" t="s">
        <v>111</v>
      </c>
      <c r="R84" s="93" t="s">
        <v>111</v>
      </c>
      <c r="S84" s="93" t="s">
        <v>111</v>
      </c>
      <c r="T84" s="93" t="s">
        <v>115</v>
      </c>
      <c r="U84" s="93" t="s">
        <v>116</v>
      </c>
      <c r="V84" s="94">
        <v>44596.690972222219</v>
      </c>
      <c r="W84" s="93" t="s">
        <v>1170</v>
      </c>
      <c r="X84" s="93" t="s">
        <v>24</v>
      </c>
    </row>
    <row r="85" spans="1:24" x14ac:dyDescent="0.15">
      <c r="A85" s="93" t="s">
        <v>1284</v>
      </c>
      <c r="B85" s="93" t="s">
        <v>9050</v>
      </c>
      <c r="C85" s="410">
        <v>60</v>
      </c>
      <c r="D85" s="93" t="s">
        <v>24</v>
      </c>
      <c r="E85" s="93" t="s">
        <v>24</v>
      </c>
      <c r="F85" s="93" t="s">
        <v>7070</v>
      </c>
      <c r="G85" s="93" t="s">
        <v>7108</v>
      </c>
      <c r="H85" s="93" t="s">
        <v>118</v>
      </c>
      <c r="I85" s="93" t="s">
        <v>111</v>
      </c>
      <c r="J85" s="93" t="s">
        <v>7105</v>
      </c>
      <c r="K85" s="93" t="s">
        <v>111</v>
      </c>
      <c r="L85" s="93" t="s">
        <v>111</v>
      </c>
      <c r="M85" s="93" t="s">
        <v>111</v>
      </c>
      <c r="N85" s="93" t="s">
        <v>111</v>
      </c>
      <c r="O85" s="93" t="s">
        <v>111</v>
      </c>
      <c r="P85" s="93" t="s">
        <v>111</v>
      </c>
      <c r="Q85" s="93" t="s">
        <v>111</v>
      </c>
      <c r="R85" s="93" t="s">
        <v>111</v>
      </c>
      <c r="S85" s="93" t="s">
        <v>111</v>
      </c>
      <c r="T85" s="93" t="s">
        <v>115</v>
      </c>
      <c r="U85" s="93" t="s">
        <v>116</v>
      </c>
      <c r="V85" s="94">
        <v>44600.431944444441</v>
      </c>
      <c r="W85" s="93" t="s">
        <v>1170</v>
      </c>
      <c r="X85" s="93" t="s">
        <v>24</v>
      </c>
    </row>
    <row r="86" spans="1:24" x14ac:dyDescent="0.15">
      <c r="A86" s="93" t="s">
        <v>1285</v>
      </c>
      <c r="B86" s="93" t="s">
        <v>1286</v>
      </c>
      <c r="C86" s="410">
        <v>134</v>
      </c>
      <c r="D86" s="93" t="s">
        <v>24</v>
      </c>
      <c r="E86" s="93" t="s">
        <v>24</v>
      </c>
      <c r="F86" s="93" t="s">
        <v>7070</v>
      </c>
      <c r="G86" s="93" t="s">
        <v>7108</v>
      </c>
      <c r="H86" s="93" t="s">
        <v>118</v>
      </c>
      <c r="I86" s="93" t="s">
        <v>111</v>
      </c>
      <c r="J86" s="93" t="s">
        <v>7105</v>
      </c>
      <c r="K86" s="93" t="s">
        <v>111</v>
      </c>
      <c r="L86" s="93" t="s">
        <v>111</v>
      </c>
      <c r="M86" s="93" t="s">
        <v>111</v>
      </c>
      <c r="N86" s="93" t="s">
        <v>111</v>
      </c>
      <c r="O86" s="93" t="s">
        <v>111</v>
      </c>
      <c r="P86" s="93" t="s">
        <v>111</v>
      </c>
      <c r="Q86" s="93" t="s">
        <v>111</v>
      </c>
      <c r="R86" s="93" t="s">
        <v>111</v>
      </c>
      <c r="S86" s="93" t="s">
        <v>111</v>
      </c>
      <c r="T86" s="93" t="s">
        <v>115</v>
      </c>
      <c r="U86" s="93" t="s">
        <v>116</v>
      </c>
      <c r="V86" s="94">
        <v>44596.655555555553</v>
      </c>
      <c r="W86" s="93" t="s">
        <v>1170</v>
      </c>
      <c r="X86" s="93" t="s">
        <v>24</v>
      </c>
    </row>
    <row r="87" spans="1:24" x14ac:dyDescent="0.15">
      <c r="A87" s="93" t="s">
        <v>1288</v>
      </c>
      <c r="B87" s="93" t="s">
        <v>1289</v>
      </c>
      <c r="C87" s="410">
        <v>95</v>
      </c>
      <c r="D87" s="93" t="s">
        <v>24</v>
      </c>
      <c r="E87" s="93" t="s">
        <v>24</v>
      </c>
      <c r="F87" s="93" t="s">
        <v>7070</v>
      </c>
      <c r="G87" s="93" t="s">
        <v>7108</v>
      </c>
      <c r="H87" s="93" t="s">
        <v>118</v>
      </c>
      <c r="I87" s="93" t="s">
        <v>111</v>
      </c>
      <c r="J87" s="93" t="s">
        <v>118</v>
      </c>
      <c r="K87" s="93">
        <v>3</v>
      </c>
      <c r="L87" s="93" t="s">
        <v>111</v>
      </c>
      <c r="M87" s="93" t="s">
        <v>111</v>
      </c>
      <c r="N87" s="93" t="s">
        <v>111</v>
      </c>
      <c r="O87" s="93" t="s">
        <v>111</v>
      </c>
      <c r="P87" s="93" t="s">
        <v>111</v>
      </c>
      <c r="Q87" s="93" t="s">
        <v>111</v>
      </c>
      <c r="R87" s="93" t="s">
        <v>111</v>
      </c>
      <c r="S87" s="93" t="s">
        <v>111</v>
      </c>
      <c r="T87" s="93" t="s">
        <v>115</v>
      </c>
      <c r="U87" s="93" t="s">
        <v>116</v>
      </c>
      <c r="V87" s="94">
        <v>44586.532638888886</v>
      </c>
      <c r="W87" s="93" t="s">
        <v>1170</v>
      </c>
      <c r="X87" s="93" t="s">
        <v>24</v>
      </c>
    </row>
    <row r="88" spans="1:24" x14ac:dyDescent="0.15">
      <c r="A88" s="93" t="s">
        <v>1291</v>
      </c>
      <c r="B88" s="93" t="s">
        <v>1292</v>
      </c>
      <c r="C88" s="410">
        <v>79</v>
      </c>
      <c r="D88" s="93" t="s">
        <v>24</v>
      </c>
      <c r="E88" s="93" t="s">
        <v>24</v>
      </c>
      <c r="F88" s="93" t="s">
        <v>7070</v>
      </c>
      <c r="G88" s="93" t="s">
        <v>7108</v>
      </c>
      <c r="H88" s="93" t="s">
        <v>118</v>
      </c>
      <c r="I88" s="93" t="s">
        <v>111</v>
      </c>
      <c r="J88" s="93" t="s">
        <v>118</v>
      </c>
      <c r="K88" s="93">
        <v>3</v>
      </c>
      <c r="L88" s="93" t="s">
        <v>111</v>
      </c>
      <c r="M88" s="93" t="s">
        <v>111</v>
      </c>
      <c r="N88" s="93" t="s">
        <v>111</v>
      </c>
      <c r="O88" s="93" t="s">
        <v>111</v>
      </c>
      <c r="P88" s="93" t="s">
        <v>111</v>
      </c>
      <c r="Q88" s="93" t="s">
        <v>111</v>
      </c>
      <c r="R88" s="93" t="s">
        <v>111</v>
      </c>
      <c r="S88" s="93" t="s">
        <v>111</v>
      </c>
      <c r="T88" s="93" t="s">
        <v>115</v>
      </c>
      <c r="U88" s="93" t="s">
        <v>116</v>
      </c>
      <c r="V88" s="94">
        <v>44596.683333333334</v>
      </c>
      <c r="W88" s="93" t="s">
        <v>1170</v>
      </c>
      <c r="X88" s="93" t="s">
        <v>24</v>
      </c>
    </row>
    <row r="89" spans="1:24" x14ac:dyDescent="0.15">
      <c r="A89" s="93" t="s">
        <v>1294</v>
      </c>
      <c r="B89" s="93" t="s">
        <v>1295</v>
      </c>
      <c r="C89" s="410">
        <v>173</v>
      </c>
      <c r="D89" s="93" t="s">
        <v>24</v>
      </c>
      <c r="E89" s="93" t="s">
        <v>24</v>
      </c>
      <c r="F89" s="93" t="s">
        <v>7070</v>
      </c>
      <c r="G89" s="93" t="s">
        <v>7108</v>
      </c>
      <c r="H89" s="93" t="s">
        <v>118</v>
      </c>
      <c r="I89" s="93" t="s">
        <v>111</v>
      </c>
      <c r="J89" s="93" t="s">
        <v>118</v>
      </c>
      <c r="K89" s="93">
        <v>3</v>
      </c>
      <c r="L89" s="93" t="s">
        <v>111</v>
      </c>
      <c r="M89" s="93" t="s">
        <v>111</v>
      </c>
      <c r="N89" s="93" t="s">
        <v>111</v>
      </c>
      <c r="O89" s="93" t="s">
        <v>111</v>
      </c>
      <c r="P89" s="93" t="s">
        <v>111</v>
      </c>
      <c r="Q89" s="93" t="s">
        <v>111</v>
      </c>
      <c r="R89" s="93" t="s">
        <v>111</v>
      </c>
      <c r="S89" s="93" t="s">
        <v>111</v>
      </c>
      <c r="T89" s="93" t="s">
        <v>115</v>
      </c>
      <c r="U89" s="93" t="s">
        <v>116</v>
      </c>
      <c r="V89" s="94">
        <v>44586.532638888886</v>
      </c>
      <c r="W89" s="93" t="s">
        <v>1170</v>
      </c>
      <c r="X89" s="93" t="s">
        <v>24</v>
      </c>
    </row>
    <row r="90" spans="1:24" x14ac:dyDescent="0.15">
      <c r="A90" s="93" t="s">
        <v>1297</v>
      </c>
      <c r="B90" s="93" t="s">
        <v>1298</v>
      </c>
      <c r="C90" s="410">
        <v>106</v>
      </c>
      <c r="D90" s="93" t="s">
        <v>24</v>
      </c>
      <c r="E90" s="93" t="s">
        <v>24</v>
      </c>
      <c r="F90" s="93" t="s">
        <v>7070</v>
      </c>
      <c r="G90" s="93" t="s">
        <v>7108</v>
      </c>
      <c r="H90" s="93" t="s">
        <v>118</v>
      </c>
      <c r="I90" s="93" t="s">
        <v>111</v>
      </c>
      <c r="J90" s="93" t="s">
        <v>118</v>
      </c>
      <c r="K90" s="93">
        <v>3</v>
      </c>
      <c r="L90" s="93" t="s">
        <v>111</v>
      </c>
      <c r="M90" s="93" t="s">
        <v>111</v>
      </c>
      <c r="N90" s="93" t="s">
        <v>111</v>
      </c>
      <c r="O90" s="93" t="s">
        <v>111</v>
      </c>
      <c r="P90" s="93" t="s">
        <v>111</v>
      </c>
      <c r="Q90" s="93" t="s">
        <v>111</v>
      </c>
      <c r="R90" s="93" t="s">
        <v>111</v>
      </c>
      <c r="S90" s="93" t="s">
        <v>111</v>
      </c>
      <c r="T90" s="93" t="s">
        <v>115</v>
      </c>
      <c r="U90" s="93" t="s">
        <v>116</v>
      </c>
      <c r="V90" s="94">
        <v>44586.532638888886</v>
      </c>
      <c r="W90" s="93" t="s">
        <v>1170</v>
      </c>
      <c r="X90" s="93" t="s">
        <v>24</v>
      </c>
    </row>
    <row r="91" spans="1:24" x14ac:dyDescent="0.15">
      <c r="A91" s="93" t="s">
        <v>1300</v>
      </c>
      <c r="B91" s="93" t="s">
        <v>1301</v>
      </c>
      <c r="C91" s="410">
        <v>122</v>
      </c>
      <c r="D91" s="93" t="s">
        <v>24</v>
      </c>
      <c r="E91" s="93" t="s">
        <v>24</v>
      </c>
      <c r="F91" s="93" t="s">
        <v>7070</v>
      </c>
      <c r="G91" s="93" t="s">
        <v>7108</v>
      </c>
      <c r="H91" s="93" t="s">
        <v>118</v>
      </c>
      <c r="I91" s="93" t="s">
        <v>111</v>
      </c>
      <c r="J91" s="93" t="s">
        <v>118</v>
      </c>
      <c r="K91" s="93">
        <v>3</v>
      </c>
      <c r="L91" s="93" t="s">
        <v>111</v>
      </c>
      <c r="M91" s="93" t="s">
        <v>111</v>
      </c>
      <c r="N91" s="93" t="s">
        <v>111</v>
      </c>
      <c r="O91" s="93" t="s">
        <v>111</v>
      </c>
      <c r="P91" s="93" t="s">
        <v>111</v>
      </c>
      <c r="Q91" s="93" t="s">
        <v>111</v>
      </c>
      <c r="R91" s="93" t="s">
        <v>111</v>
      </c>
      <c r="S91" s="93" t="s">
        <v>111</v>
      </c>
      <c r="T91" s="93" t="s">
        <v>115</v>
      </c>
      <c r="U91" s="93" t="s">
        <v>116</v>
      </c>
      <c r="V91" s="94">
        <v>44586.532638888886</v>
      </c>
      <c r="W91" s="93" t="s">
        <v>1170</v>
      </c>
      <c r="X91" s="93" t="s">
        <v>24</v>
      </c>
    </row>
    <row r="92" spans="1:24" x14ac:dyDescent="0.15">
      <c r="A92" s="93" t="s">
        <v>1303</v>
      </c>
      <c r="B92" s="93" t="s">
        <v>1304</v>
      </c>
      <c r="C92" s="410">
        <v>284</v>
      </c>
      <c r="D92" s="93" t="s">
        <v>24</v>
      </c>
      <c r="E92" s="93" t="s">
        <v>24</v>
      </c>
      <c r="F92" s="93" t="s">
        <v>7070</v>
      </c>
      <c r="G92" s="93" t="s">
        <v>7108</v>
      </c>
      <c r="H92" s="93" t="s">
        <v>118</v>
      </c>
      <c r="I92" s="93" t="s">
        <v>111</v>
      </c>
      <c r="J92" s="93" t="s">
        <v>118</v>
      </c>
      <c r="K92" s="93">
        <v>3</v>
      </c>
      <c r="L92" s="93" t="s">
        <v>111</v>
      </c>
      <c r="M92" s="93" t="s">
        <v>111</v>
      </c>
      <c r="N92" s="93" t="s">
        <v>111</v>
      </c>
      <c r="O92" s="93" t="s">
        <v>111</v>
      </c>
      <c r="P92" s="93" t="s">
        <v>111</v>
      </c>
      <c r="Q92" s="93" t="s">
        <v>111</v>
      </c>
      <c r="R92" s="93" t="s">
        <v>111</v>
      </c>
      <c r="S92" s="93" t="s">
        <v>111</v>
      </c>
      <c r="T92" s="93" t="s">
        <v>115</v>
      </c>
      <c r="U92" s="93" t="s">
        <v>116</v>
      </c>
      <c r="V92" s="94">
        <v>44586.532638888886</v>
      </c>
      <c r="W92" s="93" t="s">
        <v>1170</v>
      </c>
      <c r="X92" s="93" t="s">
        <v>24</v>
      </c>
    </row>
    <row r="93" spans="1:24" x14ac:dyDescent="0.15">
      <c r="A93" s="93" t="s">
        <v>1305</v>
      </c>
      <c r="B93" s="93" t="s">
        <v>1306</v>
      </c>
      <c r="C93" s="410">
        <v>68</v>
      </c>
      <c r="D93" s="93" t="s">
        <v>24</v>
      </c>
      <c r="E93" s="93" t="s">
        <v>24</v>
      </c>
      <c r="F93" s="93" t="s">
        <v>7070</v>
      </c>
      <c r="G93" s="93" t="s">
        <v>7108</v>
      </c>
      <c r="H93" s="93" t="s">
        <v>118</v>
      </c>
      <c r="I93" s="93" t="s">
        <v>111</v>
      </c>
      <c r="J93" s="93" t="s">
        <v>118</v>
      </c>
      <c r="K93" s="93">
        <v>3</v>
      </c>
      <c r="L93" s="93" t="s">
        <v>111</v>
      </c>
      <c r="M93" s="93" t="s">
        <v>111</v>
      </c>
      <c r="N93" s="93" t="s">
        <v>111</v>
      </c>
      <c r="O93" s="93" t="s">
        <v>111</v>
      </c>
      <c r="P93" s="93" t="s">
        <v>111</v>
      </c>
      <c r="Q93" s="93" t="s">
        <v>111</v>
      </c>
      <c r="R93" s="93" t="s">
        <v>111</v>
      </c>
      <c r="S93" s="93" t="s">
        <v>111</v>
      </c>
      <c r="T93" s="93" t="s">
        <v>115</v>
      </c>
      <c r="U93" s="93" t="s">
        <v>116</v>
      </c>
      <c r="V93" s="94">
        <v>44586.532638888886</v>
      </c>
      <c r="W93" s="93" t="s">
        <v>1170</v>
      </c>
      <c r="X93" s="93" t="s">
        <v>24</v>
      </c>
    </row>
    <row r="94" spans="1:24" x14ac:dyDescent="0.15">
      <c r="A94" s="93" t="s">
        <v>1308</v>
      </c>
      <c r="B94" s="93" t="s">
        <v>1309</v>
      </c>
      <c r="C94" s="410">
        <v>113</v>
      </c>
      <c r="D94" s="93" t="s">
        <v>24</v>
      </c>
      <c r="E94" s="93" t="s">
        <v>24</v>
      </c>
      <c r="F94" s="93" t="s">
        <v>7070</v>
      </c>
      <c r="G94" s="93" t="s">
        <v>7108</v>
      </c>
      <c r="H94" s="93" t="s">
        <v>118</v>
      </c>
      <c r="I94" s="93" t="s">
        <v>111</v>
      </c>
      <c r="J94" s="93" t="s">
        <v>118</v>
      </c>
      <c r="K94" s="93">
        <v>3</v>
      </c>
      <c r="L94" s="93" t="s">
        <v>111</v>
      </c>
      <c r="M94" s="93" t="s">
        <v>111</v>
      </c>
      <c r="N94" s="93" t="s">
        <v>111</v>
      </c>
      <c r="O94" s="93" t="s">
        <v>111</v>
      </c>
      <c r="P94" s="93" t="s">
        <v>111</v>
      </c>
      <c r="Q94" s="93" t="s">
        <v>111</v>
      </c>
      <c r="R94" s="93" t="s">
        <v>111</v>
      </c>
      <c r="S94" s="93" t="s">
        <v>111</v>
      </c>
      <c r="T94" s="93" t="s">
        <v>115</v>
      </c>
      <c r="U94" s="93" t="s">
        <v>116</v>
      </c>
      <c r="V94" s="94">
        <v>44586.532638888886</v>
      </c>
      <c r="W94" s="93" t="s">
        <v>1170</v>
      </c>
      <c r="X94" s="93" t="s">
        <v>24</v>
      </c>
    </row>
    <row r="95" spans="1:24" x14ac:dyDescent="0.15">
      <c r="A95" s="93" t="s">
        <v>1310</v>
      </c>
      <c r="B95" s="93" t="s">
        <v>1311</v>
      </c>
      <c r="C95" s="410">
        <v>51</v>
      </c>
      <c r="D95" s="93" t="s">
        <v>24</v>
      </c>
      <c r="E95" s="93" t="s">
        <v>24</v>
      </c>
      <c r="F95" s="93" t="s">
        <v>7070</v>
      </c>
      <c r="G95" s="93" t="s">
        <v>7108</v>
      </c>
      <c r="H95" s="93" t="s">
        <v>118</v>
      </c>
      <c r="I95" s="93" t="s">
        <v>111</v>
      </c>
      <c r="J95" s="93" t="s">
        <v>118</v>
      </c>
      <c r="K95" s="93">
        <v>3</v>
      </c>
      <c r="L95" s="93" t="s">
        <v>111</v>
      </c>
      <c r="M95" s="93" t="s">
        <v>111</v>
      </c>
      <c r="N95" s="93" t="s">
        <v>111</v>
      </c>
      <c r="O95" s="93" t="s">
        <v>111</v>
      </c>
      <c r="P95" s="93" t="s">
        <v>111</v>
      </c>
      <c r="Q95" s="93" t="s">
        <v>111</v>
      </c>
      <c r="R95" s="93" t="s">
        <v>111</v>
      </c>
      <c r="S95" s="93" t="s">
        <v>111</v>
      </c>
      <c r="T95" s="93" t="s">
        <v>115</v>
      </c>
      <c r="U95" s="93" t="s">
        <v>116</v>
      </c>
      <c r="V95" s="94">
        <v>44586.532638888886</v>
      </c>
      <c r="W95" s="93" t="s">
        <v>1170</v>
      </c>
      <c r="X95" s="93" t="s">
        <v>24</v>
      </c>
    </row>
    <row r="96" spans="1:24" x14ac:dyDescent="0.15">
      <c r="A96" s="93" t="s">
        <v>1313</v>
      </c>
      <c r="B96" s="93" t="s">
        <v>1314</v>
      </c>
      <c r="C96" s="410">
        <v>96</v>
      </c>
      <c r="D96" s="93" t="s">
        <v>24</v>
      </c>
      <c r="E96" s="93" t="s">
        <v>24</v>
      </c>
      <c r="F96" s="93" t="s">
        <v>7070</v>
      </c>
      <c r="G96" s="93" t="s">
        <v>7108</v>
      </c>
      <c r="H96" s="93" t="s">
        <v>118</v>
      </c>
      <c r="I96" s="93" t="s">
        <v>111</v>
      </c>
      <c r="J96" s="93" t="s">
        <v>118</v>
      </c>
      <c r="K96" s="93">
        <v>3</v>
      </c>
      <c r="L96" s="93" t="s">
        <v>111</v>
      </c>
      <c r="M96" s="93" t="s">
        <v>111</v>
      </c>
      <c r="N96" s="93" t="s">
        <v>111</v>
      </c>
      <c r="O96" s="93" t="s">
        <v>111</v>
      </c>
      <c r="P96" s="93" t="s">
        <v>111</v>
      </c>
      <c r="Q96" s="93" t="s">
        <v>111</v>
      </c>
      <c r="R96" s="93" t="s">
        <v>111</v>
      </c>
      <c r="S96" s="93" t="s">
        <v>111</v>
      </c>
      <c r="T96" s="93" t="s">
        <v>115</v>
      </c>
      <c r="U96" s="93" t="s">
        <v>116</v>
      </c>
      <c r="V96" s="94">
        <v>44586.532638888886</v>
      </c>
      <c r="W96" s="93" t="s">
        <v>1170</v>
      </c>
      <c r="X96" s="93" t="s">
        <v>24</v>
      </c>
    </row>
    <row r="97" spans="1:24" x14ac:dyDescent="0.15">
      <c r="A97" s="93" t="s">
        <v>1315</v>
      </c>
      <c r="B97" s="93" t="s">
        <v>1316</v>
      </c>
      <c r="C97" s="410">
        <v>82</v>
      </c>
      <c r="D97" s="93" t="s">
        <v>24</v>
      </c>
      <c r="E97" s="93" t="s">
        <v>24</v>
      </c>
      <c r="F97" s="93" t="s">
        <v>7070</v>
      </c>
      <c r="G97" s="93" t="s">
        <v>7108</v>
      </c>
      <c r="H97" s="93" t="s">
        <v>118</v>
      </c>
      <c r="I97" s="93" t="s">
        <v>111</v>
      </c>
      <c r="J97" s="93" t="s">
        <v>7105</v>
      </c>
      <c r="K97" s="93" t="s">
        <v>111</v>
      </c>
      <c r="L97" s="93" t="s">
        <v>111</v>
      </c>
      <c r="M97" s="93" t="s">
        <v>111</v>
      </c>
      <c r="N97" s="93" t="s">
        <v>111</v>
      </c>
      <c r="O97" s="93" t="s">
        <v>111</v>
      </c>
      <c r="P97" s="93" t="s">
        <v>111</v>
      </c>
      <c r="Q97" s="93" t="s">
        <v>111</v>
      </c>
      <c r="R97" s="93" t="s">
        <v>111</v>
      </c>
      <c r="S97" s="93" t="s">
        <v>111</v>
      </c>
      <c r="T97" s="93" t="s">
        <v>115</v>
      </c>
      <c r="U97" s="93" t="s">
        <v>116</v>
      </c>
      <c r="V97" s="94">
        <v>44596.695138888892</v>
      </c>
      <c r="W97" s="93" t="s">
        <v>1170</v>
      </c>
      <c r="X97" s="93" t="s">
        <v>24</v>
      </c>
    </row>
    <row r="98" spans="1:24" x14ac:dyDescent="0.15">
      <c r="A98" s="93" t="s">
        <v>1318</v>
      </c>
      <c r="B98" s="93" t="s">
        <v>1319</v>
      </c>
      <c r="C98" s="410">
        <v>109</v>
      </c>
      <c r="D98" s="93" t="s">
        <v>24</v>
      </c>
      <c r="E98" s="93" t="s">
        <v>24</v>
      </c>
      <c r="F98" s="93" t="s">
        <v>7070</v>
      </c>
      <c r="G98" s="93" t="s">
        <v>7108</v>
      </c>
      <c r="H98" s="93" t="s">
        <v>118</v>
      </c>
      <c r="I98" s="93" t="s">
        <v>111</v>
      </c>
      <c r="J98" s="93" t="s">
        <v>7105</v>
      </c>
      <c r="K98" s="93" t="s">
        <v>111</v>
      </c>
      <c r="L98" s="93" t="s">
        <v>111</v>
      </c>
      <c r="M98" s="93" t="s">
        <v>111</v>
      </c>
      <c r="N98" s="93" t="s">
        <v>111</v>
      </c>
      <c r="O98" s="93" t="s">
        <v>111</v>
      </c>
      <c r="P98" s="93" t="s">
        <v>111</v>
      </c>
      <c r="Q98" s="93" t="s">
        <v>111</v>
      </c>
      <c r="R98" s="93" t="s">
        <v>111</v>
      </c>
      <c r="S98" s="93" t="s">
        <v>111</v>
      </c>
      <c r="T98" s="93" t="s">
        <v>115</v>
      </c>
      <c r="U98" s="93" t="s">
        <v>116</v>
      </c>
      <c r="V98" s="94">
        <v>44596.664583333331</v>
      </c>
      <c r="W98" s="93" t="s">
        <v>1170</v>
      </c>
      <c r="X98" s="93" t="s">
        <v>24</v>
      </c>
    </row>
    <row r="99" spans="1:24" x14ac:dyDescent="0.15">
      <c r="A99" s="93" t="s">
        <v>1320</v>
      </c>
      <c r="B99" s="93" t="s">
        <v>1321</v>
      </c>
      <c r="C99" s="410">
        <v>265</v>
      </c>
      <c r="D99" s="93" t="s">
        <v>24</v>
      </c>
      <c r="E99" s="93" t="s">
        <v>24</v>
      </c>
      <c r="F99" s="93" t="s">
        <v>7070</v>
      </c>
      <c r="G99" s="93" t="s">
        <v>7108</v>
      </c>
      <c r="H99" s="93" t="s">
        <v>118</v>
      </c>
      <c r="I99" s="93" t="s">
        <v>111</v>
      </c>
      <c r="J99" s="93" t="s">
        <v>7105</v>
      </c>
      <c r="K99" s="93" t="s">
        <v>111</v>
      </c>
      <c r="L99" s="93" t="s">
        <v>111</v>
      </c>
      <c r="M99" s="93" t="s">
        <v>111</v>
      </c>
      <c r="N99" s="93" t="s">
        <v>111</v>
      </c>
      <c r="O99" s="93" t="s">
        <v>111</v>
      </c>
      <c r="P99" s="93" t="s">
        <v>111</v>
      </c>
      <c r="Q99" s="93" t="s">
        <v>111</v>
      </c>
      <c r="R99" s="93" t="s">
        <v>111</v>
      </c>
      <c r="S99" s="93" t="s">
        <v>111</v>
      </c>
      <c r="T99" s="93" t="s">
        <v>115</v>
      </c>
      <c r="U99" s="93" t="s">
        <v>116</v>
      </c>
      <c r="V99" s="94">
        <v>44596.691666666666</v>
      </c>
      <c r="W99" s="93" t="s">
        <v>1170</v>
      </c>
      <c r="X99" s="93" t="s">
        <v>24</v>
      </c>
    </row>
    <row r="100" spans="1:24" x14ac:dyDescent="0.15">
      <c r="A100" s="93" t="s">
        <v>1323</v>
      </c>
      <c r="B100" s="93" t="s">
        <v>1324</v>
      </c>
      <c r="C100" s="410">
        <v>109</v>
      </c>
      <c r="D100" s="93" t="s">
        <v>24</v>
      </c>
      <c r="E100" s="93" t="s">
        <v>24</v>
      </c>
      <c r="F100" s="93" t="s">
        <v>7070</v>
      </c>
      <c r="G100" s="93" t="s">
        <v>7108</v>
      </c>
      <c r="H100" s="93" t="s">
        <v>118</v>
      </c>
      <c r="I100" s="93" t="s">
        <v>111</v>
      </c>
      <c r="J100" s="93" t="s">
        <v>7105</v>
      </c>
      <c r="K100" s="93" t="s">
        <v>111</v>
      </c>
      <c r="L100" s="93" t="s">
        <v>111</v>
      </c>
      <c r="M100" s="93" t="s">
        <v>111</v>
      </c>
      <c r="N100" s="93" t="s">
        <v>111</v>
      </c>
      <c r="O100" s="93" t="s">
        <v>111</v>
      </c>
      <c r="P100" s="93" t="s">
        <v>111</v>
      </c>
      <c r="Q100" s="93" t="s">
        <v>111</v>
      </c>
      <c r="R100" s="93" t="s">
        <v>111</v>
      </c>
      <c r="S100" s="93" t="s">
        <v>111</v>
      </c>
      <c r="T100" s="93" t="s">
        <v>115</v>
      </c>
      <c r="U100" s="93" t="s">
        <v>116</v>
      </c>
      <c r="V100" s="94">
        <v>44596.642361111109</v>
      </c>
      <c r="W100" s="93" t="s">
        <v>1170</v>
      </c>
      <c r="X100" s="93" t="s">
        <v>24</v>
      </c>
    </row>
    <row r="101" spans="1:24" x14ac:dyDescent="0.15">
      <c r="A101" s="93" t="s">
        <v>1326</v>
      </c>
      <c r="B101" s="93" t="s">
        <v>1327</v>
      </c>
      <c r="C101" s="410">
        <v>74</v>
      </c>
      <c r="D101" s="93" t="s">
        <v>24</v>
      </c>
      <c r="E101" s="93" t="s">
        <v>24</v>
      </c>
      <c r="F101" s="93" t="s">
        <v>7070</v>
      </c>
      <c r="G101" s="93" t="s">
        <v>7108</v>
      </c>
      <c r="H101" s="93" t="s">
        <v>118</v>
      </c>
      <c r="I101" s="93" t="s">
        <v>111</v>
      </c>
      <c r="J101" s="93" t="s">
        <v>118</v>
      </c>
      <c r="K101" s="93">
        <v>3</v>
      </c>
      <c r="L101" s="93" t="s">
        <v>111</v>
      </c>
      <c r="M101" s="93" t="s">
        <v>111</v>
      </c>
      <c r="N101" s="93" t="s">
        <v>111</v>
      </c>
      <c r="O101" s="93" t="s">
        <v>111</v>
      </c>
      <c r="P101" s="93" t="s">
        <v>111</v>
      </c>
      <c r="Q101" s="93" t="s">
        <v>111</v>
      </c>
      <c r="R101" s="93" t="s">
        <v>111</v>
      </c>
      <c r="S101" s="93" t="s">
        <v>111</v>
      </c>
      <c r="T101" s="93" t="s">
        <v>115</v>
      </c>
      <c r="U101" s="93" t="s">
        <v>116</v>
      </c>
      <c r="V101" s="94">
        <v>44586.532638888886</v>
      </c>
      <c r="W101" s="93" t="s">
        <v>1170</v>
      </c>
      <c r="X101" s="93" t="s">
        <v>24</v>
      </c>
    </row>
    <row r="102" spans="1:24" x14ac:dyDescent="0.15">
      <c r="A102" s="93" t="s">
        <v>9051</v>
      </c>
      <c r="B102" s="93" t="s">
        <v>9052</v>
      </c>
      <c r="C102" s="410">
        <v>134</v>
      </c>
      <c r="D102" s="93" t="s">
        <v>24</v>
      </c>
      <c r="E102" s="93" t="s">
        <v>24</v>
      </c>
      <c r="F102" s="93" t="s">
        <v>7070</v>
      </c>
      <c r="G102" s="93" t="s">
        <v>7108</v>
      </c>
      <c r="H102" s="93" t="s">
        <v>118</v>
      </c>
      <c r="I102" s="93" t="s">
        <v>111</v>
      </c>
      <c r="J102" s="93" t="s">
        <v>118</v>
      </c>
      <c r="K102" s="93">
        <v>3</v>
      </c>
      <c r="L102" s="93" t="s">
        <v>111</v>
      </c>
      <c r="M102" s="93" t="s">
        <v>111</v>
      </c>
      <c r="N102" s="93" t="s">
        <v>111</v>
      </c>
      <c r="O102" s="93" t="s">
        <v>111</v>
      </c>
      <c r="P102" s="93" t="s">
        <v>111</v>
      </c>
      <c r="Q102" s="93" t="s">
        <v>111</v>
      </c>
      <c r="R102" s="93" t="s">
        <v>228</v>
      </c>
      <c r="S102" s="93" t="s">
        <v>2</v>
      </c>
      <c r="T102" s="93" t="s">
        <v>115</v>
      </c>
      <c r="U102" s="93" t="s">
        <v>116</v>
      </c>
      <c r="V102" s="94">
        <v>44596.659722222219</v>
      </c>
      <c r="W102" s="93" t="s">
        <v>1170</v>
      </c>
      <c r="X102" s="93" t="s">
        <v>24</v>
      </c>
    </row>
    <row r="103" spans="1:24" x14ac:dyDescent="0.15">
      <c r="A103" s="93" t="s">
        <v>1328</v>
      </c>
      <c r="B103" s="93" t="s">
        <v>1329</v>
      </c>
      <c r="C103" s="410">
        <v>147</v>
      </c>
      <c r="D103" s="93" t="s">
        <v>24</v>
      </c>
      <c r="E103" s="93" t="s">
        <v>24</v>
      </c>
      <c r="F103" s="93" t="s">
        <v>7070</v>
      </c>
      <c r="G103" s="93" t="s">
        <v>7108</v>
      </c>
      <c r="H103" s="93" t="s">
        <v>118</v>
      </c>
      <c r="I103" s="93" t="s">
        <v>111</v>
      </c>
      <c r="J103" s="93" t="s">
        <v>7105</v>
      </c>
      <c r="K103" s="93" t="s">
        <v>111</v>
      </c>
      <c r="L103" s="93" t="s">
        <v>111</v>
      </c>
      <c r="M103" s="93" t="s">
        <v>111</v>
      </c>
      <c r="N103" s="93" t="s">
        <v>111</v>
      </c>
      <c r="O103" s="93" t="s">
        <v>111</v>
      </c>
      <c r="P103" s="93" t="s">
        <v>111</v>
      </c>
      <c r="Q103" s="93" t="s">
        <v>111</v>
      </c>
      <c r="R103" s="93" t="s">
        <v>228</v>
      </c>
      <c r="S103" s="93" t="s">
        <v>2</v>
      </c>
      <c r="T103" s="93" t="s">
        <v>115</v>
      </c>
      <c r="U103" s="93" t="s">
        <v>116</v>
      </c>
      <c r="V103" s="94">
        <v>44596.694444444445</v>
      </c>
      <c r="W103" s="93" t="s">
        <v>1170</v>
      </c>
      <c r="X103" s="93" t="s">
        <v>24</v>
      </c>
    </row>
    <row r="104" spans="1:24" x14ac:dyDescent="0.15">
      <c r="A104" s="93" t="s">
        <v>9053</v>
      </c>
      <c r="B104" s="93" t="s">
        <v>9054</v>
      </c>
      <c r="C104" s="410">
        <v>79</v>
      </c>
      <c r="D104" s="93" t="s">
        <v>24</v>
      </c>
      <c r="E104" s="93" t="s">
        <v>24</v>
      </c>
      <c r="F104" s="93" t="s">
        <v>7070</v>
      </c>
      <c r="G104" s="93" t="s">
        <v>7108</v>
      </c>
      <c r="H104" s="93" t="s">
        <v>118</v>
      </c>
      <c r="I104" s="93" t="s">
        <v>111</v>
      </c>
      <c r="J104" s="93" t="s">
        <v>118</v>
      </c>
      <c r="K104" s="93">
        <v>3</v>
      </c>
      <c r="L104" s="93" t="s">
        <v>111</v>
      </c>
      <c r="M104" s="93" t="s">
        <v>111</v>
      </c>
      <c r="N104" s="93" t="s">
        <v>111</v>
      </c>
      <c r="O104" s="93" t="s">
        <v>111</v>
      </c>
      <c r="P104" s="93" t="s">
        <v>111</v>
      </c>
      <c r="Q104" s="93" t="s">
        <v>111</v>
      </c>
      <c r="R104" s="93" t="s">
        <v>228</v>
      </c>
      <c r="S104" s="93" t="s">
        <v>2</v>
      </c>
      <c r="T104" s="93" t="s">
        <v>115</v>
      </c>
      <c r="U104" s="93" t="s">
        <v>116</v>
      </c>
      <c r="V104" s="94">
        <v>44596.659722222219</v>
      </c>
      <c r="W104" s="93" t="s">
        <v>1170</v>
      </c>
      <c r="X104" s="93" t="s">
        <v>24</v>
      </c>
    </row>
    <row r="105" spans="1:24" x14ac:dyDescent="0.15">
      <c r="A105" s="93" t="s">
        <v>1331</v>
      </c>
      <c r="B105" s="93" t="s">
        <v>1332</v>
      </c>
      <c r="C105" s="410">
        <v>5</v>
      </c>
      <c r="D105" s="93" t="s">
        <v>24</v>
      </c>
      <c r="E105" s="93" t="s">
        <v>24</v>
      </c>
      <c r="F105" s="93" t="s">
        <v>7070</v>
      </c>
      <c r="G105" s="93" t="s">
        <v>7108</v>
      </c>
      <c r="H105" s="93" t="s">
        <v>118</v>
      </c>
      <c r="I105" s="93" t="s">
        <v>111</v>
      </c>
      <c r="J105" s="93" t="s">
        <v>7105</v>
      </c>
      <c r="K105" s="93" t="s">
        <v>111</v>
      </c>
      <c r="L105" s="93" t="s">
        <v>111</v>
      </c>
      <c r="M105" s="93" t="s">
        <v>111</v>
      </c>
      <c r="N105" s="93" t="s">
        <v>111</v>
      </c>
      <c r="O105" s="93" t="s">
        <v>111</v>
      </c>
      <c r="P105" s="93" t="s">
        <v>111</v>
      </c>
      <c r="Q105" s="93" t="s">
        <v>111</v>
      </c>
      <c r="R105" s="93" t="s">
        <v>111</v>
      </c>
      <c r="S105" s="93" t="s">
        <v>111</v>
      </c>
      <c r="T105" s="93" t="s">
        <v>115</v>
      </c>
      <c r="U105" s="93" t="s">
        <v>116</v>
      </c>
      <c r="V105" s="94">
        <v>44610.193055555559</v>
      </c>
      <c r="W105" s="93" t="s">
        <v>1170</v>
      </c>
      <c r="X105" s="93" t="s">
        <v>24</v>
      </c>
    </row>
    <row r="106" spans="1:24" x14ac:dyDescent="0.15">
      <c r="A106" s="93" t="s">
        <v>1333</v>
      </c>
      <c r="B106" s="93" t="s">
        <v>1334</v>
      </c>
      <c r="C106" s="410">
        <v>7</v>
      </c>
      <c r="D106" s="93" t="s">
        <v>24</v>
      </c>
      <c r="E106" s="93" t="s">
        <v>24</v>
      </c>
      <c r="F106" s="93" t="s">
        <v>7070</v>
      </c>
      <c r="G106" s="93" t="s">
        <v>7108</v>
      </c>
      <c r="H106" s="93" t="s">
        <v>118</v>
      </c>
      <c r="I106" s="93" t="s">
        <v>111</v>
      </c>
      <c r="J106" s="93" t="s">
        <v>7105</v>
      </c>
      <c r="K106" s="93" t="s">
        <v>111</v>
      </c>
      <c r="L106" s="93" t="s">
        <v>111</v>
      </c>
      <c r="M106" s="93" t="s">
        <v>111</v>
      </c>
      <c r="N106" s="93" t="s">
        <v>111</v>
      </c>
      <c r="O106" s="93" t="s">
        <v>111</v>
      </c>
      <c r="P106" s="93" t="s">
        <v>111</v>
      </c>
      <c r="Q106" s="93" t="s">
        <v>111</v>
      </c>
      <c r="R106" s="93" t="s">
        <v>111</v>
      </c>
      <c r="S106" s="93" t="s">
        <v>111</v>
      </c>
      <c r="T106" s="93" t="s">
        <v>115</v>
      </c>
      <c r="U106" s="93" t="s">
        <v>116</v>
      </c>
      <c r="V106" s="94">
        <v>44610.138888888891</v>
      </c>
      <c r="W106" s="93" t="s">
        <v>1170</v>
      </c>
      <c r="X106" s="93" t="s">
        <v>24</v>
      </c>
    </row>
    <row r="107" spans="1:24" x14ac:dyDescent="0.15">
      <c r="A107" s="93" t="s">
        <v>9055</v>
      </c>
      <c r="B107" s="93" t="s">
        <v>9056</v>
      </c>
      <c r="C107" s="410">
        <v>113</v>
      </c>
      <c r="D107" s="93" t="s">
        <v>24</v>
      </c>
      <c r="E107" s="93" t="s">
        <v>24</v>
      </c>
      <c r="F107" s="93" t="s">
        <v>7070</v>
      </c>
      <c r="G107" s="93" t="s">
        <v>7108</v>
      </c>
      <c r="H107" s="93" t="s">
        <v>118</v>
      </c>
      <c r="I107" s="93" t="s">
        <v>111</v>
      </c>
      <c r="J107" s="93" t="s">
        <v>7105</v>
      </c>
      <c r="K107" s="93" t="s">
        <v>111</v>
      </c>
      <c r="L107" s="93" t="s">
        <v>111</v>
      </c>
      <c r="M107" s="93" t="s">
        <v>111</v>
      </c>
      <c r="N107" s="93" t="s">
        <v>111</v>
      </c>
      <c r="O107" s="93" t="s">
        <v>111</v>
      </c>
      <c r="P107" s="93" t="s">
        <v>111</v>
      </c>
      <c r="Q107" s="93" t="s">
        <v>111</v>
      </c>
      <c r="R107" s="93" t="s">
        <v>228</v>
      </c>
      <c r="S107" s="93" t="s">
        <v>2</v>
      </c>
      <c r="T107" s="93" t="s">
        <v>115</v>
      </c>
      <c r="U107" s="93" t="s">
        <v>116</v>
      </c>
      <c r="V107" s="94">
        <v>44596.668055555558</v>
      </c>
      <c r="W107" s="93" t="s">
        <v>1170</v>
      </c>
      <c r="X107" s="93" t="s">
        <v>24</v>
      </c>
    </row>
    <row r="108" spans="1:24" x14ac:dyDescent="0.15">
      <c r="A108" s="93" t="s">
        <v>7119</v>
      </c>
      <c r="B108" s="93" t="s">
        <v>7120</v>
      </c>
      <c r="C108" s="410">
        <v>70</v>
      </c>
      <c r="D108" s="93" t="s">
        <v>24</v>
      </c>
      <c r="E108" s="93" t="s">
        <v>24</v>
      </c>
      <c r="F108" s="93" t="s">
        <v>7070</v>
      </c>
      <c r="G108" s="93" t="s">
        <v>7108</v>
      </c>
      <c r="H108" s="93" t="s">
        <v>118</v>
      </c>
      <c r="I108" s="93" t="s">
        <v>111</v>
      </c>
      <c r="J108" s="93" t="s">
        <v>118</v>
      </c>
      <c r="K108" s="93">
        <v>3</v>
      </c>
      <c r="L108" s="93" t="s">
        <v>111</v>
      </c>
      <c r="M108" s="93" t="s">
        <v>111</v>
      </c>
      <c r="N108" s="93" t="s">
        <v>111</v>
      </c>
      <c r="O108" s="93" t="s">
        <v>111</v>
      </c>
      <c r="P108" s="93" t="s">
        <v>111</v>
      </c>
      <c r="Q108" s="93" t="s">
        <v>111</v>
      </c>
      <c r="R108" s="93" t="s">
        <v>228</v>
      </c>
      <c r="S108" s="93" t="s">
        <v>2</v>
      </c>
      <c r="T108" s="93" t="s">
        <v>115</v>
      </c>
      <c r="U108" s="93" t="s">
        <v>116</v>
      </c>
      <c r="V108" s="94">
        <v>44602.490277777775</v>
      </c>
      <c r="W108" s="93" t="s">
        <v>402</v>
      </c>
      <c r="X108" s="93" t="s">
        <v>24</v>
      </c>
    </row>
    <row r="109" spans="1:24" x14ac:dyDescent="0.15">
      <c r="A109" s="93" t="s">
        <v>7121</v>
      </c>
      <c r="B109" s="93" t="s">
        <v>7122</v>
      </c>
      <c r="C109" s="410">
        <v>79</v>
      </c>
      <c r="D109" s="93" t="s">
        <v>24</v>
      </c>
      <c r="E109" s="93" t="s">
        <v>24</v>
      </c>
      <c r="F109" s="93" t="s">
        <v>7070</v>
      </c>
      <c r="G109" s="93" t="s">
        <v>7108</v>
      </c>
      <c r="H109" s="93" t="s">
        <v>118</v>
      </c>
      <c r="I109" s="93" t="s">
        <v>111</v>
      </c>
      <c r="J109" s="93" t="s">
        <v>118</v>
      </c>
      <c r="K109" s="93">
        <v>3</v>
      </c>
      <c r="L109" s="93" t="s">
        <v>111</v>
      </c>
      <c r="M109" s="93" t="s">
        <v>111</v>
      </c>
      <c r="N109" s="93" t="s">
        <v>111</v>
      </c>
      <c r="O109" s="93" t="s">
        <v>111</v>
      </c>
      <c r="P109" s="93" t="s">
        <v>111</v>
      </c>
      <c r="Q109" s="93" t="s">
        <v>111</v>
      </c>
      <c r="R109" s="93" t="s">
        <v>228</v>
      </c>
      <c r="S109" s="93" t="s">
        <v>2</v>
      </c>
      <c r="T109" s="93" t="s">
        <v>115</v>
      </c>
      <c r="U109" s="93" t="s">
        <v>116</v>
      </c>
      <c r="V109" s="94">
        <v>44602.986805555556</v>
      </c>
      <c r="W109" s="93" t="s">
        <v>402</v>
      </c>
      <c r="X109" s="93" t="s">
        <v>24</v>
      </c>
    </row>
    <row r="110" spans="1:24" x14ac:dyDescent="0.15">
      <c r="A110" s="93" t="s">
        <v>7028</v>
      </c>
      <c r="B110" s="93" t="s">
        <v>7031</v>
      </c>
      <c r="C110" s="410">
        <v>121</v>
      </c>
      <c r="D110" s="93" t="s">
        <v>24</v>
      </c>
      <c r="E110" s="93" t="s">
        <v>24</v>
      </c>
      <c r="F110" s="93" t="s">
        <v>7070</v>
      </c>
      <c r="G110" s="93" t="s">
        <v>7108</v>
      </c>
      <c r="H110" s="93" t="s">
        <v>400</v>
      </c>
      <c r="I110" s="93" t="s">
        <v>111</v>
      </c>
      <c r="J110" s="93" t="s">
        <v>118</v>
      </c>
      <c r="K110" s="93">
        <v>3</v>
      </c>
      <c r="L110" s="93" t="s">
        <v>111</v>
      </c>
      <c r="M110" s="93" t="s">
        <v>111</v>
      </c>
      <c r="N110" s="93" t="s">
        <v>111</v>
      </c>
      <c r="O110" s="93" t="s">
        <v>111</v>
      </c>
      <c r="P110" s="93" t="s">
        <v>111</v>
      </c>
      <c r="Q110" s="93" t="s">
        <v>111</v>
      </c>
      <c r="R110" s="93" t="s">
        <v>228</v>
      </c>
      <c r="S110" s="93" t="s">
        <v>2</v>
      </c>
      <c r="T110" s="93" t="s">
        <v>115</v>
      </c>
      <c r="U110" s="93" t="s">
        <v>116</v>
      </c>
      <c r="V110" s="94">
        <v>44596.650694444441</v>
      </c>
      <c r="W110" s="93" t="s">
        <v>7336</v>
      </c>
      <c r="X110" s="93" t="s">
        <v>24</v>
      </c>
    </row>
    <row r="111" spans="1:24" x14ac:dyDescent="0.15">
      <c r="A111" s="93" t="s">
        <v>7039</v>
      </c>
      <c r="B111" s="93" t="s">
        <v>7040</v>
      </c>
      <c r="C111" s="410">
        <v>176</v>
      </c>
      <c r="D111" s="93" t="s">
        <v>24</v>
      </c>
      <c r="E111" s="93" t="s">
        <v>24</v>
      </c>
      <c r="F111" s="93" t="s">
        <v>7070</v>
      </c>
      <c r="G111" s="93" t="s">
        <v>7108</v>
      </c>
      <c r="H111" s="93" t="s">
        <v>400</v>
      </c>
      <c r="I111" s="93" t="s">
        <v>111</v>
      </c>
      <c r="J111" s="93" t="s">
        <v>118</v>
      </c>
      <c r="K111" s="93">
        <v>3</v>
      </c>
      <c r="L111" s="93" t="s">
        <v>111</v>
      </c>
      <c r="M111" s="93" t="s">
        <v>111</v>
      </c>
      <c r="N111" s="93" t="s">
        <v>111</v>
      </c>
      <c r="O111" s="93" t="s">
        <v>111</v>
      </c>
      <c r="P111" s="93" t="s">
        <v>111</v>
      </c>
      <c r="Q111" s="93" t="s">
        <v>111</v>
      </c>
      <c r="R111" s="93" t="s">
        <v>228</v>
      </c>
      <c r="S111" s="93" t="s">
        <v>2</v>
      </c>
      <c r="T111" s="93" t="s">
        <v>115</v>
      </c>
      <c r="U111" s="93" t="s">
        <v>116</v>
      </c>
      <c r="V111" s="94">
        <v>44596.664583333331</v>
      </c>
      <c r="W111" s="93" t="s">
        <v>7336</v>
      </c>
      <c r="X111" s="93" t="s">
        <v>24</v>
      </c>
    </row>
    <row r="112" spans="1:24" x14ac:dyDescent="0.15">
      <c r="A112" s="93" t="s">
        <v>7049</v>
      </c>
      <c r="B112" s="93" t="s">
        <v>7050</v>
      </c>
      <c r="C112" s="410">
        <v>185</v>
      </c>
      <c r="D112" s="93" t="s">
        <v>24</v>
      </c>
      <c r="E112" s="93" t="s">
        <v>24</v>
      </c>
      <c r="F112" s="93" t="s">
        <v>7070</v>
      </c>
      <c r="G112" s="93" t="s">
        <v>7108</v>
      </c>
      <c r="H112" s="93" t="s">
        <v>400</v>
      </c>
      <c r="I112" s="93" t="s">
        <v>111</v>
      </c>
      <c r="J112" s="93" t="s">
        <v>118</v>
      </c>
      <c r="K112" s="93">
        <v>3</v>
      </c>
      <c r="L112" s="93" t="s">
        <v>111</v>
      </c>
      <c r="M112" s="93" t="s">
        <v>111</v>
      </c>
      <c r="N112" s="93" t="s">
        <v>111</v>
      </c>
      <c r="O112" s="93" t="s">
        <v>111</v>
      </c>
      <c r="P112" s="93" t="s">
        <v>111</v>
      </c>
      <c r="Q112" s="93" t="s">
        <v>111</v>
      </c>
      <c r="R112" s="93" t="s">
        <v>228</v>
      </c>
      <c r="S112" s="93" t="s">
        <v>2</v>
      </c>
      <c r="T112" s="93" t="s">
        <v>115</v>
      </c>
      <c r="U112" s="93" t="s">
        <v>116</v>
      </c>
      <c r="V112" s="94">
        <v>44596.650694444441</v>
      </c>
      <c r="W112" s="93" t="s">
        <v>7336</v>
      </c>
      <c r="X112" s="93" t="s">
        <v>24</v>
      </c>
    </row>
    <row r="113" spans="1:24" x14ac:dyDescent="0.15">
      <c r="A113" s="93" t="s">
        <v>7123</v>
      </c>
      <c r="B113" s="93" t="s">
        <v>7124</v>
      </c>
      <c r="C113" s="410">
        <v>661</v>
      </c>
      <c r="D113" s="93" t="s">
        <v>24</v>
      </c>
      <c r="E113" s="93" t="s">
        <v>24</v>
      </c>
      <c r="F113" s="93" t="s">
        <v>5978</v>
      </c>
      <c r="G113" s="93" t="s">
        <v>7108</v>
      </c>
      <c r="H113" s="93" t="s">
        <v>118</v>
      </c>
      <c r="I113" s="93" t="s">
        <v>111</v>
      </c>
      <c r="J113" s="93" t="s">
        <v>118</v>
      </c>
      <c r="K113" s="93">
        <v>3</v>
      </c>
      <c r="L113" s="93" t="s">
        <v>111</v>
      </c>
      <c r="M113" s="93" t="s">
        <v>111</v>
      </c>
      <c r="N113" s="93" t="s">
        <v>111</v>
      </c>
      <c r="O113" s="93" t="s">
        <v>111</v>
      </c>
      <c r="P113" s="93" t="s">
        <v>111</v>
      </c>
      <c r="Q113" s="93" t="s">
        <v>111</v>
      </c>
      <c r="R113" s="93" t="s">
        <v>228</v>
      </c>
      <c r="S113" s="93" t="s">
        <v>2</v>
      </c>
      <c r="T113" s="93" t="s">
        <v>115</v>
      </c>
      <c r="U113" s="93" t="s">
        <v>116</v>
      </c>
      <c r="V113" s="94">
        <v>44602.490277777775</v>
      </c>
      <c r="W113" s="93" t="s">
        <v>402</v>
      </c>
      <c r="X113" s="93" t="s">
        <v>24</v>
      </c>
    </row>
    <row r="114" spans="1:24" x14ac:dyDescent="0.15">
      <c r="A114" s="93" t="s">
        <v>7125</v>
      </c>
      <c r="B114" s="93" t="s">
        <v>7126</v>
      </c>
      <c r="C114" s="410">
        <v>45</v>
      </c>
      <c r="D114" s="93" t="s">
        <v>24</v>
      </c>
      <c r="E114" s="93" t="s">
        <v>24</v>
      </c>
      <c r="F114" s="93" t="s">
        <v>5978</v>
      </c>
      <c r="G114" s="93" t="s">
        <v>7108</v>
      </c>
      <c r="H114" s="93" t="s">
        <v>118</v>
      </c>
      <c r="I114" s="93" t="s">
        <v>111</v>
      </c>
      <c r="J114" s="93" t="s">
        <v>118</v>
      </c>
      <c r="K114" s="93">
        <v>3</v>
      </c>
      <c r="L114" s="93" t="s">
        <v>111</v>
      </c>
      <c r="M114" s="93" t="s">
        <v>111</v>
      </c>
      <c r="N114" s="93" t="s">
        <v>111</v>
      </c>
      <c r="O114" s="93" t="s">
        <v>111</v>
      </c>
      <c r="P114" s="93" t="s">
        <v>111</v>
      </c>
      <c r="Q114" s="93" t="s">
        <v>111</v>
      </c>
      <c r="R114" s="93" t="s">
        <v>228</v>
      </c>
      <c r="S114" s="93" t="s">
        <v>2</v>
      </c>
      <c r="T114" s="93" t="s">
        <v>115</v>
      </c>
      <c r="U114" s="93" t="s">
        <v>116</v>
      </c>
      <c r="V114" s="94">
        <v>44602.490277777775</v>
      </c>
      <c r="W114" s="93" t="s">
        <v>402</v>
      </c>
      <c r="X114" s="93" t="s">
        <v>24</v>
      </c>
    </row>
    <row r="115" spans="1:24" x14ac:dyDescent="0.15">
      <c r="A115" s="93" t="s">
        <v>6298</v>
      </c>
      <c r="B115" s="93" t="s">
        <v>6299</v>
      </c>
      <c r="C115" s="410">
        <v>22</v>
      </c>
      <c r="D115" s="93" t="s">
        <v>24</v>
      </c>
      <c r="E115" s="93" t="s">
        <v>24</v>
      </c>
      <c r="F115" s="93" t="s">
        <v>7070</v>
      </c>
      <c r="G115" s="93" t="s">
        <v>7108</v>
      </c>
      <c r="H115" s="93" t="s">
        <v>118</v>
      </c>
      <c r="I115" s="93" t="s">
        <v>111</v>
      </c>
      <c r="J115" s="93" t="s">
        <v>118</v>
      </c>
      <c r="K115" s="93">
        <v>3</v>
      </c>
      <c r="L115" s="93" t="s">
        <v>111</v>
      </c>
      <c r="M115" s="93" t="s">
        <v>111</v>
      </c>
      <c r="N115" s="93" t="s">
        <v>111</v>
      </c>
      <c r="O115" s="93" t="s">
        <v>111</v>
      </c>
      <c r="P115" s="93" t="s">
        <v>111</v>
      </c>
      <c r="Q115" s="93" t="s">
        <v>111</v>
      </c>
      <c r="R115" s="93" t="s">
        <v>228</v>
      </c>
      <c r="S115" s="93" t="s">
        <v>2</v>
      </c>
      <c r="T115" s="93" t="s">
        <v>115</v>
      </c>
      <c r="U115" s="93" t="s">
        <v>116</v>
      </c>
      <c r="V115" s="94">
        <v>44596.697916666664</v>
      </c>
      <c r="W115" s="93" t="s">
        <v>1170</v>
      </c>
      <c r="X115" s="93" t="s">
        <v>24</v>
      </c>
    </row>
    <row r="116" spans="1:24" x14ac:dyDescent="0.15">
      <c r="A116" s="93" t="s">
        <v>6307</v>
      </c>
      <c r="B116" s="93" t="s">
        <v>6308</v>
      </c>
      <c r="C116" s="410">
        <v>49</v>
      </c>
      <c r="D116" s="93" t="s">
        <v>24</v>
      </c>
      <c r="E116" s="93" t="s">
        <v>24</v>
      </c>
      <c r="F116" s="93" t="s">
        <v>7070</v>
      </c>
      <c r="G116" s="93" t="s">
        <v>7108</v>
      </c>
      <c r="H116" s="93" t="s">
        <v>118</v>
      </c>
      <c r="I116" s="93" t="s">
        <v>111</v>
      </c>
      <c r="J116" s="93" t="s">
        <v>118</v>
      </c>
      <c r="K116" s="93">
        <v>3</v>
      </c>
      <c r="L116" s="93" t="s">
        <v>111</v>
      </c>
      <c r="M116" s="93" t="s">
        <v>111</v>
      </c>
      <c r="N116" s="93" t="s">
        <v>111</v>
      </c>
      <c r="O116" s="93" t="s">
        <v>111</v>
      </c>
      <c r="P116" s="93" t="s">
        <v>111</v>
      </c>
      <c r="Q116" s="93" t="s">
        <v>111</v>
      </c>
      <c r="R116" s="93" t="s">
        <v>228</v>
      </c>
      <c r="S116" s="93" t="s">
        <v>2</v>
      </c>
      <c r="T116" s="93" t="s">
        <v>115</v>
      </c>
      <c r="U116" s="93" t="s">
        <v>116</v>
      </c>
      <c r="V116" s="94">
        <v>44596.690972222219</v>
      </c>
      <c r="W116" s="93" t="s">
        <v>1170</v>
      </c>
      <c r="X116" s="93" t="s">
        <v>24</v>
      </c>
    </row>
    <row r="117" spans="1:24" x14ac:dyDescent="0.15">
      <c r="A117" s="93" t="s">
        <v>6316</v>
      </c>
      <c r="B117" s="93" t="s">
        <v>6317</v>
      </c>
      <c r="C117" s="410">
        <v>102</v>
      </c>
      <c r="D117" s="93" t="s">
        <v>24</v>
      </c>
      <c r="E117" s="93" t="s">
        <v>24</v>
      </c>
      <c r="F117" s="93" t="s">
        <v>7070</v>
      </c>
      <c r="G117" s="93" t="s">
        <v>7108</v>
      </c>
      <c r="H117" s="93" t="s">
        <v>118</v>
      </c>
      <c r="I117" s="93" t="s">
        <v>111</v>
      </c>
      <c r="J117" s="93" t="s">
        <v>118</v>
      </c>
      <c r="K117" s="93">
        <v>3</v>
      </c>
      <c r="L117" s="93" t="s">
        <v>111</v>
      </c>
      <c r="M117" s="93" t="s">
        <v>111</v>
      </c>
      <c r="N117" s="93" t="s">
        <v>111</v>
      </c>
      <c r="O117" s="93" t="s">
        <v>111</v>
      </c>
      <c r="P117" s="93" t="s">
        <v>111</v>
      </c>
      <c r="Q117" s="93" t="s">
        <v>111</v>
      </c>
      <c r="R117" s="93" t="s">
        <v>228</v>
      </c>
      <c r="S117" s="93" t="s">
        <v>2</v>
      </c>
      <c r="T117" s="93" t="s">
        <v>115</v>
      </c>
      <c r="U117" s="93" t="s">
        <v>116</v>
      </c>
      <c r="V117" s="94">
        <v>44596.650694444441</v>
      </c>
      <c r="W117" s="93" t="s">
        <v>1170</v>
      </c>
      <c r="X117" s="93" t="s">
        <v>24</v>
      </c>
    </row>
    <row r="118" spans="1:24" x14ac:dyDescent="0.15">
      <c r="A118" s="93" t="s">
        <v>7127</v>
      </c>
      <c r="B118" s="93" t="s">
        <v>7128</v>
      </c>
      <c r="C118" s="410">
        <v>40</v>
      </c>
      <c r="D118" s="93" t="s">
        <v>24</v>
      </c>
      <c r="E118" s="93" t="s">
        <v>24</v>
      </c>
      <c r="F118" s="93" t="s">
        <v>7070</v>
      </c>
      <c r="G118" s="93" t="s">
        <v>7108</v>
      </c>
      <c r="H118" s="93" t="s">
        <v>118</v>
      </c>
      <c r="I118" s="93" t="s">
        <v>111</v>
      </c>
      <c r="J118" s="93" t="s">
        <v>118</v>
      </c>
      <c r="K118" s="93">
        <v>3</v>
      </c>
      <c r="L118" s="93" t="s">
        <v>111</v>
      </c>
      <c r="M118" s="93" t="s">
        <v>111</v>
      </c>
      <c r="N118" s="93" t="s">
        <v>111</v>
      </c>
      <c r="O118" s="93" t="s">
        <v>111</v>
      </c>
      <c r="P118" s="93" t="s">
        <v>111</v>
      </c>
      <c r="Q118" s="93" t="s">
        <v>111</v>
      </c>
      <c r="R118" s="93" t="s">
        <v>228</v>
      </c>
      <c r="S118" s="93" t="s">
        <v>2</v>
      </c>
      <c r="T118" s="93" t="s">
        <v>115</v>
      </c>
      <c r="U118" s="93" t="s">
        <v>116</v>
      </c>
      <c r="V118" s="94">
        <v>44617.989583333336</v>
      </c>
      <c r="W118" s="93" t="s">
        <v>402</v>
      </c>
      <c r="X118" s="93" t="s">
        <v>24</v>
      </c>
    </row>
    <row r="119" spans="1:24" x14ac:dyDescent="0.15">
      <c r="A119" s="93" t="s">
        <v>7129</v>
      </c>
      <c r="B119" s="93" t="s">
        <v>7130</v>
      </c>
      <c r="C119" s="410">
        <v>40</v>
      </c>
      <c r="D119" s="93" t="s">
        <v>24</v>
      </c>
      <c r="E119" s="93" t="s">
        <v>24</v>
      </c>
      <c r="F119" s="93" t="s">
        <v>7070</v>
      </c>
      <c r="G119" s="93" t="s">
        <v>7108</v>
      </c>
      <c r="H119" s="93" t="s">
        <v>118</v>
      </c>
      <c r="I119" s="93" t="s">
        <v>111</v>
      </c>
      <c r="J119" s="93" t="s">
        <v>118</v>
      </c>
      <c r="K119" s="93">
        <v>3</v>
      </c>
      <c r="L119" s="93" t="s">
        <v>111</v>
      </c>
      <c r="M119" s="93" t="s">
        <v>111</v>
      </c>
      <c r="N119" s="93" t="s">
        <v>111</v>
      </c>
      <c r="O119" s="93" t="s">
        <v>111</v>
      </c>
      <c r="P119" s="93" t="s">
        <v>111</v>
      </c>
      <c r="Q119" s="93" t="s">
        <v>111</v>
      </c>
      <c r="R119" s="93" t="s">
        <v>228</v>
      </c>
      <c r="S119" s="93" t="s">
        <v>2</v>
      </c>
      <c r="T119" s="93" t="s">
        <v>115</v>
      </c>
      <c r="U119" s="93" t="s">
        <v>116</v>
      </c>
      <c r="V119" s="94">
        <v>44617.988888888889</v>
      </c>
      <c r="W119" s="93" t="s">
        <v>402</v>
      </c>
      <c r="X119" s="93" t="s">
        <v>24</v>
      </c>
    </row>
    <row r="120" spans="1:24" x14ac:dyDescent="0.15">
      <c r="A120" s="93" t="s">
        <v>1335</v>
      </c>
      <c r="B120" s="93" t="s">
        <v>1336</v>
      </c>
      <c r="C120" s="410">
        <v>158</v>
      </c>
      <c r="D120" s="93" t="s">
        <v>24</v>
      </c>
      <c r="E120" s="93" t="s">
        <v>24</v>
      </c>
      <c r="F120" s="93" t="s">
        <v>7070</v>
      </c>
      <c r="G120" s="93" t="s">
        <v>7108</v>
      </c>
      <c r="H120" s="93" t="s">
        <v>118</v>
      </c>
      <c r="I120" s="93" t="s">
        <v>111</v>
      </c>
      <c r="J120" s="93" t="s">
        <v>7105</v>
      </c>
      <c r="K120" s="93" t="s">
        <v>111</v>
      </c>
      <c r="L120" s="93" t="s">
        <v>111</v>
      </c>
      <c r="M120" s="93" t="s">
        <v>111</v>
      </c>
      <c r="N120" s="93" t="s">
        <v>111</v>
      </c>
      <c r="O120" s="93" t="s">
        <v>111</v>
      </c>
      <c r="P120" s="93" t="s">
        <v>111</v>
      </c>
      <c r="Q120" s="93" t="s">
        <v>111</v>
      </c>
      <c r="R120" s="93" t="s">
        <v>111</v>
      </c>
      <c r="S120" s="93" t="s">
        <v>111</v>
      </c>
      <c r="T120" s="93" t="s">
        <v>115</v>
      </c>
      <c r="U120" s="93" t="s">
        <v>116</v>
      </c>
      <c r="V120" s="94">
        <v>44610.1875</v>
      </c>
      <c r="W120" s="93" t="s">
        <v>1170</v>
      </c>
      <c r="X120" s="93" t="s">
        <v>24</v>
      </c>
    </row>
    <row r="121" spans="1:24" x14ac:dyDescent="0.15">
      <c r="A121" s="93" t="s">
        <v>1337</v>
      </c>
      <c r="B121" s="93" t="s">
        <v>1338</v>
      </c>
      <c r="C121" s="410">
        <v>360</v>
      </c>
      <c r="D121" s="93" t="s">
        <v>24</v>
      </c>
      <c r="E121" s="93" t="s">
        <v>24</v>
      </c>
      <c r="F121" s="93" t="s">
        <v>7070</v>
      </c>
      <c r="G121" s="93" t="s">
        <v>7108</v>
      </c>
      <c r="H121" s="93" t="s">
        <v>118</v>
      </c>
      <c r="I121" s="93" t="s">
        <v>111</v>
      </c>
      <c r="J121" s="93" t="s">
        <v>7105</v>
      </c>
      <c r="K121" s="93" t="s">
        <v>111</v>
      </c>
      <c r="L121" s="93" t="s">
        <v>111</v>
      </c>
      <c r="M121" s="93" t="s">
        <v>111</v>
      </c>
      <c r="N121" s="93" t="s">
        <v>111</v>
      </c>
      <c r="O121" s="93" t="s">
        <v>111</v>
      </c>
      <c r="P121" s="93" t="s">
        <v>111</v>
      </c>
      <c r="Q121" s="93" t="s">
        <v>111</v>
      </c>
      <c r="R121" s="93" t="s">
        <v>111</v>
      </c>
      <c r="S121" s="93" t="s">
        <v>111</v>
      </c>
      <c r="T121" s="93" t="s">
        <v>115</v>
      </c>
      <c r="U121" s="93" t="s">
        <v>116</v>
      </c>
      <c r="V121" s="94">
        <v>44610.1875</v>
      </c>
      <c r="W121" s="93" t="s">
        <v>1170</v>
      </c>
      <c r="X121" s="93" t="s">
        <v>24</v>
      </c>
    </row>
    <row r="122" spans="1:24" x14ac:dyDescent="0.15">
      <c r="A122" s="93" t="s">
        <v>1339</v>
      </c>
      <c r="B122" s="93" t="s">
        <v>1340</v>
      </c>
      <c r="C122" s="410">
        <v>68</v>
      </c>
      <c r="D122" s="93" t="s">
        <v>24</v>
      </c>
      <c r="E122" s="93" t="s">
        <v>24</v>
      </c>
      <c r="F122" s="93" t="s">
        <v>7070</v>
      </c>
      <c r="G122" s="93" t="s">
        <v>7108</v>
      </c>
      <c r="H122" s="93" t="s">
        <v>118</v>
      </c>
      <c r="I122" s="93" t="s">
        <v>111</v>
      </c>
      <c r="J122" s="93" t="s">
        <v>7105</v>
      </c>
      <c r="K122" s="93" t="s">
        <v>111</v>
      </c>
      <c r="L122" s="93" t="s">
        <v>111</v>
      </c>
      <c r="M122" s="93" t="s">
        <v>111</v>
      </c>
      <c r="N122" s="93" t="s">
        <v>111</v>
      </c>
      <c r="O122" s="93" t="s">
        <v>111</v>
      </c>
      <c r="P122" s="93" t="s">
        <v>111</v>
      </c>
      <c r="Q122" s="93" t="s">
        <v>111</v>
      </c>
      <c r="R122" s="93" t="s">
        <v>111</v>
      </c>
      <c r="S122" s="93" t="s">
        <v>111</v>
      </c>
      <c r="T122" s="93" t="s">
        <v>115</v>
      </c>
      <c r="U122" s="93" t="s">
        <v>116</v>
      </c>
      <c r="V122" s="94">
        <v>44596.664583333331</v>
      </c>
      <c r="W122" s="93" t="s">
        <v>1170</v>
      </c>
      <c r="X122" s="93" t="s">
        <v>24</v>
      </c>
    </row>
    <row r="123" spans="1:24" x14ac:dyDescent="0.15">
      <c r="A123" s="93" t="s">
        <v>1341</v>
      </c>
      <c r="B123" s="93" t="s">
        <v>1342</v>
      </c>
      <c r="C123" s="410">
        <v>94</v>
      </c>
      <c r="D123" s="93" t="s">
        <v>24</v>
      </c>
      <c r="E123" s="93" t="s">
        <v>24</v>
      </c>
      <c r="F123" s="93" t="s">
        <v>7070</v>
      </c>
      <c r="G123" s="93" t="s">
        <v>7108</v>
      </c>
      <c r="H123" s="93" t="s">
        <v>118</v>
      </c>
      <c r="I123" s="93" t="s">
        <v>111</v>
      </c>
      <c r="J123" s="93" t="s">
        <v>7105</v>
      </c>
      <c r="K123" s="93" t="s">
        <v>111</v>
      </c>
      <c r="L123" s="93" t="s">
        <v>111</v>
      </c>
      <c r="M123" s="93" t="s">
        <v>111</v>
      </c>
      <c r="N123" s="93" t="s">
        <v>111</v>
      </c>
      <c r="O123" s="93" t="s">
        <v>111</v>
      </c>
      <c r="P123" s="93" t="s">
        <v>111</v>
      </c>
      <c r="Q123" s="93" t="s">
        <v>111</v>
      </c>
      <c r="R123" s="93" t="s">
        <v>111</v>
      </c>
      <c r="S123" s="93" t="s">
        <v>111</v>
      </c>
      <c r="T123" s="93" t="s">
        <v>115</v>
      </c>
      <c r="U123" s="93" t="s">
        <v>116</v>
      </c>
      <c r="V123" s="94">
        <v>44596.695138888892</v>
      </c>
      <c r="W123" s="93" t="s">
        <v>1170</v>
      </c>
      <c r="X123" s="93" t="s">
        <v>24</v>
      </c>
    </row>
    <row r="124" spans="1:24" x14ac:dyDescent="0.15">
      <c r="A124" s="93" t="s">
        <v>1343</v>
      </c>
      <c r="B124" s="93" t="s">
        <v>1344</v>
      </c>
      <c r="C124" s="410">
        <v>247</v>
      </c>
      <c r="D124" s="93" t="s">
        <v>24</v>
      </c>
      <c r="E124" s="93" t="s">
        <v>24</v>
      </c>
      <c r="F124" s="93" t="s">
        <v>7070</v>
      </c>
      <c r="G124" s="93" t="s">
        <v>7108</v>
      </c>
      <c r="H124" s="93" t="s">
        <v>118</v>
      </c>
      <c r="I124" s="93" t="s">
        <v>111</v>
      </c>
      <c r="J124" s="93" t="s">
        <v>7105</v>
      </c>
      <c r="K124" s="93" t="s">
        <v>111</v>
      </c>
      <c r="L124" s="93" t="s">
        <v>111</v>
      </c>
      <c r="M124" s="93" t="s">
        <v>111</v>
      </c>
      <c r="N124" s="93" t="s">
        <v>111</v>
      </c>
      <c r="O124" s="93" t="s">
        <v>111</v>
      </c>
      <c r="P124" s="93" t="s">
        <v>111</v>
      </c>
      <c r="Q124" s="93" t="s">
        <v>111</v>
      </c>
      <c r="R124" s="93" t="s">
        <v>111</v>
      </c>
      <c r="S124" s="93" t="s">
        <v>111</v>
      </c>
      <c r="T124" s="93" t="s">
        <v>115</v>
      </c>
      <c r="U124" s="93" t="s">
        <v>116</v>
      </c>
      <c r="V124" s="94">
        <v>44596.642361111109</v>
      </c>
      <c r="W124" s="93" t="s">
        <v>1170</v>
      </c>
      <c r="X124" s="93" t="s">
        <v>24</v>
      </c>
    </row>
    <row r="125" spans="1:24" x14ac:dyDescent="0.15">
      <c r="A125" s="93" t="s">
        <v>1345</v>
      </c>
      <c r="B125" s="93" t="s">
        <v>1346</v>
      </c>
      <c r="C125" s="410">
        <v>567</v>
      </c>
      <c r="D125" s="93" t="s">
        <v>24</v>
      </c>
      <c r="E125" s="93" t="s">
        <v>24</v>
      </c>
      <c r="F125" s="93" t="s">
        <v>7070</v>
      </c>
      <c r="G125" s="93" t="s">
        <v>7108</v>
      </c>
      <c r="H125" s="93" t="s">
        <v>118</v>
      </c>
      <c r="I125" s="93" t="s">
        <v>111</v>
      </c>
      <c r="J125" s="93" t="s">
        <v>7105</v>
      </c>
      <c r="K125" s="93" t="s">
        <v>111</v>
      </c>
      <c r="L125" s="93" t="s">
        <v>111</v>
      </c>
      <c r="M125" s="93" t="s">
        <v>111</v>
      </c>
      <c r="N125" s="93" t="s">
        <v>111</v>
      </c>
      <c r="O125" s="93" t="s">
        <v>111</v>
      </c>
      <c r="P125" s="93" t="s">
        <v>111</v>
      </c>
      <c r="Q125" s="93" t="s">
        <v>111</v>
      </c>
      <c r="R125" s="93" t="s">
        <v>111</v>
      </c>
      <c r="S125" s="93" t="s">
        <v>111</v>
      </c>
      <c r="T125" s="93" t="s">
        <v>115</v>
      </c>
      <c r="U125" s="93" t="s">
        <v>116</v>
      </c>
      <c r="V125" s="94">
        <v>44596.647222222222</v>
      </c>
      <c r="W125" s="93" t="s">
        <v>1170</v>
      </c>
      <c r="X125" s="93" t="s">
        <v>24</v>
      </c>
    </row>
    <row r="126" spans="1:24" x14ac:dyDescent="0.15">
      <c r="A126" s="93" t="s">
        <v>1347</v>
      </c>
      <c r="B126" s="93" t="s">
        <v>1348</v>
      </c>
      <c r="C126" s="410">
        <v>72</v>
      </c>
      <c r="D126" s="93" t="s">
        <v>24</v>
      </c>
      <c r="E126" s="93" t="s">
        <v>24</v>
      </c>
      <c r="F126" s="93" t="s">
        <v>7070</v>
      </c>
      <c r="G126" s="93" t="s">
        <v>7108</v>
      </c>
      <c r="H126" s="93" t="s">
        <v>118</v>
      </c>
      <c r="I126" s="93" t="s">
        <v>111</v>
      </c>
      <c r="J126" s="93" t="s">
        <v>7105</v>
      </c>
      <c r="K126" s="93" t="s">
        <v>111</v>
      </c>
      <c r="L126" s="93" t="s">
        <v>111</v>
      </c>
      <c r="M126" s="93" t="s">
        <v>111</v>
      </c>
      <c r="N126" s="93" t="s">
        <v>111</v>
      </c>
      <c r="O126" s="93" t="s">
        <v>111</v>
      </c>
      <c r="P126" s="93" t="s">
        <v>111</v>
      </c>
      <c r="Q126" s="93" t="s">
        <v>111</v>
      </c>
      <c r="R126" s="93" t="s">
        <v>111</v>
      </c>
      <c r="S126" s="93" t="s">
        <v>111</v>
      </c>
      <c r="T126" s="93" t="s">
        <v>115</v>
      </c>
      <c r="U126" s="93" t="s">
        <v>116</v>
      </c>
      <c r="V126" s="94">
        <v>44596.691666666666</v>
      </c>
      <c r="W126" s="93" t="s">
        <v>1170</v>
      </c>
      <c r="X126" s="93" t="s">
        <v>24</v>
      </c>
    </row>
    <row r="127" spans="1:24" x14ac:dyDescent="0.15">
      <c r="A127" s="93" t="s">
        <v>1349</v>
      </c>
      <c r="B127" s="93" t="s">
        <v>1350</v>
      </c>
      <c r="C127" s="410">
        <v>57</v>
      </c>
      <c r="D127" s="93" t="s">
        <v>24</v>
      </c>
      <c r="E127" s="93" t="s">
        <v>24</v>
      </c>
      <c r="F127" s="93" t="s">
        <v>7070</v>
      </c>
      <c r="G127" s="93" t="s">
        <v>7108</v>
      </c>
      <c r="H127" s="93" t="s">
        <v>118</v>
      </c>
      <c r="I127" s="93" t="s">
        <v>111</v>
      </c>
      <c r="J127" s="93" t="s">
        <v>7105</v>
      </c>
      <c r="K127" s="93" t="s">
        <v>111</v>
      </c>
      <c r="L127" s="93" t="s">
        <v>111</v>
      </c>
      <c r="M127" s="93" t="s">
        <v>111</v>
      </c>
      <c r="N127" s="93" t="s">
        <v>111</v>
      </c>
      <c r="O127" s="93" t="s">
        <v>111</v>
      </c>
      <c r="P127" s="93" t="s">
        <v>111</v>
      </c>
      <c r="Q127" s="93" t="s">
        <v>111</v>
      </c>
      <c r="R127" s="93" t="s">
        <v>228</v>
      </c>
      <c r="S127" s="93" t="s">
        <v>2</v>
      </c>
      <c r="T127" s="93" t="s">
        <v>115</v>
      </c>
      <c r="U127" s="93" t="s">
        <v>116</v>
      </c>
      <c r="V127" s="94">
        <v>44596.697222222225</v>
      </c>
      <c r="W127" s="93" t="s">
        <v>1170</v>
      </c>
      <c r="X127" s="93" t="s">
        <v>24</v>
      </c>
    </row>
    <row r="128" spans="1:24" x14ac:dyDescent="0.15">
      <c r="A128" s="93" t="s">
        <v>1351</v>
      </c>
      <c r="B128" s="93" t="s">
        <v>1352</v>
      </c>
      <c r="C128" s="410">
        <v>396</v>
      </c>
      <c r="D128" s="93" t="s">
        <v>24</v>
      </c>
      <c r="E128" s="93" t="s">
        <v>24</v>
      </c>
      <c r="F128" s="93" t="s">
        <v>7070</v>
      </c>
      <c r="G128" s="93" t="s">
        <v>7108</v>
      </c>
      <c r="H128" s="93" t="s">
        <v>118</v>
      </c>
      <c r="I128" s="93" t="s">
        <v>111</v>
      </c>
      <c r="J128" s="93" t="s">
        <v>7105</v>
      </c>
      <c r="K128" s="93" t="s">
        <v>111</v>
      </c>
      <c r="L128" s="93" t="s">
        <v>111</v>
      </c>
      <c r="M128" s="93" t="s">
        <v>111</v>
      </c>
      <c r="N128" s="93" t="s">
        <v>111</v>
      </c>
      <c r="O128" s="93" t="s">
        <v>111</v>
      </c>
      <c r="P128" s="93" t="s">
        <v>111</v>
      </c>
      <c r="Q128" s="93" t="s">
        <v>111</v>
      </c>
      <c r="R128" s="93" t="s">
        <v>111</v>
      </c>
      <c r="S128" s="93" t="s">
        <v>111</v>
      </c>
      <c r="T128" s="93" t="s">
        <v>115</v>
      </c>
      <c r="U128" s="93" t="s">
        <v>116</v>
      </c>
      <c r="V128" s="94">
        <v>44596.651388888888</v>
      </c>
      <c r="W128" s="93" t="s">
        <v>1170</v>
      </c>
      <c r="X128" s="93" t="s">
        <v>24</v>
      </c>
    </row>
    <row r="129" spans="1:24" x14ac:dyDescent="0.15">
      <c r="A129" s="93" t="s">
        <v>1353</v>
      </c>
      <c r="B129" s="93" t="s">
        <v>9057</v>
      </c>
      <c r="C129" s="410">
        <v>126</v>
      </c>
      <c r="D129" s="93" t="s">
        <v>24</v>
      </c>
      <c r="E129" s="93" t="s">
        <v>24</v>
      </c>
      <c r="F129" s="93" t="s">
        <v>7070</v>
      </c>
      <c r="G129" s="93" t="s">
        <v>7108</v>
      </c>
      <c r="H129" s="93" t="s">
        <v>118</v>
      </c>
      <c r="I129" s="93" t="s">
        <v>111</v>
      </c>
      <c r="J129" s="93" t="s">
        <v>7105</v>
      </c>
      <c r="K129" s="93" t="s">
        <v>111</v>
      </c>
      <c r="L129" s="93" t="s">
        <v>111</v>
      </c>
      <c r="M129" s="93" t="s">
        <v>111</v>
      </c>
      <c r="N129" s="93" t="s">
        <v>111</v>
      </c>
      <c r="O129" s="93" t="s">
        <v>111</v>
      </c>
      <c r="P129" s="93" t="s">
        <v>111</v>
      </c>
      <c r="Q129" s="93" t="s">
        <v>111</v>
      </c>
      <c r="R129" s="93" t="s">
        <v>111</v>
      </c>
      <c r="S129" s="93" t="s">
        <v>111</v>
      </c>
      <c r="T129" s="93" t="s">
        <v>115</v>
      </c>
      <c r="U129" s="93" t="s">
        <v>116</v>
      </c>
      <c r="V129" s="94">
        <v>44600.431944444441</v>
      </c>
      <c r="W129" s="93" t="s">
        <v>1170</v>
      </c>
      <c r="X129" s="93" t="s">
        <v>24</v>
      </c>
    </row>
    <row r="130" spans="1:24" x14ac:dyDescent="0.15">
      <c r="A130" s="93" t="s">
        <v>1354</v>
      </c>
      <c r="B130" s="93" t="s">
        <v>1355</v>
      </c>
      <c r="C130" s="410">
        <v>268</v>
      </c>
      <c r="D130" s="93" t="s">
        <v>24</v>
      </c>
      <c r="E130" s="93" t="s">
        <v>24</v>
      </c>
      <c r="F130" s="93" t="s">
        <v>7070</v>
      </c>
      <c r="G130" s="93" t="s">
        <v>7108</v>
      </c>
      <c r="H130" s="93" t="s">
        <v>118</v>
      </c>
      <c r="I130" s="93" t="s">
        <v>111</v>
      </c>
      <c r="J130" s="93" t="s">
        <v>118</v>
      </c>
      <c r="K130" s="93">
        <v>3</v>
      </c>
      <c r="L130" s="93" t="s">
        <v>111</v>
      </c>
      <c r="M130" s="93" t="s">
        <v>111</v>
      </c>
      <c r="N130" s="93" t="s">
        <v>111</v>
      </c>
      <c r="O130" s="93" t="s">
        <v>111</v>
      </c>
      <c r="P130" s="93" t="s">
        <v>111</v>
      </c>
      <c r="Q130" s="93" t="s">
        <v>111</v>
      </c>
      <c r="R130" s="93" t="s">
        <v>111</v>
      </c>
      <c r="S130" s="93" t="s">
        <v>111</v>
      </c>
      <c r="T130" s="93" t="s">
        <v>115</v>
      </c>
      <c r="U130" s="93" t="s">
        <v>116</v>
      </c>
      <c r="V130" s="94">
        <v>44596.691666666666</v>
      </c>
      <c r="W130" s="93" t="s">
        <v>1170</v>
      </c>
      <c r="X130" s="93" t="s">
        <v>24</v>
      </c>
    </row>
    <row r="131" spans="1:24" x14ac:dyDescent="0.15">
      <c r="A131" s="93" t="s">
        <v>1356</v>
      </c>
      <c r="B131" s="93" t="s">
        <v>1357</v>
      </c>
      <c r="C131" s="410">
        <v>189</v>
      </c>
      <c r="D131" s="93" t="s">
        <v>24</v>
      </c>
      <c r="E131" s="93" t="s">
        <v>24</v>
      </c>
      <c r="F131" s="93" t="s">
        <v>7070</v>
      </c>
      <c r="G131" s="93" t="s">
        <v>7108</v>
      </c>
      <c r="H131" s="93" t="s">
        <v>118</v>
      </c>
      <c r="I131" s="93" t="s">
        <v>111</v>
      </c>
      <c r="J131" s="93" t="s">
        <v>118</v>
      </c>
      <c r="K131" s="93">
        <v>3</v>
      </c>
      <c r="L131" s="93" t="s">
        <v>111</v>
      </c>
      <c r="M131" s="93" t="s">
        <v>111</v>
      </c>
      <c r="N131" s="93" t="s">
        <v>111</v>
      </c>
      <c r="O131" s="93" t="s">
        <v>111</v>
      </c>
      <c r="P131" s="93" t="s">
        <v>111</v>
      </c>
      <c r="Q131" s="93" t="s">
        <v>111</v>
      </c>
      <c r="R131" s="93" t="s">
        <v>111</v>
      </c>
      <c r="S131" s="93" t="s">
        <v>111</v>
      </c>
      <c r="T131" s="93" t="s">
        <v>115</v>
      </c>
      <c r="U131" s="93" t="s">
        <v>116</v>
      </c>
      <c r="V131" s="94">
        <v>44586.533333333333</v>
      </c>
      <c r="W131" s="93" t="s">
        <v>1170</v>
      </c>
      <c r="X131" s="93" t="s">
        <v>24</v>
      </c>
    </row>
    <row r="132" spans="1:24" x14ac:dyDescent="0.15">
      <c r="A132" s="93" t="s">
        <v>1358</v>
      </c>
      <c r="B132" s="93" t="s">
        <v>1359</v>
      </c>
      <c r="C132" s="410">
        <v>158</v>
      </c>
      <c r="D132" s="93" t="s">
        <v>24</v>
      </c>
      <c r="E132" s="93" t="s">
        <v>24</v>
      </c>
      <c r="F132" s="93" t="s">
        <v>7070</v>
      </c>
      <c r="G132" s="93" t="s">
        <v>7108</v>
      </c>
      <c r="H132" s="93" t="s">
        <v>118</v>
      </c>
      <c r="I132" s="93" t="s">
        <v>111</v>
      </c>
      <c r="J132" s="93" t="s">
        <v>7105</v>
      </c>
      <c r="K132" s="93" t="s">
        <v>111</v>
      </c>
      <c r="L132" s="93" t="s">
        <v>111</v>
      </c>
      <c r="M132" s="93" t="s">
        <v>111</v>
      </c>
      <c r="N132" s="93" t="s">
        <v>111</v>
      </c>
      <c r="O132" s="93" t="s">
        <v>111</v>
      </c>
      <c r="P132" s="93" t="s">
        <v>111</v>
      </c>
      <c r="Q132" s="93" t="s">
        <v>111</v>
      </c>
      <c r="R132" s="93" t="s">
        <v>111</v>
      </c>
      <c r="S132" s="93" t="s">
        <v>111</v>
      </c>
      <c r="T132" s="93" t="s">
        <v>115</v>
      </c>
      <c r="U132" s="93" t="s">
        <v>116</v>
      </c>
      <c r="V132" s="94">
        <v>44596.6875</v>
      </c>
      <c r="W132" s="93" t="s">
        <v>1170</v>
      </c>
      <c r="X132" s="93" t="s">
        <v>24</v>
      </c>
    </row>
    <row r="133" spans="1:24" x14ac:dyDescent="0.15">
      <c r="A133" s="93" t="s">
        <v>1360</v>
      </c>
      <c r="B133" s="93" t="s">
        <v>1361</v>
      </c>
      <c r="C133" s="410">
        <v>345</v>
      </c>
      <c r="D133" s="93" t="s">
        <v>24</v>
      </c>
      <c r="E133" s="93" t="s">
        <v>24</v>
      </c>
      <c r="F133" s="93" t="s">
        <v>7070</v>
      </c>
      <c r="G133" s="93" t="s">
        <v>7108</v>
      </c>
      <c r="H133" s="93" t="s">
        <v>118</v>
      </c>
      <c r="I133" s="93" t="s">
        <v>111</v>
      </c>
      <c r="J133" s="93" t="s">
        <v>118</v>
      </c>
      <c r="K133" s="93">
        <v>3</v>
      </c>
      <c r="L133" s="93" t="s">
        <v>111</v>
      </c>
      <c r="M133" s="93" t="s">
        <v>111</v>
      </c>
      <c r="N133" s="93" t="s">
        <v>111</v>
      </c>
      <c r="O133" s="93" t="s">
        <v>111</v>
      </c>
      <c r="P133" s="93" t="s">
        <v>111</v>
      </c>
      <c r="Q133" s="93" t="s">
        <v>111</v>
      </c>
      <c r="R133" s="93" t="s">
        <v>111</v>
      </c>
      <c r="S133" s="93" t="s">
        <v>111</v>
      </c>
      <c r="T133" s="93" t="s">
        <v>115</v>
      </c>
      <c r="U133" s="93" t="s">
        <v>116</v>
      </c>
      <c r="V133" s="94">
        <v>44586.533333333333</v>
      </c>
      <c r="W133" s="93" t="s">
        <v>1170</v>
      </c>
      <c r="X133" s="93" t="s">
        <v>24</v>
      </c>
    </row>
    <row r="134" spans="1:24" x14ac:dyDescent="0.15">
      <c r="A134" s="93" t="s">
        <v>1362</v>
      </c>
      <c r="B134" s="93" t="s">
        <v>1363</v>
      </c>
      <c r="C134" s="410">
        <v>211</v>
      </c>
      <c r="D134" s="93" t="s">
        <v>24</v>
      </c>
      <c r="E134" s="93" t="s">
        <v>24</v>
      </c>
      <c r="F134" s="93" t="s">
        <v>7070</v>
      </c>
      <c r="G134" s="93" t="s">
        <v>7108</v>
      </c>
      <c r="H134" s="93" t="s">
        <v>118</v>
      </c>
      <c r="I134" s="93" t="s">
        <v>111</v>
      </c>
      <c r="J134" s="93" t="s">
        <v>118</v>
      </c>
      <c r="K134" s="93">
        <v>3</v>
      </c>
      <c r="L134" s="93" t="s">
        <v>111</v>
      </c>
      <c r="M134" s="93" t="s">
        <v>111</v>
      </c>
      <c r="N134" s="93" t="s">
        <v>111</v>
      </c>
      <c r="O134" s="93" t="s">
        <v>111</v>
      </c>
      <c r="P134" s="93" t="s">
        <v>111</v>
      </c>
      <c r="Q134" s="93" t="s">
        <v>111</v>
      </c>
      <c r="R134" s="93" t="s">
        <v>111</v>
      </c>
      <c r="S134" s="93" t="s">
        <v>111</v>
      </c>
      <c r="T134" s="93" t="s">
        <v>115</v>
      </c>
      <c r="U134" s="93" t="s">
        <v>116</v>
      </c>
      <c r="V134" s="94">
        <v>44586.533333333333</v>
      </c>
      <c r="W134" s="93" t="s">
        <v>1170</v>
      </c>
      <c r="X134" s="93" t="s">
        <v>24</v>
      </c>
    </row>
    <row r="135" spans="1:24" x14ac:dyDescent="0.15">
      <c r="A135" s="93" t="s">
        <v>1364</v>
      </c>
      <c r="B135" s="93" t="s">
        <v>1365</v>
      </c>
      <c r="C135" s="410">
        <v>243</v>
      </c>
      <c r="D135" s="93" t="s">
        <v>24</v>
      </c>
      <c r="E135" s="93" t="s">
        <v>24</v>
      </c>
      <c r="F135" s="93" t="s">
        <v>7070</v>
      </c>
      <c r="G135" s="93" t="s">
        <v>7108</v>
      </c>
      <c r="H135" s="93" t="s">
        <v>118</v>
      </c>
      <c r="I135" s="93" t="s">
        <v>111</v>
      </c>
      <c r="J135" s="93" t="s">
        <v>118</v>
      </c>
      <c r="K135" s="93">
        <v>3</v>
      </c>
      <c r="L135" s="93" t="s">
        <v>111</v>
      </c>
      <c r="M135" s="93" t="s">
        <v>111</v>
      </c>
      <c r="N135" s="93" t="s">
        <v>111</v>
      </c>
      <c r="O135" s="93" t="s">
        <v>111</v>
      </c>
      <c r="P135" s="93" t="s">
        <v>111</v>
      </c>
      <c r="Q135" s="93" t="s">
        <v>111</v>
      </c>
      <c r="R135" s="93" t="s">
        <v>111</v>
      </c>
      <c r="S135" s="93" t="s">
        <v>111</v>
      </c>
      <c r="T135" s="93" t="s">
        <v>115</v>
      </c>
      <c r="U135" s="93" t="s">
        <v>116</v>
      </c>
      <c r="V135" s="94">
        <v>44586.533333333333</v>
      </c>
      <c r="W135" s="93" t="s">
        <v>1170</v>
      </c>
      <c r="X135" s="93" t="s">
        <v>24</v>
      </c>
    </row>
    <row r="136" spans="1:24" x14ac:dyDescent="0.15">
      <c r="A136" s="93" t="s">
        <v>1366</v>
      </c>
      <c r="B136" s="93" t="s">
        <v>1367</v>
      </c>
      <c r="C136" s="410">
        <v>567</v>
      </c>
      <c r="D136" s="93" t="s">
        <v>24</v>
      </c>
      <c r="E136" s="93" t="s">
        <v>24</v>
      </c>
      <c r="F136" s="93" t="s">
        <v>7070</v>
      </c>
      <c r="G136" s="93" t="s">
        <v>7108</v>
      </c>
      <c r="H136" s="93" t="s">
        <v>118</v>
      </c>
      <c r="I136" s="93" t="s">
        <v>111</v>
      </c>
      <c r="J136" s="93" t="s">
        <v>118</v>
      </c>
      <c r="K136" s="93">
        <v>3</v>
      </c>
      <c r="L136" s="93" t="s">
        <v>111</v>
      </c>
      <c r="M136" s="93" t="s">
        <v>111</v>
      </c>
      <c r="N136" s="93" t="s">
        <v>111</v>
      </c>
      <c r="O136" s="93" t="s">
        <v>111</v>
      </c>
      <c r="P136" s="93" t="s">
        <v>111</v>
      </c>
      <c r="Q136" s="93" t="s">
        <v>111</v>
      </c>
      <c r="R136" s="93" t="s">
        <v>111</v>
      </c>
      <c r="S136" s="93" t="s">
        <v>111</v>
      </c>
      <c r="T136" s="93" t="s">
        <v>115</v>
      </c>
      <c r="U136" s="93" t="s">
        <v>116</v>
      </c>
      <c r="V136" s="94">
        <v>44586.533333333333</v>
      </c>
      <c r="W136" s="93" t="s">
        <v>1170</v>
      </c>
      <c r="X136" s="93" t="s">
        <v>24</v>
      </c>
    </row>
    <row r="137" spans="1:24" x14ac:dyDescent="0.15">
      <c r="A137" s="93" t="s">
        <v>1368</v>
      </c>
      <c r="B137" s="93" t="s">
        <v>1369</v>
      </c>
      <c r="C137" s="410">
        <v>135</v>
      </c>
      <c r="D137" s="93" t="s">
        <v>24</v>
      </c>
      <c r="E137" s="93" t="s">
        <v>24</v>
      </c>
      <c r="F137" s="93" t="s">
        <v>7070</v>
      </c>
      <c r="G137" s="93" t="s">
        <v>7108</v>
      </c>
      <c r="H137" s="93" t="s">
        <v>118</v>
      </c>
      <c r="I137" s="93" t="s">
        <v>111</v>
      </c>
      <c r="J137" s="93" t="s">
        <v>118</v>
      </c>
      <c r="K137" s="93">
        <v>3</v>
      </c>
      <c r="L137" s="93" t="s">
        <v>111</v>
      </c>
      <c r="M137" s="93" t="s">
        <v>111</v>
      </c>
      <c r="N137" s="93" t="s">
        <v>111</v>
      </c>
      <c r="O137" s="93" t="s">
        <v>111</v>
      </c>
      <c r="P137" s="93" t="s">
        <v>111</v>
      </c>
      <c r="Q137" s="93" t="s">
        <v>111</v>
      </c>
      <c r="R137" s="93" t="s">
        <v>111</v>
      </c>
      <c r="S137" s="93" t="s">
        <v>111</v>
      </c>
      <c r="T137" s="93" t="s">
        <v>115</v>
      </c>
      <c r="U137" s="93" t="s">
        <v>116</v>
      </c>
      <c r="V137" s="94">
        <v>44586.533333333333</v>
      </c>
      <c r="W137" s="93" t="s">
        <v>1170</v>
      </c>
      <c r="X137" s="93" t="s">
        <v>24</v>
      </c>
    </row>
    <row r="138" spans="1:24" x14ac:dyDescent="0.15">
      <c r="A138" s="93" t="s">
        <v>1370</v>
      </c>
      <c r="B138" s="93" t="s">
        <v>1371</v>
      </c>
      <c r="C138" s="410">
        <v>225</v>
      </c>
      <c r="D138" s="93" t="s">
        <v>24</v>
      </c>
      <c r="E138" s="93" t="s">
        <v>24</v>
      </c>
      <c r="F138" s="93" t="s">
        <v>7070</v>
      </c>
      <c r="G138" s="93" t="s">
        <v>7108</v>
      </c>
      <c r="H138" s="93" t="s">
        <v>118</v>
      </c>
      <c r="I138" s="93" t="s">
        <v>111</v>
      </c>
      <c r="J138" s="93" t="s">
        <v>118</v>
      </c>
      <c r="K138" s="93">
        <v>3</v>
      </c>
      <c r="L138" s="93" t="s">
        <v>111</v>
      </c>
      <c r="M138" s="93" t="s">
        <v>111</v>
      </c>
      <c r="N138" s="93" t="s">
        <v>111</v>
      </c>
      <c r="O138" s="93" t="s">
        <v>111</v>
      </c>
      <c r="P138" s="93" t="s">
        <v>111</v>
      </c>
      <c r="Q138" s="93" t="s">
        <v>111</v>
      </c>
      <c r="R138" s="93" t="s">
        <v>111</v>
      </c>
      <c r="S138" s="93" t="s">
        <v>111</v>
      </c>
      <c r="T138" s="93" t="s">
        <v>115</v>
      </c>
      <c r="U138" s="93" t="s">
        <v>116</v>
      </c>
      <c r="V138" s="94">
        <v>44586.533333333333</v>
      </c>
      <c r="W138" s="93" t="s">
        <v>1170</v>
      </c>
      <c r="X138" s="93" t="s">
        <v>24</v>
      </c>
    </row>
    <row r="139" spans="1:24" x14ac:dyDescent="0.15">
      <c r="A139" s="93" t="s">
        <v>1372</v>
      </c>
      <c r="B139" s="93" t="s">
        <v>1373</v>
      </c>
      <c r="C139" s="410">
        <v>102</v>
      </c>
      <c r="D139" s="93" t="s">
        <v>24</v>
      </c>
      <c r="E139" s="93" t="s">
        <v>24</v>
      </c>
      <c r="F139" s="93" t="s">
        <v>7070</v>
      </c>
      <c r="G139" s="93" t="s">
        <v>7108</v>
      </c>
      <c r="H139" s="93" t="s">
        <v>118</v>
      </c>
      <c r="I139" s="93" t="s">
        <v>111</v>
      </c>
      <c r="J139" s="93" t="s">
        <v>118</v>
      </c>
      <c r="K139" s="93">
        <v>3</v>
      </c>
      <c r="L139" s="93" t="s">
        <v>111</v>
      </c>
      <c r="M139" s="93" t="s">
        <v>111</v>
      </c>
      <c r="N139" s="93" t="s">
        <v>111</v>
      </c>
      <c r="O139" s="93" t="s">
        <v>111</v>
      </c>
      <c r="P139" s="93" t="s">
        <v>111</v>
      </c>
      <c r="Q139" s="93" t="s">
        <v>111</v>
      </c>
      <c r="R139" s="93" t="s">
        <v>111</v>
      </c>
      <c r="S139" s="93" t="s">
        <v>111</v>
      </c>
      <c r="T139" s="93" t="s">
        <v>115</v>
      </c>
      <c r="U139" s="93" t="s">
        <v>116</v>
      </c>
      <c r="V139" s="94">
        <v>44586.533333333333</v>
      </c>
      <c r="W139" s="93" t="s">
        <v>1170</v>
      </c>
      <c r="X139" s="93" t="s">
        <v>24</v>
      </c>
    </row>
    <row r="140" spans="1:24" x14ac:dyDescent="0.15">
      <c r="A140" s="93" t="s">
        <v>1374</v>
      </c>
      <c r="B140" s="93" t="s">
        <v>1375</v>
      </c>
      <c r="C140" s="410">
        <v>192</v>
      </c>
      <c r="D140" s="93" t="s">
        <v>24</v>
      </c>
      <c r="E140" s="93" t="s">
        <v>24</v>
      </c>
      <c r="F140" s="93" t="s">
        <v>7070</v>
      </c>
      <c r="G140" s="93" t="s">
        <v>7108</v>
      </c>
      <c r="H140" s="93" t="s">
        <v>118</v>
      </c>
      <c r="I140" s="93" t="s">
        <v>111</v>
      </c>
      <c r="J140" s="93" t="s">
        <v>118</v>
      </c>
      <c r="K140" s="93">
        <v>3</v>
      </c>
      <c r="L140" s="93" t="s">
        <v>111</v>
      </c>
      <c r="M140" s="93" t="s">
        <v>111</v>
      </c>
      <c r="N140" s="93" t="s">
        <v>111</v>
      </c>
      <c r="O140" s="93" t="s">
        <v>111</v>
      </c>
      <c r="P140" s="93" t="s">
        <v>111</v>
      </c>
      <c r="Q140" s="93" t="s">
        <v>111</v>
      </c>
      <c r="R140" s="93" t="s">
        <v>111</v>
      </c>
      <c r="S140" s="93" t="s">
        <v>111</v>
      </c>
      <c r="T140" s="93" t="s">
        <v>115</v>
      </c>
      <c r="U140" s="93" t="s">
        <v>116</v>
      </c>
      <c r="V140" s="94">
        <v>44586.533333333333</v>
      </c>
      <c r="W140" s="93" t="s">
        <v>1170</v>
      </c>
      <c r="X140" s="93" t="s">
        <v>24</v>
      </c>
    </row>
    <row r="141" spans="1:24" x14ac:dyDescent="0.15">
      <c r="A141" s="93" t="s">
        <v>1376</v>
      </c>
      <c r="B141" s="93" t="s">
        <v>1377</v>
      </c>
      <c r="C141" s="410">
        <v>164</v>
      </c>
      <c r="D141" s="93" t="s">
        <v>24</v>
      </c>
      <c r="E141" s="93" t="s">
        <v>24</v>
      </c>
      <c r="F141" s="93" t="s">
        <v>7070</v>
      </c>
      <c r="G141" s="93" t="s">
        <v>7108</v>
      </c>
      <c r="H141" s="93" t="s">
        <v>118</v>
      </c>
      <c r="I141" s="93" t="s">
        <v>111</v>
      </c>
      <c r="J141" s="93" t="s">
        <v>7105</v>
      </c>
      <c r="K141" s="93" t="s">
        <v>111</v>
      </c>
      <c r="L141" s="93" t="s">
        <v>111</v>
      </c>
      <c r="M141" s="93" t="s">
        <v>111</v>
      </c>
      <c r="N141" s="93" t="s">
        <v>111</v>
      </c>
      <c r="O141" s="93" t="s">
        <v>111</v>
      </c>
      <c r="P141" s="93" t="s">
        <v>111</v>
      </c>
      <c r="Q141" s="93" t="s">
        <v>111</v>
      </c>
      <c r="R141" s="93" t="s">
        <v>111</v>
      </c>
      <c r="S141" s="93" t="s">
        <v>111</v>
      </c>
      <c r="T141" s="93" t="s">
        <v>115</v>
      </c>
      <c r="U141" s="93" t="s">
        <v>116</v>
      </c>
      <c r="V141" s="94">
        <v>44596.683333333334</v>
      </c>
      <c r="W141" s="93" t="s">
        <v>1170</v>
      </c>
      <c r="X141" s="93" t="s">
        <v>24</v>
      </c>
    </row>
    <row r="142" spans="1:24" x14ac:dyDescent="0.15">
      <c r="A142" s="93" t="s">
        <v>1378</v>
      </c>
      <c r="B142" s="93" t="s">
        <v>1379</v>
      </c>
      <c r="C142" s="410">
        <v>218</v>
      </c>
      <c r="D142" s="93" t="s">
        <v>24</v>
      </c>
      <c r="E142" s="93" t="s">
        <v>24</v>
      </c>
      <c r="F142" s="93" t="s">
        <v>7070</v>
      </c>
      <c r="G142" s="93" t="s">
        <v>7108</v>
      </c>
      <c r="H142" s="93" t="s">
        <v>118</v>
      </c>
      <c r="I142" s="93" t="s">
        <v>111</v>
      </c>
      <c r="J142" s="93" t="s">
        <v>7105</v>
      </c>
      <c r="K142" s="93" t="s">
        <v>111</v>
      </c>
      <c r="L142" s="93" t="s">
        <v>111</v>
      </c>
      <c r="M142" s="93" t="s">
        <v>111</v>
      </c>
      <c r="N142" s="93" t="s">
        <v>111</v>
      </c>
      <c r="O142" s="93" t="s">
        <v>111</v>
      </c>
      <c r="P142" s="93" t="s">
        <v>111</v>
      </c>
      <c r="Q142" s="93" t="s">
        <v>111</v>
      </c>
      <c r="R142" s="93" t="s">
        <v>111</v>
      </c>
      <c r="S142" s="93" t="s">
        <v>111</v>
      </c>
      <c r="T142" s="93" t="s">
        <v>115</v>
      </c>
      <c r="U142" s="93" t="s">
        <v>116</v>
      </c>
      <c r="V142" s="94">
        <v>44596.655555555553</v>
      </c>
      <c r="W142" s="93" t="s">
        <v>1170</v>
      </c>
      <c r="X142" s="93" t="s">
        <v>24</v>
      </c>
    </row>
    <row r="143" spans="1:24" x14ac:dyDescent="0.15">
      <c r="A143" s="93" t="s">
        <v>1380</v>
      </c>
      <c r="B143" s="93" t="s">
        <v>1381</v>
      </c>
      <c r="C143" s="410">
        <v>530</v>
      </c>
      <c r="D143" s="93" t="s">
        <v>24</v>
      </c>
      <c r="E143" s="93" t="s">
        <v>24</v>
      </c>
      <c r="F143" s="93" t="s">
        <v>7070</v>
      </c>
      <c r="G143" s="93" t="s">
        <v>7108</v>
      </c>
      <c r="H143" s="93" t="s">
        <v>118</v>
      </c>
      <c r="I143" s="93" t="s">
        <v>111</v>
      </c>
      <c r="J143" s="93" t="s">
        <v>7105</v>
      </c>
      <c r="K143" s="93" t="s">
        <v>111</v>
      </c>
      <c r="L143" s="93" t="s">
        <v>111</v>
      </c>
      <c r="M143" s="93" t="s">
        <v>111</v>
      </c>
      <c r="N143" s="93" t="s">
        <v>111</v>
      </c>
      <c r="O143" s="93" t="s">
        <v>111</v>
      </c>
      <c r="P143" s="93" t="s">
        <v>111</v>
      </c>
      <c r="Q143" s="93" t="s">
        <v>111</v>
      </c>
      <c r="R143" s="93" t="s">
        <v>111</v>
      </c>
      <c r="S143" s="93" t="s">
        <v>111</v>
      </c>
      <c r="T143" s="93" t="s">
        <v>115</v>
      </c>
      <c r="U143" s="93" t="s">
        <v>116</v>
      </c>
      <c r="V143" s="94">
        <v>44596.65625</v>
      </c>
      <c r="W143" s="93" t="s">
        <v>1170</v>
      </c>
      <c r="X143" s="93" t="s">
        <v>24</v>
      </c>
    </row>
    <row r="144" spans="1:24" x14ac:dyDescent="0.15">
      <c r="A144" s="93" t="s">
        <v>1382</v>
      </c>
      <c r="B144" s="93" t="s">
        <v>1383</v>
      </c>
      <c r="C144" s="410">
        <v>218</v>
      </c>
      <c r="D144" s="93" t="s">
        <v>24</v>
      </c>
      <c r="E144" s="93" t="s">
        <v>24</v>
      </c>
      <c r="F144" s="93" t="s">
        <v>7070</v>
      </c>
      <c r="G144" s="93" t="s">
        <v>7108</v>
      </c>
      <c r="H144" s="93" t="s">
        <v>118</v>
      </c>
      <c r="I144" s="93" t="s">
        <v>111</v>
      </c>
      <c r="J144" s="93" t="s">
        <v>7105</v>
      </c>
      <c r="K144" s="93" t="s">
        <v>111</v>
      </c>
      <c r="L144" s="93" t="s">
        <v>111</v>
      </c>
      <c r="M144" s="93" t="s">
        <v>111</v>
      </c>
      <c r="N144" s="93" t="s">
        <v>111</v>
      </c>
      <c r="O144" s="93" t="s">
        <v>111</v>
      </c>
      <c r="P144" s="93" t="s">
        <v>111</v>
      </c>
      <c r="Q144" s="93" t="s">
        <v>111</v>
      </c>
      <c r="R144" s="93" t="s">
        <v>111</v>
      </c>
      <c r="S144" s="93" t="s">
        <v>111</v>
      </c>
      <c r="T144" s="93" t="s">
        <v>115</v>
      </c>
      <c r="U144" s="93" t="s">
        <v>116</v>
      </c>
      <c r="V144" s="94">
        <v>44596.638194444444</v>
      </c>
      <c r="W144" s="93" t="s">
        <v>1170</v>
      </c>
      <c r="X144" s="93" t="s">
        <v>24</v>
      </c>
    </row>
    <row r="145" spans="1:24" x14ac:dyDescent="0.15">
      <c r="A145" s="93" t="s">
        <v>1384</v>
      </c>
      <c r="B145" s="93" t="s">
        <v>1385</v>
      </c>
      <c r="C145" s="410">
        <v>147</v>
      </c>
      <c r="D145" s="93" t="s">
        <v>24</v>
      </c>
      <c r="E145" s="93" t="s">
        <v>24</v>
      </c>
      <c r="F145" s="93" t="s">
        <v>7070</v>
      </c>
      <c r="G145" s="93" t="s">
        <v>7108</v>
      </c>
      <c r="H145" s="93" t="s">
        <v>118</v>
      </c>
      <c r="I145" s="93" t="s">
        <v>111</v>
      </c>
      <c r="J145" s="93" t="s">
        <v>118</v>
      </c>
      <c r="K145" s="93">
        <v>3</v>
      </c>
      <c r="L145" s="93" t="s">
        <v>111</v>
      </c>
      <c r="M145" s="93" t="s">
        <v>111</v>
      </c>
      <c r="N145" s="93" t="s">
        <v>111</v>
      </c>
      <c r="O145" s="93" t="s">
        <v>111</v>
      </c>
      <c r="P145" s="93" t="s">
        <v>111</v>
      </c>
      <c r="Q145" s="93" t="s">
        <v>111</v>
      </c>
      <c r="R145" s="93" t="s">
        <v>111</v>
      </c>
      <c r="S145" s="93" t="s">
        <v>111</v>
      </c>
      <c r="T145" s="93" t="s">
        <v>115</v>
      </c>
      <c r="U145" s="93" t="s">
        <v>116</v>
      </c>
      <c r="V145" s="94">
        <v>44586.533333333333</v>
      </c>
      <c r="W145" s="93" t="s">
        <v>1170</v>
      </c>
      <c r="X145" s="93" t="s">
        <v>24</v>
      </c>
    </row>
    <row r="146" spans="1:24" x14ac:dyDescent="0.15">
      <c r="A146" s="93" t="s">
        <v>9058</v>
      </c>
      <c r="B146" s="93" t="s">
        <v>9059</v>
      </c>
      <c r="C146" s="410">
        <v>268</v>
      </c>
      <c r="D146" s="93" t="s">
        <v>24</v>
      </c>
      <c r="E146" s="93" t="s">
        <v>24</v>
      </c>
      <c r="F146" s="93" t="s">
        <v>7070</v>
      </c>
      <c r="G146" s="93" t="s">
        <v>7108</v>
      </c>
      <c r="H146" s="93" t="s">
        <v>118</v>
      </c>
      <c r="I146" s="93" t="s">
        <v>111</v>
      </c>
      <c r="J146" s="93" t="s">
        <v>118</v>
      </c>
      <c r="K146" s="93">
        <v>3</v>
      </c>
      <c r="L146" s="93" t="s">
        <v>111</v>
      </c>
      <c r="M146" s="93" t="s">
        <v>111</v>
      </c>
      <c r="N146" s="93" t="s">
        <v>111</v>
      </c>
      <c r="O146" s="93" t="s">
        <v>111</v>
      </c>
      <c r="P146" s="93" t="s">
        <v>111</v>
      </c>
      <c r="Q146" s="93" t="s">
        <v>111</v>
      </c>
      <c r="R146" s="93" t="s">
        <v>228</v>
      </c>
      <c r="S146" s="93" t="s">
        <v>2</v>
      </c>
      <c r="T146" s="93" t="s">
        <v>115</v>
      </c>
      <c r="U146" s="93" t="s">
        <v>116</v>
      </c>
      <c r="V146" s="94">
        <v>44596.698611111111</v>
      </c>
      <c r="W146" s="93" t="s">
        <v>1170</v>
      </c>
      <c r="X146" s="93" t="s">
        <v>24</v>
      </c>
    </row>
    <row r="147" spans="1:24" x14ac:dyDescent="0.15">
      <c r="A147" s="93" t="s">
        <v>1386</v>
      </c>
      <c r="B147" s="93" t="s">
        <v>1387</v>
      </c>
      <c r="C147" s="410">
        <v>293</v>
      </c>
      <c r="D147" s="93" t="s">
        <v>24</v>
      </c>
      <c r="E147" s="93" t="s">
        <v>24</v>
      </c>
      <c r="F147" s="93" t="s">
        <v>7070</v>
      </c>
      <c r="G147" s="93" t="s">
        <v>7108</v>
      </c>
      <c r="H147" s="93" t="s">
        <v>118</v>
      </c>
      <c r="I147" s="93" t="s">
        <v>111</v>
      </c>
      <c r="J147" s="93" t="s">
        <v>7105</v>
      </c>
      <c r="K147" s="93" t="s">
        <v>111</v>
      </c>
      <c r="L147" s="93" t="s">
        <v>111</v>
      </c>
      <c r="M147" s="93" t="s">
        <v>111</v>
      </c>
      <c r="N147" s="93" t="s">
        <v>111</v>
      </c>
      <c r="O147" s="93" t="s">
        <v>111</v>
      </c>
      <c r="P147" s="93" t="s">
        <v>111</v>
      </c>
      <c r="Q147" s="93" t="s">
        <v>111</v>
      </c>
      <c r="R147" s="93" t="s">
        <v>228</v>
      </c>
      <c r="S147" s="93" t="s">
        <v>2</v>
      </c>
      <c r="T147" s="93" t="s">
        <v>115</v>
      </c>
      <c r="U147" s="93" t="s">
        <v>116</v>
      </c>
      <c r="V147" s="94">
        <v>44596.654861111114</v>
      </c>
      <c r="W147" s="93" t="s">
        <v>1170</v>
      </c>
      <c r="X147" s="93" t="s">
        <v>24</v>
      </c>
    </row>
    <row r="148" spans="1:24" x14ac:dyDescent="0.15">
      <c r="A148" s="93" t="s">
        <v>9060</v>
      </c>
      <c r="B148" s="93" t="s">
        <v>9061</v>
      </c>
      <c r="C148" s="410">
        <v>158</v>
      </c>
      <c r="D148" s="93" t="s">
        <v>24</v>
      </c>
      <c r="E148" s="93" t="s">
        <v>24</v>
      </c>
      <c r="F148" s="93" t="s">
        <v>7070</v>
      </c>
      <c r="G148" s="93" t="s">
        <v>7108</v>
      </c>
      <c r="H148" s="93" t="s">
        <v>118</v>
      </c>
      <c r="I148" s="93" t="s">
        <v>111</v>
      </c>
      <c r="J148" s="93" t="s">
        <v>118</v>
      </c>
      <c r="K148" s="93">
        <v>3</v>
      </c>
      <c r="L148" s="93" t="s">
        <v>111</v>
      </c>
      <c r="M148" s="93" t="s">
        <v>111</v>
      </c>
      <c r="N148" s="93" t="s">
        <v>111</v>
      </c>
      <c r="O148" s="93" t="s">
        <v>111</v>
      </c>
      <c r="P148" s="93" t="s">
        <v>111</v>
      </c>
      <c r="Q148" s="93" t="s">
        <v>111</v>
      </c>
      <c r="R148" s="93" t="s">
        <v>228</v>
      </c>
      <c r="S148" s="93" t="s">
        <v>2</v>
      </c>
      <c r="T148" s="93" t="s">
        <v>115</v>
      </c>
      <c r="U148" s="93" t="s">
        <v>116</v>
      </c>
      <c r="V148" s="94">
        <v>44596.663888888892</v>
      </c>
      <c r="W148" s="93" t="s">
        <v>1170</v>
      </c>
      <c r="X148" s="93" t="s">
        <v>24</v>
      </c>
    </row>
    <row r="149" spans="1:24" x14ac:dyDescent="0.15">
      <c r="A149" s="93" t="s">
        <v>1388</v>
      </c>
      <c r="B149" s="93" t="s">
        <v>1389</v>
      </c>
      <c r="C149" s="410">
        <v>10</v>
      </c>
      <c r="D149" s="93" t="s">
        <v>24</v>
      </c>
      <c r="E149" s="93" t="s">
        <v>24</v>
      </c>
      <c r="F149" s="93" t="s">
        <v>7070</v>
      </c>
      <c r="G149" s="93" t="s">
        <v>7108</v>
      </c>
      <c r="H149" s="93" t="s">
        <v>118</v>
      </c>
      <c r="I149" s="93" t="s">
        <v>111</v>
      </c>
      <c r="J149" s="93" t="s">
        <v>7105</v>
      </c>
      <c r="K149" s="93" t="s">
        <v>111</v>
      </c>
      <c r="L149" s="93" t="s">
        <v>111</v>
      </c>
      <c r="M149" s="93" t="s">
        <v>111</v>
      </c>
      <c r="N149" s="93" t="s">
        <v>111</v>
      </c>
      <c r="O149" s="93" t="s">
        <v>111</v>
      </c>
      <c r="P149" s="93" t="s">
        <v>111</v>
      </c>
      <c r="Q149" s="93" t="s">
        <v>111</v>
      </c>
      <c r="R149" s="93" t="s">
        <v>111</v>
      </c>
      <c r="S149" s="93" t="s">
        <v>111</v>
      </c>
      <c r="T149" s="93" t="s">
        <v>115</v>
      </c>
      <c r="U149" s="93" t="s">
        <v>116</v>
      </c>
      <c r="V149" s="94">
        <v>44610.188194444447</v>
      </c>
      <c r="W149" s="93" t="s">
        <v>1170</v>
      </c>
      <c r="X149" s="93" t="s">
        <v>24</v>
      </c>
    </row>
    <row r="150" spans="1:24" x14ac:dyDescent="0.15">
      <c r="A150" s="93" t="s">
        <v>1390</v>
      </c>
      <c r="B150" s="93" t="s">
        <v>1391</v>
      </c>
      <c r="C150" s="410">
        <v>14</v>
      </c>
      <c r="D150" s="93" t="s">
        <v>24</v>
      </c>
      <c r="E150" s="93" t="s">
        <v>24</v>
      </c>
      <c r="F150" s="93" t="s">
        <v>7070</v>
      </c>
      <c r="G150" s="93" t="s">
        <v>7108</v>
      </c>
      <c r="H150" s="93" t="s">
        <v>118</v>
      </c>
      <c r="I150" s="93" t="s">
        <v>111</v>
      </c>
      <c r="J150" s="93" t="s">
        <v>7105</v>
      </c>
      <c r="K150" s="93" t="s">
        <v>111</v>
      </c>
      <c r="L150" s="93" t="s">
        <v>111</v>
      </c>
      <c r="M150" s="93" t="s">
        <v>111</v>
      </c>
      <c r="N150" s="93" t="s">
        <v>111</v>
      </c>
      <c r="O150" s="93" t="s">
        <v>111</v>
      </c>
      <c r="P150" s="93" t="s">
        <v>111</v>
      </c>
      <c r="Q150" s="93" t="s">
        <v>111</v>
      </c>
      <c r="R150" s="93" t="s">
        <v>111</v>
      </c>
      <c r="S150" s="93" t="s">
        <v>111</v>
      </c>
      <c r="T150" s="93" t="s">
        <v>115</v>
      </c>
      <c r="U150" s="93" t="s">
        <v>116</v>
      </c>
      <c r="V150" s="94">
        <v>44610.193055555559</v>
      </c>
      <c r="W150" s="93" t="s">
        <v>1170</v>
      </c>
      <c r="X150" s="93" t="s">
        <v>24</v>
      </c>
    </row>
    <row r="151" spans="1:24" x14ac:dyDescent="0.15">
      <c r="A151" s="93" t="s">
        <v>9062</v>
      </c>
      <c r="B151" s="93" t="s">
        <v>9063</v>
      </c>
      <c r="C151" s="410">
        <v>201</v>
      </c>
      <c r="D151" s="93" t="s">
        <v>24</v>
      </c>
      <c r="E151" s="93" t="s">
        <v>24</v>
      </c>
      <c r="F151" s="93" t="s">
        <v>7070</v>
      </c>
      <c r="G151" s="93" t="s">
        <v>7108</v>
      </c>
      <c r="H151" s="93" t="s">
        <v>118</v>
      </c>
      <c r="I151" s="93" t="s">
        <v>111</v>
      </c>
      <c r="J151" s="93" t="s">
        <v>7105</v>
      </c>
      <c r="K151" s="93" t="s">
        <v>111</v>
      </c>
      <c r="L151" s="93" t="s">
        <v>111</v>
      </c>
      <c r="M151" s="93" t="s">
        <v>111</v>
      </c>
      <c r="N151" s="93" t="s">
        <v>111</v>
      </c>
      <c r="O151" s="93" t="s">
        <v>111</v>
      </c>
      <c r="P151" s="93" t="s">
        <v>111</v>
      </c>
      <c r="Q151" s="93" t="s">
        <v>111</v>
      </c>
      <c r="R151" s="93" t="s">
        <v>228</v>
      </c>
      <c r="S151" s="93" t="s">
        <v>2</v>
      </c>
      <c r="T151" s="93" t="s">
        <v>115</v>
      </c>
      <c r="U151" s="93" t="s">
        <v>116</v>
      </c>
      <c r="V151" s="94">
        <v>44596.69027777778</v>
      </c>
      <c r="W151" s="93" t="s">
        <v>1170</v>
      </c>
      <c r="X151" s="93" t="s">
        <v>24</v>
      </c>
    </row>
    <row r="152" spans="1:24" x14ac:dyDescent="0.15">
      <c r="A152" s="93" t="s">
        <v>7131</v>
      </c>
      <c r="B152" s="93" t="s">
        <v>7132</v>
      </c>
      <c r="C152" s="410">
        <v>92</v>
      </c>
      <c r="D152" s="93" t="s">
        <v>24</v>
      </c>
      <c r="E152" s="93" t="s">
        <v>24</v>
      </c>
      <c r="F152" s="93" t="s">
        <v>7070</v>
      </c>
      <c r="G152" s="93" t="s">
        <v>7108</v>
      </c>
      <c r="H152" s="93" t="s">
        <v>118</v>
      </c>
      <c r="I152" s="93" t="s">
        <v>111</v>
      </c>
      <c r="J152" s="93" t="s">
        <v>118</v>
      </c>
      <c r="K152" s="93">
        <v>3</v>
      </c>
      <c r="L152" s="93" t="s">
        <v>111</v>
      </c>
      <c r="M152" s="93" t="s">
        <v>111</v>
      </c>
      <c r="N152" s="93" t="s">
        <v>111</v>
      </c>
      <c r="O152" s="93" t="s">
        <v>111</v>
      </c>
      <c r="P152" s="93" t="s">
        <v>111</v>
      </c>
      <c r="Q152" s="93" t="s">
        <v>111</v>
      </c>
      <c r="R152" s="93" t="s">
        <v>228</v>
      </c>
      <c r="S152" s="93" t="s">
        <v>2</v>
      </c>
      <c r="T152" s="93" t="s">
        <v>115</v>
      </c>
      <c r="U152" s="93" t="s">
        <v>116</v>
      </c>
      <c r="V152" s="94">
        <v>44602.490277777775</v>
      </c>
      <c r="W152" s="93" t="s">
        <v>402</v>
      </c>
      <c r="X152" s="93" t="s">
        <v>24</v>
      </c>
    </row>
    <row r="153" spans="1:24" x14ac:dyDescent="0.15">
      <c r="A153" s="93" t="s">
        <v>7133</v>
      </c>
      <c r="B153" s="93" t="s">
        <v>7134</v>
      </c>
      <c r="C153" s="410">
        <v>103</v>
      </c>
      <c r="D153" s="93" t="s">
        <v>24</v>
      </c>
      <c r="E153" s="93" t="s">
        <v>24</v>
      </c>
      <c r="F153" s="93" t="s">
        <v>7070</v>
      </c>
      <c r="G153" s="93" t="s">
        <v>7108</v>
      </c>
      <c r="H153" s="93" t="s">
        <v>118</v>
      </c>
      <c r="I153" s="93" t="s">
        <v>111</v>
      </c>
      <c r="J153" s="93" t="s">
        <v>118</v>
      </c>
      <c r="K153" s="93">
        <v>3</v>
      </c>
      <c r="L153" s="93" t="s">
        <v>111</v>
      </c>
      <c r="M153" s="93" t="s">
        <v>111</v>
      </c>
      <c r="N153" s="93" t="s">
        <v>111</v>
      </c>
      <c r="O153" s="93" t="s">
        <v>111</v>
      </c>
      <c r="P153" s="93" t="s">
        <v>111</v>
      </c>
      <c r="Q153" s="93" t="s">
        <v>111</v>
      </c>
      <c r="R153" s="93" t="s">
        <v>228</v>
      </c>
      <c r="S153" s="93" t="s">
        <v>2</v>
      </c>
      <c r="T153" s="93" t="s">
        <v>115</v>
      </c>
      <c r="U153" s="93" t="s">
        <v>116</v>
      </c>
      <c r="V153" s="94">
        <v>44602.987500000003</v>
      </c>
      <c r="W153" s="93" t="s">
        <v>402</v>
      </c>
      <c r="X153" s="93" t="s">
        <v>24</v>
      </c>
    </row>
    <row r="154" spans="1:24" x14ac:dyDescent="0.15">
      <c r="A154" s="93" t="s">
        <v>7029</v>
      </c>
      <c r="B154" s="93" t="s">
        <v>7032</v>
      </c>
      <c r="C154" s="410">
        <v>158</v>
      </c>
      <c r="D154" s="93" t="s">
        <v>24</v>
      </c>
      <c r="E154" s="93" t="s">
        <v>24</v>
      </c>
      <c r="F154" s="93" t="s">
        <v>7070</v>
      </c>
      <c r="G154" s="93" t="s">
        <v>7108</v>
      </c>
      <c r="H154" s="93" t="s">
        <v>400</v>
      </c>
      <c r="I154" s="93" t="s">
        <v>111</v>
      </c>
      <c r="J154" s="93" t="s">
        <v>118</v>
      </c>
      <c r="K154" s="93">
        <v>3</v>
      </c>
      <c r="L154" s="93" t="s">
        <v>111</v>
      </c>
      <c r="M154" s="93" t="s">
        <v>111</v>
      </c>
      <c r="N154" s="93" t="s">
        <v>111</v>
      </c>
      <c r="O154" s="93" t="s">
        <v>111</v>
      </c>
      <c r="P154" s="93" t="s">
        <v>111</v>
      </c>
      <c r="Q154" s="93" t="s">
        <v>111</v>
      </c>
      <c r="R154" s="93" t="s">
        <v>228</v>
      </c>
      <c r="S154" s="93" t="s">
        <v>2</v>
      </c>
      <c r="T154" s="93" t="s">
        <v>115</v>
      </c>
      <c r="U154" s="93" t="s">
        <v>116</v>
      </c>
      <c r="V154" s="94">
        <v>44596.6875</v>
      </c>
      <c r="W154" s="93" t="s">
        <v>7336</v>
      </c>
      <c r="X154" s="93" t="s">
        <v>24</v>
      </c>
    </row>
    <row r="155" spans="1:24" x14ac:dyDescent="0.15">
      <c r="A155" s="93" t="s">
        <v>7041</v>
      </c>
      <c r="B155" s="93" t="s">
        <v>7042</v>
      </c>
      <c r="C155" s="410">
        <v>232</v>
      </c>
      <c r="D155" s="93" t="s">
        <v>24</v>
      </c>
      <c r="E155" s="93" t="s">
        <v>24</v>
      </c>
      <c r="F155" s="93" t="s">
        <v>7070</v>
      </c>
      <c r="G155" s="93" t="s">
        <v>7108</v>
      </c>
      <c r="H155" s="93" t="s">
        <v>400</v>
      </c>
      <c r="I155" s="93" t="s">
        <v>111</v>
      </c>
      <c r="J155" s="93" t="s">
        <v>118</v>
      </c>
      <c r="K155" s="93">
        <v>3</v>
      </c>
      <c r="L155" s="93" t="s">
        <v>111</v>
      </c>
      <c r="M155" s="93" t="s">
        <v>111</v>
      </c>
      <c r="N155" s="93" t="s">
        <v>111</v>
      </c>
      <c r="O155" s="93" t="s">
        <v>111</v>
      </c>
      <c r="P155" s="93" t="s">
        <v>111</v>
      </c>
      <c r="Q155" s="93" t="s">
        <v>111</v>
      </c>
      <c r="R155" s="93" t="s">
        <v>228</v>
      </c>
      <c r="S155" s="93" t="s">
        <v>2</v>
      </c>
      <c r="T155" s="93" t="s">
        <v>115</v>
      </c>
      <c r="U155" s="93" t="s">
        <v>116</v>
      </c>
      <c r="V155" s="94">
        <v>44596.650694444441</v>
      </c>
      <c r="W155" s="93" t="s">
        <v>7336</v>
      </c>
      <c r="X155" s="93" t="s">
        <v>24</v>
      </c>
    </row>
    <row r="156" spans="1:24" x14ac:dyDescent="0.15">
      <c r="A156" s="93" t="s">
        <v>7051</v>
      </c>
      <c r="B156" s="93" t="s">
        <v>7052</v>
      </c>
      <c r="C156" s="410">
        <v>242</v>
      </c>
      <c r="D156" s="93" t="s">
        <v>24</v>
      </c>
      <c r="E156" s="93" t="s">
        <v>24</v>
      </c>
      <c r="F156" s="93" t="s">
        <v>7070</v>
      </c>
      <c r="G156" s="93" t="s">
        <v>7108</v>
      </c>
      <c r="H156" s="93" t="s">
        <v>400</v>
      </c>
      <c r="I156" s="93" t="s">
        <v>111</v>
      </c>
      <c r="J156" s="93" t="s">
        <v>118</v>
      </c>
      <c r="K156" s="93">
        <v>3</v>
      </c>
      <c r="L156" s="93" t="s">
        <v>111</v>
      </c>
      <c r="M156" s="93" t="s">
        <v>111</v>
      </c>
      <c r="N156" s="93" t="s">
        <v>111</v>
      </c>
      <c r="O156" s="93" t="s">
        <v>111</v>
      </c>
      <c r="P156" s="93" t="s">
        <v>111</v>
      </c>
      <c r="Q156" s="93" t="s">
        <v>111</v>
      </c>
      <c r="R156" s="93" t="s">
        <v>228</v>
      </c>
      <c r="S156" s="93" t="s">
        <v>2</v>
      </c>
      <c r="T156" s="93" t="s">
        <v>115</v>
      </c>
      <c r="U156" s="93" t="s">
        <v>116</v>
      </c>
      <c r="V156" s="94">
        <v>44596.682638888888</v>
      </c>
      <c r="W156" s="93" t="s">
        <v>7336</v>
      </c>
      <c r="X156" s="93" t="s">
        <v>24</v>
      </c>
    </row>
    <row r="157" spans="1:24" x14ac:dyDescent="0.15">
      <c r="A157" s="93" t="s">
        <v>7135</v>
      </c>
      <c r="B157" s="93" t="s">
        <v>7136</v>
      </c>
      <c r="C157" s="410">
        <v>869</v>
      </c>
      <c r="D157" s="93" t="s">
        <v>24</v>
      </c>
      <c r="E157" s="93" t="s">
        <v>24</v>
      </c>
      <c r="F157" s="93" t="s">
        <v>5978</v>
      </c>
      <c r="G157" s="93" t="s">
        <v>7108</v>
      </c>
      <c r="H157" s="93" t="s">
        <v>118</v>
      </c>
      <c r="I157" s="93" t="s">
        <v>111</v>
      </c>
      <c r="J157" s="93" t="s">
        <v>118</v>
      </c>
      <c r="K157" s="93">
        <v>3</v>
      </c>
      <c r="L157" s="93" t="s">
        <v>111</v>
      </c>
      <c r="M157" s="93" t="s">
        <v>111</v>
      </c>
      <c r="N157" s="93" t="s">
        <v>111</v>
      </c>
      <c r="O157" s="93" t="s">
        <v>111</v>
      </c>
      <c r="P157" s="93" t="s">
        <v>111</v>
      </c>
      <c r="Q157" s="93" t="s">
        <v>111</v>
      </c>
      <c r="R157" s="93" t="s">
        <v>228</v>
      </c>
      <c r="S157" s="93" t="s">
        <v>2</v>
      </c>
      <c r="T157" s="93" t="s">
        <v>115</v>
      </c>
      <c r="U157" s="93" t="s">
        <v>116</v>
      </c>
      <c r="V157" s="94">
        <v>44602.490277777775</v>
      </c>
      <c r="W157" s="93" t="s">
        <v>402</v>
      </c>
      <c r="X157" s="93" t="s">
        <v>24</v>
      </c>
    </row>
    <row r="158" spans="1:24" x14ac:dyDescent="0.15">
      <c r="A158" s="93" t="s">
        <v>7137</v>
      </c>
      <c r="B158" s="93" t="s">
        <v>7138</v>
      </c>
      <c r="C158" s="410">
        <v>59</v>
      </c>
      <c r="D158" s="93" t="s">
        <v>24</v>
      </c>
      <c r="E158" s="93" t="s">
        <v>24</v>
      </c>
      <c r="F158" s="93" t="s">
        <v>5978</v>
      </c>
      <c r="G158" s="93" t="s">
        <v>7108</v>
      </c>
      <c r="H158" s="93" t="s">
        <v>118</v>
      </c>
      <c r="I158" s="93" t="s">
        <v>111</v>
      </c>
      <c r="J158" s="93" t="s">
        <v>118</v>
      </c>
      <c r="K158" s="93">
        <v>3</v>
      </c>
      <c r="L158" s="93" t="s">
        <v>111</v>
      </c>
      <c r="M158" s="93" t="s">
        <v>111</v>
      </c>
      <c r="N158" s="93" t="s">
        <v>111</v>
      </c>
      <c r="O158" s="93" t="s">
        <v>111</v>
      </c>
      <c r="P158" s="93" t="s">
        <v>111</v>
      </c>
      <c r="Q158" s="93" t="s">
        <v>111</v>
      </c>
      <c r="R158" s="93" t="s">
        <v>228</v>
      </c>
      <c r="S158" s="93" t="s">
        <v>2</v>
      </c>
      <c r="T158" s="93" t="s">
        <v>115</v>
      </c>
      <c r="U158" s="93" t="s">
        <v>116</v>
      </c>
      <c r="V158" s="94">
        <v>44602.490277777775</v>
      </c>
      <c r="W158" s="93" t="s">
        <v>402</v>
      </c>
      <c r="X158" s="93" t="s">
        <v>24</v>
      </c>
    </row>
    <row r="159" spans="1:24" x14ac:dyDescent="0.15">
      <c r="A159" s="93" t="s">
        <v>6300</v>
      </c>
      <c r="B159" s="93" t="s">
        <v>6301</v>
      </c>
      <c r="C159" s="410">
        <v>29</v>
      </c>
      <c r="D159" s="93" t="s">
        <v>24</v>
      </c>
      <c r="E159" s="93" t="s">
        <v>24</v>
      </c>
      <c r="F159" s="93" t="s">
        <v>7070</v>
      </c>
      <c r="G159" s="93" t="s">
        <v>7108</v>
      </c>
      <c r="H159" s="93" t="s">
        <v>118</v>
      </c>
      <c r="I159" s="93" t="s">
        <v>111</v>
      </c>
      <c r="J159" s="93" t="s">
        <v>118</v>
      </c>
      <c r="K159" s="93">
        <v>3</v>
      </c>
      <c r="L159" s="93" t="s">
        <v>111</v>
      </c>
      <c r="M159" s="93" t="s">
        <v>111</v>
      </c>
      <c r="N159" s="93" t="s">
        <v>111</v>
      </c>
      <c r="O159" s="93" t="s">
        <v>111</v>
      </c>
      <c r="P159" s="93" t="s">
        <v>111</v>
      </c>
      <c r="Q159" s="93" t="s">
        <v>111</v>
      </c>
      <c r="R159" s="93" t="s">
        <v>228</v>
      </c>
      <c r="S159" s="93" t="s">
        <v>2</v>
      </c>
      <c r="T159" s="93" t="s">
        <v>115</v>
      </c>
      <c r="U159" s="93" t="s">
        <v>116</v>
      </c>
      <c r="V159" s="94">
        <v>44596.697916666664</v>
      </c>
      <c r="W159" s="93" t="s">
        <v>1170</v>
      </c>
      <c r="X159" s="93" t="s">
        <v>24</v>
      </c>
    </row>
    <row r="160" spans="1:24" x14ac:dyDescent="0.15">
      <c r="A160" s="93" t="s">
        <v>6309</v>
      </c>
      <c r="B160" s="93" t="s">
        <v>6310</v>
      </c>
      <c r="C160" s="410">
        <v>64</v>
      </c>
      <c r="D160" s="93" t="s">
        <v>24</v>
      </c>
      <c r="E160" s="93" t="s">
        <v>24</v>
      </c>
      <c r="F160" s="93" t="s">
        <v>7070</v>
      </c>
      <c r="G160" s="93" t="s">
        <v>7108</v>
      </c>
      <c r="H160" s="93" t="s">
        <v>118</v>
      </c>
      <c r="I160" s="93" t="s">
        <v>111</v>
      </c>
      <c r="J160" s="93" t="s">
        <v>118</v>
      </c>
      <c r="K160" s="93">
        <v>3</v>
      </c>
      <c r="L160" s="93" t="s">
        <v>111</v>
      </c>
      <c r="M160" s="93" t="s">
        <v>111</v>
      </c>
      <c r="N160" s="93" t="s">
        <v>111</v>
      </c>
      <c r="O160" s="93" t="s">
        <v>111</v>
      </c>
      <c r="P160" s="93" t="s">
        <v>111</v>
      </c>
      <c r="Q160" s="93" t="s">
        <v>111</v>
      </c>
      <c r="R160" s="93" t="s">
        <v>228</v>
      </c>
      <c r="S160" s="93" t="s">
        <v>2</v>
      </c>
      <c r="T160" s="93" t="s">
        <v>115</v>
      </c>
      <c r="U160" s="93" t="s">
        <v>116</v>
      </c>
      <c r="V160" s="94">
        <v>44596.694444444445</v>
      </c>
      <c r="W160" s="93" t="s">
        <v>1170</v>
      </c>
      <c r="X160" s="93" t="s">
        <v>24</v>
      </c>
    </row>
    <row r="161" spans="1:24" x14ac:dyDescent="0.15">
      <c r="A161" s="93" t="s">
        <v>6318</v>
      </c>
      <c r="B161" s="93" t="s">
        <v>6319</v>
      </c>
      <c r="C161" s="410">
        <v>134</v>
      </c>
      <c r="D161" s="93" t="s">
        <v>24</v>
      </c>
      <c r="E161" s="93" t="s">
        <v>24</v>
      </c>
      <c r="F161" s="93" t="s">
        <v>7070</v>
      </c>
      <c r="G161" s="93" t="s">
        <v>7108</v>
      </c>
      <c r="H161" s="93" t="s">
        <v>118</v>
      </c>
      <c r="I161" s="93" t="s">
        <v>111</v>
      </c>
      <c r="J161" s="93" t="s">
        <v>118</v>
      </c>
      <c r="K161" s="93">
        <v>3</v>
      </c>
      <c r="L161" s="93" t="s">
        <v>111</v>
      </c>
      <c r="M161" s="93" t="s">
        <v>111</v>
      </c>
      <c r="N161" s="93" t="s">
        <v>111</v>
      </c>
      <c r="O161" s="93" t="s">
        <v>111</v>
      </c>
      <c r="P161" s="93" t="s">
        <v>111</v>
      </c>
      <c r="Q161" s="93" t="s">
        <v>111</v>
      </c>
      <c r="R161" s="93" t="s">
        <v>228</v>
      </c>
      <c r="S161" s="93" t="s">
        <v>2</v>
      </c>
      <c r="T161" s="93" t="s">
        <v>115</v>
      </c>
      <c r="U161" s="93" t="s">
        <v>116</v>
      </c>
      <c r="V161" s="94">
        <v>44596.655555555553</v>
      </c>
      <c r="W161" s="93" t="s">
        <v>1170</v>
      </c>
      <c r="X161" s="93" t="s">
        <v>24</v>
      </c>
    </row>
    <row r="162" spans="1:24" x14ac:dyDescent="0.15">
      <c r="A162" s="93" t="s">
        <v>7139</v>
      </c>
      <c r="B162" s="93" t="s">
        <v>7140</v>
      </c>
      <c r="C162" s="410">
        <v>52</v>
      </c>
      <c r="D162" s="93" t="s">
        <v>24</v>
      </c>
      <c r="E162" s="93" t="s">
        <v>24</v>
      </c>
      <c r="F162" s="93" t="s">
        <v>7070</v>
      </c>
      <c r="G162" s="93" t="s">
        <v>7108</v>
      </c>
      <c r="H162" s="93" t="s">
        <v>118</v>
      </c>
      <c r="I162" s="93" t="s">
        <v>111</v>
      </c>
      <c r="J162" s="93" t="s">
        <v>118</v>
      </c>
      <c r="K162" s="93">
        <v>3</v>
      </c>
      <c r="L162" s="93" t="s">
        <v>111</v>
      </c>
      <c r="M162" s="93" t="s">
        <v>111</v>
      </c>
      <c r="N162" s="93" t="s">
        <v>111</v>
      </c>
      <c r="O162" s="93" t="s">
        <v>111</v>
      </c>
      <c r="P162" s="93" t="s">
        <v>111</v>
      </c>
      <c r="Q162" s="93" t="s">
        <v>111</v>
      </c>
      <c r="R162" s="93" t="s">
        <v>228</v>
      </c>
      <c r="S162" s="93" t="s">
        <v>2</v>
      </c>
      <c r="T162" s="93" t="s">
        <v>115</v>
      </c>
      <c r="U162" s="93" t="s">
        <v>116</v>
      </c>
      <c r="V162" s="94">
        <v>44617.986111111109</v>
      </c>
      <c r="W162" s="93" t="s">
        <v>402</v>
      </c>
      <c r="X162" s="93" t="s">
        <v>24</v>
      </c>
    </row>
    <row r="163" spans="1:24" x14ac:dyDescent="0.15">
      <c r="A163" s="93" t="s">
        <v>7141</v>
      </c>
      <c r="B163" s="93" t="s">
        <v>7142</v>
      </c>
      <c r="C163" s="410">
        <v>52</v>
      </c>
      <c r="D163" s="93" t="s">
        <v>24</v>
      </c>
      <c r="E163" s="93" t="s">
        <v>24</v>
      </c>
      <c r="F163" s="93" t="s">
        <v>7070</v>
      </c>
      <c r="G163" s="93" t="s">
        <v>7108</v>
      </c>
      <c r="H163" s="93" t="s">
        <v>118</v>
      </c>
      <c r="I163" s="93" t="s">
        <v>111</v>
      </c>
      <c r="J163" s="93" t="s">
        <v>118</v>
      </c>
      <c r="K163" s="93">
        <v>3</v>
      </c>
      <c r="L163" s="93" t="s">
        <v>111</v>
      </c>
      <c r="M163" s="93" t="s">
        <v>111</v>
      </c>
      <c r="N163" s="93" t="s">
        <v>111</v>
      </c>
      <c r="O163" s="93" t="s">
        <v>111</v>
      </c>
      <c r="P163" s="93" t="s">
        <v>111</v>
      </c>
      <c r="Q163" s="93" t="s">
        <v>111</v>
      </c>
      <c r="R163" s="93" t="s">
        <v>228</v>
      </c>
      <c r="S163" s="93" t="s">
        <v>2</v>
      </c>
      <c r="T163" s="93" t="s">
        <v>115</v>
      </c>
      <c r="U163" s="93" t="s">
        <v>116</v>
      </c>
      <c r="V163" s="94">
        <v>44617.98541666667</v>
      </c>
      <c r="W163" s="93" t="s">
        <v>402</v>
      </c>
      <c r="X163" s="93" t="s">
        <v>24</v>
      </c>
    </row>
    <row r="164" spans="1:24" x14ac:dyDescent="0.15">
      <c r="A164" s="93" t="s">
        <v>1392</v>
      </c>
      <c r="B164" s="93" t="s">
        <v>1393</v>
      </c>
      <c r="C164" s="410">
        <v>284</v>
      </c>
      <c r="D164" s="93" t="s">
        <v>24</v>
      </c>
      <c r="E164" s="93" t="s">
        <v>24</v>
      </c>
      <c r="F164" s="93" t="s">
        <v>7070</v>
      </c>
      <c r="G164" s="93" t="s">
        <v>7108</v>
      </c>
      <c r="H164" s="93" t="s">
        <v>118</v>
      </c>
      <c r="I164" s="93" t="s">
        <v>111</v>
      </c>
      <c r="J164" s="93" t="s">
        <v>7105</v>
      </c>
      <c r="K164" s="93" t="s">
        <v>111</v>
      </c>
      <c r="L164" s="93" t="s">
        <v>111</v>
      </c>
      <c r="M164" s="93" t="s">
        <v>111</v>
      </c>
      <c r="N164" s="93" t="s">
        <v>111</v>
      </c>
      <c r="O164" s="93" t="s">
        <v>111</v>
      </c>
      <c r="P164" s="93" t="s">
        <v>111</v>
      </c>
      <c r="Q164" s="93" t="s">
        <v>111</v>
      </c>
      <c r="R164" s="93" t="s">
        <v>111</v>
      </c>
      <c r="S164" s="93" t="s">
        <v>111</v>
      </c>
      <c r="T164" s="93" t="s">
        <v>115</v>
      </c>
      <c r="U164" s="93" t="s">
        <v>116</v>
      </c>
      <c r="V164" s="94">
        <v>44610.210416666669</v>
      </c>
      <c r="W164" s="93" t="s">
        <v>1170</v>
      </c>
      <c r="X164" s="93" t="s">
        <v>24</v>
      </c>
    </row>
    <row r="165" spans="1:24" x14ac:dyDescent="0.15">
      <c r="A165" s="93" t="s">
        <v>1394</v>
      </c>
      <c r="B165" s="93" t="s">
        <v>1395</v>
      </c>
      <c r="C165" s="410">
        <v>648</v>
      </c>
      <c r="D165" s="93" t="s">
        <v>24</v>
      </c>
      <c r="E165" s="93" t="s">
        <v>24</v>
      </c>
      <c r="F165" s="93" t="s">
        <v>7070</v>
      </c>
      <c r="G165" s="93" t="s">
        <v>7108</v>
      </c>
      <c r="H165" s="93" t="s">
        <v>118</v>
      </c>
      <c r="I165" s="93" t="s">
        <v>111</v>
      </c>
      <c r="J165" s="93" t="s">
        <v>7105</v>
      </c>
      <c r="K165" s="93" t="s">
        <v>111</v>
      </c>
      <c r="L165" s="93" t="s">
        <v>111</v>
      </c>
      <c r="M165" s="93" t="s">
        <v>111</v>
      </c>
      <c r="N165" s="93" t="s">
        <v>111</v>
      </c>
      <c r="O165" s="93" t="s">
        <v>111</v>
      </c>
      <c r="P165" s="93" t="s">
        <v>111</v>
      </c>
      <c r="Q165" s="93" t="s">
        <v>111</v>
      </c>
      <c r="R165" s="93" t="s">
        <v>111</v>
      </c>
      <c r="S165" s="93" t="s">
        <v>111</v>
      </c>
      <c r="T165" s="93" t="s">
        <v>115</v>
      </c>
      <c r="U165" s="93" t="s">
        <v>116</v>
      </c>
      <c r="V165" s="94">
        <v>44610.1875</v>
      </c>
      <c r="W165" s="93" t="s">
        <v>1170</v>
      </c>
      <c r="X165" s="93" t="s">
        <v>24</v>
      </c>
    </row>
    <row r="166" spans="1:24" x14ac:dyDescent="0.15">
      <c r="A166" s="93" t="s">
        <v>1396</v>
      </c>
      <c r="B166" s="93" t="s">
        <v>1397</v>
      </c>
      <c r="C166" s="410">
        <v>121</v>
      </c>
      <c r="D166" s="93" t="s">
        <v>24</v>
      </c>
      <c r="E166" s="93" t="s">
        <v>24</v>
      </c>
      <c r="F166" s="93" t="s">
        <v>7070</v>
      </c>
      <c r="G166" s="93" t="s">
        <v>7108</v>
      </c>
      <c r="H166" s="93" t="s">
        <v>118</v>
      </c>
      <c r="I166" s="93" t="s">
        <v>111</v>
      </c>
      <c r="J166" s="93" t="s">
        <v>7105</v>
      </c>
      <c r="K166" s="93" t="s">
        <v>111</v>
      </c>
      <c r="L166" s="93" t="s">
        <v>111</v>
      </c>
      <c r="M166" s="93" t="s">
        <v>111</v>
      </c>
      <c r="N166" s="93" t="s">
        <v>111</v>
      </c>
      <c r="O166" s="93" t="s">
        <v>111</v>
      </c>
      <c r="P166" s="93" t="s">
        <v>111</v>
      </c>
      <c r="Q166" s="93" t="s">
        <v>111</v>
      </c>
      <c r="R166" s="93" t="s">
        <v>111</v>
      </c>
      <c r="S166" s="93" t="s">
        <v>111</v>
      </c>
      <c r="T166" s="93" t="s">
        <v>115</v>
      </c>
      <c r="U166" s="93" t="s">
        <v>116</v>
      </c>
      <c r="V166" s="94">
        <v>44596.638194444444</v>
      </c>
      <c r="W166" s="93" t="s">
        <v>1170</v>
      </c>
      <c r="X166" s="93" t="s">
        <v>24</v>
      </c>
    </row>
    <row r="167" spans="1:24" x14ac:dyDescent="0.15">
      <c r="A167" s="93" t="s">
        <v>1398</v>
      </c>
      <c r="B167" s="93" t="s">
        <v>1399</v>
      </c>
      <c r="C167" s="410">
        <v>170</v>
      </c>
      <c r="D167" s="93" t="s">
        <v>24</v>
      </c>
      <c r="E167" s="93" t="s">
        <v>24</v>
      </c>
      <c r="F167" s="93" t="s">
        <v>7070</v>
      </c>
      <c r="G167" s="93" t="s">
        <v>7108</v>
      </c>
      <c r="H167" s="93" t="s">
        <v>118</v>
      </c>
      <c r="I167" s="93" t="s">
        <v>111</v>
      </c>
      <c r="J167" s="93" t="s">
        <v>7105</v>
      </c>
      <c r="K167" s="93" t="s">
        <v>111</v>
      </c>
      <c r="L167" s="93" t="s">
        <v>111</v>
      </c>
      <c r="M167" s="93" t="s">
        <v>111</v>
      </c>
      <c r="N167" s="93" t="s">
        <v>111</v>
      </c>
      <c r="O167" s="93" t="s">
        <v>111</v>
      </c>
      <c r="P167" s="93" t="s">
        <v>111</v>
      </c>
      <c r="Q167" s="93" t="s">
        <v>111</v>
      </c>
      <c r="R167" s="93" t="s">
        <v>111</v>
      </c>
      <c r="S167" s="93" t="s">
        <v>111</v>
      </c>
      <c r="T167" s="93" t="s">
        <v>115</v>
      </c>
      <c r="U167" s="93" t="s">
        <v>116</v>
      </c>
      <c r="V167" s="94">
        <v>44596.691666666666</v>
      </c>
      <c r="W167" s="93" t="s">
        <v>1170</v>
      </c>
      <c r="X167" s="93" t="s">
        <v>24</v>
      </c>
    </row>
    <row r="168" spans="1:24" x14ac:dyDescent="0.15">
      <c r="A168" s="93" t="s">
        <v>1400</v>
      </c>
      <c r="B168" s="93" t="s">
        <v>1401</v>
      </c>
      <c r="C168" s="410">
        <v>308</v>
      </c>
      <c r="D168" s="93" t="s">
        <v>24</v>
      </c>
      <c r="E168" s="93" t="s">
        <v>24</v>
      </c>
      <c r="F168" s="93" t="s">
        <v>7070</v>
      </c>
      <c r="G168" s="93" t="s">
        <v>7108</v>
      </c>
      <c r="H168" s="93" t="s">
        <v>118</v>
      </c>
      <c r="I168" s="93" t="s">
        <v>111</v>
      </c>
      <c r="J168" s="93" t="s">
        <v>118</v>
      </c>
      <c r="K168" s="93">
        <v>3</v>
      </c>
      <c r="L168" s="93" t="s">
        <v>111</v>
      </c>
      <c r="M168" s="93" t="s">
        <v>111</v>
      </c>
      <c r="N168" s="93" t="s">
        <v>111</v>
      </c>
      <c r="O168" s="93" t="s">
        <v>111</v>
      </c>
      <c r="P168" s="93" t="s">
        <v>111</v>
      </c>
      <c r="Q168" s="93" t="s">
        <v>111</v>
      </c>
      <c r="R168" s="93" t="s">
        <v>111</v>
      </c>
      <c r="S168" s="93" t="s">
        <v>111</v>
      </c>
      <c r="T168" s="93" t="s">
        <v>115</v>
      </c>
      <c r="U168" s="93" t="s">
        <v>116</v>
      </c>
      <c r="V168" s="94">
        <v>44596.6875</v>
      </c>
      <c r="W168" s="93" t="s">
        <v>1170</v>
      </c>
      <c r="X168" s="93" t="s">
        <v>24</v>
      </c>
    </row>
    <row r="169" spans="1:24" x14ac:dyDescent="0.15">
      <c r="A169" s="93" t="s">
        <v>1402</v>
      </c>
      <c r="B169" s="93" t="s">
        <v>1403</v>
      </c>
      <c r="C169" s="410">
        <v>708</v>
      </c>
      <c r="D169" s="93" t="s">
        <v>24</v>
      </c>
      <c r="E169" s="93" t="s">
        <v>24</v>
      </c>
      <c r="F169" s="93" t="s">
        <v>7070</v>
      </c>
      <c r="G169" s="93" t="s">
        <v>7108</v>
      </c>
      <c r="H169" s="93" t="s">
        <v>118</v>
      </c>
      <c r="I169" s="93" t="s">
        <v>111</v>
      </c>
      <c r="J169" s="93" t="s">
        <v>118</v>
      </c>
      <c r="K169" s="93">
        <v>3</v>
      </c>
      <c r="L169" s="93" t="s">
        <v>111</v>
      </c>
      <c r="M169" s="93" t="s">
        <v>111</v>
      </c>
      <c r="N169" s="93" t="s">
        <v>111</v>
      </c>
      <c r="O169" s="93" t="s">
        <v>111</v>
      </c>
      <c r="P169" s="93" t="s">
        <v>111</v>
      </c>
      <c r="Q169" s="93" t="s">
        <v>111</v>
      </c>
      <c r="R169" s="93" t="s">
        <v>111</v>
      </c>
      <c r="S169" s="93" t="s">
        <v>111</v>
      </c>
      <c r="T169" s="93" t="s">
        <v>115</v>
      </c>
      <c r="U169" s="93" t="s">
        <v>116</v>
      </c>
      <c r="V169" s="94">
        <v>44596.664583333331</v>
      </c>
      <c r="W169" s="93" t="s">
        <v>1170</v>
      </c>
      <c r="X169" s="93" t="s">
        <v>24</v>
      </c>
    </row>
    <row r="170" spans="1:24" x14ac:dyDescent="0.15">
      <c r="A170" s="93" t="s">
        <v>1404</v>
      </c>
      <c r="B170" s="93" t="s">
        <v>1405</v>
      </c>
      <c r="C170" s="410">
        <v>94</v>
      </c>
      <c r="D170" s="93" t="s">
        <v>24</v>
      </c>
      <c r="E170" s="93" t="s">
        <v>24</v>
      </c>
      <c r="F170" s="93" t="s">
        <v>7070</v>
      </c>
      <c r="G170" s="93" t="s">
        <v>7108</v>
      </c>
      <c r="H170" s="93" t="s">
        <v>118</v>
      </c>
      <c r="I170" s="93" t="s">
        <v>111</v>
      </c>
      <c r="J170" s="93" t="s">
        <v>118</v>
      </c>
      <c r="K170" s="93">
        <v>3</v>
      </c>
      <c r="L170" s="93" t="s">
        <v>111</v>
      </c>
      <c r="M170" s="93" t="s">
        <v>111</v>
      </c>
      <c r="N170" s="93" t="s">
        <v>111</v>
      </c>
      <c r="O170" s="93" t="s">
        <v>111</v>
      </c>
      <c r="P170" s="93" t="s">
        <v>111</v>
      </c>
      <c r="Q170" s="93" t="s">
        <v>111</v>
      </c>
      <c r="R170" s="93" t="s">
        <v>111</v>
      </c>
      <c r="S170" s="93" t="s">
        <v>111</v>
      </c>
      <c r="T170" s="93" t="s">
        <v>115</v>
      </c>
      <c r="U170" s="93" t="s">
        <v>116</v>
      </c>
      <c r="V170" s="94">
        <v>44596.664583333331</v>
      </c>
      <c r="W170" s="93" t="s">
        <v>1170</v>
      </c>
      <c r="X170" s="93" t="s">
        <v>24</v>
      </c>
    </row>
    <row r="171" spans="1:24" x14ac:dyDescent="0.15">
      <c r="A171" s="93" t="s">
        <v>1406</v>
      </c>
      <c r="B171" s="93" t="s">
        <v>1407</v>
      </c>
      <c r="C171" s="410">
        <v>74</v>
      </c>
      <c r="D171" s="93" t="s">
        <v>24</v>
      </c>
      <c r="E171" s="93" t="s">
        <v>24</v>
      </c>
      <c r="F171" s="93" t="s">
        <v>7070</v>
      </c>
      <c r="G171" s="93" t="s">
        <v>7108</v>
      </c>
      <c r="H171" s="93" t="s">
        <v>118</v>
      </c>
      <c r="I171" s="93" t="s">
        <v>111</v>
      </c>
      <c r="J171" s="93" t="s">
        <v>7105</v>
      </c>
      <c r="K171" s="93" t="s">
        <v>111</v>
      </c>
      <c r="L171" s="93" t="s">
        <v>111</v>
      </c>
      <c r="M171" s="93" t="s">
        <v>111</v>
      </c>
      <c r="N171" s="93" t="s">
        <v>111</v>
      </c>
      <c r="O171" s="93" t="s">
        <v>111</v>
      </c>
      <c r="P171" s="93" t="s">
        <v>111</v>
      </c>
      <c r="Q171" s="93" t="s">
        <v>111</v>
      </c>
      <c r="R171" s="93" t="s">
        <v>228</v>
      </c>
      <c r="S171" s="93" t="s">
        <v>2</v>
      </c>
      <c r="T171" s="93" t="s">
        <v>115</v>
      </c>
      <c r="U171" s="93" t="s">
        <v>116</v>
      </c>
      <c r="V171" s="94">
        <v>44596.659722222219</v>
      </c>
      <c r="W171" s="93" t="s">
        <v>1170</v>
      </c>
      <c r="X171" s="93" t="s">
        <v>24</v>
      </c>
    </row>
    <row r="172" spans="1:24" x14ac:dyDescent="0.15">
      <c r="A172" s="93" t="s">
        <v>1408</v>
      </c>
      <c r="B172" s="93" t="s">
        <v>1409</v>
      </c>
      <c r="C172" s="410">
        <v>705</v>
      </c>
      <c r="D172" s="93" t="s">
        <v>24</v>
      </c>
      <c r="E172" s="93" t="s">
        <v>24</v>
      </c>
      <c r="F172" s="93" t="s">
        <v>7070</v>
      </c>
      <c r="G172" s="93" t="s">
        <v>7108</v>
      </c>
      <c r="H172" s="93" t="s">
        <v>118</v>
      </c>
      <c r="I172" s="93" t="s">
        <v>111</v>
      </c>
      <c r="J172" s="93" t="s">
        <v>7105</v>
      </c>
      <c r="K172" s="93" t="s">
        <v>111</v>
      </c>
      <c r="L172" s="93" t="s">
        <v>111</v>
      </c>
      <c r="M172" s="93" t="s">
        <v>111</v>
      </c>
      <c r="N172" s="93" t="s">
        <v>111</v>
      </c>
      <c r="O172" s="93" t="s">
        <v>111</v>
      </c>
      <c r="P172" s="93" t="s">
        <v>111</v>
      </c>
      <c r="Q172" s="93" t="s">
        <v>111</v>
      </c>
      <c r="R172" s="93" t="s">
        <v>111</v>
      </c>
      <c r="S172" s="93" t="s">
        <v>111</v>
      </c>
      <c r="T172" s="93" t="s">
        <v>115</v>
      </c>
      <c r="U172" s="93" t="s">
        <v>116</v>
      </c>
      <c r="V172" s="94">
        <v>44596.691666666666</v>
      </c>
      <c r="W172" s="93" t="s">
        <v>1170</v>
      </c>
      <c r="X172" s="93" t="s">
        <v>24</v>
      </c>
    </row>
    <row r="173" spans="1:24" x14ac:dyDescent="0.15">
      <c r="A173" s="93" t="s">
        <v>1410</v>
      </c>
      <c r="B173" s="93" t="s">
        <v>9064</v>
      </c>
      <c r="C173" s="410">
        <v>224</v>
      </c>
      <c r="D173" s="93" t="s">
        <v>24</v>
      </c>
      <c r="E173" s="93" t="s">
        <v>24</v>
      </c>
      <c r="F173" s="93" t="s">
        <v>7070</v>
      </c>
      <c r="G173" s="93" t="s">
        <v>7108</v>
      </c>
      <c r="H173" s="93" t="s">
        <v>118</v>
      </c>
      <c r="I173" s="93" t="s">
        <v>111</v>
      </c>
      <c r="J173" s="93" t="s">
        <v>7105</v>
      </c>
      <c r="K173" s="93" t="s">
        <v>111</v>
      </c>
      <c r="L173" s="93" t="s">
        <v>111</v>
      </c>
      <c r="M173" s="93" t="s">
        <v>111</v>
      </c>
      <c r="N173" s="93" t="s">
        <v>111</v>
      </c>
      <c r="O173" s="93" t="s">
        <v>111</v>
      </c>
      <c r="P173" s="93" t="s">
        <v>111</v>
      </c>
      <c r="Q173" s="93" t="s">
        <v>111</v>
      </c>
      <c r="R173" s="93" t="s">
        <v>111</v>
      </c>
      <c r="S173" s="93" t="s">
        <v>111</v>
      </c>
      <c r="T173" s="93" t="s">
        <v>115</v>
      </c>
      <c r="U173" s="93" t="s">
        <v>116</v>
      </c>
      <c r="V173" s="94">
        <v>44600.432638888888</v>
      </c>
      <c r="W173" s="93" t="s">
        <v>1170</v>
      </c>
      <c r="X173" s="93" t="s">
        <v>24</v>
      </c>
    </row>
    <row r="174" spans="1:24" x14ac:dyDescent="0.15">
      <c r="A174" s="93" t="s">
        <v>1411</v>
      </c>
      <c r="B174" s="93" t="s">
        <v>1412</v>
      </c>
      <c r="C174" s="410">
        <v>480</v>
      </c>
      <c r="D174" s="93" t="s">
        <v>24</v>
      </c>
      <c r="E174" s="93" t="s">
        <v>24</v>
      </c>
      <c r="F174" s="93" t="s">
        <v>7070</v>
      </c>
      <c r="G174" s="93" t="s">
        <v>7108</v>
      </c>
      <c r="H174" s="93" t="s">
        <v>118</v>
      </c>
      <c r="I174" s="93" t="s">
        <v>111</v>
      </c>
      <c r="J174" s="93" t="s">
        <v>7105</v>
      </c>
      <c r="K174" s="93" t="s">
        <v>111</v>
      </c>
      <c r="L174" s="93" t="s">
        <v>111</v>
      </c>
      <c r="M174" s="93" t="s">
        <v>111</v>
      </c>
      <c r="N174" s="93" t="s">
        <v>111</v>
      </c>
      <c r="O174" s="93" t="s">
        <v>111</v>
      </c>
      <c r="P174" s="93" t="s">
        <v>111</v>
      </c>
      <c r="Q174" s="93" t="s">
        <v>111</v>
      </c>
      <c r="R174" s="93" t="s">
        <v>111</v>
      </c>
      <c r="S174" s="93" t="s">
        <v>111</v>
      </c>
      <c r="T174" s="93" t="s">
        <v>115</v>
      </c>
      <c r="U174" s="93" t="s">
        <v>116</v>
      </c>
      <c r="V174" s="94">
        <v>44596.651388888888</v>
      </c>
      <c r="W174" s="93" t="s">
        <v>1170</v>
      </c>
      <c r="X174" s="93" t="s">
        <v>24</v>
      </c>
    </row>
    <row r="175" spans="1:24" x14ac:dyDescent="0.15">
      <c r="A175" s="93" t="s">
        <v>1413</v>
      </c>
      <c r="B175" s="93" t="s">
        <v>1414</v>
      </c>
      <c r="C175" s="410">
        <v>337</v>
      </c>
      <c r="D175" s="93" t="s">
        <v>24</v>
      </c>
      <c r="E175" s="93" t="s">
        <v>24</v>
      </c>
      <c r="F175" s="93" t="s">
        <v>7070</v>
      </c>
      <c r="G175" s="93" t="s">
        <v>7108</v>
      </c>
      <c r="H175" s="93" t="s">
        <v>118</v>
      </c>
      <c r="I175" s="93" t="s">
        <v>111</v>
      </c>
      <c r="J175" s="93" t="s">
        <v>118</v>
      </c>
      <c r="K175" s="93">
        <v>3</v>
      </c>
      <c r="L175" s="93" t="s">
        <v>111</v>
      </c>
      <c r="M175" s="93" t="s">
        <v>111</v>
      </c>
      <c r="N175" s="93" t="s">
        <v>111</v>
      </c>
      <c r="O175" s="93" t="s">
        <v>111</v>
      </c>
      <c r="P175" s="93" t="s">
        <v>111</v>
      </c>
      <c r="Q175" s="93" t="s">
        <v>111</v>
      </c>
      <c r="R175" s="93" t="s">
        <v>111</v>
      </c>
      <c r="S175" s="93" t="s">
        <v>111</v>
      </c>
      <c r="T175" s="93" t="s">
        <v>115</v>
      </c>
      <c r="U175" s="93" t="s">
        <v>116</v>
      </c>
      <c r="V175" s="94">
        <v>44586.533333333333</v>
      </c>
      <c r="W175" s="93" t="s">
        <v>1170</v>
      </c>
      <c r="X175" s="93" t="s">
        <v>24</v>
      </c>
    </row>
    <row r="176" spans="1:24" x14ac:dyDescent="0.15">
      <c r="A176" s="93" t="s">
        <v>1415</v>
      </c>
      <c r="B176" s="93" t="s">
        <v>1416</v>
      </c>
      <c r="C176" s="410">
        <v>280</v>
      </c>
      <c r="D176" s="93" t="s">
        <v>24</v>
      </c>
      <c r="E176" s="93" t="s">
        <v>24</v>
      </c>
      <c r="F176" s="93" t="s">
        <v>7070</v>
      </c>
      <c r="G176" s="93" t="s">
        <v>7108</v>
      </c>
      <c r="H176" s="93" t="s">
        <v>118</v>
      </c>
      <c r="I176" s="93" t="s">
        <v>111</v>
      </c>
      <c r="J176" s="93" t="s">
        <v>7105</v>
      </c>
      <c r="K176" s="93" t="s">
        <v>111</v>
      </c>
      <c r="L176" s="93" t="s">
        <v>111</v>
      </c>
      <c r="M176" s="93" t="s">
        <v>111</v>
      </c>
      <c r="N176" s="93" t="s">
        <v>111</v>
      </c>
      <c r="O176" s="93" t="s">
        <v>111</v>
      </c>
      <c r="P176" s="93" t="s">
        <v>111</v>
      </c>
      <c r="Q176" s="93" t="s">
        <v>111</v>
      </c>
      <c r="R176" s="93" t="s">
        <v>111</v>
      </c>
      <c r="S176" s="93" t="s">
        <v>111</v>
      </c>
      <c r="T176" s="93" t="s">
        <v>115</v>
      </c>
      <c r="U176" s="93" t="s">
        <v>116</v>
      </c>
      <c r="V176" s="94">
        <v>44596.683333333334</v>
      </c>
      <c r="W176" s="93" t="s">
        <v>1170</v>
      </c>
      <c r="X176" s="93" t="s">
        <v>24</v>
      </c>
    </row>
    <row r="177" spans="1:24" x14ac:dyDescent="0.15">
      <c r="A177" s="93" t="s">
        <v>1417</v>
      </c>
      <c r="B177" s="93" t="s">
        <v>1418</v>
      </c>
      <c r="C177" s="410">
        <v>613</v>
      </c>
      <c r="D177" s="93" t="s">
        <v>24</v>
      </c>
      <c r="E177" s="93" t="s">
        <v>24</v>
      </c>
      <c r="F177" s="93" t="s">
        <v>7070</v>
      </c>
      <c r="G177" s="93" t="s">
        <v>7108</v>
      </c>
      <c r="H177" s="93" t="s">
        <v>118</v>
      </c>
      <c r="I177" s="93" t="s">
        <v>111</v>
      </c>
      <c r="J177" s="93" t="s">
        <v>118</v>
      </c>
      <c r="K177" s="93">
        <v>3</v>
      </c>
      <c r="L177" s="93" t="s">
        <v>111</v>
      </c>
      <c r="M177" s="93" t="s">
        <v>111</v>
      </c>
      <c r="N177" s="93" t="s">
        <v>111</v>
      </c>
      <c r="O177" s="93" t="s">
        <v>111</v>
      </c>
      <c r="P177" s="93" t="s">
        <v>111</v>
      </c>
      <c r="Q177" s="93" t="s">
        <v>111</v>
      </c>
      <c r="R177" s="93" t="s">
        <v>111</v>
      </c>
      <c r="S177" s="93" t="s">
        <v>111</v>
      </c>
      <c r="T177" s="93" t="s">
        <v>115</v>
      </c>
      <c r="U177" s="93" t="s">
        <v>116</v>
      </c>
      <c r="V177" s="94">
        <v>44586.533333333333</v>
      </c>
      <c r="W177" s="93" t="s">
        <v>1170</v>
      </c>
      <c r="X177" s="93" t="s">
        <v>24</v>
      </c>
    </row>
    <row r="178" spans="1:24" x14ac:dyDescent="0.15">
      <c r="A178" s="93" t="s">
        <v>1419</v>
      </c>
      <c r="B178" s="93" t="s">
        <v>1420</v>
      </c>
      <c r="C178" s="410">
        <v>376</v>
      </c>
      <c r="D178" s="93" t="s">
        <v>24</v>
      </c>
      <c r="E178" s="93" t="s">
        <v>24</v>
      </c>
      <c r="F178" s="93" t="s">
        <v>7070</v>
      </c>
      <c r="G178" s="93" t="s">
        <v>7108</v>
      </c>
      <c r="H178" s="93" t="s">
        <v>118</v>
      </c>
      <c r="I178" s="93" t="s">
        <v>111</v>
      </c>
      <c r="J178" s="93" t="s">
        <v>118</v>
      </c>
      <c r="K178" s="93">
        <v>3</v>
      </c>
      <c r="L178" s="93" t="s">
        <v>111</v>
      </c>
      <c r="M178" s="93" t="s">
        <v>111</v>
      </c>
      <c r="N178" s="93" t="s">
        <v>111</v>
      </c>
      <c r="O178" s="93" t="s">
        <v>111</v>
      </c>
      <c r="P178" s="93" t="s">
        <v>111</v>
      </c>
      <c r="Q178" s="93" t="s">
        <v>111</v>
      </c>
      <c r="R178" s="93" t="s">
        <v>111</v>
      </c>
      <c r="S178" s="93" t="s">
        <v>111</v>
      </c>
      <c r="T178" s="93" t="s">
        <v>115</v>
      </c>
      <c r="U178" s="93" t="s">
        <v>116</v>
      </c>
      <c r="V178" s="94">
        <v>44586.533333333333</v>
      </c>
      <c r="W178" s="93" t="s">
        <v>1170</v>
      </c>
      <c r="X178" s="93" t="s">
        <v>24</v>
      </c>
    </row>
    <row r="179" spans="1:24" x14ac:dyDescent="0.15">
      <c r="A179" s="93" t="s">
        <v>1421</v>
      </c>
      <c r="B179" s="93" t="s">
        <v>1422</v>
      </c>
      <c r="C179" s="410">
        <v>433</v>
      </c>
      <c r="D179" s="93" t="s">
        <v>24</v>
      </c>
      <c r="E179" s="93" t="s">
        <v>24</v>
      </c>
      <c r="F179" s="93" t="s">
        <v>7070</v>
      </c>
      <c r="G179" s="93" t="s">
        <v>7108</v>
      </c>
      <c r="H179" s="93" t="s">
        <v>118</v>
      </c>
      <c r="I179" s="93" t="s">
        <v>111</v>
      </c>
      <c r="J179" s="93" t="s">
        <v>118</v>
      </c>
      <c r="K179" s="93">
        <v>3</v>
      </c>
      <c r="L179" s="93" t="s">
        <v>111</v>
      </c>
      <c r="M179" s="93" t="s">
        <v>111</v>
      </c>
      <c r="N179" s="93" t="s">
        <v>111</v>
      </c>
      <c r="O179" s="93" t="s">
        <v>111</v>
      </c>
      <c r="P179" s="93" t="s">
        <v>111</v>
      </c>
      <c r="Q179" s="93" t="s">
        <v>111</v>
      </c>
      <c r="R179" s="93" t="s">
        <v>111</v>
      </c>
      <c r="S179" s="93" t="s">
        <v>111</v>
      </c>
      <c r="T179" s="93" t="s">
        <v>115</v>
      </c>
      <c r="U179" s="93" t="s">
        <v>116</v>
      </c>
      <c r="V179" s="94">
        <v>44586.533333333333</v>
      </c>
      <c r="W179" s="93" t="s">
        <v>1170</v>
      </c>
      <c r="X179" s="93" t="s">
        <v>24</v>
      </c>
    </row>
    <row r="180" spans="1:24" x14ac:dyDescent="0.15">
      <c r="A180" s="93" t="s">
        <v>1423</v>
      </c>
      <c r="B180" s="93" t="s">
        <v>1424</v>
      </c>
      <c r="C180" s="410">
        <v>1010</v>
      </c>
      <c r="D180" s="93" t="s">
        <v>24</v>
      </c>
      <c r="E180" s="93" t="s">
        <v>24</v>
      </c>
      <c r="F180" s="93" t="s">
        <v>7070</v>
      </c>
      <c r="G180" s="93" t="s">
        <v>7108</v>
      </c>
      <c r="H180" s="93" t="s">
        <v>118</v>
      </c>
      <c r="I180" s="93" t="s">
        <v>111</v>
      </c>
      <c r="J180" s="93" t="s">
        <v>118</v>
      </c>
      <c r="K180" s="93">
        <v>3</v>
      </c>
      <c r="L180" s="93" t="s">
        <v>111</v>
      </c>
      <c r="M180" s="93" t="s">
        <v>111</v>
      </c>
      <c r="N180" s="93" t="s">
        <v>111</v>
      </c>
      <c r="O180" s="93" t="s">
        <v>111</v>
      </c>
      <c r="P180" s="93" t="s">
        <v>111</v>
      </c>
      <c r="Q180" s="93" t="s">
        <v>111</v>
      </c>
      <c r="R180" s="93" t="s">
        <v>111</v>
      </c>
      <c r="S180" s="93" t="s">
        <v>111</v>
      </c>
      <c r="T180" s="93" t="s">
        <v>115</v>
      </c>
      <c r="U180" s="93" t="s">
        <v>116</v>
      </c>
      <c r="V180" s="94">
        <v>44586.533333333333</v>
      </c>
      <c r="W180" s="93" t="s">
        <v>1170</v>
      </c>
      <c r="X180" s="93" t="s">
        <v>24</v>
      </c>
    </row>
    <row r="181" spans="1:24" x14ac:dyDescent="0.15">
      <c r="A181" s="93" t="s">
        <v>1425</v>
      </c>
      <c r="B181" s="93" t="s">
        <v>1426</v>
      </c>
      <c r="C181" s="410">
        <v>241</v>
      </c>
      <c r="D181" s="93" t="s">
        <v>24</v>
      </c>
      <c r="E181" s="93" t="s">
        <v>24</v>
      </c>
      <c r="F181" s="93" t="s">
        <v>7070</v>
      </c>
      <c r="G181" s="93" t="s">
        <v>7108</v>
      </c>
      <c r="H181" s="93" t="s">
        <v>118</v>
      </c>
      <c r="I181" s="93" t="s">
        <v>111</v>
      </c>
      <c r="J181" s="93" t="s">
        <v>118</v>
      </c>
      <c r="K181" s="93">
        <v>3</v>
      </c>
      <c r="L181" s="93" t="s">
        <v>111</v>
      </c>
      <c r="M181" s="93" t="s">
        <v>111</v>
      </c>
      <c r="N181" s="93" t="s">
        <v>111</v>
      </c>
      <c r="O181" s="93" t="s">
        <v>111</v>
      </c>
      <c r="P181" s="93" t="s">
        <v>111</v>
      </c>
      <c r="Q181" s="93" t="s">
        <v>111</v>
      </c>
      <c r="R181" s="93" t="s">
        <v>111</v>
      </c>
      <c r="S181" s="93" t="s">
        <v>111</v>
      </c>
      <c r="T181" s="93" t="s">
        <v>115</v>
      </c>
      <c r="U181" s="93" t="s">
        <v>116</v>
      </c>
      <c r="V181" s="94">
        <v>44586.533333333333</v>
      </c>
      <c r="W181" s="93" t="s">
        <v>1170</v>
      </c>
      <c r="X181" s="93" t="s">
        <v>24</v>
      </c>
    </row>
    <row r="182" spans="1:24" x14ac:dyDescent="0.15">
      <c r="A182" s="93" t="s">
        <v>1427</v>
      </c>
      <c r="B182" s="93" t="s">
        <v>1428</v>
      </c>
      <c r="C182" s="410">
        <v>401</v>
      </c>
      <c r="D182" s="93" t="s">
        <v>24</v>
      </c>
      <c r="E182" s="93" t="s">
        <v>24</v>
      </c>
      <c r="F182" s="93" t="s">
        <v>7070</v>
      </c>
      <c r="G182" s="93" t="s">
        <v>7108</v>
      </c>
      <c r="H182" s="93" t="s">
        <v>118</v>
      </c>
      <c r="I182" s="93" t="s">
        <v>111</v>
      </c>
      <c r="J182" s="93" t="s">
        <v>118</v>
      </c>
      <c r="K182" s="93">
        <v>3</v>
      </c>
      <c r="L182" s="93" t="s">
        <v>111</v>
      </c>
      <c r="M182" s="93" t="s">
        <v>111</v>
      </c>
      <c r="N182" s="93" t="s">
        <v>111</v>
      </c>
      <c r="O182" s="93" t="s">
        <v>111</v>
      </c>
      <c r="P182" s="93" t="s">
        <v>111</v>
      </c>
      <c r="Q182" s="93" t="s">
        <v>111</v>
      </c>
      <c r="R182" s="93" t="s">
        <v>111</v>
      </c>
      <c r="S182" s="93" t="s">
        <v>111</v>
      </c>
      <c r="T182" s="93" t="s">
        <v>115</v>
      </c>
      <c r="U182" s="93" t="s">
        <v>116</v>
      </c>
      <c r="V182" s="94">
        <v>44586.533333333333</v>
      </c>
      <c r="W182" s="93" t="s">
        <v>1170</v>
      </c>
      <c r="X182" s="93" t="s">
        <v>24</v>
      </c>
    </row>
    <row r="183" spans="1:24" x14ac:dyDescent="0.15">
      <c r="A183" s="93" t="s">
        <v>1429</v>
      </c>
      <c r="B183" s="93" t="s">
        <v>1430</v>
      </c>
      <c r="C183" s="410">
        <v>181</v>
      </c>
      <c r="D183" s="93" t="s">
        <v>24</v>
      </c>
      <c r="E183" s="93" t="s">
        <v>24</v>
      </c>
      <c r="F183" s="93" t="s">
        <v>7070</v>
      </c>
      <c r="G183" s="93" t="s">
        <v>7108</v>
      </c>
      <c r="H183" s="93" t="s">
        <v>118</v>
      </c>
      <c r="I183" s="93" t="s">
        <v>111</v>
      </c>
      <c r="J183" s="93" t="s">
        <v>118</v>
      </c>
      <c r="K183" s="93">
        <v>3</v>
      </c>
      <c r="L183" s="93" t="s">
        <v>111</v>
      </c>
      <c r="M183" s="93" t="s">
        <v>111</v>
      </c>
      <c r="N183" s="93" t="s">
        <v>111</v>
      </c>
      <c r="O183" s="93" t="s">
        <v>111</v>
      </c>
      <c r="P183" s="93" t="s">
        <v>111</v>
      </c>
      <c r="Q183" s="93" t="s">
        <v>111</v>
      </c>
      <c r="R183" s="93" t="s">
        <v>111</v>
      </c>
      <c r="S183" s="93" t="s">
        <v>111</v>
      </c>
      <c r="T183" s="93" t="s">
        <v>115</v>
      </c>
      <c r="U183" s="93" t="s">
        <v>116</v>
      </c>
      <c r="V183" s="94">
        <v>44586.533333333333</v>
      </c>
      <c r="W183" s="93" t="s">
        <v>1170</v>
      </c>
      <c r="X183" s="93" t="s">
        <v>24</v>
      </c>
    </row>
    <row r="184" spans="1:24" x14ac:dyDescent="0.15">
      <c r="A184" s="93" t="s">
        <v>1431</v>
      </c>
      <c r="B184" s="93" t="s">
        <v>1432</v>
      </c>
      <c r="C184" s="410">
        <v>341</v>
      </c>
      <c r="D184" s="93" t="s">
        <v>24</v>
      </c>
      <c r="E184" s="93" t="s">
        <v>24</v>
      </c>
      <c r="F184" s="93" t="s">
        <v>7070</v>
      </c>
      <c r="G184" s="93" t="s">
        <v>7108</v>
      </c>
      <c r="H184" s="93" t="s">
        <v>118</v>
      </c>
      <c r="I184" s="93" t="s">
        <v>111</v>
      </c>
      <c r="J184" s="93" t="s">
        <v>118</v>
      </c>
      <c r="K184" s="93">
        <v>3</v>
      </c>
      <c r="L184" s="93" t="s">
        <v>111</v>
      </c>
      <c r="M184" s="93" t="s">
        <v>111</v>
      </c>
      <c r="N184" s="93" t="s">
        <v>111</v>
      </c>
      <c r="O184" s="93" t="s">
        <v>111</v>
      </c>
      <c r="P184" s="93" t="s">
        <v>111</v>
      </c>
      <c r="Q184" s="93" t="s">
        <v>111</v>
      </c>
      <c r="R184" s="93" t="s">
        <v>111</v>
      </c>
      <c r="S184" s="93" t="s">
        <v>111</v>
      </c>
      <c r="T184" s="93" t="s">
        <v>115</v>
      </c>
      <c r="U184" s="93" t="s">
        <v>116</v>
      </c>
      <c r="V184" s="94">
        <v>44586.533333333333</v>
      </c>
      <c r="W184" s="93" t="s">
        <v>1170</v>
      </c>
      <c r="X184" s="93" t="s">
        <v>24</v>
      </c>
    </row>
    <row r="185" spans="1:24" x14ac:dyDescent="0.15">
      <c r="A185" s="93" t="s">
        <v>1433</v>
      </c>
      <c r="B185" s="93" t="s">
        <v>1434</v>
      </c>
      <c r="C185" s="410">
        <v>292</v>
      </c>
      <c r="D185" s="93" t="s">
        <v>24</v>
      </c>
      <c r="E185" s="93" t="s">
        <v>24</v>
      </c>
      <c r="F185" s="93" t="s">
        <v>7070</v>
      </c>
      <c r="G185" s="93" t="s">
        <v>7108</v>
      </c>
      <c r="H185" s="93" t="s">
        <v>118</v>
      </c>
      <c r="I185" s="93" t="s">
        <v>111</v>
      </c>
      <c r="J185" s="93" t="s">
        <v>7105</v>
      </c>
      <c r="K185" s="93" t="s">
        <v>111</v>
      </c>
      <c r="L185" s="93" t="s">
        <v>111</v>
      </c>
      <c r="M185" s="93" t="s">
        <v>111</v>
      </c>
      <c r="N185" s="93" t="s">
        <v>111</v>
      </c>
      <c r="O185" s="93" t="s">
        <v>111</v>
      </c>
      <c r="P185" s="93" t="s">
        <v>111</v>
      </c>
      <c r="Q185" s="93" t="s">
        <v>111</v>
      </c>
      <c r="R185" s="93" t="s">
        <v>111</v>
      </c>
      <c r="S185" s="93" t="s">
        <v>111</v>
      </c>
      <c r="T185" s="93" t="s">
        <v>115</v>
      </c>
      <c r="U185" s="93" t="s">
        <v>116</v>
      </c>
      <c r="V185" s="94">
        <v>44596.643055555556</v>
      </c>
      <c r="W185" s="93" t="s">
        <v>1170</v>
      </c>
      <c r="X185" s="93" t="s">
        <v>24</v>
      </c>
    </row>
    <row r="186" spans="1:24" x14ac:dyDescent="0.15">
      <c r="A186" s="93" t="s">
        <v>1435</v>
      </c>
      <c r="B186" s="93" t="s">
        <v>1436</v>
      </c>
      <c r="C186" s="410">
        <v>388</v>
      </c>
      <c r="D186" s="93" t="s">
        <v>24</v>
      </c>
      <c r="E186" s="93" t="s">
        <v>24</v>
      </c>
      <c r="F186" s="93" t="s">
        <v>7070</v>
      </c>
      <c r="G186" s="93" t="s">
        <v>7108</v>
      </c>
      <c r="H186" s="93" t="s">
        <v>118</v>
      </c>
      <c r="I186" s="93" t="s">
        <v>111</v>
      </c>
      <c r="J186" s="93" t="s">
        <v>7105</v>
      </c>
      <c r="K186" s="93" t="s">
        <v>111</v>
      </c>
      <c r="L186" s="93" t="s">
        <v>111</v>
      </c>
      <c r="M186" s="93" t="s">
        <v>111</v>
      </c>
      <c r="N186" s="93" t="s">
        <v>111</v>
      </c>
      <c r="O186" s="93" t="s">
        <v>111</v>
      </c>
      <c r="P186" s="93" t="s">
        <v>111</v>
      </c>
      <c r="Q186" s="93" t="s">
        <v>111</v>
      </c>
      <c r="R186" s="93" t="s">
        <v>111</v>
      </c>
      <c r="S186" s="93" t="s">
        <v>111</v>
      </c>
      <c r="T186" s="93" t="s">
        <v>115</v>
      </c>
      <c r="U186" s="93" t="s">
        <v>116</v>
      </c>
      <c r="V186" s="94">
        <v>44596.691666666666</v>
      </c>
      <c r="W186" s="93" t="s">
        <v>1170</v>
      </c>
      <c r="X186" s="93" t="s">
        <v>24</v>
      </c>
    </row>
    <row r="187" spans="1:24" x14ac:dyDescent="0.15">
      <c r="A187" s="93" t="s">
        <v>1437</v>
      </c>
      <c r="B187" s="93" t="s">
        <v>1438</v>
      </c>
      <c r="C187" s="410">
        <v>945</v>
      </c>
      <c r="D187" s="93" t="s">
        <v>24</v>
      </c>
      <c r="E187" s="93" t="s">
        <v>24</v>
      </c>
      <c r="F187" s="93" t="s">
        <v>7070</v>
      </c>
      <c r="G187" s="93" t="s">
        <v>7108</v>
      </c>
      <c r="H187" s="93" t="s">
        <v>118</v>
      </c>
      <c r="I187" s="93" t="s">
        <v>111</v>
      </c>
      <c r="J187" s="93" t="s">
        <v>7105</v>
      </c>
      <c r="K187" s="93" t="s">
        <v>111</v>
      </c>
      <c r="L187" s="93" t="s">
        <v>111</v>
      </c>
      <c r="M187" s="93" t="s">
        <v>111</v>
      </c>
      <c r="N187" s="93" t="s">
        <v>111</v>
      </c>
      <c r="O187" s="93" t="s">
        <v>111</v>
      </c>
      <c r="P187" s="93" t="s">
        <v>111</v>
      </c>
      <c r="Q187" s="93" t="s">
        <v>111</v>
      </c>
      <c r="R187" s="93" t="s">
        <v>111</v>
      </c>
      <c r="S187" s="93" t="s">
        <v>111</v>
      </c>
      <c r="T187" s="93" t="s">
        <v>115</v>
      </c>
      <c r="U187" s="93" t="s">
        <v>116</v>
      </c>
      <c r="V187" s="94">
        <v>44596.6875</v>
      </c>
      <c r="W187" s="93" t="s">
        <v>1170</v>
      </c>
      <c r="X187" s="93" t="s">
        <v>24</v>
      </c>
    </row>
    <row r="188" spans="1:24" x14ac:dyDescent="0.15">
      <c r="A188" s="93" t="s">
        <v>1439</v>
      </c>
      <c r="B188" s="93" t="s">
        <v>1440</v>
      </c>
      <c r="C188" s="410">
        <v>385</v>
      </c>
      <c r="D188" s="93" t="s">
        <v>24</v>
      </c>
      <c r="E188" s="93" t="s">
        <v>24</v>
      </c>
      <c r="F188" s="93" t="s">
        <v>7070</v>
      </c>
      <c r="G188" s="93" t="s">
        <v>7108</v>
      </c>
      <c r="H188" s="93" t="s">
        <v>118</v>
      </c>
      <c r="I188" s="93" t="s">
        <v>111</v>
      </c>
      <c r="J188" s="93" t="s">
        <v>7105</v>
      </c>
      <c r="K188" s="93" t="s">
        <v>111</v>
      </c>
      <c r="L188" s="93" t="s">
        <v>111</v>
      </c>
      <c r="M188" s="93" t="s">
        <v>111</v>
      </c>
      <c r="N188" s="93" t="s">
        <v>111</v>
      </c>
      <c r="O188" s="93" t="s">
        <v>111</v>
      </c>
      <c r="P188" s="93" t="s">
        <v>111</v>
      </c>
      <c r="Q188" s="93" t="s">
        <v>111</v>
      </c>
      <c r="R188" s="93" t="s">
        <v>111</v>
      </c>
      <c r="S188" s="93" t="s">
        <v>111</v>
      </c>
      <c r="T188" s="93" t="s">
        <v>115</v>
      </c>
      <c r="U188" s="93" t="s">
        <v>116</v>
      </c>
      <c r="V188" s="94">
        <v>44596.683333333334</v>
      </c>
      <c r="W188" s="93" t="s">
        <v>1170</v>
      </c>
      <c r="X188" s="93" t="s">
        <v>24</v>
      </c>
    </row>
    <row r="189" spans="1:24" x14ac:dyDescent="0.15">
      <c r="A189" s="93" t="s">
        <v>1441</v>
      </c>
      <c r="B189" s="93" t="s">
        <v>1442</v>
      </c>
      <c r="C189" s="410">
        <v>261</v>
      </c>
      <c r="D189" s="93" t="s">
        <v>24</v>
      </c>
      <c r="E189" s="93" t="s">
        <v>24</v>
      </c>
      <c r="F189" s="93" t="s">
        <v>7070</v>
      </c>
      <c r="G189" s="93" t="s">
        <v>7108</v>
      </c>
      <c r="H189" s="93" t="s">
        <v>118</v>
      </c>
      <c r="I189" s="93" t="s">
        <v>111</v>
      </c>
      <c r="J189" s="93" t="s">
        <v>118</v>
      </c>
      <c r="K189" s="93">
        <v>3</v>
      </c>
      <c r="L189" s="93" t="s">
        <v>111</v>
      </c>
      <c r="M189" s="93" t="s">
        <v>111</v>
      </c>
      <c r="N189" s="93" t="s">
        <v>111</v>
      </c>
      <c r="O189" s="93" t="s">
        <v>111</v>
      </c>
      <c r="P189" s="93" t="s">
        <v>111</v>
      </c>
      <c r="Q189" s="93" t="s">
        <v>111</v>
      </c>
      <c r="R189" s="93" t="s">
        <v>111</v>
      </c>
      <c r="S189" s="93" t="s">
        <v>111</v>
      </c>
      <c r="T189" s="93" t="s">
        <v>115</v>
      </c>
      <c r="U189" s="93" t="s">
        <v>116</v>
      </c>
      <c r="V189" s="94">
        <v>44586.533333333333</v>
      </c>
      <c r="W189" s="93" t="s">
        <v>1170</v>
      </c>
      <c r="X189" s="93" t="s">
        <v>24</v>
      </c>
    </row>
    <row r="190" spans="1:24" x14ac:dyDescent="0.15">
      <c r="A190" s="93" t="s">
        <v>9065</v>
      </c>
      <c r="B190" s="93" t="s">
        <v>9066</v>
      </c>
      <c r="C190" s="410">
        <v>480</v>
      </c>
      <c r="D190" s="93" t="s">
        <v>24</v>
      </c>
      <c r="E190" s="93" t="s">
        <v>24</v>
      </c>
      <c r="F190" s="93" t="s">
        <v>7070</v>
      </c>
      <c r="G190" s="93" t="s">
        <v>7108</v>
      </c>
      <c r="H190" s="93" t="s">
        <v>118</v>
      </c>
      <c r="I190" s="93" t="s">
        <v>111</v>
      </c>
      <c r="J190" s="93" t="s">
        <v>118</v>
      </c>
      <c r="K190" s="93">
        <v>3</v>
      </c>
      <c r="L190" s="93" t="s">
        <v>111</v>
      </c>
      <c r="M190" s="93" t="s">
        <v>111</v>
      </c>
      <c r="N190" s="93" t="s">
        <v>111</v>
      </c>
      <c r="O190" s="93" t="s">
        <v>111</v>
      </c>
      <c r="P190" s="93" t="s">
        <v>111</v>
      </c>
      <c r="Q190" s="93" t="s">
        <v>111</v>
      </c>
      <c r="R190" s="93" t="s">
        <v>228</v>
      </c>
      <c r="S190" s="93" t="s">
        <v>2</v>
      </c>
      <c r="T190" s="93" t="s">
        <v>115</v>
      </c>
      <c r="U190" s="93" t="s">
        <v>116</v>
      </c>
      <c r="V190" s="94">
        <v>44596.659722222219</v>
      </c>
      <c r="W190" s="93" t="s">
        <v>1170</v>
      </c>
      <c r="X190" s="93" t="s">
        <v>24</v>
      </c>
    </row>
    <row r="191" spans="1:24" x14ac:dyDescent="0.15">
      <c r="A191" s="93" t="s">
        <v>1443</v>
      </c>
      <c r="B191" s="93" t="s">
        <v>1444</v>
      </c>
      <c r="C191" s="410">
        <v>521</v>
      </c>
      <c r="D191" s="93" t="s">
        <v>24</v>
      </c>
      <c r="E191" s="93" t="s">
        <v>24</v>
      </c>
      <c r="F191" s="93" t="s">
        <v>7070</v>
      </c>
      <c r="G191" s="93" t="s">
        <v>7108</v>
      </c>
      <c r="H191" s="93" t="s">
        <v>118</v>
      </c>
      <c r="I191" s="93" t="s">
        <v>111</v>
      </c>
      <c r="J191" s="93" t="s">
        <v>7105</v>
      </c>
      <c r="K191" s="93" t="s">
        <v>111</v>
      </c>
      <c r="L191" s="93" t="s">
        <v>111</v>
      </c>
      <c r="M191" s="93" t="s">
        <v>111</v>
      </c>
      <c r="N191" s="93" t="s">
        <v>111</v>
      </c>
      <c r="O191" s="93" t="s">
        <v>111</v>
      </c>
      <c r="P191" s="93" t="s">
        <v>111</v>
      </c>
      <c r="Q191" s="93" t="s">
        <v>111</v>
      </c>
      <c r="R191" s="93" t="s">
        <v>228</v>
      </c>
      <c r="S191" s="93" t="s">
        <v>2</v>
      </c>
      <c r="T191" s="93" t="s">
        <v>115</v>
      </c>
      <c r="U191" s="93" t="s">
        <v>116</v>
      </c>
      <c r="V191" s="94">
        <v>44596.69027777778</v>
      </c>
      <c r="W191" s="93" t="s">
        <v>1170</v>
      </c>
      <c r="X191" s="93" t="s">
        <v>24</v>
      </c>
    </row>
    <row r="192" spans="1:24" x14ac:dyDescent="0.15">
      <c r="A192" s="93" t="s">
        <v>9067</v>
      </c>
      <c r="B192" s="93" t="s">
        <v>9068</v>
      </c>
      <c r="C192" s="410">
        <v>280</v>
      </c>
      <c r="D192" s="93" t="s">
        <v>24</v>
      </c>
      <c r="E192" s="93" t="s">
        <v>24</v>
      </c>
      <c r="F192" s="93" t="s">
        <v>7070</v>
      </c>
      <c r="G192" s="93" t="s">
        <v>7108</v>
      </c>
      <c r="H192" s="93" t="s">
        <v>118</v>
      </c>
      <c r="I192" s="93" t="s">
        <v>111</v>
      </c>
      <c r="J192" s="93" t="s">
        <v>118</v>
      </c>
      <c r="K192" s="93">
        <v>3</v>
      </c>
      <c r="L192" s="93" t="s">
        <v>111</v>
      </c>
      <c r="M192" s="93" t="s">
        <v>111</v>
      </c>
      <c r="N192" s="93" t="s">
        <v>111</v>
      </c>
      <c r="O192" s="93" t="s">
        <v>111</v>
      </c>
      <c r="P192" s="93" t="s">
        <v>111</v>
      </c>
      <c r="Q192" s="93" t="s">
        <v>111</v>
      </c>
      <c r="R192" s="93" t="s">
        <v>228</v>
      </c>
      <c r="S192" s="93" t="s">
        <v>2</v>
      </c>
      <c r="T192" s="93" t="s">
        <v>115</v>
      </c>
      <c r="U192" s="93" t="s">
        <v>116</v>
      </c>
      <c r="V192" s="94">
        <v>44596.682638888888</v>
      </c>
      <c r="W192" s="93" t="s">
        <v>1170</v>
      </c>
      <c r="X192" s="93" t="s">
        <v>24</v>
      </c>
    </row>
    <row r="193" spans="1:24" x14ac:dyDescent="0.15">
      <c r="A193" s="93" t="s">
        <v>1445</v>
      </c>
      <c r="B193" s="93" t="s">
        <v>1446</v>
      </c>
      <c r="C193" s="410">
        <v>18</v>
      </c>
      <c r="D193" s="93" t="s">
        <v>24</v>
      </c>
      <c r="E193" s="93" t="s">
        <v>24</v>
      </c>
      <c r="F193" s="93" t="s">
        <v>7070</v>
      </c>
      <c r="G193" s="93" t="s">
        <v>7108</v>
      </c>
      <c r="H193" s="93" t="s">
        <v>118</v>
      </c>
      <c r="I193" s="93" t="s">
        <v>111</v>
      </c>
      <c r="J193" s="93" t="s">
        <v>7105</v>
      </c>
      <c r="K193" s="93" t="s">
        <v>111</v>
      </c>
      <c r="L193" s="93" t="s">
        <v>111</v>
      </c>
      <c r="M193" s="93" t="s">
        <v>111</v>
      </c>
      <c r="N193" s="93" t="s">
        <v>111</v>
      </c>
      <c r="O193" s="93" t="s">
        <v>111</v>
      </c>
      <c r="P193" s="93" t="s">
        <v>111</v>
      </c>
      <c r="Q193" s="93" t="s">
        <v>111</v>
      </c>
      <c r="R193" s="93" t="s">
        <v>111</v>
      </c>
      <c r="S193" s="93" t="s">
        <v>111</v>
      </c>
      <c r="T193" s="93" t="s">
        <v>115</v>
      </c>
      <c r="U193" s="93" t="s">
        <v>116</v>
      </c>
      <c r="V193" s="94">
        <v>44610.193055555559</v>
      </c>
      <c r="W193" s="93" t="s">
        <v>1170</v>
      </c>
      <c r="X193" s="93" t="s">
        <v>24</v>
      </c>
    </row>
    <row r="194" spans="1:24" x14ac:dyDescent="0.15">
      <c r="A194" s="93" t="s">
        <v>1447</v>
      </c>
      <c r="B194" s="93" t="s">
        <v>1448</v>
      </c>
      <c r="C194" s="410">
        <v>25</v>
      </c>
      <c r="D194" s="93" t="s">
        <v>24</v>
      </c>
      <c r="E194" s="93" t="s">
        <v>24</v>
      </c>
      <c r="F194" s="93" t="s">
        <v>7070</v>
      </c>
      <c r="G194" s="93" t="s">
        <v>7108</v>
      </c>
      <c r="H194" s="93" t="s">
        <v>118</v>
      </c>
      <c r="I194" s="93" t="s">
        <v>111</v>
      </c>
      <c r="J194" s="93" t="s">
        <v>7105</v>
      </c>
      <c r="K194" s="93" t="s">
        <v>111</v>
      </c>
      <c r="L194" s="93" t="s">
        <v>111</v>
      </c>
      <c r="M194" s="93" t="s">
        <v>111</v>
      </c>
      <c r="N194" s="93" t="s">
        <v>111</v>
      </c>
      <c r="O194" s="93" t="s">
        <v>111</v>
      </c>
      <c r="P194" s="93" t="s">
        <v>111</v>
      </c>
      <c r="Q194" s="93" t="s">
        <v>111</v>
      </c>
      <c r="R194" s="93" t="s">
        <v>111</v>
      </c>
      <c r="S194" s="93" t="s">
        <v>111</v>
      </c>
      <c r="T194" s="93" t="s">
        <v>115</v>
      </c>
      <c r="U194" s="93" t="s">
        <v>116</v>
      </c>
      <c r="V194" s="94">
        <v>44610.152777777781</v>
      </c>
      <c r="W194" s="93" t="s">
        <v>1170</v>
      </c>
      <c r="X194" s="93" t="s">
        <v>24</v>
      </c>
    </row>
    <row r="195" spans="1:24" x14ac:dyDescent="0.15">
      <c r="A195" s="93" t="s">
        <v>9069</v>
      </c>
      <c r="B195" s="93" t="s">
        <v>9070</v>
      </c>
      <c r="C195" s="410">
        <v>264</v>
      </c>
      <c r="D195" s="93" t="s">
        <v>24</v>
      </c>
      <c r="E195" s="93" t="s">
        <v>24</v>
      </c>
      <c r="F195" s="93" t="s">
        <v>7070</v>
      </c>
      <c r="G195" s="93" t="s">
        <v>7108</v>
      </c>
      <c r="H195" s="93" t="s">
        <v>118</v>
      </c>
      <c r="I195" s="93" t="s">
        <v>111</v>
      </c>
      <c r="J195" s="93" t="s">
        <v>7105</v>
      </c>
      <c r="K195" s="93" t="s">
        <v>111</v>
      </c>
      <c r="L195" s="93" t="s">
        <v>111</v>
      </c>
      <c r="M195" s="93" t="s">
        <v>111</v>
      </c>
      <c r="N195" s="93" t="s">
        <v>111</v>
      </c>
      <c r="O195" s="93" t="s">
        <v>111</v>
      </c>
      <c r="P195" s="93" t="s">
        <v>111</v>
      </c>
      <c r="Q195" s="93" t="s">
        <v>111</v>
      </c>
      <c r="R195" s="93" t="s">
        <v>228</v>
      </c>
      <c r="S195" s="93" t="s">
        <v>2</v>
      </c>
      <c r="T195" s="93" t="s">
        <v>115</v>
      </c>
      <c r="U195" s="93" t="s">
        <v>116</v>
      </c>
      <c r="V195" s="94">
        <v>44596.659722222219</v>
      </c>
      <c r="W195" s="93" t="s">
        <v>1170</v>
      </c>
      <c r="X195" s="93" t="s">
        <v>24</v>
      </c>
    </row>
    <row r="196" spans="1:24" x14ac:dyDescent="0.15">
      <c r="A196" s="93" t="s">
        <v>7143</v>
      </c>
      <c r="B196" s="93" t="s">
        <v>7144</v>
      </c>
      <c r="C196" s="410">
        <v>990</v>
      </c>
      <c r="D196" s="93" t="s">
        <v>24</v>
      </c>
      <c r="E196" s="93" t="s">
        <v>24</v>
      </c>
      <c r="F196" s="93" t="s">
        <v>5978</v>
      </c>
      <c r="G196" s="93" t="s">
        <v>7108</v>
      </c>
      <c r="H196" s="93" t="s">
        <v>118</v>
      </c>
      <c r="I196" s="93" t="s">
        <v>111</v>
      </c>
      <c r="J196" s="93" t="s">
        <v>118</v>
      </c>
      <c r="K196" s="93">
        <v>3</v>
      </c>
      <c r="L196" s="93" t="s">
        <v>111</v>
      </c>
      <c r="M196" s="93" t="s">
        <v>111</v>
      </c>
      <c r="N196" s="93" t="s">
        <v>111</v>
      </c>
      <c r="O196" s="93" t="s">
        <v>111</v>
      </c>
      <c r="P196" s="93" t="s">
        <v>111</v>
      </c>
      <c r="Q196" s="93" t="s">
        <v>111</v>
      </c>
      <c r="R196" s="93" t="s">
        <v>228</v>
      </c>
      <c r="S196" s="93" t="s">
        <v>2</v>
      </c>
      <c r="T196" s="93" t="s">
        <v>115</v>
      </c>
      <c r="U196" s="93" t="s">
        <v>116</v>
      </c>
      <c r="V196" s="94">
        <v>44602.490277777775</v>
      </c>
      <c r="W196" s="93" t="s">
        <v>402</v>
      </c>
      <c r="X196" s="93" t="s">
        <v>24</v>
      </c>
    </row>
    <row r="197" spans="1:24" x14ac:dyDescent="0.15">
      <c r="A197" s="93" t="s">
        <v>7145</v>
      </c>
      <c r="B197" s="93" t="s">
        <v>7146</v>
      </c>
      <c r="C197" s="410">
        <v>67</v>
      </c>
      <c r="D197" s="93" t="s">
        <v>24</v>
      </c>
      <c r="E197" s="93" t="s">
        <v>24</v>
      </c>
      <c r="F197" s="93" t="s">
        <v>5978</v>
      </c>
      <c r="G197" s="93" t="s">
        <v>7108</v>
      </c>
      <c r="H197" s="93" t="s">
        <v>118</v>
      </c>
      <c r="I197" s="93" t="s">
        <v>111</v>
      </c>
      <c r="J197" s="93" t="s">
        <v>118</v>
      </c>
      <c r="K197" s="93">
        <v>3</v>
      </c>
      <c r="L197" s="93" t="s">
        <v>111</v>
      </c>
      <c r="M197" s="93" t="s">
        <v>111</v>
      </c>
      <c r="N197" s="93" t="s">
        <v>111</v>
      </c>
      <c r="O197" s="93" t="s">
        <v>111</v>
      </c>
      <c r="P197" s="93" t="s">
        <v>111</v>
      </c>
      <c r="Q197" s="93" t="s">
        <v>111</v>
      </c>
      <c r="R197" s="93" t="s">
        <v>228</v>
      </c>
      <c r="S197" s="93" t="s">
        <v>2</v>
      </c>
      <c r="T197" s="93" t="s">
        <v>115</v>
      </c>
      <c r="U197" s="93" t="s">
        <v>116</v>
      </c>
      <c r="V197" s="94">
        <v>44602.490277777775</v>
      </c>
      <c r="W197" s="93" t="s">
        <v>402</v>
      </c>
      <c r="X197" s="93" t="s">
        <v>24</v>
      </c>
    </row>
    <row r="198" spans="1:24" x14ac:dyDescent="0.15">
      <c r="A198" s="93" t="s">
        <v>1449</v>
      </c>
      <c r="B198" s="93" t="s">
        <v>1450</v>
      </c>
      <c r="C198" s="410">
        <v>926</v>
      </c>
      <c r="D198" s="93" t="s">
        <v>24</v>
      </c>
      <c r="E198" s="93" t="s">
        <v>24</v>
      </c>
      <c r="F198" s="93" t="s">
        <v>7070</v>
      </c>
      <c r="G198" s="93" t="s">
        <v>7108</v>
      </c>
      <c r="H198" s="93" t="s">
        <v>118</v>
      </c>
      <c r="I198" s="93" t="s">
        <v>111</v>
      </c>
      <c r="J198" s="93" t="s">
        <v>7105</v>
      </c>
      <c r="K198" s="93" t="s">
        <v>111</v>
      </c>
      <c r="L198" s="93" t="s">
        <v>111</v>
      </c>
      <c r="M198" s="93" t="s">
        <v>111</v>
      </c>
      <c r="N198" s="93" t="s">
        <v>111</v>
      </c>
      <c r="O198" s="93" t="s">
        <v>111</v>
      </c>
      <c r="P198" s="93" t="s">
        <v>111</v>
      </c>
      <c r="Q198" s="93" t="s">
        <v>111</v>
      </c>
      <c r="R198" s="93" t="s">
        <v>111</v>
      </c>
      <c r="S198" s="93" t="s">
        <v>111</v>
      </c>
      <c r="T198" s="93" t="s">
        <v>115</v>
      </c>
      <c r="U198" s="93" t="s">
        <v>116</v>
      </c>
      <c r="V198" s="94">
        <v>44596.647222222222</v>
      </c>
      <c r="W198" s="93" t="s">
        <v>1170</v>
      </c>
      <c r="X198" s="93" t="s">
        <v>24</v>
      </c>
    </row>
    <row r="199" spans="1:24" x14ac:dyDescent="0.15">
      <c r="A199" s="93" t="s">
        <v>1451</v>
      </c>
      <c r="B199" s="93" t="s">
        <v>9071</v>
      </c>
      <c r="C199" s="410">
        <v>294</v>
      </c>
      <c r="D199" s="93" t="s">
        <v>24</v>
      </c>
      <c r="E199" s="93" t="s">
        <v>24</v>
      </c>
      <c r="F199" s="93" t="s">
        <v>7070</v>
      </c>
      <c r="G199" s="93" t="s">
        <v>7108</v>
      </c>
      <c r="H199" s="93" t="s">
        <v>118</v>
      </c>
      <c r="I199" s="93" t="s">
        <v>111</v>
      </c>
      <c r="J199" s="93" t="s">
        <v>7105</v>
      </c>
      <c r="K199" s="93" t="s">
        <v>111</v>
      </c>
      <c r="L199" s="93" t="s">
        <v>111</v>
      </c>
      <c r="M199" s="93" t="s">
        <v>111</v>
      </c>
      <c r="N199" s="93" t="s">
        <v>111</v>
      </c>
      <c r="O199" s="93" t="s">
        <v>111</v>
      </c>
      <c r="P199" s="93" t="s">
        <v>111</v>
      </c>
      <c r="Q199" s="93" t="s">
        <v>111</v>
      </c>
      <c r="R199" s="93" t="s">
        <v>111</v>
      </c>
      <c r="S199" s="93" t="s">
        <v>111</v>
      </c>
      <c r="T199" s="93" t="s">
        <v>115</v>
      </c>
      <c r="U199" s="93" t="s">
        <v>116</v>
      </c>
      <c r="V199" s="94">
        <v>44600.430555555555</v>
      </c>
      <c r="W199" s="93" t="s">
        <v>1170</v>
      </c>
      <c r="X199" s="93" t="s">
        <v>24</v>
      </c>
    </row>
    <row r="200" spans="1:24" x14ac:dyDescent="0.15">
      <c r="A200" s="93" t="s">
        <v>1452</v>
      </c>
      <c r="B200" s="93" t="s">
        <v>1453</v>
      </c>
      <c r="C200" s="410">
        <v>630</v>
      </c>
      <c r="D200" s="93" t="s">
        <v>24</v>
      </c>
      <c r="E200" s="93" t="s">
        <v>24</v>
      </c>
      <c r="F200" s="93" t="s">
        <v>7070</v>
      </c>
      <c r="G200" s="93" t="s">
        <v>7108</v>
      </c>
      <c r="H200" s="93" t="s">
        <v>118</v>
      </c>
      <c r="I200" s="93" t="s">
        <v>111</v>
      </c>
      <c r="J200" s="93" t="s">
        <v>7105</v>
      </c>
      <c r="K200" s="93" t="s">
        <v>111</v>
      </c>
      <c r="L200" s="93" t="s">
        <v>111</v>
      </c>
      <c r="M200" s="93" t="s">
        <v>111</v>
      </c>
      <c r="N200" s="93" t="s">
        <v>111</v>
      </c>
      <c r="O200" s="93" t="s">
        <v>111</v>
      </c>
      <c r="P200" s="93" t="s">
        <v>111</v>
      </c>
      <c r="Q200" s="93" t="s">
        <v>111</v>
      </c>
      <c r="R200" s="93" t="s">
        <v>111</v>
      </c>
      <c r="S200" s="93" t="s">
        <v>111</v>
      </c>
      <c r="T200" s="93" t="s">
        <v>115</v>
      </c>
      <c r="U200" s="93" t="s">
        <v>116</v>
      </c>
      <c r="V200" s="94">
        <v>44596.691666666666</v>
      </c>
      <c r="W200" s="93" t="s">
        <v>1170</v>
      </c>
      <c r="X200" s="93" t="s">
        <v>24</v>
      </c>
    </row>
    <row r="201" spans="1:24" x14ac:dyDescent="0.15">
      <c r="A201" s="93" t="s">
        <v>1454</v>
      </c>
      <c r="B201" s="93" t="s">
        <v>1455</v>
      </c>
      <c r="C201" s="410">
        <v>443</v>
      </c>
      <c r="D201" s="93" t="s">
        <v>24</v>
      </c>
      <c r="E201" s="93" t="s">
        <v>24</v>
      </c>
      <c r="F201" s="93" t="s">
        <v>7070</v>
      </c>
      <c r="G201" s="93" t="s">
        <v>7108</v>
      </c>
      <c r="H201" s="93" t="s">
        <v>118</v>
      </c>
      <c r="I201" s="93" t="s">
        <v>111</v>
      </c>
      <c r="J201" s="93" t="s">
        <v>118</v>
      </c>
      <c r="K201" s="93">
        <v>3</v>
      </c>
      <c r="L201" s="93" t="s">
        <v>111</v>
      </c>
      <c r="M201" s="93" t="s">
        <v>111</v>
      </c>
      <c r="N201" s="93" t="s">
        <v>111</v>
      </c>
      <c r="O201" s="93" t="s">
        <v>111</v>
      </c>
      <c r="P201" s="93" t="s">
        <v>111</v>
      </c>
      <c r="Q201" s="93" t="s">
        <v>111</v>
      </c>
      <c r="R201" s="93" t="s">
        <v>111</v>
      </c>
      <c r="S201" s="93" t="s">
        <v>111</v>
      </c>
      <c r="T201" s="93" t="s">
        <v>115</v>
      </c>
      <c r="U201" s="93" t="s">
        <v>116</v>
      </c>
      <c r="V201" s="94">
        <v>44586.533333333333</v>
      </c>
      <c r="W201" s="93" t="s">
        <v>1170</v>
      </c>
      <c r="X201" s="93" t="s">
        <v>24</v>
      </c>
    </row>
    <row r="202" spans="1:24" x14ac:dyDescent="0.15">
      <c r="A202" s="93" t="s">
        <v>1456</v>
      </c>
      <c r="B202" s="93" t="s">
        <v>1457</v>
      </c>
      <c r="C202" s="410">
        <v>369</v>
      </c>
      <c r="D202" s="93" t="s">
        <v>24</v>
      </c>
      <c r="E202" s="93" t="s">
        <v>24</v>
      </c>
      <c r="F202" s="93" t="s">
        <v>7070</v>
      </c>
      <c r="G202" s="93" t="s">
        <v>7108</v>
      </c>
      <c r="H202" s="93" t="s">
        <v>118</v>
      </c>
      <c r="I202" s="93" t="s">
        <v>111</v>
      </c>
      <c r="J202" s="93" t="s">
        <v>7105</v>
      </c>
      <c r="K202" s="93" t="s">
        <v>111</v>
      </c>
      <c r="L202" s="93" t="s">
        <v>111</v>
      </c>
      <c r="M202" s="93" t="s">
        <v>111</v>
      </c>
      <c r="N202" s="93" t="s">
        <v>111</v>
      </c>
      <c r="O202" s="93" t="s">
        <v>111</v>
      </c>
      <c r="P202" s="93" t="s">
        <v>111</v>
      </c>
      <c r="Q202" s="93" t="s">
        <v>111</v>
      </c>
      <c r="R202" s="93" t="s">
        <v>111</v>
      </c>
      <c r="S202" s="93" t="s">
        <v>111</v>
      </c>
      <c r="T202" s="93" t="s">
        <v>115</v>
      </c>
      <c r="U202" s="93" t="s">
        <v>116</v>
      </c>
      <c r="V202" s="94">
        <v>44596.660416666666</v>
      </c>
      <c r="W202" s="93" t="s">
        <v>1170</v>
      </c>
      <c r="X202" s="93" t="s">
        <v>24</v>
      </c>
    </row>
    <row r="203" spans="1:24" x14ac:dyDescent="0.15">
      <c r="A203" s="93" t="s">
        <v>1458</v>
      </c>
      <c r="B203" s="93" t="s">
        <v>1459</v>
      </c>
      <c r="C203" s="410">
        <v>806</v>
      </c>
      <c r="D203" s="93" t="s">
        <v>24</v>
      </c>
      <c r="E203" s="93" t="s">
        <v>24</v>
      </c>
      <c r="F203" s="93" t="s">
        <v>7070</v>
      </c>
      <c r="G203" s="93" t="s">
        <v>7108</v>
      </c>
      <c r="H203" s="93" t="s">
        <v>118</v>
      </c>
      <c r="I203" s="93" t="s">
        <v>111</v>
      </c>
      <c r="J203" s="93" t="s">
        <v>118</v>
      </c>
      <c r="K203" s="93">
        <v>3</v>
      </c>
      <c r="L203" s="93" t="s">
        <v>111</v>
      </c>
      <c r="M203" s="93" t="s">
        <v>111</v>
      </c>
      <c r="N203" s="93" t="s">
        <v>111</v>
      </c>
      <c r="O203" s="93" t="s">
        <v>111</v>
      </c>
      <c r="P203" s="93" t="s">
        <v>111</v>
      </c>
      <c r="Q203" s="93" t="s">
        <v>111</v>
      </c>
      <c r="R203" s="93" t="s">
        <v>111</v>
      </c>
      <c r="S203" s="93" t="s">
        <v>111</v>
      </c>
      <c r="T203" s="93" t="s">
        <v>115</v>
      </c>
      <c r="U203" s="93" t="s">
        <v>116</v>
      </c>
      <c r="V203" s="94">
        <v>44586.533333333333</v>
      </c>
      <c r="W203" s="93" t="s">
        <v>1170</v>
      </c>
      <c r="X203" s="93" t="s">
        <v>24</v>
      </c>
    </row>
    <row r="204" spans="1:24" x14ac:dyDescent="0.15">
      <c r="A204" s="93" t="s">
        <v>1460</v>
      </c>
      <c r="B204" s="93" t="s">
        <v>1461</v>
      </c>
      <c r="C204" s="410">
        <v>494</v>
      </c>
      <c r="D204" s="93" t="s">
        <v>24</v>
      </c>
      <c r="E204" s="93" t="s">
        <v>24</v>
      </c>
      <c r="F204" s="93" t="s">
        <v>7070</v>
      </c>
      <c r="G204" s="93" t="s">
        <v>7108</v>
      </c>
      <c r="H204" s="93" t="s">
        <v>118</v>
      </c>
      <c r="I204" s="93" t="s">
        <v>111</v>
      </c>
      <c r="J204" s="93" t="s">
        <v>118</v>
      </c>
      <c r="K204" s="93">
        <v>3</v>
      </c>
      <c r="L204" s="93" t="s">
        <v>111</v>
      </c>
      <c r="M204" s="93" t="s">
        <v>111</v>
      </c>
      <c r="N204" s="93" t="s">
        <v>111</v>
      </c>
      <c r="O204" s="93" t="s">
        <v>111</v>
      </c>
      <c r="P204" s="93" t="s">
        <v>111</v>
      </c>
      <c r="Q204" s="93" t="s">
        <v>111</v>
      </c>
      <c r="R204" s="93" t="s">
        <v>111</v>
      </c>
      <c r="S204" s="93" t="s">
        <v>111</v>
      </c>
      <c r="T204" s="93" t="s">
        <v>115</v>
      </c>
      <c r="U204" s="93" t="s">
        <v>116</v>
      </c>
      <c r="V204" s="94">
        <v>44586.533333333333</v>
      </c>
      <c r="W204" s="93" t="s">
        <v>1170</v>
      </c>
      <c r="X204" s="93" t="s">
        <v>24</v>
      </c>
    </row>
    <row r="205" spans="1:24" x14ac:dyDescent="0.15">
      <c r="A205" s="93" t="s">
        <v>1462</v>
      </c>
      <c r="B205" s="93" t="s">
        <v>1463</v>
      </c>
      <c r="C205" s="410">
        <v>569</v>
      </c>
      <c r="D205" s="93" t="s">
        <v>24</v>
      </c>
      <c r="E205" s="93" t="s">
        <v>24</v>
      </c>
      <c r="F205" s="93" t="s">
        <v>7070</v>
      </c>
      <c r="G205" s="93" t="s">
        <v>7108</v>
      </c>
      <c r="H205" s="93" t="s">
        <v>118</v>
      </c>
      <c r="I205" s="93" t="s">
        <v>111</v>
      </c>
      <c r="J205" s="93" t="s">
        <v>118</v>
      </c>
      <c r="K205" s="93">
        <v>3</v>
      </c>
      <c r="L205" s="93" t="s">
        <v>111</v>
      </c>
      <c r="M205" s="93" t="s">
        <v>111</v>
      </c>
      <c r="N205" s="93" t="s">
        <v>111</v>
      </c>
      <c r="O205" s="93" t="s">
        <v>111</v>
      </c>
      <c r="P205" s="93" t="s">
        <v>111</v>
      </c>
      <c r="Q205" s="93" t="s">
        <v>111</v>
      </c>
      <c r="R205" s="93" t="s">
        <v>111</v>
      </c>
      <c r="S205" s="93" t="s">
        <v>111</v>
      </c>
      <c r="T205" s="93" t="s">
        <v>115</v>
      </c>
      <c r="U205" s="93" t="s">
        <v>116</v>
      </c>
      <c r="V205" s="94">
        <v>44586.533333333333</v>
      </c>
      <c r="W205" s="93" t="s">
        <v>1170</v>
      </c>
      <c r="X205" s="93" t="s">
        <v>24</v>
      </c>
    </row>
    <row r="206" spans="1:24" x14ac:dyDescent="0.15">
      <c r="A206" s="93" t="s">
        <v>1464</v>
      </c>
      <c r="B206" s="93" t="s">
        <v>1465</v>
      </c>
      <c r="C206" s="410">
        <v>1327</v>
      </c>
      <c r="D206" s="93" t="s">
        <v>24</v>
      </c>
      <c r="E206" s="93" t="s">
        <v>24</v>
      </c>
      <c r="F206" s="93" t="s">
        <v>7070</v>
      </c>
      <c r="G206" s="93" t="s">
        <v>7108</v>
      </c>
      <c r="H206" s="93" t="s">
        <v>118</v>
      </c>
      <c r="I206" s="93" t="s">
        <v>111</v>
      </c>
      <c r="J206" s="93" t="s">
        <v>118</v>
      </c>
      <c r="K206" s="93">
        <v>3</v>
      </c>
      <c r="L206" s="93" t="s">
        <v>111</v>
      </c>
      <c r="M206" s="93" t="s">
        <v>111</v>
      </c>
      <c r="N206" s="93" t="s">
        <v>111</v>
      </c>
      <c r="O206" s="93" t="s">
        <v>111</v>
      </c>
      <c r="P206" s="93" t="s">
        <v>111</v>
      </c>
      <c r="Q206" s="93" t="s">
        <v>111</v>
      </c>
      <c r="R206" s="93" t="s">
        <v>111</v>
      </c>
      <c r="S206" s="93" t="s">
        <v>111</v>
      </c>
      <c r="T206" s="93" t="s">
        <v>115</v>
      </c>
      <c r="U206" s="93" t="s">
        <v>116</v>
      </c>
      <c r="V206" s="94">
        <v>44586.533333333333</v>
      </c>
      <c r="W206" s="93" t="s">
        <v>1170</v>
      </c>
      <c r="X206" s="93" t="s">
        <v>24</v>
      </c>
    </row>
    <row r="207" spans="1:24" x14ac:dyDescent="0.15">
      <c r="A207" s="93" t="s">
        <v>1466</v>
      </c>
      <c r="B207" s="93" t="s">
        <v>1467</v>
      </c>
      <c r="C207" s="410">
        <v>316</v>
      </c>
      <c r="D207" s="93" t="s">
        <v>24</v>
      </c>
      <c r="E207" s="93" t="s">
        <v>24</v>
      </c>
      <c r="F207" s="93" t="s">
        <v>7070</v>
      </c>
      <c r="G207" s="93" t="s">
        <v>7108</v>
      </c>
      <c r="H207" s="93" t="s">
        <v>118</v>
      </c>
      <c r="I207" s="93" t="s">
        <v>111</v>
      </c>
      <c r="J207" s="93" t="s">
        <v>118</v>
      </c>
      <c r="K207" s="93">
        <v>3</v>
      </c>
      <c r="L207" s="93" t="s">
        <v>111</v>
      </c>
      <c r="M207" s="93" t="s">
        <v>111</v>
      </c>
      <c r="N207" s="93" t="s">
        <v>111</v>
      </c>
      <c r="O207" s="93" t="s">
        <v>111</v>
      </c>
      <c r="P207" s="93" t="s">
        <v>111</v>
      </c>
      <c r="Q207" s="93" t="s">
        <v>111</v>
      </c>
      <c r="R207" s="93" t="s">
        <v>111</v>
      </c>
      <c r="S207" s="93" t="s">
        <v>111</v>
      </c>
      <c r="T207" s="93" t="s">
        <v>115</v>
      </c>
      <c r="U207" s="93" t="s">
        <v>116</v>
      </c>
      <c r="V207" s="94">
        <v>44586.53402777778</v>
      </c>
      <c r="W207" s="93" t="s">
        <v>1170</v>
      </c>
      <c r="X207" s="93" t="s">
        <v>24</v>
      </c>
    </row>
    <row r="208" spans="1:24" x14ac:dyDescent="0.15">
      <c r="A208" s="93" t="s">
        <v>1468</v>
      </c>
      <c r="B208" s="93" t="s">
        <v>1469</v>
      </c>
      <c r="C208" s="410">
        <v>527</v>
      </c>
      <c r="D208" s="93" t="s">
        <v>24</v>
      </c>
      <c r="E208" s="93" t="s">
        <v>24</v>
      </c>
      <c r="F208" s="93" t="s">
        <v>7070</v>
      </c>
      <c r="G208" s="93" t="s">
        <v>7108</v>
      </c>
      <c r="H208" s="93" t="s">
        <v>118</v>
      </c>
      <c r="I208" s="93" t="s">
        <v>111</v>
      </c>
      <c r="J208" s="93" t="s">
        <v>118</v>
      </c>
      <c r="K208" s="93">
        <v>3</v>
      </c>
      <c r="L208" s="93" t="s">
        <v>111</v>
      </c>
      <c r="M208" s="93" t="s">
        <v>111</v>
      </c>
      <c r="N208" s="93" t="s">
        <v>111</v>
      </c>
      <c r="O208" s="93" t="s">
        <v>111</v>
      </c>
      <c r="P208" s="93" t="s">
        <v>111</v>
      </c>
      <c r="Q208" s="93" t="s">
        <v>111</v>
      </c>
      <c r="R208" s="93" t="s">
        <v>111</v>
      </c>
      <c r="S208" s="93" t="s">
        <v>111</v>
      </c>
      <c r="T208" s="93" t="s">
        <v>115</v>
      </c>
      <c r="U208" s="93" t="s">
        <v>116</v>
      </c>
      <c r="V208" s="94">
        <v>44586.53402777778</v>
      </c>
      <c r="W208" s="93" t="s">
        <v>1170</v>
      </c>
      <c r="X208" s="93" t="s">
        <v>24</v>
      </c>
    </row>
    <row r="209" spans="1:24" x14ac:dyDescent="0.15">
      <c r="A209" s="93" t="s">
        <v>1470</v>
      </c>
      <c r="B209" s="93" t="s">
        <v>1471</v>
      </c>
      <c r="C209" s="410">
        <v>237</v>
      </c>
      <c r="D209" s="93" t="s">
        <v>24</v>
      </c>
      <c r="E209" s="93" t="s">
        <v>24</v>
      </c>
      <c r="F209" s="93" t="s">
        <v>7070</v>
      </c>
      <c r="G209" s="93" t="s">
        <v>7108</v>
      </c>
      <c r="H209" s="93" t="s">
        <v>118</v>
      </c>
      <c r="I209" s="93" t="s">
        <v>111</v>
      </c>
      <c r="J209" s="93" t="s">
        <v>118</v>
      </c>
      <c r="K209" s="93">
        <v>3</v>
      </c>
      <c r="L209" s="93" t="s">
        <v>111</v>
      </c>
      <c r="M209" s="93" t="s">
        <v>111</v>
      </c>
      <c r="N209" s="93" t="s">
        <v>111</v>
      </c>
      <c r="O209" s="93" t="s">
        <v>111</v>
      </c>
      <c r="P209" s="93" t="s">
        <v>111</v>
      </c>
      <c r="Q209" s="93" t="s">
        <v>111</v>
      </c>
      <c r="R209" s="93" t="s">
        <v>111</v>
      </c>
      <c r="S209" s="93" t="s">
        <v>111</v>
      </c>
      <c r="T209" s="93" t="s">
        <v>115</v>
      </c>
      <c r="U209" s="93" t="s">
        <v>116</v>
      </c>
      <c r="V209" s="94">
        <v>44586.53402777778</v>
      </c>
      <c r="W209" s="93" t="s">
        <v>1170</v>
      </c>
      <c r="X209" s="93" t="s">
        <v>24</v>
      </c>
    </row>
    <row r="210" spans="1:24" x14ac:dyDescent="0.15">
      <c r="A210" s="93" t="s">
        <v>1472</v>
      </c>
      <c r="B210" s="93" t="s">
        <v>1473</v>
      </c>
      <c r="C210" s="410">
        <v>448</v>
      </c>
      <c r="D210" s="93" t="s">
        <v>24</v>
      </c>
      <c r="E210" s="93" t="s">
        <v>24</v>
      </c>
      <c r="F210" s="93" t="s">
        <v>7070</v>
      </c>
      <c r="G210" s="93" t="s">
        <v>7108</v>
      </c>
      <c r="H210" s="93" t="s">
        <v>118</v>
      </c>
      <c r="I210" s="93" t="s">
        <v>111</v>
      </c>
      <c r="J210" s="93" t="s">
        <v>118</v>
      </c>
      <c r="K210" s="93">
        <v>3</v>
      </c>
      <c r="L210" s="93" t="s">
        <v>111</v>
      </c>
      <c r="M210" s="93" t="s">
        <v>111</v>
      </c>
      <c r="N210" s="93" t="s">
        <v>111</v>
      </c>
      <c r="O210" s="93" t="s">
        <v>111</v>
      </c>
      <c r="P210" s="93" t="s">
        <v>111</v>
      </c>
      <c r="Q210" s="93" t="s">
        <v>111</v>
      </c>
      <c r="R210" s="93" t="s">
        <v>111</v>
      </c>
      <c r="S210" s="93" t="s">
        <v>111</v>
      </c>
      <c r="T210" s="93" t="s">
        <v>115</v>
      </c>
      <c r="U210" s="93" t="s">
        <v>116</v>
      </c>
      <c r="V210" s="94">
        <v>44586.53402777778</v>
      </c>
      <c r="W210" s="93" t="s">
        <v>1170</v>
      </c>
      <c r="X210" s="93" t="s">
        <v>24</v>
      </c>
    </row>
    <row r="211" spans="1:24" x14ac:dyDescent="0.15">
      <c r="A211" s="93" t="s">
        <v>1474</v>
      </c>
      <c r="B211" s="93" t="s">
        <v>1475</v>
      </c>
      <c r="C211" s="410">
        <v>384</v>
      </c>
      <c r="D211" s="93" t="s">
        <v>24</v>
      </c>
      <c r="E211" s="93" t="s">
        <v>24</v>
      </c>
      <c r="F211" s="93" t="s">
        <v>7070</v>
      </c>
      <c r="G211" s="93" t="s">
        <v>7108</v>
      </c>
      <c r="H211" s="93" t="s">
        <v>118</v>
      </c>
      <c r="I211" s="93" t="s">
        <v>111</v>
      </c>
      <c r="J211" s="93" t="s">
        <v>7105</v>
      </c>
      <c r="K211" s="93" t="s">
        <v>111</v>
      </c>
      <c r="L211" s="93" t="s">
        <v>111</v>
      </c>
      <c r="M211" s="93" t="s">
        <v>111</v>
      </c>
      <c r="N211" s="93" t="s">
        <v>111</v>
      </c>
      <c r="O211" s="93" t="s">
        <v>111</v>
      </c>
      <c r="P211" s="93" t="s">
        <v>111</v>
      </c>
      <c r="Q211" s="93" t="s">
        <v>111</v>
      </c>
      <c r="R211" s="93" t="s">
        <v>111</v>
      </c>
      <c r="S211" s="93" t="s">
        <v>111</v>
      </c>
      <c r="T211" s="93" t="s">
        <v>115</v>
      </c>
      <c r="U211" s="93" t="s">
        <v>116</v>
      </c>
      <c r="V211" s="94">
        <v>44596.695138888892</v>
      </c>
      <c r="W211" s="93" t="s">
        <v>1170</v>
      </c>
      <c r="X211" s="93" t="s">
        <v>24</v>
      </c>
    </row>
    <row r="212" spans="1:24" x14ac:dyDescent="0.15">
      <c r="A212" s="93" t="s">
        <v>1476</v>
      </c>
      <c r="B212" s="93" t="s">
        <v>1477</v>
      </c>
      <c r="C212" s="410">
        <v>510</v>
      </c>
      <c r="D212" s="93" t="s">
        <v>24</v>
      </c>
      <c r="E212" s="93" t="s">
        <v>24</v>
      </c>
      <c r="F212" s="93" t="s">
        <v>7070</v>
      </c>
      <c r="G212" s="93" t="s">
        <v>7108</v>
      </c>
      <c r="H212" s="93" t="s">
        <v>118</v>
      </c>
      <c r="I212" s="93" t="s">
        <v>111</v>
      </c>
      <c r="J212" s="93" t="s">
        <v>7105</v>
      </c>
      <c r="K212" s="93" t="s">
        <v>111</v>
      </c>
      <c r="L212" s="93" t="s">
        <v>111</v>
      </c>
      <c r="M212" s="93" t="s">
        <v>111</v>
      </c>
      <c r="N212" s="93" t="s">
        <v>111</v>
      </c>
      <c r="O212" s="93" t="s">
        <v>111</v>
      </c>
      <c r="P212" s="93" t="s">
        <v>111</v>
      </c>
      <c r="Q212" s="93" t="s">
        <v>111</v>
      </c>
      <c r="R212" s="93" t="s">
        <v>111</v>
      </c>
      <c r="S212" s="93" t="s">
        <v>111</v>
      </c>
      <c r="T212" s="93" t="s">
        <v>115</v>
      </c>
      <c r="U212" s="93" t="s">
        <v>116</v>
      </c>
      <c r="V212" s="94">
        <v>44596.652083333334</v>
      </c>
      <c r="W212" s="93" t="s">
        <v>1170</v>
      </c>
      <c r="X212" s="93" t="s">
        <v>24</v>
      </c>
    </row>
    <row r="213" spans="1:24" x14ac:dyDescent="0.15">
      <c r="A213" s="93" t="s">
        <v>1478</v>
      </c>
      <c r="B213" s="93" t="s">
        <v>1479</v>
      </c>
      <c r="C213" s="410">
        <v>1240</v>
      </c>
      <c r="D213" s="93" t="s">
        <v>24</v>
      </c>
      <c r="E213" s="93" t="s">
        <v>24</v>
      </c>
      <c r="F213" s="93" t="s">
        <v>7070</v>
      </c>
      <c r="G213" s="93" t="s">
        <v>7108</v>
      </c>
      <c r="H213" s="93" t="s">
        <v>118</v>
      </c>
      <c r="I213" s="93" t="s">
        <v>111</v>
      </c>
      <c r="J213" s="93" t="s">
        <v>7105</v>
      </c>
      <c r="K213" s="93" t="s">
        <v>111</v>
      </c>
      <c r="L213" s="93" t="s">
        <v>111</v>
      </c>
      <c r="M213" s="93" t="s">
        <v>111</v>
      </c>
      <c r="N213" s="93" t="s">
        <v>111</v>
      </c>
      <c r="O213" s="93" t="s">
        <v>111</v>
      </c>
      <c r="P213" s="93" t="s">
        <v>111</v>
      </c>
      <c r="Q213" s="93" t="s">
        <v>111</v>
      </c>
      <c r="R213" s="93" t="s">
        <v>111</v>
      </c>
      <c r="S213" s="93" t="s">
        <v>111</v>
      </c>
      <c r="T213" s="93" t="s">
        <v>115</v>
      </c>
      <c r="U213" s="93" t="s">
        <v>116</v>
      </c>
      <c r="V213" s="94">
        <v>44596.683333333334</v>
      </c>
      <c r="W213" s="93" t="s">
        <v>1170</v>
      </c>
      <c r="X213" s="93" t="s">
        <v>24</v>
      </c>
    </row>
    <row r="214" spans="1:24" x14ac:dyDescent="0.15">
      <c r="A214" s="93" t="s">
        <v>1480</v>
      </c>
      <c r="B214" s="93" t="s">
        <v>1481</v>
      </c>
      <c r="C214" s="410">
        <v>507</v>
      </c>
      <c r="D214" s="93" t="s">
        <v>24</v>
      </c>
      <c r="E214" s="93" t="s">
        <v>24</v>
      </c>
      <c r="F214" s="93" t="s">
        <v>7070</v>
      </c>
      <c r="G214" s="93" t="s">
        <v>7108</v>
      </c>
      <c r="H214" s="93" t="s">
        <v>118</v>
      </c>
      <c r="I214" s="93" t="s">
        <v>111</v>
      </c>
      <c r="J214" s="93" t="s">
        <v>7105</v>
      </c>
      <c r="K214" s="93" t="s">
        <v>111</v>
      </c>
      <c r="L214" s="93" t="s">
        <v>111</v>
      </c>
      <c r="M214" s="93" t="s">
        <v>111</v>
      </c>
      <c r="N214" s="93" t="s">
        <v>111</v>
      </c>
      <c r="O214" s="93" t="s">
        <v>111</v>
      </c>
      <c r="P214" s="93" t="s">
        <v>111</v>
      </c>
      <c r="Q214" s="93" t="s">
        <v>111</v>
      </c>
      <c r="R214" s="93" t="s">
        <v>111</v>
      </c>
      <c r="S214" s="93" t="s">
        <v>111</v>
      </c>
      <c r="T214" s="93" t="s">
        <v>115</v>
      </c>
      <c r="U214" s="93" t="s">
        <v>116</v>
      </c>
      <c r="V214" s="94">
        <v>44596.638194444444</v>
      </c>
      <c r="W214" s="93" t="s">
        <v>1170</v>
      </c>
      <c r="X214" s="93" t="s">
        <v>24</v>
      </c>
    </row>
    <row r="215" spans="1:24" x14ac:dyDescent="0.15">
      <c r="A215" s="93" t="s">
        <v>1482</v>
      </c>
      <c r="B215" s="93" t="s">
        <v>1483</v>
      </c>
      <c r="C215" s="410">
        <v>343</v>
      </c>
      <c r="D215" s="93" t="s">
        <v>24</v>
      </c>
      <c r="E215" s="93" t="s">
        <v>24</v>
      </c>
      <c r="F215" s="93" t="s">
        <v>7070</v>
      </c>
      <c r="G215" s="93" t="s">
        <v>7108</v>
      </c>
      <c r="H215" s="93" t="s">
        <v>118</v>
      </c>
      <c r="I215" s="93" t="s">
        <v>111</v>
      </c>
      <c r="J215" s="93" t="s">
        <v>118</v>
      </c>
      <c r="K215" s="93">
        <v>3</v>
      </c>
      <c r="L215" s="93" t="s">
        <v>111</v>
      </c>
      <c r="M215" s="93" t="s">
        <v>111</v>
      </c>
      <c r="N215" s="93" t="s">
        <v>111</v>
      </c>
      <c r="O215" s="93" t="s">
        <v>111</v>
      </c>
      <c r="P215" s="93" t="s">
        <v>111</v>
      </c>
      <c r="Q215" s="93" t="s">
        <v>111</v>
      </c>
      <c r="R215" s="93" t="s">
        <v>111</v>
      </c>
      <c r="S215" s="93" t="s">
        <v>111</v>
      </c>
      <c r="T215" s="93" t="s">
        <v>115</v>
      </c>
      <c r="U215" s="93" t="s">
        <v>116</v>
      </c>
      <c r="V215" s="94">
        <v>44586.53402777778</v>
      </c>
      <c r="W215" s="93" t="s">
        <v>1170</v>
      </c>
      <c r="X215" s="93" t="s">
        <v>24</v>
      </c>
    </row>
    <row r="216" spans="1:24" x14ac:dyDescent="0.15">
      <c r="A216" s="93" t="s">
        <v>9072</v>
      </c>
      <c r="B216" s="93" t="s">
        <v>9073</v>
      </c>
      <c r="C216" s="410">
        <v>630</v>
      </c>
      <c r="D216" s="93" t="s">
        <v>24</v>
      </c>
      <c r="E216" s="93" t="s">
        <v>24</v>
      </c>
      <c r="F216" s="93" t="s">
        <v>7070</v>
      </c>
      <c r="G216" s="93" t="s">
        <v>7108</v>
      </c>
      <c r="H216" s="93" t="s">
        <v>118</v>
      </c>
      <c r="I216" s="93" t="s">
        <v>111</v>
      </c>
      <c r="J216" s="93" t="s">
        <v>118</v>
      </c>
      <c r="K216" s="93">
        <v>3</v>
      </c>
      <c r="L216" s="93" t="s">
        <v>111</v>
      </c>
      <c r="M216" s="93" t="s">
        <v>111</v>
      </c>
      <c r="N216" s="93" t="s">
        <v>111</v>
      </c>
      <c r="O216" s="93" t="s">
        <v>111</v>
      </c>
      <c r="P216" s="93" t="s">
        <v>111</v>
      </c>
      <c r="Q216" s="93" t="s">
        <v>111</v>
      </c>
      <c r="R216" s="93" t="s">
        <v>228</v>
      </c>
      <c r="S216" s="93" t="s">
        <v>2</v>
      </c>
      <c r="T216" s="93" t="s">
        <v>115</v>
      </c>
      <c r="U216" s="93" t="s">
        <v>116</v>
      </c>
      <c r="V216" s="94">
        <v>44596.659722222219</v>
      </c>
      <c r="W216" s="93" t="s">
        <v>1170</v>
      </c>
      <c r="X216" s="93" t="s">
        <v>24</v>
      </c>
    </row>
    <row r="217" spans="1:24" x14ac:dyDescent="0.15">
      <c r="A217" s="93" t="s">
        <v>1484</v>
      </c>
      <c r="B217" s="93" t="s">
        <v>1485</v>
      </c>
      <c r="C217" s="410">
        <v>685</v>
      </c>
      <c r="D217" s="93" t="s">
        <v>24</v>
      </c>
      <c r="E217" s="93" t="s">
        <v>24</v>
      </c>
      <c r="F217" s="93" t="s">
        <v>7070</v>
      </c>
      <c r="G217" s="93" t="s">
        <v>7108</v>
      </c>
      <c r="H217" s="93" t="s">
        <v>118</v>
      </c>
      <c r="I217" s="93" t="s">
        <v>111</v>
      </c>
      <c r="J217" s="93" t="s">
        <v>7105</v>
      </c>
      <c r="K217" s="93" t="s">
        <v>111</v>
      </c>
      <c r="L217" s="93" t="s">
        <v>111</v>
      </c>
      <c r="M217" s="93" t="s">
        <v>111</v>
      </c>
      <c r="N217" s="93" t="s">
        <v>111</v>
      </c>
      <c r="O217" s="93" t="s">
        <v>111</v>
      </c>
      <c r="P217" s="93" t="s">
        <v>111</v>
      </c>
      <c r="Q217" s="93" t="s">
        <v>111</v>
      </c>
      <c r="R217" s="93" t="s">
        <v>228</v>
      </c>
      <c r="S217" s="93" t="s">
        <v>2</v>
      </c>
      <c r="T217" s="93" t="s">
        <v>115</v>
      </c>
      <c r="U217" s="93" t="s">
        <v>116</v>
      </c>
      <c r="V217" s="94">
        <v>44596.65</v>
      </c>
      <c r="W217" s="93" t="s">
        <v>1170</v>
      </c>
      <c r="X217" s="93" t="s">
        <v>24</v>
      </c>
    </row>
    <row r="218" spans="1:24" x14ac:dyDescent="0.15">
      <c r="A218" s="93" t="s">
        <v>9074</v>
      </c>
      <c r="B218" s="93" t="s">
        <v>9075</v>
      </c>
      <c r="C218" s="410">
        <v>369</v>
      </c>
      <c r="D218" s="93" t="s">
        <v>24</v>
      </c>
      <c r="E218" s="93" t="s">
        <v>24</v>
      </c>
      <c r="F218" s="93" t="s">
        <v>7070</v>
      </c>
      <c r="G218" s="93" t="s">
        <v>7108</v>
      </c>
      <c r="H218" s="93" t="s">
        <v>118</v>
      </c>
      <c r="I218" s="93" t="s">
        <v>111</v>
      </c>
      <c r="J218" s="93" t="s">
        <v>118</v>
      </c>
      <c r="K218" s="93">
        <v>3</v>
      </c>
      <c r="L218" s="93" t="s">
        <v>111</v>
      </c>
      <c r="M218" s="93" t="s">
        <v>111</v>
      </c>
      <c r="N218" s="93" t="s">
        <v>111</v>
      </c>
      <c r="O218" s="93" t="s">
        <v>111</v>
      </c>
      <c r="P218" s="93" t="s">
        <v>111</v>
      </c>
      <c r="Q218" s="93" t="s">
        <v>111</v>
      </c>
      <c r="R218" s="93" t="s">
        <v>228</v>
      </c>
      <c r="S218" s="93" t="s">
        <v>2</v>
      </c>
      <c r="T218" s="93" t="s">
        <v>115</v>
      </c>
      <c r="U218" s="93" t="s">
        <v>116</v>
      </c>
      <c r="V218" s="94">
        <v>44596.698611111111</v>
      </c>
      <c r="W218" s="93" t="s">
        <v>1170</v>
      </c>
      <c r="X218" s="93" t="s">
        <v>24</v>
      </c>
    </row>
    <row r="219" spans="1:24" x14ac:dyDescent="0.15">
      <c r="A219" s="93" t="s">
        <v>9076</v>
      </c>
      <c r="B219" s="93" t="s">
        <v>9077</v>
      </c>
      <c r="C219" s="410">
        <v>301</v>
      </c>
      <c r="D219" s="93" t="s">
        <v>24</v>
      </c>
      <c r="E219" s="93" t="s">
        <v>24</v>
      </c>
      <c r="F219" s="93" t="s">
        <v>7070</v>
      </c>
      <c r="G219" s="93" t="s">
        <v>7108</v>
      </c>
      <c r="H219" s="93" t="s">
        <v>118</v>
      </c>
      <c r="I219" s="93" t="s">
        <v>111</v>
      </c>
      <c r="J219" s="93" t="s">
        <v>7105</v>
      </c>
      <c r="K219" s="93" t="s">
        <v>111</v>
      </c>
      <c r="L219" s="93" t="s">
        <v>111</v>
      </c>
      <c r="M219" s="93" t="s">
        <v>111</v>
      </c>
      <c r="N219" s="93" t="s">
        <v>111</v>
      </c>
      <c r="O219" s="93" t="s">
        <v>111</v>
      </c>
      <c r="P219" s="93" t="s">
        <v>111</v>
      </c>
      <c r="Q219" s="93" t="s">
        <v>111</v>
      </c>
      <c r="R219" s="93" t="s">
        <v>228</v>
      </c>
      <c r="S219" s="93" t="s">
        <v>2</v>
      </c>
      <c r="T219" s="93" t="s">
        <v>115</v>
      </c>
      <c r="U219" s="93" t="s">
        <v>116</v>
      </c>
      <c r="V219" s="94">
        <v>44596.640972222223</v>
      </c>
      <c r="W219" s="93" t="s">
        <v>1170</v>
      </c>
      <c r="X219" s="93" t="s">
        <v>24</v>
      </c>
    </row>
    <row r="220" spans="1:24" x14ac:dyDescent="0.15">
      <c r="A220" s="93" t="s">
        <v>7147</v>
      </c>
      <c r="B220" s="93" t="s">
        <v>7148</v>
      </c>
      <c r="C220" s="410">
        <v>1034</v>
      </c>
      <c r="D220" s="93" t="s">
        <v>24</v>
      </c>
      <c r="E220" s="93" t="s">
        <v>24</v>
      </c>
      <c r="F220" s="93" t="s">
        <v>5978</v>
      </c>
      <c r="G220" s="93" t="s">
        <v>7108</v>
      </c>
      <c r="H220" s="93" t="s">
        <v>118</v>
      </c>
      <c r="I220" s="93" t="s">
        <v>111</v>
      </c>
      <c r="J220" s="93" t="s">
        <v>118</v>
      </c>
      <c r="K220" s="93">
        <v>3</v>
      </c>
      <c r="L220" s="93" t="s">
        <v>111</v>
      </c>
      <c r="M220" s="93" t="s">
        <v>111</v>
      </c>
      <c r="N220" s="93" t="s">
        <v>111</v>
      </c>
      <c r="O220" s="93" t="s">
        <v>111</v>
      </c>
      <c r="P220" s="93" t="s">
        <v>111</v>
      </c>
      <c r="Q220" s="93" t="s">
        <v>111</v>
      </c>
      <c r="R220" s="93" t="s">
        <v>228</v>
      </c>
      <c r="S220" s="93" t="s">
        <v>2</v>
      </c>
      <c r="T220" s="93" t="s">
        <v>115</v>
      </c>
      <c r="U220" s="93" t="s">
        <v>116</v>
      </c>
      <c r="V220" s="94">
        <v>44602.490277777775</v>
      </c>
      <c r="W220" s="93" t="s">
        <v>402</v>
      </c>
      <c r="X220" s="93" t="s">
        <v>24</v>
      </c>
    </row>
    <row r="221" spans="1:24" x14ac:dyDescent="0.15">
      <c r="A221" s="93" t="s">
        <v>7149</v>
      </c>
      <c r="B221" s="93" t="s">
        <v>7150</v>
      </c>
      <c r="C221" s="410">
        <v>70</v>
      </c>
      <c r="D221" s="93" t="s">
        <v>24</v>
      </c>
      <c r="E221" s="93" t="s">
        <v>24</v>
      </c>
      <c r="F221" s="93" t="s">
        <v>5978</v>
      </c>
      <c r="G221" s="93" t="s">
        <v>7108</v>
      </c>
      <c r="H221" s="93" t="s">
        <v>118</v>
      </c>
      <c r="I221" s="93" t="s">
        <v>111</v>
      </c>
      <c r="J221" s="93" t="s">
        <v>118</v>
      </c>
      <c r="K221" s="93">
        <v>3</v>
      </c>
      <c r="L221" s="93" t="s">
        <v>111</v>
      </c>
      <c r="M221" s="93" t="s">
        <v>111</v>
      </c>
      <c r="N221" s="93" t="s">
        <v>111</v>
      </c>
      <c r="O221" s="93" t="s">
        <v>111</v>
      </c>
      <c r="P221" s="93" t="s">
        <v>111</v>
      </c>
      <c r="Q221" s="93" t="s">
        <v>111</v>
      </c>
      <c r="R221" s="93" t="s">
        <v>228</v>
      </c>
      <c r="S221" s="93" t="s">
        <v>2</v>
      </c>
      <c r="T221" s="93" t="s">
        <v>115</v>
      </c>
      <c r="U221" s="93" t="s">
        <v>116</v>
      </c>
      <c r="V221" s="94">
        <v>44602.490277777775</v>
      </c>
      <c r="W221" s="93" t="s">
        <v>402</v>
      </c>
      <c r="X221" s="93" t="s">
        <v>24</v>
      </c>
    </row>
    <row r="222" spans="1:24" x14ac:dyDescent="0.15">
      <c r="A222" s="93" t="s">
        <v>1486</v>
      </c>
      <c r="B222" s="93" t="s">
        <v>9078</v>
      </c>
      <c r="C222" s="410">
        <v>336</v>
      </c>
      <c r="D222" s="93" t="s">
        <v>24</v>
      </c>
      <c r="E222" s="93" t="s">
        <v>24</v>
      </c>
      <c r="F222" s="93" t="s">
        <v>7070</v>
      </c>
      <c r="G222" s="93" t="s">
        <v>7108</v>
      </c>
      <c r="H222" s="93" t="s">
        <v>118</v>
      </c>
      <c r="I222" s="93" t="s">
        <v>111</v>
      </c>
      <c r="J222" s="93" t="s">
        <v>118</v>
      </c>
      <c r="K222" s="93">
        <v>3</v>
      </c>
      <c r="L222" s="93" t="s">
        <v>111</v>
      </c>
      <c r="M222" s="93" t="s">
        <v>111</v>
      </c>
      <c r="N222" s="93" t="s">
        <v>111</v>
      </c>
      <c r="O222" s="93" t="s">
        <v>111</v>
      </c>
      <c r="P222" s="93" t="s">
        <v>111</v>
      </c>
      <c r="Q222" s="93" t="s">
        <v>111</v>
      </c>
      <c r="R222" s="93" t="s">
        <v>111</v>
      </c>
      <c r="S222" s="93" t="s">
        <v>111</v>
      </c>
      <c r="T222" s="93" t="s">
        <v>115</v>
      </c>
      <c r="U222" s="93" t="s">
        <v>116</v>
      </c>
      <c r="V222" s="94">
        <v>44600.431250000001</v>
      </c>
      <c r="W222" s="93" t="s">
        <v>1170</v>
      </c>
      <c r="X222" s="93" t="s">
        <v>24</v>
      </c>
    </row>
    <row r="223" spans="1:24" x14ac:dyDescent="0.15">
      <c r="A223" s="93" t="s">
        <v>1487</v>
      </c>
      <c r="B223" s="93" t="s">
        <v>1488</v>
      </c>
      <c r="C223" s="410">
        <v>720</v>
      </c>
      <c r="D223" s="93" t="s">
        <v>24</v>
      </c>
      <c r="E223" s="93" t="s">
        <v>24</v>
      </c>
      <c r="F223" s="93" t="s">
        <v>7070</v>
      </c>
      <c r="G223" s="93" t="s">
        <v>7108</v>
      </c>
      <c r="H223" s="93" t="s">
        <v>118</v>
      </c>
      <c r="I223" s="93" t="s">
        <v>111</v>
      </c>
      <c r="J223" s="93" t="s">
        <v>7105</v>
      </c>
      <c r="K223" s="93" t="s">
        <v>111</v>
      </c>
      <c r="L223" s="93" t="s">
        <v>111</v>
      </c>
      <c r="M223" s="93" t="s">
        <v>111</v>
      </c>
      <c r="N223" s="93" t="s">
        <v>111</v>
      </c>
      <c r="O223" s="93" t="s">
        <v>111</v>
      </c>
      <c r="P223" s="93" t="s">
        <v>111</v>
      </c>
      <c r="Q223" s="93" t="s">
        <v>111</v>
      </c>
      <c r="R223" s="93" t="s">
        <v>111</v>
      </c>
      <c r="S223" s="93" t="s">
        <v>111</v>
      </c>
      <c r="T223" s="93" t="s">
        <v>115</v>
      </c>
      <c r="U223" s="93" t="s">
        <v>116</v>
      </c>
      <c r="V223" s="94">
        <v>44596.646527777775</v>
      </c>
      <c r="W223" s="93" t="s">
        <v>1170</v>
      </c>
      <c r="X223" s="93" t="s">
        <v>24</v>
      </c>
    </row>
    <row r="224" spans="1:24" x14ac:dyDescent="0.15">
      <c r="A224" s="93" t="s">
        <v>1489</v>
      </c>
      <c r="B224" s="93" t="s">
        <v>1490</v>
      </c>
      <c r="C224" s="410">
        <v>505</v>
      </c>
      <c r="D224" s="93" t="s">
        <v>24</v>
      </c>
      <c r="E224" s="93" t="s">
        <v>24</v>
      </c>
      <c r="F224" s="93" t="s">
        <v>7070</v>
      </c>
      <c r="G224" s="93" t="s">
        <v>7108</v>
      </c>
      <c r="H224" s="93" t="s">
        <v>118</v>
      </c>
      <c r="I224" s="93" t="s">
        <v>111</v>
      </c>
      <c r="J224" s="93" t="s">
        <v>118</v>
      </c>
      <c r="K224" s="93">
        <v>3</v>
      </c>
      <c r="L224" s="93" t="s">
        <v>111</v>
      </c>
      <c r="M224" s="93" t="s">
        <v>111</v>
      </c>
      <c r="N224" s="93" t="s">
        <v>111</v>
      </c>
      <c r="O224" s="93" t="s">
        <v>111</v>
      </c>
      <c r="P224" s="93" t="s">
        <v>111</v>
      </c>
      <c r="Q224" s="93" t="s">
        <v>111</v>
      </c>
      <c r="R224" s="93" t="s">
        <v>111</v>
      </c>
      <c r="S224" s="93" t="s">
        <v>111</v>
      </c>
      <c r="T224" s="93" t="s">
        <v>115</v>
      </c>
      <c r="U224" s="93" t="s">
        <v>116</v>
      </c>
      <c r="V224" s="94">
        <v>44586.53402777778</v>
      </c>
      <c r="W224" s="93" t="s">
        <v>1170</v>
      </c>
      <c r="X224" s="93" t="s">
        <v>24</v>
      </c>
    </row>
    <row r="225" spans="1:24" x14ac:dyDescent="0.15">
      <c r="A225" s="93" t="s">
        <v>1491</v>
      </c>
      <c r="B225" s="93" t="s">
        <v>1492</v>
      </c>
      <c r="C225" s="410">
        <v>420</v>
      </c>
      <c r="D225" s="93" t="s">
        <v>24</v>
      </c>
      <c r="E225" s="93" t="s">
        <v>24</v>
      </c>
      <c r="F225" s="93" t="s">
        <v>7070</v>
      </c>
      <c r="G225" s="93" t="s">
        <v>7108</v>
      </c>
      <c r="H225" s="93" t="s">
        <v>118</v>
      </c>
      <c r="I225" s="93" t="s">
        <v>111</v>
      </c>
      <c r="J225" s="93" t="s">
        <v>118</v>
      </c>
      <c r="K225" s="93">
        <v>3</v>
      </c>
      <c r="L225" s="93" t="s">
        <v>111</v>
      </c>
      <c r="M225" s="93" t="s">
        <v>111</v>
      </c>
      <c r="N225" s="93" t="s">
        <v>111</v>
      </c>
      <c r="O225" s="93" t="s">
        <v>111</v>
      </c>
      <c r="P225" s="93" t="s">
        <v>111</v>
      </c>
      <c r="Q225" s="93" t="s">
        <v>111</v>
      </c>
      <c r="R225" s="93" t="s">
        <v>111</v>
      </c>
      <c r="S225" s="93" t="s">
        <v>111</v>
      </c>
      <c r="T225" s="93" t="s">
        <v>115</v>
      </c>
      <c r="U225" s="93" t="s">
        <v>116</v>
      </c>
      <c r="V225" s="94">
        <v>44596.6875</v>
      </c>
      <c r="W225" s="93" t="s">
        <v>1170</v>
      </c>
      <c r="X225" s="93" t="s">
        <v>24</v>
      </c>
    </row>
    <row r="226" spans="1:24" x14ac:dyDescent="0.15">
      <c r="A226" s="93" t="s">
        <v>1493</v>
      </c>
      <c r="B226" s="93" t="s">
        <v>1494</v>
      </c>
      <c r="C226" s="410">
        <v>919</v>
      </c>
      <c r="D226" s="93" t="s">
        <v>24</v>
      </c>
      <c r="E226" s="93" t="s">
        <v>24</v>
      </c>
      <c r="F226" s="93" t="s">
        <v>7070</v>
      </c>
      <c r="G226" s="93" t="s">
        <v>7108</v>
      </c>
      <c r="H226" s="93" t="s">
        <v>118</v>
      </c>
      <c r="I226" s="93" t="s">
        <v>111</v>
      </c>
      <c r="J226" s="93" t="s">
        <v>118</v>
      </c>
      <c r="K226" s="93">
        <v>3</v>
      </c>
      <c r="L226" s="93" t="s">
        <v>111</v>
      </c>
      <c r="M226" s="93" t="s">
        <v>111</v>
      </c>
      <c r="N226" s="93" t="s">
        <v>111</v>
      </c>
      <c r="O226" s="93" t="s">
        <v>111</v>
      </c>
      <c r="P226" s="93" t="s">
        <v>111</v>
      </c>
      <c r="Q226" s="93" t="s">
        <v>111</v>
      </c>
      <c r="R226" s="93" t="s">
        <v>111</v>
      </c>
      <c r="S226" s="93" t="s">
        <v>111</v>
      </c>
      <c r="T226" s="93" t="s">
        <v>115</v>
      </c>
      <c r="U226" s="93" t="s">
        <v>116</v>
      </c>
      <c r="V226" s="94">
        <v>44586.53402777778</v>
      </c>
      <c r="W226" s="93" t="s">
        <v>1170</v>
      </c>
      <c r="X226" s="93" t="s">
        <v>24</v>
      </c>
    </row>
    <row r="227" spans="1:24" x14ac:dyDescent="0.15">
      <c r="A227" s="93" t="s">
        <v>1495</v>
      </c>
      <c r="B227" s="93" t="s">
        <v>1496</v>
      </c>
      <c r="C227" s="410">
        <v>563</v>
      </c>
      <c r="D227" s="93" t="s">
        <v>24</v>
      </c>
      <c r="E227" s="93" t="s">
        <v>24</v>
      </c>
      <c r="F227" s="93" t="s">
        <v>7070</v>
      </c>
      <c r="G227" s="93" t="s">
        <v>7108</v>
      </c>
      <c r="H227" s="93" t="s">
        <v>118</v>
      </c>
      <c r="I227" s="93" t="s">
        <v>111</v>
      </c>
      <c r="J227" s="93" t="s">
        <v>118</v>
      </c>
      <c r="K227" s="93">
        <v>3</v>
      </c>
      <c r="L227" s="93" t="s">
        <v>111</v>
      </c>
      <c r="M227" s="93" t="s">
        <v>111</v>
      </c>
      <c r="N227" s="93" t="s">
        <v>111</v>
      </c>
      <c r="O227" s="93" t="s">
        <v>111</v>
      </c>
      <c r="P227" s="93" t="s">
        <v>111</v>
      </c>
      <c r="Q227" s="93" t="s">
        <v>111</v>
      </c>
      <c r="R227" s="93" t="s">
        <v>111</v>
      </c>
      <c r="S227" s="93" t="s">
        <v>111</v>
      </c>
      <c r="T227" s="93" t="s">
        <v>115</v>
      </c>
      <c r="U227" s="93" t="s">
        <v>116</v>
      </c>
      <c r="V227" s="94">
        <v>44586.53402777778</v>
      </c>
      <c r="W227" s="93" t="s">
        <v>1170</v>
      </c>
      <c r="X227" s="93" t="s">
        <v>24</v>
      </c>
    </row>
    <row r="228" spans="1:24" x14ac:dyDescent="0.15">
      <c r="A228" s="93" t="s">
        <v>1497</v>
      </c>
      <c r="B228" s="93" t="s">
        <v>1498</v>
      </c>
      <c r="C228" s="410">
        <v>649</v>
      </c>
      <c r="D228" s="93" t="s">
        <v>24</v>
      </c>
      <c r="E228" s="93" t="s">
        <v>24</v>
      </c>
      <c r="F228" s="93" t="s">
        <v>7070</v>
      </c>
      <c r="G228" s="93" t="s">
        <v>7108</v>
      </c>
      <c r="H228" s="93" t="s">
        <v>118</v>
      </c>
      <c r="I228" s="93" t="s">
        <v>111</v>
      </c>
      <c r="J228" s="93" t="s">
        <v>118</v>
      </c>
      <c r="K228" s="93">
        <v>3</v>
      </c>
      <c r="L228" s="93" t="s">
        <v>111</v>
      </c>
      <c r="M228" s="93" t="s">
        <v>111</v>
      </c>
      <c r="N228" s="93" t="s">
        <v>111</v>
      </c>
      <c r="O228" s="93" t="s">
        <v>111</v>
      </c>
      <c r="P228" s="93" t="s">
        <v>111</v>
      </c>
      <c r="Q228" s="93" t="s">
        <v>111</v>
      </c>
      <c r="R228" s="93" t="s">
        <v>111</v>
      </c>
      <c r="S228" s="93" t="s">
        <v>111</v>
      </c>
      <c r="T228" s="93" t="s">
        <v>115</v>
      </c>
      <c r="U228" s="93" t="s">
        <v>116</v>
      </c>
      <c r="V228" s="94">
        <v>44586.53402777778</v>
      </c>
      <c r="W228" s="93" t="s">
        <v>1170</v>
      </c>
      <c r="X228" s="93" t="s">
        <v>24</v>
      </c>
    </row>
    <row r="229" spans="1:24" x14ac:dyDescent="0.15">
      <c r="A229" s="93" t="s">
        <v>1499</v>
      </c>
      <c r="B229" s="93" t="s">
        <v>1500</v>
      </c>
      <c r="C229" s="410">
        <v>1513</v>
      </c>
      <c r="D229" s="93" t="s">
        <v>24</v>
      </c>
      <c r="E229" s="93" t="s">
        <v>24</v>
      </c>
      <c r="F229" s="93" t="s">
        <v>7070</v>
      </c>
      <c r="G229" s="93" t="s">
        <v>7108</v>
      </c>
      <c r="H229" s="93" t="s">
        <v>118</v>
      </c>
      <c r="I229" s="93" t="s">
        <v>111</v>
      </c>
      <c r="J229" s="93" t="s">
        <v>118</v>
      </c>
      <c r="K229" s="93">
        <v>3</v>
      </c>
      <c r="L229" s="93" t="s">
        <v>111</v>
      </c>
      <c r="M229" s="93" t="s">
        <v>111</v>
      </c>
      <c r="N229" s="93" t="s">
        <v>111</v>
      </c>
      <c r="O229" s="93" t="s">
        <v>111</v>
      </c>
      <c r="P229" s="93" t="s">
        <v>111</v>
      </c>
      <c r="Q229" s="93" t="s">
        <v>111</v>
      </c>
      <c r="R229" s="93" t="s">
        <v>111</v>
      </c>
      <c r="S229" s="93" t="s">
        <v>111</v>
      </c>
      <c r="T229" s="93" t="s">
        <v>115</v>
      </c>
      <c r="U229" s="93" t="s">
        <v>116</v>
      </c>
      <c r="V229" s="94">
        <v>44586.53402777778</v>
      </c>
      <c r="W229" s="93" t="s">
        <v>1170</v>
      </c>
      <c r="X229" s="93" t="s">
        <v>24</v>
      </c>
    </row>
    <row r="230" spans="1:24" x14ac:dyDescent="0.15">
      <c r="A230" s="93" t="s">
        <v>1501</v>
      </c>
      <c r="B230" s="93" t="s">
        <v>1502</v>
      </c>
      <c r="C230" s="410">
        <v>361</v>
      </c>
      <c r="D230" s="93" t="s">
        <v>24</v>
      </c>
      <c r="E230" s="93" t="s">
        <v>24</v>
      </c>
      <c r="F230" s="93" t="s">
        <v>7070</v>
      </c>
      <c r="G230" s="93" t="s">
        <v>7108</v>
      </c>
      <c r="H230" s="93" t="s">
        <v>118</v>
      </c>
      <c r="I230" s="93" t="s">
        <v>111</v>
      </c>
      <c r="J230" s="93" t="s">
        <v>118</v>
      </c>
      <c r="K230" s="93">
        <v>3</v>
      </c>
      <c r="L230" s="93" t="s">
        <v>111</v>
      </c>
      <c r="M230" s="93" t="s">
        <v>111</v>
      </c>
      <c r="N230" s="93" t="s">
        <v>111</v>
      </c>
      <c r="O230" s="93" t="s">
        <v>111</v>
      </c>
      <c r="P230" s="93" t="s">
        <v>111</v>
      </c>
      <c r="Q230" s="93" t="s">
        <v>111</v>
      </c>
      <c r="R230" s="93" t="s">
        <v>111</v>
      </c>
      <c r="S230" s="93" t="s">
        <v>111</v>
      </c>
      <c r="T230" s="93" t="s">
        <v>115</v>
      </c>
      <c r="U230" s="93" t="s">
        <v>116</v>
      </c>
      <c r="V230" s="94">
        <v>44586.53402777778</v>
      </c>
      <c r="W230" s="93" t="s">
        <v>1170</v>
      </c>
      <c r="X230" s="93" t="s">
        <v>24</v>
      </c>
    </row>
    <row r="231" spans="1:24" x14ac:dyDescent="0.15">
      <c r="A231" s="93" t="s">
        <v>1503</v>
      </c>
      <c r="B231" s="93" t="s">
        <v>1504</v>
      </c>
      <c r="C231" s="410">
        <v>601</v>
      </c>
      <c r="D231" s="93" t="s">
        <v>24</v>
      </c>
      <c r="E231" s="93" t="s">
        <v>24</v>
      </c>
      <c r="F231" s="93" t="s">
        <v>7070</v>
      </c>
      <c r="G231" s="93" t="s">
        <v>7108</v>
      </c>
      <c r="H231" s="93" t="s">
        <v>118</v>
      </c>
      <c r="I231" s="93" t="s">
        <v>111</v>
      </c>
      <c r="J231" s="93" t="s">
        <v>118</v>
      </c>
      <c r="K231" s="93">
        <v>3</v>
      </c>
      <c r="L231" s="93" t="s">
        <v>111</v>
      </c>
      <c r="M231" s="93" t="s">
        <v>111</v>
      </c>
      <c r="N231" s="93" t="s">
        <v>111</v>
      </c>
      <c r="O231" s="93" t="s">
        <v>111</v>
      </c>
      <c r="P231" s="93" t="s">
        <v>111</v>
      </c>
      <c r="Q231" s="93" t="s">
        <v>111</v>
      </c>
      <c r="R231" s="93" t="s">
        <v>111</v>
      </c>
      <c r="S231" s="93" t="s">
        <v>111</v>
      </c>
      <c r="T231" s="93" t="s">
        <v>115</v>
      </c>
      <c r="U231" s="93" t="s">
        <v>116</v>
      </c>
      <c r="V231" s="94">
        <v>44586.53402777778</v>
      </c>
      <c r="W231" s="93" t="s">
        <v>1170</v>
      </c>
      <c r="X231" s="93" t="s">
        <v>24</v>
      </c>
    </row>
    <row r="232" spans="1:24" x14ac:dyDescent="0.15">
      <c r="A232" s="93" t="s">
        <v>1505</v>
      </c>
      <c r="B232" s="93" t="s">
        <v>1506</v>
      </c>
      <c r="C232" s="410">
        <v>271</v>
      </c>
      <c r="D232" s="93" t="s">
        <v>24</v>
      </c>
      <c r="E232" s="93" t="s">
        <v>24</v>
      </c>
      <c r="F232" s="93" t="s">
        <v>7070</v>
      </c>
      <c r="G232" s="93" t="s">
        <v>7108</v>
      </c>
      <c r="H232" s="93" t="s">
        <v>118</v>
      </c>
      <c r="I232" s="93" t="s">
        <v>111</v>
      </c>
      <c r="J232" s="93" t="s">
        <v>118</v>
      </c>
      <c r="K232" s="93">
        <v>3</v>
      </c>
      <c r="L232" s="93" t="s">
        <v>111</v>
      </c>
      <c r="M232" s="93" t="s">
        <v>111</v>
      </c>
      <c r="N232" s="93" t="s">
        <v>111</v>
      </c>
      <c r="O232" s="93" t="s">
        <v>111</v>
      </c>
      <c r="P232" s="93" t="s">
        <v>111</v>
      </c>
      <c r="Q232" s="93" t="s">
        <v>111</v>
      </c>
      <c r="R232" s="93" t="s">
        <v>111</v>
      </c>
      <c r="S232" s="93" t="s">
        <v>111</v>
      </c>
      <c r="T232" s="93" t="s">
        <v>115</v>
      </c>
      <c r="U232" s="93" t="s">
        <v>116</v>
      </c>
      <c r="V232" s="94">
        <v>44586.53402777778</v>
      </c>
      <c r="W232" s="93" t="s">
        <v>1170</v>
      </c>
      <c r="X232" s="93" t="s">
        <v>24</v>
      </c>
    </row>
    <row r="233" spans="1:24" x14ac:dyDescent="0.15">
      <c r="A233" s="93" t="s">
        <v>1507</v>
      </c>
      <c r="B233" s="93" t="s">
        <v>1508</v>
      </c>
      <c r="C233" s="410">
        <v>511</v>
      </c>
      <c r="D233" s="93" t="s">
        <v>24</v>
      </c>
      <c r="E233" s="93" t="s">
        <v>24</v>
      </c>
      <c r="F233" s="93" t="s">
        <v>7070</v>
      </c>
      <c r="G233" s="93" t="s">
        <v>7108</v>
      </c>
      <c r="H233" s="93" t="s">
        <v>118</v>
      </c>
      <c r="I233" s="93" t="s">
        <v>111</v>
      </c>
      <c r="J233" s="93" t="s">
        <v>118</v>
      </c>
      <c r="K233" s="93">
        <v>3</v>
      </c>
      <c r="L233" s="93" t="s">
        <v>111</v>
      </c>
      <c r="M233" s="93" t="s">
        <v>111</v>
      </c>
      <c r="N233" s="93" t="s">
        <v>111</v>
      </c>
      <c r="O233" s="93" t="s">
        <v>111</v>
      </c>
      <c r="P233" s="93" t="s">
        <v>111</v>
      </c>
      <c r="Q233" s="93" t="s">
        <v>111</v>
      </c>
      <c r="R233" s="93" t="s">
        <v>111</v>
      </c>
      <c r="S233" s="93" t="s">
        <v>111</v>
      </c>
      <c r="T233" s="93" t="s">
        <v>115</v>
      </c>
      <c r="U233" s="93" t="s">
        <v>116</v>
      </c>
      <c r="V233" s="94">
        <v>44586.53402777778</v>
      </c>
      <c r="W233" s="93" t="s">
        <v>1170</v>
      </c>
      <c r="X233" s="93" t="s">
        <v>24</v>
      </c>
    </row>
    <row r="234" spans="1:24" x14ac:dyDescent="0.15">
      <c r="A234" s="93" t="s">
        <v>1509</v>
      </c>
      <c r="B234" s="93" t="s">
        <v>1510</v>
      </c>
      <c r="C234" s="410">
        <v>438</v>
      </c>
      <c r="D234" s="93" t="s">
        <v>24</v>
      </c>
      <c r="E234" s="93" t="s">
        <v>24</v>
      </c>
      <c r="F234" s="93" t="s">
        <v>7070</v>
      </c>
      <c r="G234" s="93" t="s">
        <v>7108</v>
      </c>
      <c r="H234" s="93" t="s">
        <v>118</v>
      </c>
      <c r="I234" s="93" t="s">
        <v>111</v>
      </c>
      <c r="J234" s="93" t="s">
        <v>118</v>
      </c>
      <c r="K234" s="93">
        <v>3</v>
      </c>
      <c r="L234" s="93" t="s">
        <v>111</v>
      </c>
      <c r="M234" s="93" t="s">
        <v>111</v>
      </c>
      <c r="N234" s="93" t="s">
        <v>111</v>
      </c>
      <c r="O234" s="93" t="s">
        <v>111</v>
      </c>
      <c r="P234" s="93" t="s">
        <v>111</v>
      </c>
      <c r="Q234" s="93" t="s">
        <v>111</v>
      </c>
      <c r="R234" s="93" t="s">
        <v>111</v>
      </c>
      <c r="S234" s="93" t="s">
        <v>111</v>
      </c>
      <c r="T234" s="93" t="s">
        <v>115</v>
      </c>
      <c r="U234" s="93" t="s">
        <v>116</v>
      </c>
      <c r="V234" s="94">
        <v>44628.635416666664</v>
      </c>
      <c r="W234" s="93" t="s">
        <v>1170</v>
      </c>
      <c r="X234" s="93" t="s">
        <v>24</v>
      </c>
    </row>
    <row r="235" spans="1:24" x14ac:dyDescent="0.15">
      <c r="A235" s="93" t="s">
        <v>1511</v>
      </c>
      <c r="B235" s="93" t="s">
        <v>1512</v>
      </c>
      <c r="C235" s="410">
        <v>581</v>
      </c>
      <c r="D235" s="93" t="s">
        <v>24</v>
      </c>
      <c r="E235" s="93" t="s">
        <v>24</v>
      </c>
      <c r="F235" s="93" t="s">
        <v>7070</v>
      </c>
      <c r="G235" s="93" t="s">
        <v>7108</v>
      </c>
      <c r="H235" s="93" t="s">
        <v>118</v>
      </c>
      <c r="I235" s="93" t="s">
        <v>111</v>
      </c>
      <c r="J235" s="93" t="s">
        <v>7105</v>
      </c>
      <c r="K235" s="93" t="s">
        <v>111</v>
      </c>
      <c r="L235" s="93" t="s">
        <v>111</v>
      </c>
      <c r="M235" s="93" t="s">
        <v>111</v>
      </c>
      <c r="N235" s="93" t="s">
        <v>111</v>
      </c>
      <c r="O235" s="93" t="s">
        <v>111</v>
      </c>
      <c r="P235" s="93" t="s">
        <v>111</v>
      </c>
      <c r="Q235" s="93" t="s">
        <v>111</v>
      </c>
      <c r="R235" s="93" t="s">
        <v>111</v>
      </c>
      <c r="S235" s="93" t="s">
        <v>111</v>
      </c>
      <c r="T235" s="93" t="s">
        <v>115</v>
      </c>
      <c r="U235" s="93" t="s">
        <v>116</v>
      </c>
      <c r="V235" s="94">
        <v>44596.690972222219</v>
      </c>
      <c r="W235" s="93" t="s">
        <v>1170</v>
      </c>
      <c r="X235" s="93" t="s">
        <v>24</v>
      </c>
    </row>
    <row r="236" spans="1:24" x14ac:dyDescent="0.15">
      <c r="A236" s="93" t="s">
        <v>1513</v>
      </c>
      <c r="B236" s="93" t="s">
        <v>1514</v>
      </c>
      <c r="C236" s="410">
        <v>1410</v>
      </c>
      <c r="D236" s="93" t="s">
        <v>24</v>
      </c>
      <c r="E236" s="93" t="s">
        <v>24</v>
      </c>
      <c r="F236" s="93" t="s">
        <v>7070</v>
      </c>
      <c r="G236" s="93" t="s">
        <v>7108</v>
      </c>
      <c r="H236" s="93" t="s">
        <v>118</v>
      </c>
      <c r="I236" s="93" t="s">
        <v>111</v>
      </c>
      <c r="J236" s="93" t="s">
        <v>7105</v>
      </c>
      <c r="K236" s="93" t="s">
        <v>111</v>
      </c>
      <c r="L236" s="93" t="s">
        <v>111</v>
      </c>
      <c r="M236" s="93" t="s">
        <v>111</v>
      </c>
      <c r="N236" s="93" t="s">
        <v>111</v>
      </c>
      <c r="O236" s="93" t="s">
        <v>111</v>
      </c>
      <c r="P236" s="93" t="s">
        <v>111</v>
      </c>
      <c r="Q236" s="93" t="s">
        <v>111</v>
      </c>
      <c r="R236" s="93" t="s">
        <v>111</v>
      </c>
      <c r="S236" s="93" t="s">
        <v>111</v>
      </c>
      <c r="T236" s="93" t="s">
        <v>115</v>
      </c>
      <c r="U236" s="93" t="s">
        <v>116</v>
      </c>
      <c r="V236" s="94">
        <v>44596.659722222219</v>
      </c>
      <c r="W236" s="93" t="s">
        <v>1170</v>
      </c>
      <c r="X236" s="93" t="s">
        <v>24</v>
      </c>
    </row>
    <row r="237" spans="1:24" x14ac:dyDescent="0.15">
      <c r="A237" s="93" t="s">
        <v>1515</v>
      </c>
      <c r="B237" s="93" t="s">
        <v>1516</v>
      </c>
      <c r="C237" s="410">
        <v>578</v>
      </c>
      <c r="D237" s="93" t="s">
        <v>24</v>
      </c>
      <c r="E237" s="93" t="s">
        <v>24</v>
      </c>
      <c r="F237" s="93" t="s">
        <v>7070</v>
      </c>
      <c r="G237" s="93" t="s">
        <v>7108</v>
      </c>
      <c r="H237" s="93" t="s">
        <v>118</v>
      </c>
      <c r="I237" s="93" t="s">
        <v>111</v>
      </c>
      <c r="J237" s="93" t="s">
        <v>118</v>
      </c>
      <c r="K237" s="93">
        <v>3</v>
      </c>
      <c r="L237" s="93" t="s">
        <v>111</v>
      </c>
      <c r="M237" s="93" t="s">
        <v>111</v>
      </c>
      <c r="N237" s="93" t="s">
        <v>111</v>
      </c>
      <c r="O237" s="93" t="s">
        <v>111</v>
      </c>
      <c r="P237" s="93" t="s">
        <v>111</v>
      </c>
      <c r="Q237" s="93" t="s">
        <v>111</v>
      </c>
      <c r="R237" s="93" t="s">
        <v>111</v>
      </c>
      <c r="S237" s="93" t="s">
        <v>111</v>
      </c>
      <c r="T237" s="93" t="s">
        <v>115</v>
      </c>
      <c r="U237" s="93" t="s">
        <v>116</v>
      </c>
      <c r="V237" s="94">
        <v>44628.636111111111</v>
      </c>
      <c r="W237" s="93" t="s">
        <v>1170</v>
      </c>
      <c r="X237" s="93" t="s">
        <v>24</v>
      </c>
    </row>
    <row r="238" spans="1:24" x14ac:dyDescent="0.15">
      <c r="A238" s="93" t="s">
        <v>1517</v>
      </c>
      <c r="B238" s="93" t="s">
        <v>1518</v>
      </c>
      <c r="C238" s="410">
        <v>391</v>
      </c>
      <c r="D238" s="93" t="s">
        <v>24</v>
      </c>
      <c r="E238" s="93" t="s">
        <v>24</v>
      </c>
      <c r="F238" s="93" t="s">
        <v>7070</v>
      </c>
      <c r="G238" s="93" t="s">
        <v>7108</v>
      </c>
      <c r="H238" s="93" t="s">
        <v>118</v>
      </c>
      <c r="I238" s="93" t="s">
        <v>111</v>
      </c>
      <c r="J238" s="93" t="s">
        <v>118</v>
      </c>
      <c r="K238" s="93">
        <v>3</v>
      </c>
      <c r="L238" s="93" t="s">
        <v>111</v>
      </c>
      <c r="M238" s="93" t="s">
        <v>111</v>
      </c>
      <c r="N238" s="93" t="s">
        <v>111</v>
      </c>
      <c r="O238" s="93" t="s">
        <v>111</v>
      </c>
      <c r="P238" s="93" t="s">
        <v>111</v>
      </c>
      <c r="Q238" s="93" t="s">
        <v>111</v>
      </c>
      <c r="R238" s="93" t="s">
        <v>111</v>
      </c>
      <c r="S238" s="93" t="s">
        <v>111</v>
      </c>
      <c r="T238" s="93" t="s">
        <v>115</v>
      </c>
      <c r="U238" s="93" t="s">
        <v>116</v>
      </c>
      <c r="V238" s="94">
        <v>44586.53402777778</v>
      </c>
      <c r="W238" s="93" t="s">
        <v>1170</v>
      </c>
      <c r="X238" s="93" t="s">
        <v>24</v>
      </c>
    </row>
    <row r="239" spans="1:24" x14ac:dyDescent="0.15">
      <c r="A239" s="93" t="s">
        <v>9079</v>
      </c>
      <c r="B239" s="93" t="s">
        <v>9080</v>
      </c>
      <c r="C239" s="410">
        <v>720</v>
      </c>
      <c r="D239" s="93" t="s">
        <v>24</v>
      </c>
      <c r="E239" s="93" t="s">
        <v>24</v>
      </c>
      <c r="F239" s="93" t="s">
        <v>7070</v>
      </c>
      <c r="G239" s="93" t="s">
        <v>7108</v>
      </c>
      <c r="H239" s="93" t="s">
        <v>118</v>
      </c>
      <c r="I239" s="93" t="s">
        <v>111</v>
      </c>
      <c r="J239" s="93" t="s">
        <v>118</v>
      </c>
      <c r="K239" s="93">
        <v>3</v>
      </c>
      <c r="L239" s="93" t="s">
        <v>111</v>
      </c>
      <c r="M239" s="93" t="s">
        <v>111</v>
      </c>
      <c r="N239" s="93" t="s">
        <v>111</v>
      </c>
      <c r="O239" s="93" t="s">
        <v>111</v>
      </c>
      <c r="P239" s="93" t="s">
        <v>111</v>
      </c>
      <c r="Q239" s="93" t="s">
        <v>111</v>
      </c>
      <c r="R239" s="93" t="s">
        <v>228</v>
      </c>
      <c r="S239" s="93" t="s">
        <v>2</v>
      </c>
      <c r="T239" s="93" t="s">
        <v>115</v>
      </c>
      <c r="U239" s="93" t="s">
        <v>116</v>
      </c>
      <c r="V239" s="94">
        <v>44596.64166666667</v>
      </c>
      <c r="W239" s="93" t="s">
        <v>1170</v>
      </c>
      <c r="X239" s="93" t="s">
        <v>24</v>
      </c>
    </row>
    <row r="240" spans="1:24" x14ac:dyDescent="0.15">
      <c r="A240" s="93" t="s">
        <v>1519</v>
      </c>
      <c r="B240" s="93" t="s">
        <v>1520</v>
      </c>
      <c r="C240" s="410">
        <v>781</v>
      </c>
      <c r="D240" s="93" t="s">
        <v>24</v>
      </c>
      <c r="E240" s="93" t="s">
        <v>24</v>
      </c>
      <c r="F240" s="93" t="s">
        <v>7070</v>
      </c>
      <c r="G240" s="93" t="s">
        <v>7108</v>
      </c>
      <c r="H240" s="93" t="s">
        <v>118</v>
      </c>
      <c r="I240" s="93" t="s">
        <v>111</v>
      </c>
      <c r="J240" s="93" t="s">
        <v>118</v>
      </c>
      <c r="K240" s="93">
        <v>3</v>
      </c>
      <c r="L240" s="93" t="s">
        <v>111</v>
      </c>
      <c r="M240" s="93" t="s">
        <v>111</v>
      </c>
      <c r="N240" s="93" t="s">
        <v>111</v>
      </c>
      <c r="O240" s="93" t="s">
        <v>111</v>
      </c>
      <c r="P240" s="93" t="s">
        <v>111</v>
      </c>
      <c r="Q240" s="93" t="s">
        <v>111</v>
      </c>
      <c r="R240" s="93" t="s">
        <v>228</v>
      </c>
      <c r="S240" s="93" t="s">
        <v>2</v>
      </c>
      <c r="T240" s="93" t="s">
        <v>115</v>
      </c>
      <c r="U240" s="93" t="s">
        <v>116</v>
      </c>
      <c r="V240" s="94">
        <v>44614.475694444445</v>
      </c>
      <c r="W240" s="93" t="s">
        <v>1170</v>
      </c>
      <c r="X240" s="93" t="s">
        <v>24</v>
      </c>
    </row>
    <row r="241" spans="1:24" x14ac:dyDescent="0.15">
      <c r="A241" s="93" t="s">
        <v>9081</v>
      </c>
      <c r="B241" s="93" t="s">
        <v>9082</v>
      </c>
      <c r="C241" s="410">
        <v>420</v>
      </c>
      <c r="D241" s="93" t="s">
        <v>24</v>
      </c>
      <c r="E241" s="93" t="s">
        <v>24</v>
      </c>
      <c r="F241" s="93" t="s">
        <v>7070</v>
      </c>
      <c r="G241" s="93" t="s">
        <v>7108</v>
      </c>
      <c r="H241" s="93" t="s">
        <v>118</v>
      </c>
      <c r="I241" s="93" t="s">
        <v>111</v>
      </c>
      <c r="J241" s="93" t="s">
        <v>118</v>
      </c>
      <c r="K241" s="93">
        <v>3</v>
      </c>
      <c r="L241" s="93" t="s">
        <v>111</v>
      </c>
      <c r="M241" s="93" t="s">
        <v>111</v>
      </c>
      <c r="N241" s="93" t="s">
        <v>111</v>
      </c>
      <c r="O241" s="93" t="s">
        <v>111</v>
      </c>
      <c r="P241" s="93" t="s">
        <v>111</v>
      </c>
      <c r="Q241" s="93" t="s">
        <v>111</v>
      </c>
      <c r="R241" s="93" t="s">
        <v>228</v>
      </c>
      <c r="S241" s="93" t="s">
        <v>2</v>
      </c>
      <c r="T241" s="93" t="s">
        <v>115</v>
      </c>
      <c r="U241" s="93" t="s">
        <v>116</v>
      </c>
      <c r="V241" s="94">
        <v>44596.650694444441</v>
      </c>
      <c r="W241" s="93" t="s">
        <v>1170</v>
      </c>
      <c r="X241" s="93" t="s">
        <v>24</v>
      </c>
    </row>
    <row r="242" spans="1:24" hidden="1" x14ac:dyDescent="0.15">
      <c r="A242" s="93" t="s">
        <v>7151</v>
      </c>
      <c r="B242" s="93" t="s">
        <v>7152</v>
      </c>
      <c r="C242" s="410">
        <v>18</v>
      </c>
      <c r="D242" s="93" t="s">
        <v>9</v>
      </c>
      <c r="E242" s="93" t="s">
        <v>24</v>
      </c>
      <c r="F242" s="93" t="s">
        <v>7070</v>
      </c>
      <c r="G242" s="93" t="s">
        <v>7071</v>
      </c>
      <c r="H242" s="93" t="s">
        <v>11</v>
      </c>
      <c r="I242" s="93" t="s">
        <v>111</v>
      </c>
      <c r="J242" s="93" t="s">
        <v>71</v>
      </c>
      <c r="K242" s="93">
        <v>180</v>
      </c>
      <c r="L242" s="93">
        <v>56</v>
      </c>
      <c r="M242" s="93">
        <v>0.3</v>
      </c>
      <c r="N242" s="93" t="s">
        <v>113</v>
      </c>
      <c r="O242" s="93" t="s">
        <v>111</v>
      </c>
      <c r="P242" s="93" t="s">
        <v>111</v>
      </c>
      <c r="Q242" s="93" t="s">
        <v>111</v>
      </c>
      <c r="R242" s="93" t="s">
        <v>121</v>
      </c>
      <c r="S242" s="93" t="s">
        <v>20</v>
      </c>
      <c r="T242" s="93" t="s">
        <v>115</v>
      </c>
      <c r="U242" s="93" t="s">
        <v>116</v>
      </c>
      <c r="V242" s="94">
        <v>44628.579861111109</v>
      </c>
      <c r="W242" s="93" t="s">
        <v>10</v>
      </c>
      <c r="X242" s="93" t="s">
        <v>9</v>
      </c>
    </row>
    <row r="243" spans="1:24" hidden="1" x14ac:dyDescent="0.15">
      <c r="A243" s="93" t="s">
        <v>7153</v>
      </c>
      <c r="B243" s="93" t="s">
        <v>7154</v>
      </c>
      <c r="C243" s="410">
        <v>21.6</v>
      </c>
      <c r="D243" s="93" t="s">
        <v>9</v>
      </c>
      <c r="E243" s="93" t="s">
        <v>24</v>
      </c>
      <c r="F243" s="93" t="s">
        <v>7070</v>
      </c>
      <c r="G243" s="93" t="s">
        <v>7071</v>
      </c>
      <c r="H243" s="93" t="s">
        <v>11</v>
      </c>
      <c r="I243" s="93" t="s">
        <v>111</v>
      </c>
      <c r="J243" s="93" t="s">
        <v>71</v>
      </c>
      <c r="K243" s="93">
        <v>180</v>
      </c>
      <c r="L243" s="93">
        <v>1</v>
      </c>
      <c r="M243" s="93">
        <v>0.23</v>
      </c>
      <c r="N243" s="93" t="s">
        <v>113</v>
      </c>
      <c r="O243" s="93">
        <v>11.63</v>
      </c>
      <c r="P243" s="93">
        <v>3.8</v>
      </c>
      <c r="Q243" s="93">
        <v>5.24</v>
      </c>
      <c r="R243" s="93" t="s">
        <v>7155</v>
      </c>
      <c r="S243" s="93" t="s">
        <v>20</v>
      </c>
      <c r="T243" s="93" t="s">
        <v>115</v>
      </c>
      <c r="U243" s="93" t="s">
        <v>116</v>
      </c>
      <c r="V243" s="94">
        <v>44628.57916666667</v>
      </c>
      <c r="W243" s="93" t="s">
        <v>7156</v>
      </c>
      <c r="X243" s="93" t="s">
        <v>9</v>
      </c>
    </row>
    <row r="244" spans="1:24" hidden="1" x14ac:dyDescent="0.15">
      <c r="A244" s="93" t="s">
        <v>7157</v>
      </c>
      <c r="B244" s="93" t="s">
        <v>7158</v>
      </c>
      <c r="C244" s="410">
        <v>35.94</v>
      </c>
      <c r="D244" s="93" t="s">
        <v>24</v>
      </c>
      <c r="E244" s="93" t="s">
        <v>24</v>
      </c>
      <c r="F244" s="93" t="s">
        <v>70</v>
      </c>
      <c r="G244" s="93" t="s">
        <v>7159</v>
      </c>
      <c r="H244" s="93" t="s">
        <v>11</v>
      </c>
      <c r="I244" s="93" t="s">
        <v>111</v>
      </c>
      <c r="J244" s="93" t="s">
        <v>72</v>
      </c>
      <c r="K244" s="93">
        <v>180</v>
      </c>
      <c r="L244" s="93">
        <v>1</v>
      </c>
      <c r="M244" s="93">
        <v>0.48</v>
      </c>
      <c r="N244" s="93" t="s">
        <v>113</v>
      </c>
      <c r="O244" s="93">
        <v>1.1399999999999999</v>
      </c>
      <c r="P244" s="93">
        <v>11</v>
      </c>
      <c r="Q244" s="93">
        <v>28.5</v>
      </c>
      <c r="R244" s="93" t="s">
        <v>122</v>
      </c>
      <c r="S244" s="93" t="s">
        <v>20</v>
      </c>
      <c r="T244" s="93" t="s">
        <v>115</v>
      </c>
      <c r="U244" s="93" t="s">
        <v>116</v>
      </c>
      <c r="V244" s="94">
        <v>44628.598611111112</v>
      </c>
      <c r="W244" s="93" t="s">
        <v>10</v>
      </c>
      <c r="X244" s="93" t="s">
        <v>9</v>
      </c>
    </row>
    <row r="245" spans="1:24" hidden="1" x14ac:dyDescent="0.15">
      <c r="A245" s="93" t="s">
        <v>7160</v>
      </c>
      <c r="B245" s="93" t="s">
        <v>7161</v>
      </c>
      <c r="C245" s="410">
        <v>1.44</v>
      </c>
      <c r="D245" s="93" t="s">
        <v>9</v>
      </c>
      <c r="E245" s="93" t="s">
        <v>24</v>
      </c>
      <c r="F245" s="93" t="s">
        <v>7070</v>
      </c>
      <c r="G245" s="93" t="s">
        <v>7071</v>
      </c>
      <c r="H245" s="93" t="s">
        <v>11</v>
      </c>
      <c r="I245" s="93" t="s">
        <v>111</v>
      </c>
      <c r="J245" s="93" t="s">
        <v>71</v>
      </c>
      <c r="K245" s="93">
        <v>180</v>
      </c>
      <c r="L245" s="93">
        <v>10</v>
      </c>
      <c r="M245" s="93">
        <v>6.4000000000000001E-2</v>
      </c>
      <c r="N245" s="93" t="s">
        <v>113</v>
      </c>
      <c r="O245" s="93">
        <v>10.3</v>
      </c>
      <c r="P245" s="93">
        <v>6</v>
      </c>
      <c r="Q245" s="93">
        <v>8.1999999999999993</v>
      </c>
      <c r="R245" s="93" t="s">
        <v>122</v>
      </c>
      <c r="S245" s="93" t="s">
        <v>20</v>
      </c>
      <c r="T245" s="93" t="s">
        <v>115</v>
      </c>
      <c r="U245" s="93" t="s">
        <v>116</v>
      </c>
      <c r="V245" s="94">
        <v>44628.601388888892</v>
      </c>
      <c r="W245" s="93" t="s">
        <v>10</v>
      </c>
      <c r="X245" s="93" t="s">
        <v>9</v>
      </c>
    </row>
    <row r="246" spans="1:24" hidden="1" x14ac:dyDescent="0.15">
      <c r="A246" s="93" t="s">
        <v>1521</v>
      </c>
      <c r="B246" s="93" t="s">
        <v>1522</v>
      </c>
      <c r="C246" s="410">
        <v>3000</v>
      </c>
      <c r="D246" s="93" t="s">
        <v>24</v>
      </c>
      <c r="E246" s="93" t="s">
        <v>9</v>
      </c>
      <c r="F246" s="93" t="s">
        <v>7070</v>
      </c>
      <c r="G246" s="93" t="s">
        <v>9083</v>
      </c>
      <c r="H246" s="93" t="s">
        <v>118</v>
      </c>
      <c r="I246" s="93" t="s">
        <v>111</v>
      </c>
      <c r="J246" s="93" t="s">
        <v>118</v>
      </c>
      <c r="K246" s="93">
        <v>3</v>
      </c>
      <c r="L246" s="93" t="s">
        <v>111</v>
      </c>
      <c r="M246" s="93" t="s">
        <v>111</v>
      </c>
      <c r="N246" s="93" t="s">
        <v>111</v>
      </c>
      <c r="O246" s="93" t="s">
        <v>111</v>
      </c>
      <c r="P246" s="93" t="s">
        <v>111</v>
      </c>
      <c r="Q246" s="93" t="s">
        <v>111</v>
      </c>
      <c r="R246" s="93" t="s">
        <v>1199</v>
      </c>
      <c r="S246" s="93" t="s">
        <v>111</v>
      </c>
      <c r="T246" s="93" t="s">
        <v>115</v>
      </c>
      <c r="U246" s="93" t="s">
        <v>116</v>
      </c>
      <c r="V246" s="94">
        <v>44588.24722222222</v>
      </c>
      <c r="W246" s="93" t="s">
        <v>1170</v>
      </c>
      <c r="X246" s="93" t="s">
        <v>111</v>
      </c>
    </row>
    <row r="247" spans="1:24" hidden="1" x14ac:dyDescent="0.15">
      <c r="A247" s="93" t="s">
        <v>1523</v>
      </c>
      <c r="B247" s="93" t="s">
        <v>1524</v>
      </c>
      <c r="C247" s="410">
        <v>16443</v>
      </c>
      <c r="D247" s="93" t="s">
        <v>24</v>
      </c>
      <c r="E247" s="93" t="s">
        <v>24</v>
      </c>
      <c r="F247" s="93" t="s">
        <v>1525</v>
      </c>
      <c r="G247" s="93" t="s">
        <v>9084</v>
      </c>
      <c r="H247" s="93" t="s">
        <v>11</v>
      </c>
      <c r="I247" s="93" t="s">
        <v>111</v>
      </c>
      <c r="J247" s="93" t="s">
        <v>390</v>
      </c>
      <c r="K247" s="93">
        <v>80</v>
      </c>
      <c r="L247" s="93">
        <v>1</v>
      </c>
      <c r="M247" s="93">
        <v>10</v>
      </c>
      <c r="N247" s="93" t="s">
        <v>113</v>
      </c>
      <c r="O247" s="93">
        <v>37.200000000000003</v>
      </c>
      <c r="P247" s="93">
        <v>42.3</v>
      </c>
      <c r="Q247" s="93">
        <v>61.5</v>
      </c>
      <c r="R247" s="93" t="s">
        <v>1526</v>
      </c>
      <c r="S247" s="93" t="s">
        <v>2</v>
      </c>
      <c r="T247" s="93" t="s">
        <v>115</v>
      </c>
      <c r="U247" s="93" t="s">
        <v>116</v>
      </c>
      <c r="V247" s="94">
        <v>44628.509722222225</v>
      </c>
      <c r="W247" s="93" t="s">
        <v>1170</v>
      </c>
      <c r="X247" s="93" t="s">
        <v>24</v>
      </c>
    </row>
    <row r="248" spans="1:24" hidden="1" x14ac:dyDescent="0.15">
      <c r="A248" s="93" t="s">
        <v>1527</v>
      </c>
      <c r="B248" s="93" t="s">
        <v>1528</v>
      </c>
      <c r="C248" s="410">
        <v>23968</v>
      </c>
      <c r="D248" s="93" t="s">
        <v>24</v>
      </c>
      <c r="E248" s="93" t="s">
        <v>24</v>
      </c>
      <c r="F248" s="93" t="s">
        <v>1525</v>
      </c>
      <c r="G248" s="93" t="s">
        <v>9084</v>
      </c>
      <c r="H248" s="93" t="s">
        <v>11</v>
      </c>
      <c r="I248" s="93" t="s">
        <v>111</v>
      </c>
      <c r="J248" s="93" t="s">
        <v>390</v>
      </c>
      <c r="K248" s="93">
        <v>80</v>
      </c>
      <c r="L248" s="93" t="s">
        <v>111</v>
      </c>
      <c r="M248" s="93" t="s">
        <v>111</v>
      </c>
      <c r="N248" s="93" t="s">
        <v>111</v>
      </c>
      <c r="O248" s="93" t="s">
        <v>111</v>
      </c>
      <c r="P248" s="93" t="s">
        <v>111</v>
      </c>
      <c r="Q248" s="93" t="s">
        <v>111</v>
      </c>
      <c r="R248" s="93" t="s">
        <v>1526</v>
      </c>
      <c r="S248" s="93" t="s">
        <v>2</v>
      </c>
      <c r="T248" s="93" t="s">
        <v>115</v>
      </c>
      <c r="U248" s="93" t="s">
        <v>116</v>
      </c>
      <c r="V248" s="94">
        <v>44628.46597222222</v>
      </c>
      <c r="W248" s="93" t="s">
        <v>1170</v>
      </c>
      <c r="X248" s="93" t="s">
        <v>24</v>
      </c>
    </row>
    <row r="249" spans="1:24" hidden="1" x14ac:dyDescent="0.15">
      <c r="A249" s="93" t="s">
        <v>9085</v>
      </c>
      <c r="B249" s="93" t="s">
        <v>9086</v>
      </c>
      <c r="C249" s="410">
        <v>34260.71</v>
      </c>
      <c r="D249" s="93" t="s">
        <v>24</v>
      </c>
      <c r="E249" s="93" t="s">
        <v>24</v>
      </c>
      <c r="F249" s="93" t="s">
        <v>1525</v>
      </c>
      <c r="G249" s="93" t="s">
        <v>9084</v>
      </c>
      <c r="H249" s="93" t="s">
        <v>11</v>
      </c>
      <c r="I249" s="93" t="s">
        <v>111</v>
      </c>
      <c r="J249" s="93" t="s">
        <v>390</v>
      </c>
      <c r="K249" s="93">
        <v>80</v>
      </c>
      <c r="L249" s="93" t="s">
        <v>111</v>
      </c>
      <c r="M249" s="93" t="s">
        <v>111</v>
      </c>
      <c r="N249" s="93" t="s">
        <v>111</v>
      </c>
      <c r="O249" s="93" t="s">
        <v>111</v>
      </c>
      <c r="P249" s="93" t="s">
        <v>111</v>
      </c>
      <c r="Q249" s="93" t="s">
        <v>111</v>
      </c>
      <c r="R249" s="93" t="s">
        <v>1526</v>
      </c>
      <c r="S249" s="93" t="s">
        <v>2</v>
      </c>
      <c r="T249" s="93" t="s">
        <v>115</v>
      </c>
      <c r="U249" s="93" t="s">
        <v>116</v>
      </c>
      <c r="V249" s="94">
        <v>44628.572222222225</v>
      </c>
      <c r="W249" s="93" t="s">
        <v>1170</v>
      </c>
      <c r="X249" s="93" t="s">
        <v>24</v>
      </c>
    </row>
    <row r="250" spans="1:24" hidden="1" x14ac:dyDescent="0.15">
      <c r="A250" s="93" t="s">
        <v>1529</v>
      </c>
      <c r="B250" s="93" t="s">
        <v>1530</v>
      </c>
      <c r="C250" s="410">
        <v>54</v>
      </c>
      <c r="D250" s="93" t="s">
        <v>24</v>
      </c>
      <c r="E250" s="93" t="s">
        <v>24</v>
      </c>
      <c r="F250" s="93" t="s">
        <v>7070</v>
      </c>
      <c r="G250" s="93" t="s">
        <v>7168</v>
      </c>
      <c r="H250" s="93" t="s">
        <v>11</v>
      </c>
      <c r="I250" s="93" t="s">
        <v>111</v>
      </c>
      <c r="J250" s="93" t="s">
        <v>387</v>
      </c>
      <c r="K250" s="93">
        <v>60</v>
      </c>
      <c r="L250" s="93" t="s">
        <v>111</v>
      </c>
      <c r="M250" s="93">
        <v>0.2</v>
      </c>
      <c r="N250" s="93" t="s">
        <v>113</v>
      </c>
      <c r="O250" s="93">
        <v>6</v>
      </c>
      <c r="P250" s="93">
        <v>10</v>
      </c>
      <c r="Q250" s="93">
        <v>13</v>
      </c>
      <c r="R250" s="93" t="s">
        <v>411</v>
      </c>
      <c r="S250" s="93" t="s">
        <v>18</v>
      </c>
      <c r="T250" s="93" t="s">
        <v>115</v>
      </c>
      <c r="U250" s="93" t="s">
        <v>116</v>
      </c>
      <c r="V250" s="94">
        <v>44628.517361111109</v>
      </c>
      <c r="W250" s="93" t="s">
        <v>402</v>
      </c>
      <c r="X250" s="93" t="s">
        <v>9</v>
      </c>
    </row>
    <row r="251" spans="1:24" hidden="1" x14ac:dyDescent="0.15">
      <c r="A251" s="93" t="s">
        <v>7169</v>
      </c>
      <c r="B251" s="93" t="s">
        <v>7170</v>
      </c>
      <c r="C251" s="410">
        <v>108</v>
      </c>
      <c r="D251" s="93" t="s">
        <v>9</v>
      </c>
      <c r="E251" s="93" t="s">
        <v>24</v>
      </c>
      <c r="F251" s="93" t="s">
        <v>70</v>
      </c>
      <c r="G251" s="93" t="s">
        <v>7171</v>
      </c>
      <c r="H251" s="93" t="s">
        <v>6</v>
      </c>
      <c r="I251" s="93" t="s">
        <v>111</v>
      </c>
      <c r="J251" s="93" t="s">
        <v>7165</v>
      </c>
      <c r="K251" s="93">
        <v>90</v>
      </c>
      <c r="L251" s="93">
        <v>10</v>
      </c>
      <c r="M251" s="93">
        <v>0.8</v>
      </c>
      <c r="N251" s="93" t="s">
        <v>113</v>
      </c>
      <c r="O251" s="93">
        <v>7.5</v>
      </c>
      <c r="P251" s="93">
        <v>19.5</v>
      </c>
      <c r="Q251" s="93">
        <v>23.5</v>
      </c>
      <c r="R251" s="93" t="s">
        <v>7166</v>
      </c>
      <c r="S251" s="93" t="s">
        <v>20</v>
      </c>
      <c r="T251" s="93" t="s">
        <v>124</v>
      </c>
      <c r="U251" s="93" t="s">
        <v>119</v>
      </c>
      <c r="V251" s="94">
        <v>44628.494444444441</v>
      </c>
      <c r="W251" s="93" t="s">
        <v>10</v>
      </c>
      <c r="X251" s="93" t="s">
        <v>24</v>
      </c>
    </row>
    <row r="252" spans="1:24" hidden="1" x14ac:dyDescent="0.15">
      <c r="A252" s="93" t="s">
        <v>1531</v>
      </c>
      <c r="B252" s="93" t="s">
        <v>1532</v>
      </c>
      <c r="C252" s="410">
        <v>25</v>
      </c>
      <c r="D252" s="93" t="s">
        <v>24</v>
      </c>
      <c r="E252" s="93" t="s">
        <v>24</v>
      </c>
      <c r="F252" s="93" t="s">
        <v>7070</v>
      </c>
      <c r="G252" s="93" t="s">
        <v>9087</v>
      </c>
      <c r="H252" s="93" t="s">
        <v>118</v>
      </c>
      <c r="I252" s="93" t="s">
        <v>111</v>
      </c>
      <c r="J252" s="93" t="s">
        <v>7105</v>
      </c>
      <c r="K252" s="93" t="s">
        <v>111</v>
      </c>
      <c r="L252" s="93" t="s">
        <v>111</v>
      </c>
      <c r="M252" s="93" t="s">
        <v>111</v>
      </c>
      <c r="N252" s="93" t="s">
        <v>111</v>
      </c>
      <c r="O252" s="93" t="s">
        <v>111</v>
      </c>
      <c r="P252" s="93" t="s">
        <v>111</v>
      </c>
      <c r="Q252" s="93" t="s">
        <v>111</v>
      </c>
      <c r="R252" s="93" t="s">
        <v>1199</v>
      </c>
      <c r="S252" s="93" t="s">
        <v>111</v>
      </c>
      <c r="T252" s="93" t="s">
        <v>394</v>
      </c>
      <c r="U252" s="93" t="s">
        <v>116</v>
      </c>
      <c r="V252" s="94">
        <v>44588.24722222222</v>
      </c>
      <c r="W252" s="93" t="s">
        <v>1170</v>
      </c>
      <c r="X252" s="93" t="s">
        <v>111</v>
      </c>
    </row>
    <row r="253" spans="1:24" hidden="1" x14ac:dyDescent="0.15">
      <c r="A253" s="93" t="s">
        <v>1533</v>
      </c>
      <c r="B253" s="93" t="s">
        <v>1534</v>
      </c>
      <c r="C253" s="410">
        <v>200</v>
      </c>
      <c r="D253" s="93" t="s">
        <v>24</v>
      </c>
      <c r="E253" s="93" t="s">
        <v>24</v>
      </c>
      <c r="F253" s="93" t="s">
        <v>7070</v>
      </c>
      <c r="G253" s="93" t="s">
        <v>9087</v>
      </c>
      <c r="H253" s="93" t="s">
        <v>118</v>
      </c>
      <c r="I253" s="93" t="s">
        <v>111</v>
      </c>
      <c r="J253" s="93" t="s">
        <v>7105</v>
      </c>
      <c r="K253" s="93" t="s">
        <v>111</v>
      </c>
      <c r="L253" s="93" t="s">
        <v>111</v>
      </c>
      <c r="M253" s="93" t="s">
        <v>111</v>
      </c>
      <c r="N253" s="93" t="s">
        <v>111</v>
      </c>
      <c r="O253" s="93" t="s">
        <v>111</v>
      </c>
      <c r="P253" s="93" t="s">
        <v>111</v>
      </c>
      <c r="Q253" s="93" t="s">
        <v>111</v>
      </c>
      <c r="R253" s="93" t="s">
        <v>1199</v>
      </c>
      <c r="S253" s="93" t="s">
        <v>111</v>
      </c>
      <c r="T253" s="93" t="s">
        <v>394</v>
      </c>
      <c r="U253" s="93" t="s">
        <v>116</v>
      </c>
      <c r="V253" s="94">
        <v>44588.204861111109</v>
      </c>
      <c r="W253" s="93" t="s">
        <v>1170</v>
      </c>
      <c r="X253" s="93" t="s">
        <v>111</v>
      </c>
    </row>
    <row r="254" spans="1:24" hidden="1" x14ac:dyDescent="0.15">
      <c r="A254" s="93" t="s">
        <v>1535</v>
      </c>
      <c r="B254" s="93" t="s">
        <v>1536</v>
      </c>
      <c r="C254" s="410">
        <v>50</v>
      </c>
      <c r="D254" s="93" t="s">
        <v>24</v>
      </c>
      <c r="E254" s="93" t="s">
        <v>24</v>
      </c>
      <c r="F254" s="93" t="s">
        <v>7070</v>
      </c>
      <c r="G254" s="93" t="s">
        <v>9087</v>
      </c>
      <c r="H254" s="93" t="s">
        <v>118</v>
      </c>
      <c r="I254" s="93" t="s">
        <v>111</v>
      </c>
      <c r="J254" s="93" t="s">
        <v>7105</v>
      </c>
      <c r="K254" s="93" t="s">
        <v>111</v>
      </c>
      <c r="L254" s="93" t="s">
        <v>111</v>
      </c>
      <c r="M254" s="93" t="s">
        <v>111</v>
      </c>
      <c r="N254" s="93" t="s">
        <v>111</v>
      </c>
      <c r="O254" s="93" t="s">
        <v>111</v>
      </c>
      <c r="P254" s="93" t="s">
        <v>111</v>
      </c>
      <c r="Q254" s="93" t="s">
        <v>111</v>
      </c>
      <c r="R254" s="93" t="s">
        <v>1199</v>
      </c>
      <c r="S254" s="93" t="s">
        <v>111</v>
      </c>
      <c r="T254" s="93" t="s">
        <v>394</v>
      </c>
      <c r="U254" s="93" t="s">
        <v>116</v>
      </c>
      <c r="V254" s="94">
        <v>44588.204861111109</v>
      </c>
      <c r="W254" s="93" t="s">
        <v>1170</v>
      </c>
      <c r="X254" s="93" t="s">
        <v>111</v>
      </c>
    </row>
    <row r="255" spans="1:24" hidden="1" x14ac:dyDescent="0.15">
      <c r="A255" s="93" t="s">
        <v>1537</v>
      </c>
      <c r="B255" s="93" t="s">
        <v>1538</v>
      </c>
      <c r="C255" s="410">
        <v>50</v>
      </c>
      <c r="D255" s="93" t="s">
        <v>24</v>
      </c>
      <c r="E255" s="93" t="s">
        <v>24</v>
      </c>
      <c r="F255" s="93" t="s">
        <v>7070</v>
      </c>
      <c r="G255" s="93" t="s">
        <v>9087</v>
      </c>
      <c r="H255" s="93" t="s">
        <v>118</v>
      </c>
      <c r="I255" s="93" t="s">
        <v>111</v>
      </c>
      <c r="J255" s="93" t="s">
        <v>7105</v>
      </c>
      <c r="K255" s="93" t="s">
        <v>111</v>
      </c>
      <c r="L255" s="93" t="s">
        <v>111</v>
      </c>
      <c r="M255" s="93" t="s">
        <v>111</v>
      </c>
      <c r="N255" s="93" t="s">
        <v>111</v>
      </c>
      <c r="O255" s="93" t="s">
        <v>111</v>
      </c>
      <c r="P255" s="93" t="s">
        <v>111</v>
      </c>
      <c r="Q255" s="93" t="s">
        <v>111</v>
      </c>
      <c r="R255" s="93" t="s">
        <v>1199</v>
      </c>
      <c r="S255" s="93" t="s">
        <v>111</v>
      </c>
      <c r="T255" s="93" t="s">
        <v>394</v>
      </c>
      <c r="U255" s="93" t="s">
        <v>116</v>
      </c>
      <c r="V255" s="94">
        <v>44588.204861111109</v>
      </c>
      <c r="W255" s="93" t="s">
        <v>1170</v>
      </c>
      <c r="X255" s="93" t="s">
        <v>111</v>
      </c>
    </row>
    <row r="256" spans="1:24" hidden="1" x14ac:dyDescent="0.15">
      <c r="A256" s="93" t="s">
        <v>1539</v>
      </c>
      <c r="B256" s="93" t="s">
        <v>1540</v>
      </c>
      <c r="C256" s="410">
        <v>300</v>
      </c>
      <c r="D256" s="93" t="s">
        <v>24</v>
      </c>
      <c r="E256" s="93" t="s">
        <v>24</v>
      </c>
      <c r="F256" s="93" t="s">
        <v>7070</v>
      </c>
      <c r="G256" s="93" t="s">
        <v>9087</v>
      </c>
      <c r="H256" s="93" t="s">
        <v>118</v>
      </c>
      <c r="I256" s="93" t="s">
        <v>111</v>
      </c>
      <c r="J256" s="93" t="s">
        <v>7105</v>
      </c>
      <c r="K256" s="93" t="s">
        <v>111</v>
      </c>
      <c r="L256" s="93" t="s">
        <v>111</v>
      </c>
      <c r="M256" s="93" t="s">
        <v>111</v>
      </c>
      <c r="N256" s="93" t="s">
        <v>111</v>
      </c>
      <c r="O256" s="93" t="s">
        <v>111</v>
      </c>
      <c r="P256" s="93" t="s">
        <v>111</v>
      </c>
      <c r="Q256" s="93" t="s">
        <v>111</v>
      </c>
      <c r="R256" s="93" t="s">
        <v>1199</v>
      </c>
      <c r="S256" s="93" t="s">
        <v>111</v>
      </c>
      <c r="T256" s="93" t="s">
        <v>394</v>
      </c>
      <c r="U256" s="93" t="s">
        <v>116</v>
      </c>
      <c r="V256" s="94">
        <v>44588.204861111109</v>
      </c>
      <c r="W256" s="93" t="s">
        <v>1170</v>
      </c>
      <c r="X256" s="93" t="s">
        <v>111</v>
      </c>
    </row>
    <row r="257" spans="1:24" hidden="1" x14ac:dyDescent="0.15">
      <c r="A257" s="93" t="s">
        <v>1541</v>
      </c>
      <c r="B257" s="93" t="s">
        <v>1542</v>
      </c>
      <c r="C257" s="410">
        <v>70</v>
      </c>
      <c r="D257" s="93" t="s">
        <v>24</v>
      </c>
      <c r="E257" s="93" t="s">
        <v>24</v>
      </c>
      <c r="F257" s="93" t="s">
        <v>7070</v>
      </c>
      <c r="G257" s="93" t="s">
        <v>9087</v>
      </c>
      <c r="H257" s="93" t="s">
        <v>118</v>
      </c>
      <c r="I257" s="93" t="s">
        <v>111</v>
      </c>
      <c r="J257" s="93" t="s">
        <v>7105</v>
      </c>
      <c r="K257" s="93" t="s">
        <v>111</v>
      </c>
      <c r="L257" s="93" t="s">
        <v>111</v>
      </c>
      <c r="M257" s="93" t="s">
        <v>111</v>
      </c>
      <c r="N257" s="93" t="s">
        <v>111</v>
      </c>
      <c r="O257" s="93" t="s">
        <v>111</v>
      </c>
      <c r="P257" s="93" t="s">
        <v>111</v>
      </c>
      <c r="Q257" s="93" t="s">
        <v>111</v>
      </c>
      <c r="R257" s="93" t="s">
        <v>1199</v>
      </c>
      <c r="S257" s="93" t="s">
        <v>111</v>
      </c>
      <c r="T257" s="93" t="s">
        <v>394</v>
      </c>
      <c r="U257" s="93" t="s">
        <v>116</v>
      </c>
      <c r="V257" s="94">
        <v>44588.204861111109</v>
      </c>
      <c r="W257" s="93" t="s">
        <v>1170</v>
      </c>
      <c r="X257" s="93" t="s">
        <v>111</v>
      </c>
    </row>
    <row r="258" spans="1:24" hidden="1" x14ac:dyDescent="0.15">
      <c r="A258" s="93" t="s">
        <v>409</v>
      </c>
      <c r="B258" s="93" t="s">
        <v>410</v>
      </c>
      <c r="C258" s="410">
        <v>48.6</v>
      </c>
      <c r="D258" s="93" t="s">
        <v>24</v>
      </c>
      <c r="E258" s="93" t="s">
        <v>24</v>
      </c>
      <c r="F258" s="93" t="s">
        <v>7070</v>
      </c>
      <c r="G258" s="93" t="s">
        <v>7168</v>
      </c>
      <c r="H258" s="93" t="s">
        <v>11</v>
      </c>
      <c r="I258" s="93" t="s">
        <v>111</v>
      </c>
      <c r="J258" s="93" t="s">
        <v>387</v>
      </c>
      <c r="K258" s="93">
        <v>60</v>
      </c>
      <c r="L258" s="93">
        <v>1</v>
      </c>
      <c r="M258" s="93">
        <v>0.2</v>
      </c>
      <c r="N258" s="93" t="s">
        <v>113</v>
      </c>
      <c r="O258" s="93">
        <v>6</v>
      </c>
      <c r="P258" s="93">
        <v>10</v>
      </c>
      <c r="Q258" s="93">
        <v>13</v>
      </c>
      <c r="R258" s="93" t="s">
        <v>411</v>
      </c>
      <c r="S258" s="93" t="s">
        <v>18</v>
      </c>
      <c r="T258" s="93" t="s">
        <v>115</v>
      </c>
      <c r="U258" s="93" t="s">
        <v>116</v>
      </c>
      <c r="V258" s="94">
        <v>44628.536805555559</v>
      </c>
      <c r="W258" s="93" t="s">
        <v>402</v>
      </c>
      <c r="X258" s="93" t="s">
        <v>9</v>
      </c>
    </row>
    <row r="259" spans="1:24" hidden="1" x14ac:dyDescent="0.15">
      <c r="A259" s="93" t="s">
        <v>1543</v>
      </c>
      <c r="B259" s="93" t="s">
        <v>1544</v>
      </c>
      <c r="C259" s="410">
        <v>301.32</v>
      </c>
      <c r="D259" s="93" t="s">
        <v>24</v>
      </c>
      <c r="E259" s="93" t="s">
        <v>24</v>
      </c>
      <c r="F259" s="93" t="s">
        <v>7070</v>
      </c>
      <c r="G259" s="93" t="s">
        <v>7168</v>
      </c>
      <c r="H259" s="93" t="s">
        <v>11</v>
      </c>
      <c r="I259" s="93" t="s">
        <v>111</v>
      </c>
      <c r="J259" s="93" t="s">
        <v>387</v>
      </c>
      <c r="K259" s="93">
        <v>60</v>
      </c>
      <c r="L259" s="93" t="s">
        <v>111</v>
      </c>
      <c r="M259" s="93">
        <v>0.5</v>
      </c>
      <c r="N259" s="93" t="s">
        <v>113</v>
      </c>
      <c r="O259" s="93">
        <v>58</v>
      </c>
      <c r="P259" s="93">
        <v>40</v>
      </c>
      <c r="Q259" s="93">
        <v>57</v>
      </c>
      <c r="R259" s="93" t="s">
        <v>1545</v>
      </c>
      <c r="S259" s="93" t="s">
        <v>18</v>
      </c>
      <c r="T259" s="93" t="s">
        <v>115</v>
      </c>
      <c r="U259" s="93" t="s">
        <v>116</v>
      </c>
      <c r="V259" s="94">
        <v>44628.597916666666</v>
      </c>
      <c r="W259" s="93" t="s">
        <v>1170</v>
      </c>
      <c r="X259" s="93" t="s">
        <v>24</v>
      </c>
    </row>
    <row r="260" spans="1:24" hidden="1" x14ac:dyDescent="0.15">
      <c r="A260" s="93" t="s">
        <v>1546</v>
      </c>
      <c r="B260" s="93" t="s">
        <v>1547</v>
      </c>
      <c r="C260" s="410">
        <v>324</v>
      </c>
      <c r="D260" s="93" t="s">
        <v>24</v>
      </c>
      <c r="E260" s="93" t="s">
        <v>24</v>
      </c>
      <c r="F260" s="93" t="s">
        <v>7070</v>
      </c>
      <c r="G260" s="93" t="s">
        <v>7168</v>
      </c>
      <c r="H260" s="93" t="s">
        <v>11</v>
      </c>
      <c r="I260" s="93" t="s">
        <v>111</v>
      </c>
      <c r="J260" s="93" t="s">
        <v>387</v>
      </c>
      <c r="K260" s="93">
        <v>60</v>
      </c>
      <c r="L260" s="93" t="s">
        <v>111</v>
      </c>
      <c r="M260" s="93">
        <v>1.43</v>
      </c>
      <c r="N260" s="93" t="s">
        <v>113</v>
      </c>
      <c r="O260" s="93">
        <v>4.0599999999999996</v>
      </c>
      <c r="P260" s="93">
        <v>15.2</v>
      </c>
      <c r="Q260" s="93">
        <v>9.9</v>
      </c>
      <c r="R260" s="93" t="s">
        <v>1548</v>
      </c>
      <c r="S260" s="93" t="s">
        <v>2</v>
      </c>
      <c r="T260" s="93" t="s">
        <v>115</v>
      </c>
      <c r="U260" s="93" t="s">
        <v>119</v>
      </c>
      <c r="V260" s="94">
        <v>44628.490972222222</v>
      </c>
      <c r="W260" s="93" t="s">
        <v>1170</v>
      </c>
      <c r="X260" s="93" t="s">
        <v>24</v>
      </c>
    </row>
    <row r="261" spans="1:24" hidden="1" x14ac:dyDescent="0.15">
      <c r="A261" s="93" t="s">
        <v>1549</v>
      </c>
      <c r="B261" s="93" t="s">
        <v>1550</v>
      </c>
      <c r="C261" s="410">
        <v>410.4</v>
      </c>
      <c r="D261" s="93" t="s">
        <v>9</v>
      </c>
      <c r="E261" s="93" t="s">
        <v>24</v>
      </c>
      <c r="F261" s="93" t="s">
        <v>7070</v>
      </c>
      <c r="G261" s="93" t="s">
        <v>7168</v>
      </c>
      <c r="H261" s="93" t="s">
        <v>11</v>
      </c>
      <c r="I261" s="93" t="s">
        <v>111</v>
      </c>
      <c r="J261" s="93" t="s">
        <v>390</v>
      </c>
      <c r="K261" s="93">
        <v>80</v>
      </c>
      <c r="L261" s="93" t="s">
        <v>111</v>
      </c>
      <c r="M261" s="93">
        <v>2.15</v>
      </c>
      <c r="N261" s="93" t="s">
        <v>113</v>
      </c>
      <c r="O261" s="93">
        <v>12</v>
      </c>
      <c r="P261" s="93">
        <v>17</v>
      </c>
      <c r="Q261" s="93">
        <v>29.5</v>
      </c>
      <c r="R261" s="93" t="s">
        <v>411</v>
      </c>
      <c r="S261" s="93" t="s">
        <v>18</v>
      </c>
      <c r="T261" s="93" t="s">
        <v>115</v>
      </c>
      <c r="U261" s="93" t="s">
        <v>116</v>
      </c>
      <c r="V261" s="94">
        <v>44628.490972222222</v>
      </c>
      <c r="W261" s="93" t="s">
        <v>1170</v>
      </c>
      <c r="X261" s="93" t="s">
        <v>24</v>
      </c>
    </row>
    <row r="262" spans="1:24" hidden="1" x14ac:dyDescent="0.15">
      <c r="A262" s="93" t="s">
        <v>412</v>
      </c>
      <c r="B262" s="93" t="s">
        <v>7172</v>
      </c>
      <c r="C262" s="410">
        <v>59.4</v>
      </c>
      <c r="D262" s="93" t="s">
        <v>24</v>
      </c>
      <c r="E262" s="93" t="s">
        <v>24</v>
      </c>
      <c r="F262" s="93" t="s">
        <v>7070</v>
      </c>
      <c r="G262" s="93" t="s">
        <v>7168</v>
      </c>
      <c r="H262" s="93" t="s">
        <v>11</v>
      </c>
      <c r="I262" s="93" t="s">
        <v>111</v>
      </c>
      <c r="J262" s="93" t="s">
        <v>1552</v>
      </c>
      <c r="K262" s="93">
        <v>80</v>
      </c>
      <c r="L262" s="93">
        <v>1</v>
      </c>
      <c r="M262" s="93">
        <v>0.27100000000000002</v>
      </c>
      <c r="N262" s="93" t="s">
        <v>113</v>
      </c>
      <c r="O262" s="93">
        <v>7</v>
      </c>
      <c r="P262" s="93">
        <v>8</v>
      </c>
      <c r="Q262" s="93">
        <v>17</v>
      </c>
      <c r="R262" s="93" t="s">
        <v>413</v>
      </c>
      <c r="S262" s="93" t="s">
        <v>20</v>
      </c>
      <c r="T262" s="93" t="s">
        <v>115</v>
      </c>
      <c r="U262" s="93" t="s">
        <v>116</v>
      </c>
      <c r="V262" s="94">
        <v>44628.552777777775</v>
      </c>
      <c r="W262" s="93" t="s">
        <v>402</v>
      </c>
      <c r="X262" s="93" t="s">
        <v>24</v>
      </c>
    </row>
    <row r="263" spans="1:24" hidden="1" x14ac:dyDescent="0.15">
      <c r="A263" s="93" t="s">
        <v>414</v>
      </c>
      <c r="B263" s="93" t="s">
        <v>7173</v>
      </c>
      <c r="C263" s="410">
        <v>43.2</v>
      </c>
      <c r="D263" s="93" t="s">
        <v>24</v>
      </c>
      <c r="E263" s="93" t="s">
        <v>24</v>
      </c>
      <c r="F263" s="93" t="s">
        <v>7070</v>
      </c>
      <c r="G263" s="93" t="s">
        <v>7168</v>
      </c>
      <c r="H263" s="93" t="s">
        <v>11</v>
      </c>
      <c r="I263" s="93" t="s">
        <v>111</v>
      </c>
      <c r="J263" s="93" t="s">
        <v>1552</v>
      </c>
      <c r="K263" s="93">
        <v>80</v>
      </c>
      <c r="L263" s="93">
        <v>1</v>
      </c>
      <c r="M263" s="93">
        <v>0.152</v>
      </c>
      <c r="N263" s="93" t="s">
        <v>113</v>
      </c>
      <c r="O263" s="93">
        <v>4</v>
      </c>
      <c r="P263" s="93">
        <v>8</v>
      </c>
      <c r="Q263" s="93">
        <v>18</v>
      </c>
      <c r="R263" s="93" t="s">
        <v>413</v>
      </c>
      <c r="S263" s="93" t="s">
        <v>20</v>
      </c>
      <c r="T263" s="93" t="s">
        <v>115</v>
      </c>
      <c r="U263" s="93" t="s">
        <v>116</v>
      </c>
      <c r="V263" s="94">
        <v>44628.631249999999</v>
      </c>
      <c r="W263" s="93" t="s">
        <v>402</v>
      </c>
      <c r="X263" s="93" t="s">
        <v>24</v>
      </c>
    </row>
    <row r="264" spans="1:24" hidden="1" x14ac:dyDescent="0.15">
      <c r="A264" s="93" t="s">
        <v>1553</v>
      </c>
      <c r="B264" s="93" t="s">
        <v>1554</v>
      </c>
      <c r="C264" s="410">
        <v>129.6</v>
      </c>
      <c r="D264" s="93" t="s">
        <v>24</v>
      </c>
      <c r="E264" s="93" t="s">
        <v>24</v>
      </c>
      <c r="F264" s="93" t="s">
        <v>7070</v>
      </c>
      <c r="G264" s="93" t="s">
        <v>7174</v>
      </c>
      <c r="H264" s="93" t="s">
        <v>11</v>
      </c>
      <c r="I264" s="93" t="s">
        <v>111</v>
      </c>
      <c r="J264" s="93" t="s">
        <v>1552</v>
      </c>
      <c r="K264" s="93">
        <v>80</v>
      </c>
      <c r="L264" s="93">
        <v>1</v>
      </c>
      <c r="M264" s="93">
        <v>3.3</v>
      </c>
      <c r="N264" s="93" t="s">
        <v>113</v>
      </c>
      <c r="O264" s="93">
        <v>24</v>
      </c>
      <c r="P264" s="93">
        <v>19</v>
      </c>
      <c r="Q264" s="93">
        <v>21</v>
      </c>
      <c r="R264" s="93" t="s">
        <v>122</v>
      </c>
      <c r="S264" s="93" t="s">
        <v>20</v>
      </c>
      <c r="T264" s="93" t="s">
        <v>115</v>
      </c>
      <c r="U264" s="93" t="s">
        <v>116</v>
      </c>
      <c r="V264" s="94">
        <v>44628.509027777778</v>
      </c>
      <c r="W264" s="93" t="s">
        <v>402</v>
      </c>
      <c r="X264" s="93" t="s">
        <v>24</v>
      </c>
    </row>
    <row r="265" spans="1:24" hidden="1" x14ac:dyDescent="0.15">
      <c r="A265" s="93" t="s">
        <v>415</v>
      </c>
      <c r="B265" s="93" t="s">
        <v>416</v>
      </c>
      <c r="C265" s="410">
        <v>32.4</v>
      </c>
      <c r="D265" s="93" t="s">
        <v>24</v>
      </c>
      <c r="E265" s="93" t="s">
        <v>24</v>
      </c>
      <c r="F265" s="93" t="s">
        <v>7070</v>
      </c>
      <c r="G265" s="93" t="s">
        <v>7174</v>
      </c>
      <c r="H265" s="93" t="s">
        <v>11</v>
      </c>
      <c r="I265" s="93" t="s">
        <v>111</v>
      </c>
      <c r="J265" s="93" t="s">
        <v>1552</v>
      </c>
      <c r="K265" s="93">
        <v>80</v>
      </c>
      <c r="L265" s="93">
        <v>1</v>
      </c>
      <c r="M265" s="93">
        <v>1.077</v>
      </c>
      <c r="N265" s="93" t="s">
        <v>113</v>
      </c>
      <c r="O265" s="93">
        <v>4.7</v>
      </c>
      <c r="P265" s="93">
        <v>12.9</v>
      </c>
      <c r="Q265" s="93">
        <v>14.6</v>
      </c>
      <c r="R265" s="93" t="s">
        <v>122</v>
      </c>
      <c r="S265" s="93" t="s">
        <v>20</v>
      </c>
      <c r="T265" s="93" t="s">
        <v>115</v>
      </c>
      <c r="U265" s="93" t="s">
        <v>116</v>
      </c>
      <c r="V265" s="94">
        <v>44628.552777777775</v>
      </c>
      <c r="W265" s="93" t="s">
        <v>402</v>
      </c>
      <c r="X265" s="93" t="s">
        <v>24</v>
      </c>
    </row>
    <row r="266" spans="1:24" hidden="1" x14ac:dyDescent="0.15">
      <c r="A266" s="93" t="s">
        <v>417</v>
      </c>
      <c r="B266" s="93" t="s">
        <v>418</v>
      </c>
      <c r="C266" s="410">
        <v>27</v>
      </c>
      <c r="D266" s="93" t="s">
        <v>24</v>
      </c>
      <c r="E266" s="93" t="s">
        <v>24</v>
      </c>
      <c r="F266" s="93" t="s">
        <v>7070</v>
      </c>
      <c r="G266" s="93" t="s">
        <v>7174</v>
      </c>
      <c r="H266" s="93" t="s">
        <v>11</v>
      </c>
      <c r="I266" s="93" t="s">
        <v>111</v>
      </c>
      <c r="J266" s="93" t="s">
        <v>1552</v>
      </c>
      <c r="K266" s="93">
        <v>80</v>
      </c>
      <c r="L266" s="93">
        <v>1</v>
      </c>
      <c r="M266" s="93">
        <v>0.84399999999999997</v>
      </c>
      <c r="N266" s="93" t="s">
        <v>113</v>
      </c>
      <c r="O266" s="93">
        <v>4.7</v>
      </c>
      <c r="P266" s="93">
        <v>12.9</v>
      </c>
      <c r="Q266" s="93">
        <v>14.6</v>
      </c>
      <c r="R266" s="93" t="s">
        <v>122</v>
      </c>
      <c r="S266" s="93" t="s">
        <v>20</v>
      </c>
      <c r="T266" s="93" t="s">
        <v>115</v>
      </c>
      <c r="U266" s="93" t="s">
        <v>116</v>
      </c>
      <c r="V266" s="94">
        <v>44628.530555555553</v>
      </c>
      <c r="W266" s="93" t="s">
        <v>402</v>
      </c>
      <c r="X266" s="93" t="s">
        <v>24</v>
      </c>
    </row>
    <row r="267" spans="1:24" hidden="1" x14ac:dyDescent="0.15">
      <c r="A267" s="93" t="s">
        <v>419</v>
      </c>
      <c r="B267" s="93" t="s">
        <v>420</v>
      </c>
      <c r="C267" s="410">
        <v>5.4</v>
      </c>
      <c r="D267" s="93" t="s">
        <v>24</v>
      </c>
      <c r="E267" s="93" t="s">
        <v>24</v>
      </c>
      <c r="F267" s="93" t="s">
        <v>7070</v>
      </c>
      <c r="G267" s="93" t="s">
        <v>7175</v>
      </c>
      <c r="H267" s="93" t="s">
        <v>11</v>
      </c>
      <c r="I267" s="93" t="s">
        <v>111</v>
      </c>
      <c r="J267" s="93" t="s">
        <v>387</v>
      </c>
      <c r="K267" s="93">
        <v>60</v>
      </c>
      <c r="L267" s="93">
        <v>1</v>
      </c>
      <c r="M267" s="93">
        <v>0.05</v>
      </c>
      <c r="N267" s="93" t="s">
        <v>113</v>
      </c>
      <c r="O267" s="93">
        <v>0.6</v>
      </c>
      <c r="P267" s="93">
        <v>10</v>
      </c>
      <c r="Q267" s="93">
        <v>15</v>
      </c>
      <c r="R267" s="93" t="s">
        <v>114</v>
      </c>
      <c r="S267" s="93" t="s">
        <v>20</v>
      </c>
      <c r="T267" s="93" t="s">
        <v>115</v>
      </c>
      <c r="U267" s="93" t="s">
        <v>116</v>
      </c>
      <c r="V267" s="94">
        <v>44628.508333333331</v>
      </c>
      <c r="W267" s="93" t="s">
        <v>402</v>
      </c>
      <c r="X267" s="93" t="s">
        <v>9</v>
      </c>
    </row>
    <row r="268" spans="1:24" hidden="1" x14ac:dyDescent="0.15">
      <c r="A268" s="93" t="s">
        <v>1556</v>
      </c>
      <c r="B268" s="93" t="s">
        <v>1557</v>
      </c>
      <c r="C268" s="410">
        <v>16.2</v>
      </c>
      <c r="D268" s="93" t="s">
        <v>24</v>
      </c>
      <c r="E268" s="93" t="s">
        <v>24</v>
      </c>
      <c r="F268" s="93" t="s">
        <v>7070</v>
      </c>
      <c r="G268" s="93" t="s">
        <v>7174</v>
      </c>
      <c r="H268" s="93" t="s">
        <v>11</v>
      </c>
      <c r="I268" s="93" t="s">
        <v>111</v>
      </c>
      <c r="J268" s="93" t="s">
        <v>1552</v>
      </c>
      <c r="K268" s="93">
        <v>80</v>
      </c>
      <c r="L268" s="93">
        <v>1</v>
      </c>
      <c r="M268" s="93">
        <v>7.5999999999999998E-2</v>
      </c>
      <c r="N268" s="93" t="s">
        <v>113</v>
      </c>
      <c r="O268" s="93">
        <v>7.7</v>
      </c>
      <c r="P268" s="93">
        <v>3.5</v>
      </c>
      <c r="Q268" s="93">
        <v>6.5</v>
      </c>
      <c r="R268" s="93" t="s">
        <v>122</v>
      </c>
      <c r="S268" s="93" t="s">
        <v>20</v>
      </c>
      <c r="T268" s="93" t="s">
        <v>111</v>
      </c>
      <c r="U268" s="93" t="s">
        <v>116</v>
      </c>
      <c r="V268" s="94">
        <v>44628.487500000003</v>
      </c>
      <c r="W268" s="93" t="s">
        <v>402</v>
      </c>
      <c r="X268" s="93" t="s">
        <v>24</v>
      </c>
    </row>
    <row r="269" spans="1:24" hidden="1" x14ac:dyDescent="0.15">
      <c r="A269" s="93" t="s">
        <v>9088</v>
      </c>
      <c r="B269" s="93" t="s">
        <v>9089</v>
      </c>
      <c r="C269" s="410">
        <v>48.6</v>
      </c>
      <c r="D269" s="93" t="s">
        <v>24</v>
      </c>
      <c r="E269" s="93" t="s">
        <v>24</v>
      </c>
      <c r="F269" s="93" t="s">
        <v>7070</v>
      </c>
      <c r="G269" s="93" t="s">
        <v>7174</v>
      </c>
      <c r="H269" s="93" t="s">
        <v>11</v>
      </c>
      <c r="I269" s="93" t="s">
        <v>111</v>
      </c>
      <c r="J269" s="93" t="s">
        <v>1552</v>
      </c>
      <c r="K269" s="93">
        <v>80</v>
      </c>
      <c r="L269" s="93">
        <v>1</v>
      </c>
      <c r="M269" s="93">
        <v>0.186</v>
      </c>
      <c r="N269" s="93" t="s">
        <v>113</v>
      </c>
      <c r="O269" s="93">
        <v>3.2</v>
      </c>
      <c r="P269" s="93">
        <v>6.3</v>
      </c>
      <c r="Q269" s="93">
        <v>14</v>
      </c>
      <c r="R269" s="93" t="s">
        <v>121</v>
      </c>
      <c r="S269" s="93" t="s">
        <v>20</v>
      </c>
      <c r="T269" s="93" t="s">
        <v>115</v>
      </c>
      <c r="U269" s="93" t="s">
        <v>116</v>
      </c>
      <c r="V269" s="94">
        <v>44628.487500000003</v>
      </c>
      <c r="W269" s="93" t="s">
        <v>1216</v>
      </c>
      <c r="X269" s="93" t="s">
        <v>24</v>
      </c>
    </row>
    <row r="270" spans="1:24" hidden="1" x14ac:dyDescent="0.15">
      <c r="A270" s="93" t="s">
        <v>9090</v>
      </c>
      <c r="B270" s="93" t="s">
        <v>9091</v>
      </c>
      <c r="C270" s="410">
        <v>301.32</v>
      </c>
      <c r="D270" s="93" t="s">
        <v>24</v>
      </c>
      <c r="E270" s="93" t="s">
        <v>24</v>
      </c>
      <c r="F270" s="93" t="s">
        <v>7070</v>
      </c>
      <c r="G270" s="93" t="s">
        <v>7168</v>
      </c>
      <c r="H270" s="93" t="s">
        <v>11</v>
      </c>
      <c r="I270" s="93" t="s">
        <v>111</v>
      </c>
      <c r="J270" s="93" t="s">
        <v>387</v>
      </c>
      <c r="K270" s="93">
        <v>60</v>
      </c>
      <c r="L270" s="93">
        <v>1</v>
      </c>
      <c r="M270" s="93">
        <v>0.5</v>
      </c>
      <c r="N270" s="93" t="s">
        <v>113</v>
      </c>
      <c r="O270" s="93">
        <v>58</v>
      </c>
      <c r="P270" s="93">
        <v>40</v>
      </c>
      <c r="Q270" s="93">
        <v>57</v>
      </c>
      <c r="R270" s="93" t="s">
        <v>9092</v>
      </c>
      <c r="S270" s="93" t="s">
        <v>18</v>
      </c>
      <c r="T270" s="93" t="s">
        <v>115</v>
      </c>
      <c r="U270" s="93" t="s">
        <v>116</v>
      </c>
      <c r="V270" s="94">
        <v>44628.572222222225</v>
      </c>
      <c r="W270" s="93" t="s">
        <v>1170</v>
      </c>
      <c r="X270" s="93" t="s">
        <v>24</v>
      </c>
    </row>
    <row r="271" spans="1:24" hidden="1" x14ac:dyDescent="0.15">
      <c r="A271" s="93" t="s">
        <v>7176</v>
      </c>
      <c r="B271" s="93" t="s">
        <v>7177</v>
      </c>
      <c r="C271" s="410">
        <v>27</v>
      </c>
      <c r="D271" s="93" t="s">
        <v>24</v>
      </c>
      <c r="E271" s="93" t="s">
        <v>24</v>
      </c>
      <c r="F271" s="93" t="s">
        <v>7070</v>
      </c>
      <c r="G271" s="93" t="s">
        <v>7174</v>
      </c>
      <c r="H271" s="93" t="s">
        <v>11</v>
      </c>
      <c r="I271" s="93" t="s">
        <v>111</v>
      </c>
      <c r="J271" s="93" t="s">
        <v>1552</v>
      </c>
      <c r="K271" s="93">
        <v>80</v>
      </c>
      <c r="L271" s="93">
        <v>1</v>
      </c>
      <c r="M271" s="93">
        <v>0.27100000000000002</v>
      </c>
      <c r="N271" s="93" t="s">
        <v>113</v>
      </c>
      <c r="O271" s="93">
        <v>7</v>
      </c>
      <c r="P271" s="93">
        <v>8</v>
      </c>
      <c r="Q271" s="93">
        <v>17</v>
      </c>
      <c r="R271" s="93" t="s">
        <v>413</v>
      </c>
      <c r="S271" s="93" t="s">
        <v>20</v>
      </c>
      <c r="T271" s="93" t="s">
        <v>115</v>
      </c>
      <c r="U271" s="93" t="s">
        <v>116</v>
      </c>
      <c r="V271" s="94">
        <v>44628.530555555553</v>
      </c>
      <c r="W271" s="93" t="s">
        <v>402</v>
      </c>
      <c r="X271" s="93" t="s">
        <v>24</v>
      </c>
    </row>
    <row r="272" spans="1:24" hidden="1" x14ac:dyDescent="0.15">
      <c r="A272" s="93" t="s">
        <v>1558</v>
      </c>
      <c r="B272" s="93" t="s">
        <v>1559</v>
      </c>
      <c r="C272" s="410">
        <v>43.2</v>
      </c>
      <c r="D272" s="93" t="s">
        <v>24</v>
      </c>
      <c r="E272" s="93" t="s">
        <v>24</v>
      </c>
      <c r="F272" s="93" t="s">
        <v>7070</v>
      </c>
      <c r="G272" s="93" t="s">
        <v>7174</v>
      </c>
      <c r="H272" s="93" t="s">
        <v>11</v>
      </c>
      <c r="I272" s="93" t="s">
        <v>111</v>
      </c>
      <c r="J272" s="93" t="s">
        <v>1552</v>
      </c>
      <c r="K272" s="93">
        <v>80</v>
      </c>
      <c r="L272" s="93">
        <v>1</v>
      </c>
      <c r="M272" s="93" t="s">
        <v>111</v>
      </c>
      <c r="N272" s="93" t="s">
        <v>111</v>
      </c>
      <c r="O272" s="93">
        <v>2.04</v>
      </c>
      <c r="P272" s="93">
        <v>1.56</v>
      </c>
      <c r="Q272" s="93">
        <v>5.5</v>
      </c>
      <c r="R272" s="93" t="s">
        <v>1548</v>
      </c>
      <c r="S272" s="93" t="s">
        <v>20</v>
      </c>
      <c r="T272" s="93" t="s">
        <v>115</v>
      </c>
      <c r="U272" s="93" t="s">
        <v>116</v>
      </c>
      <c r="V272" s="94">
        <v>44628.508333333331</v>
      </c>
      <c r="W272" s="93" t="s">
        <v>402</v>
      </c>
      <c r="X272" s="93" t="s">
        <v>24</v>
      </c>
    </row>
    <row r="273" spans="1:24" hidden="1" x14ac:dyDescent="0.15">
      <c r="A273" s="93" t="s">
        <v>9093</v>
      </c>
      <c r="B273" s="93" t="s">
        <v>9094</v>
      </c>
      <c r="C273" s="410">
        <v>10.8</v>
      </c>
      <c r="D273" s="93" t="s">
        <v>24</v>
      </c>
      <c r="E273" s="93" t="s">
        <v>24</v>
      </c>
      <c r="F273" s="93" t="s">
        <v>7070</v>
      </c>
      <c r="G273" s="93" t="s">
        <v>7174</v>
      </c>
      <c r="H273" s="93" t="s">
        <v>11</v>
      </c>
      <c r="I273" s="93" t="s">
        <v>111</v>
      </c>
      <c r="J273" s="93" t="s">
        <v>1552</v>
      </c>
      <c r="K273" s="93">
        <v>80</v>
      </c>
      <c r="L273" s="93">
        <v>10</v>
      </c>
      <c r="M273" s="93">
        <v>3.3000000000000002E-2</v>
      </c>
      <c r="N273" s="93" t="s">
        <v>113</v>
      </c>
      <c r="O273" s="93">
        <v>4</v>
      </c>
      <c r="P273" s="93">
        <v>4</v>
      </c>
      <c r="Q273" s="93">
        <v>27</v>
      </c>
      <c r="R273" s="93" t="s">
        <v>117</v>
      </c>
      <c r="S273" s="93" t="s">
        <v>20</v>
      </c>
      <c r="T273" s="93" t="s">
        <v>115</v>
      </c>
      <c r="U273" s="93" t="s">
        <v>116</v>
      </c>
      <c r="V273" s="94">
        <v>44628.550694444442</v>
      </c>
      <c r="W273" s="93" t="s">
        <v>1216</v>
      </c>
      <c r="X273" s="93" t="s">
        <v>24</v>
      </c>
    </row>
    <row r="274" spans="1:24" hidden="1" x14ac:dyDescent="0.15">
      <c r="A274" s="93" t="s">
        <v>1561</v>
      </c>
      <c r="B274" s="93" t="s">
        <v>1562</v>
      </c>
      <c r="C274" s="410">
        <v>1398.6</v>
      </c>
      <c r="D274" s="93" t="s">
        <v>24</v>
      </c>
      <c r="E274" s="93" t="s">
        <v>24</v>
      </c>
      <c r="F274" s="93" t="s">
        <v>7070</v>
      </c>
      <c r="G274" s="93" t="s">
        <v>7168</v>
      </c>
      <c r="H274" s="93" t="s">
        <v>11</v>
      </c>
      <c r="I274" s="93" t="s">
        <v>111</v>
      </c>
      <c r="J274" s="93" t="s">
        <v>387</v>
      </c>
      <c r="K274" s="93">
        <v>60</v>
      </c>
      <c r="L274" s="93" t="s">
        <v>111</v>
      </c>
      <c r="M274" s="93">
        <v>3.6</v>
      </c>
      <c r="N274" s="93" t="s">
        <v>113</v>
      </c>
      <c r="O274" s="93">
        <v>15.2</v>
      </c>
      <c r="P274" s="93">
        <v>30.5</v>
      </c>
      <c r="Q274" s="93">
        <v>45.7</v>
      </c>
      <c r="R274" s="93" t="s">
        <v>121</v>
      </c>
      <c r="S274" s="93" t="s">
        <v>2</v>
      </c>
      <c r="T274" s="93" t="s">
        <v>397</v>
      </c>
      <c r="U274" s="93" t="s">
        <v>119</v>
      </c>
      <c r="V274" s="94">
        <v>44628.637499999997</v>
      </c>
      <c r="W274" s="93" t="s">
        <v>1170</v>
      </c>
      <c r="X274" s="93" t="s">
        <v>24</v>
      </c>
    </row>
    <row r="275" spans="1:24" hidden="1" x14ac:dyDescent="0.15">
      <c r="A275" s="93" t="s">
        <v>9095</v>
      </c>
      <c r="B275" s="93" t="s">
        <v>9096</v>
      </c>
      <c r="C275" s="410">
        <v>50</v>
      </c>
      <c r="D275" s="93" t="s">
        <v>9</v>
      </c>
      <c r="E275" s="93" t="s">
        <v>24</v>
      </c>
      <c r="F275" s="93" t="s">
        <v>7070</v>
      </c>
      <c r="G275" s="93" t="s">
        <v>9087</v>
      </c>
      <c r="H275" s="93" t="s">
        <v>118</v>
      </c>
      <c r="I275" s="93" t="s">
        <v>111</v>
      </c>
      <c r="J275" s="93" t="s">
        <v>118</v>
      </c>
      <c r="K275" s="93">
        <v>3</v>
      </c>
      <c r="L275" s="93" t="s">
        <v>111</v>
      </c>
      <c r="M275" s="93" t="s">
        <v>111</v>
      </c>
      <c r="N275" s="93" t="s">
        <v>111</v>
      </c>
      <c r="O275" s="93" t="s">
        <v>111</v>
      </c>
      <c r="P275" s="93" t="s">
        <v>111</v>
      </c>
      <c r="Q275" s="93" t="s">
        <v>111</v>
      </c>
      <c r="R275" s="93" t="s">
        <v>1199</v>
      </c>
      <c r="S275" s="93" t="s">
        <v>2</v>
      </c>
      <c r="T275" s="93" t="s">
        <v>394</v>
      </c>
      <c r="U275" s="93" t="s">
        <v>116</v>
      </c>
      <c r="V275" s="94">
        <v>44588.206250000003</v>
      </c>
      <c r="W275" s="93" t="s">
        <v>1170</v>
      </c>
      <c r="X275" s="93" t="s">
        <v>111</v>
      </c>
    </row>
    <row r="276" spans="1:24" hidden="1" x14ac:dyDescent="0.15">
      <c r="A276" s="93" t="s">
        <v>9097</v>
      </c>
      <c r="B276" s="93" t="s">
        <v>9098</v>
      </c>
      <c r="C276" s="410">
        <v>100</v>
      </c>
      <c r="D276" s="93" t="s">
        <v>9</v>
      </c>
      <c r="E276" s="93" t="s">
        <v>24</v>
      </c>
      <c r="F276" s="93" t="s">
        <v>7070</v>
      </c>
      <c r="G276" s="93" t="s">
        <v>9087</v>
      </c>
      <c r="H276" s="93" t="s">
        <v>118</v>
      </c>
      <c r="I276" s="93" t="s">
        <v>111</v>
      </c>
      <c r="J276" s="93" t="s">
        <v>118</v>
      </c>
      <c r="K276" s="93">
        <v>3</v>
      </c>
      <c r="L276" s="93" t="s">
        <v>111</v>
      </c>
      <c r="M276" s="93" t="s">
        <v>111</v>
      </c>
      <c r="N276" s="93" t="s">
        <v>111</v>
      </c>
      <c r="O276" s="93" t="s">
        <v>111</v>
      </c>
      <c r="P276" s="93" t="s">
        <v>111</v>
      </c>
      <c r="Q276" s="93" t="s">
        <v>111</v>
      </c>
      <c r="R276" s="93" t="s">
        <v>1199</v>
      </c>
      <c r="S276" s="93" t="s">
        <v>2</v>
      </c>
      <c r="T276" s="93" t="s">
        <v>394</v>
      </c>
      <c r="U276" s="93" t="s">
        <v>116</v>
      </c>
      <c r="V276" s="94">
        <v>44588.206250000003</v>
      </c>
      <c r="W276" s="93" t="s">
        <v>1170</v>
      </c>
      <c r="X276" s="93" t="s">
        <v>111</v>
      </c>
    </row>
    <row r="277" spans="1:24" hidden="1" x14ac:dyDescent="0.15">
      <c r="A277" s="93" t="s">
        <v>9099</v>
      </c>
      <c r="B277" s="93" t="s">
        <v>9100</v>
      </c>
      <c r="C277" s="410">
        <v>200</v>
      </c>
      <c r="D277" s="93" t="s">
        <v>9</v>
      </c>
      <c r="E277" s="93" t="s">
        <v>24</v>
      </c>
      <c r="F277" s="93" t="s">
        <v>7070</v>
      </c>
      <c r="G277" s="93" t="s">
        <v>9087</v>
      </c>
      <c r="H277" s="93" t="s">
        <v>118</v>
      </c>
      <c r="I277" s="93" t="s">
        <v>111</v>
      </c>
      <c r="J277" s="93" t="s">
        <v>118</v>
      </c>
      <c r="K277" s="93">
        <v>3</v>
      </c>
      <c r="L277" s="93" t="s">
        <v>111</v>
      </c>
      <c r="M277" s="93" t="s">
        <v>111</v>
      </c>
      <c r="N277" s="93" t="s">
        <v>111</v>
      </c>
      <c r="O277" s="93" t="s">
        <v>111</v>
      </c>
      <c r="P277" s="93" t="s">
        <v>111</v>
      </c>
      <c r="Q277" s="93" t="s">
        <v>111</v>
      </c>
      <c r="R277" s="93" t="s">
        <v>1199</v>
      </c>
      <c r="S277" s="93" t="s">
        <v>2</v>
      </c>
      <c r="T277" s="93" t="s">
        <v>394</v>
      </c>
      <c r="U277" s="93" t="s">
        <v>116</v>
      </c>
      <c r="V277" s="94">
        <v>44588.206250000003</v>
      </c>
      <c r="W277" s="93" t="s">
        <v>1170</v>
      </c>
      <c r="X277" s="93" t="s">
        <v>24</v>
      </c>
    </row>
    <row r="278" spans="1:24" hidden="1" x14ac:dyDescent="0.15">
      <c r="A278" s="93" t="s">
        <v>9101</v>
      </c>
      <c r="B278" s="93" t="s">
        <v>9102</v>
      </c>
      <c r="C278" s="410">
        <v>50</v>
      </c>
      <c r="D278" s="93" t="s">
        <v>9</v>
      </c>
      <c r="E278" s="93" t="s">
        <v>24</v>
      </c>
      <c r="F278" s="93" t="s">
        <v>7070</v>
      </c>
      <c r="G278" s="93" t="s">
        <v>9087</v>
      </c>
      <c r="H278" s="93" t="s">
        <v>118</v>
      </c>
      <c r="I278" s="93" t="s">
        <v>111</v>
      </c>
      <c r="J278" s="93" t="s">
        <v>118</v>
      </c>
      <c r="K278" s="93">
        <v>3</v>
      </c>
      <c r="L278" s="93" t="s">
        <v>111</v>
      </c>
      <c r="M278" s="93" t="s">
        <v>111</v>
      </c>
      <c r="N278" s="93" t="s">
        <v>111</v>
      </c>
      <c r="O278" s="93" t="s">
        <v>111</v>
      </c>
      <c r="P278" s="93" t="s">
        <v>111</v>
      </c>
      <c r="Q278" s="93" t="s">
        <v>111</v>
      </c>
      <c r="R278" s="93" t="s">
        <v>1199</v>
      </c>
      <c r="S278" s="93" t="s">
        <v>2</v>
      </c>
      <c r="T278" s="93" t="s">
        <v>394</v>
      </c>
      <c r="U278" s="93" t="s">
        <v>116</v>
      </c>
      <c r="V278" s="94">
        <v>44588.206250000003</v>
      </c>
      <c r="W278" s="93" t="s">
        <v>1170</v>
      </c>
      <c r="X278" s="93" t="s">
        <v>111</v>
      </c>
    </row>
    <row r="279" spans="1:24" hidden="1" x14ac:dyDescent="0.15">
      <c r="A279" s="93" t="s">
        <v>9103</v>
      </c>
      <c r="B279" s="93" t="s">
        <v>9104</v>
      </c>
      <c r="C279" s="410">
        <v>150</v>
      </c>
      <c r="D279" s="93" t="s">
        <v>9</v>
      </c>
      <c r="E279" s="93" t="s">
        <v>24</v>
      </c>
      <c r="F279" s="93" t="s">
        <v>7070</v>
      </c>
      <c r="G279" s="93" t="s">
        <v>9087</v>
      </c>
      <c r="H279" s="93" t="s">
        <v>118</v>
      </c>
      <c r="I279" s="93" t="s">
        <v>111</v>
      </c>
      <c r="J279" s="93" t="s">
        <v>118</v>
      </c>
      <c r="K279" s="93">
        <v>3</v>
      </c>
      <c r="L279" s="93" t="s">
        <v>111</v>
      </c>
      <c r="M279" s="93" t="s">
        <v>111</v>
      </c>
      <c r="N279" s="93" t="s">
        <v>111</v>
      </c>
      <c r="O279" s="93" t="s">
        <v>111</v>
      </c>
      <c r="P279" s="93" t="s">
        <v>111</v>
      </c>
      <c r="Q279" s="93" t="s">
        <v>111</v>
      </c>
      <c r="R279" s="93" t="s">
        <v>1199</v>
      </c>
      <c r="S279" s="93" t="s">
        <v>2</v>
      </c>
      <c r="T279" s="93" t="s">
        <v>394</v>
      </c>
      <c r="U279" s="93" t="s">
        <v>116</v>
      </c>
      <c r="V279" s="94">
        <v>44588.206250000003</v>
      </c>
      <c r="W279" s="93" t="s">
        <v>1170</v>
      </c>
      <c r="X279" s="93" t="s">
        <v>111</v>
      </c>
    </row>
    <row r="280" spans="1:24" hidden="1" x14ac:dyDescent="0.15">
      <c r="A280" s="93" t="s">
        <v>9105</v>
      </c>
      <c r="B280" s="93" t="s">
        <v>9106</v>
      </c>
      <c r="C280" s="410">
        <v>100</v>
      </c>
      <c r="D280" s="93" t="s">
        <v>9</v>
      </c>
      <c r="E280" s="93" t="s">
        <v>24</v>
      </c>
      <c r="F280" s="93" t="s">
        <v>7070</v>
      </c>
      <c r="G280" s="93" t="s">
        <v>9087</v>
      </c>
      <c r="H280" s="93" t="s">
        <v>118</v>
      </c>
      <c r="I280" s="93" t="s">
        <v>111</v>
      </c>
      <c r="J280" s="93" t="s">
        <v>118</v>
      </c>
      <c r="K280" s="93">
        <v>3</v>
      </c>
      <c r="L280" s="93" t="s">
        <v>111</v>
      </c>
      <c r="M280" s="93" t="s">
        <v>111</v>
      </c>
      <c r="N280" s="93" t="s">
        <v>111</v>
      </c>
      <c r="O280" s="93" t="s">
        <v>111</v>
      </c>
      <c r="P280" s="93" t="s">
        <v>111</v>
      </c>
      <c r="Q280" s="93" t="s">
        <v>111</v>
      </c>
      <c r="R280" s="93" t="s">
        <v>1199</v>
      </c>
      <c r="S280" s="93" t="s">
        <v>2</v>
      </c>
      <c r="T280" s="93" t="s">
        <v>394</v>
      </c>
      <c r="U280" s="93" t="s">
        <v>116</v>
      </c>
      <c r="V280" s="94">
        <v>44588.206250000003</v>
      </c>
      <c r="W280" s="93" t="s">
        <v>1170</v>
      </c>
      <c r="X280" s="93" t="s">
        <v>111</v>
      </c>
    </row>
    <row r="281" spans="1:24" hidden="1" x14ac:dyDescent="0.15">
      <c r="A281" s="93" t="s">
        <v>1563</v>
      </c>
      <c r="B281" s="93" t="s">
        <v>1564</v>
      </c>
      <c r="C281" s="410">
        <v>1449</v>
      </c>
      <c r="D281" s="93" t="s">
        <v>24</v>
      </c>
      <c r="E281" s="93" t="s">
        <v>24</v>
      </c>
      <c r="F281" s="93" t="s">
        <v>7070</v>
      </c>
      <c r="G281" s="93" t="s">
        <v>9087</v>
      </c>
      <c r="H281" s="93" t="s">
        <v>118</v>
      </c>
      <c r="I281" s="93" t="s">
        <v>111</v>
      </c>
      <c r="J281" s="93" t="s">
        <v>7105</v>
      </c>
      <c r="K281" s="93" t="s">
        <v>111</v>
      </c>
      <c r="L281" s="93" t="s">
        <v>111</v>
      </c>
      <c r="M281" s="93" t="s">
        <v>111</v>
      </c>
      <c r="N281" s="93" t="s">
        <v>111</v>
      </c>
      <c r="O281" s="93" t="s">
        <v>111</v>
      </c>
      <c r="P281" s="93" t="s">
        <v>111</v>
      </c>
      <c r="Q281" s="93" t="s">
        <v>111</v>
      </c>
      <c r="R281" s="93" t="s">
        <v>1199</v>
      </c>
      <c r="S281" s="93" t="s">
        <v>2</v>
      </c>
      <c r="T281" s="93" t="s">
        <v>115</v>
      </c>
      <c r="U281" s="93" t="s">
        <v>116</v>
      </c>
      <c r="V281" s="94">
        <v>44588.206250000003</v>
      </c>
      <c r="W281" s="93" t="s">
        <v>1170</v>
      </c>
      <c r="X281" s="93" t="s">
        <v>111</v>
      </c>
    </row>
    <row r="282" spans="1:24" hidden="1" x14ac:dyDescent="0.15">
      <c r="A282" s="93" t="s">
        <v>1565</v>
      </c>
      <c r="B282" s="93" t="s">
        <v>1566</v>
      </c>
      <c r="C282" s="410">
        <v>100</v>
      </c>
      <c r="D282" s="93" t="s">
        <v>24</v>
      </c>
      <c r="E282" s="93" t="s">
        <v>24</v>
      </c>
      <c r="F282" s="93" t="s">
        <v>7070</v>
      </c>
      <c r="G282" s="93" t="s">
        <v>9087</v>
      </c>
      <c r="H282" s="93" t="s">
        <v>118</v>
      </c>
      <c r="I282" s="93" t="s">
        <v>111</v>
      </c>
      <c r="J282" s="93" t="s">
        <v>118</v>
      </c>
      <c r="K282" s="93">
        <v>3</v>
      </c>
      <c r="L282" s="93" t="s">
        <v>111</v>
      </c>
      <c r="M282" s="93" t="s">
        <v>111</v>
      </c>
      <c r="N282" s="93" t="s">
        <v>111</v>
      </c>
      <c r="O282" s="93" t="s">
        <v>111</v>
      </c>
      <c r="P282" s="93" t="s">
        <v>111</v>
      </c>
      <c r="Q282" s="93" t="s">
        <v>111</v>
      </c>
      <c r="R282" s="93" t="s">
        <v>228</v>
      </c>
      <c r="S282" s="93" t="s">
        <v>2</v>
      </c>
      <c r="T282" s="93" t="s">
        <v>1567</v>
      </c>
      <c r="U282" s="93" t="s">
        <v>116</v>
      </c>
      <c r="V282" s="94">
        <v>44624.636111111111</v>
      </c>
      <c r="W282" s="93" t="s">
        <v>1170</v>
      </c>
      <c r="X282" s="93" t="s">
        <v>24</v>
      </c>
    </row>
    <row r="283" spans="1:24" hidden="1" x14ac:dyDescent="0.15">
      <c r="A283" s="93" t="s">
        <v>1568</v>
      </c>
      <c r="B283" s="93" t="s">
        <v>1569</v>
      </c>
      <c r="C283" s="410">
        <v>1799</v>
      </c>
      <c r="D283" s="93" t="s">
        <v>24</v>
      </c>
      <c r="E283" s="93" t="s">
        <v>24</v>
      </c>
      <c r="F283" s="93" t="s">
        <v>7070</v>
      </c>
      <c r="G283" s="93" t="s">
        <v>9087</v>
      </c>
      <c r="H283" s="93" t="s">
        <v>118</v>
      </c>
      <c r="I283" s="93" t="s">
        <v>111</v>
      </c>
      <c r="J283" s="93" t="s">
        <v>118</v>
      </c>
      <c r="K283" s="93">
        <v>3</v>
      </c>
      <c r="L283" s="93" t="s">
        <v>111</v>
      </c>
      <c r="M283" s="93" t="s">
        <v>111</v>
      </c>
      <c r="N283" s="93" t="s">
        <v>111</v>
      </c>
      <c r="O283" s="93" t="s">
        <v>111</v>
      </c>
      <c r="P283" s="93" t="s">
        <v>111</v>
      </c>
      <c r="Q283" s="93" t="s">
        <v>111</v>
      </c>
      <c r="R283" s="93" t="s">
        <v>228</v>
      </c>
      <c r="S283" s="93" t="s">
        <v>2</v>
      </c>
      <c r="T283" s="93" t="s">
        <v>115</v>
      </c>
      <c r="U283" s="93" t="s">
        <v>116</v>
      </c>
      <c r="V283" s="94">
        <v>44588.401388888888</v>
      </c>
      <c r="W283" s="93" t="s">
        <v>1170</v>
      </c>
      <c r="X283" s="93" t="s">
        <v>24</v>
      </c>
    </row>
    <row r="284" spans="1:24" hidden="1" x14ac:dyDescent="0.15">
      <c r="A284" s="93" t="s">
        <v>1570</v>
      </c>
      <c r="B284" s="93" t="s">
        <v>1571</v>
      </c>
      <c r="C284" s="410">
        <v>100</v>
      </c>
      <c r="D284" s="93" t="s">
        <v>24</v>
      </c>
      <c r="E284" s="93" t="s">
        <v>24</v>
      </c>
      <c r="F284" s="93" t="s">
        <v>7070</v>
      </c>
      <c r="G284" s="93" t="s">
        <v>9087</v>
      </c>
      <c r="H284" s="93" t="s">
        <v>118</v>
      </c>
      <c r="I284" s="93" t="s">
        <v>111</v>
      </c>
      <c r="J284" s="93" t="s">
        <v>118</v>
      </c>
      <c r="K284" s="93">
        <v>3</v>
      </c>
      <c r="L284" s="93" t="s">
        <v>111</v>
      </c>
      <c r="M284" s="93" t="s">
        <v>111</v>
      </c>
      <c r="N284" s="93" t="s">
        <v>111</v>
      </c>
      <c r="O284" s="93" t="s">
        <v>111</v>
      </c>
      <c r="P284" s="93" t="s">
        <v>111</v>
      </c>
      <c r="Q284" s="93" t="s">
        <v>111</v>
      </c>
      <c r="R284" s="93" t="s">
        <v>228</v>
      </c>
      <c r="S284" s="93" t="s">
        <v>2</v>
      </c>
      <c r="T284" s="93" t="s">
        <v>1567</v>
      </c>
      <c r="U284" s="93" t="s">
        <v>116</v>
      </c>
      <c r="V284" s="94">
        <v>44588.231944444444</v>
      </c>
      <c r="W284" s="93" t="s">
        <v>1170</v>
      </c>
      <c r="X284" s="93" t="s">
        <v>24</v>
      </c>
    </row>
    <row r="285" spans="1:24" hidden="1" x14ac:dyDescent="0.15">
      <c r="A285" s="93" t="s">
        <v>9107</v>
      </c>
      <c r="B285" s="93" t="s">
        <v>9108</v>
      </c>
      <c r="C285" s="410">
        <v>599</v>
      </c>
      <c r="D285" s="93" t="s">
        <v>24</v>
      </c>
      <c r="E285" s="93" t="s">
        <v>24</v>
      </c>
      <c r="F285" s="93" t="s">
        <v>4125</v>
      </c>
      <c r="G285" s="93" t="s">
        <v>9087</v>
      </c>
      <c r="H285" s="93" t="s">
        <v>118</v>
      </c>
      <c r="I285" s="93" t="s">
        <v>111</v>
      </c>
      <c r="J285" s="93" t="s">
        <v>118</v>
      </c>
      <c r="K285" s="93">
        <v>3</v>
      </c>
      <c r="L285" s="93" t="s">
        <v>111</v>
      </c>
      <c r="M285" s="93" t="s">
        <v>111</v>
      </c>
      <c r="N285" s="93" t="s">
        <v>111</v>
      </c>
      <c r="O285" s="93" t="s">
        <v>111</v>
      </c>
      <c r="P285" s="93" t="s">
        <v>111</v>
      </c>
      <c r="Q285" s="93" t="s">
        <v>111</v>
      </c>
      <c r="R285" s="93" t="s">
        <v>228</v>
      </c>
      <c r="S285" s="93" t="s">
        <v>2</v>
      </c>
      <c r="T285" s="93" t="s">
        <v>115</v>
      </c>
      <c r="U285" s="93" t="s">
        <v>395</v>
      </c>
      <c r="V285" s="94">
        <v>44628.636111111111</v>
      </c>
      <c r="W285" s="93" t="s">
        <v>1170</v>
      </c>
      <c r="X285" s="93" t="s">
        <v>24</v>
      </c>
    </row>
    <row r="286" spans="1:24" hidden="1" x14ac:dyDescent="0.15">
      <c r="A286" s="93" t="s">
        <v>1572</v>
      </c>
      <c r="B286" s="93" t="s">
        <v>1573</v>
      </c>
      <c r="C286" s="410">
        <v>2500</v>
      </c>
      <c r="D286" s="93" t="s">
        <v>9</v>
      </c>
      <c r="E286" s="93" t="s">
        <v>24</v>
      </c>
      <c r="F286" s="93" t="s">
        <v>7070</v>
      </c>
      <c r="G286" s="93" t="s">
        <v>9087</v>
      </c>
      <c r="H286" s="93" t="s">
        <v>118</v>
      </c>
      <c r="I286" s="93" t="s">
        <v>111</v>
      </c>
      <c r="J286" s="93" t="s">
        <v>118</v>
      </c>
      <c r="K286" s="93">
        <v>3</v>
      </c>
      <c r="L286" s="93" t="s">
        <v>111</v>
      </c>
      <c r="M286" s="93" t="s">
        <v>111</v>
      </c>
      <c r="N286" s="93" t="s">
        <v>111</v>
      </c>
      <c r="O286" s="93" t="s">
        <v>111</v>
      </c>
      <c r="P286" s="93" t="s">
        <v>111</v>
      </c>
      <c r="Q286" s="93" t="s">
        <v>111</v>
      </c>
      <c r="R286" s="93" t="s">
        <v>111</v>
      </c>
      <c r="S286" s="93" t="s">
        <v>2</v>
      </c>
      <c r="T286" s="93" t="s">
        <v>111</v>
      </c>
      <c r="U286" s="93" t="s">
        <v>116</v>
      </c>
      <c r="V286" s="94">
        <v>44588.268055555556</v>
      </c>
      <c r="W286" s="93" t="s">
        <v>1170</v>
      </c>
      <c r="X286" s="93" t="s">
        <v>24</v>
      </c>
    </row>
    <row r="287" spans="1:24" hidden="1" x14ac:dyDescent="0.15">
      <c r="A287" s="93" t="s">
        <v>1574</v>
      </c>
      <c r="B287" s="93" t="s">
        <v>1575</v>
      </c>
      <c r="C287" s="410">
        <v>400</v>
      </c>
      <c r="D287" s="93" t="s">
        <v>24</v>
      </c>
      <c r="E287" s="93" t="s">
        <v>24</v>
      </c>
      <c r="F287" s="93" t="s">
        <v>7070</v>
      </c>
      <c r="G287" s="93" t="s">
        <v>9087</v>
      </c>
      <c r="H287" s="93" t="s">
        <v>118</v>
      </c>
      <c r="I287" s="93" t="s">
        <v>111</v>
      </c>
      <c r="J287" s="93" t="s">
        <v>118</v>
      </c>
      <c r="K287" s="93">
        <v>3</v>
      </c>
      <c r="L287" s="93" t="s">
        <v>111</v>
      </c>
      <c r="M287" s="93" t="s">
        <v>111</v>
      </c>
      <c r="N287" s="93" t="s">
        <v>111</v>
      </c>
      <c r="O287" s="93" t="s">
        <v>111</v>
      </c>
      <c r="P287" s="93" t="s">
        <v>111</v>
      </c>
      <c r="Q287" s="93" t="s">
        <v>111</v>
      </c>
      <c r="R287" s="93" t="s">
        <v>228</v>
      </c>
      <c r="S287" s="93" t="s">
        <v>2</v>
      </c>
      <c r="T287" s="93" t="s">
        <v>115</v>
      </c>
      <c r="U287" s="93" t="s">
        <v>116</v>
      </c>
      <c r="V287" s="94">
        <v>44600.143055555556</v>
      </c>
      <c r="W287" s="93" t="s">
        <v>1170</v>
      </c>
      <c r="X287" s="93" t="s">
        <v>24</v>
      </c>
    </row>
    <row r="288" spans="1:24" hidden="1" x14ac:dyDescent="0.15">
      <c r="A288" s="93" t="s">
        <v>1576</v>
      </c>
      <c r="B288" s="93" t="s">
        <v>1577</v>
      </c>
      <c r="C288" s="410">
        <v>1799</v>
      </c>
      <c r="D288" s="93" t="s">
        <v>24</v>
      </c>
      <c r="E288" s="93" t="s">
        <v>24</v>
      </c>
      <c r="F288" s="93" t="s">
        <v>7070</v>
      </c>
      <c r="G288" s="93" t="s">
        <v>9087</v>
      </c>
      <c r="H288" s="93" t="s">
        <v>118</v>
      </c>
      <c r="I288" s="93" t="s">
        <v>111</v>
      </c>
      <c r="J288" s="93" t="s">
        <v>118</v>
      </c>
      <c r="K288" s="93">
        <v>3</v>
      </c>
      <c r="L288" s="93" t="s">
        <v>111</v>
      </c>
      <c r="M288" s="93" t="s">
        <v>111</v>
      </c>
      <c r="N288" s="93" t="s">
        <v>111</v>
      </c>
      <c r="O288" s="93" t="s">
        <v>111</v>
      </c>
      <c r="P288" s="93" t="s">
        <v>111</v>
      </c>
      <c r="Q288" s="93" t="s">
        <v>111</v>
      </c>
      <c r="R288" s="93" t="s">
        <v>228</v>
      </c>
      <c r="S288" s="93" t="s">
        <v>2</v>
      </c>
      <c r="T288" s="93" t="s">
        <v>115</v>
      </c>
      <c r="U288" s="93" t="s">
        <v>116</v>
      </c>
      <c r="V288" s="94">
        <v>44588.23333333333</v>
      </c>
      <c r="W288" s="93" t="s">
        <v>1170</v>
      </c>
      <c r="X288" s="93" t="s">
        <v>24</v>
      </c>
    </row>
    <row r="289" spans="1:24" hidden="1" x14ac:dyDescent="0.15">
      <c r="A289" s="93" t="s">
        <v>1578</v>
      </c>
      <c r="B289" s="93" t="s">
        <v>1579</v>
      </c>
      <c r="C289" s="410">
        <v>85.32</v>
      </c>
      <c r="D289" s="93" t="s">
        <v>9</v>
      </c>
      <c r="E289" s="93" t="s">
        <v>24</v>
      </c>
      <c r="F289" s="93" t="s">
        <v>7070</v>
      </c>
      <c r="G289" s="93" t="s">
        <v>7168</v>
      </c>
      <c r="H289" s="93" t="s">
        <v>11</v>
      </c>
      <c r="I289" s="93" t="s">
        <v>111</v>
      </c>
      <c r="J289" s="93" t="s">
        <v>387</v>
      </c>
      <c r="K289" s="93">
        <v>60</v>
      </c>
      <c r="L289" s="93" t="s">
        <v>111</v>
      </c>
      <c r="M289" s="93">
        <v>2</v>
      </c>
      <c r="N289" s="93" t="s">
        <v>113</v>
      </c>
      <c r="O289" s="93">
        <v>5.6</v>
      </c>
      <c r="P289" s="93">
        <v>18</v>
      </c>
      <c r="Q289" s="93">
        <v>21</v>
      </c>
      <c r="R289" s="93" t="s">
        <v>122</v>
      </c>
      <c r="S289" s="93" t="s">
        <v>20</v>
      </c>
      <c r="T289" s="93" t="s">
        <v>115</v>
      </c>
      <c r="U289" s="93" t="s">
        <v>116</v>
      </c>
      <c r="V289" s="94">
        <v>44628.579861111109</v>
      </c>
      <c r="W289" s="93" t="s">
        <v>1170</v>
      </c>
      <c r="X289" s="93" t="s">
        <v>24</v>
      </c>
    </row>
    <row r="290" spans="1:24" hidden="1" x14ac:dyDescent="0.15">
      <c r="A290" s="93" t="s">
        <v>1580</v>
      </c>
      <c r="B290" s="93" t="s">
        <v>9109</v>
      </c>
      <c r="C290" s="410">
        <v>85.32</v>
      </c>
      <c r="D290" s="93" t="s">
        <v>9</v>
      </c>
      <c r="E290" s="93" t="s">
        <v>24</v>
      </c>
      <c r="F290" s="93" t="s">
        <v>7070</v>
      </c>
      <c r="G290" s="93" t="s">
        <v>7168</v>
      </c>
      <c r="H290" s="93" t="s">
        <v>11</v>
      </c>
      <c r="I290" s="93" t="s">
        <v>111</v>
      </c>
      <c r="J290" s="93" t="s">
        <v>387</v>
      </c>
      <c r="K290" s="93">
        <v>60</v>
      </c>
      <c r="L290" s="93" t="s">
        <v>111</v>
      </c>
      <c r="M290" s="93">
        <v>2</v>
      </c>
      <c r="N290" s="93" t="s">
        <v>113</v>
      </c>
      <c r="O290" s="93">
        <v>5.6</v>
      </c>
      <c r="P290" s="93">
        <v>18</v>
      </c>
      <c r="Q290" s="93">
        <v>21</v>
      </c>
      <c r="R290" s="93" t="s">
        <v>122</v>
      </c>
      <c r="S290" s="93" t="s">
        <v>20</v>
      </c>
      <c r="T290" s="93" t="s">
        <v>115</v>
      </c>
      <c r="U290" s="93" t="s">
        <v>116</v>
      </c>
      <c r="V290" s="94">
        <v>44628.579861111109</v>
      </c>
      <c r="W290" s="93" t="s">
        <v>1170</v>
      </c>
      <c r="X290" s="93" t="s">
        <v>24</v>
      </c>
    </row>
    <row r="291" spans="1:24" hidden="1" x14ac:dyDescent="0.15">
      <c r="A291" s="93" t="s">
        <v>1581</v>
      </c>
      <c r="B291" s="93" t="s">
        <v>1582</v>
      </c>
      <c r="C291" s="410">
        <v>295</v>
      </c>
      <c r="D291" s="93" t="s">
        <v>9</v>
      </c>
      <c r="E291" s="93" t="s">
        <v>9</v>
      </c>
      <c r="F291" s="93" t="s">
        <v>7070</v>
      </c>
      <c r="G291" s="93" t="s">
        <v>9110</v>
      </c>
      <c r="H291" s="93" t="s">
        <v>118</v>
      </c>
      <c r="I291" s="93" t="s">
        <v>111</v>
      </c>
      <c r="J291" s="93" t="s">
        <v>118</v>
      </c>
      <c r="K291" s="93">
        <v>3</v>
      </c>
      <c r="L291" s="93" t="s">
        <v>111</v>
      </c>
      <c r="M291" s="93" t="s">
        <v>111</v>
      </c>
      <c r="N291" s="93" t="s">
        <v>111</v>
      </c>
      <c r="O291" s="93" t="s">
        <v>111</v>
      </c>
      <c r="P291" s="93" t="s">
        <v>111</v>
      </c>
      <c r="Q291" s="93" t="s">
        <v>111</v>
      </c>
      <c r="R291" s="93" t="s">
        <v>1199</v>
      </c>
      <c r="S291" s="93" t="s">
        <v>2</v>
      </c>
      <c r="T291" s="93" t="s">
        <v>1567</v>
      </c>
      <c r="U291" s="93" t="s">
        <v>116</v>
      </c>
      <c r="V291" s="94">
        <v>44592.332638888889</v>
      </c>
      <c r="W291" s="93" t="s">
        <v>1170</v>
      </c>
      <c r="X291" s="93" t="s">
        <v>111</v>
      </c>
    </row>
    <row r="292" spans="1:24" hidden="1" x14ac:dyDescent="0.15">
      <c r="A292" s="93" t="s">
        <v>1584</v>
      </c>
      <c r="B292" s="93" t="s">
        <v>1585</v>
      </c>
      <c r="C292" s="410">
        <v>1495</v>
      </c>
      <c r="D292" s="93" t="s">
        <v>9</v>
      </c>
      <c r="E292" s="93" t="s">
        <v>9</v>
      </c>
      <c r="F292" s="93" t="s">
        <v>7070</v>
      </c>
      <c r="G292" s="93" t="s">
        <v>9110</v>
      </c>
      <c r="H292" s="93" t="s">
        <v>118</v>
      </c>
      <c r="I292" s="93" t="s">
        <v>111</v>
      </c>
      <c r="J292" s="93" t="s">
        <v>118</v>
      </c>
      <c r="K292" s="93">
        <v>3</v>
      </c>
      <c r="L292" s="93" t="s">
        <v>111</v>
      </c>
      <c r="M292" s="93" t="s">
        <v>111</v>
      </c>
      <c r="N292" s="93" t="s">
        <v>111</v>
      </c>
      <c r="O292" s="93" t="s">
        <v>111</v>
      </c>
      <c r="P292" s="93" t="s">
        <v>111</v>
      </c>
      <c r="Q292" s="93" t="s">
        <v>111</v>
      </c>
      <c r="R292" s="93" t="s">
        <v>1199</v>
      </c>
      <c r="S292" s="93" t="s">
        <v>2</v>
      </c>
      <c r="T292" s="93" t="s">
        <v>1567</v>
      </c>
      <c r="U292" s="93" t="s">
        <v>116</v>
      </c>
      <c r="V292" s="94">
        <v>44624.636111111111</v>
      </c>
      <c r="W292" s="93" t="s">
        <v>1170</v>
      </c>
      <c r="X292" s="93" t="s">
        <v>111</v>
      </c>
    </row>
    <row r="293" spans="1:24" hidden="1" x14ac:dyDescent="0.15">
      <c r="A293" s="93" t="s">
        <v>1586</v>
      </c>
      <c r="B293" s="93" t="s">
        <v>1587</v>
      </c>
      <c r="C293" s="410">
        <v>995</v>
      </c>
      <c r="D293" s="93" t="s">
        <v>9</v>
      </c>
      <c r="E293" s="93" t="s">
        <v>9</v>
      </c>
      <c r="F293" s="93" t="s">
        <v>7070</v>
      </c>
      <c r="G293" s="93" t="s">
        <v>9110</v>
      </c>
      <c r="H293" s="93" t="s">
        <v>118</v>
      </c>
      <c r="I293" s="93" t="s">
        <v>111</v>
      </c>
      <c r="J293" s="93" t="s">
        <v>118</v>
      </c>
      <c r="K293" s="93">
        <v>3</v>
      </c>
      <c r="L293" s="93" t="s">
        <v>111</v>
      </c>
      <c r="M293" s="93" t="s">
        <v>111</v>
      </c>
      <c r="N293" s="93" t="s">
        <v>111</v>
      </c>
      <c r="O293" s="93" t="s">
        <v>111</v>
      </c>
      <c r="P293" s="93" t="s">
        <v>111</v>
      </c>
      <c r="Q293" s="93" t="s">
        <v>111</v>
      </c>
      <c r="R293" s="93" t="s">
        <v>1199</v>
      </c>
      <c r="S293" s="93" t="s">
        <v>2</v>
      </c>
      <c r="T293" s="93" t="s">
        <v>394</v>
      </c>
      <c r="U293" s="93" t="s">
        <v>116</v>
      </c>
      <c r="V293" s="94">
        <v>44592.328472222223</v>
      </c>
      <c r="W293" s="93" t="s">
        <v>1170</v>
      </c>
      <c r="X293" s="93" t="s">
        <v>111</v>
      </c>
    </row>
    <row r="294" spans="1:24" hidden="1" x14ac:dyDescent="0.15">
      <c r="A294" s="93" t="s">
        <v>1588</v>
      </c>
      <c r="B294" s="93" t="s">
        <v>1589</v>
      </c>
      <c r="C294" s="410">
        <v>250</v>
      </c>
      <c r="D294" s="93" t="s">
        <v>9</v>
      </c>
      <c r="E294" s="93" t="s">
        <v>9</v>
      </c>
      <c r="F294" s="93" t="s">
        <v>7070</v>
      </c>
      <c r="G294" s="93" t="s">
        <v>9110</v>
      </c>
      <c r="H294" s="93" t="s">
        <v>118</v>
      </c>
      <c r="I294" s="93" t="s">
        <v>111</v>
      </c>
      <c r="J294" s="93" t="s">
        <v>7105</v>
      </c>
      <c r="K294" s="93" t="s">
        <v>111</v>
      </c>
      <c r="L294" s="93" t="s">
        <v>111</v>
      </c>
      <c r="M294" s="93" t="s">
        <v>111</v>
      </c>
      <c r="N294" s="93" t="s">
        <v>111</v>
      </c>
      <c r="O294" s="93" t="s">
        <v>111</v>
      </c>
      <c r="P294" s="93" t="s">
        <v>111</v>
      </c>
      <c r="Q294" s="93" t="s">
        <v>111</v>
      </c>
      <c r="R294" s="93" t="s">
        <v>1199</v>
      </c>
      <c r="S294" s="93" t="s">
        <v>2</v>
      </c>
      <c r="T294" s="93" t="s">
        <v>394</v>
      </c>
      <c r="U294" s="93" t="s">
        <v>116</v>
      </c>
      <c r="V294" s="94">
        <v>44588.268055555556</v>
      </c>
      <c r="W294" s="93" t="s">
        <v>1170</v>
      </c>
      <c r="X294" s="93" t="s">
        <v>111</v>
      </c>
    </row>
    <row r="295" spans="1:24" hidden="1" x14ac:dyDescent="0.15">
      <c r="A295" s="93" t="s">
        <v>1590</v>
      </c>
      <c r="B295" s="93" t="s">
        <v>1591</v>
      </c>
      <c r="C295" s="410">
        <v>995</v>
      </c>
      <c r="D295" s="93" t="s">
        <v>9</v>
      </c>
      <c r="E295" s="93" t="s">
        <v>9</v>
      </c>
      <c r="F295" s="93" t="s">
        <v>7070</v>
      </c>
      <c r="G295" s="93" t="s">
        <v>9110</v>
      </c>
      <c r="H295" s="93" t="s">
        <v>118</v>
      </c>
      <c r="I295" s="93" t="s">
        <v>111</v>
      </c>
      <c r="J295" s="93" t="s">
        <v>7105</v>
      </c>
      <c r="K295" s="93" t="s">
        <v>111</v>
      </c>
      <c r="L295" s="93" t="s">
        <v>111</v>
      </c>
      <c r="M295" s="93" t="s">
        <v>111</v>
      </c>
      <c r="N295" s="93" t="s">
        <v>111</v>
      </c>
      <c r="O295" s="93" t="s">
        <v>111</v>
      </c>
      <c r="P295" s="93" t="s">
        <v>111</v>
      </c>
      <c r="Q295" s="93" t="s">
        <v>111</v>
      </c>
      <c r="R295" s="93" t="s">
        <v>1199</v>
      </c>
      <c r="S295" s="93" t="s">
        <v>2</v>
      </c>
      <c r="T295" s="93" t="s">
        <v>394</v>
      </c>
      <c r="U295" s="93" t="s">
        <v>116</v>
      </c>
      <c r="V295" s="94">
        <v>44588.268055555556</v>
      </c>
      <c r="W295" s="93" t="s">
        <v>1170</v>
      </c>
      <c r="X295" s="93" t="s">
        <v>111</v>
      </c>
    </row>
    <row r="296" spans="1:24" hidden="1" x14ac:dyDescent="0.15">
      <c r="A296" s="93" t="s">
        <v>1592</v>
      </c>
      <c r="B296" s="93" t="s">
        <v>1593</v>
      </c>
      <c r="C296" s="410">
        <v>300</v>
      </c>
      <c r="D296" s="93" t="s">
        <v>9</v>
      </c>
      <c r="E296" s="93" t="s">
        <v>9</v>
      </c>
      <c r="F296" s="93" t="s">
        <v>7070</v>
      </c>
      <c r="G296" s="93" t="s">
        <v>9110</v>
      </c>
      <c r="H296" s="93" t="s">
        <v>118</v>
      </c>
      <c r="I296" s="93" t="s">
        <v>111</v>
      </c>
      <c r="J296" s="93" t="s">
        <v>118</v>
      </c>
      <c r="K296" s="93">
        <v>3</v>
      </c>
      <c r="L296" s="93" t="s">
        <v>111</v>
      </c>
      <c r="M296" s="93" t="s">
        <v>111</v>
      </c>
      <c r="N296" s="93" t="s">
        <v>111</v>
      </c>
      <c r="O296" s="93" t="s">
        <v>111</v>
      </c>
      <c r="P296" s="93" t="s">
        <v>111</v>
      </c>
      <c r="Q296" s="93" t="s">
        <v>111</v>
      </c>
      <c r="R296" s="93" t="s">
        <v>1199</v>
      </c>
      <c r="S296" s="93" t="s">
        <v>2</v>
      </c>
      <c r="T296" s="93" t="s">
        <v>394</v>
      </c>
      <c r="U296" s="93" t="s">
        <v>116</v>
      </c>
      <c r="V296" s="94">
        <v>44628.636111111111</v>
      </c>
      <c r="W296" s="93" t="s">
        <v>1170</v>
      </c>
      <c r="X296" s="93" t="s">
        <v>111</v>
      </c>
    </row>
    <row r="297" spans="1:24" hidden="1" x14ac:dyDescent="0.15">
      <c r="A297" s="93" t="s">
        <v>1594</v>
      </c>
      <c r="B297" s="93" t="s">
        <v>1595</v>
      </c>
      <c r="C297" s="410">
        <v>295</v>
      </c>
      <c r="D297" s="93" t="s">
        <v>24</v>
      </c>
      <c r="E297" s="93" t="s">
        <v>9</v>
      </c>
      <c r="F297" s="93" t="s">
        <v>7070</v>
      </c>
      <c r="G297" s="93" t="s">
        <v>9110</v>
      </c>
      <c r="H297" s="93" t="s">
        <v>118</v>
      </c>
      <c r="I297" s="93" t="s">
        <v>111</v>
      </c>
      <c r="J297" s="93" t="s">
        <v>7105</v>
      </c>
      <c r="K297" s="93" t="s">
        <v>111</v>
      </c>
      <c r="L297" s="93" t="s">
        <v>111</v>
      </c>
      <c r="M297" s="93" t="s">
        <v>111</v>
      </c>
      <c r="N297" s="93" t="s">
        <v>111</v>
      </c>
      <c r="O297" s="93" t="s">
        <v>111</v>
      </c>
      <c r="P297" s="93" t="s">
        <v>111</v>
      </c>
      <c r="Q297" s="93" t="s">
        <v>111</v>
      </c>
      <c r="R297" s="93" t="s">
        <v>1199</v>
      </c>
      <c r="S297" s="93" t="s">
        <v>2</v>
      </c>
      <c r="T297" s="93" t="s">
        <v>394</v>
      </c>
      <c r="U297" s="93" t="s">
        <v>116</v>
      </c>
      <c r="V297" s="94">
        <v>44588.269444444442</v>
      </c>
      <c r="W297" s="93" t="s">
        <v>1170</v>
      </c>
      <c r="X297" s="93" t="s">
        <v>111</v>
      </c>
    </row>
    <row r="298" spans="1:24" hidden="1" x14ac:dyDescent="0.15">
      <c r="A298" s="93" t="s">
        <v>1596</v>
      </c>
      <c r="B298" s="93" t="s">
        <v>1597</v>
      </c>
      <c r="C298" s="410">
        <v>495</v>
      </c>
      <c r="D298" s="93" t="s">
        <v>24</v>
      </c>
      <c r="E298" s="93" t="s">
        <v>9</v>
      </c>
      <c r="F298" s="93" t="s">
        <v>7070</v>
      </c>
      <c r="G298" s="93" t="s">
        <v>9110</v>
      </c>
      <c r="H298" s="93" t="s">
        <v>118</v>
      </c>
      <c r="I298" s="93" t="s">
        <v>111</v>
      </c>
      <c r="J298" s="93" t="s">
        <v>7105</v>
      </c>
      <c r="K298" s="93" t="s">
        <v>111</v>
      </c>
      <c r="L298" s="93" t="s">
        <v>111</v>
      </c>
      <c r="M298" s="93" t="s">
        <v>111</v>
      </c>
      <c r="N298" s="93" t="s">
        <v>111</v>
      </c>
      <c r="O298" s="93" t="s">
        <v>111</v>
      </c>
      <c r="P298" s="93" t="s">
        <v>111</v>
      </c>
      <c r="Q298" s="93" t="s">
        <v>111</v>
      </c>
      <c r="R298" s="93" t="s">
        <v>1199</v>
      </c>
      <c r="S298" s="93" t="s">
        <v>2</v>
      </c>
      <c r="T298" s="93" t="s">
        <v>394</v>
      </c>
      <c r="U298" s="93" t="s">
        <v>116</v>
      </c>
      <c r="V298" s="94">
        <v>44588.269444444442</v>
      </c>
      <c r="W298" s="93" t="s">
        <v>1170</v>
      </c>
      <c r="X298" s="93" t="s">
        <v>111</v>
      </c>
    </row>
    <row r="299" spans="1:24" hidden="1" x14ac:dyDescent="0.15">
      <c r="A299" s="93" t="s">
        <v>1598</v>
      </c>
      <c r="B299" s="93" t="s">
        <v>1599</v>
      </c>
      <c r="C299" s="410">
        <v>250</v>
      </c>
      <c r="D299" s="93" t="s">
        <v>24</v>
      </c>
      <c r="E299" s="93" t="s">
        <v>9</v>
      </c>
      <c r="F299" s="93" t="s">
        <v>7070</v>
      </c>
      <c r="G299" s="93" t="s">
        <v>9110</v>
      </c>
      <c r="H299" s="93" t="s">
        <v>118</v>
      </c>
      <c r="I299" s="93" t="s">
        <v>111</v>
      </c>
      <c r="J299" s="93" t="s">
        <v>7105</v>
      </c>
      <c r="K299" s="93" t="s">
        <v>111</v>
      </c>
      <c r="L299" s="93" t="s">
        <v>111</v>
      </c>
      <c r="M299" s="93" t="s">
        <v>111</v>
      </c>
      <c r="N299" s="93" t="s">
        <v>111</v>
      </c>
      <c r="O299" s="93" t="s">
        <v>111</v>
      </c>
      <c r="P299" s="93" t="s">
        <v>111</v>
      </c>
      <c r="Q299" s="93" t="s">
        <v>111</v>
      </c>
      <c r="R299" s="93" t="s">
        <v>1199</v>
      </c>
      <c r="S299" s="93" t="s">
        <v>2</v>
      </c>
      <c r="T299" s="93" t="s">
        <v>394</v>
      </c>
      <c r="U299" s="93" t="s">
        <v>116</v>
      </c>
      <c r="V299" s="94">
        <v>44588.269444444442</v>
      </c>
      <c r="W299" s="93" t="s">
        <v>1170</v>
      </c>
      <c r="X299" s="93" t="s">
        <v>111</v>
      </c>
    </row>
    <row r="300" spans="1:24" hidden="1" x14ac:dyDescent="0.15">
      <c r="A300" s="93" t="s">
        <v>1600</v>
      </c>
      <c r="B300" s="93" t="s">
        <v>1601</v>
      </c>
      <c r="C300" s="410">
        <v>500</v>
      </c>
      <c r="D300" s="93" t="s">
        <v>24</v>
      </c>
      <c r="E300" s="93" t="s">
        <v>9</v>
      </c>
      <c r="F300" s="93" t="s">
        <v>7070</v>
      </c>
      <c r="G300" s="93" t="s">
        <v>9110</v>
      </c>
      <c r="H300" s="93" t="s">
        <v>118</v>
      </c>
      <c r="I300" s="93" t="s">
        <v>111</v>
      </c>
      <c r="J300" s="93" t="s">
        <v>7105</v>
      </c>
      <c r="K300" s="93" t="s">
        <v>111</v>
      </c>
      <c r="L300" s="93" t="s">
        <v>111</v>
      </c>
      <c r="M300" s="93" t="s">
        <v>111</v>
      </c>
      <c r="N300" s="93" t="s">
        <v>111</v>
      </c>
      <c r="O300" s="93" t="s">
        <v>111</v>
      </c>
      <c r="P300" s="93" t="s">
        <v>111</v>
      </c>
      <c r="Q300" s="93" t="s">
        <v>111</v>
      </c>
      <c r="R300" s="93" t="s">
        <v>1199</v>
      </c>
      <c r="S300" s="93" t="s">
        <v>2</v>
      </c>
      <c r="T300" s="93" t="s">
        <v>394</v>
      </c>
      <c r="U300" s="93" t="s">
        <v>116</v>
      </c>
      <c r="V300" s="94">
        <v>44588.269444444442</v>
      </c>
      <c r="W300" s="93" t="s">
        <v>1170</v>
      </c>
      <c r="X300" s="93" t="s">
        <v>111</v>
      </c>
    </row>
    <row r="301" spans="1:24" hidden="1" x14ac:dyDescent="0.15">
      <c r="A301" s="93" t="s">
        <v>1602</v>
      </c>
      <c r="B301" s="93" t="s">
        <v>1603</v>
      </c>
      <c r="C301" s="410">
        <v>200</v>
      </c>
      <c r="D301" s="93" t="s">
        <v>24</v>
      </c>
      <c r="E301" s="93" t="s">
        <v>9</v>
      </c>
      <c r="F301" s="93" t="s">
        <v>7070</v>
      </c>
      <c r="G301" s="93" t="s">
        <v>9110</v>
      </c>
      <c r="H301" s="93" t="s">
        <v>118</v>
      </c>
      <c r="I301" s="93" t="s">
        <v>111</v>
      </c>
      <c r="J301" s="93" t="s">
        <v>7105</v>
      </c>
      <c r="K301" s="93" t="s">
        <v>111</v>
      </c>
      <c r="L301" s="93" t="s">
        <v>111</v>
      </c>
      <c r="M301" s="93" t="s">
        <v>111</v>
      </c>
      <c r="N301" s="93" t="s">
        <v>111</v>
      </c>
      <c r="O301" s="93" t="s">
        <v>111</v>
      </c>
      <c r="P301" s="93" t="s">
        <v>111</v>
      </c>
      <c r="Q301" s="93" t="s">
        <v>111</v>
      </c>
      <c r="R301" s="93" t="s">
        <v>1199</v>
      </c>
      <c r="S301" s="93" t="s">
        <v>2</v>
      </c>
      <c r="T301" s="93" t="s">
        <v>394</v>
      </c>
      <c r="U301" s="93" t="s">
        <v>116</v>
      </c>
      <c r="V301" s="94">
        <v>44588.269444444442</v>
      </c>
      <c r="W301" s="93" t="s">
        <v>1170</v>
      </c>
      <c r="X301" s="93" t="s">
        <v>111</v>
      </c>
    </row>
    <row r="302" spans="1:24" hidden="1" x14ac:dyDescent="0.15">
      <c r="A302" s="93" t="s">
        <v>1604</v>
      </c>
      <c r="B302" s="93" t="s">
        <v>1605</v>
      </c>
      <c r="C302" s="410">
        <v>700</v>
      </c>
      <c r="D302" s="93" t="s">
        <v>24</v>
      </c>
      <c r="E302" s="93" t="s">
        <v>9</v>
      </c>
      <c r="F302" s="93" t="s">
        <v>7070</v>
      </c>
      <c r="G302" s="93" t="s">
        <v>9110</v>
      </c>
      <c r="H302" s="93" t="s">
        <v>118</v>
      </c>
      <c r="I302" s="93" t="s">
        <v>111</v>
      </c>
      <c r="J302" s="93" t="s">
        <v>7105</v>
      </c>
      <c r="K302" s="93" t="s">
        <v>111</v>
      </c>
      <c r="L302" s="93" t="s">
        <v>111</v>
      </c>
      <c r="M302" s="93" t="s">
        <v>111</v>
      </c>
      <c r="N302" s="93" t="s">
        <v>111</v>
      </c>
      <c r="O302" s="93" t="s">
        <v>111</v>
      </c>
      <c r="P302" s="93" t="s">
        <v>111</v>
      </c>
      <c r="Q302" s="93" t="s">
        <v>111</v>
      </c>
      <c r="R302" s="93" t="s">
        <v>1199</v>
      </c>
      <c r="S302" s="93" t="s">
        <v>2</v>
      </c>
      <c r="T302" s="93" t="s">
        <v>394</v>
      </c>
      <c r="U302" s="93" t="s">
        <v>116</v>
      </c>
      <c r="V302" s="94">
        <v>44588.269444444442</v>
      </c>
      <c r="W302" s="93" t="s">
        <v>1170</v>
      </c>
      <c r="X302" s="93" t="s">
        <v>111</v>
      </c>
    </row>
    <row r="303" spans="1:24" hidden="1" x14ac:dyDescent="0.15">
      <c r="A303" s="93" t="s">
        <v>1606</v>
      </c>
      <c r="B303" s="93" t="s">
        <v>1607</v>
      </c>
      <c r="C303" s="410">
        <v>500</v>
      </c>
      <c r="D303" s="93" t="s">
        <v>24</v>
      </c>
      <c r="E303" s="93" t="s">
        <v>9</v>
      </c>
      <c r="F303" s="93" t="s">
        <v>7070</v>
      </c>
      <c r="G303" s="93" t="s">
        <v>9110</v>
      </c>
      <c r="H303" s="93" t="s">
        <v>118</v>
      </c>
      <c r="I303" s="93" t="s">
        <v>111</v>
      </c>
      <c r="J303" s="93" t="s">
        <v>7105</v>
      </c>
      <c r="K303" s="93" t="s">
        <v>111</v>
      </c>
      <c r="L303" s="93" t="s">
        <v>111</v>
      </c>
      <c r="M303" s="93" t="s">
        <v>111</v>
      </c>
      <c r="N303" s="93" t="s">
        <v>111</v>
      </c>
      <c r="O303" s="93" t="s">
        <v>111</v>
      </c>
      <c r="P303" s="93" t="s">
        <v>111</v>
      </c>
      <c r="Q303" s="93" t="s">
        <v>111</v>
      </c>
      <c r="R303" s="93" t="s">
        <v>1199</v>
      </c>
      <c r="S303" s="93" t="s">
        <v>2</v>
      </c>
      <c r="T303" s="93" t="s">
        <v>394</v>
      </c>
      <c r="U303" s="93" t="s">
        <v>116</v>
      </c>
      <c r="V303" s="94">
        <v>44588.269444444442</v>
      </c>
      <c r="W303" s="93" t="s">
        <v>1170</v>
      </c>
      <c r="X303" s="93" t="s">
        <v>111</v>
      </c>
    </row>
    <row r="304" spans="1:24" hidden="1" x14ac:dyDescent="0.15">
      <c r="A304" s="93" t="s">
        <v>1608</v>
      </c>
      <c r="B304" s="93" t="s">
        <v>1609</v>
      </c>
      <c r="C304" s="410">
        <v>495</v>
      </c>
      <c r="D304" s="93" t="s">
        <v>24</v>
      </c>
      <c r="E304" s="93" t="s">
        <v>9</v>
      </c>
      <c r="F304" s="93" t="s">
        <v>7070</v>
      </c>
      <c r="G304" s="93" t="s">
        <v>9110</v>
      </c>
      <c r="H304" s="93" t="s">
        <v>118</v>
      </c>
      <c r="I304" s="93" t="s">
        <v>111</v>
      </c>
      <c r="J304" s="93" t="s">
        <v>7105</v>
      </c>
      <c r="K304" s="93" t="s">
        <v>111</v>
      </c>
      <c r="L304" s="93" t="s">
        <v>111</v>
      </c>
      <c r="M304" s="93" t="s">
        <v>111</v>
      </c>
      <c r="N304" s="93" t="s">
        <v>111</v>
      </c>
      <c r="O304" s="93" t="s">
        <v>111</v>
      </c>
      <c r="P304" s="93" t="s">
        <v>111</v>
      </c>
      <c r="Q304" s="93" t="s">
        <v>111</v>
      </c>
      <c r="R304" s="93" t="s">
        <v>1199</v>
      </c>
      <c r="S304" s="93" t="s">
        <v>2</v>
      </c>
      <c r="T304" s="93" t="s">
        <v>394</v>
      </c>
      <c r="U304" s="93" t="s">
        <v>116</v>
      </c>
      <c r="V304" s="94">
        <v>44588.143055555556</v>
      </c>
      <c r="W304" s="93" t="s">
        <v>1170</v>
      </c>
      <c r="X304" s="93" t="s">
        <v>24</v>
      </c>
    </row>
    <row r="305" spans="1:24" hidden="1" x14ac:dyDescent="0.15">
      <c r="A305" s="93" t="s">
        <v>9111</v>
      </c>
      <c r="B305" s="93" t="s">
        <v>1610</v>
      </c>
      <c r="C305" s="410">
        <v>464.67</v>
      </c>
      <c r="D305" s="93" t="s">
        <v>24</v>
      </c>
      <c r="E305" s="93" t="s">
        <v>24</v>
      </c>
      <c r="F305" s="93" t="s">
        <v>7070</v>
      </c>
      <c r="G305" s="93" t="s">
        <v>7168</v>
      </c>
      <c r="H305" s="93" t="s">
        <v>11</v>
      </c>
      <c r="I305" s="93" t="s">
        <v>111</v>
      </c>
      <c r="J305" s="93" t="s">
        <v>387</v>
      </c>
      <c r="K305" s="93">
        <v>60</v>
      </c>
      <c r="L305" s="93">
        <v>1</v>
      </c>
      <c r="M305" s="93">
        <v>1</v>
      </c>
      <c r="N305" s="93" t="s">
        <v>113</v>
      </c>
      <c r="O305" s="93">
        <v>6.5</v>
      </c>
      <c r="P305" s="93">
        <v>10.5</v>
      </c>
      <c r="Q305" s="93">
        <v>27</v>
      </c>
      <c r="R305" s="93" t="s">
        <v>121</v>
      </c>
      <c r="S305" s="93" t="s">
        <v>20</v>
      </c>
      <c r="T305" s="93" t="s">
        <v>115</v>
      </c>
      <c r="U305" s="93" t="s">
        <v>116</v>
      </c>
      <c r="V305" s="94">
        <v>44628.509027777778</v>
      </c>
      <c r="W305" s="93" t="s">
        <v>1170</v>
      </c>
      <c r="X305" s="93" t="s">
        <v>24</v>
      </c>
    </row>
    <row r="306" spans="1:24" hidden="1" x14ac:dyDescent="0.15">
      <c r="A306" s="93" t="s">
        <v>1611</v>
      </c>
      <c r="B306" s="93" t="s">
        <v>1612</v>
      </c>
      <c r="C306" s="410">
        <v>432</v>
      </c>
      <c r="D306" s="93" t="s">
        <v>24</v>
      </c>
      <c r="E306" s="93" t="s">
        <v>24</v>
      </c>
      <c r="F306" s="93" t="s">
        <v>7070</v>
      </c>
      <c r="G306" s="93" t="s">
        <v>7175</v>
      </c>
      <c r="H306" s="93" t="s">
        <v>11</v>
      </c>
      <c r="I306" s="93" t="s">
        <v>111</v>
      </c>
      <c r="J306" s="93" t="s">
        <v>390</v>
      </c>
      <c r="K306" s="93">
        <v>80</v>
      </c>
      <c r="L306" s="93" t="s">
        <v>111</v>
      </c>
      <c r="M306" s="93">
        <v>2.15</v>
      </c>
      <c r="N306" s="93" t="s">
        <v>113</v>
      </c>
      <c r="O306" s="93">
        <v>12</v>
      </c>
      <c r="P306" s="93">
        <v>17</v>
      </c>
      <c r="Q306" s="93">
        <v>29.5</v>
      </c>
      <c r="R306" s="93" t="s">
        <v>411</v>
      </c>
      <c r="S306" s="93" t="s">
        <v>18</v>
      </c>
      <c r="T306" s="93" t="s">
        <v>115</v>
      </c>
      <c r="U306" s="93" t="s">
        <v>116</v>
      </c>
      <c r="V306" s="94">
        <v>44628.580555555556</v>
      </c>
      <c r="W306" s="93" t="s">
        <v>1170</v>
      </c>
      <c r="X306" s="93" t="s">
        <v>9</v>
      </c>
    </row>
    <row r="307" spans="1:24" hidden="1" x14ac:dyDescent="0.15">
      <c r="A307" s="93" t="s">
        <v>1613</v>
      </c>
      <c r="B307" s="93" t="s">
        <v>1614</v>
      </c>
      <c r="C307" s="410">
        <v>318.60000000000002</v>
      </c>
      <c r="D307" s="93" t="s">
        <v>24</v>
      </c>
      <c r="E307" s="93" t="s">
        <v>24</v>
      </c>
      <c r="F307" s="93" t="s">
        <v>7070</v>
      </c>
      <c r="G307" s="93" t="s">
        <v>7175</v>
      </c>
      <c r="H307" s="93" t="s">
        <v>11</v>
      </c>
      <c r="I307" s="93" t="s">
        <v>111</v>
      </c>
      <c r="J307" s="93" t="s">
        <v>390</v>
      </c>
      <c r="K307" s="93">
        <v>80</v>
      </c>
      <c r="L307" s="93" t="s">
        <v>111</v>
      </c>
      <c r="M307" s="93">
        <v>0.27</v>
      </c>
      <c r="N307" s="93" t="s">
        <v>113</v>
      </c>
      <c r="O307" s="93">
        <v>4.8</v>
      </c>
      <c r="P307" s="93">
        <v>17</v>
      </c>
      <c r="Q307" s="93">
        <v>30</v>
      </c>
      <c r="R307" s="93" t="s">
        <v>123</v>
      </c>
      <c r="S307" s="93" t="s">
        <v>18</v>
      </c>
      <c r="T307" s="93" t="s">
        <v>397</v>
      </c>
      <c r="U307" s="93" t="s">
        <v>116</v>
      </c>
      <c r="V307" s="94">
        <v>44628.60833333333</v>
      </c>
      <c r="W307" s="93" t="s">
        <v>1170</v>
      </c>
      <c r="X307" s="93" t="s">
        <v>24</v>
      </c>
    </row>
    <row r="308" spans="1:24" hidden="1" x14ac:dyDescent="0.15">
      <c r="A308" s="93" t="s">
        <v>1615</v>
      </c>
      <c r="B308" s="93" t="s">
        <v>1616</v>
      </c>
      <c r="C308" s="410">
        <v>318.60000000000002</v>
      </c>
      <c r="D308" s="93" t="s">
        <v>24</v>
      </c>
      <c r="E308" s="93" t="s">
        <v>24</v>
      </c>
      <c r="F308" s="93" t="s">
        <v>7070</v>
      </c>
      <c r="G308" s="93" t="s">
        <v>7175</v>
      </c>
      <c r="H308" s="93" t="s">
        <v>11</v>
      </c>
      <c r="I308" s="93" t="s">
        <v>111</v>
      </c>
      <c r="J308" s="93" t="s">
        <v>390</v>
      </c>
      <c r="K308" s="93">
        <v>80</v>
      </c>
      <c r="L308" s="93" t="s">
        <v>111</v>
      </c>
      <c r="M308" s="93">
        <v>0.253</v>
      </c>
      <c r="N308" s="93" t="s">
        <v>113</v>
      </c>
      <c r="O308" s="93">
        <v>4.7</v>
      </c>
      <c r="P308" s="93">
        <v>17</v>
      </c>
      <c r="Q308" s="93">
        <v>29</v>
      </c>
      <c r="R308" s="93" t="s">
        <v>123</v>
      </c>
      <c r="S308" s="93" t="s">
        <v>18</v>
      </c>
      <c r="T308" s="93" t="s">
        <v>397</v>
      </c>
      <c r="U308" s="93" t="s">
        <v>116</v>
      </c>
      <c r="V308" s="94">
        <v>44628.543749999997</v>
      </c>
      <c r="W308" s="93" t="s">
        <v>1170</v>
      </c>
      <c r="X308" s="93" t="s">
        <v>24</v>
      </c>
    </row>
    <row r="309" spans="1:24" hidden="1" x14ac:dyDescent="0.15">
      <c r="A309" s="93" t="s">
        <v>1617</v>
      </c>
      <c r="B309" s="93" t="s">
        <v>1618</v>
      </c>
      <c r="C309" s="410">
        <v>426.6</v>
      </c>
      <c r="D309" s="93" t="s">
        <v>24</v>
      </c>
      <c r="E309" s="93" t="s">
        <v>24</v>
      </c>
      <c r="F309" s="93" t="s">
        <v>7070</v>
      </c>
      <c r="G309" s="93" t="s">
        <v>7175</v>
      </c>
      <c r="H309" s="93" t="s">
        <v>11</v>
      </c>
      <c r="I309" s="93" t="s">
        <v>111</v>
      </c>
      <c r="J309" s="93" t="s">
        <v>390</v>
      </c>
      <c r="K309" s="93">
        <v>80</v>
      </c>
      <c r="L309" s="93" t="s">
        <v>111</v>
      </c>
      <c r="M309" s="93">
        <v>0.26</v>
      </c>
      <c r="N309" s="93" t="s">
        <v>113</v>
      </c>
      <c r="O309" s="93">
        <v>4.7</v>
      </c>
      <c r="P309" s="93">
        <v>17</v>
      </c>
      <c r="Q309" s="93">
        <v>29</v>
      </c>
      <c r="R309" s="93" t="s">
        <v>123</v>
      </c>
      <c r="S309" s="93" t="s">
        <v>18</v>
      </c>
      <c r="T309" s="93" t="s">
        <v>397</v>
      </c>
      <c r="U309" s="93" t="s">
        <v>116</v>
      </c>
      <c r="V309" s="94">
        <v>44628.478472222225</v>
      </c>
      <c r="W309" s="93" t="s">
        <v>1170</v>
      </c>
      <c r="X309" s="93" t="s">
        <v>24</v>
      </c>
    </row>
    <row r="310" spans="1:24" hidden="1" x14ac:dyDescent="0.15">
      <c r="A310" s="93" t="s">
        <v>1619</v>
      </c>
      <c r="B310" s="93" t="s">
        <v>1620</v>
      </c>
      <c r="C310" s="410">
        <v>426.6</v>
      </c>
      <c r="D310" s="93" t="s">
        <v>24</v>
      </c>
      <c r="E310" s="93" t="s">
        <v>24</v>
      </c>
      <c r="F310" s="93" t="s">
        <v>7070</v>
      </c>
      <c r="G310" s="93" t="s">
        <v>7175</v>
      </c>
      <c r="H310" s="93" t="s">
        <v>11</v>
      </c>
      <c r="I310" s="93" t="s">
        <v>111</v>
      </c>
      <c r="J310" s="93" t="s">
        <v>390</v>
      </c>
      <c r="K310" s="93">
        <v>80</v>
      </c>
      <c r="L310" s="93" t="s">
        <v>111</v>
      </c>
      <c r="M310" s="93">
        <v>0.26</v>
      </c>
      <c r="N310" s="93" t="s">
        <v>113</v>
      </c>
      <c r="O310" s="93">
        <v>4.7</v>
      </c>
      <c r="P310" s="93">
        <v>17</v>
      </c>
      <c r="Q310" s="93">
        <v>29</v>
      </c>
      <c r="R310" s="93" t="s">
        <v>123</v>
      </c>
      <c r="S310" s="93" t="s">
        <v>18</v>
      </c>
      <c r="T310" s="93" t="s">
        <v>115</v>
      </c>
      <c r="U310" s="93" t="s">
        <v>116</v>
      </c>
      <c r="V310" s="94">
        <v>44628.556250000001</v>
      </c>
      <c r="W310" s="93" t="s">
        <v>1170</v>
      </c>
      <c r="X310" s="93" t="s">
        <v>24</v>
      </c>
    </row>
    <row r="311" spans="1:24" hidden="1" x14ac:dyDescent="0.15">
      <c r="A311" s="93" t="s">
        <v>1621</v>
      </c>
      <c r="B311" s="93" t="s">
        <v>1622</v>
      </c>
      <c r="C311" s="410">
        <v>1074.5999999999999</v>
      </c>
      <c r="D311" s="93" t="s">
        <v>24</v>
      </c>
      <c r="E311" s="93" t="s">
        <v>24</v>
      </c>
      <c r="F311" s="93" t="s">
        <v>7070</v>
      </c>
      <c r="G311" s="93" t="s">
        <v>7175</v>
      </c>
      <c r="H311" s="93" t="s">
        <v>11</v>
      </c>
      <c r="I311" s="93" t="s">
        <v>111</v>
      </c>
      <c r="J311" s="93" t="s">
        <v>390</v>
      </c>
      <c r="K311" s="93">
        <v>80</v>
      </c>
      <c r="L311" s="93" t="s">
        <v>111</v>
      </c>
      <c r="M311" s="93">
        <v>1.45</v>
      </c>
      <c r="N311" s="93" t="s">
        <v>113</v>
      </c>
      <c r="O311" s="93">
        <v>10</v>
      </c>
      <c r="P311" s="93">
        <v>31</v>
      </c>
      <c r="Q311" s="93">
        <v>33</v>
      </c>
      <c r="R311" s="93" t="s">
        <v>123</v>
      </c>
      <c r="S311" s="93" t="s">
        <v>18</v>
      </c>
      <c r="T311" s="93" t="s">
        <v>1623</v>
      </c>
      <c r="U311" s="93" t="s">
        <v>116</v>
      </c>
      <c r="V311" s="94">
        <v>44628.586805555555</v>
      </c>
      <c r="W311" s="93" t="s">
        <v>1170</v>
      </c>
      <c r="X311" s="93" t="s">
        <v>24</v>
      </c>
    </row>
    <row r="312" spans="1:24" hidden="1" x14ac:dyDescent="0.15">
      <c r="A312" s="93" t="s">
        <v>1624</v>
      </c>
      <c r="B312" s="93" t="s">
        <v>1625</v>
      </c>
      <c r="C312" s="410">
        <v>54</v>
      </c>
      <c r="D312" s="93" t="s">
        <v>24</v>
      </c>
      <c r="E312" s="93" t="s">
        <v>24</v>
      </c>
      <c r="F312" s="93" t="s">
        <v>7070</v>
      </c>
      <c r="G312" s="93" t="s">
        <v>7175</v>
      </c>
      <c r="H312" s="93" t="s">
        <v>11</v>
      </c>
      <c r="I312" s="93" t="s">
        <v>111</v>
      </c>
      <c r="J312" s="93" t="s">
        <v>390</v>
      </c>
      <c r="K312" s="93">
        <v>80</v>
      </c>
      <c r="L312" s="93" t="s">
        <v>111</v>
      </c>
      <c r="M312" s="93">
        <v>7.2999999999999995E-2</v>
      </c>
      <c r="N312" s="93" t="s">
        <v>113</v>
      </c>
      <c r="O312" s="93">
        <v>2.5</v>
      </c>
      <c r="P312" s="93">
        <v>10.5</v>
      </c>
      <c r="Q312" s="93">
        <v>17</v>
      </c>
      <c r="R312" s="93" t="s">
        <v>1548</v>
      </c>
      <c r="S312" s="93" t="s">
        <v>18</v>
      </c>
      <c r="T312" s="93" t="s">
        <v>115</v>
      </c>
      <c r="U312" s="93" t="s">
        <v>116</v>
      </c>
      <c r="V312" s="94">
        <v>44628.543055555558</v>
      </c>
      <c r="W312" s="93" t="s">
        <v>1170</v>
      </c>
      <c r="X312" s="93" t="s">
        <v>24</v>
      </c>
    </row>
    <row r="313" spans="1:24" x14ac:dyDescent="0.15">
      <c r="A313" s="93" t="s">
        <v>1626</v>
      </c>
      <c r="B313" s="93" t="s">
        <v>1627</v>
      </c>
      <c r="C313" s="410">
        <v>125</v>
      </c>
      <c r="D313" s="93" t="s">
        <v>24</v>
      </c>
      <c r="E313" s="93" t="s">
        <v>24</v>
      </c>
      <c r="F313" s="93" t="s">
        <v>7070</v>
      </c>
      <c r="G313" s="93" t="s">
        <v>7108</v>
      </c>
      <c r="H313" s="93" t="s">
        <v>118</v>
      </c>
      <c r="I313" s="93" t="s">
        <v>111</v>
      </c>
      <c r="J313" s="93" t="s">
        <v>7105</v>
      </c>
      <c r="K313" s="93" t="s">
        <v>111</v>
      </c>
      <c r="L313" s="93" t="s">
        <v>111</v>
      </c>
      <c r="M313" s="93" t="s">
        <v>111</v>
      </c>
      <c r="N313" s="93" t="s">
        <v>111</v>
      </c>
      <c r="O313" s="93" t="s">
        <v>111</v>
      </c>
      <c r="P313" s="93" t="s">
        <v>111</v>
      </c>
      <c r="Q313" s="93" t="s">
        <v>111</v>
      </c>
      <c r="R313" s="93" t="s">
        <v>1199</v>
      </c>
      <c r="S313" s="93" t="s">
        <v>2</v>
      </c>
      <c r="T313" s="93" t="s">
        <v>394</v>
      </c>
      <c r="U313" s="93" t="s">
        <v>116</v>
      </c>
      <c r="V313" s="94">
        <v>44596.660416666666</v>
      </c>
      <c r="W313" s="93" t="s">
        <v>1170</v>
      </c>
      <c r="X313" s="93" t="s">
        <v>111</v>
      </c>
    </row>
    <row r="314" spans="1:24" x14ac:dyDescent="0.15">
      <c r="A314" s="93" t="s">
        <v>1629</v>
      </c>
      <c r="B314" s="93" t="s">
        <v>1630</v>
      </c>
      <c r="C314" s="410">
        <v>200</v>
      </c>
      <c r="D314" s="93" t="s">
        <v>24</v>
      </c>
      <c r="E314" s="93" t="s">
        <v>24</v>
      </c>
      <c r="F314" s="93" t="s">
        <v>7070</v>
      </c>
      <c r="G314" s="93" t="s">
        <v>7108</v>
      </c>
      <c r="H314" s="93" t="s">
        <v>118</v>
      </c>
      <c r="I314" s="93" t="s">
        <v>111</v>
      </c>
      <c r="J314" s="93" t="s">
        <v>7105</v>
      </c>
      <c r="K314" s="93" t="s">
        <v>111</v>
      </c>
      <c r="L314" s="93" t="s">
        <v>111</v>
      </c>
      <c r="M314" s="93" t="s">
        <v>111</v>
      </c>
      <c r="N314" s="93" t="s">
        <v>111</v>
      </c>
      <c r="O314" s="93" t="s">
        <v>111</v>
      </c>
      <c r="P314" s="93" t="s">
        <v>111</v>
      </c>
      <c r="Q314" s="93" t="s">
        <v>111</v>
      </c>
      <c r="R314" s="93" t="s">
        <v>1199</v>
      </c>
      <c r="S314" s="93" t="s">
        <v>2</v>
      </c>
      <c r="T314" s="93" t="s">
        <v>394</v>
      </c>
      <c r="U314" s="93" t="s">
        <v>116</v>
      </c>
      <c r="V314" s="94">
        <v>44596.683333333334</v>
      </c>
      <c r="W314" s="93" t="s">
        <v>1170</v>
      </c>
      <c r="X314" s="93" t="s">
        <v>111</v>
      </c>
    </row>
    <row r="315" spans="1:24" x14ac:dyDescent="0.15">
      <c r="A315" s="93" t="s">
        <v>1631</v>
      </c>
      <c r="B315" s="93" t="s">
        <v>1632</v>
      </c>
      <c r="C315" s="410">
        <v>250</v>
      </c>
      <c r="D315" s="93" t="s">
        <v>24</v>
      </c>
      <c r="E315" s="93" t="s">
        <v>24</v>
      </c>
      <c r="F315" s="93" t="s">
        <v>7070</v>
      </c>
      <c r="G315" s="93" t="s">
        <v>7108</v>
      </c>
      <c r="H315" s="93" t="s">
        <v>118</v>
      </c>
      <c r="I315" s="93" t="s">
        <v>111</v>
      </c>
      <c r="J315" s="93" t="s">
        <v>7105</v>
      </c>
      <c r="K315" s="93" t="s">
        <v>111</v>
      </c>
      <c r="L315" s="93" t="s">
        <v>111</v>
      </c>
      <c r="M315" s="93" t="s">
        <v>111</v>
      </c>
      <c r="N315" s="93" t="s">
        <v>111</v>
      </c>
      <c r="O315" s="93" t="s">
        <v>111</v>
      </c>
      <c r="P315" s="93" t="s">
        <v>111</v>
      </c>
      <c r="Q315" s="93" t="s">
        <v>111</v>
      </c>
      <c r="R315" s="93" t="s">
        <v>1199</v>
      </c>
      <c r="S315" s="93" t="s">
        <v>2</v>
      </c>
      <c r="T315" s="93" t="s">
        <v>394</v>
      </c>
      <c r="U315" s="93" t="s">
        <v>116</v>
      </c>
      <c r="V315" s="94">
        <v>44596.695138888892</v>
      </c>
      <c r="W315" s="93" t="s">
        <v>1170</v>
      </c>
      <c r="X315" s="93" t="s">
        <v>111</v>
      </c>
    </row>
    <row r="316" spans="1:24" x14ac:dyDescent="0.15">
      <c r="A316" s="93" t="s">
        <v>1633</v>
      </c>
      <c r="B316" s="93" t="s">
        <v>1634</v>
      </c>
      <c r="C316" s="410">
        <v>300</v>
      </c>
      <c r="D316" s="93" t="s">
        <v>24</v>
      </c>
      <c r="E316" s="93" t="s">
        <v>24</v>
      </c>
      <c r="F316" s="93" t="s">
        <v>7070</v>
      </c>
      <c r="G316" s="93" t="s">
        <v>7108</v>
      </c>
      <c r="H316" s="93" t="s">
        <v>118</v>
      </c>
      <c r="I316" s="93" t="s">
        <v>111</v>
      </c>
      <c r="J316" s="93" t="s">
        <v>7105</v>
      </c>
      <c r="K316" s="93" t="s">
        <v>111</v>
      </c>
      <c r="L316" s="93" t="s">
        <v>111</v>
      </c>
      <c r="M316" s="93" t="s">
        <v>111</v>
      </c>
      <c r="N316" s="93" t="s">
        <v>111</v>
      </c>
      <c r="O316" s="93" t="s">
        <v>111</v>
      </c>
      <c r="P316" s="93" t="s">
        <v>111</v>
      </c>
      <c r="Q316" s="93" t="s">
        <v>111</v>
      </c>
      <c r="R316" s="93" t="s">
        <v>1199</v>
      </c>
      <c r="S316" s="93" t="s">
        <v>2</v>
      </c>
      <c r="T316" s="93" t="s">
        <v>394</v>
      </c>
      <c r="U316" s="93" t="s">
        <v>116</v>
      </c>
      <c r="V316" s="94">
        <v>44596.651388888888</v>
      </c>
      <c r="W316" s="93" t="s">
        <v>1170</v>
      </c>
      <c r="X316" s="93" t="s">
        <v>111</v>
      </c>
    </row>
    <row r="317" spans="1:24" hidden="1" x14ac:dyDescent="0.15">
      <c r="A317" s="93" t="s">
        <v>1635</v>
      </c>
      <c r="B317" s="93" t="s">
        <v>1636</v>
      </c>
      <c r="C317" s="410">
        <v>995</v>
      </c>
      <c r="D317" s="93" t="s">
        <v>9</v>
      </c>
      <c r="E317" s="93" t="s">
        <v>9</v>
      </c>
      <c r="F317" s="93" t="s">
        <v>7070</v>
      </c>
      <c r="G317" s="93" t="s">
        <v>9110</v>
      </c>
      <c r="H317" s="93" t="s">
        <v>118</v>
      </c>
      <c r="I317" s="93" t="s">
        <v>111</v>
      </c>
      <c r="J317" s="93" t="s">
        <v>118</v>
      </c>
      <c r="K317" s="93">
        <v>3</v>
      </c>
      <c r="L317" s="93" t="s">
        <v>111</v>
      </c>
      <c r="M317" s="93" t="s">
        <v>111</v>
      </c>
      <c r="N317" s="93" t="s">
        <v>111</v>
      </c>
      <c r="O317" s="93" t="s">
        <v>111</v>
      </c>
      <c r="P317" s="93" t="s">
        <v>111</v>
      </c>
      <c r="Q317" s="93" t="s">
        <v>111</v>
      </c>
      <c r="R317" s="93" t="s">
        <v>123</v>
      </c>
      <c r="S317" s="93" t="s">
        <v>2</v>
      </c>
      <c r="T317" s="93" t="s">
        <v>394</v>
      </c>
      <c r="U317" s="93" t="s">
        <v>116</v>
      </c>
      <c r="V317" s="94">
        <v>44588.144444444442</v>
      </c>
      <c r="W317" s="93" t="s">
        <v>1170</v>
      </c>
      <c r="X317" s="93" t="s">
        <v>24</v>
      </c>
    </row>
    <row r="318" spans="1:24" hidden="1" x14ac:dyDescent="0.15">
      <c r="A318" s="93" t="s">
        <v>1638</v>
      </c>
      <c r="B318" s="93" t="s">
        <v>1639</v>
      </c>
      <c r="C318" s="410">
        <v>250</v>
      </c>
      <c r="D318" s="93" t="s">
        <v>9</v>
      </c>
      <c r="E318" s="93" t="s">
        <v>9</v>
      </c>
      <c r="F318" s="93" t="s">
        <v>7070</v>
      </c>
      <c r="G318" s="93" t="s">
        <v>9110</v>
      </c>
      <c r="H318" s="93" t="s">
        <v>118</v>
      </c>
      <c r="I318" s="93" t="s">
        <v>111</v>
      </c>
      <c r="J318" s="93" t="s">
        <v>118</v>
      </c>
      <c r="K318" s="93">
        <v>3</v>
      </c>
      <c r="L318" s="93" t="s">
        <v>111</v>
      </c>
      <c r="M318" s="93" t="s">
        <v>111</v>
      </c>
      <c r="N318" s="93" t="s">
        <v>111</v>
      </c>
      <c r="O318" s="93" t="s">
        <v>111</v>
      </c>
      <c r="P318" s="93" t="s">
        <v>111</v>
      </c>
      <c r="Q318" s="93" t="s">
        <v>111</v>
      </c>
      <c r="R318" s="93" t="s">
        <v>228</v>
      </c>
      <c r="S318" s="93" t="s">
        <v>2</v>
      </c>
      <c r="T318" s="93" t="s">
        <v>115</v>
      </c>
      <c r="U318" s="93" t="s">
        <v>116</v>
      </c>
      <c r="V318" s="94">
        <v>44588.144444444442</v>
      </c>
      <c r="W318" s="93" t="s">
        <v>1170</v>
      </c>
      <c r="X318" s="93" t="s">
        <v>24</v>
      </c>
    </row>
    <row r="319" spans="1:24" hidden="1" x14ac:dyDescent="0.15">
      <c r="A319" s="93" t="s">
        <v>1640</v>
      </c>
      <c r="B319" s="93" t="s">
        <v>1641</v>
      </c>
      <c r="C319" s="410">
        <v>21550</v>
      </c>
      <c r="D319" s="93" t="s">
        <v>24</v>
      </c>
      <c r="E319" s="93" t="s">
        <v>24</v>
      </c>
      <c r="F319" s="93" t="s">
        <v>7070</v>
      </c>
      <c r="G319" s="93" t="s">
        <v>9084</v>
      </c>
      <c r="H319" s="93" t="s">
        <v>11</v>
      </c>
      <c r="I319" s="93" t="s">
        <v>111</v>
      </c>
      <c r="J319" s="93" t="s">
        <v>1642</v>
      </c>
      <c r="K319" s="93">
        <v>120</v>
      </c>
      <c r="L319" s="93" t="s">
        <v>111</v>
      </c>
      <c r="M319" s="93">
        <v>27.21</v>
      </c>
      <c r="N319" s="93" t="s">
        <v>113</v>
      </c>
      <c r="O319" s="93">
        <v>30.5</v>
      </c>
      <c r="P319" s="93">
        <v>61</v>
      </c>
      <c r="Q319" s="93">
        <v>39.200000000000003</v>
      </c>
      <c r="R319" s="93" t="s">
        <v>1643</v>
      </c>
      <c r="S319" s="93" t="s">
        <v>2</v>
      </c>
      <c r="T319" s="93" t="s">
        <v>115</v>
      </c>
      <c r="U319" s="93" t="s">
        <v>116</v>
      </c>
      <c r="V319" s="94">
        <v>44628.51666666667</v>
      </c>
      <c r="W319" s="93" t="s">
        <v>1170</v>
      </c>
      <c r="X319" s="93" t="s">
        <v>24</v>
      </c>
    </row>
    <row r="320" spans="1:24" hidden="1" x14ac:dyDescent="0.15">
      <c r="A320" s="93" t="s">
        <v>1644</v>
      </c>
      <c r="B320" s="93" t="s">
        <v>1645</v>
      </c>
      <c r="C320" s="410">
        <v>43194.6</v>
      </c>
      <c r="D320" s="93" t="s">
        <v>24</v>
      </c>
      <c r="E320" s="93" t="s">
        <v>24</v>
      </c>
      <c r="F320" s="93" t="s">
        <v>7070</v>
      </c>
      <c r="G320" s="93" t="s">
        <v>9084</v>
      </c>
      <c r="H320" s="93" t="s">
        <v>11</v>
      </c>
      <c r="I320" s="93" t="s">
        <v>393</v>
      </c>
      <c r="J320" s="93" t="s">
        <v>1642</v>
      </c>
      <c r="K320" s="93">
        <v>120</v>
      </c>
      <c r="L320" s="93">
        <v>1</v>
      </c>
      <c r="M320" s="93">
        <v>27.21</v>
      </c>
      <c r="N320" s="93" t="s">
        <v>113</v>
      </c>
      <c r="O320" s="93">
        <v>30.5</v>
      </c>
      <c r="P320" s="93">
        <v>61</v>
      </c>
      <c r="Q320" s="93">
        <v>39.200000000000003</v>
      </c>
      <c r="R320" s="93" t="s">
        <v>1643</v>
      </c>
      <c r="S320" s="93" t="s">
        <v>111</v>
      </c>
      <c r="T320" s="93" t="s">
        <v>115</v>
      </c>
      <c r="U320" s="93" t="s">
        <v>116</v>
      </c>
      <c r="V320" s="94">
        <v>44628.53402777778</v>
      </c>
      <c r="W320" s="93" t="s">
        <v>1170</v>
      </c>
      <c r="X320" s="93" t="s">
        <v>24</v>
      </c>
    </row>
    <row r="321" spans="1:24" hidden="1" x14ac:dyDescent="0.15">
      <c r="A321" s="93" t="s">
        <v>1646</v>
      </c>
      <c r="B321" s="93" t="s">
        <v>1647</v>
      </c>
      <c r="C321" s="410">
        <v>2700</v>
      </c>
      <c r="D321" s="93" t="s">
        <v>24</v>
      </c>
      <c r="E321" s="93" t="s">
        <v>9</v>
      </c>
      <c r="F321" s="93" t="s">
        <v>1648</v>
      </c>
      <c r="G321" s="93" t="s">
        <v>9112</v>
      </c>
      <c r="H321" s="93" t="s">
        <v>118</v>
      </c>
      <c r="I321" s="93" t="s">
        <v>111</v>
      </c>
      <c r="J321" s="93" t="s">
        <v>7105</v>
      </c>
      <c r="K321" s="93" t="s">
        <v>111</v>
      </c>
      <c r="L321" s="93" t="s">
        <v>111</v>
      </c>
      <c r="M321" s="93" t="s">
        <v>111</v>
      </c>
      <c r="N321" s="93" t="s">
        <v>111</v>
      </c>
      <c r="O321" s="93" t="s">
        <v>111</v>
      </c>
      <c r="P321" s="93" t="s">
        <v>111</v>
      </c>
      <c r="Q321" s="93" t="s">
        <v>111</v>
      </c>
      <c r="R321" s="93" t="s">
        <v>117</v>
      </c>
      <c r="S321" s="93" t="s">
        <v>659</v>
      </c>
      <c r="T321" s="93" t="s">
        <v>115</v>
      </c>
      <c r="U321" s="93" t="s">
        <v>116</v>
      </c>
      <c r="V321" s="94">
        <v>44588.21597222222</v>
      </c>
      <c r="W321" s="93" t="s">
        <v>1170</v>
      </c>
      <c r="X321" s="93" t="s">
        <v>24</v>
      </c>
    </row>
    <row r="322" spans="1:24" hidden="1" x14ac:dyDescent="0.15">
      <c r="A322" s="93" t="s">
        <v>1649</v>
      </c>
      <c r="B322" s="93" t="s">
        <v>1650</v>
      </c>
      <c r="C322" s="410">
        <v>500</v>
      </c>
      <c r="D322" s="93" t="s">
        <v>24</v>
      </c>
      <c r="E322" s="93" t="s">
        <v>9</v>
      </c>
      <c r="F322" s="93" t="s">
        <v>1648</v>
      </c>
      <c r="G322" s="93" t="s">
        <v>9112</v>
      </c>
      <c r="H322" s="93" t="s">
        <v>118</v>
      </c>
      <c r="I322" s="93" t="s">
        <v>111</v>
      </c>
      <c r="J322" s="93" t="s">
        <v>7105</v>
      </c>
      <c r="K322" s="93" t="s">
        <v>111</v>
      </c>
      <c r="L322" s="93" t="s">
        <v>111</v>
      </c>
      <c r="M322" s="93" t="s">
        <v>111</v>
      </c>
      <c r="N322" s="93" t="s">
        <v>111</v>
      </c>
      <c r="O322" s="93" t="s">
        <v>111</v>
      </c>
      <c r="P322" s="93" t="s">
        <v>111</v>
      </c>
      <c r="Q322" s="93" t="s">
        <v>111</v>
      </c>
      <c r="R322" s="93" t="s">
        <v>117</v>
      </c>
      <c r="S322" s="93" t="s">
        <v>659</v>
      </c>
      <c r="T322" s="93" t="s">
        <v>115</v>
      </c>
      <c r="U322" s="93" t="s">
        <v>116</v>
      </c>
      <c r="V322" s="94">
        <v>44588.21597222222</v>
      </c>
      <c r="W322" s="93" t="s">
        <v>1555</v>
      </c>
      <c r="X322" s="93" t="s">
        <v>24</v>
      </c>
    </row>
    <row r="323" spans="1:24" hidden="1" x14ac:dyDescent="0.15">
      <c r="A323" s="93" t="s">
        <v>1651</v>
      </c>
      <c r="B323" s="93" t="s">
        <v>1652</v>
      </c>
      <c r="C323" s="410">
        <v>1600</v>
      </c>
      <c r="D323" s="93" t="s">
        <v>24</v>
      </c>
      <c r="E323" s="93" t="s">
        <v>9</v>
      </c>
      <c r="F323" s="93" t="s">
        <v>1648</v>
      </c>
      <c r="G323" s="93" t="s">
        <v>9112</v>
      </c>
      <c r="H323" s="93" t="s">
        <v>118</v>
      </c>
      <c r="I323" s="93" t="s">
        <v>111</v>
      </c>
      <c r="J323" s="93" t="s">
        <v>118</v>
      </c>
      <c r="K323" s="93">
        <v>3</v>
      </c>
      <c r="L323" s="93" t="s">
        <v>111</v>
      </c>
      <c r="M323" s="93" t="s">
        <v>111</v>
      </c>
      <c r="N323" s="93" t="s">
        <v>111</v>
      </c>
      <c r="O323" s="93" t="s">
        <v>111</v>
      </c>
      <c r="P323" s="93" t="s">
        <v>111</v>
      </c>
      <c r="Q323" s="93" t="s">
        <v>111</v>
      </c>
      <c r="R323" s="93" t="s">
        <v>117</v>
      </c>
      <c r="S323" s="93" t="s">
        <v>659</v>
      </c>
      <c r="T323" s="93" t="s">
        <v>115</v>
      </c>
      <c r="U323" s="93" t="s">
        <v>116</v>
      </c>
      <c r="V323" s="94">
        <v>44594.344444444447</v>
      </c>
      <c r="W323" s="93" t="s">
        <v>1555</v>
      </c>
      <c r="X323" s="93" t="s">
        <v>24</v>
      </c>
    </row>
    <row r="324" spans="1:24" hidden="1" x14ac:dyDescent="0.15">
      <c r="A324" s="93" t="s">
        <v>1653</v>
      </c>
      <c r="B324" s="93" t="s">
        <v>1654</v>
      </c>
      <c r="C324" s="410">
        <v>775</v>
      </c>
      <c r="D324" s="93" t="s">
        <v>24</v>
      </c>
      <c r="E324" s="93" t="s">
        <v>9</v>
      </c>
      <c r="F324" s="93" t="s">
        <v>1648</v>
      </c>
      <c r="G324" s="93" t="s">
        <v>9112</v>
      </c>
      <c r="H324" s="93" t="s">
        <v>118</v>
      </c>
      <c r="I324" s="93" t="s">
        <v>111</v>
      </c>
      <c r="J324" s="93" t="s">
        <v>7105</v>
      </c>
      <c r="K324" s="93" t="s">
        <v>111</v>
      </c>
      <c r="L324" s="93" t="s">
        <v>111</v>
      </c>
      <c r="M324" s="93" t="s">
        <v>111</v>
      </c>
      <c r="N324" s="93" t="s">
        <v>111</v>
      </c>
      <c r="O324" s="93" t="s">
        <v>111</v>
      </c>
      <c r="P324" s="93" t="s">
        <v>111</v>
      </c>
      <c r="Q324" s="93" t="s">
        <v>111</v>
      </c>
      <c r="R324" s="93" t="s">
        <v>117</v>
      </c>
      <c r="S324" s="93" t="s">
        <v>659</v>
      </c>
      <c r="T324" s="93" t="s">
        <v>115</v>
      </c>
      <c r="U324" s="93" t="s">
        <v>116</v>
      </c>
      <c r="V324" s="94">
        <v>44588.245833333334</v>
      </c>
      <c r="W324" s="93" t="s">
        <v>1555</v>
      </c>
      <c r="X324" s="93" t="s">
        <v>24</v>
      </c>
    </row>
    <row r="325" spans="1:24" hidden="1" x14ac:dyDescent="0.15">
      <c r="A325" s="93" t="s">
        <v>1655</v>
      </c>
      <c r="B325" s="93" t="s">
        <v>1656</v>
      </c>
      <c r="C325" s="410">
        <v>500</v>
      </c>
      <c r="D325" s="93" t="s">
        <v>24</v>
      </c>
      <c r="E325" s="93" t="s">
        <v>9</v>
      </c>
      <c r="F325" s="93" t="s">
        <v>1648</v>
      </c>
      <c r="G325" s="93" t="s">
        <v>9112</v>
      </c>
      <c r="H325" s="93" t="s">
        <v>118</v>
      </c>
      <c r="I325" s="93" t="s">
        <v>111</v>
      </c>
      <c r="J325" s="93" t="s">
        <v>118</v>
      </c>
      <c r="K325" s="93">
        <v>3</v>
      </c>
      <c r="L325" s="93" t="s">
        <v>111</v>
      </c>
      <c r="M325" s="93" t="s">
        <v>111</v>
      </c>
      <c r="N325" s="93" t="s">
        <v>111</v>
      </c>
      <c r="O325" s="93" t="s">
        <v>111</v>
      </c>
      <c r="P325" s="93" t="s">
        <v>111</v>
      </c>
      <c r="Q325" s="93" t="s">
        <v>111</v>
      </c>
      <c r="R325" s="93" t="s">
        <v>228</v>
      </c>
      <c r="S325" s="93" t="s">
        <v>659</v>
      </c>
      <c r="T325" s="93" t="s">
        <v>111</v>
      </c>
      <c r="U325" s="93" t="s">
        <v>116</v>
      </c>
      <c r="V325" s="94">
        <v>44600.13958333333</v>
      </c>
      <c r="W325" s="93" t="s">
        <v>1170</v>
      </c>
      <c r="X325" s="93" t="s">
        <v>24</v>
      </c>
    </row>
    <row r="326" spans="1:24" hidden="1" x14ac:dyDescent="0.15">
      <c r="A326" s="93" t="s">
        <v>9113</v>
      </c>
      <c r="B326" s="93" t="s">
        <v>9114</v>
      </c>
      <c r="C326" s="410">
        <v>625</v>
      </c>
      <c r="D326" s="93" t="s">
        <v>24</v>
      </c>
      <c r="E326" s="93" t="s">
        <v>9</v>
      </c>
      <c r="F326" s="93" t="s">
        <v>1648</v>
      </c>
      <c r="G326" s="93" t="s">
        <v>9112</v>
      </c>
      <c r="H326" s="93" t="s">
        <v>118</v>
      </c>
      <c r="I326" s="93" t="s">
        <v>111</v>
      </c>
      <c r="J326" s="93" t="s">
        <v>118</v>
      </c>
      <c r="K326" s="93">
        <v>3</v>
      </c>
      <c r="L326" s="93" t="s">
        <v>111</v>
      </c>
      <c r="M326" s="93" t="s">
        <v>111</v>
      </c>
      <c r="N326" s="93" t="s">
        <v>111</v>
      </c>
      <c r="O326" s="93" t="s">
        <v>111</v>
      </c>
      <c r="P326" s="93" t="s">
        <v>111</v>
      </c>
      <c r="Q326" s="93" t="s">
        <v>111</v>
      </c>
      <c r="R326" s="93" t="s">
        <v>228</v>
      </c>
      <c r="S326" s="93" t="s">
        <v>2</v>
      </c>
      <c r="T326" s="93" t="s">
        <v>115</v>
      </c>
      <c r="U326" s="93" t="s">
        <v>116</v>
      </c>
      <c r="V326" s="94">
        <v>44600.13958333333</v>
      </c>
      <c r="W326" s="93" t="s">
        <v>1170</v>
      </c>
      <c r="X326" s="93" t="s">
        <v>24</v>
      </c>
    </row>
    <row r="327" spans="1:24" hidden="1" x14ac:dyDescent="0.15">
      <c r="A327" s="93" t="s">
        <v>9115</v>
      </c>
      <c r="B327" s="93" t="s">
        <v>9116</v>
      </c>
      <c r="C327" s="410">
        <v>750</v>
      </c>
      <c r="D327" s="93" t="s">
        <v>24</v>
      </c>
      <c r="E327" s="93" t="s">
        <v>9</v>
      </c>
      <c r="F327" s="93" t="s">
        <v>1648</v>
      </c>
      <c r="G327" s="93" t="s">
        <v>9112</v>
      </c>
      <c r="H327" s="93" t="s">
        <v>118</v>
      </c>
      <c r="I327" s="93" t="s">
        <v>111</v>
      </c>
      <c r="J327" s="93" t="s">
        <v>118</v>
      </c>
      <c r="K327" s="93">
        <v>3</v>
      </c>
      <c r="L327" s="93" t="s">
        <v>111</v>
      </c>
      <c r="M327" s="93" t="s">
        <v>111</v>
      </c>
      <c r="N327" s="93" t="s">
        <v>111</v>
      </c>
      <c r="O327" s="93" t="s">
        <v>111</v>
      </c>
      <c r="P327" s="93" t="s">
        <v>111</v>
      </c>
      <c r="Q327" s="93" t="s">
        <v>111</v>
      </c>
      <c r="R327" s="93" t="s">
        <v>228</v>
      </c>
      <c r="S327" s="93" t="s">
        <v>2</v>
      </c>
      <c r="T327" s="93" t="s">
        <v>115</v>
      </c>
      <c r="U327" s="93" t="s">
        <v>116</v>
      </c>
      <c r="V327" s="94">
        <v>44600.143750000003</v>
      </c>
      <c r="W327" s="93" t="s">
        <v>1170</v>
      </c>
      <c r="X327" s="93" t="s">
        <v>24</v>
      </c>
    </row>
    <row r="328" spans="1:24" hidden="1" x14ac:dyDescent="0.15">
      <c r="A328" s="93" t="s">
        <v>1657</v>
      </c>
      <c r="B328" s="93" t="s">
        <v>1658</v>
      </c>
      <c r="C328" s="410">
        <v>28.35</v>
      </c>
      <c r="D328" s="93" t="s">
        <v>24</v>
      </c>
      <c r="E328" s="93" t="s">
        <v>24</v>
      </c>
      <c r="F328" s="93" t="s">
        <v>7070</v>
      </c>
      <c r="G328" s="93" t="s">
        <v>8237</v>
      </c>
      <c r="H328" s="93" t="s">
        <v>11</v>
      </c>
      <c r="I328" s="93" t="s">
        <v>111</v>
      </c>
      <c r="J328" s="93" t="s">
        <v>963</v>
      </c>
      <c r="K328" s="93">
        <v>60</v>
      </c>
      <c r="L328" s="93" t="s">
        <v>111</v>
      </c>
      <c r="M328" s="93">
        <v>0.2</v>
      </c>
      <c r="N328" s="93" t="s">
        <v>113</v>
      </c>
      <c r="O328" s="93">
        <v>8</v>
      </c>
      <c r="P328" s="93">
        <v>30</v>
      </c>
      <c r="Q328" s="93">
        <v>30</v>
      </c>
      <c r="R328" s="93" t="s">
        <v>114</v>
      </c>
      <c r="S328" s="93" t="s">
        <v>659</v>
      </c>
      <c r="T328" s="93" t="s">
        <v>115</v>
      </c>
      <c r="U328" s="93" t="s">
        <v>116</v>
      </c>
      <c r="V328" s="94">
        <v>44628.637499999997</v>
      </c>
      <c r="W328" s="93" t="s">
        <v>1170</v>
      </c>
      <c r="X328" s="93" t="s">
        <v>24</v>
      </c>
    </row>
    <row r="329" spans="1:24" hidden="1" x14ac:dyDescent="0.15">
      <c r="A329" s="93" t="s">
        <v>1660</v>
      </c>
      <c r="B329" s="93" t="s">
        <v>1661</v>
      </c>
      <c r="C329" s="410">
        <v>139.65</v>
      </c>
      <c r="D329" s="93" t="s">
        <v>24</v>
      </c>
      <c r="E329" s="93" t="s">
        <v>24</v>
      </c>
      <c r="F329" s="93" t="s">
        <v>7070</v>
      </c>
      <c r="G329" s="93" t="s">
        <v>8237</v>
      </c>
      <c r="H329" s="93" t="s">
        <v>11</v>
      </c>
      <c r="I329" s="93" t="s">
        <v>111</v>
      </c>
      <c r="J329" s="93" t="s">
        <v>963</v>
      </c>
      <c r="K329" s="93">
        <v>60</v>
      </c>
      <c r="L329" s="93" t="s">
        <v>111</v>
      </c>
      <c r="M329" s="93">
        <v>0.5</v>
      </c>
      <c r="N329" s="93" t="s">
        <v>113</v>
      </c>
      <c r="O329" s="93">
        <v>5</v>
      </c>
      <c r="P329" s="93">
        <v>25</v>
      </c>
      <c r="Q329" s="93">
        <v>25</v>
      </c>
      <c r="R329" s="93" t="s">
        <v>114</v>
      </c>
      <c r="S329" s="93" t="s">
        <v>659</v>
      </c>
      <c r="T329" s="93" t="s">
        <v>115</v>
      </c>
      <c r="U329" s="93" t="s">
        <v>116</v>
      </c>
      <c r="V329" s="94">
        <v>44628.580555555556</v>
      </c>
      <c r="W329" s="93" t="s">
        <v>1170</v>
      </c>
      <c r="X329" s="93" t="s">
        <v>24</v>
      </c>
    </row>
    <row r="330" spans="1:24" hidden="1" x14ac:dyDescent="0.15">
      <c r="A330" s="93" t="s">
        <v>1662</v>
      </c>
      <c r="B330" s="93" t="s">
        <v>1663</v>
      </c>
      <c r="C330" s="410">
        <v>70.349999999999994</v>
      </c>
      <c r="D330" s="93" t="s">
        <v>24</v>
      </c>
      <c r="E330" s="93" t="s">
        <v>24</v>
      </c>
      <c r="F330" s="93" t="s">
        <v>7070</v>
      </c>
      <c r="G330" s="93" t="s">
        <v>8237</v>
      </c>
      <c r="H330" s="93" t="s">
        <v>11</v>
      </c>
      <c r="I330" s="93" t="s">
        <v>111</v>
      </c>
      <c r="J330" s="93" t="s">
        <v>963</v>
      </c>
      <c r="K330" s="93">
        <v>60</v>
      </c>
      <c r="L330" s="93" t="s">
        <v>111</v>
      </c>
      <c r="M330" s="93">
        <v>0.2</v>
      </c>
      <c r="N330" s="93" t="s">
        <v>113</v>
      </c>
      <c r="O330" s="93">
        <v>8</v>
      </c>
      <c r="P330" s="93">
        <v>30</v>
      </c>
      <c r="Q330" s="93">
        <v>30</v>
      </c>
      <c r="R330" s="93" t="s">
        <v>114</v>
      </c>
      <c r="S330" s="93" t="s">
        <v>659</v>
      </c>
      <c r="T330" s="93" t="s">
        <v>115</v>
      </c>
      <c r="U330" s="93" t="s">
        <v>116</v>
      </c>
      <c r="V330" s="94">
        <v>44628.559027777781</v>
      </c>
      <c r="W330" s="93" t="s">
        <v>1170</v>
      </c>
      <c r="X330" s="93" t="s">
        <v>24</v>
      </c>
    </row>
    <row r="331" spans="1:24" hidden="1" x14ac:dyDescent="0.15">
      <c r="A331" s="93" t="s">
        <v>1664</v>
      </c>
      <c r="B331" s="93" t="s">
        <v>1665</v>
      </c>
      <c r="C331" s="410">
        <v>2940</v>
      </c>
      <c r="D331" s="93" t="s">
        <v>9</v>
      </c>
      <c r="E331" s="93" t="s">
        <v>9</v>
      </c>
      <c r="F331" s="93" t="s">
        <v>1648</v>
      </c>
      <c r="G331" s="93" t="s">
        <v>9117</v>
      </c>
      <c r="H331" s="93" t="s">
        <v>1666</v>
      </c>
      <c r="I331" s="93" t="s">
        <v>111</v>
      </c>
      <c r="J331" s="93" t="s">
        <v>963</v>
      </c>
      <c r="K331" s="93">
        <v>60</v>
      </c>
      <c r="L331" s="93" t="s">
        <v>111</v>
      </c>
      <c r="M331" s="93">
        <v>3.7</v>
      </c>
      <c r="N331" s="93" t="s">
        <v>113</v>
      </c>
      <c r="O331" s="93">
        <v>30</v>
      </c>
      <c r="P331" s="93">
        <v>56</v>
      </c>
      <c r="Q331" s="93">
        <v>12</v>
      </c>
      <c r="R331" s="93" t="s">
        <v>123</v>
      </c>
      <c r="S331" s="93" t="s">
        <v>659</v>
      </c>
      <c r="T331" s="93" t="s">
        <v>1659</v>
      </c>
      <c r="U331" s="93" t="s">
        <v>116</v>
      </c>
      <c r="V331" s="94">
        <v>44628.563888888886</v>
      </c>
      <c r="W331" s="93" t="s">
        <v>1170</v>
      </c>
      <c r="X331" s="93" t="s">
        <v>9</v>
      </c>
    </row>
    <row r="332" spans="1:24" hidden="1" x14ac:dyDescent="0.15">
      <c r="A332" s="93" t="s">
        <v>1667</v>
      </c>
      <c r="B332" s="93" t="s">
        <v>1668</v>
      </c>
      <c r="C332" s="410">
        <v>3780</v>
      </c>
      <c r="D332" s="93" t="s">
        <v>9</v>
      </c>
      <c r="E332" s="93" t="s">
        <v>9</v>
      </c>
      <c r="F332" s="93" t="s">
        <v>1648</v>
      </c>
      <c r="G332" s="93" t="s">
        <v>9117</v>
      </c>
      <c r="H332" s="93" t="s">
        <v>1666</v>
      </c>
      <c r="I332" s="93" t="s">
        <v>111</v>
      </c>
      <c r="J332" s="93" t="s">
        <v>963</v>
      </c>
      <c r="K332" s="93">
        <v>60</v>
      </c>
      <c r="L332" s="93" t="s">
        <v>111</v>
      </c>
      <c r="M332" s="93">
        <v>3.6</v>
      </c>
      <c r="N332" s="93" t="s">
        <v>113</v>
      </c>
      <c r="O332" s="93">
        <v>13</v>
      </c>
      <c r="P332" s="93">
        <v>27</v>
      </c>
      <c r="Q332" s="93">
        <v>57</v>
      </c>
      <c r="R332" s="93" t="s">
        <v>123</v>
      </c>
      <c r="S332" s="93" t="s">
        <v>111</v>
      </c>
      <c r="T332" s="93" t="s">
        <v>1659</v>
      </c>
      <c r="U332" s="93" t="s">
        <v>116</v>
      </c>
      <c r="V332" s="94">
        <v>44628.585416666669</v>
      </c>
      <c r="W332" s="93" t="s">
        <v>1170</v>
      </c>
      <c r="X332" s="93" t="s">
        <v>9</v>
      </c>
    </row>
    <row r="333" spans="1:24" hidden="1" x14ac:dyDescent="0.15">
      <c r="A333" s="93" t="s">
        <v>1669</v>
      </c>
      <c r="B333" s="93" t="s">
        <v>1670</v>
      </c>
      <c r="C333" s="410">
        <v>3780</v>
      </c>
      <c r="D333" s="93" t="s">
        <v>9</v>
      </c>
      <c r="E333" s="93" t="s">
        <v>9</v>
      </c>
      <c r="F333" s="93" t="s">
        <v>1648</v>
      </c>
      <c r="G333" s="93" t="s">
        <v>9117</v>
      </c>
      <c r="H333" s="93" t="s">
        <v>1666</v>
      </c>
      <c r="I333" s="93" t="s">
        <v>111</v>
      </c>
      <c r="J333" s="93" t="s">
        <v>963</v>
      </c>
      <c r="K333" s="93">
        <v>60</v>
      </c>
      <c r="L333" s="93" t="s">
        <v>111</v>
      </c>
      <c r="M333" s="93">
        <v>3.7</v>
      </c>
      <c r="N333" s="93" t="s">
        <v>113</v>
      </c>
      <c r="O333" s="93">
        <v>30</v>
      </c>
      <c r="P333" s="93">
        <v>56</v>
      </c>
      <c r="Q333" s="93">
        <v>12</v>
      </c>
      <c r="R333" s="93" t="s">
        <v>123</v>
      </c>
      <c r="S333" s="93" t="s">
        <v>659</v>
      </c>
      <c r="T333" s="93" t="s">
        <v>1659</v>
      </c>
      <c r="U333" s="93" t="s">
        <v>116</v>
      </c>
      <c r="V333" s="94">
        <v>44628.585416666669</v>
      </c>
      <c r="W333" s="93" t="s">
        <v>1170</v>
      </c>
      <c r="X333" s="93" t="s">
        <v>9</v>
      </c>
    </row>
    <row r="334" spans="1:24" hidden="1" x14ac:dyDescent="0.15">
      <c r="A334" s="93" t="s">
        <v>1671</v>
      </c>
      <c r="B334" s="93" t="s">
        <v>1672</v>
      </c>
      <c r="C334" s="410">
        <v>4620</v>
      </c>
      <c r="D334" s="93" t="s">
        <v>9</v>
      </c>
      <c r="E334" s="93" t="s">
        <v>9</v>
      </c>
      <c r="F334" s="93" t="s">
        <v>1648</v>
      </c>
      <c r="G334" s="93" t="s">
        <v>9117</v>
      </c>
      <c r="H334" s="93" t="s">
        <v>1666</v>
      </c>
      <c r="I334" s="93" t="s">
        <v>111</v>
      </c>
      <c r="J334" s="93" t="s">
        <v>963</v>
      </c>
      <c r="K334" s="93">
        <v>60</v>
      </c>
      <c r="L334" s="93" t="s">
        <v>111</v>
      </c>
      <c r="M334" s="93">
        <v>8.14</v>
      </c>
      <c r="N334" s="93" t="s">
        <v>113</v>
      </c>
      <c r="O334" s="93">
        <v>12</v>
      </c>
      <c r="P334" s="93">
        <v>30</v>
      </c>
      <c r="Q334" s="93">
        <v>56</v>
      </c>
      <c r="R334" s="93" t="s">
        <v>123</v>
      </c>
      <c r="S334" s="93" t="s">
        <v>659</v>
      </c>
      <c r="T334" s="93" t="s">
        <v>1659</v>
      </c>
      <c r="U334" s="93" t="s">
        <v>116</v>
      </c>
      <c r="V334" s="94">
        <v>44628.542361111111</v>
      </c>
      <c r="W334" s="93" t="s">
        <v>1170</v>
      </c>
      <c r="X334" s="93" t="s">
        <v>9</v>
      </c>
    </row>
    <row r="335" spans="1:24" hidden="1" x14ac:dyDescent="0.15">
      <c r="A335" s="93" t="s">
        <v>1673</v>
      </c>
      <c r="B335" s="93" t="s">
        <v>1674</v>
      </c>
      <c r="C335" s="410">
        <v>4410</v>
      </c>
      <c r="D335" s="93" t="s">
        <v>9</v>
      </c>
      <c r="E335" s="93" t="s">
        <v>9</v>
      </c>
      <c r="F335" s="93" t="s">
        <v>1648</v>
      </c>
      <c r="G335" s="93" t="s">
        <v>9117</v>
      </c>
      <c r="H335" s="93" t="s">
        <v>1666</v>
      </c>
      <c r="I335" s="93" t="s">
        <v>111</v>
      </c>
      <c r="J335" s="93" t="s">
        <v>1675</v>
      </c>
      <c r="K335" s="93">
        <v>60</v>
      </c>
      <c r="L335" s="93" t="s">
        <v>111</v>
      </c>
      <c r="M335" s="93">
        <v>3.5</v>
      </c>
      <c r="N335" s="93" t="s">
        <v>113</v>
      </c>
      <c r="O335" s="93">
        <v>12.5</v>
      </c>
      <c r="P335" s="93">
        <v>26</v>
      </c>
      <c r="Q335" s="93">
        <v>58</v>
      </c>
      <c r="R335" s="93" t="s">
        <v>123</v>
      </c>
      <c r="S335" s="93" t="s">
        <v>659</v>
      </c>
      <c r="T335" s="93" t="s">
        <v>1659</v>
      </c>
      <c r="U335" s="93" t="s">
        <v>116</v>
      </c>
      <c r="V335" s="94">
        <v>44628.556250000001</v>
      </c>
      <c r="W335" s="93" t="s">
        <v>1555</v>
      </c>
      <c r="X335" s="93" t="s">
        <v>24</v>
      </c>
    </row>
    <row r="336" spans="1:24" hidden="1" x14ac:dyDescent="0.15">
      <c r="A336" s="93" t="s">
        <v>1676</v>
      </c>
      <c r="B336" s="93" t="s">
        <v>1677</v>
      </c>
      <c r="C336" s="410">
        <v>75</v>
      </c>
      <c r="D336" s="93" t="s">
        <v>9</v>
      </c>
      <c r="E336" s="93" t="s">
        <v>9</v>
      </c>
      <c r="F336" s="93" t="s">
        <v>1648</v>
      </c>
      <c r="G336" s="93" t="s">
        <v>9112</v>
      </c>
      <c r="H336" s="93" t="s">
        <v>118</v>
      </c>
      <c r="I336" s="93" t="s">
        <v>111</v>
      </c>
      <c r="J336" s="93" t="s">
        <v>118</v>
      </c>
      <c r="K336" s="93">
        <v>3</v>
      </c>
      <c r="L336" s="93" t="s">
        <v>111</v>
      </c>
      <c r="M336" s="93" t="s">
        <v>111</v>
      </c>
      <c r="N336" s="93" t="s">
        <v>111</v>
      </c>
      <c r="O336" s="93" t="s">
        <v>111</v>
      </c>
      <c r="P336" s="93" t="s">
        <v>111</v>
      </c>
      <c r="Q336" s="93" t="s">
        <v>111</v>
      </c>
      <c r="R336" s="93" t="s">
        <v>1199</v>
      </c>
      <c r="S336" s="93" t="s">
        <v>659</v>
      </c>
      <c r="T336" s="93" t="s">
        <v>115</v>
      </c>
      <c r="U336" s="93" t="s">
        <v>116</v>
      </c>
      <c r="V336" s="94">
        <v>44588.245833333334</v>
      </c>
      <c r="W336" s="93" t="s">
        <v>1170</v>
      </c>
      <c r="X336" s="93" t="s">
        <v>24</v>
      </c>
    </row>
    <row r="337" spans="1:24" hidden="1" x14ac:dyDescent="0.15">
      <c r="A337" s="93" t="s">
        <v>1678</v>
      </c>
      <c r="B337" s="93" t="s">
        <v>1679</v>
      </c>
      <c r="C337" s="410">
        <v>250</v>
      </c>
      <c r="D337" s="93" t="s">
        <v>9</v>
      </c>
      <c r="E337" s="93" t="s">
        <v>9</v>
      </c>
      <c r="F337" s="93" t="s">
        <v>1648</v>
      </c>
      <c r="G337" s="93" t="s">
        <v>9112</v>
      </c>
      <c r="H337" s="93" t="s">
        <v>118</v>
      </c>
      <c r="I337" s="93" t="s">
        <v>111</v>
      </c>
      <c r="J337" s="93" t="s">
        <v>118</v>
      </c>
      <c r="K337" s="93">
        <v>3</v>
      </c>
      <c r="L337" s="93" t="s">
        <v>111</v>
      </c>
      <c r="M337" s="93" t="s">
        <v>111</v>
      </c>
      <c r="N337" s="93" t="s">
        <v>111</v>
      </c>
      <c r="O337" s="93" t="s">
        <v>111</v>
      </c>
      <c r="P337" s="93" t="s">
        <v>111</v>
      </c>
      <c r="Q337" s="93" t="s">
        <v>111</v>
      </c>
      <c r="R337" s="93" t="s">
        <v>1199</v>
      </c>
      <c r="S337" s="93" t="s">
        <v>659</v>
      </c>
      <c r="T337" s="93" t="s">
        <v>115</v>
      </c>
      <c r="U337" s="93" t="s">
        <v>116</v>
      </c>
      <c r="V337" s="94">
        <v>44588.245833333334</v>
      </c>
      <c r="W337" s="93" t="s">
        <v>1170</v>
      </c>
      <c r="X337" s="93" t="s">
        <v>111</v>
      </c>
    </row>
    <row r="338" spans="1:24" hidden="1" x14ac:dyDescent="0.15">
      <c r="A338" s="93" t="s">
        <v>1680</v>
      </c>
      <c r="B338" s="93" t="s">
        <v>1681</v>
      </c>
      <c r="C338" s="410">
        <v>330</v>
      </c>
      <c r="D338" s="93" t="s">
        <v>9</v>
      </c>
      <c r="E338" s="93" t="s">
        <v>9</v>
      </c>
      <c r="F338" s="93" t="s">
        <v>1648</v>
      </c>
      <c r="G338" s="93" t="s">
        <v>9112</v>
      </c>
      <c r="H338" s="93" t="s">
        <v>118</v>
      </c>
      <c r="I338" s="93" t="s">
        <v>111</v>
      </c>
      <c r="J338" s="93" t="s">
        <v>118</v>
      </c>
      <c r="K338" s="93">
        <v>3</v>
      </c>
      <c r="L338" s="93" t="s">
        <v>111</v>
      </c>
      <c r="M338" s="93" t="s">
        <v>111</v>
      </c>
      <c r="N338" s="93" t="s">
        <v>111</v>
      </c>
      <c r="O338" s="93" t="s">
        <v>111</v>
      </c>
      <c r="P338" s="93" t="s">
        <v>111</v>
      </c>
      <c r="Q338" s="93" t="s">
        <v>111</v>
      </c>
      <c r="R338" s="93" t="s">
        <v>1199</v>
      </c>
      <c r="S338" s="93" t="s">
        <v>659</v>
      </c>
      <c r="T338" s="93" t="s">
        <v>115</v>
      </c>
      <c r="U338" s="93" t="s">
        <v>116</v>
      </c>
      <c r="V338" s="94">
        <v>44588.245833333334</v>
      </c>
      <c r="W338" s="93" t="s">
        <v>1170</v>
      </c>
      <c r="X338" s="93" t="s">
        <v>24</v>
      </c>
    </row>
    <row r="339" spans="1:24" hidden="1" x14ac:dyDescent="0.15">
      <c r="A339" s="93" t="s">
        <v>1682</v>
      </c>
      <c r="B339" s="93" t="s">
        <v>1683</v>
      </c>
      <c r="C339" s="410">
        <v>50</v>
      </c>
      <c r="D339" s="93" t="s">
        <v>9</v>
      </c>
      <c r="E339" s="93" t="s">
        <v>9</v>
      </c>
      <c r="F339" s="93" t="s">
        <v>1648</v>
      </c>
      <c r="G339" s="93" t="s">
        <v>9112</v>
      </c>
      <c r="H339" s="93" t="s">
        <v>118</v>
      </c>
      <c r="I339" s="93" t="s">
        <v>111</v>
      </c>
      <c r="J339" s="93" t="s">
        <v>118</v>
      </c>
      <c r="K339" s="93">
        <v>3</v>
      </c>
      <c r="L339" s="93" t="s">
        <v>111</v>
      </c>
      <c r="M339" s="93" t="s">
        <v>111</v>
      </c>
      <c r="N339" s="93" t="s">
        <v>111</v>
      </c>
      <c r="O339" s="93" t="s">
        <v>111</v>
      </c>
      <c r="P339" s="93" t="s">
        <v>111</v>
      </c>
      <c r="Q339" s="93" t="s">
        <v>111</v>
      </c>
      <c r="R339" s="93" t="s">
        <v>1199</v>
      </c>
      <c r="S339" s="93" t="s">
        <v>659</v>
      </c>
      <c r="T339" s="93" t="s">
        <v>115</v>
      </c>
      <c r="U339" s="93" t="s">
        <v>116</v>
      </c>
      <c r="V339" s="94">
        <v>44588.245833333334</v>
      </c>
      <c r="W339" s="93" t="s">
        <v>1170</v>
      </c>
      <c r="X339" s="93" t="s">
        <v>24</v>
      </c>
    </row>
    <row r="340" spans="1:24" hidden="1" x14ac:dyDescent="0.15">
      <c r="A340" s="93" t="s">
        <v>9118</v>
      </c>
      <c r="B340" s="93" t="s">
        <v>9119</v>
      </c>
      <c r="C340" s="410">
        <v>1000</v>
      </c>
      <c r="D340" s="93" t="s">
        <v>24</v>
      </c>
      <c r="E340" s="93" t="s">
        <v>9</v>
      </c>
      <c r="F340" s="93" t="s">
        <v>1648</v>
      </c>
      <c r="G340" s="93" t="s">
        <v>9112</v>
      </c>
      <c r="H340" s="93" t="s">
        <v>118</v>
      </c>
      <c r="I340" s="93" t="s">
        <v>111</v>
      </c>
      <c r="J340" s="93" t="s">
        <v>118</v>
      </c>
      <c r="K340" s="93">
        <v>3</v>
      </c>
      <c r="L340" s="93" t="s">
        <v>111</v>
      </c>
      <c r="M340" s="93" t="s">
        <v>111</v>
      </c>
      <c r="N340" s="93" t="s">
        <v>111</v>
      </c>
      <c r="O340" s="93" t="s">
        <v>111</v>
      </c>
      <c r="P340" s="93" t="s">
        <v>111</v>
      </c>
      <c r="Q340" s="93" t="s">
        <v>111</v>
      </c>
      <c r="R340" s="93" t="s">
        <v>228</v>
      </c>
      <c r="S340" s="93" t="s">
        <v>2</v>
      </c>
      <c r="T340" s="93" t="s">
        <v>115</v>
      </c>
      <c r="U340" s="93" t="s">
        <v>116</v>
      </c>
      <c r="V340" s="94">
        <v>44602.451388888891</v>
      </c>
      <c r="W340" s="93" t="s">
        <v>1170</v>
      </c>
      <c r="X340" s="93" t="s">
        <v>24</v>
      </c>
    </row>
    <row r="341" spans="1:24" hidden="1" x14ac:dyDescent="0.15">
      <c r="A341" s="93" t="s">
        <v>1684</v>
      </c>
      <c r="B341" s="93" t="s">
        <v>1685</v>
      </c>
      <c r="C341" s="410">
        <v>3411.72</v>
      </c>
      <c r="D341" s="93" t="s">
        <v>9</v>
      </c>
      <c r="E341" s="93" t="s">
        <v>9</v>
      </c>
      <c r="F341" s="93" t="s">
        <v>7070</v>
      </c>
      <c r="G341" s="93" t="s">
        <v>9120</v>
      </c>
      <c r="H341" s="93" t="s">
        <v>6</v>
      </c>
      <c r="I341" s="93" t="s">
        <v>1686</v>
      </c>
      <c r="J341" s="93" t="s">
        <v>1687</v>
      </c>
      <c r="K341" s="93">
        <v>120</v>
      </c>
      <c r="L341" s="93">
        <v>1</v>
      </c>
      <c r="M341" s="93">
        <v>1.65</v>
      </c>
      <c r="N341" s="93" t="s">
        <v>113</v>
      </c>
      <c r="O341" s="93">
        <v>14</v>
      </c>
      <c r="P341" s="93">
        <v>19.600000000000001</v>
      </c>
      <c r="Q341" s="93">
        <v>33</v>
      </c>
      <c r="R341" s="93" t="s">
        <v>123</v>
      </c>
      <c r="S341" s="93" t="s">
        <v>18</v>
      </c>
      <c r="T341" s="93" t="s">
        <v>383</v>
      </c>
      <c r="U341" s="93" t="s">
        <v>116</v>
      </c>
      <c r="V341" s="94">
        <v>44628.51666666667</v>
      </c>
      <c r="W341" s="93" t="s">
        <v>1167</v>
      </c>
      <c r="X341" s="93" t="s">
        <v>9</v>
      </c>
    </row>
    <row r="342" spans="1:24" hidden="1" x14ac:dyDescent="0.15">
      <c r="A342" s="93" t="s">
        <v>1688</v>
      </c>
      <c r="B342" s="93" t="s">
        <v>1689</v>
      </c>
      <c r="C342" s="410">
        <v>696.6</v>
      </c>
      <c r="D342" s="93" t="s">
        <v>9</v>
      </c>
      <c r="E342" s="93" t="s">
        <v>9</v>
      </c>
      <c r="F342" s="93" t="s">
        <v>7070</v>
      </c>
      <c r="G342" s="93" t="s">
        <v>9121</v>
      </c>
      <c r="H342" s="93" t="s">
        <v>1690</v>
      </c>
      <c r="I342" s="93" t="s">
        <v>1686</v>
      </c>
      <c r="J342" s="93" t="s">
        <v>647</v>
      </c>
      <c r="K342" s="93">
        <v>120</v>
      </c>
      <c r="L342" s="93">
        <v>1</v>
      </c>
      <c r="M342" s="93">
        <v>0.5</v>
      </c>
      <c r="N342" s="93" t="s">
        <v>113</v>
      </c>
      <c r="O342" s="93">
        <v>8</v>
      </c>
      <c r="P342" s="93">
        <v>11</v>
      </c>
      <c r="Q342" s="93">
        <v>33</v>
      </c>
      <c r="R342" s="93" t="s">
        <v>123</v>
      </c>
      <c r="S342" s="93" t="s">
        <v>18</v>
      </c>
      <c r="T342" s="93" t="s">
        <v>1623</v>
      </c>
      <c r="U342" s="93" t="s">
        <v>116</v>
      </c>
      <c r="V342" s="94">
        <v>44628.55972222222</v>
      </c>
      <c r="W342" s="93" t="s">
        <v>1167</v>
      </c>
      <c r="X342" s="93" t="s">
        <v>9</v>
      </c>
    </row>
    <row r="343" spans="1:24" hidden="1" x14ac:dyDescent="0.15">
      <c r="A343" s="93" t="s">
        <v>1691</v>
      </c>
      <c r="B343" s="93" t="s">
        <v>1692</v>
      </c>
      <c r="C343" s="410">
        <v>3411.72</v>
      </c>
      <c r="D343" s="93" t="s">
        <v>9</v>
      </c>
      <c r="E343" s="93" t="s">
        <v>9</v>
      </c>
      <c r="F343" s="93" t="s">
        <v>7070</v>
      </c>
      <c r="G343" s="93" t="s">
        <v>9120</v>
      </c>
      <c r="H343" s="93" t="s">
        <v>6</v>
      </c>
      <c r="I343" s="93" t="s">
        <v>1686</v>
      </c>
      <c r="J343" s="93" t="s">
        <v>1687</v>
      </c>
      <c r="K343" s="93">
        <v>120</v>
      </c>
      <c r="L343" s="93">
        <v>1</v>
      </c>
      <c r="M343" s="93">
        <v>1.65</v>
      </c>
      <c r="N343" s="93" t="s">
        <v>113</v>
      </c>
      <c r="O343" s="93">
        <v>14</v>
      </c>
      <c r="P343" s="93">
        <v>19.600000000000001</v>
      </c>
      <c r="Q343" s="93">
        <v>33</v>
      </c>
      <c r="R343" s="93" t="s">
        <v>123</v>
      </c>
      <c r="S343" s="93" t="s">
        <v>18</v>
      </c>
      <c r="T343" s="93" t="s">
        <v>383</v>
      </c>
      <c r="U343" s="93" t="s">
        <v>116</v>
      </c>
      <c r="V343" s="94">
        <v>44628.46875</v>
      </c>
      <c r="W343" s="93" t="s">
        <v>1167</v>
      </c>
      <c r="X343" s="93" t="s">
        <v>9</v>
      </c>
    </row>
    <row r="344" spans="1:24" hidden="1" x14ac:dyDescent="0.15">
      <c r="A344" s="93" t="s">
        <v>1693</v>
      </c>
      <c r="B344" s="93" t="s">
        <v>1694</v>
      </c>
      <c r="C344" s="410">
        <v>344.52</v>
      </c>
      <c r="D344" s="93" t="s">
        <v>9</v>
      </c>
      <c r="E344" s="93" t="s">
        <v>9</v>
      </c>
      <c r="F344" s="93" t="s">
        <v>7070</v>
      </c>
      <c r="G344" s="93" t="s">
        <v>9121</v>
      </c>
      <c r="H344" s="93" t="s">
        <v>1205</v>
      </c>
      <c r="I344" s="93" t="s">
        <v>1686</v>
      </c>
      <c r="J344" s="93" t="s">
        <v>1687</v>
      </c>
      <c r="K344" s="93">
        <v>120</v>
      </c>
      <c r="L344" s="93">
        <v>25</v>
      </c>
      <c r="M344" s="93">
        <v>0.5</v>
      </c>
      <c r="N344" s="93" t="s">
        <v>113</v>
      </c>
      <c r="O344" s="93">
        <v>8</v>
      </c>
      <c r="P344" s="93">
        <v>11</v>
      </c>
      <c r="Q344" s="93">
        <v>33</v>
      </c>
      <c r="R344" s="93" t="s">
        <v>123</v>
      </c>
      <c r="S344" s="93" t="s">
        <v>18</v>
      </c>
      <c r="T344" s="93" t="s">
        <v>1623</v>
      </c>
      <c r="U344" s="93" t="s">
        <v>116</v>
      </c>
      <c r="V344" s="94">
        <v>44628.538888888892</v>
      </c>
      <c r="W344" s="93" t="s">
        <v>1167</v>
      </c>
      <c r="X344" s="93" t="s">
        <v>9</v>
      </c>
    </row>
    <row r="345" spans="1:24" hidden="1" x14ac:dyDescent="0.15">
      <c r="A345" s="93" t="s">
        <v>1695</v>
      </c>
      <c r="B345" s="93" t="s">
        <v>1696</v>
      </c>
      <c r="C345" s="410">
        <v>754.92</v>
      </c>
      <c r="D345" s="93" t="s">
        <v>9</v>
      </c>
      <c r="E345" s="93" t="s">
        <v>9</v>
      </c>
      <c r="F345" s="93" t="s">
        <v>7070</v>
      </c>
      <c r="G345" s="93" t="s">
        <v>9121</v>
      </c>
      <c r="H345" s="93" t="s">
        <v>1205</v>
      </c>
      <c r="I345" s="93" t="s">
        <v>1686</v>
      </c>
      <c r="J345" s="93" t="s">
        <v>1687</v>
      </c>
      <c r="K345" s="93">
        <v>120</v>
      </c>
      <c r="L345" s="93">
        <v>1</v>
      </c>
      <c r="M345" s="93">
        <v>1.65</v>
      </c>
      <c r="N345" s="93" t="s">
        <v>113</v>
      </c>
      <c r="O345" s="93">
        <v>14</v>
      </c>
      <c r="P345" s="93">
        <v>19.600000000000001</v>
      </c>
      <c r="Q345" s="93">
        <v>33</v>
      </c>
      <c r="R345" s="93" t="s">
        <v>123</v>
      </c>
      <c r="S345" s="93" t="s">
        <v>18</v>
      </c>
      <c r="T345" s="93" t="s">
        <v>383</v>
      </c>
      <c r="U345" s="93" t="s">
        <v>116</v>
      </c>
      <c r="V345" s="94">
        <v>44628.490277777775</v>
      </c>
      <c r="W345" s="93" t="s">
        <v>1167</v>
      </c>
      <c r="X345" s="93" t="s">
        <v>9</v>
      </c>
    </row>
    <row r="346" spans="1:24" hidden="1" x14ac:dyDescent="0.15">
      <c r="A346" s="93" t="s">
        <v>1697</v>
      </c>
      <c r="B346" s="93" t="s">
        <v>1698</v>
      </c>
      <c r="C346" s="410">
        <v>3411.72</v>
      </c>
      <c r="D346" s="93" t="s">
        <v>9</v>
      </c>
      <c r="E346" s="93" t="s">
        <v>9</v>
      </c>
      <c r="F346" s="93" t="s">
        <v>7070</v>
      </c>
      <c r="G346" s="93" t="s">
        <v>9121</v>
      </c>
      <c r="H346" s="93" t="s">
        <v>6</v>
      </c>
      <c r="I346" s="93" t="s">
        <v>111</v>
      </c>
      <c r="J346" s="93" t="s">
        <v>647</v>
      </c>
      <c r="K346" s="93">
        <v>120</v>
      </c>
      <c r="L346" s="93">
        <v>1</v>
      </c>
      <c r="M346" s="93">
        <v>1.95</v>
      </c>
      <c r="N346" s="93" t="s">
        <v>113</v>
      </c>
      <c r="O346" s="93">
        <v>13</v>
      </c>
      <c r="P346" s="93">
        <v>23</v>
      </c>
      <c r="Q346" s="93">
        <v>38.5</v>
      </c>
      <c r="R346" s="93" t="s">
        <v>123</v>
      </c>
      <c r="S346" s="93" t="s">
        <v>18</v>
      </c>
      <c r="T346" s="93" t="s">
        <v>383</v>
      </c>
      <c r="U346" s="93" t="s">
        <v>116</v>
      </c>
      <c r="V346" s="94">
        <v>44628.479861111111</v>
      </c>
      <c r="W346" s="93" t="s">
        <v>1170</v>
      </c>
      <c r="X346" s="93" t="s">
        <v>9</v>
      </c>
    </row>
    <row r="347" spans="1:24" hidden="1" x14ac:dyDescent="0.15">
      <c r="A347" s="93" t="s">
        <v>1699</v>
      </c>
      <c r="B347" s="93" t="s">
        <v>1700</v>
      </c>
      <c r="C347" s="410">
        <v>3411.72</v>
      </c>
      <c r="D347" s="93" t="s">
        <v>9</v>
      </c>
      <c r="E347" s="93" t="s">
        <v>9</v>
      </c>
      <c r="F347" s="93" t="s">
        <v>7070</v>
      </c>
      <c r="G347" s="93" t="s">
        <v>9121</v>
      </c>
      <c r="H347" s="93" t="s">
        <v>6</v>
      </c>
      <c r="I347" s="93" t="s">
        <v>111</v>
      </c>
      <c r="J347" s="93" t="s">
        <v>647</v>
      </c>
      <c r="K347" s="93">
        <v>120</v>
      </c>
      <c r="L347" s="93">
        <v>1</v>
      </c>
      <c r="M347" s="93">
        <v>1.95</v>
      </c>
      <c r="N347" s="93" t="s">
        <v>113</v>
      </c>
      <c r="O347" s="93">
        <v>13</v>
      </c>
      <c r="P347" s="93">
        <v>23</v>
      </c>
      <c r="Q347" s="93">
        <v>38.5</v>
      </c>
      <c r="R347" s="93" t="s">
        <v>123</v>
      </c>
      <c r="S347" s="93" t="s">
        <v>18</v>
      </c>
      <c r="T347" s="93" t="s">
        <v>1623</v>
      </c>
      <c r="U347" s="93" t="s">
        <v>116</v>
      </c>
      <c r="V347" s="94">
        <v>44628.479861111111</v>
      </c>
      <c r="W347" s="93" t="s">
        <v>1170</v>
      </c>
      <c r="X347" s="93" t="s">
        <v>9</v>
      </c>
    </row>
    <row r="348" spans="1:24" hidden="1" x14ac:dyDescent="0.15">
      <c r="A348" s="93" t="s">
        <v>1701</v>
      </c>
      <c r="B348" s="93" t="s">
        <v>1702</v>
      </c>
      <c r="C348" s="410">
        <v>1834.92</v>
      </c>
      <c r="D348" s="93" t="s">
        <v>9</v>
      </c>
      <c r="E348" s="93" t="s">
        <v>9</v>
      </c>
      <c r="F348" s="93" t="s">
        <v>7070</v>
      </c>
      <c r="G348" s="93" t="s">
        <v>9121</v>
      </c>
      <c r="H348" s="93" t="s">
        <v>6</v>
      </c>
      <c r="I348" s="93" t="s">
        <v>1703</v>
      </c>
      <c r="J348" s="93" t="s">
        <v>647</v>
      </c>
      <c r="K348" s="93">
        <v>120</v>
      </c>
      <c r="L348" s="93">
        <v>1</v>
      </c>
      <c r="M348" s="93">
        <v>1.95</v>
      </c>
      <c r="N348" s="93" t="s">
        <v>113</v>
      </c>
      <c r="O348" s="93">
        <v>13</v>
      </c>
      <c r="P348" s="93">
        <v>23</v>
      </c>
      <c r="Q348" s="93">
        <v>38.5</v>
      </c>
      <c r="R348" s="93" t="s">
        <v>123</v>
      </c>
      <c r="S348" s="93" t="s">
        <v>18</v>
      </c>
      <c r="T348" s="93" t="s">
        <v>383</v>
      </c>
      <c r="U348" s="93" t="s">
        <v>116</v>
      </c>
      <c r="V348" s="94">
        <v>44628.638888888891</v>
      </c>
      <c r="W348" s="93" t="s">
        <v>1170</v>
      </c>
      <c r="X348" s="93" t="s">
        <v>9</v>
      </c>
    </row>
    <row r="349" spans="1:24" hidden="1" x14ac:dyDescent="0.15">
      <c r="A349" s="93" t="s">
        <v>1704</v>
      </c>
      <c r="B349" s="93" t="s">
        <v>1705</v>
      </c>
      <c r="C349" s="410">
        <v>290.52</v>
      </c>
      <c r="D349" s="93" t="s">
        <v>9</v>
      </c>
      <c r="E349" s="93" t="s">
        <v>9</v>
      </c>
      <c r="F349" s="93" t="s">
        <v>7070</v>
      </c>
      <c r="G349" s="93" t="s">
        <v>9121</v>
      </c>
      <c r="H349" s="93" t="s">
        <v>1205</v>
      </c>
      <c r="I349" s="93" t="s">
        <v>111</v>
      </c>
      <c r="J349" s="93" t="s">
        <v>647</v>
      </c>
      <c r="K349" s="93">
        <v>120</v>
      </c>
      <c r="L349" s="93">
        <v>1</v>
      </c>
      <c r="M349" s="93">
        <v>0.5</v>
      </c>
      <c r="N349" s="93" t="s">
        <v>113</v>
      </c>
      <c r="O349" s="93">
        <v>9.5</v>
      </c>
      <c r="P349" s="93">
        <v>9.5</v>
      </c>
      <c r="Q349" s="93">
        <v>32.5</v>
      </c>
      <c r="R349" s="93" t="s">
        <v>123</v>
      </c>
      <c r="S349" s="93" t="s">
        <v>18</v>
      </c>
      <c r="T349" s="93" t="s">
        <v>1623</v>
      </c>
      <c r="U349" s="93" t="s">
        <v>116</v>
      </c>
      <c r="V349" s="94">
        <v>44628.543749999997</v>
      </c>
      <c r="W349" s="93" t="s">
        <v>1170</v>
      </c>
      <c r="X349" s="93" t="s">
        <v>9</v>
      </c>
    </row>
    <row r="350" spans="1:24" hidden="1" x14ac:dyDescent="0.15">
      <c r="A350" s="93" t="s">
        <v>1706</v>
      </c>
      <c r="B350" s="93" t="s">
        <v>1707</v>
      </c>
      <c r="C350" s="410">
        <v>344.52</v>
      </c>
      <c r="D350" s="93" t="s">
        <v>9</v>
      </c>
      <c r="E350" s="93" t="s">
        <v>9</v>
      </c>
      <c r="F350" s="93" t="s">
        <v>7070</v>
      </c>
      <c r="G350" s="93" t="s">
        <v>9121</v>
      </c>
      <c r="H350" s="93" t="s">
        <v>1205</v>
      </c>
      <c r="I350" s="93" t="s">
        <v>111</v>
      </c>
      <c r="J350" s="93" t="s">
        <v>647</v>
      </c>
      <c r="K350" s="93">
        <v>120</v>
      </c>
      <c r="L350" s="93">
        <v>1</v>
      </c>
      <c r="M350" s="93">
        <v>0.5</v>
      </c>
      <c r="N350" s="93" t="s">
        <v>113</v>
      </c>
      <c r="O350" s="93">
        <v>9.5</v>
      </c>
      <c r="P350" s="93">
        <v>9.5</v>
      </c>
      <c r="Q350" s="93">
        <v>32.5</v>
      </c>
      <c r="R350" s="93" t="s">
        <v>123</v>
      </c>
      <c r="S350" s="93" t="s">
        <v>18</v>
      </c>
      <c r="T350" s="93" t="s">
        <v>1623</v>
      </c>
      <c r="U350" s="93" t="s">
        <v>116</v>
      </c>
      <c r="V350" s="94">
        <v>44628.521527777775</v>
      </c>
      <c r="W350" s="93" t="s">
        <v>1170</v>
      </c>
      <c r="X350" s="93" t="s">
        <v>9</v>
      </c>
    </row>
    <row r="351" spans="1:24" hidden="1" x14ac:dyDescent="0.15">
      <c r="A351" s="93" t="s">
        <v>1708</v>
      </c>
      <c r="B351" s="93" t="s">
        <v>1709</v>
      </c>
      <c r="C351" s="410">
        <v>398.52</v>
      </c>
      <c r="D351" s="93" t="s">
        <v>9</v>
      </c>
      <c r="E351" s="93" t="s">
        <v>9</v>
      </c>
      <c r="F351" s="93" t="s">
        <v>7070</v>
      </c>
      <c r="G351" s="93" t="s">
        <v>9121</v>
      </c>
      <c r="H351" s="93" t="s">
        <v>1205</v>
      </c>
      <c r="I351" s="93" t="s">
        <v>111</v>
      </c>
      <c r="J351" s="93" t="s">
        <v>647</v>
      </c>
      <c r="K351" s="93">
        <v>120</v>
      </c>
      <c r="L351" s="93">
        <v>1</v>
      </c>
      <c r="M351" s="93">
        <v>0.5</v>
      </c>
      <c r="N351" s="93" t="s">
        <v>113</v>
      </c>
      <c r="O351" s="93">
        <v>9.5</v>
      </c>
      <c r="P351" s="93">
        <v>9.5</v>
      </c>
      <c r="Q351" s="93">
        <v>32.5</v>
      </c>
      <c r="R351" s="93" t="s">
        <v>123</v>
      </c>
      <c r="S351" s="93" t="s">
        <v>18</v>
      </c>
      <c r="T351" s="93" t="s">
        <v>1623</v>
      </c>
      <c r="U351" s="93" t="s">
        <v>116</v>
      </c>
      <c r="V351" s="94">
        <v>44628.643750000003</v>
      </c>
      <c r="W351" s="93" t="s">
        <v>1170</v>
      </c>
      <c r="X351" s="93" t="s">
        <v>9</v>
      </c>
    </row>
    <row r="352" spans="1:24" hidden="1" x14ac:dyDescent="0.15">
      <c r="A352" s="93" t="s">
        <v>1710</v>
      </c>
      <c r="B352" s="93" t="s">
        <v>1711</v>
      </c>
      <c r="C352" s="410">
        <v>506.52</v>
      </c>
      <c r="D352" s="93" t="s">
        <v>9</v>
      </c>
      <c r="E352" s="93" t="s">
        <v>9</v>
      </c>
      <c r="F352" s="93" t="s">
        <v>7070</v>
      </c>
      <c r="G352" s="93" t="s">
        <v>9121</v>
      </c>
      <c r="H352" s="93" t="s">
        <v>1205</v>
      </c>
      <c r="I352" s="93" t="s">
        <v>111</v>
      </c>
      <c r="J352" s="93" t="s">
        <v>647</v>
      </c>
      <c r="K352" s="93">
        <v>120</v>
      </c>
      <c r="L352" s="93">
        <v>1</v>
      </c>
      <c r="M352" s="93">
        <v>0.5</v>
      </c>
      <c r="N352" s="93" t="s">
        <v>113</v>
      </c>
      <c r="O352" s="93">
        <v>9.5</v>
      </c>
      <c r="P352" s="93">
        <v>9.5</v>
      </c>
      <c r="Q352" s="93">
        <v>32.5</v>
      </c>
      <c r="R352" s="93" t="s">
        <v>123</v>
      </c>
      <c r="S352" s="93" t="s">
        <v>18</v>
      </c>
      <c r="T352" s="93" t="s">
        <v>1623</v>
      </c>
      <c r="U352" s="93" t="s">
        <v>116</v>
      </c>
      <c r="V352" s="94">
        <v>44628.56527777778</v>
      </c>
      <c r="W352" s="93" t="s">
        <v>1170</v>
      </c>
      <c r="X352" s="93" t="s">
        <v>9</v>
      </c>
    </row>
    <row r="353" spans="1:24" hidden="1" x14ac:dyDescent="0.15">
      <c r="A353" s="93" t="s">
        <v>1712</v>
      </c>
      <c r="B353" s="93" t="s">
        <v>1713</v>
      </c>
      <c r="C353" s="410">
        <v>642.6</v>
      </c>
      <c r="D353" s="93" t="s">
        <v>24</v>
      </c>
      <c r="E353" s="93" t="s">
        <v>24</v>
      </c>
      <c r="F353" s="93" t="s">
        <v>7070</v>
      </c>
      <c r="G353" s="93" t="s">
        <v>7168</v>
      </c>
      <c r="H353" s="93" t="s">
        <v>1198</v>
      </c>
      <c r="I353" s="93" t="s">
        <v>111</v>
      </c>
      <c r="J353" s="93" t="s">
        <v>387</v>
      </c>
      <c r="K353" s="93">
        <v>60</v>
      </c>
      <c r="L353" s="93" t="s">
        <v>111</v>
      </c>
      <c r="M353" s="93">
        <v>14.5</v>
      </c>
      <c r="N353" s="93" t="s">
        <v>113</v>
      </c>
      <c r="O353" s="93">
        <v>20</v>
      </c>
      <c r="P353" s="93">
        <v>33</v>
      </c>
      <c r="Q353" s="93">
        <v>127</v>
      </c>
      <c r="R353" s="93" t="s">
        <v>117</v>
      </c>
      <c r="S353" s="93" t="s">
        <v>2</v>
      </c>
      <c r="T353" s="93" t="s">
        <v>115</v>
      </c>
      <c r="U353" s="93" t="s">
        <v>119</v>
      </c>
      <c r="V353" s="94">
        <v>44628.499305555553</v>
      </c>
      <c r="W353" s="93" t="s">
        <v>1170</v>
      </c>
      <c r="X353" s="93" t="s">
        <v>24</v>
      </c>
    </row>
    <row r="354" spans="1:24" hidden="1" x14ac:dyDescent="0.15">
      <c r="A354" s="93" t="s">
        <v>1714</v>
      </c>
      <c r="B354" s="93" t="s">
        <v>1715</v>
      </c>
      <c r="C354" s="410">
        <v>3411.72</v>
      </c>
      <c r="D354" s="93" t="s">
        <v>9</v>
      </c>
      <c r="E354" s="93" t="s">
        <v>9</v>
      </c>
      <c r="F354" s="93" t="s">
        <v>7070</v>
      </c>
      <c r="G354" s="93" t="s">
        <v>9122</v>
      </c>
      <c r="H354" s="93" t="s">
        <v>6</v>
      </c>
      <c r="I354" s="93" t="s">
        <v>111</v>
      </c>
      <c r="J354" s="93" t="s">
        <v>1687</v>
      </c>
      <c r="K354" s="93">
        <v>120</v>
      </c>
      <c r="L354" s="93">
        <v>1</v>
      </c>
      <c r="M354" s="93">
        <v>1.7</v>
      </c>
      <c r="N354" s="93" t="s">
        <v>113</v>
      </c>
      <c r="O354" s="93">
        <v>15.2</v>
      </c>
      <c r="P354" s="93">
        <v>20</v>
      </c>
      <c r="Q354" s="93">
        <v>33</v>
      </c>
      <c r="R354" s="93" t="s">
        <v>123</v>
      </c>
      <c r="S354" s="93" t="s">
        <v>18</v>
      </c>
      <c r="T354" s="93" t="s">
        <v>383</v>
      </c>
      <c r="U354" s="93" t="s">
        <v>116</v>
      </c>
      <c r="V354" s="94">
        <v>44628.602777777778</v>
      </c>
      <c r="W354" s="93" t="s">
        <v>1170</v>
      </c>
      <c r="X354" s="93" t="s">
        <v>9</v>
      </c>
    </row>
    <row r="355" spans="1:24" hidden="1" x14ac:dyDescent="0.15">
      <c r="A355" s="93" t="s">
        <v>1716</v>
      </c>
      <c r="B355" s="93" t="s">
        <v>1717</v>
      </c>
      <c r="C355" s="410">
        <v>3746.52</v>
      </c>
      <c r="D355" s="93" t="s">
        <v>9</v>
      </c>
      <c r="E355" s="93" t="s">
        <v>9</v>
      </c>
      <c r="F355" s="93" t="s">
        <v>7070</v>
      </c>
      <c r="G355" s="93" t="s">
        <v>9122</v>
      </c>
      <c r="H355" s="93" t="s">
        <v>6</v>
      </c>
      <c r="I355" s="93" t="s">
        <v>111</v>
      </c>
      <c r="J355" s="93" t="s">
        <v>1687</v>
      </c>
      <c r="K355" s="93">
        <v>120</v>
      </c>
      <c r="L355" s="93">
        <v>1</v>
      </c>
      <c r="M355" s="93">
        <v>9</v>
      </c>
      <c r="N355" s="93" t="s">
        <v>113</v>
      </c>
      <c r="O355" s="93">
        <v>17.100000000000001</v>
      </c>
      <c r="P355" s="93">
        <v>23.1</v>
      </c>
      <c r="Q355" s="93">
        <v>78.5</v>
      </c>
      <c r="R355" s="93" t="s">
        <v>123</v>
      </c>
      <c r="S355" s="93" t="s">
        <v>18</v>
      </c>
      <c r="T355" s="93" t="s">
        <v>383</v>
      </c>
      <c r="U355" s="93" t="s">
        <v>116</v>
      </c>
      <c r="V355" s="94">
        <v>44628.602777777778</v>
      </c>
      <c r="W355" s="93" t="s">
        <v>1170</v>
      </c>
      <c r="X355" s="93" t="s">
        <v>9</v>
      </c>
    </row>
    <row r="356" spans="1:24" hidden="1" x14ac:dyDescent="0.15">
      <c r="A356" s="93" t="s">
        <v>1718</v>
      </c>
      <c r="B356" s="93" t="s">
        <v>1719</v>
      </c>
      <c r="C356" s="410">
        <v>3411.72</v>
      </c>
      <c r="D356" s="93" t="s">
        <v>9</v>
      </c>
      <c r="E356" s="93" t="s">
        <v>9</v>
      </c>
      <c r="F356" s="93" t="s">
        <v>7070</v>
      </c>
      <c r="G356" s="93" t="s">
        <v>9122</v>
      </c>
      <c r="H356" s="93" t="s">
        <v>6</v>
      </c>
      <c r="I356" s="93" t="s">
        <v>111</v>
      </c>
      <c r="J356" s="93" t="s">
        <v>1687</v>
      </c>
      <c r="K356" s="93">
        <v>120</v>
      </c>
      <c r="L356" s="93">
        <v>1</v>
      </c>
      <c r="M356" s="93">
        <v>1.7</v>
      </c>
      <c r="N356" s="93" t="s">
        <v>113</v>
      </c>
      <c r="O356" s="93">
        <v>15.2</v>
      </c>
      <c r="P356" s="93">
        <v>20</v>
      </c>
      <c r="Q356" s="93">
        <v>33</v>
      </c>
      <c r="R356" s="93" t="s">
        <v>123</v>
      </c>
      <c r="S356" s="93" t="s">
        <v>18</v>
      </c>
      <c r="T356" s="93" t="s">
        <v>1623</v>
      </c>
      <c r="U356" s="93" t="s">
        <v>116</v>
      </c>
      <c r="V356" s="94">
        <v>44628.602777777778</v>
      </c>
      <c r="W356" s="93" t="s">
        <v>1170</v>
      </c>
      <c r="X356" s="93" t="s">
        <v>9</v>
      </c>
    </row>
    <row r="357" spans="1:24" hidden="1" x14ac:dyDescent="0.15">
      <c r="A357" s="93" t="s">
        <v>1720</v>
      </c>
      <c r="B357" s="93" t="s">
        <v>1721</v>
      </c>
      <c r="C357" s="410">
        <v>3746.52</v>
      </c>
      <c r="D357" s="93" t="s">
        <v>9</v>
      </c>
      <c r="E357" s="93" t="s">
        <v>9</v>
      </c>
      <c r="F357" s="93" t="s">
        <v>7070</v>
      </c>
      <c r="G357" s="93" t="s">
        <v>9122</v>
      </c>
      <c r="H357" s="93" t="s">
        <v>6</v>
      </c>
      <c r="I357" s="93" t="s">
        <v>111</v>
      </c>
      <c r="J357" s="93" t="s">
        <v>1687</v>
      </c>
      <c r="K357" s="93">
        <v>120</v>
      </c>
      <c r="L357" s="93">
        <v>1</v>
      </c>
      <c r="M357" s="93">
        <v>9</v>
      </c>
      <c r="N357" s="93" t="s">
        <v>113</v>
      </c>
      <c r="O357" s="93">
        <v>17.100000000000001</v>
      </c>
      <c r="P357" s="93">
        <v>23.1</v>
      </c>
      <c r="Q357" s="93">
        <v>78.5</v>
      </c>
      <c r="R357" s="93" t="s">
        <v>123</v>
      </c>
      <c r="S357" s="93" t="s">
        <v>18</v>
      </c>
      <c r="T357" s="93" t="s">
        <v>1623</v>
      </c>
      <c r="U357" s="93" t="s">
        <v>116</v>
      </c>
      <c r="V357" s="94">
        <v>44628.538194444445</v>
      </c>
      <c r="W357" s="93" t="s">
        <v>1170</v>
      </c>
      <c r="X357" s="93" t="s">
        <v>9</v>
      </c>
    </row>
    <row r="358" spans="1:24" hidden="1" x14ac:dyDescent="0.15">
      <c r="A358" s="93" t="s">
        <v>1722</v>
      </c>
      <c r="B358" s="93" t="s">
        <v>1723</v>
      </c>
      <c r="C358" s="410">
        <v>10366.92</v>
      </c>
      <c r="D358" s="93" t="s">
        <v>9</v>
      </c>
      <c r="E358" s="93" t="s">
        <v>9</v>
      </c>
      <c r="F358" s="93" t="s">
        <v>7070</v>
      </c>
      <c r="G358" s="93" t="s">
        <v>9123</v>
      </c>
      <c r="H358" s="93" t="s">
        <v>6</v>
      </c>
      <c r="I358" s="93" t="s">
        <v>111</v>
      </c>
      <c r="J358" s="93" t="s">
        <v>1807</v>
      </c>
      <c r="K358" s="93">
        <v>120</v>
      </c>
      <c r="L358" s="93">
        <v>1</v>
      </c>
      <c r="M358" s="93">
        <v>30.125</v>
      </c>
      <c r="N358" s="93" t="s">
        <v>113</v>
      </c>
      <c r="O358" s="93">
        <v>89.4</v>
      </c>
      <c r="P358" s="93">
        <v>25.8</v>
      </c>
      <c r="Q358" s="93">
        <v>74.5</v>
      </c>
      <c r="R358" s="93" t="s">
        <v>123</v>
      </c>
      <c r="S358" s="93" t="s">
        <v>18</v>
      </c>
      <c r="T358" s="93" t="s">
        <v>383</v>
      </c>
      <c r="U358" s="93" t="s">
        <v>116</v>
      </c>
      <c r="V358" s="94">
        <v>44628.535416666666</v>
      </c>
      <c r="W358" s="93" t="s">
        <v>1170</v>
      </c>
      <c r="X358" s="93" t="s">
        <v>9</v>
      </c>
    </row>
    <row r="359" spans="1:24" hidden="1" x14ac:dyDescent="0.15">
      <c r="A359" s="93" t="s">
        <v>1724</v>
      </c>
      <c r="B359" s="93" t="s">
        <v>1725</v>
      </c>
      <c r="C359" s="410">
        <v>10366.92</v>
      </c>
      <c r="D359" s="93" t="s">
        <v>9</v>
      </c>
      <c r="E359" s="93" t="s">
        <v>9</v>
      </c>
      <c r="F359" s="93" t="s">
        <v>7070</v>
      </c>
      <c r="G359" s="93" t="s">
        <v>9123</v>
      </c>
      <c r="H359" s="93" t="s">
        <v>6</v>
      </c>
      <c r="I359" s="93" t="s">
        <v>111</v>
      </c>
      <c r="J359" s="93" t="s">
        <v>1807</v>
      </c>
      <c r="K359" s="93">
        <v>120</v>
      </c>
      <c r="L359" s="93">
        <v>1</v>
      </c>
      <c r="M359" s="93">
        <v>30.125</v>
      </c>
      <c r="N359" s="93" t="s">
        <v>113</v>
      </c>
      <c r="O359" s="93">
        <v>89.4</v>
      </c>
      <c r="P359" s="93">
        <v>25.8</v>
      </c>
      <c r="Q359" s="93">
        <v>74.5</v>
      </c>
      <c r="R359" s="93" t="s">
        <v>123</v>
      </c>
      <c r="S359" s="93" t="s">
        <v>18</v>
      </c>
      <c r="T359" s="93" t="s">
        <v>397</v>
      </c>
      <c r="U359" s="93" t="s">
        <v>116</v>
      </c>
      <c r="V359" s="94">
        <v>44628.513194444444</v>
      </c>
      <c r="W359" s="93" t="s">
        <v>1167</v>
      </c>
      <c r="X359" s="93" t="s">
        <v>9</v>
      </c>
    </row>
    <row r="360" spans="1:24" hidden="1" x14ac:dyDescent="0.15">
      <c r="A360" s="93" t="s">
        <v>1726</v>
      </c>
      <c r="B360" s="93" t="s">
        <v>1727</v>
      </c>
      <c r="C360" s="410">
        <v>8152.92</v>
      </c>
      <c r="D360" s="93" t="s">
        <v>9</v>
      </c>
      <c r="E360" s="93" t="s">
        <v>24</v>
      </c>
      <c r="F360" s="93" t="s">
        <v>7070</v>
      </c>
      <c r="G360" s="93" t="s">
        <v>9123</v>
      </c>
      <c r="H360" s="93" t="s">
        <v>6</v>
      </c>
      <c r="I360" s="93" t="s">
        <v>111</v>
      </c>
      <c r="J360" s="93" t="s">
        <v>1807</v>
      </c>
      <c r="K360" s="93">
        <v>120</v>
      </c>
      <c r="L360" s="93">
        <v>1</v>
      </c>
      <c r="M360" s="93">
        <v>30.125</v>
      </c>
      <c r="N360" s="93" t="s">
        <v>113</v>
      </c>
      <c r="O360" s="93">
        <v>89.4</v>
      </c>
      <c r="P360" s="93">
        <v>25.8</v>
      </c>
      <c r="Q360" s="93">
        <v>74.5</v>
      </c>
      <c r="R360" s="93" t="s">
        <v>123</v>
      </c>
      <c r="S360" s="93" t="s">
        <v>18</v>
      </c>
      <c r="T360" s="93" t="s">
        <v>383</v>
      </c>
      <c r="U360" s="93" t="s">
        <v>116</v>
      </c>
      <c r="V360" s="94">
        <v>44628.470138888886</v>
      </c>
      <c r="W360" s="93" t="s">
        <v>1170</v>
      </c>
      <c r="X360" s="93" t="s">
        <v>9</v>
      </c>
    </row>
    <row r="361" spans="1:24" hidden="1" x14ac:dyDescent="0.15">
      <c r="A361" s="93" t="s">
        <v>1728</v>
      </c>
      <c r="B361" s="93" t="s">
        <v>1729</v>
      </c>
      <c r="C361" s="410">
        <v>8152.92</v>
      </c>
      <c r="D361" s="93" t="s">
        <v>9</v>
      </c>
      <c r="E361" s="93" t="s">
        <v>24</v>
      </c>
      <c r="F361" s="93" t="s">
        <v>7070</v>
      </c>
      <c r="G361" s="93" t="s">
        <v>9123</v>
      </c>
      <c r="H361" s="93" t="s">
        <v>6</v>
      </c>
      <c r="I361" s="93" t="s">
        <v>111</v>
      </c>
      <c r="J361" s="93" t="s">
        <v>1807</v>
      </c>
      <c r="K361" s="93">
        <v>120</v>
      </c>
      <c r="L361" s="93">
        <v>1</v>
      </c>
      <c r="M361" s="93">
        <v>30.125</v>
      </c>
      <c r="N361" s="93" t="s">
        <v>113</v>
      </c>
      <c r="O361" s="93">
        <v>89.4</v>
      </c>
      <c r="P361" s="93">
        <v>25.8</v>
      </c>
      <c r="Q361" s="93">
        <v>74.5</v>
      </c>
      <c r="R361" s="93" t="s">
        <v>123</v>
      </c>
      <c r="S361" s="93" t="s">
        <v>18</v>
      </c>
      <c r="T361" s="93" t="s">
        <v>397</v>
      </c>
      <c r="U361" s="93" t="s">
        <v>116</v>
      </c>
      <c r="V361" s="94">
        <v>44628.577777777777</v>
      </c>
      <c r="W361" s="93" t="s">
        <v>1167</v>
      </c>
      <c r="X361" s="93" t="s">
        <v>9</v>
      </c>
    </row>
    <row r="362" spans="1:24" hidden="1" x14ac:dyDescent="0.15">
      <c r="A362" s="93" t="s">
        <v>1730</v>
      </c>
      <c r="B362" s="93" t="s">
        <v>1731</v>
      </c>
      <c r="C362" s="410">
        <v>1834.92</v>
      </c>
      <c r="D362" s="93" t="s">
        <v>9</v>
      </c>
      <c r="E362" s="93" t="s">
        <v>24</v>
      </c>
      <c r="F362" s="93" t="s">
        <v>7070</v>
      </c>
      <c r="G362" s="93" t="s">
        <v>9122</v>
      </c>
      <c r="H362" s="93" t="s">
        <v>6</v>
      </c>
      <c r="I362" s="93" t="s">
        <v>111</v>
      </c>
      <c r="J362" s="93" t="s">
        <v>1687</v>
      </c>
      <c r="K362" s="93">
        <v>120</v>
      </c>
      <c r="L362" s="93">
        <v>1</v>
      </c>
      <c r="M362" s="93">
        <v>1.75</v>
      </c>
      <c r="N362" s="93" t="s">
        <v>113</v>
      </c>
      <c r="O362" s="93">
        <v>14</v>
      </c>
      <c r="P362" s="93">
        <v>20</v>
      </c>
      <c r="Q362" s="93">
        <v>33</v>
      </c>
      <c r="R362" s="93" t="s">
        <v>123</v>
      </c>
      <c r="S362" s="93" t="s">
        <v>18</v>
      </c>
      <c r="T362" s="93" t="s">
        <v>383</v>
      </c>
      <c r="U362" s="93" t="s">
        <v>116</v>
      </c>
      <c r="V362" s="94">
        <v>44628.536805555559</v>
      </c>
      <c r="W362" s="93" t="s">
        <v>1170</v>
      </c>
      <c r="X362" s="93" t="s">
        <v>9</v>
      </c>
    </row>
    <row r="363" spans="1:24" hidden="1" x14ac:dyDescent="0.15">
      <c r="A363" s="93" t="s">
        <v>1732</v>
      </c>
      <c r="B363" s="93" t="s">
        <v>1733</v>
      </c>
      <c r="C363" s="410">
        <v>2050.92</v>
      </c>
      <c r="D363" s="93" t="s">
        <v>9</v>
      </c>
      <c r="E363" s="93" t="s">
        <v>24</v>
      </c>
      <c r="F363" s="93" t="s">
        <v>7070</v>
      </c>
      <c r="G363" s="93" t="s">
        <v>9122</v>
      </c>
      <c r="H363" s="93" t="s">
        <v>6</v>
      </c>
      <c r="I363" s="93" t="s">
        <v>111</v>
      </c>
      <c r="J363" s="93" t="s">
        <v>1687</v>
      </c>
      <c r="K363" s="93">
        <v>120</v>
      </c>
      <c r="L363" s="93">
        <v>1</v>
      </c>
      <c r="M363" s="93">
        <v>1.75</v>
      </c>
      <c r="N363" s="93" t="s">
        <v>113</v>
      </c>
      <c r="O363" s="93">
        <v>14</v>
      </c>
      <c r="P363" s="93">
        <v>20</v>
      </c>
      <c r="Q363" s="93">
        <v>33</v>
      </c>
      <c r="R363" s="93" t="s">
        <v>123</v>
      </c>
      <c r="S363" s="93" t="s">
        <v>18</v>
      </c>
      <c r="T363" s="93" t="s">
        <v>383</v>
      </c>
      <c r="U363" s="93" t="s">
        <v>116</v>
      </c>
      <c r="V363" s="94">
        <v>44628.601388888892</v>
      </c>
      <c r="W363" s="93" t="s">
        <v>1170</v>
      </c>
      <c r="X363" s="93" t="s">
        <v>9</v>
      </c>
    </row>
    <row r="364" spans="1:24" hidden="1" x14ac:dyDescent="0.15">
      <c r="A364" s="93" t="s">
        <v>1734</v>
      </c>
      <c r="B364" s="93" t="s">
        <v>1735</v>
      </c>
      <c r="C364" s="410">
        <v>1834.92</v>
      </c>
      <c r="D364" s="93" t="s">
        <v>9</v>
      </c>
      <c r="E364" s="93" t="s">
        <v>24</v>
      </c>
      <c r="F364" s="93" t="s">
        <v>7070</v>
      </c>
      <c r="G364" s="93" t="s">
        <v>9122</v>
      </c>
      <c r="H364" s="93" t="s">
        <v>6</v>
      </c>
      <c r="I364" s="93" t="s">
        <v>111</v>
      </c>
      <c r="J364" s="93" t="s">
        <v>1687</v>
      </c>
      <c r="K364" s="93">
        <v>120</v>
      </c>
      <c r="L364" s="93">
        <v>1</v>
      </c>
      <c r="M364" s="93">
        <v>1.75</v>
      </c>
      <c r="N364" s="93" t="s">
        <v>113</v>
      </c>
      <c r="O364" s="93">
        <v>14</v>
      </c>
      <c r="P364" s="93">
        <v>20</v>
      </c>
      <c r="Q364" s="93">
        <v>33</v>
      </c>
      <c r="R364" s="93" t="s">
        <v>123</v>
      </c>
      <c r="S364" s="93" t="s">
        <v>18</v>
      </c>
      <c r="T364" s="93" t="s">
        <v>1623</v>
      </c>
      <c r="U364" s="93" t="s">
        <v>116</v>
      </c>
      <c r="V364" s="94">
        <v>44628.47152777778</v>
      </c>
      <c r="W364" s="93" t="s">
        <v>1170</v>
      </c>
      <c r="X364" s="93" t="s">
        <v>9</v>
      </c>
    </row>
    <row r="365" spans="1:24" hidden="1" x14ac:dyDescent="0.15">
      <c r="A365" s="93" t="s">
        <v>1736</v>
      </c>
      <c r="B365" s="93" t="s">
        <v>1737</v>
      </c>
      <c r="C365" s="410">
        <v>2050.92</v>
      </c>
      <c r="D365" s="93" t="s">
        <v>9</v>
      </c>
      <c r="E365" s="93" t="s">
        <v>24</v>
      </c>
      <c r="F365" s="93" t="s">
        <v>7070</v>
      </c>
      <c r="G365" s="93" t="s">
        <v>9122</v>
      </c>
      <c r="H365" s="93" t="s">
        <v>6</v>
      </c>
      <c r="I365" s="93" t="s">
        <v>111</v>
      </c>
      <c r="J365" s="93" t="s">
        <v>1687</v>
      </c>
      <c r="K365" s="93">
        <v>120</v>
      </c>
      <c r="L365" s="93">
        <v>1</v>
      </c>
      <c r="M365" s="93">
        <v>1.75</v>
      </c>
      <c r="N365" s="93" t="s">
        <v>113</v>
      </c>
      <c r="O365" s="93">
        <v>14</v>
      </c>
      <c r="P365" s="93">
        <v>20</v>
      </c>
      <c r="Q365" s="93">
        <v>33</v>
      </c>
      <c r="R365" s="93" t="s">
        <v>123</v>
      </c>
      <c r="S365" s="93" t="s">
        <v>18</v>
      </c>
      <c r="T365" s="93" t="s">
        <v>1623</v>
      </c>
      <c r="U365" s="93" t="s">
        <v>116</v>
      </c>
      <c r="V365" s="94">
        <v>44628.557638888888</v>
      </c>
      <c r="W365" s="93" t="s">
        <v>1170</v>
      </c>
      <c r="X365" s="93" t="s">
        <v>9</v>
      </c>
    </row>
    <row r="366" spans="1:24" hidden="1" x14ac:dyDescent="0.15">
      <c r="A366" s="93" t="s">
        <v>1738</v>
      </c>
      <c r="B366" s="93" t="s">
        <v>1739</v>
      </c>
      <c r="C366" s="410">
        <v>1063.8</v>
      </c>
      <c r="D366" s="93" t="s">
        <v>9</v>
      </c>
      <c r="E366" s="93" t="s">
        <v>9</v>
      </c>
      <c r="F366" s="93" t="s">
        <v>7070</v>
      </c>
      <c r="G366" s="93" t="s">
        <v>9124</v>
      </c>
      <c r="H366" s="93" t="s">
        <v>1690</v>
      </c>
      <c r="I366" s="93" t="s">
        <v>111</v>
      </c>
      <c r="J366" s="93" t="s">
        <v>1687</v>
      </c>
      <c r="K366" s="93">
        <v>120</v>
      </c>
      <c r="L366" s="93">
        <v>1</v>
      </c>
      <c r="M366" s="93">
        <v>1.7</v>
      </c>
      <c r="N366" s="93" t="s">
        <v>113</v>
      </c>
      <c r="O366" s="93">
        <v>15.2</v>
      </c>
      <c r="P366" s="93">
        <v>20</v>
      </c>
      <c r="Q366" s="93">
        <v>33</v>
      </c>
      <c r="R366" s="93" t="s">
        <v>123</v>
      </c>
      <c r="S366" s="93" t="s">
        <v>18</v>
      </c>
      <c r="T366" s="93" t="s">
        <v>383</v>
      </c>
      <c r="U366" s="93" t="s">
        <v>116</v>
      </c>
      <c r="V366" s="94">
        <v>44628.559027777781</v>
      </c>
      <c r="W366" s="93" t="s">
        <v>1170</v>
      </c>
      <c r="X366" s="93" t="s">
        <v>9</v>
      </c>
    </row>
    <row r="367" spans="1:24" hidden="1" x14ac:dyDescent="0.15">
      <c r="A367" s="93" t="s">
        <v>1740</v>
      </c>
      <c r="B367" s="93" t="s">
        <v>1741</v>
      </c>
      <c r="C367" s="410">
        <v>1171.8</v>
      </c>
      <c r="D367" s="93" t="s">
        <v>9</v>
      </c>
      <c r="E367" s="93" t="s">
        <v>9</v>
      </c>
      <c r="F367" s="93" t="s">
        <v>7070</v>
      </c>
      <c r="G367" s="93" t="s">
        <v>9124</v>
      </c>
      <c r="H367" s="93" t="s">
        <v>1690</v>
      </c>
      <c r="I367" s="93" t="s">
        <v>111</v>
      </c>
      <c r="J367" s="93" t="s">
        <v>1687</v>
      </c>
      <c r="K367" s="93">
        <v>120</v>
      </c>
      <c r="L367" s="93">
        <v>1</v>
      </c>
      <c r="M367" s="93">
        <v>2.9</v>
      </c>
      <c r="N367" s="93" t="s">
        <v>113</v>
      </c>
      <c r="O367" s="93">
        <v>13</v>
      </c>
      <c r="P367" s="93">
        <v>34</v>
      </c>
      <c r="Q367" s="93">
        <v>36.799999999999997</v>
      </c>
      <c r="R367" s="93" t="s">
        <v>123</v>
      </c>
      <c r="S367" s="93" t="s">
        <v>18</v>
      </c>
      <c r="T367" s="93" t="s">
        <v>383</v>
      </c>
      <c r="U367" s="93" t="s">
        <v>116</v>
      </c>
      <c r="V367" s="94">
        <v>44628.581250000003</v>
      </c>
      <c r="W367" s="93" t="s">
        <v>1170</v>
      </c>
      <c r="X367" s="93" t="s">
        <v>9</v>
      </c>
    </row>
    <row r="368" spans="1:24" hidden="1" x14ac:dyDescent="0.15">
      <c r="A368" s="93" t="s">
        <v>1742</v>
      </c>
      <c r="B368" s="93" t="s">
        <v>1743</v>
      </c>
      <c r="C368" s="410">
        <v>1063.8</v>
      </c>
      <c r="D368" s="93" t="s">
        <v>9</v>
      </c>
      <c r="E368" s="93" t="s">
        <v>9</v>
      </c>
      <c r="F368" s="93" t="s">
        <v>7070</v>
      </c>
      <c r="G368" s="93" t="s">
        <v>9124</v>
      </c>
      <c r="H368" s="93" t="s">
        <v>1690</v>
      </c>
      <c r="I368" s="93" t="s">
        <v>111</v>
      </c>
      <c r="J368" s="93" t="s">
        <v>1687</v>
      </c>
      <c r="K368" s="93">
        <v>120</v>
      </c>
      <c r="L368" s="93">
        <v>1</v>
      </c>
      <c r="M368" s="93">
        <v>1.7</v>
      </c>
      <c r="N368" s="93" t="s">
        <v>113</v>
      </c>
      <c r="O368" s="93">
        <v>15.2</v>
      </c>
      <c r="P368" s="93">
        <v>20</v>
      </c>
      <c r="Q368" s="93">
        <v>33</v>
      </c>
      <c r="R368" s="93" t="s">
        <v>123</v>
      </c>
      <c r="S368" s="93" t="s">
        <v>18</v>
      </c>
      <c r="T368" s="93" t="s">
        <v>1623</v>
      </c>
      <c r="U368" s="93" t="s">
        <v>116</v>
      </c>
      <c r="V368" s="94">
        <v>44628.47152777778</v>
      </c>
      <c r="W368" s="93" t="s">
        <v>1170</v>
      </c>
      <c r="X368" s="93" t="s">
        <v>24</v>
      </c>
    </row>
    <row r="369" spans="1:24" hidden="1" x14ac:dyDescent="0.15">
      <c r="A369" s="93" t="s">
        <v>1744</v>
      </c>
      <c r="B369" s="93" t="s">
        <v>1745</v>
      </c>
      <c r="C369" s="410">
        <v>1171.8</v>
      </c>
      <c r="D369" s="93" t="s">
        <v>9</v>
      </c>
      <c r="E369" s="93" t="s">
        <v>9</v>
      </c>
      <c r="F369" s="93" t="s">
        <v>7070</v>
      </c>
      <c r="G369" s="93" t="s">
        <v>9124</v>
      </c>
      <c r="H369" s="93" t="s">
        <v>1690</v>
      </c>
      <c r="I369" s="93" t="s">
        <v>111</v>
      </c>
      <c r="J369" s="93" t="s">
        <v>1687</v>
      </c>
      <c r="K369" s="93">
        <v>120</v>
      </c>
      <c r="L369" s="93">
        <v>1</v>
      </c>
      <c r="M369" s="93">
        <v>0.9</v>
      </c>
      <c r="N369" s="93" t="s">
        <v>113</v>
      </c>
      <c r="O369" s="93">
        <v>117.5</v>
      </c>
      <c r="P369" s="93">
        <v>333</v>
      </c>
      <c r="Q369" s="93">
        <v>368</v>
      </c>
      <c r="R369" s="93" t="s">
        <v>123</v>
      </c>
      <c r="S369" s="93" t="s">
        <v>18</v>
      </c>
      <c r="T369" s="93" t="s">
        <v>1623</v>
      </c>
      <c r="U369" s="93" t="s">
        <v>116</v>
      </c>
      <c r="V369" s="94">
        <v>44628.601388888892</v>
      </c>
      <c r="W369" s="93" t="s">
        <v>1170</v>
      </c>
      <c r="X369" s="93" t="s">
        <v>24</v>
      </c>
    </row>
    <row r="370" spans="1:24" hidden="1" x14ac:dyDescent="0.15">
      <c r="A370" s="93" t="s">
        <v>1746</v>
      </c>
      <c r="B370" s="93" t="s">
        <v>1747</v>
      </c>
      <c r="C370" s="410">
        <v>409.32</v>
      </c>
      <c r="D370" s="93" t="s">
        <v>9</v>
      </c>
      <c r="E370" s="93" t="s">
        <v>9</v>
      </c>
      <c r="F370" s="93" t="s">
        <v>7070</v>
      </c>
      <c r="G370" s="93" t="s">
        <v>9125</v>
      </c>
      <c r="H370" s="93" t="s">
        <v>1690</v>
      </c>
      <c r="I370" s="93" t="s">
        <v>111</v>
      </c>
      <c r="J370" s="93" t="s">
        <v>647</v>
      </c>
      <c r="K370" s="93">
        <v>120</v>
      </c>
      <c r="L370" s="93">
        <v>20</v>
      </c>
      <c r="M370" s="93">
        <v>0</v>
      </c>
      <c r="N370" s="93" t="s">
        <v>1221</v>
      </c>
      <c r="O370" s="93" t="s">
        <v>111</v>
      </c>
      <c r="P370" s="93" t="s">
        <v>111</v>
      </c>
      <c r="Q370" s="93" t="s">
        <v>111</v>
      </c>
      <c r="R370" s="93" t="s">
        <v>396</v>
      </c>
      <c r="S370" s="93" t="s">
        <v>18</v>
      </c>
      <c r="T370" s="93" t="s">
        <v>383</v>
      </c>
      <c r="U370" s="93" t="s">
        <v>116</v>
      </c>
      <c r="V370" s="94">
        <v>44628.488888888889</v>
      </c>
      <c r="W370" s="93" t="s">
        <v>1170</v>
      </c>
      <c r="X370" s="93" t="s">
        <v>9</v>
      </c>
    </row>
    <row r="371" spans="1:24" hidden="1" x14ac:dyDescent="0.15">
      <c r="A371" s="93" t="s">
        <v>1748</v>
      </c>
      <c r="B371" s="93" t="s">
        <v>1749</v>
      </c>
      <c r="C371" s="410">
        <v>409.32</v>
      </c>
      <c r="D371" s="93" t="s">
        <v>9</v>
      </c>
      <c r="E371" s="93" t="s">
        <v>9</v>
      </c>
      <c r="F371" s="93" t="s">
        <v>7070</v>
      </c>
      <c r="G371" s="93" t="s">
        <v>9125</v>
      </c>
      <c r="H371" s="93" t="s">
        <v>1205</v>
      </c>
      <c r="I371" s="93" t="s">
        <v>111</v>
      </c>
      <c r="J371" s="93" t="s">
        <v>647</v>
      </c>
      <c r="K371" s="93">
        <v>120</v>
      </c>
      <c r="L371" s="93">
        <v>20</v>
      </c>
      <c r="M371" s="93">
        <v>0.3</v>
      </c>
      <c r="N371" s="93" t="s">
        <v>113</v>
      </c>
      <c r="O371" s="93" t="s">
        <v>111</v>
      </c>
      <c r="P371" s="93" t="s">
        <v>111</v>
      </c>
      <c r="Q371" s="93" t="s">
        <v>111</v>
      </c>
      <c r="R371" s="93" t="s">
        <v>396</v>
      </c>
      <c r="S371" s="93" t="s">
        <v>18</v>
      </c>
      <c r="T371" s="93" t="s">
        <v>397</v>
      </c>
      <c r="U371" s="93" t="s">
        <v>116</v>
      </c>
      <c r="V371" s="94">
        <v>44628.467361111114</v>
      </c>
      <c r="W371" s="93" t="s">
        <v>1170</v>
      </c>
      <c r="X371" s="93" t="s">
        <v>9</v>
      </c>
    </row>
    <row r="372" spans="1:24" hidden="1" x14ac:dyDescent="0.15">
      <c r="A372" s="93" t="s">
        <v>1750</v>
      </c>
      <c r="B372" s="93" t="s">
        <v>1751</v>
      </c>
      <c r="C372" s="410">
        <v>749.52</v>
      </c>
      <c r="D372" s="93" t="s">
        <v>9</v>
      </c>
      <c r="E372" s="93" t="s">
        <v>9</v>
      </c>
      <c r="F372" s="93" t="s">
        <v>7070</v>
      </c>
      <c r="G372" s="93" t="s">
        <v>9126</v>
      </c>
      <c r="H372" s="93" t="s">
        <v>1205</v>
      </c>
      <c r="I372" s="93" t="s">
        <v>111</v>
      </c>
      <c r="J372" s="93" t="s">
        <v>1687</v>
      </c>
      <c r="K372" s="93">
        <v>120</v>
      </c>
      <c r="L372" s="93">
        <v>1</v>
      </c>
      <c r="M372" s="93">
        <v>1.7</v>
      </c>
      <c r="N372" s="93" t="s">
        <v>113</v>
      </c>
      <c r="O372" s="93">
        <v>15.2</v>
      </c>
      <c r="P372" s="93">
        <v>20</v>
      </c>
      <c r="Q372" s="93">
        <v>33</v>
      </c>
      <c r="R372" s="93" t="s">
        <v>123</v>
      </c>
      <c r="S372" s="93" t="s">
        <v>18</v>
      </c>
      <c r="T372" s="93" t="s">
        <v>1623</v>
      </c>
      <c r="U372" s="93" t="s">
        <v>116</v>
      </c>
      <c r="V372" s="94">
        <v>44628.559027777781</v>
      </c>
      <c r="W372" s="93" t="s">
        <v>1170</v>
      </c>
      <c r="X372" s="93" t="s">
        <v>9</v>
      </c>
    </row>
    <row r="373" spans="1:24" hidden="1" x14ac:dyDescent="0.15">
      <c r="A373" s="93" t="s">
        <v>1752</v>
      </c>
      <c r="B373" s="93" t="s">
        <v>1753</v>
      </c>
      <c r="C373" s="410">
        <v>814.32</v>
      </c>
      <c r="D373" s="93" t="s">
        <v>9</v>
      </c>
      <c r="E373" s="93" t="s">
        <v>9</v>
      </c>
      <c r="F373" s="93" t="s">
        <v>7070</v>
      </c>
      <c r="G373" s="93" t="s">
        <v>9126</v>
      </c>
      <c r="H373" s="93" t="s">
        <v>1205</v>
      </c>
      <c r="I373" s="93" t="s">
        <v>111</v>
      </c>
      <c r="J373" s="93" t="s">
        <v>1687</v>
      </c>
      <c r="K373" s="93">
        <v>120</v>
      </c>
      <c r="L373" s="93">
        <v>1</v>
      </c>
      <c r="M373" s="93">
        <v>2.9</v>
      </c>
      <c r="N373" s="93" t="s">
        <v>113</v>
      </c>
      <c r="O373" s="93">
        <v>13</v>
      </c>
      <c r="P373" s="93">
        <v>34</v>
      </c>
      <c r="Q373" s="93">
        <v>36.799999999999997</v>
      </c>
      <c r="R373" s="93" t="s">
        <v>123</v>
      </c>
      <c r="S373" s="93" t="s">
        <v>18</v>
      </c>
      <c r="T373" s="93" t="s">
        <v>1623</v>
      </c>
      <c r="U373" s="93" t="s">
        <v>116</v>
      </c>
      <c r="V373" s="94">
        <v>44628.602777777778</v>
      </c>
      <c r="W373" s="93" t="s">
        <v>1170</v>
      </c>
      <c r="X373" s="93" t="s">
        <v>9</v>
      </c>
    </row>
    <row r="374" spans="1:24" hidden="1" x14ac:dyDescent="0.15">
      <c r="A374" s="93" t="s">
        <v>1754</v>
      </c>
      <c r="B374" s="93" t="s">
        <v>1755</v>
      </c>
      <c r="C374" s="410">
        <v>590.76</v>
      </c>
      <c r="D374" s="93" t="s">
        <v>24</v>
      </c>
      <c r="E374" s="93" t="s">
        <v>24</v>
      </c>
      <c r="F374" s="93" t="s">
        <v>7070</v>
      </c>
      <c r="G374" s="93" t="s">
        <v>7168</v>
      </c>
      <c r="H374" s="93" t="s">
        <v>1198</v>
      </c>
      <c r="I374" s="93" t="s">
        <v>111</v>
      </c>
      <c r="J374" s="93" t="s">
        <v>387</v>
      </c>
      <c r="K374" s="93">
        <v>60</v>
      </c>
      <c r="L374" s="93" t="s">
        <v>111</v>
      </c>
      <c r="M374" s="93">
        <v>7.5</v>
      </c>
      <c r="N374" s="93" t="s">
        <v>113</v>
      </c>
      <c r="O374" s="93">
        <v>23</v>
      </c>
      <c r="P374" s="93">
        <v>24</v>
      </c>
      <c r="Q374" s="93">
        <v>81</v>
      </c>
      <c r="R374" s="93" t="s">
        <v>117</v>
      </c>
      <c r="S374" s="93" t="s">
        <v>20</v>
      </c>
      <c r="T374" s="93" t="s">
        <v>115</v>
      </c>
      <c r="U374" s="93" t="s">
        <v>116</v>
      </c>
      <c r="V374" s="94">
        <v>44628.521527777775</v>
      </c>
      <c r="W374" s="93" t="s">
        <v>1170</v>
      </c>
      <c r="X374" s="93" t="s">
        <v>9</v>
      </c>
    </row>
    <row r="375" spans="1:24" hidden="1" x14ac:dyDescent="0.15">
      <c r="A375" s="93" t="s">
        <v>1757</v>
      </c>
      <c r="B375" s="93" t="s">
        <v>1758</v>
      </c>
      <c r="C375" s="410">
        <v>376.92</v>
      </c>
      <c r="D375" s="93" t="s">
        <v>24</v>
      </c>
      <c r="E375" s="93" t="s">
        <v>24</v>
      </c>
      <c r="F375" s="93" t="s">
        <v>7070</v>
      </c>
      <c r="G375" s="93" t="s">
        <v>7175</v>
      </c>
      <c r="H375" s="93" t="s">
        <v>1198</v>
      </c>
      <c r="I375" s="93" t="s">
        <v>111</v>
      </c>
      <c r="J375" s="93" t="s">
        <v>1759</v>
      </c>
      <c r="K375" s="93">
        <v>70</v>
      </c>
      <c r="L375" s="93" t="s">
        <v>111</v>
      </c>
      <c r="M375" s="93">
        <v>7.27</v>
      </c>
      <c r="N375" s="93" t="s">
        <v>113</v>
      </c>
      <c r="O375" s="93">
        <v>19</v>
      </c>
      <c r="P375" s="93">
        <v>19.5</v>
      </c>
      <c r="Q375" s="93">
        <v>64</v>
      </c>
      <c r="R375" s="93" t="s">
        <v>117</v>
      </c>
      <c r="S375" s="93" t="s">
        <v>20</v>
      </c>
      <c r="T375" s="93" t="s">
        <v>115</v>
      </c>
      <c r="U375" s="93" t="s">
        <v>116</v>
      </c>
      <c r="V375" s="94">
        <v>44628.515277777777</v>
      </c>
      <c r="W375" s="93" t="s">
        <v>1170</v>
      </c>
      <c r="X375" s="93" t="s">
        <v>24</v>
      </c>
    </row>
    <row r="376" spans="1:24" hidden="1" x14ac:dyDescent="0.15">
      <c r="A376" s="93" t="s">
        <v>9127</v>
      </c>
      <c r="B376" s="93" t="s">
        <v>1758</v>
      </c>
      <c r="C376" s="410">
        <v>376.92</v>
      </c>
      <c r="D376" s="93" t="s">
        <v>24</v>
      </c>
      <c r="E376" s="93" t="s">
        <v>24</v>
      </c>
      <c r="F376" s="93" t="s">
        <v>7070</v>
      </c>
      <c r="G376" s="93" t="s">
        <v>7175</v>
      </c>
      <c r="H376" s="93" t="s">
        <v>1198</v>
      </c>
      <c r="I376" s="93" t="s">
        <v>111</v>
      </c>
      <c r="J376" s="93" t="s">
        <v>1759</v>
      </c>
      <c r="K376" s="93">
        <v>70</v>
      </c>
      <c r="L376" s="93" t="s">
        <v>111</v>
      </c>
      <c r="M376" s="93" t="s">
        <v>111</v>
      </c>
      <c r="N376" s="93" t="s">
        <v>111</v>
      </c>
      <c r="O376" s="93" t="s">
        <v>111</v>
      </c>
      <c r="P376" s="93" t="s">
        <v>111</v>
      </c>
      <c r="Q376" s="93" t="s">
        <v>111</v>
      </c>
      <c r="R376" s="93" t="s">
        <v>117</v>
      </c>
      <c r="S376" s="93" t="s">
        <v>20</v>
      </c>
      <c r="T376" s="93" t="s">
        <v>115</v>
      </c>
      <c r="U376" s="93" t="s">
        <v>116</v>
      </c>
      <c r="V376" s="94">
        <v>44628.491666666669</v>
      </c>
      <c r="W376" s="93" t="s">
        <v>1170</v>
      </c>
      <c r="X376" s="93" t="s">
        <v>24</v>
      </c>
    </row>
    <row r="377" spans="1:24" hidden="1" x14ac:dyDescent="0.15">
      <c r="A377" s="93" t="s">
        <v>1761</v>
      </c>
      <c r="B377" s="93" t="s">
        <v>1760</v>
      </c>
      <c r="C377" s="410">
        <v>3411.72</v>
      </c>
      <c r="D377" s="93" t="s">
        <v>9</v>
      </c>
      <c r="E377" s="93" t="s">
        <v>9</v>
      </c>
      <c r="F377" s="93" t="s">
        <v>7070</v>
      </c>
      <c r="G377" s="93" t="s">
        <v>9128</v>
      </c>
      <c r="H377" s="93" t="s">
        <v>6</v>
      </c>
      <c r="I377" s="93" t="s">
        <v>111</v>
      </c>
      <c r="J377" s="93" t="s">
        <v>1687</v>
      </c>
      <c r="K377" s="93">
        <v>120</v>
      </c>
      <c r="L377" s="93">
        <v>1</v>
      </c>
      <c r="M377" s="93">
        <v>1.75</v>
      </c>
      <c r="N377" s="93" t="s">
        <v>113</v>
      </c>
      <c r="O377" s="93">
        <v>14</v>
      </c>
      <c r="P377" s="93">
        <v>20</v>
      </c>
      <c r="Q377" s="93">
        <v>33</v>
      </c>
      <c r="R377" s="93" t="s">
        <v>123</v>
      </c>
      <c r="S377" s="93" t="s">
        <v>18</v>
      </c>
      <c r="T377" s="93" t="s">
        <v>383</v>
      </c>
      <c r="U377" s="93" t="s">
        <v>116</v>
      </c>
      <c r="V377" s="94">
        <v>44628.470833333333</v>
      </c>
      <c r="W377" s="93" t="s">
        <v>1170</v>
      </c>
      <c r="X377" s="93" t="s">
        <v>9</v>
      </c>
    </row>
    <row r="378" spans="1:24" hidden="1" x14ac:dyDescent="0.15">
      <c r="A378" s="93" t="s">
        <v>1762</v>
      </c>
      <c r="B378" s="93" t="s">
        <v>1763</v>
      </c>
      <c r="C378" s="410">
        <v>3411.72</v>
      </c>
      <c r="D378" s="93" t="s">
        <v>9</v>
      </c>
      <c r="E378" s="93" t="s">
        <v>9</v>
      </c>
      <c r="F378" s="93" t="s">
        <v>7070</v>
      </c>
      <c r="G378" s="93" t="s">
        <v>9128</v>
      </c>
      <c r="H378" s="93" t="s">
        <v>6</v>
      </c>
      <c r="I378" s="93" t="s">
        <v>111</v>
      </c>
      <c r="J378" s="93" t="s">
        <v>1687</v>
      </c>
      <c r="K378" s="93">
        <v>120</v>
      </c>
      <c r="L378" s="93">
        <v>1</v>
      </c>
      <c r="M378" s="93">
        <v>1.75</v>
      </c>
      <c r="N378" s="93" t="s">
        <v>113</v>
      </c>
      <c r="O378" s="93">
        <v>14</v>
      </c>
      <c r="P378" s="93">
        <v>20</v>
      </c>
      <c r="Q378" s="93">
        <v>33</v>
      </c>
      <c r="R378" s="93" t="s">
        <v>123</v>
      </c>
      <c r="S378" s="93" t="s">
        <v>18</v>
      </c>
      <c r="T378" s="93" t="s">
        <v>383</v>
      </c>
      <c r="U378" s="93" t="s">
        <v>116</v>
      </c>
      <c r="V378" s="94">
        <v>44628.491666666669</v>
      </c>
      <c r="W378" s="93" t="s">
        <v>1207</v>
      </c>
      <c r="X378" s="93" t="s">
        <v>9</v>
      </c>
    </row>
    <row r="379" spans="1:24" hidden="1" x14ac:dyDescent="0.15">
      <c r="A379" s="93" t="s">
        <v>1764</v>
      </c>
      <c r="B379" s="93" t="s">
        <v>1765</v>
      </c>
      <c r="C379" s="410">
        <v>3411.72</v>
      </c>
      <c r="D379" s="93" t="s">
        <v>9</v>
      </c>
      <c r="E379" s="93" t="s">
        <v>9</v>
      </c>
      <c r="F379" s="93" t="s">
        <v>7070</v>
      </c>
      <c r="G379" s="93" t="s">
        <v>9128</v>
      </c>
      <c r="H379" s="93" t="s">
        <v>6</v>
      </c>
      <c r="I379" s="93" t="s">
        <v>111</v>
      </c>
      <c r="J379" s="93" t="s">
        <v>1687</v>
      </c>
      <c r="K379" s="93">
        <v>120</v>
      </c>
      <c r="L379" s="93">
        <v>1</v>
      </c>
      <c r="M379" s="93">
        <v>1.75</v>
      </c>
      <c r="N379" s="93" t="s">
        <v>113</v>
      </c>
      <c r="O379" s="93">
        <v>14</v>
      </c>
      <c r="P379" s="93">
        <v>20</v>
      </c>
      <c r="Q379" s="93">
        <v>33</v>
      </c>
      <c r="R379" s="93" t="s">
        <v>123</v>
      </c>
      <c r="S379" s="93" t="s">
        <v>18</v>
      </c>
      <c r="T379" s="93" t="s">
        <v>1623</v>
      </c>
      <c r="U379" s="93" t="s">
        <v>116</v>
      </c>
      <c r="V379" s="94">
        <v>44628.491666666669</v>
      </c>
      <c r="W379" s="93" t="s">
        <v>1170</v>
      </c>
      <c r="X379" s="93" t="s">
        <v>9</v>
      </c>
    </row>
    <row r="380" spans="1:24" hidden="1" x14ac:dyDescent="0.15">
      <c r="A380" s="93" t="s">
        <v>1766</v>
      </c>
      <c r="B380" s="93" t="s">
        <v>1767</v>
      </c>
      <c r="C380" s="410">
        <v>3746.52</v>
      </c>
      <c r="D380" s="93" t="s">
        <v>9</v>
      </c>
      <c r="E380" s="93" t="s">
        <v>9</v>
      </c>
      <c r="F380" s="93" t="s">
        <v>7070</v>
      </c>
      <c r="G380" s="93" t="s">
        <v>9128</v>
      </c>
      <c r="H380" s="93" t="s">
        <v>6</v>
      </c>
      <c r="I380" s="93" t="s">
        <v>111</v>
      </c>
      <c r="J380" s="93" t="s">
        <v>1687</v>
      </c>
      <c r="K380" s="93">
        <v>120</v>
      </c>
      <c r="L380" s="93">
        <v>1</v>
      </c>
      <c r="M380" s="93">
        <v>7.7</v>
      </c>
      <c r="N380" s="93" t="s">
        <v>113</v>
      </c>
      <c r="O380" s="93">
        <v>18.3</v>
      </c>
      <c r="P380" s="93">
        <v>18.600000000000001</v>
      </c>
      <c r="Q380" s="93">
        <v>62.6</v>
      </c>
      <c r="R380" s="93" t="s">
        <v>123</v>
      </c>
      <c r="S380" s="93" t="s">
        <v>18</v>
      </c>
      <c r="T380" s="93" t="s">
        <v>383</v>
      </c>
      <c r="U380" s="93" t="s">
        <v>116</v>
      </c>
      <c r="V380" s="94">
        <v>44628.602777777778</v>
      </c>
      <c r="W380" s="93" t="s">
        <v>1170</v>
      </c>
      <c r="X380" s="93" t="s">
        <v>9</v>
      </c>
    </row>
    <row r="381" spans="1:24" hidden="1" x14ac:dyDescent="0.15">
      <c r="A381" s="93" t="s">
        <v>1768</v>
      </c>
      <c r="B381" s="93" t="s">
        <v>1769</v>
      </c>
      <c r="C381" s="410">
        <v>3746.52</v>
      </c>
      <c r="D381" s="93" t="s">
        <v>9</v>
      </c>
      <c r="E381" s="93" t="s">
        <v>9</v>
      </c>
      <c r="F381" s="93" t="s">
        <v>7070</v>
      </c>
      <c r="G381" s="93" t="s">
        <v>9128</v>
      </c>
      <c r="H381" s="93" t="s">
        <v>6</v>
      </c>
      <c r="I381" s="93" t="s">
        <v>111</v>
      </c>
      <c r="J381" s="93" t="s">
        <v>1687</v>
      </c>
      <c r="K381" s="93">
        <v>120</v>
      </c>
      <c r="L381" s="93">
        <v>1</v>
      </c>
      <c r="M381" s="93">
        <v>7.7</v>
      </c>
      <c r="N381" s="93" t="s">
        <v>113</v>
      </c>
      <c r="O381" s="93">
        <v>18.3</v>
      </c>
      <c r="P381" s="93">
        <v>18.600000000000001</v>
      </c>
      <c r="Q381" s="93">
        <v>62.6</v>
      </c>
      <c r="R381" s="93" t="s">
        <v>123</v>
      </c>
      <c r="S381" s="93" t="s">
        <v>18</v>
      </c>
      <c r="T381" s="93" t="s">
        <v>383</v>
      </c>
      <c r="U381" s="93" t="s">
        <v>116</v>
      </c>
      <c r="V381" s="94">
        <v>44628.55972222222</v>
      </c>
      <c r="W381" s="93" t="s">
        <v>1170</v>
      </c>
      <c r="X381" s="93" t="s">
        <v>9</v>
      </c>
    </row>
    <row r="382" spans="1:24" hidden="1" x14ac:dyDescent="0.15">
      <c r="A382" s="93" t="s">
        <v>1770</v>
      </c>
      <c r="B382" s="93" t="s">
        <v>1771</v>
      </c>
      <c r="C382" s="410">
        <v>3746.52</v>
      </c>
      <c r="D382" s="93" t="s">
        <v>9</v>
      </c>
      <c r="E382" s="93" t="s">
        <v>9</v>
      </c>
      <c r="F382" s="93" t="s">
        <v>7070</v>
      </c>
      <c r="G382" s="93" t="s">
        <v>9128</v>
      </c>
      <c r="H382" s="93" t="s">
        <v>6</v>
      </c>
      <c r="I382" s="93" t="s">
        <v>111</v>
      </c>
      <c r="J382" s="93" t="s">
        <v>1687</v>
      </c>
      <c r="K382" s="93">
        <v>120</v>
      </c>
      <c r="L382" s="93">
        <v>1</v>
      </c>
      <c r="M382" s="93">
        <v>7.7</v>
      </c>
      <c r="N382" s="93" t="s">
        <v>113</v>
      </c>
      <c r="O382" s="93">
        <v>18.3</v>
      </c>
      <c r="P382" s="93">
        <v>18.600000000000001</v>
      </c>
      <c r="Q382" s="93">
        <v>62.6</v>
      </c>
      <c r="R382" s="93" t="s">
        <v>123</v>
      </c>
      <c r="S382" s="93" t="s">
        <v>18</v>
      </c>
      <c r="T382" s="93" t="s">
        <v>383</v>
      </c>
      <c r="U382" s="93" t="s">
        <v>116</v>
      </c>
      <c r="V382" s="94">
        <v>44628.602777777778</v>
      </c>
      <c r="W382" s="93" t="s">
        <v>1170</v>
      </c>
      <c r="X382" s="93" t="s">
        <v>9</v>
      </c>
    </row>
    <row r="383" spans="1:24" hidden="1" x14ac:dyDescent="0.15">
      <c r="A383" s="93" t="s">
        <v>1772</v>
      </c>
      <c r="B383" s="93" t="s">
        <v>1773</v>
      </c>
      <c r="C383" s="410">
        <v>3746.52</v>
      </c>
      <c r="D383" s="93" t="s">
        <v>9</v>
      </c>
      <c r="E383" s="93" t="s">
        <v>9</v>
      </c>
      <c r="F383" s="93" t="s">
        <v>7070</v>
      </c>
      <c r="G383" s="93" t="s">
        <v>9128</v>
      </c>
      <c r="H383" s="93" t="s">
        <v>6</v>
      </c>
      <c r="I383" s="93" t="s">
        <v>111</v>
      </c>
      <c r="J383" s="93" t="s">
        <v>1687</v>
      </c>
      <c r="K383" s="93">
        <v>120</v>
      </c>
      <c r="L383" s="93">
        <v>1</v>
      </c>
      <c r="M383" s="93">
        <v>7.7</v>
      </c>
      <c r="N383" s="93" t="s">
        <v>113</v>
      </c>
      <c r="O383" s="93">
        <v>18.3</v>
      </c>
      <c r="P383" s="93">
        <v>18.600000000000001</v>
      </c>
      <c r="Q383" s="93">
        <v>62.6</v>
      </c>
      <c r="R383" s="93" t="s">
        <v>123</v>
      </c>
      <c r="S383" s="93" t="s">
        <v>18</v>
      </c>
      <c r="T383" s="93" t="s">
        <v>1623</v>
      </c>
      <c r="U383" s="93" t="s">
        <v>116</v>
      </c>
      <c r="V383" s="94">
        <v>44628.602777777778</v>
      </c>
      <c r="W383" s="93" t="s">
        <v>1170</v>
      </c>
      <c r="X383" s="93" t="s">
        <v>9</v>
      </c>
    </row>
    <row r="384" spans="1:24" hidden="1" x14ac:dyDescent="0.15">
      <c r="A384" s="93" t="s">
        <v>1774</v>
      </c>
      <c r="B384" s="93" t="s">
        <v>1775</v>
      </c>
      <c r="C384" s="410">
        <v>6532.92</v>
      </c>
      <c r="D384" s="93" t="s">
        <v>9</v>
      </c>
      <c r="E384" s="93" t="s">
        <v>9</v>
      </c>
      <c r="F384" s="93" t="s">
        <v>7070</v>
      </c>
      <c r="G384" s="93" t="s">
        <v>9128</v>
      </c>
      <c r="H384" s="93" t="s">
        <v>6</v>
      </c>
      <c r="I384" s="93" t="s">
        <v>111</v>
      </c>
      <c r="J384" s="93" t="s">
        <v>1776</v>
      </c>
      <c r="K384" s="93">
        <v>120</v>
      </c>
      <c r="L384" s="93" t="s">
        <v>111</v>
      </c>
      <c r="M384" s="93">
        <v>1.75</v>
      </c>
      <c r="N384" s="93" t="s">
        <v>113</v>
      </c>
      <c r="O384" s="93">
        <v>14</v>
      </c>
      <c r="P384" s="93">
        <v>20</v>
      </c>
      <c r="Q384" s="93">
        <v>33</v>
      </c>
      <c r="R384" s="93" t="s">
        <v>123</v>
      </c>
      <c r="S384" s="93" t="s">
        <v>18</v>
      </c>
      <c r="T384" s="93" t="s">
        <v>383</v>
      </c>
      <c r="U384" s="93" t="s">
        <v>116</v>
      </c>
      <c r="V384" s="94">
        <v>44628.575694444444</v>
      </c>
      <c r="W384" s="93" t="s">
        <v>1170</v>
      </c>
      <c r="X384" s="93" t="s">
        <v>9</v>
      </c>
    </row>
    <row r="385" spans="1:24" hidden="1" x14ac:dyDescent="0.15">
      <c r="A385" s="93" t="s">
        <v>1777</v>
      </c>
      <c r="B385" s="93" t="s">
        <v>1778</v>
      </c>
      <c r="C385" s="410">
        <v>6532.92</v>
      </c>
      <c r="D385" s="93" t="s">
        <v>9</v>
      </c>
      <c r="E385" s="93" t="s">
        <v>9</v>
      </c>
      <c r="F385" s="93" t="s">
        <v>7070</v>
      </c>
      <c r="G385" s="93" t="s">
        <v>9128</v>
      </c>
      <c r="H385" s="93" t="s">
        <v>6</v>
      </c>
      <c r="I385" s="93" t="s">
        <v>111</v>
      </c>
      <c r="J385" s="93" t="s">
        <v>1776</v>
      </c>
      <c r="K385" s="93">
        <v>120</v>
      </c>
      <c r="L385" s="93" t="s">
        <v>111</v>
      </c>
      <c r="M385" s="93">
        <v>1.75</v>
      </c>
      <c r="N385" s="93" t="s">
        <v>113</v>
      </c>
      <c r="O385" s="93">
        <v>14</v>
      </c>
      <c r="P385" s="93">
        <v>20</v>
      </c>
      <c r="Q385" s="93">
        <v>33</v>
      </c>
      <c r="R385" s="93" t="s">
        <v>123</v>
      </c>
      <c r="S385" s="93" t="s">
        <v>18</v>
      </c>
      <c r="T385" s="93" t="s">
        <v>383</v>
      </c>
      <c r="U385" s="93" t="s">
        <v>395</v>
      </c>
      <c r="V385" s="94">
        <v>44628.633333333331</v>
      </c>
      <c r="W385" s="93" t="s">
        <v>1170</v>
      </c>
      <c r="X385" s="93" t="s">
        <v>9</v>
      </c>
    </row>
    <row r="386" spans="1:24" hidden="1" x14ac:dyDescent="0.15">
      <c r="A386" s="93" t="s">
        <v>1779</v>
      </c>
      <c r="B386" s="93" t="s">
        <v>1780</v>
      </c>
      <c r="C386" s="410">
        <v>6532.92</v>
      </c>
      <c r="D386" s="93" t="s">
        <v>9</v>
      </c>
      <c r="E386" s="93" t="s">
        <v>9</v>
      </c>
      <c r="F386" s="93" t="s">
        <v>7070</v>
      </c>
      <c r="G386" s="93" t="s">
        <v>9128</v>
      </c>
      <c r="H386" s="93" t="s">
        <v>6</v>
      </c>
      <c r="I386" s="93" t="s">
        <v>111</v>
      </c>
      <c r="J386" s="93" t="s">
        <v>1776</v>
      </c>
      <c r="K386" s="93">
        <v>120</v>
      </c>
      <c r="L386" s="93" t="s">
        <v>111</v>
      </c>
      <c r="M386" s="93">
        <v>1.75</v>
      </c>
      <c r="N386" s="93" t="s">
        <v>113</v>
      </c>
      <c r="O386" s="93">
        <v>14</v>
      </c>
      <c r="P386" s="93">
        <v>20</v>
      </c>
      <c r="Q386" s="93">
        <v>33</v>
      </c>
      <c r="R386" s="93" t="s">
        <v>123</v>
      </c>
      <c r="S386" s="93" t="s">
        <v>18</v>
      </c>
      <c r="T386" s="93" t="s">
        <v>383</v>
      </c>
      <c r="U386" s="93" t="s">
        <v>395</v>
      </c>
      <c r="V386" s="94">
        <v>44628.633333333331</v>
      </c>
      <c r="W386" s="93" t="s">
        <v>1170</v>
      </c>
      <c r="X386" s="93" t="s">
        <v>9</v>
      </c>
    </row>
    <row r="387" spans="1:24" hidden="1" x14ac:dyDescent="0.15">
      <c r="A387" s="93" t="s">
        <v>1781</v>
      </c>
      <c r="B387" s="93" t="s">
        <v>1782</v>
      </c>
      <c r="C387" s="410">
        <v>6867.72</v>
      </c>
      <c r="D387" s="93" t="s">
        <v>9</v>
      </c>
      <c r="E387" s="93" t="s">
        <v>9</v>
      </c>
      <c r="F387" s="93" t="s">
        <v>7070</v>
      </c>
      <c r="G387" s="93" t="s">
        <v>9128</v>
      </c>
      <c r="H387" s="93" t="s">
        <v>6</v>
      </c>
      <c r="I387" s="93" t="s">
        <v>111</v>
      </c>
      <c r="J387" s="93" t="s">
        <v>1776</v>
      </c>
      <c r="K387" s="93">
        <v>120</v>
      </c>
      <c r="L387" s="93" t="s">
        <v>111</v>
      </c>
      <c r="M387" s="93">
        <v>0.9</v>
      </c>
      <c r="N387" s="93" t="s">
        <v>113</v>
      </c>
      <c r="O387" s="93">
        <v>135</v>
      </c>
      <c r="P387" s="93">
        <v>500</v>
      </c>
      <c r="Q387" s="93">
        <v>400</v>
      </c>
      <c r="R387" s="93" t="s">
        <v>123</v>
      </c>
      <c r="S387" s="93" t="s">
        <v>18</v>
      </c>
      <c r="T387" s="93" t="s">
        <v>383</v>
      </c>
      <c r="U387" s="93" t="s">
        <v>116</v>
      </c>
      <c r="V387" s="94">
        <v>44628.511111111111</v>
      </c>
      <c r="W387" s="93" t="s">
        <v>1170</v>
      </c>
      <c r="X387" s="93" t="s">
        <v>9</v>
      </c>
    </row>
    <row r="388" spans="1:24" hidden="1" x14ac:dyDescent="0.15">
      <c r="A388" s="93" t="s">
        <v>1783</v>
      </c>
      <c r="B388" s="93" t="s">
        <v>1784</v>
      </c>
      <c r="C388" s="410">
        <v>6867.72</v>
      </c>
      <c r="D388" s="93" t="s">
        <v>9</v>
      </c>
      <c r="E388" s="93" t="s">
        <v>9</v>
      </c>
      <c r="F388" s="93" t="s">
        <v>7070</v>
      </c>
      <c r="G388" s="93" t="s">
        <v>9128</v>
      </c>
      <c r="H388" s="93" t="s">
        <v>6</v>
      </c>
      <c r="I388" s="93" t="s">
        <v>111</v>
      </c>
      <c r="J388" s="93" t="s">
        <v>1776</v>
      </c>
      <c r="K388" s="93">
        <v>120</v>
      </c>
      <c r="L388" s="93" t="s">
        <v>111</v>
      </c>
      <c r="M388" s="93">
        <v>0.9</v>
      </c>
      <c r="N388" s="93" t="s">
        <v>113</v>
      </c>
      <c r="O388" s="93">
        <v>135</v>
      </c>
      <c r="P388" s="93">
        <v>500</v>
      </c>
      <c r="Q388" s="93">
        <v>400</v>
      </c>
      <c r="R388" s="93" t="s">
        <v>123</v>
      </c>
      <c r="S388" s="93" t="s">
        <v>18</v>
      </c>
      <c r="T388" s="93" t="s">
        <v>383</v>
      </c>
      <c r="U388" s="93" t="s">
        <v>395</v>
      </c>
      <c r="V388" s="94">
        <v>44628.575694444444</v>
      </c>
      <c r="W388" s="93" t="s">
        <v>1170</v>
      </c>
      <c r="X388" s="93" t="s">
        <v>9</v>
      </c>
    </row>
    <row r="389" spans="1:24" hidden="1" x14ac:dyDescent="0.15">
      <c r="A389" s="93" t="s">
        <v>1785</v>
      </c>
      <c r="B389" s="93" t="s">
        <v>1786</v>
      </c>
      <c r="C389" s="410">
        <v>6867.72</v>
      </c>
      <c r="D389" s="93" t="s">
        <v>9</v>
      </c>
      <c r="E389" s="93" t="s">
        <v>9</v>
      </c>
      <c r="F389" s="93" t="s">
        <v>7070</v>
      </c>
      <c r="G389" s="93" t="s">
        <v>9128</v>
      </c>
      <c r="H389" s="93" t="s">
        <v>6</v>
      </c>
      <c r="I389" s="93" t="s">
        <v>111</v>
      </c>
      <c r="J389" s="93" t="s">
        <v>1776</v>
      </c>
      <c r="K389" s="93">
        <v>120</v>
      </c>
      <c r="L389" s="93" t="s">
        <v>111</v>
      </c>
      <c r="M389" s="93">
        <v>0.9</v>
      </c>
      <c r="N389" s="93" t="s">
        <v>113</v>
      </c>
      <c r="O389" s="93">
        <v>135</v>
      </c>
      <c r="P389" s="93">
        <v>500</v>
      </c>
      <c r="Q389" s="93">
        <v>400</v>
      </c>
      <c r="R389" s="93" t="s">
        <v>123</v>
      </c>
      <c r="S389" s="93" t="s">
        <v>18</v>
      </c>
      <c r="T389" s="93" t="s">
        <v>383</v>
      </c>
      <c r="U389" s="93" t="s">
        <v>395</v>
      </c>
      <c r="V389" s="94">
        <v>44628.576388888891</v>
      </c>
      <c r="W389" s="93" t="s">
        <v>1170</v>
      </c>
      <c r="X389" s="93" t="s">
        <v>9</v>
      </c>
    </row>
    <row r="390" spans="1:24" hidden="1" x14ac:dyDescent="0.15">
      <c r="A390" s="93" t="s">
        <v>1787</v>
      </c>
      <c r="B390" s="93" t="s">
        <v>1788</v>
      </c>
      <c r="C390" s="410">
        <v>3411.72</v>
      </c>
      <c r="D390" s="93" t="s">
        <v>9</v>
      </c>
      <c r="E390" s="93" t="s">
        <v>9</v>
      </c>
      <c r="F390" s="93" t="s">
        <v>7070</v>
      </c>
      <c r="G390" s="93" t="s">
        <v>9128</v>
      </c>
      <c r="H390" s="93" t="s">
        <v>6</v>
      </c>
      <c r="I390" s="93" t="s">
        <v>111</v>
      </c>
      <c r="J390" s="93" t="s">
        <v>1687</v>
      </c>
      <c r="K390" s="93">
        <v>120</v>
      </c>
      <c r="L390" s="93">
        <v>1</v>
      </c>
      <c r="M390" s="93">
        <v>1.75</v>
      </c>
      <c r="N390" s="93" t="s">
        <v>113</v>
      </c>
      <c r="O390" s="93">
        <v>14</v>
      </c>
      <c r="P390" s="93">
        <v>20</v>
      </c>
      <c r="Q390" s="93">
        <v>33</v>
      </c>
      <c r="R390" s="93" t="s">
        <v>123</v>
      </c>
      <c r="S390" s="93" t="s">
        <v>18</v>
      </c>
      <c r="T390" s="93" t="s">
        <v>383</v>
      </c>
      <c r="U390" s="93" t="s">
        <v>116</v>
      </c>
      <c r="V390" s="94">
        <v>44628.536111111112</v>
      </c>
      <c r="W390" s="93" t="s">
        <v>1170</v>
      </c>
      <c r="X390" s="93" t="s">
        <v>9</v>
      </c>
    </row>
    <row r="391" spans="1:24" hidden="1" x14ac:dyDescent="0.15">
      <c r="A391" s="93" t="s">
        <v>1789</v>
      </c>
      <c r="B391" s="93" t="s">
        <v>1790</v>
      </c>
      <c r="C391" s="410">
        <v>3746.52</v>
      </c>
      <c r="D391" s="93" t="s">
        <v>9</v>
      </c>
      <c r="E391" s="93" t="s">
        <v>9</v>
      </c>
      <c r="F391" s="93" t="s">
        <v>7070</v>
      </c>
      <c r="G391" s="93" t="s">
        <v>9128</v>
      </c>
      <c r="H391" s="93" t="s">
        <v>6</v>
      </c>
      <c r="I391" s="93" t="s">
        <v>111</v>
      </c>
      <c r="J391" s="93" t="s">
        <v>1687</v>
      </c>
      <c r="K391" s="93">
        <v>120</v>
      </c>
      <c r="L391" s="93">
        <v>1</v>
      </c>
      <c r="M391" s="93">
        <v>7.7</v>
      </c>
      <c r="N391" s="93" t="s">
        <v>113</v>
      </c>
      <c r="O391" s="93">
        <v>18.3</v>
      </c>
      <c r="P391" s="93">
        <v>18.600000000000001</v>
      </c>
      <c r="Q391" s="93">
        <v>62.6</v>
      </c>
      <c r="R391" s="93" t="s">
        <v>123</v>
      </c>
      <c r="S391" s="93" t="s">
        <v>18</v>
      </c>
      <c r="T391" s="93" t="s">
        <v>383</v>
      </c>
      <c r="U391" s="93" t="s">
        <v>116</v>
      </c>
      <c r="V391" s="94">
        <v>44628.638194444444</v>
      </c>
      <c r="W391" s="93" t="s">
        <v>1170</v>
      </c>
      <c r="X391" s="93" t="s">
        <v>9</v>
      </c>
    </row>
    <row r="392" spans="1:24" hidden="1" x14ac:dyDescent="0.15">
      <c r="A392" s="93" t="s">
        <v>1791</v>
      </c>
      <c r="B392" s="93" t="s">
        <v>1792</v>
      </c>
      <c r="C392" s="410">
        <v>6532.92</v>
      </c>
      <c r="D392" s="93" t="s">
        <v>9</v>
      </c>
      <c r="E392" s="93" t="s">
        <v>9</v>
      </c>
      <c r="F392" s="93" t="s">
        <v>7070</v>
      </c>
      <c r="G392" s="93" t="s">
        <v>9128</v>
      </c>
      <c r="H392" s="93" t="s">
        <v>6</v>
      </c>
      <c r="I392" s="93" t="s">
        <v>111</v>
      </c>
      <c r="J392" s="93" t="s">
        <v>1776</v>
      </c>
      <c r="K392" s="93">
        <v>120</v>
      </c>
      <c r="L392" s="93" t="s">
        <v>111</v>
      </c>
      <c r="M392" s="93">
        <v>1.75</v>
      </c>
      <c r="N392" s="93" t="s">
        <v>113</v>
      </c>
      <c r="O392" s="93">
        <v>14</v>
      </c>
      <c r="P392" s="93">
        <v>20</v>
      </c>
      <c r="Q392" s="93">
        <v>33</v>
      </c>
      <c r="R392" s="93" t="s">
        <v>123</v>
      </c>
      <c r="S392" s="93" t="s">
        <v>18</v>
      </c>
      <c r="T392" s="93" t="s">
        <v>383</v>
      </c>
      <c r="U392" s="93" t="s">
        <v>395</v>
      </c>
      <c r="V392" s="94">
        <v>44628.554861111108</v>
      </c>
      <c r="W392" s="93" t="s">
        <v>1170</v>
      </c>
      <c r="X392" s="93" t="s">
        <v>9</v>
      </c>
    </row>
    <row r="393" spans="1:24" hidden="1" x14ac:dyDescent="0.15">
      <c r="A393" s="93" t="s">
        <v>1793</v>
      </c>
      <c r="B393" s="93" t="s">
        <v>1794</v>
      </c>
      <c r="C393" s="410">
        <v>6867.72</v>
      </c>
      <c r="D393" s="93" t="s">
        <v>9</v>
      </c>
      <c r="E393" s="93" t="s">
        <v>9</v>
      </c>
      <c r="F393" s="93" t="s">
        <v>7070</v>
      </c>
      <c r="G393" s="93" t="s">
        <v>9128</v>
      </c>
      <c r="H393" s="93" t="s">
        <v>6</v>
      </c>
      <c r="I393" s="93" t="s">
        <v>111</v>
      </c>
      <c r="J393" s="93" t="s">
        <v>1776</v>
      </c>
      <c r="K393" s="93">
        <v>120</v>
      </c>
      <c r="L393" s="93" t="s">
        <v>111</v>
      </c>
      <c r="M393" s="93">
        <v>0.9</v>
      </c>
      <c r="N393" s="93" t="s">
        <v>113</v>
      </c>
      <c r="O393" s="93">
        <v>135</v>
      </c>
      <c r="P393" s="93">
        <v>500</v>
      </c>
      <c r="Q393" s="93">
        <v>400</v>
      </c>
      <c r="R393" s="93" t="s">
        <v>123</v>
      </c>
      <c r="S393" s="93" t="s">
        <v>18</v>
      </c>
      <c r="T393" s="93" t="s">
        <v>383</v>
      </c>
      <c r="U393" s="93" t="s">
        <v>395</v>
      </c>
      <c r="V393" s="94">
        <v>44628.533333333333</v>
      </c>
      <c r="W393" s="93" t="s">
        <v>1170</v>
      </c>
      <c r="X393" s="93" t="s">
        <v>9</v>
      </c>
    </row>
    <row r="394" spans="1:24" hidden="1" x14ac:dyDescent="0.15">
      <c r="A394" s="93" t="s">
        <v>1795</v>
      </c>
      <c r="B394" s="93" t="s">
        <v>1796</v>
      </c>
      <c r="C394" s="410">
        <v>6532.92</v>
      </c>
      <c r="D394" s="93" t="s">
        <v>9</v>
      </c>
      <c r="E394" s="93" t="s">
        <v>9</v>
      </c>
      <c r="F394" s="93" t="s">
        <v>7070</v>
      </c>
      <c r="G394" s="93" t="s">
        <v>9128</v>
      </c>
      <c r="H394" s="93" t="s">
        <v>6</v>
      </c>
      <c r="I394" s="93" t="s">
        <v>111</v>
      </c>
      <c r="J394" s="93" t="s">
        <v>1776</v>
      </c>
      <c r="K394" s="93">
        <v>120</v>
      </c>
      <c r="L394" s="93" t="s">
        <v>111</v>
      </c>
      <c r="M394" s="93">
        <v>1.75</v>
      </c>
      <c r="N394" s="93" t="s">
        <v>113</v>
      </c>
      <c r="O394" s="93">
        <v>14</v>
      </c>
      <c r="P394" s="93">
        <v>20</v>
      </c>
      <c r="Q394" s="93">
        <v>33</v>
      </c>
      <c r="R394" s="93" t="s">
        <v>123</v>
      </c>
      <c r="S394" s="93" t="s">
        <v>18</v>
      </c>
      <c r="T394" s="93" t="s">
        <v>1623</v>
      </c>
      <c r="U394" s="93" t="s">
        <v>116</v>
      </c>
      <c r="V394" s="94">
        <v>44628.533333333333</v>
      </c>
      <c r="W394" s="93" t="s">
        <v>1170</v>
      </c>
      <c r="X394" s="93" t="s">
        <v>9</v>
      </c>
    </row>
    <row r="395" spans="1:24" hidden="1" x14ac:dyDescent="0.15">
      <c r="A395" s="93" t="s">
        <v>1797</v>
      </c>
      <c r="B395" s="93" t="s">
        <v>1798</v>
      </c>
      <c r="C395" s="410">
        <v>6867.72</v>
      </c>
      <c r="D395" s="93" t="s">
        <v>9</v>
      </c>
      <c r="E395" s="93" t="s">
        <v>9</v>
      </c>
      <c r="F395" s="93" t="s">
        <v>7070</v>
      </c>
      <c r="G395" s="93" t="s">
        <v>9128</v>
      </c>
      <c r="H395" s="93" t="s">
        <v>6</v>
      </c>
      <c r="I395" s="93" t="s">
        <v>111</v>
      </c>
      <c r="J395" s="93" t="s">
        <v>1776</v>
      </c>
      <c r="K395" s="93">
        <v>120</v>
      </c>
      <c r="L395" s="93" t="s">
        <v>111</v>
      </c>
      <c r="M395" s="93">
        <v>0.9</v>
      </c>
      <c r="N395" s="93" t="s">
        <v>113</v>
      </c>
      <c r="O395" s="93">
        <v>135</v>
      </c>
      <c r="P395" s="93">
        <v>500</v>
      </c>
      <c r="Q395" s="93">
        <v>400</v>
      </c>
      <c r="R395" s="93" t="s">
        <v>123</v>
      </c>
      <c r="S395" s="93" t="s">
        <v>18</v>
      </c>
      <c r="T395" s="93" t="s">
        <v>1623</v>
      </c>
      <c r="U395" s="93" t="s">
        <v>395</v>
      </c>
      <c r="V395" s="94">
        <v>44628.575694444444</v>
      </c>
      <c r="W395" s="93" t="s">
        <v>1170</v>
      </c>
      <c r="X395" s="93" t="s">
        <v>9</v>
      </c>
    </row>
    <row r="396" spans="1:24" hidden="1" x14ac:dyDescent="0.15">
      <c r="A396" s="93" t="s">
        <v>1799</v>
      </c>
      <c r="B396" s="93" t="s">
        <v>1800</v>
      </c>
      <c r="C396" s="410">
        <v>3400.92</v>
      </c>
      <c r="D396" s="93" t="s">
        <v>9</v>
      </c>
      <c r="E396" s="93" t="s">
        <v>9</v>
      </c>
      <c r="F396" s="93" t="s">
        <v>7070</v>
      </c>
      <c r="G396" s="93" t="s">
        <v>9128</v>
      </c>
      <c r="H396" s="93" t="s">
        <v>6</v>
      </c>
      <c r="I396" s="93" t="s">
        <v>393</v>
      </c>
      <c r="J396" s="93" t="s">
        <v>1687</v>
      </c>
      <c r="K396" s="93">
        <v>120</v>
      </c>
      <c r="L396" s="93">
        <v>1</v>
      </c>
      <c r="M396" s="93">
        <v>25.71</v>
      </c>
      <c r="N396" s="93" t="s">
        <v>1221</v>
      </c>
      <c r="O396" s="93" t="s">
        <v>111</v>
      </c>
      <c r="P396" s="93" t="s">
        <v>111</v>
      </c>
      <c r="Q396" s="93" t="s">
        <v>111</v>
      </c>
      <c r="R396" s="93" t="s">
        <v>123</v>
      </c>
      <c r="S396" s="93" t="s">
        <v>18</v>
      </c>
      <c r="T396" s="93" t="s">
        <v>111</v>
      </c>
      <c r="U396" s="93" t="s">
        <v>116</v>
      </c>
      <c r="V396" s="94">
        <v>44628.572916666664</v>
      </c>
      <c r="W396" s="93" t="s">
        <v>1170</v>
      </c>
      <c r="X396" s="93" t="s">
        <v>9</v>
      </c>
    </row>
    <row r="397" spans="1:24" hidden="1" x14ac:dyDescent="0.15">
      <c r="A397" s="93" t="s">
        <v>1801</v>
      </c>
      <c r="B397" s="93" t="s">
        <v>1802</v>
      </c>
      <c r="C397" s="410">
        <v>3400.92</v>
      </c>
      <c r="D397" s="93" t="s">
        <v>9</v>
      </c>
      <c r="E397" s="93" t="s">
        <v>9</v>
      </c>
      <c r="F397" s="93" t="s">
        <v>7070</v>
      </c>
      <c r="G397" s="93" t="s">
        <v>9128</v>
      </c>
      <c r="H397" s="93" t="s">
        <v>6</v>
      </c>
      <c r="I397" s="93" t="s">
        <v>393</v>
      </c>
      <c r="J397" s="93" t="s">
        <v>1687</v>
      </c>
      <c r="K397" s="93">
        <v>120</v>
      </c>
      <c r="L397" s="93">
        <v>1</v>
      </c>
      <c r="M397" s="93">
        <v>25.71</v>
      </c>
      <c r="N397" s="93" t="s">
        <v>1221</v>
      </c>
      <c r="O397" s="93" t="s">
        <v>111</v>
      </c>
      <c r="P397" s="93" t="s">
        <v>111</v>
      </c>
      <c r="Q397" s="93" t="s">
        <v>111</v>
      </c>
      <c r="R397" s="93" t="s">
        <v>123</v>
      </c>
      <c r="S397" s="93" t="s">
        <v>18</v>
      </c>
      <c r="T397" s="93" t="s">
        <v>383</v>
      </c>
      <c r="U397" s="93" t="s">
        <v>116</v>
      </c>
      <c r="V397" s="94">
        <v>44628.629861111112</v>
      </c>
      <c r="W397" s="93" t="s">
        <v>1170</v>
      </c>
      <c r="X397" s="93" t="s">
        <v>9</v>
      </c>
    </row>
    <row r="398" spans="1:24" hidden="1" x14ac:dyDescent="0.15">
      <c r="A398" s="93" t="s">
        <v>1803</v>
      </c>
      <c r="B398" s="93" t="s">
        <v>1804</v>
      </c>
      <c r="C398" s="410">
        <v>3400.92</v>
      </c>
      <c r="D398" s="93" t="s">
        <v>9</v>
      </c>
      <c r="E398" s="93" t="s">
        <v>9</v>
      </c>
      <c r="F398" s="93" t="s">
        <v>7070</v>
      </c>
      <c r="G398" s="93" t="s">
        <v>9128</v>
      </c>
      <c r="H398" s="93" t="s">
        <v>6</v>
      </c>
      <c r="I398" s="93" t="s">
        <v>393</v>
      </c>
      <c r="J398" s="93" t="s">
        <v>1687</v>
      </c>
      <c r="K398" s="93">
        <v>120</v>
      </c>
      <c r="L398" s="93">
        <v>1</v>
      </c>
      <c r="M398" s="93">
        <v>25.71</v>
      </c>
      <c r="N398" s="93" t="s">
        <v>1221</v>
      </c>
      <c r="O398" s="93" t="s">
        <v>111</v>
      </c>
      <c r="P398" s="93" t="s">
        <v>111</v>
      </c>
      <c r="Q398" s="93" t="s">
        <v>111</v>
      </c>
      <c r="R398" s="93" t="s">
        <v>123</v>
      </c>
      <c r="S398" s="93" t="s">
        <v>18</v>
      </c>
      <c r="T398" s="93" t="s">
        <v>383</v>
      </c>
      <c r="U398" s="93" t="s">
        <v>116</v>
      </c>
      <c r="V398" s="94">
        <v>44628.530555555553</v>
      </c>
      <c r="W398" s="93" t="s">
        <v>1170</v>
      </c>
      <c r="X398" s="93" t="s">
        <v>9</v>
      </c>
    </row>
    <row r="399" spans="1:24" hidden="1" x14ac:dyDescent="0.15">
      <c r="A399" s="93" t="s">
        <v>1805</v>
      </c>
      <c r="B399" s="93" t="s">
        <v>1806</v>
      </c>
      <c r="C399" s="410">
        <v>8152.92</v>
      </c>
      <c r="D399" s="93" t="s">
        <v>9</v>
      </c>
      <c r="E399" s="93" t="s">
        <v>9</v>
      </c>
      <c r="F399" s="93" t="s">
        <v>7070</v>
      </c>
      <c r="G399" s="93" t="s">
        <v>9129</v>
      </c>
      <c r="H399" s="93" t="s">
        <v>6</v>
      </c>
      <c r="I399" s="93" t="s">
        <v>111</v>
      </c>
      <c r="J399" s="93" t="s">
        <v>1807</v>
      </c>
      <c r="K399" s="93">
        <v>120</v>
      </c>
      <c r="L399" s="93">
        <v>1</v>
      </c>
      <c r="M399" s="93">
        <v>18.5</v>
      </c>
      <c r="N399" s="93" t="s">
        <v>113</v>
      </c>
      <c r="O399" s="93">
        <v>17</v>
      </c>
      <c r="P399" s="93">
        <v>60</v>
      </c>
      <c r="Q399" s="93">
        <v>74.5</v>
      </c>
      <c r="R399" s="93" t="s">
        <v>123</v>
      </c>
      <c r="S399" s="93" t="s">
        <v>18</v>
      </c>
      <c r="T399" s="93" t="s">
        <v>383</v>
      </c>
      <c r="U399" s="93" t="s">
        <v>116</v>
      </c>
      <c r="V399" s="94">
        <v>44628.494444444441</v>
      </c>
      <c r="W399" s="93" t="s">
        <v>1170</v>
      </c>
      <c r="X399" s="93" t="s">
        <v>9</v>
      </c>
    </row>
    <row r="400" spans="1:24" hidden="1" x14ac:dyDescent="0.15">
      <c r="A400" s="93" t="s">
        <v>1808</v>
      </c>
      <c r="B400" s="93" t="s">
        <v>1809</v>
      </c>
      <c r="C400" s="410">
        <v>8152.92</v>
      </c>
      <c r="D400" s="93" t="s">
        <v>9</v>
      </c>
      <c r="E400" s="93" t="s">
        <v>9</v>
      </c>
      <c r="F400" s="93" t="s">
        <v>7070</v>
      </c>
      <c r="G400" s="93" t="s">
        <v>9129</v>
      </c>
      <c r="H400" s="93" t="s">
        <v>6</v>
      </c>
      <c r="I400" s="93" t="s">
        <v>111</v>
      </c>
      <c r="J400" s="93" t="s">
        <v>1807</v>
      </c>
      <c r="K400" s="93">
        <v>120</v>
      </c>
      <c r="L400" s="93">
        <v>1</v>
      </c>
      <c r="M400" s="93">
        <v>18.5</v>
      </c>
      <c r="N400" s="93" t="s">
        <v>113</v>
      </c>
      <c r="O400" s="93">
        <v>17</v>
      </c>
      <c r="P400" s="93">
        <v>60</v>
      </c>
      <c r="Q400" s="93">
        <v>74.5</v>
      </c>
      <c r="R400" s="93" t="s">
        <v>123</v>
      </c>
      <c r="S400" s="93" t="s">
        <v>18</v>
      </c>
      <c r="T400" s="93" t="s">
        <v>383</v>
      </c>
      <c r="U400" s="93" t="s">
        <v>116</v>
      </c>
      <c r="V400" s="94">
        <v>44628.581250000003</v>
      </c>
      <c r="W400" s="93" t="s">
        <v>1207</v>
      </c>
      <c r="X400" s="93" t="s">
        <v>9</v>
      </c>
    </row>
    <row r="401" spans="1:24" hidden="1" x14ac:dyDescent="0.15">
      <c r="A401" s="93" t="s">
        <v>1810</v>
      </c>
      <c r="B401" s="93" t="s">
        <v>1811</v>
      </c>
      <c r="C401" s="410">
        <v>8152.92</v>
      </c>
      <c r="D401" s="93" t="s">
        <v>9</v>
      </c>
      <c r="E401" s="93" t="s">
        <v>9</v>
      </c>
      <c r="F401" s="93" t="s">
        <v>7070</v>
      </c>
      <c r="G401" s="93" t="s">
        <v>9129</v>
      </c>
      <c r="H401" s="93" t="s">
        <v>6</v>
      </c>
      <c r="I401" s="93" t="s">
        <v>111</v>
      </c>
      <c r="J401" s="93" t="s">
        <v>1807</v>
      </c>
      <c r="K401" s="93">
        <v>120</v>
      </c>
      <c r="L401" s="93">
        <v>1</v>
      </c>
      <c r="M401" s="93">
        <v>18.5</v>
      </c>
      <c r="N401" s="93" t="s">
        <v>113</v>
      </c>
      <c r="O401" s="93">
        <v>17</v>
      </c>
      <c r="P401" s="93">
        <v>60</v>
      </c>
      <c r="Q401" s="93">
        <v>74.5</v>
      </c>
      <c r="R401" s="93" t="s">
        <v>123</v>
      </c>
      <c r="S401" s="93" t="s">
        <v>18</v>
      </c>
      <c r="T401" s="93" t="s">
        <v>383</v>
      </c>
      <c r="U401" s="93" t="s">
        <v>116</v>
      </c>
      <c r="V401" s="94">
        <v>44628.603472222225</v>
      </c>
      <c r="W401" s="93" t="s">
        <v>1812</v>
      </c>
      <c r="X401" s="93" t="s">
        <v>9</v>
      </c>
    </row>
    <row r="402" spans="1:24" hidden="1" x14ac:dyDescent="0.15">
      <c r="A402" s="93" t="s">
        <v>1813</v>
      </c>
      <c r="B402" s="93" t="s">
        <v>1814</v>
      </c>
      <c r="C402" s="410">
        <v>5938.92</v>
      </c>
      <c r="D402" s="93" t="s">
        <v>9</v>
      </c>
      <c r="E402" s="93" t="s">
        <v>24</v>
      </c>
      <c r="F402" s="93" t="s">
        <v>7070</v>
      </c>
      <c r="G402" s="93" t="s">
        <v>9129</v>
      </c>
      <c r="H402" s="93" t="s">
        <v>6</v>
      </c>
      <c r="I402" s="93" t="s">
        <v>111</v>
      </c>
      <c r="J402" s="93" t="s">
        <v>1807</v>
      </c>
      <c r="K402" s="93">
        <v>120</v>
      </c>
      <c r="L402" s="93">
        <v>1</v>
      </c>
      <c r="M402" s="93">
        <v>18.5</v>
      </c>
      <c r="N402" s="93" t="s">
        <v>113</v>
      </c>
      <c r="O402" s="93">
        <v>17</v>
      </c>
      <c r="P402" s="93">
        <v>60</v>
      </c>
      <c r="Q402" s="93">
        <v>74.5</v>
      </c>
      <c r="R402" s="93" t="s">
        <v>123</v>
      </c>
      <c r="S402" s="93" t="s">
        <v>18</v>
      </c>
      <c r="T402" s="93" t="s">
        <v>383</v>
      </c>
      <c r="U402" s="93" t="s">
        <v>116</v>
      </c>
      <c r="V402" s="94">
        <v>44628.559027777781</v>
      </c>
      <c r="W402" s="93" t="s">
        <v>1170</v>
      </c>
      <c r="X402" s="93" t="s">
        <v>9</v>
      </c>
    </row>
    <row r="403" spans="1:24" hidden="1" x14ac:dyDescent="0.15">
      <c r="A403" s="93" t="s">
        <v>1815</v>
      </c>
      <c r="B403" s="93" t="s">
        <v>1816</v>
      </c>
      <c r="C403" s="410">
        <v>5938.92</v>
      </c>
      <c r="D403" s="93" t="s">
        <v>9</v>
      </c>
      <c r="E403" s="93" t="s">
        <v>24</v>
      </c>
      <c r="F403" s="93" t="s">
        <v>7070</v>
      </c>
      <c r="G403" s="93" t="s">
        <v>9129</v>
      </c>
      <c r="H403" s="93" t="s">
        <v>6</v>
      </c>
      <c r="I403" s="93" t="s">
        <v>111</v>
      </c>
      <c r="J403" s="93" t="s">
        <v>1807</v>
      </c>
      <c r="K403" s="93">
        <v>120</v>
      </c>
      <c r="L403" s="93">
        <v>1</v>
      </c>
      <c r="M403" s="93">
        <v>18.5</v>
      </c>
      <c r="N403" s="93" t="s">
        <v>113</v>
      </c>
      <c r="O403" s="93">
        <v>17</v>
      </c>
      <c r="P403" s="93">
        <v>60</v>
      </c>
      <c r="Q403" s="93">
        <v>74.5</v>
      </c>
      <c r="R403" s="93" t="s">
        <v>123</v>
      </c>
      <c r="S403" s="93" t="s">
        <v>18</v>
      </c>
      <c r="T403" s="93" t="s">
        <v>383</v>
      </c>
      <c r="U403" s="93" t="s">
        <v>116</v>
      </c>
      <c r="V403" s="94">
        <v>44628.602777777778</v>
      </c>
      <c r="W403" s="93" t="s">
        <v>1817</v>
      </c>
      <c r="X403" s="93" t="s">
        <v>9</v>
      </c>
    </row>
    <row r="404" spans="1:24" hidden="1" x14ac:dyDescent="0.15">
      <c r="A404" s="93" t="s">
        <v>1818</v>
      </c>
      <c r="B404" s="93" t="s">
        <v>1819</v>
      </c>
      <c r="C404" s="410">
        <v>5938.92</v>
      </c>
      <c r="D404" s="93" t="s">
        <v>9</v>
      </c>
      <c r="E404" s="93" t="s">
        <v>24</v>
      </c>
      <c r="F404" s="93" t="s">
        <v>7070</v>
      </c>
      <c r="G404" s="93" t="s">
        <v>9129</v>
      </c>
      <c r="H404" s="93" t="s">
        <v>6</v>
      </c>
      <c r="I404" s="93" t="s">
        <v>111</v>
      </c>
      <c r="J404" s="93" t="s">
        <v>1807</v>
      </c>
      <c r="K404" s="93">
        <v>120</v>
      </c>
      <c r="L404" s="93">
        <v>1</v>
      </c>
      <c r="M404" s="93">
        <v>18.5</v>
      </c>
      <c r="N404" s="93" t="s">
        <v>113</v>
      </c>
      <c r="O404" s="93">
        <v>17</v>
      </c>
      <c r="P404" s="93">
        <v>60</v>
      </c>
      <c r="Q404" s="93">
        <v>74.5</v>
      </c>
      <c r="R404" s="93" t="s">
        <v>123</v>
      </c>
      <c r="S404" s="93" t="s">
        <v>18</v>
      </c>
      <c r="T404" s="93" t="s">
        <v>383</v>
      </c>
      <c r="U404" s="93" t="s">
        <v>116</v>
      </c>
      <c r="V404" s="94">
        <v>44628.559027777781</v>
      </c>
      <c r="W404" s="93" t="s">
        <v>1812</v>
      </c>
      <c r="X404" s="93" t="s">
        <v>9</v>
      </c>
    </row>
    <row r="405" spans="1:24" hidden="1" x14ac:dyDescent="0.15">
      <c r="A405" s="93" t="s">
        <v>1820</v>
      </c>
      <c r="B405" s="93" t="s">
        <v>1821</v>
      </c>
      <c r="C405" s="410">
        <v>1100.52</v>
      </c>
      <c r="D405" s="93" t="s">
        <v>9</v>
      </c>
      <c r="E405" s="93" t="s">
        <v>9</v>
      </c>
      <c r="F405" s="93" t="s">
        <v>7070</v>
      </c>
      <c r="G405" s="93" t="s">
        <v>9130</v>
      </c>
      <c r="H405" s="93" t="s">
        <v>6</v>
      </c>
      <c r="I405" s="93" t="s">
        <v>393</v>
      </c>
      <c r="J405" s="93" t="s">
        <v>9131</v>
      </c>
      <c r="K405" s="93">
        <v>80</v>
      </c>
      <c r="L405" s="93">
        <v>10</v>
      </c>
      <c r="M405" s="93">
        <v>0</v>
      </c>
      <c r="N405" s="93" t="s">
        <v>1221</v>
      </c>
      <c r="O405" s="93">
        <v>54.4</v>
      </c>
      <c r="P405" s="93">
        <v>8.9</v>
      </c>
      <c r="Q405" s="93">
        <v>8.9</v>
      </c>
      <c r="R405" s="93" t="s">
        <v>396</v>
      </c>
      <c r="S405" s="93" t="s">
        <v>18</v>
      </c>
      <c r="T405" s="93" t="s">
        <v>383</v>
      </c>
      <c r="U405" s="93" t="s">
        <v>116</v>
      </c>
      <c r="V405" s="94">
        <v>44628.577777777777</v>
      </c>
      <c r="W405" s="93" t="s">
        <v>1170</v>
      </c>
      <c r="X405" s="93" t="s">
        <v>9</v>
      </c>
    </row>
    <row r="406" spans="1:24" hidden="1" x14ac:dyDescent="0.15">
      <c r="A406" s="93" t="s">
        <v>1822</v>
      </c>
      <c r="B406" s="93" t="s">
        <v>1823</v>
      </c>
      <c r="C406" s="410">
        <v>1100.52</v>
      </c>
      <c r="D406" s="93" t="s">
        <v>9</v>
      </c>
      <c r="E406" s="93" t="s">
        <v>9</v>
      </c>
      <c r="F406" s="93" t="s">
        <v>7070</v>
      </c>
      <c r="G406" s="93" t="s">
        <v>9130</v>
      </c>
      <c r="H406" s="93" t="s">
        <v>6</v>
      </c>
      <c r="I406" s="93" t="s">
        <v>393</v>
      </c>
      <c r="J406" s="93" t="s">
        <v>9131</v>
      </c>
      <c r="K406" s="93">
        <v>80</v>
      </c>
      <c r="L406" s="93">
        <v>10</v>
      </c>
      <c r="M406" s="93">
        <v>0.22</v>
      </c>
      <c r="N406" s="93" t="s">
        <v>1221</v>
      </c>
      <c r="O406" s="93">
        <v>54.4</v>
      </c>
      <c r="P406" s="93">
        <v>8.9</v>
      </c>
      <c r="Q406" s="93">
        <v>8.9</v>
      </c>
      <c r="R406" s="93" t="s">
        <v>396</v>
      </c>
      <c r="S406" s="93" t="s">
        <v>18</v>
      </c>
      <c r="T406" s="93" t="s">
        <v>383</v>
      </c>
      <c r="U406" s="93" t="s">
        <v>116</v>
      </c>
      <c r="V406" s="94">
        <v>44628.535416666666</v>
      </c>
      <c r="W406" s="93" t="s">
        <v>1170</v>
      </c>
      <c r="X406" s="93" t="s">
        <v>9</v>
      </c>
    </row>
    <row r="407" spans="1:24" hidden="1" x14ac:dyDescent="0.15">
      <c r="A407" s="93" t="s">
        <v>1824</v>
      </c>
      <c r="B407" s="93" t="s">
        <v>1825</v>
      </c>
      <c r="C407" s="410">
        <v>1100.52</v>
      </c>
      <c r="D407" s="93" t="s">
        <v>9</v>
      </c>
      <c r="E407" s="93" t="s">
        <v>9</v>
      </c>
      <c r="F407" s="93" t="s">
        <v>7070</v>
      </c>
      <c r="G407" s="93" t="s">
        <v>9130</v>
      </c>
      <c r="H407" s="93" t="s">
        <v>6</v>
      </c>
      <c r="I407" s="93" t="s">
        <v>393</v>
      </c>
      <c r="J407" s="93" t="s">
        <v>9131</v>
      </c>
      <c r="K407" s="93">
        <v>80</v>
      </c>
      <c r="L407" s="93">
        <v>10</v>
      </c>
      <c r="M407" s="93">
        <v>0</v>
      </c>
      <c r="N407" s="93" t="s">
        <v>1221</v>
      </c>
      <c r="O407" s="93">
        <v>54.4</v>
      </c>
      <c r="P407" s="93">
        <v>8.9</v>
      </c>
      <c r="Q407" s="93">
        <v>8.9</v>
      </c>
      <c r="R407" s="93" t="s">
        <v>396</v>
      </c>
      <c r="S407" s="93" t="s">
        <v>18</v>
      </c>
      <c r="T407" s="93" t="s">
        <v>383</v>
      </c>
      <c r="U407" s="93" t="s">
        <v>116</v>
      </c>
      <c r="V407" s="94">
        <v>44628.599305555559</v>
      </c>
      <c r="W407" s="93" t="s">
        <v>1170</v>
      </c>
      <c r="X407" s="93" t="s">
        <v>9</v>
      </c>
    </row>
    <row r="408" spans="1:24" hidden="1" x14ac:dyDescent="0.15">
      <c r="A408" s="93" t="s">
        <v>1826</v>
      </c>
      <c r="B408" s="93" t="s">
        <v>1827</v>
      </c>
      <c r="C408" s="410">
        <v>1100.52</v>
      </c>
      <c r="D408" s="93" t="s">
        <v>9</v>
      </c>
      <c r="E408" s="93" t="s">
        <v>9</v>
      </c>
      <c r="F408" s="93" t="s">
        <v>7070</v>
      </c>
      <c r="G408" s="93" t="s">
        <v>9130</v>
      </c>
      <c r="H408" s="93" t="s">
        <v>6</v>
      </c>
      <c r="I408" s="93" t="s">
        <v>393</v>
      </c>
      <c r="J408" s="93" t="s">
        <v>9131</v>
      </c>
      <c r="K408" s="93">
        <v>80</v>
      </c>
      <c r="L408" s="93">
        <v>10</v>
      </c>
      <c r="M408" s="93">
        <v>0.18</v>
      </c>
      <c r="N408" s="93" t="s">
        <v>1221</v>
      </c>
      <c r="O408" s="93">
        <v>54.4</v>
      </c>
      <c r="P408" s="93">
        <v>8.9</v>
      </c>
      <c r="Q408" s="93">
        <v>8.9</v>
      </c>
      <c r="R408" s="93" t="s">
        <v>396</v>
      </c>
      <c r="S408" s="93" t="s">
        <v>18</v>
      </c>
      <c r="T408" s="93" t="s">
        <v>383</v>
      </c>
      <c r="U408" s="93" t="s">
        <v>116</v>
      </c>
      <c r="V408" s="94">
        <v>44628.599305555559</v>
      </c>
      <c r="W408" s="93" t="s">
        <v>1170</v>
      </c>
      <c r="X408" s="93" t="s">
        <v>9</v>
      </c>
    </row>
    <row r="409" spans="1:24" hidden="1" x14ac:dyDescent="0.15">
      <c r="A409" s="93" t="s">
        <v>1828</v>
      </c>
      <c r="B409" s="93" t="s">
        <v>1829</v>
      </c>
      <c r="C409" s="410">
        <v>1100.52</v>
      </c>
      <c r="D409" s="93" t="s">
        <v>9</v>
      </c>
      <c r="E409" s="93" t="s">
        <v>9</v>
      </c>
      <c r="F409" s="93" t="s">
        <v>7070</v>
      </c>
      <c r="G409" s="93" t="s">
        <v>9130</v>
      </c>
      <c r="H409" s="93" t="s">
        <v>6</v>
      </c>
      <c r="I409" s="93" t="s">
        <v>393</v>
      </c>
      <c r="J409" s="93" t="s">
        <v>9131</v>
      </c>
      <c r="K409" s="93">
        <v>80</v>
      </c>
      <c r="L409" s="93">
        <v>10</v>
      </c>
      <c r="M409" s="93">
        <v>0</v>
      </c>
      <c r="N409" s="93" t="s">
        <v>1221</v>
      </c>
      <c r="O409" s="93">
        <v>54.4</v>
      </c>
      <c r="P409" s="93">
        <v>8.9</v>
      </c>
      <c r="Q409" s="93">
        <v>8.9</v>
      </c>
      <c r="R409" s="93" t="s">
        <v>123</v>
      </c>
      <c r="S409" s="93" t="s">
        <v>18</v>
      </c>
      <c r="T409" s="93" t="s">
        <v>397</v>
      </c>
      <c r="U409" s="93" t="s">
        <v>116</v>
      </c>
      <c r="V409" s="94">
        <v>44628.470138888886</v>
      </c>
      <c r="W409" s="93" t="s">
        <v>1170</v>
      </c>
      <c r="X409" s="93" t="s">
        <v>9</v>
      </c>
    </row>
    <row r="410" spans="1:24" hidden="1" x14ac:dyDescent="0.15">
      <c r="A410" s="93" t="s">
        <v>1830</v>
      </c>
      <c r="B410" s="93" t="s">
        <v>1831</v>
      </c>
      <c r="C410" s="410">
        <v>1100.52</v>
      </c>
      <c r="D410" s="93" t="s">
        <v>9</v>
      </c>
      <c r="E410" s="93" t="s">
        <v>9</v>
      </c>
      <c r="F410" s="93" t="s">
        <v>7070</v>
      </c>
      <c r="G410" s="93" t="s">
        <v>9130</v>
      </c>
      <c r="H410" s="93" t="s">
        <v>6</v>
      </c>
      <c r="I410" s="93" t="s">
        <v>393</v>
      </c>
      <c r="J410" s="93" t="s">
        <v>9131</v>
      </c>
      <c r="K410" s="93">
        <v>80</v>
      </c>
      <c r="L410" s="93">
        <v>6</v>
      </c>
      <c r="M410" s="93">
        <v>0</v>
      </c>
      <c r="N410" s="93" t="s">
        <v>1221</v>
      </c>
      <c r="O410" s="93">
        <v>31</v>
      </c>
      <c r="P410" s="93">
        <v>12.3</v>
      </c>
      <c r="Q410" s="93">
        <v>16.8</v>
      </c>
      <c r="R410" s="93" t="s">
        <v>398</v>
      </c>
      <c r="S410" s="93" t="s">
        <v>18</v>
      </c>
      <c r="T410" s="93" t="s">
        <v>383</v>
      </c>
      <c r="U410" s="93" t="s">
        <v>116</v>
      </c>
      <c r="V410" s="94">
        <v>44628.577777777777</v>
      </c>
      <c r="W410" s="93" t="s">
        <v>1170</v>
      </c>
      <c r="X410" s="93" t="s">
        <v>9</v>
      </c>
    </row>
    <row r="411" spans="1:24" hidden="1" x14ac:dyDescent="0.15">
      <c r="A411" s="93" t="s">
        <v>1832</v>
      </c>
      <c r="B411" s="93" t="s">
        <v>1833</v>
      </c>
      <c r="C411" s="410">
        <v>1100.52</v>
      </c>
      <c r="D411" s="93" t="s">
        <v>9</v>
      </c>
      <c r="E411" s="93" t="s">
        <v>9</v>
      </c>
      <c r="F411" s="93" t="s">
        <v>7070</v>
      </c>
      <c r="G411" s="93" t="s">
        <v>9130</v>
      </c>
      <c r="H411" s="93" t="s">
        <v>6</v>
      </c>
      <c r="I411" s="93" t="s">
        <v>393</v>
      </c>
      <c r="J411" s="93" t="s">
        <v>9131</v>
      </c>
      <c r="K411" s="93">
        <v>80</v>
      </c>
      <c r="L411" s="93">
        <v>6</v>
      </c>
      <c r="M411" s="93">
        <v>0.22</v>
      </c>
      <c r="N411" s="93" t="s">
        <v>1221</v>
      </c>
      <c r="O411" s="93" t="s">
        <v>111</v>
      </c>
      <c r="P411" s="93" t="s">
        <v>111</v>
      </c>
      <c r="Q411" s="93" t="s">
        <v>111</v>
      </c>
      <c r="R411" s="93" t="s">
        <v>123</v>
      </c>
      <c r="S411" s="93" t="s">
        <v>18</v>
      </c>
      <c r="T411" s="93" t="s">
        <v>111</v>
      </c>
      <c r="U411" s="93" t="s">
        <v>116</v>
      </c>
      <c r="V411" s="94">
        <v>44628.577777777777</v>
      </c>
      <c r="W411" s="93" t="s">
        <v>1170</v>
      </c>
      <c r="X411" s="93" t="s">
        <v>9</v>
      </c>
    </row>
    <row r="412" spans="1:24" hidden="1" x14ac:dyDescent="0.15">
      <c r="A412" s="93" t="s">
        <v>1834</v>
      </c>
      <c r="B412" s="93" t="s">
        <v>1835</v>
      </c>
      <c r="C412" s="410">
        <v>1100.52</v>
      </c>
      <c r="D412" s="93" t="s">
        <v>9</v>
      </c>
      <c r="E412" s="93" t="s">
        <v>9</v>
      </c>
      <c r="F412" s="93" t="s">
        <v>7070</v>
      </c>
      <c r="G412" s="93" t="s">
        <v>9130</v>
      </c>
      <c r="H412" s="93" t="s">
        <v>6</v>
      </c>
      <c r="I412" s="93" t="s">
        <v>393</v>
      </c>
      <c r="J412" s="93" t="s">
        <v>9131</v>
      </c>
      <c r="K412" s="93">
        <v>80</v>
      </c>
      <c r="L412" s="93">
        <v>6</v>
      </c>
      <c r="M412" s="93">
        <v>0</v>
      </c>
      <c r="N412" s="93" t="s">
        <v>1221</v>
      </c>
      <c r="O412" s="93">
        <v>31</v>
      </c>
      <c r="P412" s="93">
        <v>12.3</v>
      </c>
      <c r="Q412" s="93">
        <v>16.8</v>
      </c>
      <c r="R412" s="93" t="s">
        <v>396</v>
      </c>
      <c r="S412" s="93" t="s">
        <v>18</v>
      </c>
      <c r="T412" s="93" t="s">
        <v>383</v>
      </c>
      <c r="U412" s="93" t="s">
        <v>116</v>
      </c>
      <c r="V412" s="94">
        <v>44628.470138888886</v>
      </c>
      <c r="W412" s="93" t="s">
        <v>1170</v>
      </c>
      <c r="X412" s="93" t="s">
        <v>9</v>
      </c>
    </row>
    <row r="413" spans="1:24" hidden="1" x14ac:dyDescent="0.15">
      <c r="A413" s="93" t="s">
        <v>1836</v>
      </c>
      <c r="B413" s="93" t="s">
        <v>1837</v>
      </c>
      <c r="C413" s="410">
        <v>1100.52</v>
      </c>
      <c r="D413" s="93" t="s">
        <v>9</v>
      </c>
      <c r="E413" s="93" t="s">
        <v>9</v>
      </c>
      <c r="F413" s="93" t="s">
        <v>7070</v>
      </c>
      <c r="G413" s="93" t="s">
        <v>9130</v>
      </c>
      <c r="H413" s="93" t="s">
        <v>6</v>
      </c>
      <c r="I413" s="93" t="s">
        <v>393</v>
      </c>
      <c r="J413" s="93" t="s">
        <v>9131</v>
      </c>
      <c r="K413" s="93">
        <v>80</v>
      </c>
      <c r="L413" s="93">
        <v>6</v>
      </c>
      <c r="M413" s="93">
        <v>0.18</v>
      </c>
      <c r="N413" s="93" t="s">
        <v>1221</v>
      </c>
      <c r="O413" s="93">
        <v>31</v>
      </c>
      <c r="P413" s="93">
        <v>12.3</v>
      </c>
      <c r="Q413" s="93">
        <v>16.8</v>
      </c>
      <c r="R413" s="93" t="s">
        <v>396</v>
      </c>
      <c r="S413" s="93" t="s">
        <v>18</v>
      </c>
      <c r="T413" s="93" t="s">
        <v>383</v>
      </c>
      <c r="U413" s="93" t="s">
        <v>116</v>
      </c>
      <c r="V413" s="94">
        <v>44628.513194444444</v>
      </c>
      <c r="W413" s="93" t="s">
        <v>1170</v>
      </c>
      <c r="X413" s="93" t="s">
        <v>9</v>
      </c>
    </row>
    <row r="414" spans="1:24" hidden="1" x14ac:dyDescent="0.15">
      <c r="A414" s="93" t="s">
        <v>1838</v>
      </c>
      <c r="B414" s="93" t="s">
        <v>1839</v>
      </c>
      <c r="C414" s="410">
        <v>1100.52</v>
      </c>
      <c r="D414" s="93" t="s">
        <v>9</v>
      </c>
      <c r="E414" s="93" t="s">
        <v>9</v>
      </c>
      <c r="F414" s="93" t="s">
        <v>7070</v>
      </c>
      <c r="G414" s="93" t="s">
        <v>9130</v>
      </c>
      <c r="H414" s="93" t="s">
        <v>6</v>
      </c>
      <c r="I414" s="93" t="s">
        <v>393</v>
      </c>
      <c r="J414" s="93" t="s">
        <v>9131</v>
      </c>
      <c r="K414" s="93">
        <v>80</v>
      </c>
      <c r="L414" s="93">
        <v>6</v>
      </c>
      <c r="M414" s="93">
        <v>0</v>
      </c>
      <c r="N414" s="93" t="s">
        <v>1221</v>
      </c>
      <c r="O414" s="93">
        <v>31</v>
      </c>
      <c r="P414" s="93">
        <v>12.3</v>
      </c>
      <c r="Q414" s="93">
        <v>16.8</v>
      </c>
      <c r="R414" s="93" t="s">
        <v>123</v>
      </c>
      <c r="S414" s="93" t="s">
        <v>18</v>
      </c>
      <c r="T414" s="93" t="s">
        <v>397</v>
      </c>
      <c r="U414" s="93" t="s">
        <v>116</v>
      </c>
      <c r="V414" s="94">
        <v>44628.470138888886</v>
      </c>
      <c r="W414" s="93" t="s">
        <v>1170</v>
      </c>
      <c r="X414" s="93" t="s">
        <v>9</v>
      </c>
    </row>
    <row r="415" spans="1:24" hidden="1" x14ac:dyDescent="0.15">
      <c r="A415" s="93" t="s">
        <v>9132</v>
      </c>
      <c r="B415" s="93" t="s">
        <v>9133</v>
      </c>
      <c r="C415" s="410">
        <v>1100.52</v>
      </c>
      <c r="D415" s="93" t="s">
        <v>9</v>
      </c>
      <c r="E415" s="93" t="s">
        <v>9</v>
      </c>
      <c r="F415" s="93" t="s">
        <v>7070</v>
      </c>
      <c r="G415" s="93" t="s">
        <v>9130</v>
      </c>
      <c r="H415" s="93" t="s">
        <v>6</v>
      </c>
      <c r="I415" s="93" t="s">
        <v>393</v>
      </c>
      <c r="J415" s="93" t="s">
        <v>9131</v>
      </c>
      <c r="K415" s="93">
        <v>80</v>
      </c>
      <c r="L415" s="93">
        <v>1</v>
      </c>
      <c r="M415" s="93">
        <v>0.5</v>
      </c>
      <c r="N415" s="93" t="s">
        <v>113</v>
      </c>
      <c r="O415" s="93">
        <v>4.0999999999999996</v>
      </c>
      <c r="P415" s="93">
        <v>9</v>
      </c>
      <c r="Q415" s="93">
        <v>22.8</v>
      </c>
      <c r="R415" s="93" t="s">
        <v>123</v>
      </c>
      <c r="S415" s="93" t="s">
        <v>18</v>
      </c>
      <c r="T415" s="93" t="s">
        <v>383</v>
      </c>
      <c r="U415" s="93" t="s">
        <v>116</v>
      </c>
      <c r="V415" s="94">
        <v>44628.488888888889</v>
      </c>
      <c r="W415" s="93" t="s">
        <v>1170</v>
      </c>
      <c r="X415" s="93" t="s">
        <v>9</v>
      </c>
    </row>
    <row r="416" spans="1:24" hidden="1" x14ac:dyDescent="0.15">
      <c r="A416" s="93" t="s">
        <v>9134</v>
      </c>
      <c r="B416" s="93" t="s">
        <v>9135</v>
      </c>
      <c r="C416" s="410">
        <v>1100.52</v>
      </c>
      <c r="D416" s="93" t="s">
        <v>9</v>
      </c>
      <c r="E416" s="93" t="s">
        <v>9</v>
      </c>
      <c r="F416" s="93" t="s">
        <v>7070</v>
      </c>
      <c r="G416" s="93" t="s">
        <v>9130</v>
      </c>
      <c r="H416" s="93" t="s">
        <v>6</v>
      </c>
      <c r="I416" s="93" t="s">
        <v>393</v>
      </c>
      <c r="J416" s="93" t="s">
        <v>9131</v>
      </c>
      <c r="K416" s="93">
        <v>80</v>
      </c>
      <c r="L416" s="93">
        <v>1</v>
      </c>
      <c r="M416" s="93">
        <v>0.5</v>
      </c>
      <c r="N416" s="93" t="s">
        <v>113</v>
      </c>
      <c r="O416" s="93">
        <v>4.0999999999999996</v>
      </c>
      <c r="P416" s="93">
        <v>9</v>
      </c>
      <c r="Q416" s="93">
        <v>22.8</v>
      </c>
      <c r="R416" s="93" t="s">
        <v>123</v>
      </c>
      <c r="S416" s="93" t="s">
        <v>18</v>
      </c>
      <c r="T416" s="93" t="s">
        <v>383</v>
      </c>
      <c r="U416" s="93" t="s">
        <v>116</v>
      </c>
      <c r="V416" s="94">
        <v>44628.510416666664</v>
      </c>
      <c r="W416" s="93" t="s">
        <v>1170</v>
      </c>
      <c r="X416" s="93" t="s">
        <v>9</v>
      </c>
    </row>
    <row r="417" spans="1:24" hidden="1" x14ac:dyDescent="0.15">
      <c r="A417" s="93" t="s">
        <v>9136</v>
      </c>
      <c r="B417" s="93" t="s">
        <v>9137</v>
      </c>
      <c r="C417" s="410">
        <v>1100.52</v>
      </c>
      <c r="D417" s="93" t="s">
        <v>9</v>
      </c>
      <c r="E417" s="93" t="s">
        <v>9</v>
      </c>
      <c r="F417" s="93" t="s">
        <v>7070</v>
      </c>
      <c r="G417" s="93" t="s">
        <v>9130</v>
      </c>
      <c r="H417" s="93" t="s">
        <v>6</v>
      </c>
      <c r="I417" s="93" t="s">
        <v>393</v>
      </c>
      <c r="J417" s="93" t="s">
        <v>9131</v>
      </c>
      <c r="K417" s="93">
        <v>80</v>
      </c>
      <c r="L417" s="93">
        <v>1</v>
      </c>
      <c r="M417" s="93">
        <v>0.5</v>
      </c>
      <c r="N417" s="93" t="s">
        <v>113</v>
      </c>
      <c r="O417" s="93">
        <v>4.0999999999999996</v>
      </c>
      <c r="P417" s="93">
        <v>9</v>
      </c>
      <c r="Q417" s="93">
        <v>22.8</v>
      </c>
      <c r="R417" s="93" t="s">
        <v>123</v>
      </c>
      <c r="S417" s="93" t="s">
        <v>18</v>
      </c>
      <c r="T417" s="93" t="s">
        <v>383</v>
      </c>
      <c r="U417" s="93" t="s">
        <v>116</v>
      </c>
      <c r="V417" s="94">
        <v>44628.532638888886</v>
      </c>
      <c r="W417" s="93" t="s">
        <v>1170</v>
      </c>
      <c r="X417" s="93" t="s">
        <v>9</v>
      </c>
    </row>
    <row r="418" spans="1:24" hidden="1" x14ac:dyDescent="0.15">
      <c r="A418" s="93" t="s">
        <v>9138</v>
      </c>
      <c r="B418" s="93" t="s">
        <v>9139</v>
      </c>
      <c r="C418" s="410">
        <v>1100.52</v>
      </c>
      <c r="D418" s="93" t="s">
        <v>9</v>
      </c>
      <c r="E418" s="93" t="s">
        <v>9</v>
      </c>
      <c r="F418" s="93" t="s">
        <v>7070</v>
      </c>
      <c r="G418" s="93" t="s">
        <v>9130</v>
      </c>
      <c r="H418" s="93" t="s">
        <v>6</v>
      </c>
      <c r="I418" s="93" t="s">
        <v>393</v>
      </c>
      <c r="J418" s="93" t="s">
        <v>9131</v>
      </c>
      <c r="K418" s="93">
        <v>80</v>
      </c>
      <c r="L418" s="93">
        <v>1</v>
      </c>
      <c r="M418" s="93">
        <v>0.5</v>
      </c>
      <c r="N418" s="93" t="s">
        <v>113</v>
      </c>
      <c r="O418" s="93">
        <v>4.0999999999999996</v>
      </c>
      <c r="P418" s="93">
        <v>9</v>
      </c>
      <c r="Q418" s="93">
        <v>22.8</v>
      </c>
      <c r="R418" s="93" t="s">
        <v>123</v>
      </c>
      <c r="S418" s="93" t="s">
        <v>18</v>
      </c>
      <c r="T418" s="93" t="s">
        <v>383</v>
      </c>
      <c r="U418" s="93" t="s">
        <v>116</v>
      </c>
      <c r="V418" s="94">
        <v>44628.510416666664</v>
      </c>
      <c r="W418" s="93" t="s">
        <v>1170</v>
      </c>
      <c r="X418" s="93" t="s">
        <v>9</v>
      </c>
    </row>
    <row r="419" spans="1:24" hidden="1" x14ac:dyDescent="0.15">
      <c r="A419" s="93" t="s">
        <v>9140</v>
      </c>
      <c r="B419" s="93" t="s">
        <v>9141</v>
      </c>
      <c r="C419" s="410">
        <v>1100.52</v>
      </c>
      <c r="D419" s="93" t="s">
        <v>9</v>
      </c>
      <c r="E419" s="93" t="s">
        <v>9</v>
      </c>
      <c r="F419" s="93" t="s">
        <v>7070</v>
      </c>
      <c r="G419" s="93" t="s">
        <v>9130</v>
      </c>
      <c r="H419" s="93" t="s">
        <v>6</v>
      </c>
      <c r="I419" s="93" t="s">
        <v>393</v>
      </c>
      <c r="J419" s="93" t="s">
        <v>9131</v>
      </c>
      <c r="K419" s="93">
        <v>80</v>
      </c>
      <c r="L419" s="93">
        <v>1</v>
      </c>
      <c r="M419" s="93">
        <v>0.5</v>
      </c>
      <c r="N419" s="93" t="s">
        <v>113</v>
      </c>
      <c r="O419" s="93">
        <v>4.0999999999999996</v>
      </c>
      <c r="P419" s="93">
        <v>9</v>
      </c>
      <c r="Q419" s="93">
        <v>22.8</v>
      </c>
      <c r="R419" s="93" t="s">
        <v>123</v>
      </c>
      <c r="S419" s="93" t="s">
        <v>18</v>
      </c>
      <c r="T419" s="93" t="s">
        <v>397</v>
      </c>
      <c r="U419" s="93" t="s">
        <v>116</v>
      </c>
      <c r="V419" s="94">
        <v>44628.466666666667</v>
      </c>
      <c r="W419" s="93" t="s">
        <v>1170</v>
      </c>
      <c r="X419" s="93" t="s">
        <v>9</v>
      </c>
    </row>
    <row r="420" spans="1:24" hidden="1" x14ac:dyDescent="0.15">
      <c r="A420" s="93" t="s">
        <v>1840</v>
      </c>
      <c r="B420" s="93" t="s">
        <v>1841</v>
      </c>
      <c r="C420" s="410">
        <v>1834.92</v>
      </c>
      <c r="D420" s="93" t="s">
        <v>9</v>
      </c>
      <c r="E420" s="93" t="s">
        <v>24</v>
      </c>
      <c r="F420" s="93" t="s">
        <v>7070</v>
      </c>
      <c r="G420" s="93" t="s">
        <v>9128</v>
      </c>
      <c r="H420" s="93" t="s">
        <v>6</v>
      </c>
      <c r="I420" s="93" t="s">
        <v>111</v>
      </c>
      <c r="J420" s="93" t="s">
        <v>1687</v>
      </c>
      <c r="K420" s="93">
        <v>120</v>
      </c>
      <c r="L420" s="93">
        <v>1</v>
      </c>
      <c r="M420" s="93">
        <v>3.86</v>
      </c>
      <c r="N420" s="93" t="s">
        <v>1221</v>
      </c>
      <c r="O420" s="93" t="s">
        <v>111</v>
      </c>
      <c r="P420" s="93" t="s">
        <v>111</v>
      </c>
      <c r="Q420" s="93" t="s">
        <v>111</v>
      </c>
      <c r="R420" s="93" t="s">
        <v>398</v>
      </c>
      <c r="S420" s="93" t="s">
        <v>18</v>
      </c>
      <c r="T420" s="93" t="s">
        <v>383</v>
      </c>
      <c r="U420" s="93" t="s">
        <v>116</v>
      </c>
      <c r="V420" s="94">
        <v>44628.631944444445</v>
      </c>
      <c r="W420" s="93" t="s">
        <v>1170</v>
      </c>
      <c r="X420" s="93" t="s">
        <v>9</v>
      </c>
    </row>
    <row r="421" spans="1:24" hidden="1" x14ac:dyDescent="0.15">
      <c r="A421" s="93" t="s">
        <v>1842</v>
      </c>
      <c r="B421" s="93" t="s">
        <v>1843</v>
      </c>
      <c r="C421" s="410">
        <v>1834.92</v>
      </c>
      <c r="D421" s="93" t="s">
        <v>9</v>
      </c>
      <c r="E421" s="93" t="s">
        <v>9</v>
      </c>
      <c r="F421" s="93" t="s">
        <v>7070</v>
      </c>
      <c r="G421" s="93" t="s">
        <v>9128</v>
      </c>
      <c r="H421" s="93" t="s">
        <v>6</v>
      </c>
      <c r="I421" s="93" t="s">
        <v>393</v>
      </c>
      <c r="J421" s="93" t="s">
        <v>1687</v>
      </c>
      <c r="K421" s="93">
        <v>120</v>
      </c>
      <c r="L421" s="93">
        <v>1</v>
      </c>
      <c r="M421" s="93">
        <v>3.86</v>
      </c>
      <c r="N421" s="93" t="s">
        <v>1221</v>
      </c>
      <c r="O421" s="93" t="s">
        <v>111</v>
      </c>
      <c r="P421" s="93" t="s">
        <v>111</v>
      </c>
      <c r="Q421" s="93" t="s">
        <v>111</v>
      </c>
      <c r="R421" s="93" t="s">
        <v>398</v>
      </c>
      <c r="S421" s="93" t="s">
        <v>18</v>
      </c>
      <c r="T421" s="93" t="s">
        <v>383</v>
      </c>
      <c r="U421" s="93" t="s">
        <v>116</v>
      </c>
      <c r="V421" s="94">
        <v>44628.554166666669</v>
      </c>
      <c r="W421" s="93" t="s">
        <v>1170</v>
      </c>
      <c r="X421" s="93" t="s">
        <v>9</v>
      </c>
    </row>
    <row r="422" spans="1:24" hidden="1" x14ac:dyDescent="0.15">
      <c r="A422" s="93" t="s">
        <v>1844</v>
      </c>
      <c r="B422" s="93" t="s">
        <v>1845</v>
      </c>
      <c r="C422" s="410">
        <v>1834.92</v>
      </c>
      <c r="D422" s="93" t="s">
        <v>9</v>
      </c>
      <c r="E422" s="93" t="s">
        <v>24</v>
      </c>
      <c r="F422" s="93" t="s">
        <v>7070</v>
      </c>
      <c r="G422" s="93" t="s">
        <v>9128</v>
      </c>
      <c r="H422" s="93" t="s">
        <v>6</v>
      </c>
      <c r="I422" s="93" t="s">
        <v>111</v>
      </c>
      <c r="J422" s="93" t="s">
        <v>1687</v>
      </c>
      <c r="K422" s="93">
        <v>120</v>
      </c>
      <c r="L422" s="93">
        <v>1</v>
      </c>
      <c r="M422" s="93">
        <v>3.86</v>
      </c>
      <c r="N422" s="93" t="s">
        <v>1221</v>
      </c>
      <c r="O422" s="93" t="s">
        <v>111</v>
      </c>
      <c r="P422" s="93" t="s">
        <v>111</v>
      </c>
      <c r="Q422" s="93" t="s">
        <v>111</v>
      </c>
      <c r="R422" s="93" t="s">
        <v>398</v>
      </c>
      <c r="S422" s="93" t="s">
        <v>18</v>
      </c>
      <c r="T422" s="93" t="s">
        <v>383</v>
      </c>
      <c r="U422" s="93" t="s">
        <v>116</v>
      </c>
      <c r="V422" s="94">
        <v>44628.597222222219</v>
      </c>
      <c r="W422" s="93" t="s">
        <v>1170</v>
      </c>
      <c r="X422" s="93" t="s">
        <v>9</v>
      </c>
    </row>
    <row r="423" spans="1:24" hidden="1" x14ac:dyDescent="0.15">
      <c r="A423" s="93" t="s">
        <v>1846</v>
      </c>
      <c r="B423" s="93" t="s">
        <v>1847</v>
      </c>
      <c r="C423" s="410">
        <v>1834.92</v>
      </c>
      <c r="D423" s="93" t="s">
        <v>9</v>
      </c>
      <c r="E423" s="93" t="s">
        <v>24</v>
      </c>
      <c r="F423" s="93" t="s">
        <v>7070</v>
      </c>
      <c r="G423" s="93" t="s">
        <v>9128</v>
      </c>
      <c r="H423" s="93" t="s">
        <v>6</v>
      </c>
      <c r="I423" s="93" t="s">
        <v>111</v>
      </c>
      <c r="J423" s="93" t="s">
        <v>1687</v>
      </c>
      <c r="K423" s="93">
        <v>120</v>
      </c>
      <c r="L423" s="93">
        <v>1</v>
      </c>
      <c r="M423" s="93">
        <v>3.86</v>
      </c>
      <c r="N423" s="93" t="s">
        <v>1221</v>
      </c>
      <c r="O423" s="93" t="s">
        <v>111</v>
      </c>
      <c r="P423" s="93" t="s">
        <v>111</v>
      </c>
      <c r="Q423" s="93" t="s">
        <v>111</v>
      </c>
      <c r="R423" s="93" t="s">
        <v>398</v>
      </c>
      <c r="S423" s="93" t="s">
        <v>18</v>
      </c>
      <c r="T423" s="93" t="s">
        <v>397</v>
      </c>
      <c r="U423" s="93" t="s">
        <v>116</v>
      </c>
      <c r="V423" s="94">
        <v>44628.488888888889</v>
      </c>
      <c r="W423" s="93" t="s">
        <v>1170</v>
      </c>
      <c r="X423" s="93" t="s">
        <v>9</v>
      </c>
    </row>
    <row r="424" spans="1:24" hidden="1" x14ac:dyDescent="0.15">
      <c r="A424" s="93" t="s">
        <v>1848</v>
      </c>
      <c r="B424" s="93" t="s">
        <v>1849</v>
      </c>
      <c r="C424" s="410">
        <v>2050.92</v>
      </c>
      <c r="D424" s="93" t="s">
        <v>9</v>
      </c>
      <c r="E424" s="93" t="s">
        <v>24</v>
      </c>
      <c r="F424" s="93" t="s">
        <v>7070</v>
      </c>
      <c r="G424" s="93" t="s">
        <v>9128</v>
      </c>
      <c r="H424" s="93" t="s">
        <v>6</v>
      </c>
      <c r="I424" s="93" t="s">
        <v>111</v>
      </c>
      <c r="J424" s="93" t="s">
        <v>1687</v>
      </c>
      <c r="K424" s="93">
        <v>120</v>
      </c>
      <c r="L424" s="93">
        <v>1</v>
      </c>
      <c r="M424" s="93">
        <v>1.75</v>
      </c>
      <c r="N424" s="93" t="s">
        <v>113</v>
      </c>
      <c r="O424" s="93">
        <v>14</v>
      </c>
      <c r="P424" s="93">
        <v>20</v>
      </c>
      <c r="Q424" s="93">
        <v>33</v>
      </c>
      <c r="R424" s="93" t="s">
        <v>123</v>
      </c>
      <c r="S424" s="93" t="s">
        <v>18</v>
      </c>
      <c r="T424" s="93" t="s">
        <v>383</v>
      </c>
      <c r="U424" s="93" t="s">
        <v>116</v>
      </c>
      <c r="V424" s="94">
        <v>44628.636111111111</v>
      </c>
      <c r="W424" s="93" t="s">
        <v>1170</v>
      </c>
      <c r="X424" s="93" t="s">
        <v>9</v>
      </c>
    </row>
    <row r="425" spans="1:24" hidden="1" x14ac:dyDescent="0.15">
      <c r="A425" s="93" t="s">
        <v>1850</v>
      </c>
      <c r="B425" s="93" t="s">
        <v>1851</v>
      </c>
      <c r="C425" s="410">
        <v>2050.92</v>
      </c>
      <c r="D425" s="93" t="s">
        <v>9</v>
      </c>
      <c r="E425" s="93" t="s">
        <v>9</v>
      </c>
      <c r="F425" s="93" t="s">
        <v>7070</v>
      </c>
      <c r="G425" s="93" t="s">
        <v>9128</v>
      </c>
      <c r="H425" s="93" t="s">
        <v>6</v>
      </c>
      <c r="I425" s="93" t="s">
        <v>393</v>
      </c>
      <c r="J425" s="93" t="s">
        <v>1687</v>
      </c>
      <c r="K425" s="93">
        <v>120</v>
      </c>
      <c r="L425" s="93">
        <v>1</v>
      </c>
      <c r="M425" s="93">
        <v>7.7</v>
      </c>
      <c r="N425" s="93" t="s">
        <v>113</v>
      </c>
      <c r="O425" s="93">
        <v>18.3</v>
      </c>
      <c r="P425" s="93">
        <v>18.600000000000001</v>
      </c>
      <c r="Q425" s="93">
        <v>62.6</v>
      </c>
      <c r="R425" s="93" t="s">
        <v>123</v>
      </c>
      <c r="S425" s="93" t="s">
        <v>18</v>
      </c>
      <c r="T425" s="93" t="s">
        <v>383</v>
      </c>
      <c r="U425" s="93" t="s">
        <v>116</v>
      </c>
      <c r="V425" s="94">
        <v>44628.492361111108</v>
      </c>
      <c r="W425" s="93" t="s">
        <v>1170</v>
      </c>
      <c r="X425" s="93" t="s">
        <v>9</v>
      </c>
    </row>
    <row r="426" spans="1:24" hidden="1" x14ac:dyDescent="0.15">
      <c r="A426" s="93" t="s">
        <v>1852</v>
      </c>
      <c r="B426" s="93" t="s">
        <v>1853</v>
      </c>
      <c r="C426" s="410">
        <v>2050.92</v>
      </c>
      <c r="D426" s="93" t="s">
        <v>9</v>
      </c>
      <c r="E426" s="93" t="s">
        <v>24</v>
      </c>
      <c r="F426" s="93" t="s">
        <v>7070</v>
      </c>
      <c r="G426" s="93" t="s">
        <v>9128</v>
      </c>
      <c r="H426" s="93" t="s">
        <v>6</v>
      </c>
      <c r="I426" s="93" t="s">
        <v>111</v>
      </c>
      <c r="J426" s="93" t="s">
        <v>1687</v>
      </c>
      <c r="K426" s="93">
        <v>120</v>
      </c>
      <c r="L426" s="93">
        <v>1</v>
      </c>
      <c r="M426" s="93">
        <v>1.7</v>
      </c>
      <c r="N426" s="93" t="s">
        <v>113</v>
      </c>
      <c r="O426" s="93">
        <v>15.2</v>
      </c>
      <c r="P426" s="93">
        <v>20</v>
      </c>
      <c r="Q426" s="93">
        <v>33</v>
      </c>
      <c r="R426" s="93" t="s">
        <v>123</v>
      </c>
      <c r="S426" s="93" t="s">
        <v>18</v>
      </c>
      <c r="T426" s="93" t="s">
        <v>383</v>
      </c>
      <c r="U426" s="93" t="s">
        <v>116</v>
      </c>
      <c r="V426" s="94">
        <v>44628.47152777778</v>
      </c>
      <c r="W426" s="93" t="s">
        <v>1170</v>
      </c>
      <c r="X426" s="93" t="s">
        <v>9</v>
      </c>
    </row>
    <row r="427" spans="1:24" hidden="1" x14ac:dyDescent="0.15">
      <c r="A427" s="93" t="s">
        <v>1854</v>
      </c>
      <c r="B427" s="93" t="s">
        <v>1855</v>
      </c>
      <c r="C427" s="410">
        <v>2050.92</v>
      </c>
      <c r="D427" s="93" t="s">
        <v>9</v>
      </c>
      <c r="E427" s="93" t="s">
        <v>24</v>
      </c>
      <c r="F427" s="93" t="s">
        <v>7070</v>
      </c>
      <c r="G427" s="93" t="s">
        <v>9128</v>
      </c>
      <c r="H427" s="93" t="s">
        <v>6</v>
      </c>
      <c r="I427" s="93" t="s">
        <v>111</v>
      </c>
      <c r="J427" s="93" t="s">
        <v>1687</v>
      </c>
      <c r="K427" s="93">
        <v>120</v>
      </c>
      <c r="L427" s="93">
        <v>1</v>
      </c>
      <c r="M427" s="93">
        <v>9</v>
      </c>
      <c r="N427" s="93" t="s">
        <v>113</v>
      </c>
      <c r="O427" s="93">
        <v>17.100000000000001</v>
      </c>
      <c r="P427" s="93">
        <v>23.1</v>
      </c>
      <c r="Q427" s="93">
        <v>78.5</v>
      </c>
      <c r="R427" s="93" t="s">
        <v>123</v>
      </c>
      <c r="S427" s="93" t="s">
        <v>18</v>
      </c>
      <c r="T427" s="93" t="s">
        <v>1623</v>
      </c>
      <c r="U427" s="93" t="s">
        <v>116</v>
      </c>
      <c r="V427" s="94">
        <v>44628.51458333333</v>
      </c>
      <c r="W427" s="93" t="s">
        <v>1170</v>
      </c>
      <c r="X427" s="93" t="s">
        <v>9</v>
      </c>
    </row>
    <row r="428" spans="1:24" hidden="1" x14ac:dyDescent="0.15">
      <c r="A428" s="93" t="s">
        <v>1856</v>
      </c>
      <c r="B428" s="93" t="s">
        <v>1857</v>
      </c>
      <c r="C428" s="410">
        <v>1834.92</v>
      </c>
      <c r="D428" s="93" t="s">
        <v>9</v>
      </c>
      <c r="E428" s="93" t="s">
        <v>9</v>
      </c>
      <c r="F428" s="93" t="s">
        <v>7070</v>
      </c>
      <c r="G428" s="93" t="s">
        <v>9128</v>
      </c>
      <c r="H428" s="93" t="s">
        <v>6</v>
      </c>
      <c r="I428" s="93" t="s">
        <v>111</v>
      </c>
      <c r="J428" s="93" t="s">
        <v>1687</v>
      </c>
      <c r="K428" s="93">
        <v>120</v>
      </c>
      <c r="L428" s="93">
        <v>1</v>
      </c>
      <c r="M428" s="93">
        <v>3.86</v>
      </c>
      <c r="N428" s="93" t="s">
        <v>1221</v>
      </c>
      <c r="O428" s="93" t="s">
        <v>111</v>
      </c>
      <c r="P428" s="93" t="s">
        <v>111</v>
      </c>
      <c r="Q428" s="93" t="s">
        <v>111</v>
      </c>
      <c r="R428" s="93" t="s">
        <v>398</v>
      </c>
      <c r="S428" s="93" t="s">
        <v>18</v>
      </c>
      <c r="T428" s="93" t="s">
        <v>383</v>
      </c>
      <c r="U428" s="93" t="s">
        <v>116</v>
      </c>
      <c r="V428" s="94">
        <v>44628.466666666667</v>
      </c>
      <c r="W428" s="93" t="s">
        <v>1170</v>
      </c>
      <c r="X428" s="93" t="s">
        <v>9</v>
      </c>
    </row>
    <row r="429" spans="1:24" hidden="1" x14ac:dyDescent="0.15">
      <c r="A429" s="93" t="s">
        <v>1858</v>
      </c>
      <c r="B429" s="93" t="s">
        <v>1859</v>
      </c>
      <c r="C429" s="410">
        <v>2050.92</v>
      </c>
      <c r="D429" s="93" t="s">
        <v>9</v>
      </c>
      <c r="E429" s="93" t="s">
        <v>24</v>
      </c>
      <c r="F429" s="93" t="s">
        <v>7070</v>
      </c>
      <c r="G429" s="93" t="s">
        <v>9128</v>
      </c>
      <c r="H429" s="93" t="s">
        <v>6</v>
      </c>
      <c r="I429" s="93" t="s">
        <v>111</v>
      </c>
      <c r="J429" s="93" t="s">
        <v>1687</v>
      </c>
      <c r="K429" s="93">
        <v>120</v>
      </c>
      <c r="L429" s="93">
        <v>1</v>
      </c>
      <c r="M429" s="93">
        <v>9</v>
      </c>
      <c r="N429" s="93" t="s">
        <v>113</v>
      </c>
      <c r="O429" s="93">
        <v>17.100000000000001</v>
      </c>
      <c r="P429" s="93">
        <v>23.1</v>
      </c>
      <c r="Q429" s="93">
        <v>78.5</v>
      </c>
      <c r="R429" s="93" t="s">
        <v>123</v>
      </c>
      <c r="S429" s="93" t="s">
        <v>18</v>
      </c>
      <c r="T429" s="93" t="s">
        <v>383</v>
      </c>
      <c r="U429" s="93" t="s">
        <v>116</v>
      </c>
      <c r="V429" s="94">
        <v>44628.47152777778</v>
      </c>
      <c r="W429" s="93" t="s">
        <v>1170</v>
      </c>
      <c r="X429" s="93" t="s">
        <v>9</v>
      </c>
    </row>
    <row r="430" spans="1:24" hidden="1" x14ac:dyDescent="0.15">
      <c r="A430" s="93" t="s">
        <v>1860</v>
      </c>
      <c r="B430" s="93" t="s">
        <v>1861</v>
      </c>
      <c r="C430" s="410">
        <v>1063.8</v>
      </c>
      <c r="D430" s="93" t="s">
        <v>9</v>
      </c>
      <c r="E430" s="93" t="s">
        <v>9</v>
      </c>
      <c r="F430" s="93" t="s">
        <v>7070</v>
      </c>
      <c r="G430" s="93" t="s">
        <v>9124</v>
      </c>
      <c r="H430" s="93" t="s">
        <v>1690</v>
      </c>
      <c r="I430" s="93" t="s">
        <v>111</v>
      </c>
      <c r="J430" s="93" t="s">
        <v>1687</v>
      </c>
      <c r="K430" s="93">
        <v>120</v>
      </c>
      <c r="L430" s="93">
        <v>12</v>
      </c>
      <c r="M430" s="93">
        <v>1.75</v>
      </c>
      <c r="N430" s="93" t="s">
        <v>113</v>
      </c>
      <c r="O430" s="93">
        <v>14</v>
      </c>
      <c r="P430" s="93">
        <v>20</v>
      </c>
      <c r="Q430" s="93">
        <v>33</v>
      </c>
      <c r="R430" s="93" t="s">
        <v>123</v>
      </c>
      <c r="S430" s="93" t="s">
        <v>18</v>
      </c>
      <c r="T430" s="93" t="s">
        <v>383</v>
      </c>
      <c r="U430" s="93" t="s">
        <v>116</v>
      </c>
      <c r="V430" s="94">
        <v>44628.470833333333</v>
      </c>
      <c r="W430" s="93" t="s">
        <v>1170</v>
      </c>
      <c r="X430" s="93" t="s">
        <v>9</v>
      </c>
    </row>
    <row r="431" spans="1:24" hidden="1" x14ac:dyDescent="0.15">
      <c r="A431" s="93" t="s">
        <v>9142</v>
      </c>
      <c r="B431" s="93" t="s">
        <v>1863</v>
      </c>
      <c r="C431" s="410">
        <v>1128.5999999999999</v>
      </c>
      <c r="D431" s="93" t="s">
        <v>9</v>
      </c>
      <c r="E431" s="93" t="s">
        <v>24</v>
      </c>
      <c r="F431" s="93" t="s">
        <v>7070</v>
      </c>
      <c r="G431" s="93" t="s">
        <v>9124</v>
      </c>
      <c r="H431" s="93" t="s">
        <v>1690</v>
      </c>
      <c r="I431" s="93" t="s">
        <v>111</v>
      </c>
      <c r="J431" s="93" t="s">
        <v>1687</v>
      </c>
      <c r="K431" s="93">
        <v>120</v>
      </c>
      <c r="L431" s="93" t="s">
        <v>111</v>
      </c>
      <c r="M431" s="93">
        <v>2.35</v>
      </c>
      <c r="N431" s="93" t="s">
        <v>113</v>
      </c>
      <c r="O431" s="93">
        <v>13</v>
      </c>
      <c r="P431" s="93">
        <v>34</v>
      </c>
      <c r="Q431" s="93">
        <v>37</v>
      </c>
      <c r="R431" s="93" t="s">
        <v>123</v>
      </c>
      <c r="S431" s="93" t="s">
        <v>18</v>
      </c>
      <c r="T431" s="93" t="s">
        <v>383</v>
      </c>
      <c r="U431" s="93" t="s">
        <v>119</v>
      </c>
      <c r="V431" s="94">
        <v>44628.538888888892</v>
      </c>
      <c r="W431" s="93" t="s">
        <v>1170</v>
      </c>
      <c r="X431" s="93" t="s">
        <v>9</v>
      </c>
    </row>
    <row r="432" spans="1:24" hidden="1" x14ac:dyDescent="0.15">
      <c r="A432" s="93" t="s">
        <v>1862</v>
      </c>
      <c r="B432" s="93" t="s">
        <v>1863</v>
      </c>
      <c r="C432" s="410">
        <v>1171.8</v>
      </c>
      <c r="D432" s="93" t="s">
        <v>9</v>
      </c>
      <c r="E432" s="93" t="s">
        <v>9</v>
      </c>
      <c r="F432" s="93" t="s">
        <v>7070</v>
      </c>
      <c r="G432" s="93" t="s">
        <v>9124</v>
      </c>
      <c r="H432" s="93" t="s">
        <v>1690</v>
      </c>
      <c r="I432" s="93" t="s">
        <v>111</v>
      </c>
      <c r="J432" s="93" t="s">
        <v>1687</v>
      </c>
      <c r="K432" s="93">
        <v>120</v>
      </c>
      <c r="L432" s="93">
        <v>1</v>
      </c>
      <c r="M432" s="93">
        <v>2.35</v>
      </c>
      <c r="N432" s="93" t="s">
        <v>113</v>
      </c>
      <c r="O432" s="93">
        <v>13</v>
      </c>
      <c r="P432" s="93">
        <v>34</v>
      </c>
      <c r="Q432" s="93">
        <v>37</v>
      </c>
      <c r="R432" s="93" t="s">
        <v>123</v>
      </c>
      <c r="S432" s="93" t="s">
        <v>18</v>
      </c>
      <c r="T432" s="93" t="s">
        <v>383</v>
      </c>
      <c r="U432" s="93" t="s">
        <v>116</v>
      </c>
      <c r="V432" s="94">
        <v>44628.635416666664</v>
      </c>
      <c r="W432" s="93" t="s">
        <v>1170</v>
      </c>
      <c r="X432" s="93" t="s">
        <v>9</v>
      </c>
    </row>
    <row r="433" spans="1:24" hidden="1" x14ac:dyDescent="0.15">
      <c r="A433" s="93" t="s">
        <v>1864</v>
      </c>
      <c r="B433" s="93" t="s">
        <v>1865</v>
      </c>
      <c r="C433" s="410">
        <v>1063.8</v>
      </c>
      <c r="D433" s="93" t="s">
        <v>9</v>
      </c>
      <c r="E433" s="93" t="s">
        <v>9</v>
      </c>
      <c r="F433" s="93" t="s">
        <v>7070</v>
      </c>
      <c r="G433" s="93" t="s">
        <v>9124</v>
      </c>
      <c r="H433" s="93" t="s">
        <v>1690</v>
      </c>
      <c r="I433" s="93" t="s">
        <v>111</v>
      </c>
      <c r="J433" s="93" t="s">
        <v>1687</v>
      </c>
      <c r="K433" s="93">
        <v>120</v>
      </c>
      <c r="L433" s="93">
        <v>1</v>
      </c>
      <c r="M433" s="93">
        <v>1.75</v>
      </c>
      <c r="N433" s="93" t="s">
        <v>113</v>
      </c>
      <c r="O433" s="93">
        <v>14</v>
      </c>
      <c r="P433" s="93">
        <v>20</v>
      </c>
      <c r="Q433" s="93">
        <v>33</v>
      </c>
      <c r="R433" s="93" t="s">
        <v>123</v>
      </c>
      <c r="S433" s="93" t="s">
        <v>18</v>
      </c>
      <c r="T433" s="93" t="s">
        <v>383</v>
      </c>
      <c r="U433" s="93" t="s">
        <v>116</v>
      </c>
      <c r="V433" s="94">
        <v>44628.470833333333</v>
      </c>
      <c r="W433" s="93" t="s">
        <v>1207</v>
      </c>
      <c r="X433" s="93" t="s">
        <v>9</v>
      </c>
    </row>
    <row r="434" spans="1:24" hidden="1" x14ac:dyDescent="0.15">
      <c r="A434" s="93" t="s">
        <v>1866</v>
      </c>
      <c r="B434" s="93" t="s">
        <v>1867</v>
      </c>
      <c r="C434" s="410">
        <v>1171.8</v>
      </c>
      <c r="D434" s="93" t="s">
        <v>9</v>
      </c>
      <c r="E434" s="93" t="s">
        <v>9</v>
      </c>
      <c r="F434" s="93" t="s">
        <v>7070</v>
      </c>
      <c r="G434" s="93" t="s">
        <v>9124</v>
      </c>
      <c r="H434" s="93" t="s">
        <v>1690</v>
      </c>
      <c r="I434" s="93" t="s">
        <v>111</v>
      </c>
      <c r="J434" s="93" t="s">
        <v>1687</v>
      </c>
      <c r="K434" s="93">
        <v>120</v>
      </c>
      <c r="L434" s="93">
        <v>1</v>
      </c>
      <c r="M434" s="93">
        <v>2.35</v>
      </c>
      <c r="N434" s="93" t="s">
        <v>113</v>
      </c>
      <c r="O434" s="93">
        <v>13</v>
      </c>
      <c r="P434" s="93">
        <v>34</v>
      </c>
      <c r="Q434" s="93">
        <v>37</v>
      </c>
      <c r="R434" s="93" t="s">
        <v>123</v>
      </c>
      <c r="S434" s="93" t="s">
        <v>18</v>
      </c>
      <c r="T434" s="93" t="s">
        <v>383</v>
      </c>
      <c r="U434" s="93" t="s">
        <v>116</v>
      </c>
      <c r="V434" s="94">
        <v>44628.600694444445</v>
      </c>
      <c r="W434" s="93" t="s">
        <v>1207</v>
      </c>
      <c r="X434" s="93" t="s">
        <v>9</v>
      </c>
    </row>
    <row r="435" spans="1:24" hidden="1" x14ac:dyDescent="0.15">
      <c r="A435" s="93" t="s">
        <v>1868</v>
      </c>
      <c r="B435" s="93" t="s">
        <v>1869</v>
      </c>
      <c r="C435" s="410">
        <v>1063.8</v>
      </c>
      <c r="D435" s="93" t="s">
        <v>9</v>
      </c>
      <c r="E435" s="93" t="s">
        <v>9</v>
      </c>
      <c r="F435" s="93" t="s">
        <v>7070</v>
      </c>
      <c r="G435" s="93" t="s">
        <v>9124</v>
      </c>
      <c r="H435" s="93" t="s">
        <v>1690</v>
      </c>
      <c r="I435" s="93" t="s">
        <v>111</v>
      </c>
      <c r="J435" s="93" t="s">
        <v>1687</v>
      </c>
      <c r="K435" s="93">
        <v>120</v>
      </c>
      <c r="L435" s="93">
        <v>1</v>
      </c>
      <c r="M435" s="93">
        <v>1.75</v>
      </c>
      <c r="N435" s="93" t="s">
        <v>113</v>
      </c>
      <c r="O435" s="93">
        <v>14</v>
      </c>
      <c r="P435" s="93">
        <v>20</v>
      </c>
      <c r="Q435" s="93">
        <v>33</v>
      </c>
      <c r="R435" s="93" t="s">
        <v>123</v>
      </c>
      <c r="S435" s="93" t="s">
        <v>18</v>
      </c>
      <c r="T435" s="93" t="s">
        <v>1623</v>
      </c>
      <c r="U435" s="93" t="s">
        <v>116</v>
      </c>
      <c r="V435" s="94">
        <v>44628.600694444445</v>
      </c>
      <c r="W435" s="93" t="s">
        <v>1170</v>
      </c>
      <c r="X435" s="93" t="s">
        <v>9</v>
      </c>
    </row>
    <row r="436" spans="1:24" hidden="1" x14ac:dyDescent="0.15">
      <c r="A436" s="93" t="s">
        <v>1870</v>
      </c>
      <c r="B436" s="93" t="s">
        <v>1871</v>
      </c>
      <c r="C436" s="410">
        <v>1171.8</v>
      </c>
      <c r="D436" s="93" t="s">
        <v>9</v>
      </c>
      <c r="E436" s="93" t="s">
        <v>9</v>
      </c>
      <c r="F436" s="93" t="s">
        <v>7070</v>
      </c>
      <c r="G436" s="93" t="s">
        <v>9124</v>
      </c>
      <c r="H436" s="93" t="s">
        <v>1690</v>
      </c>
      <c r="I436" s="93" t="s">
        <v>111</v>
      </c>
      <c r="J436" s="93" t="s">
        <v>1687</v>
      </c>
      <c r="K436" s="93">
        <v>120</v>
      </c>
      <c r="L436" s="93">
        <v>1</v>
      </c>
      <c r="M436" s="93">
        <v>2.35</v>
      </c>
      <c r="N436" s="93" t="s">
        <v>113</v>
      </c>
      <c r="O436" s="93">
        <v>13</v>
      </c>
      <c r="P436" s="93">
        <v>34</v>
      </c>
      <c r="Q436" s="93">
        <v>37</v>
      </c>
      <c r="R436" s="93" t="s">
        <v>123</v>
      </c>
      <c r="S436" s="93" t="s">
        <v>18</v>
      </c>
      <c r="T436" s="93" t="s">
        <v>1623</v>
      </c>
      <c r="U436" s="93" t="s">
        <v>116</v>
      </c>
      <c r="V436" s="94">
        <v>44628.556944444441</v>
      </c>
      <c r="W436" s="93" t="s">
        <v>1170</v>
      </c>
      <c r="X436" s="93" t="s">
        <v>9</v>
      </c>
    </row>
    <row r="437" spans="1:24" hidden="1" x14ac:dyDescent="0.15">
      <c r="A437" s="93" t="s">
        <v>1872</v>
      </c>
      <c r="B437" s="93" t="s">
        <v>1873</v>
      </c>
      <c r="C437" s="410">
        <v>2802.6</v>
      </c>
      <c r="D437" s="93" t="s">
        <v>9</v>
      </c>
      <c r="E437" s="93" t="s">
        <v>9</v>
      </c>
      <c r="F437" s="93" t="s">
        <v>7070</v>
      </c>
      <c r="G437" s="93" t="s">
        <v>9124</v>
      </c>
      <c r="H437" s="93" t="s">
        <v>1690</v>
      </c>
      <c r="I437" s="93" t="s">
        <v>111</v>
      </c>
      <c r="J437" s="93" t="s">
        <v>1776</v>
      </c>
      <c r="K437" s="93">
        <v>120</v>
      </c>
      <c r="L437" s="93" t="s">
        <v>111</v>
      </c>
      <c r="M437" s="93">
        <v>1.75</v>
      </c>
      <c r="N437" s="93" t="s">
        <v>113</v>
      </c>
      <c r="O437" s="93">
        <v>14</v>
      </c>
      <c r="P437" s="93">
        <v>20</v>
      </c>
      <c r="Q437" s="93">
        <v>33</v>
      </c>
      <c r="R437" s="93" t="s">
        <v>123</v>
      </c>
      <c r="S437" s="93" t="s">
        <v>18</v>
      </c>
      <c r="T437" s="93" t="s">
        <v>383</v>
      </c>
      <c r="U437" s="93" t="s">
        <v>116</v>
      </c>
      <c r="V437" s="94">
        <v>44628.511111111111</v>
      </c>
      <c r="W437" s="93" t="s">
        <v>1170</v>
      </c>
      <c r="X437" s="93" t="s">
        <v>9</v>
      </c>
    </row>
    <row r="438" spans="1:24" hidden="1" x14ac:dyDescent="0.15">
      <c r="A438" s="93" t="s">
        <v>1874</v>
      </c>
      <c r="B438" s="93" t="s">
        <v>1875</v>
      </c>
      <c r="C438" s="410">
        <v>3018.6</v>
      </c>
      <c r="D438" s="93" t="s">
        <v>9</v>
      </c>
      <c r="E438" s="93" t="s">
        <v>9</v>
      </c>
      <c r="F438" s="93" t="s">
        <v>7070</v>
      </c>
      <c r="G438" s="93" t="s">
        <v>9124</v>
      </c>
      <c r="H438" s="93" t="s">
        <v>1690</v>
      </c>
      <c r="I438" s="93" t="s">
        <v>111</v>
      </c>
      <c r="J438" s="93" t="s">
        <v>1776</v>
      </c>
      <c r="K438" s="93">
        <v>120</v>
      </c>
      <c r="L438" s="93" t="s">
        <v>111</v>
      </c>
      <c r="M438" s="93">
        <v>2.35</v>
      </c>
      <c r="N438" s="93" t="s">
        <v>113</v>
      </c>
      <c r="O438" s="93">
        <v>13</v>
      </c>
      <c r="P438" s="93">
        <v>34</v>
      </c>
      <c r="Q438" s="93">
        <v>37</v>
      </c>
      <c r="R438" s="93" t="s">
        <v>123</v>
      </c>
      <c r="S438" s="93" t="s">
        <v>18</v>
      </c>
      <c r="T438" s="93" t="s">
        <v>383</v>
      </c>
      <c r="U438" s="93" t="s">
        <v>116</v>
      </c>
      <c r="V438" s="94">
        <v>44628.511111111111</v>
      </c>
      <c r="W438" s="93" t="s">
        <v>1170</v>
      </c>
      <c r="X438" s="93" t="s">
        <v>9</v>
      </c>
    </row>
    <row r="439" spans="1:24" hidden="1" x14ac:dyDescent="0.15">
      <c r="A439" s="93" t="s">
        <v>1876</v>
      </c>
      <c r="B439" s="93" t="s">
        <v>1877</v>
      </c>
      <c r="C439" s="410">
        <v>2802.6</v>
      </c>
      <c r="D439" s="93" t="s">
        <v>9</v>
      </c>
      <c r="E439" s="93" t="s">
        <v>9</v>
      </c>
      <c r="F439" s="93" t="s">
        <v>7070</v>
      </c>
      <c r="G439" s="93" t="s">
        <v>9124</v>
      </c>
      <c r="H439" s="93" t="s">
        <v>1690</v>
      </c>
      <c r="I439" s="93" t="s">
        <v>111</v>
      </c>
      <c r="J439" s="93" t="s">
        <v>1776</v>
      </c>
      <c r="K439" s="93">
        <v>120</v>
      </c>
      <c r="L439" s="93" t="s">
        <v>111</v>
      </c>
      <c r="M439" s="93">
        <v>1.75</v>
      </c>
      <c r="N439" s="93" t="s">
        <v>113</v>
      </c>
      <c r="O439" s="93">
        <v>14</v>
      </c>
      <c r="P439" s="93">
        <v>20</v>
      </c>
      <c r="Q439" s="93">
        <v>33</v>
      </c>
      <c r="R439" s="93" t="s">
        <v>123</v>
      </c>
      <c r="S439" s="93" t="s">
        <v>18</v>
      </c>
      <c r="T439" s="93" t="s">
        <v>383</v>
      </c>
      <c r="U439" s="93" t="s">
        <v>116</v>
      </c>
      <c r="V439" s="94">
        <v>44628.597916666666</v>
      </c>
      <c r="W439" s="93" t="s">
        <v>1170</v>
      </c>
      <c r="X439" s="93" t="s">
        <v>9</v>
      </c>
    </row>
    <row r="440" spans="1:24" hidden="1" x14ac:dyDescent="0.15">
      <c r="A440" s="93" t="s">
        <v>1878</v>
      </c>
      <c r="B440" s="93" t="s">
        <v>1879</v>
      </c>
      <c r="C440" s="410">
        <v>3018.6</v>
      </c>
      <c r="D440" s="93" t="s">
        <v>9</v>
      </c>
      <c r="E440" s="93" t="s">
        <v>9</v>
      </c>
      <c r="F440" s="93" t="s">
        <v>7070</v>
      </c>
      <c r="G440" s="93" t="s">
        <v>9124</v>
      </c>
      <c r="H440" s="93" t="s">
        <v>1690</v>
      </c>
      <c r="I440" s="93" t="s">
        <v>111</v>
      </c>
      <c r="J440" s="93" t="s">
        <v>1776</v>
      </c>
      <c r="K440" s="93">
        <v>120</v>
      </c>
      <c r="L440" s="93" t="s">
        <v>111</v>
      </c>
      <c r="M440" s="93">
        <v>2.35</v>
      </c>
      <c r="N440" s="93" t="s">
        <v>113</v>
      </c>
      <c r="O440" s="93">
        <v>13</v>
      </c>
      <c r="P440" s="93">
        <v>34</v>
      </c>
      <c r="Q440" s="93">
        <v>37</v>
      </c>
      <c r="R440" s="93" t="s">
        <v>123</v>
      </c>
      <c r="S440" s="93" t="s">
        <v>18</v>
      </c>
      <c r="T440" s="93" t="s">
        <v>383</v>
      </c>
      <c r="U440" s="93" t="s">
        <v>116</v>
      </c>
      <c r="V440" s="94">
        <v>44628.488888888889</v>
      </c>
      <c r="W440" s="93" t="s">
        <v>1170</v>
      </c>
      <c r="X440" s="93" t="s">
        <v>9</v>
      </c>
    </row>
    <row r="441" spans="1:24" hidden="1" x14ac:dyDescent="0.15">
      <c r="A441" s="93" t="s">
        <v>1880</v>
      </c>
      <c r="B441" s="93" t="s">
        <v>1881</v>
      </c>
      <c r="C441" s="410">
        <v>2802.6</v>
      </c>
      <c r="D441" s="93" t="s">
        <v>9</v>
      </c>
      <c r="E441" s="93" t="s">
        <v>9</v>
      </c>
      <c r="F441" s="93" t="s">
        <v>7070</v>
      </c>
      <c r="G441" s="93" t="s">
        <v>9124</v>
      </c>
      <c r="H441" s="93" t="s">
        <v>1690</v>
      </c>
      <c r="I441" s="93" t="s">
        <v>111</v>
      </c>
      <c r="J441" s="93" t="s">
        <v>1776</v>
      </c>
      <c r="K441" s="93">
        <v>120</v>
      </c>
      <c r="L441" s="93" t="s">
        <v>111</v>
      </c>
      <c r="M441" s="93">
        <v>1.75</v>
      </c>
      <c r="N441" s="93" t="s">
        <v>113</v>
      </c>
      <c r="O441" s="93">
        <v>14</v>
      </c>
      <c r="P441" s="93">
        <v>20</v>
      </c>
      <c r="Q441" s="93">
        <v>33</v>
      </c>
      <c r="R441" s="93" t="s">
        <v>123</v>
      </c>
      <c r="S441" s="93" t="s">
        <v>18</v>
      </c>
      <c r="T441" s="93" t="s">
        <v>383</v>
      </c>
      <c r="U441" s="93" t="s">
        <v>116</v>
      </c>
      <c r="V441" s="94">
        <v>44628.511111111111</v>
      </c>
      <c r="W441" s="93" t="s">
        <v>1170</v>
      </c>
      <c r="X441" s="93" t="s">
        <v>9</v>
      </c>
    </row>
    <row r="442" spans="1:24" hidden="1" x14ac:dyDescent="0.15">
      <c r="A442" s="93" t="s">
        <v>1882</v>
      </c>
      <c r="B442" s="93" t="s">
        <v>1883</v>
      </c>
      <c r="C442" s="410">
        <v>3018.6</v>
      </c>
      <c r="D442" s="93" t="s">
        <v>9</v>
      </c>
      <c r="E442" s="93" t="s">
        <v>9</v>
      </c>
      <c r="F442" s="93" t="s">
        <v>7070</v>
      </c>
      <c r="G442" s="93" t="s">
        <v>9124</v>
      </c>
      <c r="H442" s="93" t="s">
        <v>1690</v>
      </c>
      <c r="I442" s="93" t="s">
        <v>111</v>
      </c>
      <c r="J442" s="93" t="s">
        <v>1776</v>
      </c>
      <c r="K442" s="93">
        <v>120</v>
      </c>
      <c r="L442" s="93" t="s">
        <v>111</v>
      </c>
      <c r="M442" s="93">
        <v>2.35</v>
      </c>
      <c r="N442" s="93" t="s">
        <v>113</v>
      </c>
      <c r="O442" s="93">
        <v>13</v>
      </c>
      <c r="P442" s="93">
        <v>34</v>
      </c>
      <c r="Q442" s="93">
        <v>37</v>
      </c>
      <c r="R442" s="93" t="s">
        <v>123</v>
      </c>
      <c r="S442" s="93" t="s">
        <v>111</v>
      </c>
      <c r="T442" s="93" t="s">
        <v>383</v>
      </c>
      <c r="U442" s="93" t="s">
        <v>116</v>
      </c>
      <c r="V442" s="94">
        <v>44628.511111111111</v>
      </c>
      <c r="W442" s="93" t="s">
        <v>1170</v>
      </c>
      <c r="X442" s="93" t="s">
        <v>9</v>
      </c>
    </row>
    <row r="443" spans="1:24" hidden="1" x14ac:dyDescent="0.15">
      <c r="A443" s="93" t="s">
        <v>1884</v>
      </c>
      <c r="B443" s="93" t="s">
        <v>1885</v>
      </c>
      <c r="C443" s="410">
        <v>1063.8</v>
      </c>
      <c r="D443" s="93" t="s">
        <v>9</v>
      </c>
      <c r="E443" s="93" t="s">
        <v>9</v>
      </c>
      <c r="F443" s="93" t="s">
        <v>7070</v>
      </c>
      <c r="G443" s="93" t="s">
        <v>9124</v>
      </c>
      <c r="H443" s="93" t="s">
        <v>1690</v>
      </c>
      <c r="I443" s="93" t="s">
        <v>111</v>
      </c>
      <c r="J443" s="93" t="s">
        <v>1687</v>
      </c>
      <c r="K443" s="93">
        <v>120</v>
      </c>
      <c r="L443" s="93">
        <v>1</v>
      </c>
      <c r="M443" s="93">
        <v>1.75</v>
      </c>
      <c r="N443" s="93" t="s">
        <v>113</v>
      </c>
      <c r="O443" s="93">
        <v>14</v>
      </c>
      <c r="P443" s="93">
        <v>20</v>
      </c>
      <c r="Q443" s="93">
        <v>33</v>
      </c>
      <c r="R443" s="93" t="s">
        <v>123</v>
      </c>
      <c r="S443" s="93" t="s">
        <v>18</v>
      </c>
      <c r="T443" s="93" t="s">
        <v>383</v>
      </c>
      <c r="U443" s="93" t="s">
        <v>116</v>
      </c>
      <c r="V443" s="94">
        <v>44628.536111111112</v>
      </c>
      <c r="W443" s="93" t="s">
        <v>1207</v>
      </c>
      <c r="X443" s="93" t="s">
        <v>9</v>
      </c>
    </row>
    <row r="444" spans="1:24" hidden="1" x14ac:dyDescent="0.15">
      <c r="A444" s="93" t="s">
        <v>1886</v>
      </c>
      <c r="B444" s="93" t="s">
        <v>1887</v>
      </c>
      <c r="C444" s="410">
        <v>1171.8</v>
      </c>
      <c r="D444" s="93" t="s">
        <v>9</v>
      </c>
      <c r="E444" s="93" t="s">
        <v>9</v>
      </c>
      <c r="F444" s="93" t="s">
        <v>7070</v>
      </c>
      <c r="G444" s="93" t="s">
        <v>9124</v>
      </c>
      <c r="H444" s="93" t="s">
        <v>1690</v>
      </c>
      <c r="I444" s="93" t="s">
        <v>111</v>
      </c>
      <c r="J444" s="93" t="s">
        <v>1687</v>
      </c>
      <c r="K444" s="93">
        <v>120</v>
      </c>
      <c r="L444" s="93">
        <v>1</v>
      </c>
      <c r="M444" s="93">
        <v>2.35</v>
      </c>
      <c r="N444" s="93" t="s">
        <v>113</v>
      </c>
      <c r="O444" s="93">
        <v>13</v>
      </c>
      <c r="P444" s="93">
        <v>34</v>
      </c>
      <c r="Q444" s="93">
        <v>37</v>
      </c>
      <c r="R444" s="93" t="s">
        <v>123</v>
      </c>
      <c r="S444" s="93" t="s">
        <v>18</v>
      </c>
      <c r="T444" s="93" t="s">
        <v>383</v>
      </c>
      <c r="U444" s="93" t="s">
        <v>116</v>
      </c>
      <c r="V444" s="94">
        <v>44628.635416666664</v>
      </c>
      <c r="W444" s="93" t="s">
        <v>1812</v>
      </c>
      <c r="X444" s="93" t="s">
        <v>9</v>
      </c>
    </row>
    <row r="445" spans="1:24" hidden="1" x14ac:dyDescent="0.15">
      <c r="A445" s="93" t="s">
        <v>1888</v>
      </c>
      <c r="B445" s="93" t="s">
        <v>1889</v>
      </c>
      <c r="C445" s="410">
        <v>2802.6</v>
      </c>
      <c r="D445" s="93" t="s">
        <v>9</v>
      </c>
      <c r="E445" s="93" t="s">
        <v>9</v>
      </c>
      <c r="F445" s="93" t="s">
        <v>7070</v>
      </c>
      <c r="G445" s="93" t="s">
        <v>9124</v>
      </c>
      <c r="H445" s="93" t="s">
        <v>1690</v>
      </c>
      <c r="I445" s="93" t="s">
        <v>111</v>
      </c>
      <c r="J445" s="93" t="s">
        <v>1776</v>
      </c>
      <c r="K445" s="93">
        <v>120</v>
      </c>
      <c r="L445" s="93" t="s">
        <v>111</v>
      </c>
      <c r="M445" s="93">
        <v>1.75</v>
      </c>
      <c r="N445" s="93" t="s">
        <v>113</v>
      </c>
      <c r="O445" s="93">
        <v>14</v>
      </c>
      <c r="P445" s="93">
        <v>20</v>
      </c>
      <c r="Q445" s="93">
        <v>33</v>
      </c>
      <c r="R445" s="93" t="s">
        <v>123</v>
      </c>
      <c r="S445" s="93" t="s">
        <v>18</v>
      </c>
      <c r="T445" s="93" t="s">
        <v>383</v>
      </c>
      <c r="U445" s="93" t="s">
        <v>116</v>
      </c>
      <c r="V445" s="94">
        <v>44628.633333333331</v>
      </c>
      <c r="W445" s="93" t="s">
        <v>1170</v>
      </c>
      <c r="X445" s="93" t="s">
        <v>9</v>
      </c>
    </row>
    <row r="446" spans="1:24" hidden="1" x14ac:dyDescent="0.15">
      <c r="A446" s="93" t="s">
        <v>1890</v>
      </c>
      <c r="B446" s="93" t="s">
        <v>1891</v>
      </c>
      <c r="C446" s="410">
        <v>3018.6</v>
      </c>
      <c r="D446" s="93" t="s">
        <v>9</v>
      </c>
      <c r="E446" s="93" t="s">
        <v>9</v>
      </c>
      <c r="F446" s="93" t="s">
        <v>7070</v>
      </c>
      <c r="G446" s="93" t="s">
        <v>9124</v>
      </c>
      <c r="H446" s="93" t="s">
        <v>1690</v>
      </c>
      <c r="I446" s="93" t="s">
        <v>111</v>
      </c>
      <c r="J446" s="93" t="s">
        <v>1776</v>
      </c>
      <c r="K446" s="93">
        <v>120</v>
      </c>
      <c r="L446" s="93" t="s">
        <v>111</v>
      </c>
      <c r="M446" s="93">
        <v>2.35</v>
      </c>
      <c r="N446" s="93" t="s">
        <v>113</v>
      </c>
      <c r="O446" s="93">
        <v>13</v>
      </c>
      <c r="P446" s="93">
        <v>34</v>
      </c>
      <c r="Q446" s="93">
        <v>37</v>
      </c>
      <c r="R446" s="93" t="s">
        <v>123</v>
      </c>
      <c r="S446" s="93" t="s">
        <v>111</v>
      </c>
      <c r="T446" s="93" t="s">
        <v>383</v>
      </c>
      <c r="U446" s="93" t="s">
        <v>116</v>
      </c>
      <c r="V446" s="94">
        <v>44628.575694444444</v>
      </c>
      <c r="W446" s="93" t="s">
        <v>1170</v>
      </c>
      <c r="X446" s="93" t="s">
        <v>9</v>
      </c>
    </row>
    <row r="447" spans="1:24" hidden="1" x14ac:dyDescent="0.15">
      <c r="A447" s="93" t="s">
        <v>1892</v>
      </c>
      <c r="B447" s="93" t="s">
        <v>1893</v>
      </c>
      <c r="C447" s="410">
        <v>2802.6</v>
      </c>
      <c r="D447" s="93" t="s">
        <v>9</v>
      </c>
      <c r="E447" s="93" t="s">
        <v>9</v>
      </c>
      <c r="F447" s="93" t="s">
        <v>7070</v>
      </c>
      <c r="G447" s="93" t="s">
        <v>9124</v>
      </c>
      <c r="H447" s="93" t="s">
        <v>1690</v>
      </c>
      <c r="I447" s="93" t="s">
        <v>111</v>
      </c>
      <c r="J447" s="93" t="s">
        <v>1776</v>
      </c>
      <c r="K447" s="93">
        <v>120</v>
      </c>
      <c r="L447" s="93" t="s">
        <v>111</v>
      </c>
      <c r="M447" s="93">
        <v>1.75</v>
      </c>
      <c r="N447" s="93" t="s">
        <v>113</v>
      </c>
      <c r="O447" s="93">
        <v>14</v>
      </c>
      <c r="P447" s="93">
        <v>20</v>
      </c>
      <c r="Q447" s="93">
        <v>33</v>
      </c>
      <c r="R447" s="93" t="s">
        <v>123</v>
      </c>
      <c r="S447" s="93" t="s">
        <v>18</v>
      </c>
      <c r="T447" s="93" t="s">
        <v>1623</v>
      </c>
      <c r="U447" s="93" t="s">
        <v>116</v>
      </c>
      <c r="V447" s="94">
        <v>44628.554861111108</v>
      </c>
      <c r="W447" s="93" t="s">
        <v>1170</v>
      </c>
      <c r="X447" s="93" t="s">
        <v>9</v>
      </c>
    </row>
    <row r="448" spans="1:24" hidden="1" x14ac:dyDescent="0.15">
      <c r="A448" s="93" t="s">
        <v>1894</v>
      </c>
      <c r="B448" s="93" t="s">
        <v>1895</v>
      </c>
      <c r="C448" s="410">
        <v>3018.6</v>
      </c>
      <c r="D448" s="93" t="s">
        <v>9</v>
      </c>
      <c r="E448" s="93" t="s">
        <v>9</v>
      </c>
      <c r="F448" s="93" t="s">
        <v>7070</v>
      </c>
      <c r="G448" s="93" t="s">
        <v>9124</v>
      </c>
      <c r="H448" s="93" t="s">
        <v>1690</v>
      </c>
      <c r="I448" s="93" t="s">
        <v>111</v>
      </c>
      <c r="J448" s="93" t="s">
        <v>1776</v>
      </c>
      <c r="K448" s="93">
        <v>120</v>
      </c>
      <c r="L448" s="93" t="s">
        <v>111</v>
      </c>
      <c r="M448" s="93">
        <v>2.35</v>
      </c>
      <c r="N448" s="93" t="s">
        <v>113</v>
      </c>
      <c r="O448" s="93">
        <v>13</v>
      </c>
      <c r="P448" s="93">
        <v>34</v>
      </c>
      <c r="Q448" s="93">
        <v>37</v>
      </c>
      <c r="R448" s="93" t="s">
        <v>123</v>
      </c>
      <c r="S448" s="93" t="s">
        <v>111</v>
      </c>
      <c r="T448" s="93" t="s">
        <v>1623</v>
      </c>
      <c r="U448" s="93" t="s">
        <v>116</v>
      </c>
      <c r="V448" s="94">
        <v>44628.511111111111</v>
      </c>
      <c r="W448" s="93" t="s">
        <v>1170</v>
      </c>
      <c r="X448" s="93" t="s">
        <v>9</v>
      </c>
    </row>
    <row r="449" spans="1:24" hidden="1" x14ac:dyDescent="0.15">
      <c r="A449" s="93" t="s">
        <v>1896</v>
      </c>
      <c r="B449" s="93" t="s">
        <v>1897</v>
      </c>
      <c r="C449" s="410">
        <v>376.92</v>
      </c>
      <c r="D449" s="93" t="s">
        <v>9</v>
      </c>
      <c r="E449" s="93" t="s">
        <v>9</v>
      </c>
      <c r="F449" s="93" t="s">
        <v>7070</v>
      </c>
      <c r="G449" s="93" t="s">
        <v>9143</v>
      </c>
      <c r="H449" s="93" t="s">
        <v>1690</v>
      </c>
      <c r="I449" s="93" t="s">
        <v>111</v>
      </c>
      <c r="J449" s="93" t="s">
        <v>647</v>
      </c>
      <c r="K449" s="93">
        <v>120</v>
      </c>
      <c r="L449" s="93">
        <v>16</v>
      </c>
      <c r="M449" s="93">
        <v>0.8</v>
      </c>
      <c r="N449" s="93" t="s">
        <v>113</v>
      </c>
      <c r="O449" s="93">
        <v>9.5</v>
      </c>
      <c r="P449" s="93">
        <v>9.5</v>
      </c>
      <c r="Q449" s="93">
        <v>25.5</v>
      </c>
      <c r="R449" s="93" t="s">
        <v>123</v>
      </c>
      <c r="S449" s="93" t="s">
        <v>18</v>
      </c>
      <c r="T449" s="93" t="s">
        <v>383</v>
      </c>
      <c r="U449" s="93" t="s">
        <v>116</v>
      </c>
      <c r="V449" s="94">
        <v>44628.534722222219</v>
      </c>
      <c r="W449" s="93" t="s">
        <v>1170</v>
      </c>
      <c r="X449" s="93" t="s">
        <v>9</v>
      </c>
    </row>
    <row r="450" spans="1:24" hidden="1" x14ac:dyDescent="0.15">
      <c r="A450" s="93" t="s">
        <v>1898</v>
      </c>
      <c r="B450" s="93" t="s">
        <v>1899</v>
      </c>
      <c r="C450" s="410">
        <v>376.92</v>
      </c>
      <c r="D450" s="93" t="s">
        <v>9</v>
      </c>
      <c r="E450" s="93" t="s">
        <v>9</v>
      </c>
      <c r="F450" s="93" t="s">
        <v>7070</v>
      </c>
      <c r="G450" s="93" t="s">
        <v>9143</v>
      </c>
      <c r="H450" s="93" t="s">
        <v>1690</v>
      </c>
      <c r="I450" s="93" t="s">
        <v>111</v>
      </c>
      <c r="J450" s="93" t="s">
        <v>647</v>
      </c>
      <c r="K450" s="93">
        <v>120</v>
      </c>
      <c r="L450" s="93">
        <v>16</v>
      </c>
      <c r="M450" s="93">
        <v>0.8</v>
      </c>
      <c r="N450" s="93" t="s">
        <v>113</v>
      </c>
      <c r="O450" s="93">
        <v>9.5</v>
      </c>
      <c r="P450" s="93">
        <v>9.5</v>
      </c>
      <c r="Q450" s="93">
        <v>25.5</v>
      </c>
      <c r="R450" s="93" t="s">
        <v>123</v>
      </c>
      <c r="S450" s="93" t="s">
        <v>18</v>
      </c>
      <c r="T450" s="93" t="s">
        <v>383</v>
      </c>
      <c r="U450" s="93" t="s">
        <v>116</v>
      </c>
      <c r="V450" s="94">
        <v>44628.534722222219</v>
      </c>
      <c r="W450" s="93" t="s">
        <v>1170</v>
      </c>
      <c r="X450" s="93" t="s">
        <v>9</v>
      </c>
    </row>
    <row r="451" spans="1:24" hidden="1" x14ac:dyDescent="0.15">
      <c r="A451" s="93" t="s">
        <v>1900</v>
      </c>
      <c r="B451" s="93" t="s">
        <v>1901</v>
      </c>
      <c r="C451" s="410">
        <v>376.92</v>
      </c>
      <c r="D451" s="93" t="s">
        <v>9</v>
      </c>
      <c r="E451" s="93" t="s">
        <v>9</v>
      </c>
      <c r="F451" s="93" t="s">
        <v>7070</v>
      </c>
      <c r="G451" s="93" t="s">
        <v>9143</v>
      </c>
      <c r="H451" s="93" t="s">
        <v>1690</v>
      </c>
      <c r="I451" s="93" t="s">
        <v>111</v>
      </c>
      <c r="J451" s="93" t="s">
        <v>647</v>
      </c>
      <c r="K451" s="93">
        <v>120</v>
      </c>
      <c r="L451" s="93">
        <v>16</v>
      </c>
      <c r="M451" s="93">
        <v>0.8</v>
      </c>
      <c r="N451" s="93" t="s">
        <v>113</v>
      </c>
      <c r="O451" s="93">
        <v>9.5</v>
      </c>
      <c r="P451" s="93">
        <v>9.5</v>
      </c>
      <c r="Q451" s="93">
        <v>25.5</v>
      </c>
      <c r="R451" s="93" t="s">
        <v>123</v>
      </c>
      <c r="S451" s="93" t="s">
        <v>18</v>
      </c>
      <c r="T451" s="93" t="s">
        <v>383</v>
      </c>
      <c r="U451" s="93" t="s">
        <v>116</v>
      </c>
      <c r="V451" s="94">
        <v>44628.490972222222</v>
      </c>
      <c r="W451" s="93" t="s">
        <v>1170</v>
      </c>
      <c r="X451" s="93" t="s">
        <v>9</v>
      </c>
    </row>
    <row r="452" spans="1:24" hidden="1" x14ac:dyDescent="0.15">
      <c r="A452" s="93" t="s">
        <v>1902</v>
      </c>
      <c r="B452" s="93" t="s">
        <v>1903</v>
      </c>
      <c r="C452" s="410">
        <v>376.92</v>
      </c>
      <c r="D452" s="93" t="s">
        <v>9</v>
      </c>
      <c r="E452" s="93" t="s">
        <v>9</v>
      </c>
      <c r="F452" s="93" t="s">
        <v>7070</v>
      </c>
      <c r="G452" s="93" t="s">
        <v>9143</v>
      </c>
      <c r="H452" s="93" t="s">
        <v>1690</v>
      </c>
      <c r="I452" s="93" t="s">
        <v>111</v>
      </c>
      <c r="J452" s="93" t="s">
        <v>647</v>
      </c>
      <c r="K452" s="93">
        <v>120</v>
      </c>
      <c r="L452" s="93">
        <v>16</v>
      </c>
      <c r="M452" s="93">
        <v>0.8</v>
      </c>
      <c r="N452" s="93" t="s">
        <v>113</v>
      </c>
      <c r="O452" s="93">
        <v>9.5</v>
      </c>
      <c r="P452" s="93">
        <v>9.5</v>
      </c>
      <c r="Q452" s="93">
        <v>25.5</v>
      </c>
      <c r="R452" s="93" t="s">
        <v>123</v>
      </c>
      <c r="S452" s="93" t="s">
        <v>18</v>
      </c>
      <c r="T452" s="93" t="s">
        <v>383</v>
      </c>
      <c r="U452" s="93" t="s">
        <v>116</v>
      </c>
      <c r="V452" s="94">
        <v>44628.470138888886</v>
      </c>
      <c r="W452" s="93" t="s">
        <v>1170</v>
      </c>
      <c r="X452" s="93" t="s">
        <v>9</v>
      </c>
    </row>
    <row r="453" spans="1:24" hidden="1" x14ac:dyDescent="0.15">
      <c r="A453" s="93" t="s">
        <v>1904</v>
      </c>
      <c r="B453" s="93" t="s">
        <v>1905</v>
      </c>
      <c r="C453" s="410">
        <v>376.92</v>
      </c>
      <c r="D453" s="93" t="s">
        <v>9</v>
      </c>
      <c r="E453" s="93" t="s">
        <v>9</v>
      </c>
      <c r="F453" s="93" t="s">
        <v>7070</v>
      </c>
      <c r="G453" s="93" t="s">
        <v>9143</v>
      </c>
      <c r="H453" s="93" t="s">
        <v>1690</v>
      </c>
      <c r="I453" s="93" t="s">
        <v>111</v>
      </c>
      <c r="J453" s="93" t="s">
        <v>647</v>
      </c>
      <c r="K453" s="93">
        <v>120</v>
      </c>
      <c r="L453" s="93">
        <v>16</v>
      </c>
      <c r="M453" s="93">
        <v>0.8</v>
      </c>
      <c r="N453" s="93" t="s">
        <v>113</v>
      </c>
      <c r="O453" s="93">
        <v>9.5</v>
      </c>
      <c r="P453" s="93">
        <v>9.5</v>
      </c>
      <c r="Q453" s="93">
        <v>25.5</v>
      </c>
      <c r="R453" s="93" t="s">
        <v>123</v>
      </c>
      <c r="S453" s="93" t="s">
        <v>18</v>
      </c>
      <c r="T453" s="93" t="s">
        <v>397</v>
      </c>
      <c r="U453" s="93" t="s">
        <v>116</v>
      </c>
      <c r="V453" s="94">
        <v>44628.634722222225</v>
      </c>
      <c r="W453" s="93" t="s">
        <v>1170</v>
      </c>
      <c r="X453" s="93" t="s">
        <v>9</v>
      </c>
    </row>
    <row r="454" spans="1:24" hidden="1" x14ac:dyDescent="0.15">
      <c r="A454" s="93" t="s">
        <v>1906</v>
      </c>
      <c r="B454" s="93" t="s">
        <v>1907</v>
      </c>
      <c r="C454" s="410">
        <v>344.52</v>
      </c>
      <c r="D454" s="93" t="s">
        <v>9</v>
      </c>
      <c r="E454" s="93" t="s">
        <v>9</v>
      </c>
      <c r="F454" s="93" t="s">
        <v>7070</v>
      </c>
      <c r="G454" s="93" t="s">
        <v>9144</v>
      </c>
      <c r="H454" s="93" t="s">
        <v>1690</v>
      </c>
      <c r="I454" s="93" t="s">
        <v>111</v>
      </c>
      <c r="J454" s="93" t="s">
        <v>647</v>
      </c>
      <c r="K454" s="93">
        <v>120</v>
      </c>
      <c r="L454" s="93">
        <v>15</v>
      </c>
      <c r="M454" s="93">
        <v>0.82</v>
      </c>
      <c r="N454" s="93" t="s">
        <v>113</v>
      </c>
      <c r="O454" s="93">
        <v>9.1999999999999993</v>
      </c>
      <c r="P454" s="93">
        <v>14.5</v>
      </c>
      <c r="Q454" s="93">
        <v>28</v>
      </c>
      <c r="R454" s="93" t="s">
        <v>123</v>
      </c>
      <c r="S454" s="93" t="s">
        <v>18</v>
      </c>
      <c r="T454" s="93" t="s">
        <v>383</v>
      </c>
      <c r="U454" s="93" t="s">
        <v>116</v>
      </c>
      <c r="V454" s="94">
        <v>44628.599305555559</v>
      </c>
      <c r="W454" s="93" t="s">
        <v>1170</v>
      </c>
      <c r="X454" s="93" t="s">
        <v>9</v>
      </c>
    </row>
    <row r="455" spans="1:24" hidden="1" x14ac:dyDescent="0.15">
      <c r="A455" s="93" t="s">
        <v>1908</v>
      </c>
      <c r="B455" s="93" t="s">
        <v>1909</v>
      </c>
      <c r="C455" s="410">
        <v>344.52</v>
      </c>
      <c r="D455" s="93" t="s">
        <v>9</v>
      </c>
      <c r="E455" s="93" t="s">
        <v>9</v>
      </c>
      <c r="F455" s="93" t="s">
        <v>7070</v>
      </c>
      <c r="G455" s="93" t="s">
        <v>9144</v>
      </c>
      <c r="H455" s="93" t="s">
        <v>1690</v>
      </c>
      <c r="I455" s="93" t="s">
        <v>111</v>
      </c>
      <c r="J455" s="93" t="s">
        <v>647</v>
      </c>
      <c r="K455" s="93">
        <v>120</v>
      </c>
      <c r="L455" s="93">
        <v>15</v>
      </c>
      <c r="M455" s="93">
        <v>0.82</v>
      </c>
      <c r="N455" s="93" t="s">
        <v>113</v>
      </c>
      <c r="O455" s="93">
        <v>9.1999999999999993</v>
      </c>
      <c r="P455" s="93">
        <v>14.5</v>
      </c>
      <c r="Q455" s="93">
        <v>28</v>
      </c>
      <c r="R455" s="93" t="s">
        <v>123</v>
      </c>
      <c r="S455" s="93" t="s">
        <v>18</v>
      </c>
      <c r="T455" s="93" t="s">
        <v>383</v>
      </c>
      <c r="U455" s="93" t="s">
        <v>116</v>
      </c>
      <c r="V455" s="94">
        <v>44628.577777777777</v>
      </c>
      <c r="W455" s="93" t="s">
        <v>1170</v>
      </c>
      <c r="X455" s="93" t="s">
        <v>9</v>
      </c>
    </row>
    <row r="456" spans="1:24" hidden="1" x14ac:dyDescent="0.15">
      <c r="A456" s="93" t="s">
        <v>1910</v>
      </c>
      <c r="B456" s="93" t="s">
        <v>1911</v>
      </c>
      <c r="C456" s="410">
        <v>344.52</v>
      </c>
      <c r="D456" s="93" t="s">
        <v>9</v>
      </c>
      <c r="E456" s="93" t="s">
        <v>9</v>
      </c>
      <c r="F456" s="93" t="s">
        <v>7070</v>
      </c>
      <c r="G456" s="93" t="s">
        <v>9144</v>
      </c>
      <c r="H456" s="93" t="s">
        <v>1690</v>
      </c>
      <c r="I456" s="93" t="s">
        <v>111</v>
      </c>
      <c r="J456" s="93" t="s">
        <v>647</v>
      </c>
      <c r="K456" s="93">
        <v>120</v>
      </c>
      <c r="L456" s="93">
        <v>15</v>
      </c>
      <c r="M456" s="93">
        <v>0.82</v>
      </c>
      <c r="N456" s="93" t="s">
        <v>113</v>
      </c>
      <c r="O456" s="93">
        <v>9.1999999999999993</v>
      </c>
      <c r="P456" s="93">
        <v>14.5</v>
      </c>
      <c r="Q456" s="93">
        <v>28</v>
      </c>
      <c r="R456" s="93" t="s">
        <v>123</v>
      </c>
      <c r="S456" s="93" t="s">
        <v>18</v>
      </c>
      <c r="T456" s="93" t="s">
        <v>383</v>
      </c>
      <c r="U456" s="93" t="s">
        <v>116</v>
      </c>
      <c r="V456" s="94">
        <v>44628.513194444444</v>
      </c>
      <c r="W456" s="93" t="s">
        <v>1170</v>
      </c>
      <c r="X456" s="93" t="s">
        <v>9</v>
      </c>
    </row>
    <row r="457" spans="1:24" hidden="1" x14ac:dyDescent="0.15">
      <c r="A457" s="93" t="s">
        <v>1912</v>
      </c>
      <c r="B457" s="93" t="s">
        <v>1913</v>
      </c>
      <c r="C457" s="410">
        <v>344.52</v>
      </c>
      <c r="D457" s="93" t="s">
        <v>9</v>
      </c>
      <c r="E457" s="93" t="s">
        <v>9</v>
      </c>
      <c r="F457" s="93" t="s">
        <v>7070</v>
      </c>
      <c r="G457" s="93" t="s">
        <v>9144</v>
      </c>
      <c r="H457" s="93" t="s">
        <v>1690</v>
      </c>
      <c r="I457" s="93" t="s">
        <v>111</v>
      </c>
      <c r="J457" s="93" t="s">
        <v>647</v>
      </c>
      <c r="K457" s="93">
        <v>120</v>
      </c>
      <c r="L457" s="93">
        <v>15</v>
      </c>
      <c r="M457" s="93">
        <v>0.82</v>
      </c>
      <c r="N457" s="93" t="s">
        <v>113</v>
      </c>
      <c r="O457" s="93">
        <v>9.1999999999999993</v>
      </c>
      <c r="P457" s="93">
        <v>14.5</v>
      </c>
      <c r="Q457" s="93">
        <v>28</v>
      </c>
      <c r="R457" s="93" t="s">
        <v>123</v>
      </c>
      <c r="S457" s="93" t="s">
        <v>18</v>
      </c>
      <c r="T457" s="93" t="s">
        <v>383</v>
      </c>
      <c r="U457" s="93" t="s">
        <v>116</v>
      </c>
      <c r="V457" s="94">
        <v>44628.470138888886</v>
      </c>
      <c r="W457" s="93" t="s">
        <v>1170</v>
      </c>
      <c r="X457" s="93" t="s">
        <v>9</v>
      </c>
    </row>
    <row r="458" spans="1:24" hidden="1" x14ac:dyDescent="0.15">
      <c r="A458" s="93" t="s">
        <v>1914</v>
      </c>
      <c r="B458" s="93" t="s">
        <v>1915</v>
      </c>
      <c r="C458" s="410">
        <v>344.52</v>
      </c>
      <c r="D458" s="93" t="s">
        <v>9</v>
      </c>
      <c r="E458" s="93" t="s">
        <v>9</v>
      </c>
      <c r="F458" s="93" t="s">
        <v>7070</v>
      </c>
      <c r="G458" s="93" t="s">
        <v>9144</v>
      </c>
      <c r="H458" s="93" t="s">
        <v>1690</v>
      </c>
      <c r="I458" s="93" t="s">
        <v>111</v>
      </c>
      <c r="J458" s="93" t="s">
        <v>647</v>
      </c>
      <c r="K458" s="93">
        <v>120</v>
      </c>
      <c r="L458" s="93">
        <v>15</v>
      </c>
      <c r="M458" s="93">
        <v>0.82</v>
      </c>
      <c r="N458" s="93" t="s">
        <v>113</v>
      </c>
      <c r="O458" s="93">
        <v>9.1999999999999993</v>
      </c>
      <c r="P458" s="93">
        <v>14.5</v>
      </c>
      <c r="Q458" s="93">
        <v>28</v>
      </c>
      <c r="R458" s="93" t="s">
        <v>123</v>
      </c>
      <c r="S458" s="93" t="s">
        <v>18</v>
      </c>
      <c r="T458" s="93" t="s">
        <v>397</v>
      </c>
      <c r="U458" s="93" t="s">
        <v>116</v>
      </c>
      <c r="V458" s="94">
        <v>44628.470138888886</v>
      </c>
      <c r="W458" s="93" t="s">
        <v>1170</v>
      </c>
      <c r="X458" s="93" t="s">
        <v>9</v>
      </c>
    </row>
    <row r="459" spans="1:24" hidden="1" x14ac:dyDescent="0.15">
      <c r="A459" s="93" t="s">
        <v>9145</v>
      </c>
      <c r="B459" s="93" t="s">
        <v>9146</v>
      </c>
      <c r="C459" s="410">
        <v>430.92</v>
      </c>
      <c r="D459" s="93" t="s">
        <v>9</v>
      </c>
      <c r="E459" s="93" t="s">
        <v>9</v>
      </c>
      <c r="F459" s="93" t="s">
        <v>7070</v>
      </c>
      <c r="G459" s="93" t="s">
        <v>9147</v>
      </c>
      <c r="H459" s="93" t="s">
        <v>1690</v>
      </c>
      <c r="I459" s="93" t="s">
        <v>393</v>
      </c>
      <c r="J459" s="93" t="s">
        <v>647</v>
      </c>
      <c r="K459" s="93">
        <v>120</v>
      </c>
      <c r="L459" s="93">
        <v>1</v>
      </c>
      <c r="M459" s="93">
        <v>0.5</v>
      </c>
      <c r="N459" s="93" t="s">
        <v>113</v>
      </c>
      <c r="O459" s="93">
        <v>4.5</v>
      </c>
      <c r="P459" s="93">
        <v>9</v>
      </c>
      <c r="Q459" s="93">
        <v>22.8</v>
      </c>
      <c r="R459" s="93" t="s">
        <v>396</v>
      </c>
      <c r="S459" s="93" t="s">
        <v>18</v>
      </c>
      <c r="T459" s="93" t="s">
        <v>383</v>
      </c>
      <c r="U459" s="93" t="s">
        <v>116</v>
      </c>
      <c r="V459" s="94">
        <v>44628.577777777777</v>
      </c>
      <c r="W459" s="93" t="s">
        <v>1170</v>
      </c>
      <c r="X459" s="93" t="s">
        <v>9</v>
      </c>
    </row>
    <row r="460" spans="1:24" hidden="1" x14ac:dyDescent="0.15">
      <c r="A460" s="93" t="s">
        <v>9148</v>
      </c>
      <c r="B460" s="93" t="s">
        <v>9149</v>
      </c>
      <c r="C460" s="410">
        <v>430.92</v>
      </c>
      <c r="D460" s="93" t="s">
        <v>9</v>
      </c>
      <c r="E460" s="93" t="s">
        <v>24</v>
      </c>
      <c r="F460" s="93" t="s">
        <v>7070</v>
      </c>
      <c r="G460" s="93" t="s">
        <v>9147</v>
      </c>
      <c r="H460" s="93" t="s">
        <v>1690</v>
      </c>
      <c r="I460" s="93" t="s">
        <v>393</v>
      </c>
      <c r="J460" s="93" t="s">
        <v>647</v>
      </c>
      <c r="K460" s="93">
        <v>120</v>
      </c>
      <c r="L460" s="93">
        <v>1</v>
      </c>
      <c r="M460" s="93">
        <v>0.5</v>
      </c>
      <c r="N460" s="93" t="s">
        <v>113</v>
      </c>
      <c r="O460" s="93">
        <v>4.5</v>
      </c>
      <c r="P460" s="93">
        <v>9</v>
      </c>
      <c r="Q460" s="93">
        <v>22.8</v>
      </c>
      <c r="R460" s="93" t="s">
        <v>396</v>
      </c>
      <c r="S460" s="93" t="s">
        <v>18</v>
      </c>
      <c r="T460" s="93" t="s">
        <v>383</v>
      </c>
      <c r="U460" s="93" t="s">
        <v>116</v>
      </c>
      <c r="V460" s="94">
        <v>44628.534722222219</v>
      </c>
      <c r="W460" s="93" t="s">
        <v>1170</v>
      </c>
      <c r="X460" s="93" t="s">
        <v>9</v>
      </c>
    </row>
    <row r="461" spans="1:24" hidden="1" x14ac:dyDescent="0.15">
      <c r="A461" s="93" t="s">
        <v>9150</v>
      </c>
      <c r="B461" s="93" t="s">
        <v>9151</v>
      </c>
      <c r="C461" s="410">
        <v>430.92</v>
      </c>
      <c r="D461" s="93" t="s">
        <v>9</v>
      </c>
      <c r="E461" s="93" t="s">
        <v>24</v>
      </c>
      <c r="F461" s="93" t="s">
        <v>7070</v>
      </c>
      <c r="G461" s="93" t="s">
        <v>9147</v>
      </c>
      <c r="H461" s="93" t="s">
        <v>1690</v>
      </c>
      <c r="I461" s="93" t="s">
        <v>393</v>
      </c>
      <c r="J461" s="93" t="s">
        <v>647</v>
      </c>
      <c r="K461" s="93">
        <v>120</v>
      </c>
      <c r="L461" s="93">
        <v>1</v>
      </c>
      <c r="M461" s="93">
        <v>0.5</v>
      </c>
      <c r="N461" s="93" t="s">
        <v>113</v>
      </c>
      <c r="O461" s="93">
        <v>4.5</v>
      </c>
      <c r="P461" s="93">
        <v>9</v>
      </c>
      <c r="Q461" s="93">
        <v>22.8</v>
      </c>
      <c r="R461" s="93" t="s">
        <v>396</v>
      </c>
      <c r="S461" s="93" t="s">
        <v>18</v>
      </c>
      <c r="T461" s="93" t="s">
        <v>383</v>
      </c>
      <c r="U461" s="93" t="s">
        <v>116</v>
      </c>
      <c r="V461" s="94">
        <v>44628.490277777775</v>
      </c>
      <c r="W461" s="93" t="s">
        <v>1170</v>
      </c>
      <c r="X461" s="93" t="s">
        <v>9</v>
      </c>
    </row>
    <row r="462" spans="1:24" hidden="1" x14ac:dyDescent="0.15">
      <c r="A462" s="93" t="s">
        <v>9152</v>
      </c>
      <c r="B462" s="93" t="s">
        <v>9153</v>
      </c>
      <c r="C462" s="410">
        <v>430.92</v>
      </c>
      <c r="D462" s="93" t="s">
        <v>9</v>
      </c>
      <c r="E462" s="93" t="s">
        <v>24</v>
      </c>
      <c r="F462" s="93" t="s">
        <v>7070</v>
      </c>
      <c r="G462" s="93" t="s">
        <v>9147</v>
      </c>
      <c r="H462" s="93" t="s">
        <v>1690</v>
      </c>
      <c r="I462" s="93" t="s">
        <v>393</v>
      </c>
      <c r="J462" s="93" t="s">
        <v>647</v>
      </c>
      <c r="K462" s="93">
        <v>120</v>
      </c>
      <c r="L462" s="93">
        <v>1</v>
      </c>
      <c r="M462" s="93">
        <v>0.5</v>
      </c>
      <c r="N462" s="93" t="s">
        <v>113</v>
      </c>
      <c r="O462" s="93">
        <v>4.5</v>
      </c>
      <c r="P462" s="93">
        <v>9</v>
      </c>
      <c r="Q462" s="93">
        <v>22.8</v>
      </c>
      <c r="R462" s="93" t="s">
        <v>396</v>
      </c>
      <c r="S462" s="93" t="s">
        <v>18</v>
      </c>
      <c r="T462" s="93" t="s">
        <v>383</v>
      </c>
      <c r="U462" s="93" t="s">
        <v>116</v>
      </c>
      <c r="V462" s="94">
        <v>44628.555555555555</v>
      </c>
      <c r="W462" s="93" t="s">
        <v>1170</v>
      </c>
      <c r="X462" s="93" t="s">
        <v>9</v>
      </c>
    </row>
    <row r="463" spans="1:24" hidden="1" x14ac:dyDescent="0.15">
      <c r="A463" s="93" t="s">
        <v>9154</v>
      </c>
      <c r="B463" s="93" t="s">
        <v>9155</v>
      </c>
      <c r="C463" s="410">
        <v>430.92</v>
      </c>
      <c r="D463" s="93" t="s">
        <v>9</v>
      </c>
      <c r="E463" s="93" t="s">
        <v>24</v>
      </c>
      <c r="F463" s="93" t="s">
        <v>7070</v>
      </c>
      <c r="G463" s="93" t="s">
        <v>9147</v>
      </c>
      <c r="H463" s="93" t="s">
        <v>1690</v>
      </c>
      <c r="I463" s="93" t="s">
        <v>393</v>
      </c>
      <c r="J463" s="93" t="s">
        <v>647</v>
      </c>
      <c r="K463" s="93">
        <v>120</v>
      </c>
      <c r="L463" s="93">
        <v>1</v>
      </c>
      <c r="M463" s="93">
        <v>0.5</v>
      </c>
      <c r="N463" s="93" t="s">
        <v>113</v>
      </c>
      <c r="O463" s="93">
        <v>4.5</v>
      </c>
      <c r="P463" s="93">
        <v>9</v>
      </c>
      <c r="Q463" s="93">
        <v>22.8</v>
      </c>
      <c r="R463" s="93" t="s">
        <v>396</v>
      </c>
      <c r="S463" s="93" t="s">
        <v>18</v>
      </c>
      <c r="T463" s="93" t="s">
        <v>397</v>
      </c>
      <c r="U463" s="93" t="s">
        <v>116</v>
      </c>
      <c r="V463" s="94">
        <v>44628.599305555559</v>
      </c>
      <c r="W463" s="93" t="s">
        <v>1170</v>
      </c>
      <c r="X463" s="93" t="s">
        <v>9</v>
      </c>
    </row>
    <row r="464" spans="1:24" hidden="1" x14ac:dyDescent="0.15">
      <c r="A464" s="93" t="s">
        <v>1917</v>
      </c>
      <c r="B464" s="93" t="s">
        <v>9156</v>
      </c>
      <c r="C464" s="410">
        <v>333.72</v>
      </c>
      <c r="D464" s="93" t="s">
        <v>9</v>
      </c>
      <c r="E464" s="93" t="s">
        <v>9</v>
      </c>
      <c r="F464" s="93" t="s">
        <v>7070</v>
      </c>
      <c r="G464" s="93" t="s">
        <v>9157</v>
      </c>
      <c r="H464" s="93" t="s">
        <v>1916</v>
      </c>
      <c r="I464" s="93" t="s">
        <v>393</v>
      </c>
      <c r="J464" s="93" t="s">
        <v>647</v>
      </c>
      <c r="K464" s="93">
        <v>120</v>
      </c>
      <c r="L464" s="93">
        <v>20</v>
      </c>
      <c r="M464" s="93">
        <v>0.6</v>
      </c>
      <c r="N464" s="93" t="s">
        <v>113</v>
      </c>
      <c r="O464" s="93">
        <v>28.6</v>
      </c>
      <c r="P464" s="93">
        <v>8.9</v>
      </c>
      <c r="Q464" s="93">
        <v>8.8000000000000007</v>
      </c>
      <c r="R464" s="93" t="s">
        <v>123</v>
      </c>
      <c r="S464" s="93" t="s">
        <v>18</v>
      </c>
      <c r="T464" s="93" t="s">
        <v>383</v>
      </c>
      <c r="U464" s="93" t="s">
        <v>116</v>
      </c>
      <c r="V464" s="94">
        <v>44628.59652777778</v>
      </c>
      <c r="W464" s="93" t="s">
        <v>1170</v>
      </c>
      <c r="X464" s="93" t="s">
        <v>9</v>
      </c>
    </row>
    <row r="465" spans="1:24" hidden="1" x14ac:dyDescent="0.15">
      <c r="A465" s="93" t="s">
        <v>1918</v>
      </c>
      <c r="B465" s="93" t="s">
        <v>9158</v>
      </c>
      <c r="C465" s="410">
        <v>333.72</v>
      </c>
      <c r="D465" s="93" t="s">
        <v>9</v>
      </c>
      <c r="E465" s="93" t="s">
        <v>9</v>
      </c>
      <c r="F465" s="93" t="s">
        <v>7070</v>
      </c>
      <c r="G465" s="93" t="s">
        <v>9157</v>
      </c>
      <c r="H465" s="93" t="s">
        <v>1916</v>
      </c>
      <c r="I465" s="93" t="s">
        <v>393</v>
      </c>
      <c r="J465" s="93" t="s">
        <v>647</v>
      </c>
      <c r="K465" s="93">
        <v>120</v>
      </c>
      <c r="L465" s="93">
        <v>20</v>
      </c>
      <c r="M465" s="93">
        <v>0.5</v>
      </c>
      <c r="N465" s="93" t="s">
        <v>113</v>
      </c>
      <c r="O465" s="93">
        <v>28.6</v>
      </c>
      <c r="P465" s="93">
        <v>8.9</v>
      </c>
      <c r="Q465" s="93">
        <v>8.8000000000000007</v>
      </c>
      <c r="R465" s="93" t="s">
        <v>123</v>
      </c>
      <c r="S465" s="93" t="s">
        <v>18</v>
      </c>
      <c r="T465" s="93" t="s">
        <v>383</v>
      </c>
      <c r="U465" s="93" t="s">
        <v>116</v>
      </c>
      <c r="V465" s="94">
        <v>44628.631249999999</v>
      </c>
      <c r="W465" s="93" t="s">
        <v>1170</v>
      </c>
      <c r="X465" s="93" t="s">
        <v>9</v>
      </c>
    </row>
    <row r="466" spans="1:24" hidden="1" x14ac:dyDescent="0.15">
      <c r="A466" s="93" t="s">
        <v>1919</v>
      </c>
      <c r="B466" s="93" t="s">
        <v>9159</v>
      </c>
      <c r="C466" s="410">
        <v>333.72</v>
      </c>
      <c r="D466" s="93" t="s">
        <v>9</v>
      </c>
      <c r="E466" s="93" t="s">
        <v>9</v>
      </c>
      <c r="F466" s="93" t="s">
        <v>7070</v>
      </c>
      <c r="G466" s="93" t="s">
        <v>9157</v>
      </c>
      <c r="H466" s="93" t="s">
        <v>1916</v>
      </c>
      <c r="I466" s="93" t="s">
        <v>393</v>
      </c>
      <c r="J466" s="93" t="s">
        <v>647</v>
      </c>
      <c r="K466" s="93">
        <v>120</v>
      </c>
      <c r="L466" s="93">
        <v>20</v>
      </c>
      <c r="M466" s="93">
        <v>0.6</v>
      </c>
      <c r="N466" s="93" t="s">
        <v>113</v>
      </c>
      <c r="O466" s="93">
        <v>28.6</v>
      </c>
      <c r="P466" s="93">
        <v>8.9</v>
      </c>
      <c r="Q466" s="93">
        <v>8.8000000000000007</v>
      </c>
      <c r="R466" s="93" t="s">
        <v>123</v>
      </c>
      <c r="S466" s="93" t="s">
        <v>18</v>
      </c>
      <c r="T466" s="93" t="s">
        <v>383</v>
      </c>
      <c r="U466" s="93" t="s">
        <v>116</v>
      </c>
      <c r="V466" s="94">
        <v>44628.53125</v>
      </c>
      <c r="W466" s="93" t="s">
        <v>1170</v>
      </c>
      <c r="X466" s="93" t="s">
        <v>9</v>
      </c>
    </row>
    <row r="467" spans="1:24" hidden="1" x14ac:dyDescent="0.15">
      <c r="A467" s="93" t="s">
        <v>1920</v>
      </c>
      <c r="B467" s="93" t="s">
        <v>1921</v>
      </c>
      <c r="C467" s="410">
        <v>333.72</v>
      </c>
      <c r="D467" s="93" t="s">
        <v>9</v>
      </c>
      <c r="E467" s="93" t="s">
        <v>9</v>
      </c>
      <c r="F467" s="93" t="s">
        <v>7070</v>
      </c>
      <c r="G467" s="93" t="s">
        <v>9157</v>
      </c>
      <c r="H467" s="93" t="s">
        <v>1916</v>
      </c>
      <c r="I467" s="93" t="s">
        <v>393</v>
      </c>
      <c r="J467" s="93" t="s">
        <v>647</v>
      </c>
      <c r="K467" s="93">
        <v>120</v>
      </c>
      <c r="L467" s="93">
        <v>20</v>
      </c>
      <c r="M467" s="93">
        <v>0.6</v>
      </c>
      <c r="N467" s="93" t="s">
        <v>113</v>
      </c>
      <c r="O467" s="93">
        <v>28.6</v>
      </c>
      <c r="P467" s="93">
        <v>8.9</v>
      </c>
      <c r="Q467" s="93">
        <v>8.8000000000000007</v>
      </c>
      <c r="R467" s="93" t="s">
        <v>123</v>
      </c>
      <c r="S467" s="93" t="s">
        <v>18</v>
      </c>
      <c r="T467" s="93" t="s">
        <v>383</v>
      </c>
      <c r="U467" s="93" t="s">
        <v>116</v>
      </c>
      <c r="V467" s="94">
        <v>44628.59652777778</v>
      </c>
      <c r="W467" s="93" t="s">
        <v>1170</v>
      </c>
      <c r="X467" s="93" t="s">
        <v>9</v>
      </c>
    </row>
    <row r="468" spans="1:24" hidden="1" x14ac:dyDescent="0.15">
      <c r="A468" s="93" t="s">
        <v>1922</v>
      </c>
      <c r="B468" s="93" t="s">
        <v>9160</v>
      </c>
      <c r="C468" s="410">
        <v>333.72</v>
      </c>
      <c r="D468" s="93" t="s">
        <v>9</v>
      </c>
      <c r="E468" s="93" t="s">
        <v>9</v>
      </c>
      <c r="F468" s="93" t="s">
        <v>7070</v>
      </c>
      <c r="G468" s="93" t="s">
        <v>9157</v>
      </c>
      <c r="H468" s="93" t="s">
        <v>1916</v>
      </c>
      <c r="I468" s="93" t="s">
        <v>393</v>
      </c>
      <c r="J468" s="93" t="s">
        <v>647</v>
      </c>
      <c r="K468" s="93">
        <v>120</v>
      </c>
      <c r="L468" s="93">
        <v>20</v>
      </c>
      <c r="M468" s="93">
        <v>0.6</v>
      </c>
      <c r="N468" s="93" t="s">
        <v>113</v>
      </c>
      <c r="O468" s="93">
        <v>28.6</v>
      </c>
      <c r="P468" s="93">
        <v>8.9</v>
      </c>
      <c r="Q468" s="93">
        <v>8.8000000000000007</v>
      </c>
      <c r="R468" s="93" t="s">
        <v>123</v>
      </c>
      <c r="S468" s="93" t="s">
        <v>18</v>
      </c>
      <c r="T468" s="93" t="s">
        <v>397</v>
      </c>
      <c r="U468" s="93" t="s">
        <v>116</v>
      </c>
      <c r="V468" s="94">
        <v>44628.59652777778</v>
      </c>
      <c r="W468" s="93" t="s">
        <v>1170</v>
      </c>
      <c r="X468" s="93" t="s">
        <v>9</v>
      </c>
    </row>
    <row r="469" spans="1:24" hidden="1" x14ac:dyDescent="0.15">
      <c r="A469" s="93" t="s">
        <v>1923</v>
      </c>
      <c r="B469" s="93" t="s">
        <v>1924</v>
      </c>
      <c r="C469" s="410">
        <v>754.92</v>
      </c>
      <c r="D469" s="93" t="s">
        <v>9</v>
      </c>
      <c r="E469" s="93" t="s">
        <v>9</v>
      </c>
      <c r="F469" s="93" t="s">
        <v>7070</v>
      </c>
      <c r="G469" s="93" t="s">
        <v>9161</v>
      </c>
      <c r="H469" s="93" t="s">
        <v>1205</v>
      </c>
      <c r="I469" s="93" t="s">
        <v>111</v>
      </c>
      <c r="J469" s="93" t="s">
        <v>1687</v>
      </c>
      <c r="K469" s="93">
        <v>120</v>
      </c>
      <c r="L469" s="93">
        <v>1</v>
      </c>
      <c r="M469" s="93">
        <v>1.75</v>
      </c>
      <c r="N469" s="93" t="s">
        <v>113</v>
      </c>
      <c r="O469" s="93">
        <v>14</v>
      </c>
      <c r="P469" s="93">
        <v>20</v>
      </c>
      <c r="Q469" s="93">
        <v>33</v>
      </c>
      <c r="R469" s="93" t="s">
        <v>123</v>
      </c>
      <c r="S469" s="93" t="s">
        <v>18</v>
      </c>
      <c r="T469" s="93" t="s">
        <v>1623</v>
      </c>
      <c r="U469" s="93" t="s">
        <v>116</v>
      </c>
      <c r="V469" s="94">
        <v>44628.513888888891</v>
      </c>
      <c r="W469" s="93" t="s">
        <v>1170</v>
      </c>
      <c r="X469" s="93" t="s">
        <v>9</v>
      </c>
    </row>
    <row r="470" spans="1:24" hidden="1" x14ac:dyDescent="0.15">
      <c r="A470" s="93" t="s">
        <v>1925</v>
      </c>
      <c r="B470" s="93" t="s">
        <v>1926</v>
      </c>
      <c r="C470" s="410">
        <v>819.72</v>
      </c>
      <c r="D470" s="93" t="s">
        <v>9</v>
      </c>
      <c r="E470" s="93" t="s">
        <v>9</v>
      </c>
      <c r="F470" s="93" t="s">
        <v>7070</v>
      </c>
      <c r="G470" s="93" t="s">
        <v>9161</v>
      </c>
      <c r="H470" s="93" t="s">
        <v>1205</v>
      </c>
      <c r="I470" s="93" t="s">
        <v>111</v>
      </c>
      <c r="J470" s="93" t="s">
        <v>1687</v>
      </c>
      <c r="K470" s="93">
        <v>120</v>
      </c>
      <c r="L470" s="93">
        <v>1</v>
      </c>
      <c r="M470" s="93">
        <v>2.35</v>
      </c>
      <c r="N470" s="93" t="s">
        <v>113</v>
      </c>
      <c r="O470" s="93">
        <v>13</v>
      </c>
      <c r="P470" s="93">
        <v>34</v>
      </c>
      <c r="Q470" s="93">
        <v>37</v>
      </c>
      <c r="R470" s="93" t="s">
        <v>123</v>
      </c>
      <c r="S470" s="93" t="s">
        <v>18</v>
      </c>
      <c r="T470" s="93" t="s">
        <v>1623</v>
      </c>
      <c r="U470" s="93" t="s">
        <v>116</v>
      </c>
      <c r="V470" s="94">
        <v>44628.600694444445</v>
      </c>
      <c r="W470" s="93" t="s">
        <v>1170</v>
      </c>
      <c r="X470" s="93" t="s">
        <v>9</v>
      </c>
    </row>
    <row r="471" spans="1:24" hidden="1" x14ac:dyDescent="0.15">
      <c r="A471" s="93" t="s">
        <v>1927</v>
      </c>
      <c r="B471" s="93" t="s">
        <v>1928</v>
      </c>
      <c r="C471" s="410">
        <v>2893.32</v>
      </c>
      <c r="D471" s="93" t="s">
        <v>9</v>
      </c>
      <c r="E471" s="93" t="s">
        <v>9</v>
      </c>
      <c r="F471" s="93" t="s">
        <v>7070</v>
      </c>
      <c r="G471" s="93" t="s">
        <v>9161</v>
      </c>
      <c r="H471" s="93" t="s">
        <v>1205</v>
      </c>
      <c r="I471" s="93" t="s">
        <v>111</v>
      </c>
      <c r="J471" s="93" t="s">
        <v>1776</v>
      </c>
      <c r="K471" s="93">
        <v>120</v>
      </c>
      <c r="L471" s="93" t="s">
        <v>111</v>
      </c>
      <c r="M471" s="93">
        <v>1.75</v>
      </c>
      <c r="N471" s="93" t="s">
        <v>113</v>
      </c>
      <c r="O471" s="93">
        <v>14</v>
      </c>
      <c r="P471" s="93">
        <v>20</v>
      </c>
      <c r="Q471" s="93">
        <v>33</v>
      </c>
      <c r="R471" s="93" t="s">
        <v>123</v>
      </c>
      <c r="S471" s="93" t="s">
        <v>18</v>
      </c>
      <c r="T471" s="93" t="s">
        <v>1623</v>
      </c>
      <c r="U471" s="93" t="s">
        <v>116</v>
      </c>
      <c r="V471" s="94">
        <v>44628.511111111111</v>
      </c>
      <c r="W471" s="93" t="s">
        <v>1170</v>
      </c>
      <c r="X471" s="93" t="s">
        <v>9</v>
      </c>
    </row>
    <row r="472" spans="1:24" hidden="1" x14ac:dyDescent="0.15">
      <c r="A472" s="93" t="s">
        <v>1929</v>
      </c>
      <c r="B472" s="93" t="s">
        <v>1930</v>
      </c>
      <c r="C472" s="410">
        <v>3001.32</v>
      </c>
      <c r="D472" s="93" t="s">
        <v>9</v>
      </c>
      <c r="E472" s="93" t="s">
        <v>9</v>
      </c>
      <c r="F472" s="93" t="s">
        <v>7070</v>
      </c>
      <c r="G472" s="93" t="s">
        <v>9161</v>
      </c>
      <c r="H472" s="93" t="s">
        <v>1205</v>
      </c>
      <c r="I472" s="93" t="s">
        <v>111</v>
      </c>
      <c r="J472" s="93" t="s">
        <v>1776</v>
      </c>
      <c r="K472" s="93">
        <v>120</v>
      </c>
      <c r="L472" s="93" t="s">
        <v>111</v>
      </c>
      <c r="M472" s="93">
        <v>2.35</v>
      </c>
      <c r="N472" s="93" t="s">
        <v>113</v>
      </c>
      <c r="O472" s="93">
        <v>13</v>
      </c>
      <c r="P472" s="93">
        <v>34</v>
      </c>
      <c r="Q472" s="93">
        <v>37</v>
      </c>
      <c r="R472" s="93" t="s">
        <v>123</v>
      </c>
      <c r="S472" s="93" t="s">
        <v>111</v>
      </c>
      <c r="T472" s="93" t="s">
        <v>397</v>
      </c>
      <c r="U472" s="93" t="s">
        <v>116</v>
      </c>
      <c r="V472" s="94">
        <v>44628.597916666666</v>
      </c>
      <c r="W472" s="93" t="s">
        <v>1170</v>
      </c>
      <c r="X472" s="93" t="s">
        <v>9</v>
      </c>
    </row>
    <row r="473" spans="1:24" hidden="1" x14ac:dyDescent="0.15">
      <c r="A473" s="93" t="s">
        <v>1931</v>
      </c>
      <c r="B473" s="93" t="s">
        <v>1932</v>
      </c>
      <c r="C473" s="410">
        <v>344.52</v>
      </c>
      <c r="D473" s="93" t="s">
        <v>9</v>
      </c>
      <c r="E473" s="93" t="s">
        <v>9</v>
      </c>
      <c r="F473" s="93" t="s">
        <v>7070</v>
      </c>
      <c r="G473" s="93" t="s">
        <v>9144</v>
      </c>
      <c r="H473" s="93" t="s">
        <v>1205</v>
      </c>
      <c r="I473" s="93" t="s">
        <v>111</v>
      </c>
      <c r="J473" s="93" t="s">
        <v>647</v>
      </c>
      <c r="K473" s="93">
        <v>120</v>
      </c>
      <c r="L473" s="93">
        <v>15</v>
      </c>
      <c r="M473" s="93">
        <v>0.8</v>
      </c>
      <c r="N473" s="93" t="s">
        <v>113</v>
      </c>
      <c r="O473" s="93">
        <v>9.1999999999999993</v>
      </c>
      <c r="P473" s="93">
        <v>14.5</v>
      </c>
      <c r="Q473" s="93">
        <v>28</v>
      </c>
      <c r="R473" s="93" t="s">
        <v>123</v>
      </c>
      <c r="S473" s="93" t="s">
        <v>18</v>
      </c>
      <c r="T473" s="93" t="s">
        <v>397</v>
      </c>
      <c r="U473" s="93" t="s">
        <v>116</v>
      </c>
      <c r="V473" s="94">
        <v>44628.537499999999</v>
      </c>
      <c r="W473" s="93" t="s">
        <v>1170</v>
      </c>
      <c r="X473" s="93" t="s">
        <v>9</v>
      </c>
    </row>
    <row r="474" spans="1:24" hidden="1" x14ac:dyDescent="0.15">
      <c r="A474" s="93" t="s">
        <v>1933</v>
      </c>
      <c r="B474" s="93" t="s">
        <v>1934</v>
      </c>
      <c r="C474" s="410">
        <v>376.92</v>
      </c>
      <c r="D474" s="93" t="s">
        <v>9</v>
      </c>
      <c r="E474" s="93" t="s">
        <v>9</v>
      </c>
      <c r="F474" s="93" t="s">
        <v>7070</v>
      </c>
      <c r="G474" s="93" t="s">
        <v>9143</v>
      </c>
      <c r="H474" s="93" t="s">
        <v>1205</v>
      </c>
      <c r="I474" s="93" t="s">
        <v>111</v>
      </c>
      <c r="J474" s="93" t="s">
        <v>647</v>
      </c>
      <c r="K474" s="93">
        <v>120</v>
      </c>
      <c r="L474" s="93">
        <v>16</v>
      </c>
      <c r="M474" s="93">
        <v>0.8</v>
      </c>
      <c r="N474" s="93" t="s">
        <v>113</v>
      </c>
      <c r="O474" s="93">
        <v>9.5</v>
      </c>
      <c r="P474" s="93">
        <v>9.5</v>
      </c>
      <c r="Q474" s="93">
        <v>25.5</v>
      </c>
      <c r="R474" s="93" t="s">
        <v>123</v>
      </c>
      <c r="S474" s="93" t="s">
        <v>18</v>
      </c>
      <c r="T474" s="93" t="s">
        <v>397</v>
      </c>
      <c r="U474" s="93" t="s">
        <v>116</v>
      </c>
      <c r="V474" s="94">
        <v>44628.602083333331</v>
      </c>
      <c r="W474" s="93" t="s">
        <v>1170</v>
      </c>
      <c r="X474" s="93" t="s">
        <v>9</v>
      </c>
    </row>
    <row r="475" spans="1:24" hidden="1" x14ac:dyDescent="0.15">
      <c r="A475" s="93" t="s">
        <v>9162</v>
      </c>
      <c r="B475" s="93" t="s">
        <v>9163</v>
      </c>
      <c r="C475" s="410">
        <v>2910.6</v>
      </c>
      <c r="D475" s="93" t="s">
        <v>9</v>
      </c>
      <c r="E475" s="93" t="s">
        <v>24</v>
      </c>
      <c r="F475" s="93" t="s">
        <v>7070</v>
      </c>
      <c r="G475" s="93" t="s">
        <v>9161</v>
      </c>
      <c r="H475" s="93" t="s">
        <v>1690</v>
      </c>
      <c r="I475" s="93" t="s">
        <v>111</v>
      </c>
      <c r="J475" s="93" t="s">
        <v>1687</v>
      </c>
      <c r="K475" s="93">
        <v>120</v>
      </c>
      <c r="L475" s="93" t="s">
        <v>111</v>
      </c>
      <c r="M475" s="93">
        <v>2.35</v>
      </c>
      <c r="N475" s="93" t="s">
        <v>113</v>
      </c>
      <c r="O475" s="93">
        <v>13</v>
      </c>
      <c r="P475" s="93">
        <v>34</v>
      </c>
      <c r="Q475" s="93">
        <v>37</v>
      </c>
      <c r="R475" s="93" t="s">
        <v>8077</v>
      </c>
      <c r="S475" s="93" t="s">
        <v>18</v>
      </c>
      <c r="T475" s="93" t="s">
        <v>1623</v>
      </c>
      <c r="U475" s="93" t="s">
        <v>116</v>
      </c>
      <c r="V475" s="94">
        <v>44628.629861111112</v>
      </c>
      <c r="W475" s="93" t="s">
        <v>1170</v>
      </c>
      <c r="X475" s="93" t="s">
        <v>24</v>
      </c>
    </row>
    <row r="476" spans="1:24" hidden="1" x14ac:dyDescent="0.15">
      <c r="A476" s="93" t="s">
        <v>1935</v>
      </c>
      <c r="B476" s="93" t="s">
        <v>1936</v>
      </c>
      <c r="C476" s="410">
        <v>150.12</v>
      </c>
      <c r="D476" s="93" t="s">
        <v>24</v>
      </c>
      <c r="E476" s="93" t="s">
        <v>24</v>
      </c>
      <c r="F476" s="93" t="s">
        <v>7070</v>
      </c>
      <c r="G476" s="93" t="s">
        <v>7175</v>
      </c>
      <c r="H476" s="93" t="s">
        <v>11</v>
      </c>
      <c r="I476" s="93" t="s">
        <v>111</v>
      </c>
      <c r="J476" s="93" t="s">
        <v>390</v>
      </c>
      <c r="K476" s="93">
        <v>80</v>
      </c>
      <c r="L476" s="93">
        <v>1</v>
      </c>
      <c r="M476" s="93">
        <v>0.26</v>
      </c>
      <c r="N476" s="93" t="s">
        <v>113</v>
      </c>
      <c r="O476" s="93">
        <v>4.7</v>
      </c>
      <c r="P476" s="93">
        <v>17</v>
      </c>
      <c r="Q476" s="93">
        <v>29</v>
      </c>
      <c r="R476" s="93" t="s">
        <v>123</v>
      </c>
      <c r="S476" s="93" t="s">
        <v>18</v>
      </c>
      <c r="T476" s="93" t="s">
        <v>397</v>
      </c>
      <c r="U476" s="93" t="s">
        <v>116</v>
      </c>
      <c r="V476" s="94">
        <v>44628.578472222223</v>
      </c>
      <c r="W476" s="93" t="s">
        <v>1170</v>
      </c>
      <c r="X476" s="93" t="s">
        <v>9</v>
      </c>
    </row>
    <row r="477" spans="1:24" hidden="1" x14ac:dyDescent="0.15">
      <c r="A477" s="93" t="s">
        <v>1937</v>
      </c>
      <c r="B477" s="93" t="s">
        <v>1938</v>
      </c>
      <c r="C477" s="410">
        <v>96.12</v>
      </c>
      <c r="D477" s="93" t="s">
        <v>24</v>
      </c>
      <c r="E477" s="93" t="s">
        <v>24</v>
      </c>
      <c r="F477" s="93" t="s">
        <v>7070</v>
      </c>
      <c r="G477" s="93" t="s">
        <v>7175</v>
      </c>
      <c r="H477" s="93" t="s">
        <v>11</v>
      </c>
      <c r="I477" s="93" t="s">
        <v>111</v>
      </c>
      <c r="J477" s="93" t="s">
        <v>390</v>
      </c>
      <c r="K477" s="93">
        <v>80</v>
      </c>
      <c r="L477" s="93" t="s">
        <v>111</v>
      </c>
      <c r="M477" s="93">
        <v>0.26</v>
      </c>
      <c r="N477" s="93" t="s">
        <v>1221</v>
      </c>
      <c r="O477" s="93">
        <v>47</v>
      </c>
      <c r="P477" s="93">
        <v>17</v>
      </c>
      <c r="Q477" s="93">
        <v>29</v>
      </c>
      <c r="R477" s="93" t="s">
        <v>123</v>
      </c>
      <c r="S477" s="93" t="s">
        <v>18</v>
      </c>
      <c r="T477" s="93" t="s">
        <v>397</v>
      </c>
      <c r="U477" s="93" t="s">
        <v>116</v>
      </c>
      <c r="V477" s="94">
        <v>44628.466666666667</v>
      </c>
      <c r="W477" s="93" t="s">
        <v>1170</v>
      </c>
      <c r="X477" s="93" t="s">
        <v>9</v>
      </c>
    </row>
    <row r="478" spans="1:24" hidden="1" x14ac:dyDescent="0.15">
      <c r="A478" s="93" t="s">
        <v>1939</v>
      </c>
      <c r="B478" s="93" t="s">
        <v>1940</v>
      </c>
      <c r="C478" s="410">
        <v>117.72</v>
      </c>
      <c r="D478" s="93" t="s">
        <v>24</v>
      </c>
      <c r="E478" s="93" t="s">
        <v>24</v>
      </c>
      <c r="F478" s="93" t="s">
        <v>7070</v>
      </c>
      <c r="G478" s="93" t="s">
        <v>7175</v>
      </c>
      <c r="H478" s="93" t="s">
        <v>11</v>
      </c>
      <c r="I478" s="93" t="s">
        <v>111</v>
      </c>
      <c r="J478" s="93" t="s">
        <v>390</v>
      </c>
      <c r="K478" s="93">
        <v>80</v>
      </c>
      <c r="L478" s="93">
        <v>1</v>
      </c>
      <c r="M478" s="93">
        <v>0.27</v>
      </c>
      <c r="N478" s="93" t="s">
        <v>113</v>
      </c>
      <c r="O478" s="93">
        <v>4.8</v>
      </c>
      <c r="P478" s="93">
        <v>17</v>
      </c>
      <c r="Q478" s="93">
        <v>30</v>
      </c>
      <c r="R478" s="93" t="s">
        <v>123</v>
      </c>
      <c r="S478" s="93" t="s">
        <v>18</v>
      </c>
      <c r="T478" s="93" t="s">
        <v>397</v>
      </c>
      <c r="U478" s="93" t="s">
        <v>116</v>
      </c>
      <c r="V478" s="94">
        <v>44628.600694444445</v>
      </c>
      <c r="W478" s="93" t="s">
        <v>1170</v>
      </c>
      <c r="X478" s="93" t="s">
        <v>9</v>
      </c>
    </row>
    <row r="479" spans="1:24" hidden="1" x14ac:dyDescent="0.15">
      <c r="A479" s="93" t="s">
        <v>1941</v>
      </c>
      <c r="B479" s="93" t="s">
        <v>1942</v>
      </c>
      <c r="C479" s="410">
        <v>2886.84</v>
      </c>
      <c r="D479" s="93" t="s">
        <v>9</v>
      </c>
      <c r="E479" s="93" t="s">
        <v>9</v>
      </c>
      <c r="F479" s="93" t="s">
        <v>7070</v>
      </c>
      <c r="G479" s="93" t="s">
        <v>9083</v>
      </c>
      <c r="H479" s="93" t="s">
        <v>1943</v>
      </c>
      <c r="I479" s="93" t="s">
        <v>111</v>
      </c>
      <c r="J479" s="93" t="s">
        <v>1944</v>
      </c>
      <c r="K479" s="93">
        <v>120</v>
      </c>
      <c r="L479" s="93">
        <v>1</v>
      </c>
      <c r="M479" s="93">
        <v>3.5</v>
      </c>
      <c r="N479" s="93" t="s">
        <v>113</v>
      </c>
      <c r="O479" s="93">
        <v>13</v>
      </c>
      <c r="P479" s="93">
        <v>40</v>
      </c>
      <c r="Q479" s="93">
        <v>49</v>
      </c>
      <c r="R479" s="93" t="s">
        <v>123</v>
      </c>
      <c r="S479" s="93" t="s">
        <v>18</v>
      </c>
      <c r="T479" s="93" t="s">
        <v>1623</v>
      </c>
      <c r="U479" s="93" t="s">
        <v>116</v>
      </c>
      <c r="V479" s="94">
        <v>44628.578472222223</v>
      </c>
      <c r="W479" s="93" t="s">
        <v>1207</v>
      </c>
      <c r="X479" s="93" t="s">
        <v>9</v>
      </c>
    </row>
    <row r="480" spans="1:24" hidden="1" x14ac:dyDescent="0.15">
      <c r="A480" s="93" t="s">
        <v>1945</v>
      </c>
      <c r="B480" s="93" t="s">
        <v>1946</v>
      </c>
      <c r="C480" s="410">
        <v>2643.84</v>
      </c>
      <c r="D480" s="93" t="s">
        <v>9</v>
      </c>
      <c r="E480" s="93" t="s">
        <v>9</v>
      </c>
      <c r="F480" s="93" t="s">
        <v>7070</v>
      </c>
      <c r="G480" s="93" t="s">
        <v>9083</v>
      </c>
      <c r="H480" s="93" t="s">
        <v>1943</v>
      </c>
      <c r="I480" s="93" t="s">
        <v>111</v>
      </c>
      <c r="J480" s="93" t="s">
        <v>1944</v>
      </c>
      <c r="K480" s="93">
        <v>120</v>
      </c>
      <c r="L480" s="93">
        <v>1</v>
      </c>
      <c r="M480" s="93">
        <v>3</v>
      </c>
      <c r="N480" s="93" t="s">
        <v>113</v>
      </c>
      <c r="O480" s="93">
        <v>13</v>
      </c>
      <c r="P480" s="93">
        <v>25</v>
      </c>
      <c r="Q480" s="93">
        <v>40</v>
      </c>
      <c r="R480" s="93" t="s">
        <v>123</v>
      </c>
      <c r="S480" s="93" t="s">
        <v>18</v>
      </c>
      <c r="T480" s="93" t="s">
        <v>1623</v>
      </c>
      <c r="U480" s="93" t="s">
        <v>116</v>
      </c>
      <c r="V480" s="94">
        <v>44628.536111111112</v>
      </c>
      <c r="W480" s="93" t="s">
        <v>1207</v>
      </c>
      <c r="X480" s="93" t="s">
        <v>9</v>
      </c>
    </row>
    <row r="481" spans="1:24" hidden="1" x14ac:dyDescent="0.15">
      <c r="A481" s="93" t="s">
        <v>1947</v>
      </c>
      <c r="B481" s="93" t="s">
        <v>1948</v>
      </c>
      <c r="C481" s="410">
        <v>2886.84</v>
      </c>
      <c r="D481" s="93" t="s">
        <v>9</v>
      </c>
      <c r="E481" s="93" t="s">
        <v>9</v>
      </c>
      <c r="F481" s="93" t="s">
        <v>7070</v>
      </c>
      <c r="G481" s="93" t="s">
        <v>9083</v>
      </c>
      <c r="H481" s="93" t="s">
        <v>1943</v>
      </c>
      <c r="I481" s="93" t="s">
        <v>111</v>
      </c>
      <c r="J481" s="93" t="s">
        <v>1944</v>
      </c>
      <c r="K481" s="93">
        <v>120</v>
      </c>
      <c r="L481" s="93">
        <v>1</v>
      </c>
      <c r="M481" s="93">
        <v>3.5</v>
      </c>
      <c r="N481" s="93" t="s">
        <v>113</v>
      </c>
      <c r="O481" s="93">
        <v>13</v>
      </c>
      <c r="P481" s="93">
        <v>40</v>
      </c>
      <c r="Q481" s="93">
        <v>49</v>
      </c>
      <c r="R481" s="93" t="s">
        <v>123</v>
      </c>
      <c r="S481" s="93" t="s">
        <v>18</v>
      </c>
      <c r="T481" s="93" t="s">
        <v>1623</v>
      </c>
      <c r="U481" s="93" t="s">
        <v>116</v>
      </c>
      <c r="V481" s="94">
        <v>44628.536111111112</v>
      </c>
      <c r="W481" s="93" t="s">
        <v>1170</v>
      </c>
      <c r="X481" s="93" t="s">
        <v>9</v>
      </c>
    </row>
    <row r="482" spans="1:24" hidden="1" x14ac:dyDescent="0.15">
      <c r="A482" s="93" t="s">
        <v>1949</v>
      </c>
      <c r="B482" s="93" t="s">
        <v>1950</v>
      </c>
      <c r="C482" s="410">
        <v>2643.84</v>
      </c>
      <c r="D482" s="93" t="s">
        <v>9</v>
      </c>
      <c r="E482" s="93" t="s">
        <v>9</v>
      </c>
      <c r="F482" s="93" t="s">
        <v>7070</v>
      </c>
      <c r="G482" s="93" t="s">
        <v>9083</v>
      </c>
      <c r="H482" s="93" t="s">
        <v>1943</v>
      </c>
      <c r="I482" s="93" t="s">
        <v>111</v>
      </c>
      <c r="J482" s="93" t="s">
        <v>1944</v>
      </c>
      <c r="K482" s="93">
        <v>120</v>
      </c>
      <c r="L482" s="93">
        <v>1</v>
      </c>
      <c r="M482" s="93">
        <v>3</v>
      </c>
      <c r="N482" s="93" t="s">
        <v>113</v>
      </c>
      <c r="O482" s="93">
        <v>13</v>
      </c>
      <c r="P482" s="93">
        <v>25</v>
      </c>
      <c r="Q482" s="93">
        <v>40</v>
      </c>
      <c r="R482" s="93" t="s">
        <v>123</v>
      </c>
      <c r="S482" s="93" t="s">
        <v>18</v>
      </c>
      <c r="T482" s="93" t="s">
        <v>1623</v>
      </c>
      <c r="U482" s="93" t="s">
        <v>116</v>
      </c>
      <c r="V482" s="94">
        <v>44628.491666666669</v>
      </c>
      <c r="W482" s="93" t="s">
        <v>1170</v>
      </c>
      <c r="X482" s="93" t="s">
        <v>9</v>
      </c>
    </row>
    <row r="483" spans="1:24" hidden="1" x14ac:dyDescent="0.15">
      <c r="A483" s="93" t="s">
        <v>1951</v>
      </c>
      <c r="B483" s="93" t="s">
        <v>1952</v>
      </c>
      <c r="C483" s="410">
        <v>2824.2</v>
      </c>
      <c r="D483" s="93" t="s">
        <v>9</v>
      </c>
      <c r="E483" s="93" t="s">
        <v>9</v>
      </c>
      <c r="F483" s="93" t="s">
        <v>7070</v>
      </c>
      <c r="G483" s="93" t="s">
        <v>9083</v>
      </c>
      <c r="H483" s="93" t="s">
        <v>1943</v>
      </c>
      <c r="I483" s="93" t="s">
        <v>111</v>
      </c>
      <c r="J483" s="93" t="s">
        <v>1944</v>
      </c>
      <c r="K483" s="93">
        <v>120</v>
      </c>
      <c r="L483" s="93">
        <v>1</v>
      </c>
      <c r="M483" s="93">
        <v>3.5</v>
      </c>
      <c r="N483" s="93" t="s">
        <v>113</v>
      </c>
      <c r="O483" s="93">
        <v>13</v>
      </c>
      <c r="P483" s="93">
        <v>40</v>
      </c>
      <c r="Q483" s="93">
        <v>49</v>
      </c>
      <c r="R483" s="93" t="s">
        <v>123</v>
      </c>
      <c r="S483" s="93" t="s">
        <v>18</v>
      </c>
      <c r="T483" s="93" t="s">
        <v>1623</v>
      </c>
      <c r="U483" s="93" t="s">
        <v>116</v>
      </c>
      <c r="V483" s="94">
        <v>44628.556944444441</v>
      </c>
      <c r="W483" s="93" t="s">
        <v>1170</v>
      </c>
      <c r="X483" s="93" t="s">
        <v>9</v>
      </c>
    </row>
    <row r="484" spans="1:24" hidden="1" x14ac:dyDescent="0.15">
      <c r="A484" s="93" t="s">
        <v>1953</v>
      </c>
      <c r="B484" s="93" t="s">
        <v>1954</v>
      </c>
      <c r="C484" s="410">
        <v>2586.6</v>
      </c>
      <c r="D484" s="93" t="s">
        <v>9</v>
      </c>
      <c r="E484" s="93" t="s">
        <v>9</v>
      </c>
      <c r="F484" s="93" t="s">
        <v>7070</v>
      </c>
      <c r="G484" s="93" t="s">
        <v>9083</v>
      </c>
      <c r="H484" s="93" t="s">
        <v>1943</v>
      </c>
      <c r="I484" s="93" t="s">
        <v>111</v>
      </c>
      <c r="J484" s="93" t="s">
        <v>1944</v>
      </c>
      <c r="K484" s="93">
        <v>120</v>
      </c>
      <c r="L484" s="93">
        <v>1</v>
      </c>
      <c r="M484" s="93">
        <v>3</v>
      </c>
      <c r="N484" s="93" t="s">
        <v>113</v>
      </c>
      <c r="O484" s="93">
        <v>13</v>
      </c>
      <c r="P484" s="93">
        <v>25</v>
      </c>
      <c r="Q484" s="93">
        <v>40</v>
      </c>
      <c r="R484" s="93" t="s">
        <v>123</v>
      </c>
      <c r="S484" s="93" t="s">
        <v>18</v>
      </c>
      <c r="T484" s="93" t="s">
        <v>1623</v>
      </c>
      <c r="U484" s="93" t="s">
        <v>116</v>
      </c>
      <c r="V484" s="94">
        <v>44628.491666666669</v>
      </c>
      <c r="W484" s="93" t="s">
        <v>1170</v>
      </c>
      <c r="X484" s="93" t="s">
        <v>9</v>
      </c>
    </row>
    <row r="485" spans="1:24" hidden="1" x14ac:dyDescent="0.15">
      <c r="A485" s="93" t="s">
        <v>1955</v>
      </c>
      <c r="B485" s="93" t="s">
        <v>1956</v>
      </c>
      <c r="C485" s="410">
        <v>7338.6</v>
      </c>
      <c r="D485" s="93" t="s">
        <v>9</v>
      </c>
      <c r="E485" s="93" t="s">
        <v>9</v>
      </c>
      <c r="F485" s="93" t="s">
        <v>7070</v>
      </c>
      <c r="G485" s="93" t="s">
        <v>9083</v>
      </c>
      <c r="H485" s="93" t="s">
        <v>1690</v>
      </c>
      <c r="I485" s="93" t="s">
        <v>111</v>
      </c>
      <c r="J485" s="93" t="s">
        <v>1776</v>
      </c>
      <c r="K485" s="93">
        <v>120</v>
      </c>
      <c r="L485" s="93" t="s">
        <v>111</v>
      </c>
      <c r="M485" s="93">
        <v>5.7</v>
      </c>
      <c r="N485" s="93" t="s">
        <v>113</v>
      </c>
      <c r="O485" s="93">
        <v>14</v>
      </c>
      <c r="P485" s="93">
        <v>40</v>
      </c>
      <c r="Q485" s="93">
        <v>50</v>
      </c>
      <c r="R485" s="93" t="s">
        <v>123</v>
      </c>
      <c r="S485" s="93" t="s">
        <v>18</v>
      </c>
      <c r="T485" s="93" t="s">
        <v>1623</v>
      </c>
      <c r="U485" s="93" t="s">
        <v>116</v>
      </c>
      <c r="V485" s="94">
        <v>44628.515972222223</v>
      </c>
      <c r="W485" s="93" t="s">
        <v>1170</v>
      </c>
      <c r="X485" s="93" t="s">
        <v>24</v>
      </c>
    </row>
    <row r="486" spans="1:24" hidden="1" x14ac:dyDescent="0.15">
      <c r="A486" s="93" t="s">
        <v>1957</v>
      </c>
      <c r="B486" s="93" t="s">
        <v>1958</v>
      </c>
      <c r="C486" s="410">
        <v>7014.6</v>
      </c>
      <c r="D486" s="93" t="s">
        <v>9</v>
      </c>
      <c r="E486" s="93" t="s">
        <v>9</v>
      </c>
      <c r="F486" s="93" t="s">
        <v>7070</v>
      </c>
      <c r="G486" s="93" t="s">
        <v>9083</v>
      </c>
      <c r="H486" s="93" t="s">
        <v>1690</v>
      </c>
      <c r="I486" s="93" t="s">
        <v>111</v>
      </c>
      <c r="J486" s="93" t="s">
        <v>1776</v>
      </c>
      <c r="K486" s="93">
        <v>120</v>
      </c>
      <c r="L486" s="93" t="s">
        <v>111</v>
      </c>
      <c r="M486" s="93">
        <v>5.7</v>
      </c>
      <c r="N486" s="93" t="s">
        <v>113</v>
      </c>
      <c r="O486" s="93">
        <v>14</v>
      </c>
      <c r="P486" s="93">
        <v>40</v>
      </c>
      <c r="Q486" s="93">
        <v>50</v>
      </c>
      <c r="R486" s="93" t="s">
        <v>123</v>
      </c>
      <c r="S486" s="93" t="s">
        <v>18</v>
      </c>
      <c r="T486" s="93" t="s">
        <v>1623</v>
      </c>
      <c r="U486" s="93" t="s">
        <v>116</v>
      </c>
      <c r="V486" s="94">
        <v>44628.559027777781</v>
      </c>
      <c r="W486" s="93" t="s">
        <v>1170</v>
      </c>
      <c r="X486" s="93" t="s">
        <v>24</v>
      </c>
    </row>
    <row r="487" spans="1:24" hidden="1" x14ac:dyDescent="0.15">
      <c r="A487" s="93" t="s">
        <v>1959</v>
      </c>
      <c r="B487" s="93" t="s">
        <v>1960</v>
      </c>
      <c r="C487" s="410">
        <v>7014.6</v>
      </c>
      <c r="D487" s="93" t="s">
        <v>9</v>
      </c>
      <c r="E487" s="93" t="s">
        <v>9</v>
      </c>
      <c r="F487" s="93" t="s">
        <v>7070</v>
      </c>
      <c r="G487" s="93" t="s">
        <v>9083</v>
      </c>
      <c r="H487" s="93" t="s">
        <v>1690</v>
      </c>
      <c r="I487" s="93" t="s">
        <v>111</v>
      </c>
      <c r="J487" s="93" t="s">
        <v>1776</v>
      </c>
      <c r="K487" s="93">
        <v>120</v>
      </c>
      <c r="L487" s="93" t="s">
        <v>111</v>
      </c>
      <c r="M487" s="93">
        <v>5.7</v>
      </c>
      <c r="N487" s="93" t="s">
        <v>113</v>
      </c>
      <c r="O487" s="93">
        <v>14</v>
      </c>
      <c r="P487" s="93">
        <v>40</v>
      </c>
      <c r="Q487" s="93">
        <v>50</v>
      </c>
      <c r="R487" s="93" t="s">
        <v>123</v>
      </c>
      <c r="S487" s="93" t="s">
        <v>18</v>
      </c>
      <c r="T487" s="93" t="s">
        <v>1623</v>
      </c>
      <c r="U487" s="93" t="s">
        <v>116</v>
      </c>
      <c r="V487" s="94">
        <v>44628.472222222219</v>
      </c>
      <c r="W487" s="93" t="s">
        <v>1170</v>
      </c>
      <c r="X487" s="93" t="s">
        <v>24</v>
      </c>
    </row>
    <row r="488" spans="1:24" hidden="1" x14ac:dyDescent="0.15">
      <c r="A488" s="93" t="s">
        <v>1961</v>
      </c>
      <c r="B488" s="93" t="s">
        <v>1962</v>
      </c>
      <c r="C488" s="410">
        <v>9498.6</v>
      </c>
      <c r="D488" s="93" t="s">
        <v>9</v>
      </c>
      <c r="E488" s="93" t="s">
        <v>24</v>
      </c>
      <c r="F488" s="93" t="s">
        <v>7070</v>
      </c>
      <c r="G488" s="93" t="s">
        <v>9083</v>
      </c>
      <c r="H488" s="93" t="s">
        <v>1690</v>
      </c>
      <c r="I488" s="93" t="s">
        <v>111</v>
      </c>
      <c r="J488" s="93" t="s">
        <v>1944</v>
      </c>
      <c r="K488" s="93">
        <v>120</v>
      </c>
      <c r="L488" s="93" t="s">
        <v>111</v>
      </c>
      <c r="M488" s="93">
        <v>4.5999999999999996</v>
      </c>
      <c r="N488" s="93" t="s">
        <v>113</v>
      </c>
      <c r="O488" s="93">
        <v>14</v>
      </c>
      <c r="P488" s="93">
        <v>40</v>
      </c>
      <c r="Q488" s="93">
        <v>50</v>
      </c>
      <c r="R488" s="93" t="s">
        <v>123</v>
      </c>
      <c r="S488" s="93" t="s">
        <v>18</v>
      </c>
      <c r="T488" s="93" t="s">
        <v>1623</v>
      </c>
      <c r="U488" s="93" t="s">
        <v>119</v>
      </c>
      <c r="V488" s="94">
        <v>44628.537499999999</v>
      </c>
      <c r="W488" s="93" t="s">
        <v>1817</v>
      </c>
      <c r="X488" s="93" t="s">
        <v>24</v>
      </c>
    </row>
    <row r="489" spans="1:24" hidden="1" x14ac:dyDescent="0.15">
      <c r="A489" s="93" t="s">
        <v>1963</v>
      </c>
      <c r="B489" s="93" t="s">
        <v>1964</v>
      </c>
      <c r="C489" s="410">
        <v>9711.36</v>
      </c>
      <c r="D489" s="93" t="s">
        <v>9</v>
      </c>
      <c r="E489" s="93" t="s">
        <v>9</v>
      </c>
      <c r="F489" s="93" t="s">
        <v>7070</v>
      </c>
      <c r="G489" s="93" t="s">
        <v>9083</v>
      </c>
      <c r="H489" s="93" t="s">
        <v>1690</v>
      </c>
      <c r="I489" s="93" t="s">
        <v>111</v>
      </c>
      <c r="J489" s="93" t="s">
        <v>1944</v>
      </c>
      <c r="K489" s="93">
        <v>120</v>
      </c>
      <c r="L489" s="93" t="s">
        <v>111</v>
      </c>
      <c r="M489" s="93">
        <v>4.5999999999999996</v>
      </c>
      <c r="N489" s="93" t="s">
        <v>113</v>
      </c>
      <c r="O489" s="93">
        <v>14</v>
      </c>
      <c r="P489" s="93">
        <v>40</v>
      </c>
      <c r="Q489" s="93">
        <v>50</v>
      </c>
      <c r="R489" s="93" t="s">
        <v>123</v>
      </c>
      <c r="S489" s="93" t="s">
        <v>18</v>
      </c>
      <c r="T489" s="93" t="s">
        <v>1623</v>
      </c>
      <c r="U489" s="93" t="s">
        <v>116</v>
      </c>
      <c r="V489" s="94">
        <v>44628.493055555555</v>
      </c>
      <c r="W489" s="93" t="s">
        <v>1817</v>
      </c>
      <c r="X489" s="93" t="s">
        <v>24</v>
      </c>
    </row>
    <row r="490" spans="1:24" hidden="1" x14ac:dyDescent="0.15">
      <c r="A490" s="93" t="s">
        <v>1965</v>
      </c>
      <c r="B490" s="93" t="s">
        <v>1966</v>
      </c>
      <c r="C490" s="410">
        <v>9380.8799999999992</v>
      </c>
      <c r="D490" s="93" t="s">
        <v>9</v>
      </c>
      <c r="E490" s="93" t="s">
        <v>9</v>
      </c>
      <c r="F490" s="93" t="s">
        <v>7070</v>
      </c>
      <c r="G490" s="93" t="s">
        <v>9083</v>
      </c>
      <c r="H490" s="93" t="s">
        <v>1690</v>
      </c>
      <c r="I490" s="93" t="s">
        <v>111</v>
      </c>
      <c r="J490" s="93" t="s">
        <v>1944</v>
      </c>
      <c r="K490" s="93">
        <v>120</v>
      </c>
      <c r="L490" s="93" t="s">
        <v>111</v>
      </c>
      <c r="M490" s="93">
        <v>3.7</v>
      </c>
      <c r="N490" s="93" t="s">
        <v>113</v>
      </c>
      <c r="O490" s="93">
        <v>14</v>
      </c>
      <c r="P490" s="93">
        <v>25</v>
      </c>
      <c r="Q490" s="93">
        <v>40</v>
      </c>
      <c r="R490" s="93" t="s">
        <v>123</v>
      </c>
      <c r="S490" s="93" t="s">
        <v>18</v>
      </c>
      <c r="T490" s="93" t="s">
        <v>1623</v>
      </c>
      <c r="U490" s="93" t="s">
        <v>116</v>
      </c>
      <c r="V490" s="94">
        <v>44628.601388888892</v>
      </c>
      <c r="W490" s="93" t="s">
        <v>1170</v>
      </c>
      <c r="X490" s="93" t="s">
        <v>24</v>
      </c>
    </row>
    <row r="491" spans="1:24" hidden="1" x14ac:dyDescent="0.15">
      <c r="A491" s="93" t="s">
        <v>1967</v>
      </c>
      <c r="B491" s="93" t="s">
        <v>1968</v>
      </c>
      <c r="C491" s="410">
        <v>2755.08</v>
      </c>
      <c r="D491" s="93" t="s">
        <v>9</v>
      </c>
      <c r="E491" s="93" t="s">
        <v>9</v>
      </c>
      <c r="F491" s="93" t="s">
        <v>7070</v>
      </c>
      <c r="G491" s="93" t="s">
        <v>9083</v>
      </c>
      <c r="H491" s="93" t="s">
        <v>1943</v>
      </c>
      <c r="I491" s="93" t="s">
        <v>111</v>
      </c>
      <c r="J491" s="93" t="s">
        <v>1944</v>
      </c>
      <c r="K491" s="93">
        <v>120</v>
      </c>
      <c r="L491" s="93">
        <v>1</v>
      </c>
      <c r="M491" s="93">
        <v>5.2530000000000001</v>
      </c>
      <c r="N491" s="93" t="s">
        <v>113</v>
      </c>
      <c r="O491" s="93">
        <v>17</v>
      </c>
      <c r="P491" s="93">
        <v>34</v>
      </c>
      <c r="Q491" s="93">
        <v>58</v>
      </c>
      <c r="R491" s="93" t="s">
        <v>123</v>
      </c>
      <c r="S491" s="93" t="s">
        <v>18</v>
      </c>
      <c r="T491" s="93" t="s">
        <v>1623</v>
      </c>
      <c r="U491" s="93" t="s">
        <v>116</v>
      </c>
      <c r="V491" s="94">
        <v>44628.513888888891</v>
      </c>
      <c r="W491" s="93" t="s">
        <v>1170</v>
      </c>
      <c r="X491" s="93" t="s">
        <v>24</v>
      </c>
    </row>
    <row r="492" spans="1:24" hidden="1" x14ac:dyDescent="0.15">
      <c r="A492" s="93" t="s">
        <v>9164</v>
      </c>
      <c r="B492" s="93" t="s">
        <v>1969</v>
      </c>
      <c r="C492" s="410">
        <v>3085.56</v>
      </c>
      <c r="D492" s="93" t="s">
        <v>9</v>
      </c>
      <c r="E492" s="93" t="s">
        <v>9</v>
      </c>
      <c r="F492" s="93" t="s">
        <v>7070</v>
      </c>
      <c r="G492" s="93" t="s">
        <v>9083</v>
      </c>
      <c r="H492" s="93" t="s">
        <v>1943</v>
      </c>
      <c r="I492" s="93" t="s">
        <v>111</v>
      </c>
      <c r="J492" s="93" t="s">
        <v>1944</v>
      </c>
      <c r="K492" s="93">
        <v>120</v>
      </c>
      <c r="L492" s="93">
        <v>1</v>
      </c>
      <c r="M492" s="93">
        <v>6.0330000000000004</v>
      </c>
      <c r="N492" s="93" t="s">
        <v>113</v>
      </c>
      <c r="O492" s="93">
        <v>17</v>
      </c>
      <c r="P492" s="93">
        <v>34</v>
      </c>
      <c r="Q492" s="93">
        <v>58</v>
      </c>
      <c r="R492" s="93" t="s">
        <v>123</v>
      </c>
      <c r="S492" s="93" t="s">
        <v>18</v>
      </c>
      <c r="T492" s="93" t="s">
        <v>397</v>
      </c>
      <c r="U492" s="93" t="s">
        <v>116</v>
      </c>
      <c r="V492" s="94">
        <v>44628.628472222219</v>
      </c>
      <c r="W492" s="93" t="s">
        <v>1170</v>
      </c>
      <c r="X492" s="93" t="s">
        <v>24</v>
      </c>
    </row>
    <row r="493" spans="1:24" hidden="1" x14ac:dyDescent="0.15">
      <c r="A493" s="93" t="s">
        <v>1970</v>
      </c>
      <c r="B493" s="93" t="s">
        <v>1971</v>
      </c>
      <c r="C493" s="410">
        <v>3085.56</v>
      </c>
      <c r="D493" s="93" t="s">
        <v>9</v>
      </c>
      <c r="E493" s="93" t="s">
        <v>9</v>
      </c>
      <c r="F493" s="93" t="s">
        <v>7070</v>
      </c>
      <c r="G493" s="93" t="s">
        <v>9083</v>
      </c>
      <c r="H493" s="93" t="s">
        <v>1943</v>
      </c>
      <c r="I493" s="93" t="s">
        <v>111</v>
      </c>
      <c r="J493" s="93" t="s">
        <v>1944</v>
      </c>
      <c r="K493" s="93">
        <v>120</v>
      </c>
      <c r="L493" s="93">
        <v>1</v>
      </c>
      <c r="M493" s="93">
        <v>6.5129999999999999</v>
      </c>
      <c r="N493" s="93" t="s">
        <v>113</v>
      </c>
      <c r="O493" s="93">
        <v>16</v>
      </c>
      <c r="P493" s="93">
        <v>51</v>
      </c>
      <c r="Q493" s="93">
        <v>58</v>
      </c>
      <c r="R493" s="93" t="s">
        <v>123</v>
      </c>
      <c r="S493" s="93" t="s">
        <v>18</v>
      </c>
      <c r="T493" s="93" t="s">
        <v>1623</v>
      </c>
      <c r="U493" s="93" t="s">
        <v>116</v>
      </c>
      <c r="V493" s="94">
        <v>44628.513888888891</v>
      </c>
      <c r="W493" s="93" t="s">
        <v>1207</v>
      </c>
      <c r="X493" s="93" t="s">
        <v>24</v>
      </c>
    </row>
    <row r="494" spans="1:24" hidden="1" x14ac:dyDescent="0.15">
      <c r="A494" s="93" t="s">
        <v>9165</v>
      </c>
      <c r="B494" s="93" t="s">
        <v>1972</v>
      </c>
      <c r="C494" s="410">
        <v>3417.12</v>
      </c>
      <c r="D494" s="93" t="s">
        <v>9</v>
      </c>
      <c r="E494" s="93" t="s">
        <v>9</v>
      </c>
      <c r="F494" s="93" t="s">
        <v>7070</v>
      </c>
      <c r="G494" s="93" t="s">
        <v>9083</v>
      </c>
      <c r="H494" s="93" t="s">
        <v>1943</v>
      </c>
      <c r="I494" s="93" t="s">
        <v>111</v>
      </c>
      <c r="J494" s="93" t="s">
        <v>1944</v>
      </c>
      <c r="K494" s="93">
        <v>120</v>
      </c>
      <c r="L494" s="93">
        <v>1</v>
      </c>
      <c r="M494" s="93">
        <v>7.2930000000000001</v>
      </c>
      <c r="N494" s="93" t="s">
        <v>113</v>
      </c>
      <c r="O494" s="93">
        <v>16</v>
      </c>
      <c r="P494" s="93">
        <v>51</v>
      </c>
      <c r="Q494" s="93">
        <v>58</v>
      </c>
      <c r="R494" s="93" t="s">
        <v>123</v>
      </c>
      <c r="S494" s="93" t="s">
        <v>18</v>
      </c>
      <c r="T494" s="93" t="s">
        <v>397</v>
      </c>
      <c r="U494" s="93" t="s">
        <v>116</v>
      </c>
      <c r="V494" s="94">
        <v>44628.551388888889</v>
      </c>
      <c r="W494" s="93" t="s">
        <v>1170</v>
      </c>
      <c r="X494" s="93" t="s">
        <v>9</v>
      </c>
    </row>
    <row r="495" spans="1:24" hidden="1" x14ac:dyDescent="0.15">
      <c r="A495" s="93" t="s">
        <v>1973</v>
      </c>
      <c r="B495" s="93" t="s">
        <v>1974</v>
      </c>
      <c r="C495" s="410">
        <v>2755.08</v>
      </c>
      <c r="D495" s="93" t="s">
        <v>9</v>
      </c>
      <c r="E495" s="93" t="s">
        <v>9</v>
      </c>
      <c r="F495" s="93" t="s">
        <v>7070</v>
      </c>
      <c r="G495" s="93" t="s">
        <v>9083</v>
      </c>
      <c r="H495" s="93" t="s">
        <v>1943</v>
      </c>
      <c r="I495" s="93" t="s">
        <v>111</v>
      </c>
      <c r="J495" s="93" t="s">
        <v>1944</v>
      </c>
      <c r="K495" s="93">
        <v>120</v>
      </c>
      <c r="L495" s="93">
        <v>1</v>
      </c>
      <c r="M495" s="93">
        <v>5.2530000000000001</v>
      </c>
      <c r="N495" s="93" t="s">
        <v>113</v>
      </c>
      <c r="O495" s="93">
        <v>17</v>
      </c>
      <c r="P495" s="93">
        <v>34</v>
      </c>
      <c r="Q495" s="93">
        <v>58</v>
      </c>
      <c r="R495" s="93" t="s">
        <v>123</v>
      </c>
      <c r="S495" s="93" t="s">
        <v>18</v>
      </c>
      <c r="T495" s="93" t="s">
        <v>1623</v>
      </c>
      <c r="U495" s="93" t="s">
        <v>116</v>
      </c>
      <c r="V495" s="94">
        <v>44628.491666666669</v>
      </c>
      <c r="W495" s="93" t="s">
        <v>1170</v>
      </c>
      <c r="X495" s="93" t="s">
        <v>24</v>
      </c>
    </row>
    <row r="496" spans="1:24" hidden="1" x14ac:dyDescent="0.15">
      <c r="A496" s="93" t="s">
        <v>1975</v>
      </c>
      <c r="B496" s="93" t="s">
        <v>1976</v>
      </c>
      <c r="C496" s="410">
        <v>3018.6</v>
      </c>
      <c r="D496" s="93" t="s">
        <v>9</v>
      </c>
      <c r="E496" s="93" t="s">
        <v>9</v>
      </c>
      <c r="F496" s="93" t="s">
        <v>7070</v>
      </c>
      <c r="G496" s="93" t="s">
        <v>9083</v>
      </c>
      <c r="H496" s="93" t="s">
        <v>1943</v>
      </c>
      <c r="I496" s="93" t="s">
        <v>111</v>
      </c>
      <c r="J496" s="93" t="s">
        <v>1944</v>
      </c>
      <c r="K496" s="93">
        <v>120</v>
      </c>
      <c r="L496" s="93">
        <v>1</v>
      </c>
      <c r="M496" s="93">
        <v>6.1</v>
      </c>
      <c r="N496" s="93" t="s">
        <v>113</v>
      </c>
      <c r="O496" s="93">
        <v>17</v>
      </c>
      <c r="P496" s="93">
        <v>34</v>
      </c>
      <c r="Q496" s="93">
        <v>58</v>
      </c>
      <c r="R496" s="93" t="s">
        <v>123</v>
      </c>
      <c r="S496" s="93" t="s">
        <v>18</v>
      </c>
      <c r="T496" s="93" t="s">
        <v>1623</v>
      </c>
      <c r="U496" s="93" t="s">
        <v>116</v>
      </c>
      <c r="V496" s="94">
        <v>44628.470833333333</v>
      </c>
      <c r="W496" s="93" t="s">
        <v>1170</v>
      </c>
      <c r="X496" s="93" t="s">
        <v>24</v>
      </c>
    </row>
    <row r="497" spans="1:24" hidden="1" x14ac:dyDescent="0.15">
      <c r="A497" s="93" t="s">
        <v>9166</v>
      </c>
      <c r="B497" s="93" t="s">
        <v>1976</v>
      </c>
      <c r="C497" s="410">
        <v>3085.56</v>
      </c>
      <c r="D497" s="93" t="s">
        <v>9</v>
      </c>
      <c r="E497" s="93" t="s">
        <v>9</v>
      </c>
      <c r="F497" s="93" t="s">
        <v>7070</v>
      </c>
      <c r="G497" s="93" t="s">
        <v>9083</v>
      </c>
      <c r="H497" s="93" t="s">
        <v>1943</v>
      </c>
      <c r="I497" s="93" t="s">
        <v>111</v>
      </c>
      <c r="J497" s="93" t="s">
        <v>1944</v>
      </c>
      <c r="K497" s="93">
        <v>120</v>
      </c>
      <c r="L497" s="93">
        <v>1</v>
      </c>
      <c r="M497" s="93">
        <v>6.1</v>
      </c>
      <c r="N497" s="93" t="s">
        <v>113</v>
      </c>
      <c r="O497" s="93">
        <v>17</v>
      </c>
      <c r="P497" s="93">
        <v>34</v>
      </c>
      <c r="Q497" s="93">
        <v>58</v>
      </c>
      <c r="R497" s="93" t="s">
        <v>123</v>
      </c>
      <c r="S497" s="93" t="s">
        <v>18</v>
      </c>
      <c r="T497" s="93" t="s">
        <v>397</v>
      </c>
      <c r="U497" s="93" t="s">
        <v>116</v>
      </c>
      <c r="V497" s="94">
        <v>44628.463888888888</v>
      </c>
      <c r="W497" s="93" t="s">
        <v>1170</v>
      </c>
      <c r="X497" s="93" t="s">
        <v>24</v>
      </c>
    </row>
    <row r="498" spans="1:24" hidden="1" x14ac:dyDescent="0.15">
      <c r="A498" s="93" t="s">
        <v>1977</v>
      </c>
      <c r="B498" s="93" t="s">
        <v>1978</v>
      </c>
      <c r="C498" s="410">
        <v>3018.6</v>
      </c>
      <c r="D498" s="93" t="s">
        <v>9</v>
      </c>
      <c r="E498" s="93" t="s">
        <v>24</v>
      </c>
      <c r="F498" s="93" t="s">
        <v>7070</v>
      </c>
      <c r="G498" s="93" t="s">
        <v>9083</v>
      </c>
      <c r="H498" s="93" t="s">
        <v>1943</v>
      </c>
      <c r="I498" s="93" t="s">
        <v>111</v>
      </c>
      <c r="J498" s="93" t="s">
        <v>1944</v>
      </c>
      <c r="K498" s="93">
        <v>120</v>
      </c>
      <c r="L498" s="93">
        <v>1</v>
      </c>
      <c r="M498" s="93">
        <v>6.5129999999999999</v>
      </c>
      <c r="N498" s="93" t="s">
        <v>113</v>
      </c>
      <c r="O498" s="93">
        <v>16</v>
      </c>
      <c r="P498" s="93">
        <v>51</v>
      </c>
      <c r="Q498" s="93">
        <v>58</v>
      </c>
      <c r="R498" s="93" t="s">
        <v>123</v>
      </c>
      <c r="S498" s="93" t="s">
        <v>18</v>
      </c>
      <c r="T498" s="93" t="s">
        <v>1623</v>
      </c>
      <c r="U498" s="93" t="s">
        <v>119</v>
      </c>
      <c r="V498" s="94">
        <v>44628.538194444445</v>
      </c>
      <c r="W498" s="93" t="s">
        <v>1170</v>
      </c>
      <c r="X498" s="93" t="s">
        <v>9</v>
      </c>
    </row>
    <row r="499" spans="1:24" hidden="1" x14ac:dyDescent="0.15">
      <c r="A499" s="93" t="s">
        <v>1979</v>
      </c>
      <c r="B499" s="93" t="s">
        <v>1978</v>
      </c>
      <c r="C499" s="410">
        <v>3085.56</v>
      </c>
      <c r="D499" s="93" t="s">
        <v>9</v>
      </c>
      <c r="E499" s="93" t="s">
        <v>9</v>
      </c>
      <c r="F499" s="93" t="s">
        <v>7070</v>
      </c>
      <c r="G499" s="93" t="s">
        <v>9083</v>
      </c>
      <c r="H499" s="93" t="s">
        <v>1943</v>
      </c>
      <c r="I499" s="93" t="s">
        <v>111</v>
      </c>
      <c r="J499" s="93" t="s">
        <v>1944</v>
      </c>
      <c r="K499" s="93">
        <v>120</v>
      </c>
      <c r="L499" s="93">
        <v>1</v>
      </c>
      <c r="M499" s="93">
        <v>6.5129999999999999</v>
      </c>
      <c r="N499" s="93" t="s">
        <v>113</v>
      </c>
      <c r="O499" s="93">
        <v>16</v>
      </c>
      <c r="P499" s="93">
        <v>51</v>
      </c>
      <c r="Q499" s="93">
        <v>58</v>
      </c>
      <c r="R499" s="93" t="s">
        <v>123</v>
      </c>
      <c r="S499" s="93" t="s">
        <v>18</v>
      </c>
      <c r="T499" s="93" t="s">
        <v>1623</v>
      </c>
      <c r="U499" s="93" t="s">
        <v>116</v>
      </c>
      <c r="V499" s="94">
        <v>44628.6</v>
      </c>
      <c r="W499" s="93" t="s">
        <v>1170</v>
      </c>
      <c r="X499" s="93" t="s">
        <v>24</v>
      </c>
    </row>
    <row r="500" spans="1:24" hidden="1" x14ac:dyDescent="0.15">
      <c r="A500" s="93" t="s">
        <v>9167</v>
      </c>
      <c r="B500" s="93" t="s">
        <v>1980</v>
      </c>
      <c r="C500" s="410">
        <v>3417.12</v>
      </c>
      <c r="D500" s="93" t="s">
        <v>9</v>
      </c>
      <c r="E500" s="93" t="s">
        <v>9</v>
      </c>
      <c r="F500" s="93" t="s">
        <v>7070</v>
      </c>
      <c r="G500" s="93" t="s">
        <v>9083</v>
      </c>
      <c r="H500" s="93" t="s">
        <v>1943</v>
      </c>
      <c r="I500" s="93" t="s">
        <v>111</v>
      </c>
      <c r="J500" s="93" t="s">
        <v>1944</v>
      </c>
      <c r="K500" s="93">
        <v>120</v>
      </c>
      <c r="L500" s="93" t="s">
        <v>111</v>
      </c>
      <c r="M500" s="93">
        <v>12.93</v>
      </c>
      <c r="N500" s="93" t="s">
        <v>1221</v>
      </c>
      <c r="O500" s="93" t="s">
        <v>111</v>
      </c>
      <c r="P500" s="93" t="s">
        <v>111</v>
      </c>
      <c r="Q500" s="93" t="s">
        <v>111</v>
      </c>
      <c r="R500" s="93" t="s">
        <v>123</v>
      </c>
      <c r="S500" s="93" t="s">
        <v>18</v>
      </c>
      <c r="T500" s="93" t="s">
        <v>397</v>
      </c>
      <c r="U500" s="93" t="s">
        <v>116</v>
      </c>
      <c r="V500" s="94">
        <v>44628.463888888888</v>
      </c>
      <c r="W500" s="93" t="s">
        <v>1170</v>
      </c>
      <c r="X500" s="93" t="s">
        <v>24</v>
      </c>
    </row>
    <row r="501" spans="1:24" hidden="1" x14ac:dyDescent="0.15">
      <c r="A501" s="93" t="s">
        <v>1981</v>
      </c>
      <c r="B501" s="93" t="s">
        <v>1982</v>
      </c>
      <c r="C501" s="410">
        <v>2755.08</v>
      </c>
      <c r="D501" s="93" t="s">
        <v>9</v>
      </c>
      <c r="E501" s="93" t="s">
        <v>9</v>
      </c>
      <c r="F501" s="93" t="s">
        <v>7070</v>
      </c>
      <c r="G501" s="93" t="s">
        <v>9083</v>
      </c>
      <c r="H501" s="93" t="s">
        <v>1943</v>
      </c>
      <c r="I501" s="93" t="s">
        <v>111</v>
      </c>
      <c r="J501" s="93" t="s">
        <v>1944</v>
      </c>
      <c r="K501" s="93">
        <v>120</v>
      </c>
      <c r="L501" s="93">
        <v>1</v>
      </c>
      <c r="M501" s="93">
        <v>5.24</v>
      </c>
      <c r="N501" s="93" t="s">
        <v>113</v>
      </c>
      <c r="O501" s="93">
        <v>17</v>
      </c>
      <c r="P501" s="93">
        <v>34</v>
      </c>
      <c r="Q501" s="93">
        <v>58</v>
      </c>
      <c r="R501" s="93" t="s">
        <v>123</v>
      </c>
      <c r="S501" s="93" t="s">
        <v>18</v>
      </c>
      <c r="T501" s="93" t="s">
        <v>1623</v>
      </c>
      <c r="U501" s="93" t="s">
        <v>116</v>
      </c>
      <c r="V501" s="94">
        <v>44628.556944444441</v>
      </c>
      <c r="W501" s="93" t="s">
        <v>1170</v>
      </c>
      <c r="X501" s="93" t="s">
        <v>24</v>
      </c>
    </row>
    <row r="502" spans="1:24" hidden="1" x14ac:dyDescent="0.15">
      <c r="A502" s="93" t="s">
        <v>9168</v>
      </c>
      <c r="B502" s="93" t="s">
        <v>1983</v>
      </c>
      <c r="C502" s="410">
        <v>3085.56</v>
      </c>
      <c r="D502" s="93" t="s">
        <v>9</v>
      </c>
      <c r="E502" s="93" t="s">
        <v>9</v>
      </c>
      <c r="F502" s="93" t="s">
        <v>7070</v>
      </c>
      <c r="G502" s="93" t="s">
        <v>9083</v>
      </c>
      <c r="H502" s="93" t="s">
        <v>1943</v>
      </c>
      <c r="I502" s="93" t="s">
        <v>111</v>
      </c>
      <c r="J502" s="93" t="s">
        <v>1944</v>
      </c>
      <c r="K502" s="93">
        <v>120</v>
      </c>
      <c r="L502" s="93">
        <v>1</v>
      </c>
      <c r="M502" s="93">
        <v>6.02</v>
      </c>
      <c r="N502" s="93" t="s">
        <v>113</v>
      </c>
      <c r="O502" s="93">
        <v>17</v>
      </c>
      <c r="P502" s="93">
        <v>34</v>
      </c>
      <c r="Q502" s="93">
        <v>58</v>
      </c>
      <c r="R502" s="93" t="s">
        <v>123</v>
      </c>
      <c r="S502" s="93" t="s">
        <v>18</v>
      </c>
      <c r="T502" s="93" t="s">
        <v>397</v>
      </c>
      <c r="U502" s="93" t="s">
        <v>116</v>
      </c>
      <c r="V502" s="94">
        <v>44628.551388888889</v>
      </c>
      <c r="W502" s="93" t="s">
        <v>1170</v>
      </c>
      <c r="X502" s="93" t="s">
        <v>24</v>
      </c>
    </row>
    <row r="503" spans="1:24" hidden="1" x14ac:dyDescent="0.15">
      <c r="A503" s="93" t="s">
        <v>1984</v>
      </c>
      <c r="B503" s="93" t="s">
        <v>1985</v>
      </c>
      <c r="C503" s="410">
        <v>3085.56</v>
      </c>
      <c r="D503" s="93" t="s">
        <v>9</v>
      </c>
      <c r="E503" s="93" t="s">
        <v>9</v>
      </c>
      <c r="F503" s="93" t="s">
        <v>7070</v>
      </c>
      <c r="G503" s="93" t="s">
        <v>9083</v>
      </c>
      <c r="H503" s="93" t="s">
        <v>1943</v>
      </c>
      <c r="I503" s="93" t="s">
        <v>111</v>
      </c>
      <c r="J503" s="93" t="s">
        <v>1944</v>
      </c>
      <c r="K503" s="93">
        <v>120</v>
      </c>
      <c r="L503" s="93">
        <v>1</v>
      </c>
      <c r="M503" s="93">
        <v>6.5</v>
      </c>
      <c r="N503" s="93" t="s">
        <v>113</v>
      </c>
      <c r="O503" s="93">
        <v>16</v>
      </c>
      <c r="P503" s="93">
        <v>51</v>
      </c>
      <c r="Q503" s="93">
        <v>58</v>
      </c>
      <c r="R503" s="93" t="s">
        <v>123</v>
      </c>
      <c r="S503" s="93" t="s">
        <v>18</v>
      </c>
      <c r="T503" s="93" t="s">
        <v>1623</v>
      </c>
      <c r="U503" s="93" t="s">
        <v>116</v>
      </c>
      <c r="V503" s="94">
        <v>44628.578472222223</v>
      </c>
      <c r="W503" s="93" t="s">
        <v>1170</v>
      </c>
      <c r="X503" s="93" t="s">
        <v>24</v>
      </c>
    </row>
    <row r="504" spans="1:24" hidden="1" x14ac:dyDescent="0.15">
      <c r="A504" s="93" t="s">
        <v>9169</v>
      </c>
      <c r="B504" s="93" t="s">
        <v>1986</v>
      </c>
      <c r="C504" s="410">
        <v>3417.12</v>
      </c>
      <c r="D504" s="93" t="s">
        <v>9</v>
      </c>
      <c r="E504" s="93" t="s">
        <v>9</v>
      </c>
      <c r="F504" s="93" t="s">
        <v>7070</v>
      </c>
      <c r="G504" s="93" t="s">
        <v>9083</v>
      </c>
      <c r="H504" s="93" t="s">
        <v>1943</v>
      </c>
      <c r="I504" s="93" t="s">
        <v>111</v>
      </c>
      <c r="J504" s="93" t="s">
        <v>1944</v>
      </c>
      <c r="K504" s="93">
        <v>120</v>
      </c>
      <c r="L504" s="93" t="s">
        <v>111</v>
      </c>
      <c r="M504" s="93">
        <v>12.9</v>
      </c>
      <c r="N504" s="93" t="s">
        <v>1221</v>
      </c>
      <c r="O504" s="93" t="s">
        <v>111</v>
      </c>
      <c r="P504" s="93" t="s">
        <v>111</v>
      </c>
      <c r="Q504" s="93" t="s">
        <v>111</v>
      </c>
      <c r="R504" s="93" t="s">
        <v>123</v>
      </c>
      <c r="S504" s="93" t="s">
        <v>18</v>
      </c>
      <c r="T504" s="93" t="s">
        <v>397</v>
      </c>
      <c r="U504" s="93" t="s">
        <v>116</v>
      </c>
      <c r="V504" s="94">
        <v>44628.551388888889</v>
      </c>
      <c r="W504" s="93" t="s">
        <v>1170</v>
      </c>
      <c r="X504" s="93" t="s">
        <v>24</v>
      </c>
    </row>
    <row r="505" spans="1:24" hidden="1" x14ac:dyDescent="0.15">
      <c r="A505" s="93" t="s">
        <v>1987</v>
      </c>
      <c r="B505" s="93" t="s">
        <v>1988</v>
      </c>
      <c r="C505" s="410">
        <v>2755.08</v>
      </c>
      <c r="D505" s="93" t="s">
        <v>9</v>
      </c>
      <c r="E505" s="93" t="s">
        <v>9</v>
      </c>
      <c r="F505" s="93" t="s">
        <v>7070</v>
      </c>
      <c r="G505" s="93" t="s">
        <v>9083</v>
      </c>
      <c r="H505" s="93" t="s">
        <v>1943</v>
      </c>
      <c r="I505" s="93" t="s">
        <v>111</v>
      </c>
      <c r="J505" s="93" t="s">
        <v>1944</v>
      </c>
      <c r="K505" s="93">
        <v>120</v>
      </c>
      <c r="L505" s="93">
        <v>1</v>
      </c>
      <c r="M505" s="93">
        <v>4.83</v>
      </c>
      <c r="N505" s="93" t="s">
        <v>113</v>
      </c>
      <c r="O505" s="93">
        <v>17</v>
      </c>
      <c r="P505" s="93">
        <v>34</v>
      </c>
      <c r="Q505" s="93">
        <v>58</v>
      </c>
      <c r="R505" s="93" t="s">
        <v>123</v>
      </c>
      <c r="S505" s="93" t="s">
        <v>18</v>
      </c>
      <c r="T505" s="93" t="s">
        <v>1623</v>
      </c>
      <c r="U505" s="93" t="s">
        <v>116</v>
      </c>
      <c r="V505" s="94">
        <v>44628.536111111112</v>
      </c>
      <c r="W505" s="93" t="s">
        <v>1170</v>
      </c>
      <c r="X505" s="93" t="s">
        <v>24</v>
      </c>
    </row>
    <row r="506" spans="1:24" hidden="1" x14ac:dyDescent="0.15">
      <c r="A506" s="93" t="s">
        <v>9170</v>
      </c>
      <c r="B506" s="93" t="s">
        <v>1989</v>
      </c>
      <c r="C506" s="410">
        <v>3085.56</v>
      </c>
      <c r="D506" s="93" t="s">
        <v>9</v>
      </c>
      <c r="E506" s="93" t="s">
        <v>9</v>
      </c>
      <c r="F506" s="93" t="s">
        <v>7070</v>
      </c>
      <c r="G506" s="93" t="s">
        <v>9083</v>
      </c>
      <c r="H506" s="93" t="s">
        <v>1943</v>
      </c>
      <c r="I506" s="93" t="s">
        <v>111</v>
      </c>
      <c r="J506" s="93" t="s">
        <v>1944</v>
      </c>
      <c r="K506" s="93">
        <v>120</v>
      </c>
      <c r="L506" s="93" t="s">
        <v>111</v>
      </c>
      <c r="M506" s="93">
        <v>10.91</v>
      </c>
      <c r="N506" s="93" t="s">
        <v>1221</v>
      </c>
      <c r="O506" s="93" t="s">
        <v>111</v>
      </c>
      <c r="P506" s="93" t="s">
        <v>111</v>
      </c>
      <c r="Q506" s="93" t="s">
        <v>111</v>
      </c>
      <c r="R506" s="93" t="s">
        <v>123</v>
      </c>
      <c r="S506" s="93" t="s">
        <v>18</v>
      </c>
      <c r="T506" s="93" t="s">
        <v>397</v>
      </c>
      <c r="U506" s="93" t="s">
        <v>116</v>
      </c>
      <c r="V506" s="94">
        <v>44628.486111111109</v>
      </c>
      <c r="W506" s="93" t="s">
        <v>1170</v>
      </c>
      <c r="X506" s="93" t="s">
        <v>24</v>
      </c>
    </row>
    <row r="507" spans="1:24" hidden="1" x14ac:dyDescent="0.15">
      <c r="A507" s="93" t="s">
        <v>1990</v>
      </c>
      <c r="B507" s="93" t="s">
        <v>1991</v>
      </c>
      <c r="C507" s="410">
        <v>3085.56</v>
      </c>
      <c r="D507" s="93" t="s">
        <v>9</v>
      </c>
      <c r="E507" s="93" t="s">
        <v>9</v>
      </c>
      <c r="F507" s="93" t="s">
        <v>7070</v>
      </c>
      <c r="G507" s="93" t="s">
        <v>9083</v>
      </c>
      <c r="H507" s="93" t="s">
        <v>1943</v>
      </c>
      <c r="I507" s="93" t="s">
        <v>111</v>
      </c>
      <c r="J507" s="93" t="s">
        <v>1944</v>
      </c>
      <c r="K507" s="93">
        <v>120</v>
      </c>
      <c r="L507" s="93">
        <v>1</v>
      </c>
      <c r="M507" s="93">
        <v>6.5</v>
      </c>
      <c r="N507" s="93" t="s">
        <v>113</v>
      </c>
      <c r="O507" s="93">
        <v>16</v>
      </c>
      <c r="P507" s="93">
        <v>51</v>
      </c>
      <c r="Q507" s="93">
        <v>58</v>
      </c>
      <c r="R507" s="93" t="s">
        <v>123</v>
      </c>
      <c r="S507" s="93" t="s">
        <v>18</v>
      </c>
      <c r="T507" s="93" t="s">
        <v>1623</v>
      </c>
      <c r="U507" s="93" t="s">
        <v>116</v>
      </c>
      <c r="V507" s="94">
        <v>44628.6</v>
      </c>
      <c r="W507" s="93" t="s">
        <v>1170</v>
      </c>
      <c r="X507" s="93" t="s">
        <v>24</v>
      </c>
    </row>
    <row r="508" spans="1:24" hidden="1" x14ac:dyDescent="0.15">
      <c r="A508" s="93" t="s">
        <v>9171</v>
      </c>
      <c r="B508" s="93" t="s">
        <v>1992</v>
      </c>
      <c r="C508" s="410">
        <v>3417.12</v>
      </c>
      <c r="D508" s="93" t="s">
        <v>9</v>
      </c>
      <c r="E508" s="93" t="s">
        <v>9</v>
      </c>
      <c r="F508" s="93" t="s">
        <v>7070</v>
      </c>
      <c r="G508" s="93" t="s">
        <v>9083</v>
      </c>
      <c r="H508" s="93" t="s">
        <v>1943</v>
      </c>
      <c r="I508" s="93" t="s">
        <v>111</v>
      </c>
      <c r="J508" s="93" t="s">
        <v>1944</v>
      </c>
      <c r="K508" s="93">
        <v>120</v>
      </c>
      <c r="L508" s="93" t="s">
        <v>111</v>
      </c>
      <c r="M508" s="93">
        <v>12.9</v>
      </c>
      <c r="N508" s="93" t="s">
        <v>1221</v>
      </c>
      <c r="O508" s="93" t="s">
        <v>111</v>
      </c>
      <c r="P508" s="93" t="s">
        <v>111</v>
      </c>
      <c r="Q508" s="93" t="s">
        <v>111</v>
      </c>
      <c r="R508" s="93" t="s">
        <v>123</v>
      </c>
      <c r="S508" s="93" t="s">
        <v>18</v>
      </c>
      <c r="T508" s="93" t="s">
        <v>397</v>
      </c>
      <c r="U508" s="93" t="s">
        <v>116</v>
      </c>
      <c r="V508" s="94">
        <v>44628.551388888889</v>
      </c>
      <c r="W508" s="93" t="s">
        <v>1170</v>
      </c>
      <c r="X508" s="93" t="s">
        <v>24</v>
      </c>
    </row>
    <row r="509" spans="1:24" hidden="1" x14ac:dyDescent="0.15">
      <c r="A509" s="93" t="s">
        <v>1993</v>
      </c>
      <c r="B509" s="93" t="s">
        <v>1994</v>
      </c>
      <c r="C509" s="410">
        <v>2755.08</v>
      </c>
      <c r="D509" s="93" t="s">
        <v>9</v>
      </c>
      <c r="E509" s="93" t="s">
        <v>9</v>
      </c>
      <c r="F509" s="93" t="s">
        <v>7070</v>
      </c>
      <c r="G509" s="93" t="s">
        <v>9083</v>
      </c>
      <c r="H509" s="93" t="s">
        <v>1943</v>
      </c>
      <c r="I509" s="93" t="s">
        <v>111</v>
      </c>
      <c r="J509" s="93" t="s">
        <v>1944</v>
      </c>
      <c r="K509" s="93">
        <v>120</v>
      </c>
      <c r="L509" s="93">
        <v>1</v>
      </c>
      <c r="M509" s="93">
        <v>5.2530000000000001</v>
      </c>
      <c r="N509" s="93" t="s">
        <v>113</v>
      </c>
      <c r="O509" s="93">
        <v>17</v>
      </c>
      <c r="P509" s="93">
        <v>34</v>
      </c>
      <c r="Q509" s="93">
        <v>58</v>
      </c>
      <c r="R509" s="93" t="s">
        <v>123</v>
      </c>
      <c r="S509" s="93" t="s">
        <v>18</v>
      </c>
      <c r="T509" s="93" t="s">
        <v>1623</v>
      </c>
      <c r="U509" s="93" t="s">
        <v>116</v>
      </c>
      <c r="V509" s="94">
        <v>44628.635416666664</v>
      </c>
      <c r="W509" s="93" t="s">
        <v>1170</v>
      </c>
      <c r="X509" s="93" t="s">
        <v>24</v>
      </c>
    </row>
    <row r="510" spans="1:24" hidden="1" x14ac:dyDescent="0.15">
      <c r="A510" s="93" t="s">
        <v>9172</v>
      </c>
      <c r="B510" s="93" t="s">
        <v>1995</v>
      </c>
      <c r="C510" s="410">
        <v>3018.6</v>
      </c>
      <c r="D510" s="93" t="s">
        <v>9</v>
      </c>
      <c r="E510" s="93" t="s">
        <v>24</v>
      </c>
      <c r="F510" s="93" t="s">
        <v>7070</v>
      </c>
      <c r="G510" s="93" t="s">
        <v>9083</v>
      </c>
      <c r="H510" s="93" t="s">
        <v>1943</v>
      </c>
      <c r="I510" s="93" t="s">
        <v>111</v>
      </c>
      <c r="J510" s="93" t="s">
        <v>1944</v>
      </c>
      <c r="K510" s="93">
        <v>120</v>
      </c>
      <c r="L510" s="93" t="s">
        <v>111</v>
      </c>
      <c r="M510" s="93">
        <v>6.0330000000000004</v>
      </c>
      <c r="N510" s="93" t="s">
        <v>113</v>
      </c>
      <c r="O510" s="93">
        <v>17</v>
      </c>
      <c r="P510" s="93">
        <v>34</v>
      </c>
      <c r="Q510" s="93">
        <v>58</v>
      </c>
      <c r="R510" s="93" t="s">
        <v>123</v>
      </c>
      <c r="S510" s="93" t="s">
        <v>18</v>
      </c>
      <c r="T510" s="93" t="s">
        <v>1623</v>
      </c>
      <c r="U510" s="93" t="s">
        <v>116</v>
      </c>
      <c r="V510" s="94">
        <v>44628.515972222223</v>
      </c>
      <c r="W510" s="93" t="s">
        <v>1170</v>
      </c>
      <c r="X510" s="93" t="s">
        <v>9</v>
      </c>
    </row>
    <row r="511" spans="1:24" hidden="1" x14ac:dyDescent="0.15">
      <c r="A511" s="93" t="s">
        <v>9173</v>
      </c>
      <c r="B511" s="93" t="s">
        <v>1995</v>
      </c>
      <c r="C511" s="410">
        <v>3085.56</v>
      </c>
      <c r="D511" s="93" t="s">
        <v>9</v>
      </c>
      <c r="E511" s="93" t="s">
        <v>9</v>
      </c>
      <c r="F511" s="93" t="s">
        <v>7070</v>
      </c>
      <c r="G511" s="93" t="s">
        <v>9083</v>
      </c>
      <c r="H511" s="93" t="s">
        <v>1943</v>
      </c>
      <c r="I511" s="93" t="s">
        <v>111</v>
      </c>
      <c r="J511" s="93" t="s">
        <v>1944</v>
      </c>
      <c r="K511" s="93">
        <v>120</v>
      </c>
      <c r="L511" s="93" t="s">
        <v>111</v>
      </c>
      <c r="M511" s="93">
        <v>10.94</v>
      </c>
      <c r="N511" s="93" t="s">
        <v>1221</v>
      </c>
      <c r="O511" s="93" t="s">
        <v>111</v>
      </c>
      <c r="P511" s="93" t="s">
        <v>111</v>
      </c>
      <c r="Q511" s="93" t="s">
        <v>111</v>
      </c>
      <c r="R511" s="93" t="s">
        <v>123</v>
      </c>
      <c r="S511" s="93" t="s">
        <v>18</v>
      </c>
      <c r="T511" s="93" t="s">
        <v>397</v>
      </c>
      <c r="U511" s="93" t="s">
        <v>116</v>
      </c>
      <c r="V511" s="94">
        <v>44628.572222222225</v>
      </c>
      <c r="W511" s="93" t="s">
        <v>1170</v>
      </c>
      <c r="X511" s="93" t="s">
        <v>24</v>
      </c>
    </row>
    <row r="512" spans="1:24" hidden="1" x14ac:dyDescent="0.15">
      <c r="A512" s="93" t="s">
        <v>1996</v>
      </c>
      <c r="B512" s="93" t="s">
        <v>1997</v>
      </c>
      <c r="C512" s="410">
        <v>3085.56</v>
      </c>
      <c r="D512" s="93" t="s">
        <v>9</v>
      </c>
      <c r="E512" s="93" t="s">
        <v>9</v>
      </c>
      <c r="F512" s="93" t="s">
        <v>7070</v>
      </c>
      <c r="G512" s="93" t="s">
        <v>9083</v>
      </c>
      <c r="H512" s="93" t="s">
        <v>1943</v>
      </c>
      <c r="I512" s="93" t="s">
        <v>111</v>
      </c>
      <c r="J512" s="93" t="s">
        <v>1944</v>
      </c>
      <c r="K512" s="93">
        <v>120</v>
      </c>
      <c r="L512" s="93">
        <v>1</v>
      </c>
      <c r="M512" s="93">
        <v>6.5129999999999999</v>
      </c>
      <c r="N512" s="93" t="s">
        <v>113</v>
      </c>
      <c r="O512" s="93">
        <v>16</v>
      </c>
      <c r="P512" s="93">
        <v>51</v>
      </c>
      <c r="Q512" s="93">
        <v>58</v>
      </c>
      <c r="R512" s="93" t="s">
        <v>123</v>
      </c>
      <c r="S512" s="93" t="s">
        <v>18</v>
      </c>
      <c r="T512" s="93" t="s">
        <v>1623</v>
      </c>
      <c r="U512" s="93" t="s">
        <v>116</v>
      </c>
      <c r="V512" s="94">
        <v>44628.491666666669</v>
      </c>
      <c r="W512" s="93" t="s">
        <v>1170</v>
      </c>
      <c r="X512" s="93" t="s">
        <v>24</v>
      </c>
    </row>
    <row r="513" spans="1:24" hidden="1" x14ac:dyDescent="0.15">
      <c r="A513" s="93" t="s">
        <v>9174</v>
      </c>
      <c r="B513" s="93" t="s">
        <v>1998</v>
      </c>
      <c r="C513" s="410">
        <v>3417.12</v>
      </c>
      <c r="D513" s="93" t="s">
        <v>9</v>
      </c>
      <c r="E513" s="93" t="s">
        <v>9</v>
      </c>
      <c r="F513" s="93" t="s">
        <v>7070</v>
      </c>
      <c r="G513" s="93" t="s">
        <v>9083</v>
      </c>
      <c r="H513" s="93" t="s">
        <v>1943</v>
      </c>
      <c r="I513" s="93" t="s">
        <v>111</v>
      </c>
      <c r="J513" s="93" t="s">
        <v>1944</v>
      </c>
      <c r="K513" s="93">
        <v>120</v>
      </c>
      <c r="L513" s="93" t="s">
        <v>111</v>
      </c>
      <c r="M513" s="93">
        <v>12.93</v>
      </c>
      <c r="N513" s="93" t="s">
        <v>1221</v>
      </c>
      <c r="O513" s="93" t="s">
        <v>111</v>
      </c>
      <c r="P513" s="93" t="s">
        <v>111</v>
      </c>
      <c r="Q513" s="93" t="s">
        <v>111</v>
      </c>
      <c r="R513" s="93" t="s">
        <v>123</v>
      </c>
      <c r="S513" s="93" t="s">
        <v>18</v>
      </c>
      <c r="T513" s="93" t="s">
        <v>397</v>
      </c>
      <c r="U513" s="93" t="s">
        <v>116</v>
      </c>
      <c r="V513" s="94">
        <v>44628.59375</v>
      </c>
      <c r="W513" s="93" t="s">
        <v>1170</v>
      </c>
      <c r="X513" s="93" t="s">
        <v>24</v>
      </c>
    </row>
    <row r="514" spans="1:24" hidden="1" x14ac:dyDescent="0.15">
      <c r="A514" s="93" t="s">
        <v>1999</v>
      </c>
      <c r="B514" s="93" t="s">
        <v>2000</v>
      </c>
      <c r="C514" s="410">
        <v>2755.08</v>
      </c>
      <c r="D514" s="93" t="s">
        <v>9</v>
      </c>
      <c r="E514" s="93" t="s">
        <v>9</v>
      </c>
      <c r="F514" s="93" t="s">
        <v>7070</v>
      </c>
      <c r="G514" s="93" t="s">
        <v>9083</v>
      </c>
      <c r="H514" s="93" t="s">
        <v>1943</v>
      </c>
      <c r="I514" s="93" t="s">
        <v>111</v>
      </c>
      <c r="J514" s="93" t="s">
        <v>1944</v>
      </c>
      <c r="K514" s="93">
        <v>120</v>
      </c>
      <c r="L514" s="93">
        <v>1</v>
      </c>
      <c r="M514" s="93">
        <v>11.55</v>
      </c>
      <c r="N514" s="93" t="s">
        <v>1221</v>
      </c>
      <c r="O514" s="93" t="s">
        <v>111</v>
      </c>
      <c r="P514" s="93" t="s">
        <v>111</v>
      </c>
      <c r="Q514" s="93" t="s">
        <v>111</v>
      </c>
      <c r="R514" s="93" t="s">
        <v>123</v>
      </c>
      <c r="S514" s="93" t="s">
        <v>18</v>
      </c>
      <c r="T514" s="93" t="s">
        <v>397</v>
      </c>
      <c r="U514" s="93" t="s">
        <v>116</v>
      </c>
      <c r="V514" s="94">
        <v>44628.509722222225</v>
      </c>
      <c r="W514" s="93" t="s">
        <v>1170</v>
      </c>
      <c r="X514" s="93" t="s">
        <v>24</v>
      </c>
    </row>
    <row r="515" spans="1:24" hidden="1" x14ac:dyDescent="0.15">
      <c r="A515" s="93" t="s">
        <v>9175</v>
      </c>
      <c r="B515" s="93" t="s">
        <v>2001</v>
      </c>
      <c r="C515" s="410">
        <v>3085.56</v>
      </c>
      <c r="D515" s="93" t="s">
        <v>9</v>
      </c>
      <c r="E515" s="93" t="s">
        <v>9</v>
      </c>
      <c r="F515" s="93" t="s">
        <v>7070</v>
      </c>
      <c r="G515" s="93" t="s">
        <v>9083</v>
      </c>
      <c r="H515" s="93" t="s">
        <v>1943</v>
      </c>
      <c r="I515" s="93" t="s">
        <v>111</v>
      </c>
      <c r="J515" s="93" t="s">
        <v>1944</v>
      </c>
      <c r="K515" s="93">
        <v>120</v>
      </c>
      <c r="L515" s="93" t="s">
        <v>111</v>
      </c>
      <c r="M515" s="93">
        <v>11.02</v>
      </c>
      <c r="N515" s="93" t="s">
        <v>1221</v>
      </c>
      <c r="O515" s="93" t="s">
        <v>111</v>
      </c>
      <c r="P515" s="93" t="s">
        <v>111</v>
      </c>
      <c r="Q515" s="93" t="s">
        <v>111</v>
      </c>
      <c r="R515" s="93" t="s">
        <v>123</v>
      </c>
      <c r="S515" s="93" t="s">
        <v>18</v>
      </c>
      <c r="T515" s="93" t="s">
        <v>397</v>
      </c>
      <c r="U515" s="93" t="s">
        <v>116</v>
      </c>
      <c r="V515" s="94">
        <v>44628.628472222219</v>
      </c>
      <c r="W515" s="93" t="s">
        <v>1170</v>
      </c>
      <c r="X515" s="93" t="s">
        <v>24</v>
      </c>
    </row>
    <row r="516" spans="1:24" hidden="1" x14ac:dyDescent="0.15">
      <c r="A516" s="93" t="s">
        <v>9176</v>
      </c>
      <c r="B516" s="93" t="s">
        <v>2003</v>
      </c>
      <c r="C516" s="410">
        <v>3342.6</v>
      </c>
      <c r="D516" s="93" t="s">
        <v>9</v>
      </c>
      <c r="E516" s="93" t="s">
        <v>24</v>
      </c>
      <c r="F516" s="93" t="s">
        <v>7070</v>
      </c>
      <c r="G516" s="93" t="s">
        <v>9083</v>
      </c>
      <c r="H516" s="93" t="s">
        <v>6</v>
      </c>
      <c r="I516" s="93" t="s">
        <v>111</v>
      </c>
      <c r="J516" s="93" t="s">
        <v>1944</v>
      </c>
      <c r="K516" s="93">
        <v>120</v>
      </c>
      <c r="L516" s="93">
        <v>1</v>
      </c>
      <c r="M516" s="93">
        <v>7.3</v>
      </c>
      <c r="N516" s="93" t="s">
        <v>113</v>
      </c>
      <c r="O516" s="93">
        <v>16</v>
      </c>
      <c r="P516" s="93">
        <v>51</v>
      </c>
      <c r="Q516" s="93">
        <v>58</v>
      </c>
      <c r="R516" s="93" t="s">
        <v>123</v>
      </c>
      <c r="S516" s="93" t="s">
        <v>18</v>
      </c>
      <c r="T516" s="93" t="s">
        <v>397</v>
      </c>
      <c r="U516" s="93" t="s">
        <v>116</v>
      </c>
      <c r="V516" s="94">
        <v>44628.507638888892</v>
      </c>
      <c r="W516" s="93" t="s">
        <v>1170</v>
      </c>
      <c r="X516" s="93" t="s">
        <v>9</v>
      </c>
    </row>
    <row r="517" spans="1:24" hidden="1" x14ac:dyDescent="0.15">
      <c r="A517" s="93" t="s">
        <v>2002</v>
      </c>
      <c r="B517" s="93" t="s">
        <v>2003</v>
      </c>
      <c r="C517" s="410">
        <v>3085.86</v>
      </c>
      <c r="D517" s="93" t="s">
        <v>9</v>
      </c>
      <c r="E517" s="93" t="s">
        <v>9</v>
      </c>
      <c r="F517" s="93" t="s">
        <v>7070</v>
      </c>
      <c r="G517" s="93" t="s">
        <v>9083</v>
      </c>
      <c r="H517" s="93" t="s">
        <v>1943</v>
      </c>
      <c r="I517" s="93" t="s">
        <v>111</v>
      </c>
      <c r="J517" s="93" t="s">
        <v>1944</v>
      </c>
      <c r="K517" s="93">
        <v>120</v>
      </c>
      <c r="L517" s="93">
        <v>1</v>
      </c>
      <c r="M517" s="93">
        <v>13.54</v>
      </c>
      <c r="N517" s="93" t="s">
        <v>1221</v>
      </c>
      <c r="O517" s="93" t="s">
        <v>111</v>
      </c>
      <c r="P517" s="93" t="s">
        <v>111</v>
      </c>
      <c r="Q517" s="93" t="s">
        <v>111</v>
      </c>
      <c r="R517" s="93" t="s">
        <v>123</v>
      </c>
      <c r="S517" s="93" t="s">
        <v>18</v>
      </c>
      <c r="T517" s="93" t="s">
        <v>397</v>
      </c>
      <c r="U517" s="93" t="s">
        <v>116</v>
      </c>
      <c r="V517" s="94">
        <v>44628.631249999999</v>
      </c>
      <c r="W517" s="93" t="s">
        <v>1170</v>
      </c>
      <c r="X517" s="93" t="s">
        <v>24</v>
      </c>
    </row>
    <row r="518" spans="1:24" hidden="1" x14ac:dyDescent="0.15">
      <c r="A518" s="93" t="s">
        <v>9177</v>
      </c>
      <c r="B518" s="93" t="s">
        <v>2004</v>
      </c>
      <c r="C518" s="410">
        <v>3417.12</v>
      </c>
      <c r="D518" s="93" t="s">
        <v>9</v>
      </c>
      <c r="E518" s="93" t="s">
        <v>9</v>
      </c>
      <c r="F518" s="93" t="s">
        <v>7070</v>
      </c>
      <c r="G518" s="93" t="s">
        <v>9083</v>
      </c>
      <c r="H518" s="93" t="s">
        <v>1943</v>
      </c>
      <c r="I518" s="93" t="s">
        <v>111</v>
      </c>
      <c r="J518" s="93" t="s">
        <v>1944</v>
      </c>
      <c r="K518" s="93">
        <v>120</v>
      </c>
      <c r="L518" s="93" t="s">
        <v>111</v>
      </c>
      <c r="M518" s="93">
        <v>13.01</v>
      </c>
      <c r="N518" s="93" t="s">
        <v>1221</v>
      </c>
      <c r="O518" s="93" t="s">
        <v>111</v>
      </c>
      <c r="P518" s="93" t="s">
        <v>111</v>
      </c>
      <c r="Q518" s="93" t="s">
        <v>111</v>
      </c>
      <c r="R518" s="93" t="s">
        <v>123</v>
      </c>
      <c r="S518" s="93" t="s">
        <v>18</v>
      </c>
      <c r="T518" s="93" t="s">
        <v>397</v>
      </c>
      <c r="U518" s="93" t="s">
        <v>116</v>
      </c>
      <c r="V518" s="94">
        <v>44628.628472222219</v>
      </c>
      <c r="W518" s="93" t="s">
        <v>1170</v>
      </c>
      <c r="X518" s="93" t="s">
        <v>24</v>
      </c>
    </row>
    <row r="519" spans="1:24" hidden="1" x14ac:dyDescent="0.15">
      <c r="A519" s="93" t="s">
        <v>2005</v>
      </c>
      <c r="B519" s="93" t="s">
        <v>2006</v>
      </c>
      <c r="C519" s="410">
        <v>409.32</v>
      </c>
      <c r="D519" s="93" t="s">
        <v>9</v>
      </c>
      <c r="E519" s="93" t="s">
        <v>24</v>
      </c>
      <c r="F519" s="93" t="s">
        <v>7070</v>
      </c>
      <c r="G519" s="93" t="s">
        <v>8241</v>
      </c>
      <c r="H519" s="93" t="s">
        <v>1198</v>
      </c>
      <c r="I519" s="93" t="s">
        <v>111</v>
      </c>
      <c r="J519" s="93" t="s">
        <v>386</v>
      </c>
      <c r="K519" s="93">
        <v>120</v>
      </c>
      <c r="L519" s="93">
        <v>1</v>
      </c>
      <c r="M519" s="93">
        <v>3.42</v>
      </c>
      <c r="N519" s="93" t="s">
        <v>113</v>
      </c>
      <c r="O519" s="93">
        <v>8</v>
      </c>
      <c r="P519" s="93">
        <v>24</v>
      </c>
      <c r="Q519" s="93">
        <v>52</v>
      </c>
      <c r="R519" s="93" t="s">
        <v>117</v>
      </c>
      <c r="S519" s="93" t="s">
        <v>20</v>
      </c>
      <c r="T519" s="93" t="s">
        <v>115</v>
      </c>
      <c r="U519" s="93" t="s">
        <v>119</v>
      </c>
      <c r="V519" s="94">
        <v>44628.473611111112</v>
      </c>
      <c r="W519" s="93" t="s">
        <v>1216</v>
      </c>
      <c r="X519" s="93" t="s">
        <v>24</v>
      </c>
    </row>
    <row r="520" spans="1:24" hidden="1" x14ac:dyDescent="0.15">
      <c r="A520" s="93" t="s">
        <v>2007</v>
      </c>
      <c r="B520" s="93" t="s">
        <v>2008</v>
      </c>
      <c r="C520" s="410">
        <v>12337.5</v>
      </c>
      <c r="D520" s="93" t="s">
        <v>9</v>
      </c>
      <c r="E520" s="93" t="s">
        <v>9</v>
      </c>
      <c r="F520" s="93" t="s">
        <v>1648</v>
      </c>
      <c r="G520" s="93" t="s">
        <v>8237</v>
      </c>
      <c r="H520" s="93" t="s">
        <v>1943</v>
      </c>
      <c r="I520" s="93" t="s">
        <v>111</v>
      </c>
      <c r="J520" s="93" t="s">
        <v>1675</v>
      </c>
      <c r="K520" s="93">
        <v>60</v>
      </c>
      <c r="L520" s="93" t="s">
        <v>111</v>
      </c>
      <c r="M520" s="93">
        <v>2.4</v>
      </c>
      <c r="N520" s="93" t="s">
        <v>113</v>
      </c>
      <c r="O520" s="93">
        <v>13</v>
      </c>
      <c r="P520" s="93">
        <v>20</v>
      </c>
      <c r="Q520" s="93">
        <v>46</v>
      </c>
      <c r="R520" s="93" t="s">
        <v>123</v>
      </c>
      <c r="S520" s="93" t="s">
        <v>659</v>
      </c>
      <c r="T520" s="93" t="s">
        <v>1659</v>
      </c>
      <c r="U520" s="93" t="s">
        <v>116</v>
      </c>
      <c r="V520" s="94">
        <v>44628.496527777781</v>
      </c>
      <c r="W520" s="93" t="s">
        <v>1170</v>
      </c>
      <c r="X520" s="93" t="s">
        <v>24</v>
      </c>
    </row>
    <row r="521" spans="1:24" hidden="1" x14ac:dyDescent="0.15">
      <c r="A521" s="93" t="s">
        <v>2009</v>
      </c>
      <c r="B521" s="93" t="s">
        <v>2010</v>
      </c>
      <c r="C521" s="410">
        <v>14175</v>
      </c>
      <c r="D521" s="93" t="s">
        <v>9</v>
      </c>
      <c r="E521" s="93" t="s">
        <v>9</v>
      </c>
      <c r="F521" s="93" t="s">
        <v>1648</v>
      </c>
      <c r="G521" s="93" t="s">
        <v>8237</v>
      </c>
      <c r="H521" s="93" t="s">
        <v>1943</v>
      </c>
      <c r="I521" s="93" t="s">
        <v>111</v>
      </c>
      <c r="J521" s="93" t="s">
        <v>1675</v>
      </c>
      <c r="K521" s="93">
        <v>60</v>
      </c>
      <c r="L521" s="93" t="s">
        <v>111</v>
      </c>
      <c r="M521" s="93">
        <v>2.4</v>
      </c>
      <c r="N521" s="93" t="s">
        <v>113</v>
      </c>
      <c r="O521" s="93">
        <v>13</v>
      </c>
      <c r="P521" s="93">
        <v>20</v>
      </c>
      <c r="Q521" s="93">
        <v>46</v>
      </c>
      <c r="R521" s="93" t="s">
        <v>123</v>
      </c>
      <c r="S521" s="93" t="s">
        <v>659</v>
      </c>
      <c r="T521" s="93" t="s">
        <v>1659</v>
      </c>
      <c r="U521" s="93" t="s">
        <v>116</v>
      </c>
      <c r="V521" s="94">
        <v>44628.638194444444</v>
      </c>
      <c r="W521" s="93" t="s">
        <v>1170</v>
      </c>
      <c r="X521" s="93" t="s">
        <v>24</v>
      </c>
    </row>
    <row r="522" spans="1:24" hidden="1" x14ac:dyDescent="0.15">
      <c r="A522" s="93" t="s">
        <v>9178</v>
      </c>
      <c r="B522" s="93" t="s">
        <v>9179</v>
      </c>
      <c r="C522" s="410">
        <v>128.52000000000001</v>
      </c>
      <c r="D522" s="93" t="s">
        <v>9</v>
      </c>
      <c r="E522" s="93" t="s">
        <v>24</v>
      </c>
      <c r="F522" s="93" t="s">
        <v>7180</v>
      </c>
      <c r="G522" s="93" t="s">
        <v>9180</v>
      </c>
      <c r="H522" s="93" t="s">
        <v>1205</v>
      </c>
      <c r="I522" s="93" t="s">
        <v>111</v>
      </c>
      <c r="J522" s="93" t="s">
        <v>386</v>
      </c>
      <c r="K522" s="93">
        <v>120</v>
      </c>
      <c r="L522" s="93">
        <v>20</v>
      </c>
      <c r="M522" s="93">
        <v>1.01</v>
      </c>
      <c r="N522" s="93" t="s">
        <v>113</v>
      </c>
      <c r="O522" s="93">
        <v>9.1</v>
      </c>
      <c r="P522" s="93">
        <v>14.7</v>
      </c>
      <c r="Q522" s="93">
        <v>29.4</v>
      </c>
      <c r="R522" s="93" t="s">
        <v>123</v>
      </c>
      <c r="S522" s="93" t="s">
        <v>20</v>
      </c>
      <c r="T522" s="93" t="s">
        <v>383</v>
      </c>
      <c r="U522" s="93" t="s">
        <v>116</v>
      </c>
      <c r="V522" s="94">
        <v>44628.635416666664</v>
      </c>
      <c r="W522" s="93" t="s">
        <v>1207</v>
      </c>
      <c r="X522" s="93" t="s">
        <v>24</v>
      </c>
    </row>
    <row r="523" spans="1:24" hidden="1" x14ac:dyDescent="0.15">
      <c r="A523" s="93" t="s">
        <v>2011</v>
      </c>
      <c r="B523" s="93" t="s">
        <v>2012</v>
      </c>
      <c r="C523" s="410">
        <v>3675</v>
      </c>
      <c r="D523" s="93" t="s">
        <v>9</v>
      </c>
      <c r="E523" s="93" t="s">
        <v>9</v>
      </c>
      <c r="F523" s="93" t="s">
        <v>1648</v>
      </c>
      <c r="G523" s="93" t="s">
        <v>9117</v>
      </c>
      <c r="H523" s="93" t="s">
        <v>1690</v>
      </c>
      <c r="I523" s="93" t="s">
        <v>111</v>
      </c>
      <c r="J523" s="93" t="s">
        <v>2013</v>
      </c>
      <c r="K523" s="93">
        <v>50</v>
      </c>
      <c r="L523" s="93" t="s">
        <v>111</v>
      </c>
      <c r="M523" s="93">
        <v>6.3</v>
      </c>
      <c r="N523" s="93" t="s">
        <v>113</v>
      </c>
      <c r="O523" s="93">
        <v>18.5</v>
      </c>
      <c r="P523" s="93">
        <v>29.5</v>
      </c>
      <c r="Q523" s="93">
        <v>37.5</v>
      </c>
      <c r="R523" s="93" t="s">
        <v>123</v>
      </c>
      <c r="S523" s="93" t="s">
        <v>659</v>
      </c>
      <c r="T523" s="93" t="s">
        <v>1659</v>
      </c>
      <c r="U523" s="93" t="s">
        <v>116</v>
      </c>
      <c r="V523" s="94">
        <v>44628.540277777778</v>
      </c>
      <c r="W523" s="93" t="s">
        <v>1170</v>
      </c>
      <c r="X523" s="93" t="s">
        <v>24</v>
      </c>
    </row>
    <row r="524" spans="1:24" hidden="1" x14ac:dyDescent="0.15">
      <c r="A524" s="93" t="s">
        <v>2014</v>
      </c>
      <c r="B524" s="93" t="s">
        <v>2015</v>
      </c>
      <c r="C524" s="410">
        <v>3675</v>
      </c>
      <c r="D524" s="93" t="s">
        <v>9</v>
      </c>
      <c r="E524" s="93" t="s">
        <v>9</v>
      </c>
      <c r="F524" s="93" t="s">
        <v>1648</v>
      </c>
      <c r="G524" s="93" t="s">
        <v>9117</v>
      </c>
      <c r="H524" s="93" t="s">
        <v>1690</v>
      </c>
      <c r="I524" s="93" t="s">
        <v>111</v>
      </c>
      <c r="J524" s="93" t="s">
        <v>2013</v>
      </c>
      <c r="K524" s="93">
        <v>50</v>
      </c>
      <c r="L524" s="93" t="s">
        <v>111</v>
      </c>
      <c r="M524" s="93">
        <v>6.3</v>
      </c>
      <c r="N524" s="93" t="s">
        <v>113</v>
      </c>
      <c r="O524" s="93">
        <v>18.5</v>
      </c>
      <c r="P524" s="93">
        <v>29.5</v>
      </c>
      <c r="Q524" s="93">
        <v>37.5</v>
      </c>
      <c r="R524" s="93" t="s">
        <v>123</v>
      </c>
      <c r="S524" s="93" t="s">
        <v>659</v>
      </c>
      <c r="T524" s="93" t="s">
        <v>1659</v>
      </c>
      <c r="U524" s="93" t="s">
        <v>116</v>
      </c>
      <c r="V524" s="94">
        <v>44628.640277777777</v>
      </c>
      <c r="W524" s="93" t="s">
        <v>1170</v>
      </c>
      <c r="X524" s="93" t="s">
        <v>24</v>
      </c>
    </row>
    <row r="525" spans="1:24" hidden="1" x14ac:dyDescent="0.15">
      <c r="A525" s="93" t="s">
        <v>2016</v>
      </c>
      <c r="B525" s="93" t="s">
        <v>2017</v>
      </c>
      <c r="C525" s="410">
        <v>3675</v>
      </c>
      <c r="D525" s="93" t="s">
        <v>9</v>
      </c>
      <c r="E525" s="93" t="s">
        <v>9</v>
      </c>
      <c r="F525" s="93" t="s">
        <v>1648</v>
      </c>
      <c r="G525" s="93" t="s">
        <v>9117</v>
      </c>
      <c r="H525" s="93" t="s">
        <v>1690</v>
      </c>
      <c r="I525" s="93" t="s">
        <v>111</v>
      </c>
      <c r="J525" s="93" t="s">
        <v>2013</v>
      </c>
      <c r="K525" s="93">
        <v>50</v>
      </c>
      <c r="L525" s="93" t="s">
        <v>111</v>
      </c>
      <c r="M525" s="93">
        <v>6.3</v>
      </c>
      <c r="N525" s="93" t="s">
        <v>113</v>
      </c>
      <c r="O525" s="93">
        <v>18.5</v>
      </c>
      <c r="P525" s="93">
        <v>29.5</v>
      </c>
      <c r="Q525" s="93">
        <v>37.5</v>
      </c>
      <c r="R525" s="93" t="s">
        <v>123</v>
      </c>
      <c r="S525" s="93" t="s">
        <v>659</v>
      </c>
      <c r="T525" s="93" t="s">
        <v>1659</v>
      </c>
      <c r="U525" s="93" t="s">
        <v>116</v>
      </c>
      <c r="V525" s="94">
        <v>44628.583333333336</v>
      </c>
      <c r="W525" s="93" t="s">
        <v>1170</v>
      </c>
      <c r="X525" s="93" t="s">
        <v>24</v>
      </c>
    </row>
    <row r="526" spans="1:24" hidden="1" x14ac:dyDescent="0.15">
      <c r="A526" s="93" t="s">
        <v>2018</v>
      </c>
      <c r="B526" s="93" t="s">
        <v>2019</v>
      </c>
      <c r="C526" s="410">
        <v>3675</v>
      </c>
      <c r="D526" s="93" t="s">
        <v>9</v>
      </c>
      <c r="E526" s="93" t="s">
        <v>9</v>
      </c>
      <c r="F526" s="93" t="s">
        <v>1648</v>
      </c>
      <c r="G526" s="93" t="s">
        <v>9117</v>
      </c>
      <c r="H526" s="93" t="s">
        <v>1690</v>
      </c>
      <c r="I526" s="93" t="s">
        <v>111</v>
      </c>
      <c r="J526" s="93" t="s">
        <v>2013</v>
      </c>
      <c r="K526" s="93">
        <v>50</v>
      </c>
      <c r="L526" s="93" t="s">
        <v>111</v>
      </c>
      <c r="M526" s="93">
        <v>6.3</v>
      </c>
      <c r="N526" s="93" t="s">
        <v>113</v>
      </c>
      <c r="O526" s="93">
        <v>18.5</v>
      </c>
      <c r="P526" s="93">
        <v>29.5</v>
      </c>
      <c r="Q526" s="93">
        <v>37.5</v>
      </c>
      <c r="R526" s="93" t="s">
        <v>123</v>
      </c>
      <c r="S526" s="93" t="s">
        <v>659</v>
      </c>
      <c r="T526" s="93" t="s">
        <v>1659</v>
      </c>
      <c r="U526" s="93" t="s">
        <v>116</v>
      </c>
      <c r="V526" s="94">
        <v>44628.518750000003</v>
      </c>
      <c r="W526" s="93" t="s">
        <v>1170</v>
      </c>
      <c r="X526" s="93" t="s">
        <v>24</v>
      </c>
    </row>
    <row r="527" spans="1:24" hidden="1" x14ac:dyDescent="0.15">
      <c r="A527" s="93" t="s">
        <v>2020</v>
      </c>
      <c r="B527" s="93" t="s">
        <v>2021</v>
      </c>
      <c r="C527" s="410">
        <v>3675</v>
      </c>
      <c r="D527" s="93" t="s">
        <v>9</v>
      </c>
      <c r="E527" s="93" t="s">
        <v>9</v>
      </c>
      <c r="F527" s="93" t="s">
        <v>1648</v>
      </c>
      <c r="G527" s="93" t="s">
        <v>9117</v>
      </c>
      <c r="H527" s="93" t="s">
        <v>1690</v>
      </c>
      <c r="I527" s="93" t="s">
        <v>111</v>
      </c>
      <c r="J527" s="93" t="s">
        <v>2013</v>
      </c>
      <c r="K527" s="93">
        <v>50</v>
      </c>
      <c r="L527" s="93" t="s">
        <v>111</v>
      </c>
      <c r="M527" s="93">
        <v>6.3</v>
      </c>
      <c r="N527" s="93" t="s">
        <v>113</v>
      </c>
      <c r="O527" s="93">
        <v>18.5</v>
      </c>
      <c r="P527" s="93">
        <v>29.5</v>
      </c>
      <c r="Q527" s="93">
        <v>37.5</v>
      </c>
      <c r="R527" s="93" t="s">
        <v>123</v>
      </c>
      <c r="S527" s="93" t="s">
        <v>659</v>
      </c>
      <c r="T527" s="93" t="s">
        <v>1659</v>
      </c>
      <c r="U527" s="93" t="s">
        <v>116</v>
      </c>
      <c r="V527" s="94">
        <v>44628.640277777777</v>
      </c>
      <c r="W527" s="93" t="s">
        <v>1170</v>
      </c>
      <c r="X527" s="93" t="s">
        <v>24</v>
      </c>
    </row>
    <row r="528" spans="1:24" hidden="1" x14ac:dyDescent="0.15">
      <c r="A528" s="93" t="s">
        <v>2022</v>
      </c>
      <c r="B528" s="93" t="s">
        <v>2023</v>
      </c>
      <c r="C528" s="410">
        <v>3675</v>
      </c>
      <c r="D528" s="93" t="s">
        <v>9</v>
      </c>
      <c r="E528" s="93" t="s">
        <v>9</v>
      </c>
      <c r="F528" s="93" t="s">
        <v>1648</v>
      </c>
      <c r="G528" s="93" t="s">
        <v>9117</v>
      </c>
      <c r="H528" s="93" t="s">
        <v>1690</v>
      </c>
      <c r="I528" s="93" t="s">
        <v>111</v>
      </c>
      <c r="J528" s="93" t="s">
        <v>2013</v>
      </c>
      <c r="K528" s="93">
        <v>50</v>
      </c>
      <c r="L528" s="93" t="s">
        <v>111</v>
      </c>
      <c r="M528" s="93">
        <v>6.3</v>
      </c>
      <c r="N528" s="93" t="s">
        <v>113</v>
      </c>
      <c r="O528" s="93">
        <v>18.5</v>
      </c>
      <c r="P528" s="93">
        <v>29.5</v>
      </c>
      <c r="Q528" s="93">
        <v>37.5</v>
      </c>
      <c r="R528" s="93" t="s">
        <v>123</v>
      </c>
      <c r="S528" s="93" t="s">
        <v>659</v>
      </c>
      <c r="T528" s="93" t="s">
        <v>1659</v>
      </c>
      <c r="U528" s="93" t="s">
        <v>116</v>
      </c>
      <c r="V528" s="94">
        <v>44628.475694444445</v>
      </c>
      <c r="W528" s="93" t="s">
        <v>1170</v>
      </c>
      <c r="X528" s="93" t="s">
        <v>24</v>
      </c>
    </row>
    <row r="529" spans="1:24" hidden="1" x14ac:dyDescent="0.15">
      <c r="A529" s="93" t="s">
        <v>2024</v>
      </c>
      <c r="B529" s="93" t="s">
        <v>2025</v>
      </c>
      <c r="C529" s="410">
        <v>3675</v>
      </c>
      <c r="D529" s="93" t="s">
        <v>9</v>
      </c>
      <c r="E529" s="93" t="s">
        <v>9</v>
      </c>
      <c r="F529" s="93" t="s">
        <v>1648</v>
      </c>
      <c r="G529" s="93" t="s">
        <v>9117</v>
      </c>
      <c r="H529" s="93" t="s">
        <v>1690</v>
      </c>
      <c r="I529" s="93" t="s">
        <v>111</v>
      </c>
      <c r="J529" s="93" t="s">
        <v>2013</v>
      </c>
      <c r="K529" s="93">
        <v>50</v>
      </c>
      <c r="L529" s="93" t="s">
        <v>111</v>
      </c>
      <c r="M529" s="93">
        <v>6.3</v>
      </c>
      <c r="N529" s="93" t="s">
        <v>113</v>
      </c>
      <c r="O529" s="93">
        <v>18.5</v>
      </c>
      <c r="P529" s="93">
        <v>29.5</v>
      </c>
      <c r="Q529" s="93">
        <v>37.5</v>
      </c>
      <c r="R529" s="93" t="s">
        <v>123</v>
      </c>
      <c r="S529" s="93" t="s">
        <v>659</v>
      </c>
      <c r="T529" s="93" t="s">
        <v>1659</v>
      </c>
      <c r="U529" s="93" t="s">
        <v>116</v>
      </c>
      <c r="V529" s="94">
        <v>44628.604861111111</v>
      </c>
      <c r="W529" s="93" t="s">
        <v>1170</v>
      </c>
      <c r="X529" s="93" t="s">
        <v>24</v>
      </c>
    </row>
    <row r="530" spans="1:24" hidden="1" x14ac:dyDescent="0.15">
      <c r="A530" s="93" t="s">
        <v>2026</v>
      </c>
      <c r="B530" s="93" t="s">
        <v>2027</v>
      </c>
      <c r="C530" s="410">
        <v>3675</v>
      </c>
      <c r="D530" s="93" t="s">
        <v>9</v>
      </c>
      <c r="E530" s="93" t="s">
        <v>9</v>
      </c>
      <c r="F530" s="93" t="s">
        <v>1648</v>
      </c>
      <c r="G530" s="93" t="s">
        <v>9117</v>
      </c>
      <c r="H530" s="93" t="s">
        <v>1690</v>
      </c>
      <c r="I530" s="93" t="s">
        <v>111</v>
      </c>
      <c r="J530" s="93" t="s">
        <v>2013</v>
      </c>
      <c r="K530" s="93">
        <v>50</v>
      </c>
      <c r="L530" s="93" t="s">
        <v>111</v>
      </c>
      <c r="M530" s="93">
        <v>6.3</v>
      </c>
      <c r="N530" s="93" t="s">
        <v>113</v>
      </c>
      <c r="O530" s="93">
        <v>18.5</v>
      </c>
      <c r="P530" s="93">
        <v>29.5</v>
      </c>
      <c r="Q530" s="93">
        <v>37.5</v>
      </c>
      <c r="R530" s="93" t="s">
        <v>123</v>
      </c>
      <c r="S530" s="93" t="s">
        <v>659</v>
      </c>
      <c r="T530" s="93" t="s">
        <v>1659</v>
      </c>
      <c r="U530" s="93" t="s">
        <v>116</v>
      </c>
      <c r="V530" s="94">
        <v>44628.475694444445</v>
      </c>
      <c r="W530" s="93" t="s">
        <v>1170</v>
      </c>
      <c r="X530" s="93" t="s">
        <v>24</v>
      </c>
    </row>
    <row r="531" spans="1:24" hidden="1" x14ac:dyDescent="0.15">
      <c r="A531" s="93" t="s">
        <v>2028</v>
      </c>
      <c r="B531" s="93" t="s">
        <v>2029</v>
      </c>
      <c r="C531" s="410">
        <v>3675</v>
      </c>
      <c r="D531" s="93" t="s">
        <v>9</v>
      </c>
      <c r="E531" s="93" t="s">
        <v>9</v>
      </c>
      <c r="F531" s="93" t="s">
        <v>1648</v>
      </c>
      <c r="G531" s="93" t="s">
        <v>9117</v>
      </c>
      <c r="H531" s="93" t="s">
        <v>1690</v>
      </c>
      <c r="I531" s="93" t="s">
        <v>111</v>
      </c>
      <c r="J531" s="93" t="s">
        <v>2013</v>
      </c>
      <c r="K531" s="93">
        <v>50</v>
      </c>
      <c r="L531" s="93" t="s">
        <v>111</v>
      </c>
      <c r="M531" s="93">
        <v>6.3</v>
      </c>
      <c r="N531" s="93" t="s">
        <v>113</v>
      </c>
      <c r="O531" s="93">
        <v>18.5</v>
      </c>
      <c r="P531" s="93">
        <v>29.5</v>
      </c>
      <c r="Q531" s="93">
        <v>37.5</v>
      </c>
      <c r="R531" s="93" t="s">
        <v>123</v>
      </c>
      <c r="S531" s="93" t="s">
        <v>659</v>
      </c>
      <c r="T531" s="93" t="s">
        <v>1659</v>
      </c>
      <c r="U531" s="93" t="s">
        <v>116</v>
      </c>
      <c r="V531" s="94">
        <v>44628.642361111109</v>
      </c>
      <c r="W531" s="93" t="s">
        <v>1170</v>
      </c>
      <c r="X531" s="93" t="s">
        <v>24</v>
      </c>
    </row>
    <row r="532" spans="1:24" hidden="1" x14ac:dyDescent="0.15">
      <c r="A532" s="93" t="s">
        <v>2030</v>
      </c>
      <c r="B532" s="93" t="s">
        <v>2031</v>
      </c>
      <c r="C532" s="410">
        <v>3675</v>
      </c>
      <c r="D532" s="93" t="s">
        <v>9</v>
      </c>
      <c r="E532" s="93" t="s">
        <v>9</v>
      </c>
      <c r="F532" s="93" t="s">
        <v>1648</v>
      </c>
      <c r="G532" s="93" t="s">
        <v>9117</v>
      </c>
      <c r="H532" s="93" t="s">
        <v>1690</v>
      </c>
      <c r="I532" s="93" t="s">
        <v>111</v>
      </c>
      <c r="J532" s="93" t="s">
        <v>2013</v>
      </c>
      <c r="K532" s="93">
        <v>50</v>
      </c>
      <c r="L532" s="93" t="s">
        <v>111</v>
      </c>
      <c r="M532" s="93">
        <v>6.3</v>
      </c>
      <c r="N532" s="93" t="s">
        <v>113</v>
      </c>
      <c r="O532" s="93">
        <v>18.5</v>
      </c>
      <c r="P532" s="93">
        <v>29.5</v>
      </c>
      <c r="Q532" s="93">
        <v>37.5</v>
      </c>
      <c r="R532" s="93" t="s">
        <v>123</v>
      </c>
      <c r="S532" s="93" t="s">
        <v>659</v>
      </c>
      <c r="T532" s="93" t="s">
        <v>1659</v>
      </c>
      <c r="U532" s="93" t="s">
        <v>116</v>
      </c>
      <c r="V532" s="94">
        <v>44628.563194444447</v>
      </c>
      <c r="W532" s="93" t="s">
        <v>1170</v>
      </c>
      <c r="X532" s="93" t="s">
        <v>24</v>
      </c>
    </row>
    <row r="533" spans="1:24" hidden="1" x14ac:dyDescent="0.15">
      <c r="A533" s="93" t="s">
        <v>2032</v>
      </c>
      <c r="B533" s="93" t="s">
        <v>2033</v>
      </c>
      <c r="C533" s="410">
        <v>3675</v>
      </c>
      <c r="D533" s="93" t="s">
        <v>9</v>
      </c>
      <c r="E533" s="93" t="s">
        <v>9</v>
      </c>
      <c r="F533" s="93" t="s">
        <v>1648</v>
      </c>
      <c r="G533" s="93" t="s">
        <v>9117</v>
      </c>
      <c r="H533" s="93" t="s">
        <v>1690</v>
      </c>
      <c r="I533" s="93" t="s">
        <v>111</v>
      </c>
      <c r="J533" s="93" t="s">
        <v>2013</v>
      </c>
      <c r="K533" s="93">
        <v>50</v>
      </c>
      <c r="L533" s="93" t="s">
        <v>111</v>
      </c>
      <c r="M533" s="93">
        <v>6.3</v>
      </c>
      <c r="N533" s="93" t="s">
        <v>113</v>
      </c>
      <c r="O533" s="93">
        <v>18.5</v>
      </c>
      <c r="P533" s="93">
        <v>29.5</v>
      </c>
      <c r="Q533" s="93">
        <v>37.5</v>
      </c>
      <c r="R533" s="93" t="s">
        <v>123</v>
      </c>
      <c r="S533" s="93" t="s">
        <v>659</v>
      </c>
      <c r="T533" s="93" t="s">
        <v>1659</v>
      </c>
      <c r="U533" s="93" t="s">
        <v>116</v>
      </c>
      <c r="V533" s="94">
        <v>44628.542361111111</v>
      </c>
      <c r="W533" s="93" t="s">
        <v>1170</v>
      </c>
      <c r="X533" s="93" t="s">
        <v>24</v>
      </c>
    </row>
    <row r="534" spans="1:24" hidden="1" x14ac:dyDescent="0.15">
      <c r="A534" s="93" t="s">
        <v>2034</v>
      </c>
      <c r="B534" s="93" t="s">
        <v>2035</v>
      </c>
      <c r="C534" s="410">
        <v>3675</v>
      </c>
      <c r="D534" s="93" t="s">
        <v>9</v>
      </c>
      <c r="E534" s="93" t="s">
        <v>9</v>
      </c>
      <c r="F534" s="93" t="s">
        <v>1648</v>
      </c>
      <c r="G534" s="93" t="s">
        <v>9117</v>
      </c>
      <c r="H534" s="93" t="s">
        <v>1690</v>
      </c>
      <c r="I534" s="93" t="s">
        <v>111</v>
      </c>
      <c r="J534" s="93" t="s">
        <v>2013</v>
      </c>
      <c r="K534" s="93">
        <v>50</v>
      </c>
      <c r="L534" s="93" t="s">
        <v>111</v>
      </c>
      <c r="M534" s="93">
        <v>6.3</v>
      </c>
      <c r="N534" s="93" t="s">
        <v>113</v>
      </c>
      <c r="O534" s="93">
        <v>18.5</v>
      </c>
      <c r="P534" s="93">
        <v>29.5</v>
      </c>
      <c r="Q534" s="93">
        <v>37.5</v>
      </c>
      <c r="R534" s="93" t="s">
        <v>123</v>
      </c>
      <c r="S534" s="93" t="s">
        <v>659</v>
      </c>
      <c r="T534" s="93" t="s">
        <v>1659</v>
      </c>
      <c r="U534" s="93" t="s">
        <v>116</v>
      </c>
      <c r="V534" s="94">
        <v>44628.520138888889</v>
      </c>
      <c r="W534" s="93" t="s">
        <v>1170</v>
      </c>
      <c r="X534" s="93" t="s">
        <v>24</v>
      </c>
    </row>
    <row r="535" spans="1:24" hidden="1" x14ac:dyDescent="0.15">
      <c r="A535" s="93" t="s">
        <v>2036</v>
      </c>
      <c r="B535" s="93" t="s">
        <v>2037</v>
      </c>
      <c r="C535" s="410">
        <v>3675</v>
      </c>
      <c r="D535" s="93" t="s">
        <v>9</v>
      </c>
      <c r="E535" s="93" t="s">
        <v>9</v>
      </c>
      <c r="F535" s="93" t="s">
        <v>1648</v>
      </c>
      <c r="G535" s="93" t="s">
        <v>9117</v>
      </c>
      <c r="H535" s="93" t="s">
        <v>1690</v>
      </c>
      <c r="I535" s="93" t="s">
        <v>111</v>
      </c>
      <c r="J535" s="93" t="s">
        <v>2013</v>
      </c>
      <c r="K535" s="93">
        <v>50</v>
      </c>
      <c r="L535" s="93" t="s">
        <v>111</v>
      </c>
      <c r="M535" s="93">
        <v>6.3</v>
      </c>
      <c r="N535" s="93" t="s">
        <v>113</v>
      </c>
      <c r="O535" s="93">
        <v>18.5</v>
      </c>
      <c r="P535" s="93">
        <v>29.5</v>
      </c>
      <c r="Q535" s="93">
        <v>37.5</v>
      </c>
      <c r="R535" s="93" t="s">
        <v>123</v>
      </c>
      <c r="S535" s="93" t="s">
        <v>659</v>
      </c>
      <c r="T535" s="93" t="s">
        <v>1659</v>
      </c>
      <c r="U535" s="93" t="s">
        <v>116</v>
      </c>
      <c r="V535" s="94">
        <v>44628.642361111109</v>
      </c>
      <c r="W535" s="93" t="s">
        <v>1170</v>
      </c>
      <c r="X535" s="93" t="s">
        <v>24</v>
      </c>
    </row>
    <row r="536" spans="1:24" hidden="1" x14ac:dyDescent="0.15">
      <c r="A536" s="93" t="s">
        <v>2038</v>
      </c>
      <c r="B536" s="93" t="s">
        <v>2039</v>
      </c>
      <c r="C536" s="410">
        <v>3675</v>
      </c>
      <c r="D536" s="93" t="s">
        <v>9</v>
      </c>
      <c r="E536" s="93" t="s">
        <v>9</v>
      </c>
      <c r="F536" s="93" t="s">
        <v>1648</v>
      </c>
      <c r="G536" s="93" t="s">
        <v>9117</v>
      </c>
      <c r="H536" s="93" t="s">
        <v>1690</v>
      </c>
      <c r="I536" s="93" t="s">
        <v>111</v>
      </c>
      <c r="J536" s="93" t="s">
        <v>2013</v>
      </c>
      <c r="K536" s="93">
        <v>50</v>
      </c>
      <c r="L536" s="93" t="s">
        <v>111</v>
      </c>
      <c r="M536" s="93">
        <v>6.3</v>
      </c>
      <c r="N536" s="93" t="s">
        <v>113</v>
      </c>
      <c r="O536" s="93">
        <v>18.5</v>
      </c>
      <c r="P536" s="93">
        <v>29.5</v>
      </c>
      <c r="Q536" s="93">
        <v>37.5</v>
      </c>
      <c r="R536" s="93" t="s">
        <v>123</v>
      </c>
      <c r="S536" s="93" t="s">
        <v>659</v>
      </c>
      <c r="T536" s="93" t="s">
        <v>1659</v>
      </c>
      <c r="U536" s="93" t="s">
        <v>116</v>
      </c>
      <c r="V536" s="94">
        <v>44628.542361111111</v>
      </c>
      <c r="W536" s="93" t="s">
        <v>1170</v>
      </c>
      <c r="X536" s="93" t="s">
        <v>24</v>
      </c>
    </row>
    <row r="537" spans="1:24" hidden="1" x14ac:dyDescent="0.15">
      <c r="A537" s="93" t="s">
        <v>2040</v>
      </c>
      <c r="B537" s="93" t="s">
        <v>2041</v>
      </c>
      <c r="C537" s="410">
        <v>3675</v>
      </c>
      <c r="D537" s="93" t="s">
        <v>9</v>
      </c>
      <c r="E537" s="93" t="s">
        <v>9</v>
      </c>
      <c r="F537" s="93" t="s">
        <v>1648</v>
      </c>
      <c r="G537" s="93" t="s">
        <v>9117</v>
      </c>
      <c r="H537" s="93" t="s">
        <v>1690</v>
      </c>
      <c r="I537" s="93" t="s">
        <v>111</v>
      </c>
      <c r="J537" s="93" t="s">
        <v>2013</v>
      </c>
      <c r="K537" s="93">
        <v>50</v>
      </c>
      <c r="L537" s="93" t="s">
        <v>111</v>
      </c>
      <c r="M537" s="93">
        <v>6.3</v>
      </c>
      <c r="N537" s="93" t="s">
        <v>113</v>
      </c>
      <c r="O537" s="93">
        <v>18.5</v>
      </c>
      <c r="P537" s="93">
        <v>29.5</v>
      </c>
      <c r="Q537" s="93">
        <v>37.5</v>
      </c>
      <c r="R537" s="93" t="s">
        <v>123</v>
      </c>
      <c r="S537" s="93" t="s">
        <v>659</v>
      </c>
      <c r="T537" s="93" t="s">
        <v>1659</v>
      </c>
      <c r="U537" s="93" t="s">
        <v>116</v>
      </c>
      <c r="V537" s="94">
        <v>44628.561805555553</v>
      </c>
      <c r="W537" s="93" t="s">
        <v>1170</v>
      </c>
      <c r="X537" s="93" t="s">
        <v>24</v>
      </c>
    </row>
    <row r="538" spans="1:24" hidden="1" x14ac:dyDescent="0.15">
      <c r="A538" s="93" t="s">
        <v>2042</v>
      </c>
      <c r="B538" s="93" t="s">
        <v>2043</v>
      </c>
      <c r="C538" s="410">
        <v>3675</v>
      </c>
      <c r="D538" s="93" t="s">
        <v>9</v>
      </c>
      <c r="E538" s="93" t="s">
        <v>9</v>
      </c>
      <c r="F538" s="93" t="s">
        <v>1648</v>
      </c>
      <c r="G538" s="93" t="s">
        <v>9117</v>
      </c>
      <c r="H538" s="93" t="s">
        <v>1690</v>
      </c>
      <c r="I538" s="93" t="s">
        <v>111</v>
      </c>
      <c r="J538" s="93" t="s">
        <v>2013</v>
      </c>
      <c r="K538" s="93">
        <v>50</v>
      </c>
      <c r="L538" s="93" t="s">
        <v>111</v>
      </c>
      <c r="M538" s="93">
        <v>6.3</v>
      </c>
      <c r="N538" s="93" t="s">
        <v>113</v>
      </c>
      <c r="O538" s="93">
        <v>18.5</v>
      </c>
      <c r="P538" s="93">
        <v>29.5</v>
      </c>
      <c r="Q538" s="93">
        <v>37.5</v>
      </c>
      <c r="R538" s="93" t="s">
        <v>123</v>
      </c>
      <c r="S538" s="93" t="s">
        <v>659</v>
      </c>
      <c r="T538" s="93" t="s">
        <v>1659</v>
      </c>
      <c r="U538" s="93" t="s">
        <v>116</v>
      </c>
      <c r="V538" s="94">
        <v>44628.583333333336</v>
      </c>
      <c r="W538" s="93" t="s">
        <v>1170</v>
      </c>
      <c r="X538" s="93" t="s">
        <v>24</v>
      </c>
    </row>
    <row r="539" spans="1:24" hidden="1" x14ac:dyDescent="0.15">
      <c r="A539" s="93" t="s">
        <v>2044</v>
      </c>
      <c r="B539" s="93" t="s">
        <v>2045</v>
      </c>
      <c r="C539" s="410">
        <v>3675</v>
      </c>
      <c r="D539" s="93" t="s">
        <v>9</v>
      </c>
      <c r="E539" s="93" t="s">
        <v>9</v>
      </c>
      <c r="F539" s="93" t="s">
        <v>1648</v>
      </c>
      <c r="G539" s="93" t="s">
        <v>9117</v>
      </c>
      <c r="H539" s="93" t="s">
        <v>1690</v>
      </c>
      <c r="I539" s="93" t="s">
        <v>111</v>
      </c>
      <c r="J539" s="93" t="s">
        <v>2013</v>
      </c>
      <c r="K539" s="93">
        <v>50</v>
      </c>
      <c r="L539" s="93" t="s">
        <v>111</v>
      </c>
      <c r="M539" s="93">
        <v>6.3</v>
      </c>
      <c r="N539" s="93" t="s">
        <v>113</v>
      </c>
      <c r="O539" s="93">
        <v>18.5</v>
      </c>
      <c r="P539" s="93">
        <v>29.5</v>
      </c>
      <c r="Q539" s="93">
        <v>37.5</v>
      </c>
      <c r="R539" s="93" t="s">
        <v>123</v>
      </c>
      <c r="S539" s="93" t="s">
        <v>659</v>
      </c>
      <c r="T539" s="93" t="s">
        <v>1659</v>
      </c>
      <c r="U539" s="93" t="s">
        <v>116</v>
      </c>
      <c r="V539" s="94">
        <v>44628.561805555553</v>
      </c>
      <c r="W539" s="93" t="s">
        <v>1170</v>
      </c>
      <c r="X539" s="93" t="s">
        <v>24</v>
      </c>
    </row>
    <row r="540" spans="1:24" hidden="1" x14ac:dyDescent="0.15">
      <c r="A540" s="93" t="s">
        <v>2046</v>
      </c>
      <c r="B540" s="93" t="s">
        <v>2047</v>
      </c>
      <c r="C540" s="410">
        <v>3675</v>
      </c>
      <c r="D540" s="93" t="s">
        <v>9</v>
      </c>
      <c r="E540" s="93" t="s">
        <v>9</v>
      </c>
      <c r="F540" s="93" t="s">
        <v>1648</v>
      </c>
      <c r="G540" s="93" t="s">
        <v>9117</v>
      </c>
      <c r="H540" s="93" t="s">
        <v>1690</v>
      </c>
      <c r="I540" s="93" t="s">
        <v>111</v>
      </c>
      <c r="J540" s="93" t="s">
        <v>2013</v>
      </c>
      <c r="K540" s="93">
        <v>50</v>
      </c>
      <c r="L540" s="93" t="s">
        <v>111</v>
      </c>
      <c r="M540" s="93">
        <v>6.3</v>
      </c>
      <c r="N540" s="93" t="s">
        <v>113</v>
      </c>
      <c r="O540" s="93">
        <v>18.5</v>
      </c>
      <c r="P540" s="93">
        <v>29.5</v>
      </c>
      <c r="Q540" s="93">
        <v>37.5</v>
      </c>
      <c r="R540" s="93" t="s">
        <v>123</v>
      </c>
      <c r="S540" s="93" t="s">
        <v>659</v>
      </c>
      <c r="T540" s="93" t="s">
        <v>1659</v>
      </c>
      <c r="U540" s="93" t="s">
        <v>116</v>
      </c>
      <c r="V540" s="94">
        <v>44628.583333333336</v>
      </c>
      <c r="W540" s="93" t="s">
        <v>1170</v>
      </c>
      <c r="X540" s="93" t="s">
        <v>24</v>
      </c>
    </row>
    <row r="541" spans="1:24" hidden="1" x14ac:dyDescent="0.15">
      <c r="A541" s="93" t="s">
        <v>2048</v>
      </c>
      <c r="B541" s="93" t="s">
        <v>2049</v>
      </c>
      <c r="C541" s="410">
        <v>3675</v>
      </c>
      <c r="D541" s="93" t="s">
        <v>9</v>
      </c>
      <c r="E541" s="93" t="s">
        <v>9</v>
      </c>
      <c r="F541" s="93" t="s">
        <v>1648</v>
      </c>
      <c r="G541" s="93" t="s">
        <v>9117</v>
      </c>
      <c r="H541" s="93" t="s">
        <v>1690</v>
      </c>
      <c r="I541" s="93" t="s">
        <v>111</v>
      </c>
      <c r="J541" s="93" t="s">
        <v>2013</v>
      </c>
      <c r="K541" s="93">
        <v>50</v>
      </c>
      <c r="L541" s="93" t="s">
        <v>111</v>
      </c>
      <c r="M541" s="93">
        <v>6.3</v>
      </c>
      <c r="N541" s="93" t="s">
        <v>113</v>
      </c>
      <c r="O541" s="93">
        <v>18.5</v>
      </c>
      <c r="P541" s="93">
        <v>29.5</v>
      </c>
      <c r="Q541" s="93">
        <v>37.5</v>
      </c>
      <c r="R541" s="93" t="s">
        <v>123</v>
      </c>
      <c r="S541" s="93" t="s">
        <v>659</v>
      </c>
      <c r="T541" s="93" t="s">
        <v>1659</v>
      </c>
      <c r="U541" s="93" t="s">
        <v>116</v>
      </c>
      <c r="V541" s="94">
        <v>44628.561805555553</v>
      </c>
      <c r="W541" s="93" t="s">
        <v>1170</v>
      </c>
      <c r="X541" s="93" t="s">
        <v>24</v>
      </c>
    </row>
    <row r="542" spans="1:24" hidden="1" x14ac:dyDescent="0.15">
      <c r="A542" s="93" t="s">
        <v>2050</v>
      </c>
      <c r="B542" s="93" t="s">
        <v>2051</v>
      </c>
      <c r="C542" s="410">
        <v>3675</v>
      </c>
      <c r="D542" s="93" t="s">
        <v>9</v>
      </c>
      <c r="E542" s="93" t="s">
        <v>9</v>
      </c>
      <c r="F542" s="93" t="s">
        <v>1648</v>
      </c>
      <c r="G542" s="93" t="s">
        <v>9117</v>
      </c>
      <c r="H542" s="93" t="s">
        <v>1690</v>
      </c>
      <c r="I542" s="93" t="s">
        <v>111</v>
      </c>
      <c r="J542" s="93" t="s">
        <v>2013</v>
      </c>
      <c r="K542" s="93">
        <v>50</v>
      </c>
      <c r="L542" s="93" t="s">
        <v>111</v>
      </c>
      <c r="M542" s="93">
        <v>6.3</v>
      </c>
      <c r="N542" s="93" t="s">
        <v>113</v>
      </c>
      <c r="O542" s="93">
        <v>18.5</v>
      </c>
      <c r="P542" s="93">
        <v>29.5</v>
      </c>
      <c r="Q542" s="93">
        <v>37.5</v>
      </c>
      <c r="R542" s="93" t="s">
        <v>123</v>
      </c>
      <c r="S542" s="93" t="s">
        <v>659</v>
      </c>
      <c r="T542" s="93" t="s">
        <v>1659</v>
      </c>
      <c r="U542" s="93" t="s">
        <v>116</v>
      </c>
      <c r="V542" s="94">
        <v>44628.583333333336</v>
      </c>
      <c r="W542" s="93" t="s">
        <v>1170</v>
      </c>
      <c r="X542" s="93" t="s">
        <v>24</v>
      </c>
    </row>
    <row r="543" spans="1:24" hidden="1" x14ac:dyDescent="0.15">
      <c r="A543" s="93" t="s">
        <v>2052</v>
      </c>
      <c r="B543" s="93" t="s">
        <v>2053</v>
      </c>
      <c r="C543" s="410">
        <v>3675</v>
      </c>
      <c r="D543" s="93" t="s">
        <v>9</v>
      </c>
      <c r="E543" s="93" t="s">
        <v>9</v>
      </c>
      <c r="F543" s="93" t="s">
        <v>1648</v>
      </c>
      <c r="G543" s="93" t="s">
        <v>9117</v>
      </c>
      <c r="H543" s="93" t="s">
        <v>1690</v>
      </c>
      <c r="I543" s="93" t="s">
        <v>111</v>
      </c>
      <c r="J543" s="93" t="s">
        <v>2013</v>
      </c>
      <c r="K543" s="93">
        <v>50</v>
      </c>
      <c r="L543" s="93" t="s">
        <v>111</v>
      </c>
      <c r="M543" s="93">
        <v>6.3</v>
      </c>
      <c r="N543" s="93" t="s">
        <v>113</v>
      </c>
      <c r="O543" s="93">
        <v>18.5</v>
      </c>
      <c r="P543" s="93">
        <v>29.5</v>
      </c>
      <c r="Q543" s="93">
        <v>37.5</v>
      </c>
      <c r="R543" s="93" t="s">
        <v>123</v>
      </c>
      <c r="S543" s="93" t="s">
        <v>659</v>
      </c>
      <c r="T543" s="93" t="s">
        <v>1659</v>
      </c>
      <c r="U543" s="93" t="s">
        <v>116</v>
      </c>
      <c r="V543" s="94">
        <v>44628.561805555553</v>
      </c>
      <c r="W543" s="93" t="s">
        <v>1170</v>
      </c>
      <c r="X543" s="93" t="s">
        <v>24</v>
      </c>
    </row>
    <row r="544" spans="1:24" hidden="1" x14ac:dyDescent="0.15">
      <c r="A544" s="93" t="s">
        <v>2054</v>
      </c>
      <c r="B544" s="93" t="s">
        <v>2055</v>
      </c>
      <c r="C544" s="410">
        <v>3675</v>
      </c>
      <c r="D544" s="93" t="s">
        <v>9</v>
      </c>
      <c r="E544" s="93" t="s">
        <v>9</v>
      </c>
      <c r="F544" s="93" t="s">
        <v>1648</v>
      </c>
      <c r="G544" s="93" t="s">
        <v>9117</v>
      </c>
      <c r="H544" s="93" t="s">
        <v>1690</v>
      </c>
      <c r="I544" s="93" t="s">
        <v>111</v>
      </c>
      <c r="J544" s="93" t="s">
        <v>2013</v>
      </c>
      <c r="K544" s="93">
        <v>50</v>
      </c>
      <c r="L544" s="93" t="s">
        <v>111</v>
      </c>
      <c r="M544" s="93">
        <v>6.3</v>
      </c>
      <c r="N544" s="93" t="s">
        <v>113</v>
      </c>
      <c r="O544" s="93">
        <v>18.5</v>
      </c>
      <c r="P544" s="93">
        <v>29.5</v>
      </c>
      <c r="Q544" s="93">
        <v>37.5</v>
      </c>
      <c r="R544" s="93" t="s">
        <v>123</v>
      </c>
      <c r="S544" s="93" t="s">
        <v>659</v>
      </c>
      <c r="T544" s="93" t="s">
        <v>1659</v>
      </c>
      <c r="U544" s="93" t="s">
        <v>116</v>
      </c>
      <c r="V544" s="94">
        <v>44628.474999999999</v>
      </c>
      <c r="W544" s="93" t="s">
        <v>1170</v>
      </c>
      <c r="X544" s="93" t="s">
        <v>24</v>
      </c>
    </row>
    <row r="545" spans="1:24" hidden="1" x14ac:dyDescent="0.15">
      <c r="A545" s="93" t="s">
        <v>2056</v>
      </c>
      <c r="B545" s="93" t="s">
        <v>2057</v>
      </c>
      <c r="C545" s="410">
        <v>3675</v>
      </c>
      <c r="D545" s="93" t="s">
        <v>9</v>
      </c>
      <c r="E545" s="93" t="s">
        <v>9</v>
      </c>
      <c r="F545" s="93" t="s">
        <v>1648</v>
      </c>
      <c r="G545" s="93" t="s">
        <v>9117</v>
      </c>
      <c r="H545" s="93" t="s">
        <v>1690</v>
      </c>
      <c r="I545" s="93" t="s">
        <v>111</v>
      </c>
      <c r="J545" s="93" t="s">
        <v>2013</v>
      </c>
      <c r="K545" s="93">
        <v>50</v>
      </c>
      <c r="L545" s="93" t="s">
        <v>111</v>
      </c>
      <c r="M545" s="93">
        <v>6.3</v>
      </c>
      <c r="N545" s="93" t="s">
        <v>113</v>
      </c>
      <c r="O545" s="93">
        <v>18.5</v>
      </c>
      <c r="P545" s="93">
        <v>29.5</v>
      </c>
      <c r="Q545" s="93">
        <v>37.5</v>
      </c>
      <c r="R545" s="93" t="s">
        <v>123</v>
      </c>
      <c r="S545" s="93" t="s">
        <v>659</v>
      </c>
      <c r="T545" s="93" t="s">
        <v>1659</v>
      </c>
      <c r="U545" s="93" t="s">
        <v>116</v>
      </c>
      <c r="V545" s="94">
        <v>44628.474999999999</v>
      </c>
      <c r="W545" s="93" t="s">
        <v>1170</v>
      </c>
      <c r="X545" s="93" t="s">
        <v>24</v>
      </c>
    </row>
    <row r="546" spans="1:24" hidden="1" x14ac:dyDescent="0.15">
      <c r="A546" s="93" t="s">
        <v>2058</v>
      </c>
      <c r="B546" s="93" t="s">
        <v>2059</v>
      </c>
      <c r="C546" s="410">
        <v>3675</v>
      </c>
      <c r="D546" s="93" t="s">
        <v>9</v>
      </c>
      <c r="E546" s="93" t="s">
        <v>9</v>
      </c>
      <c r="F546" s="93" t="s">
        <v>1648</v>
      </c>
      <c r="G546" s="93" t="s">
        <v>9117</v>
      </c>
      <c r="H546" s="93" t="s">
        <v>1690</v>
      </c>
      <c r="I546" s="93" t="s">
        <v>111</v>
      </c>
      <c r="J546" s="93" t="s">
        <v>2013</v>
      </c>
      <c r="K546" s="93">
        <v>50</v>
      </c>
      <c r="L546" s="93" t="s">
        <v>111</v>
      </c>
      <c r="M546" s="93">
        <v>6.3</v>
      </c>
      <c r="N546" s="93" t="s">
        <v>113</v>
      </c>
      <c r="O546" s="93">
        <v>18.5</v>
      </c>
      <c r="P546" s="93">
        <v>29.5</v>
      </c>
      <c r="Q546" s="93">
        <v>37.5</v>
      </c>
      <c r="R546" s="93" t="s">
        <v>123</v>
      </c>
      <c r="S546" s="93" t="s">
        <v>659</v>
      </c>
      <c r="T546" s="93" t="s">
        <v>1659</v>
      </c>
      <c r="U546" s="93" t="s">
        <v>116</v>
      </c>
      <c r="V546" s="94">
        <v>44628.474999999999</v>
      </c>
      <c r="W546" s="93" t="s">
        <v>1170</v>
      </c>
      <c r="X546" s="93" t="s">
        <v>24</v>
      </c>
    </row>
    <row r="547" spans="1:24" hidden="1" x14ac:dyDescent="0.15">
      <c r="A547" s="93" t="s">
        <v>2060</v>
      </c>
      <c r="B547" s="93" t="s">
        <v>2061</v>
      </c>
      <c r="C547" s="410">
        <v>3675</v>
      </c>
      <c r="D547" s="93" t="s">
        <v>9</v>
      </c>
      <c r="E547" s="93" t="s">
        <v>9</v>
      </c>
      <c r="F547" s="93" t="s">
        <v>1648</v>
      </c>
      <c r="G547" s="93" t="s">
        <v>9117</v>
      </c>
      <c r="H547" s="93" t="s">
        <v>1690</v>
      </c>
      <c r="I547" s="93" t="s">
        <v>111</v>
      </c>
      <c r="J547" s="93" t="s">
        <v>2013</v>
      </c>
      <c r="K547" s="93">
        <v>50</v>
      </c>
      <c r="L547" s="93" t="s">
        <v>111</v>
      </c>
      <c r="M547" s="93">
        <v>6.3</v>
      </c>
      <c r="N547" s="93" t="s">
        <v>113</v>
      </c>
      <c r="O547" s="93">
        <v>18.5</v>
      </c>
      <c r="P547" s="93">
        <v>29.5</v>
      </c>
      <c r="Q547" s="93">
        <v>37.5</v>
      </c>
      <c r="R547" s="93" t="s">
        <v>123</v>
      </c>
      <c r="S547" s="93" t="s">
        <v>659</v>
      </c>
      <c r="T547" s="93" t="s">
        <v>1659</v>
      </c>
      <c r="U547" s="93" t="s">
        <v>116</v>
      </c>
      <c r="V547" s="94">
        <v>44628.640277777777</v>
      </c>
      <c r="W547" s="93" t="s">
        <v>1170</v>
      </c>
      <c r="X547" s="93" t="s">
        <v>24</v>
      </c>
    </row>
    <row r="548" spans="1:24" hidden="1" x14ac:dyDescent="0.15">
      <c r="A548" s="93" t="s">
        <v>2062</v>
      </c>
      <c r="B548" s="93" t="s">
        <v>2063</v>
      </c>
      <c r="C548" s="410">
        <v>3675</v>
      </c>
      <c r="D548" s="93" t="s">
        <v>9</v>
      </c>
      <c r="E548" s="93" t="s">
        <v>9</v>
      </c>
      <c r="F548" s="93" t="s">
        <v>1648</v>
      </c>
      <c r="G548" s="93" t="s">
        <v>9117</v>
      </c>
      <c r="H548" s="93" t="s">
        <v>1690</v>
      </c>
      <c r="I548" s="93" t="s">
        <v>111</v>
      </c>
      <c r="J548" s="93" t="s">
        <v>2013</v>
      </c>
      <c r="K548" s="93">
        <v>50</v>
      </c>
      <c r="L548" s="93" t="s">
        <v>111</v>
      </c>
      <c r="M548" s="93">
        <v>6.3</v>
      </c>
      <c r="N548" s="93" t="s">
        <v>113</v>
      </c>
      <c r="O548" s="93">
        <v>18.5</v>
      </c>
      <c r="P548" s="93">
        <v>29.5</v>
      </c>
      <c r="Q548" s="93">
        <v>37.5</v>
      </c>
      <c r="R548" s="93" t="s">
        <v>123</v>
      </c>
      <c r="S548" s="93" t="s">
        <v>659</v>
      </c>
      <c r="T548" s="93" t="s">
        <v>1659</v>
      </c>
      <c r="U548" s="93" t="s">
        <v>116</v>
      </c>
      <c r="V548" s="94">
        <v>44628.640277777777</v>
      </c>
      <c r="W548" s="93" t="s">
        <v>1170</v>
      </c>
      <c r="X548" s="93" t="s">
        <v>24</v>
      </c>
    </row>
    <row r="549" spans="1:24" hidden="1" x14ac:dyDescent="0.15">
      <c r="A549" s="93" t="s">
        <v>2064</v>
      </c>
      <c r="B549" s="93" t="s">
        <v>2065</v>
      </c>
      <c r="C549" s="410">
        <v>3675</v>
      </c>
      <c r="D549" s="93" t="s">
        <v>9</v>
      </c>
      <c r="E549" s="93" t="s">
        <v>9</v>
      </c>
      <c r="F549" s="93" t="s">
        <v>1648</v>
      </c>
      <c r="G549" s="93" t="s">
        <v>9117</v>
      </c>
      <c r="H549" s="93" t="s">
        <v>1690</v>
      </c>
      <c r="I549" s="93" t="s">
        <v>111</v>
      </c>
      <c r="J549" s="93" t="s">
        <v>2013</v>
      </c>
      <c r="K549" s="93">
        <v>50</v>
      </c>
      <c r="L549" s="93" t="s">
        <v>111</v>
      </c>
      <c r="M549" s="93">
        <v>6.3</v>
      </c>
      <c r="N549" s="93" t="s">
        <v>113</v>
      </c>
      <c r="O549" s="93">
        <v>18.5</v>
      </c>
      <c r="P549" s="93">
        <v>29.5</v>
      </c>
      <c r="Q549" s="93">
        <v>37.5</v>
      </c>
      <c r="R549" s="93" t="s">
        <v>123</v>
      </c>
      <c r="S549" s="93" t="s">
        <v>659</v>
      </c>
      <c r="T549" s="93" t="s">
        <v>1659</v>
      </c>
      <c r="U549" s="93" t="s">
        <v>116</v>
      </c>
      <c r="V549" s="94">
        <v>44628.561805555553</v>
      </c>
      <c r="W549" s="93" t="s">
        <v>1170</v>
      </c>
      <c r="X549" s="93" t="s">
        <v>24</v>
      </c>
    </row>
    <row r="550" spans="1:24" hidden="1" x14ac:dyDescent="0.15">
      <c r="A550" s="93" t="s">
        <v>2066</v>
      </c>
      <c r="B550" s="93" t="s">
        <v>2067</v>
      </c>
      <c r="C550" s="410">
        <v>3675</v>
      </c>
      <c r="D550" s="93" t="s">
        <v>9</v>
      </c>
      <c r="E550" s="93" t="s">
        <v>9</v>
      </c>
      <c r="F550" s="93" t="s">
        <v>1648</v>
      </c>
      <c r="G550" s="93" t="s">
        <v>9117</v>
      </c>
      <c r="H550" s="93" t="s">
        <v>1690</v>
      </c>
      <c r="I550" s="93" t="s">
        <v>111</v>
      </c>
      <c r="J550" s="93" t="s">
        <v>2013</v>
      </c>
      <c r="K550" s="93">
        <v>50</v>
      </c>
      <c r="L550" s="93" t="s">
        <v>111</v>
      </c>
      <c r="M550" s="93">
        <v>6.3</v>
      </c>
      <c r="N550" s="93" t="s">
        <v>113</v>
      </c>
      <c r="O550" s="93">
        <v>18.5</v>
      </c>
      <c r="P550" s="93">
        <v>29.5</v>
      </c>
      <c r="Q550" s="93">
        <v>37.5</v>
      </c>
      <c r="R550" s="93" t="s">
        <v>123</v>
      </c>
      <c r="S550" s="93" t="s">
        <v>659</v>
      </c>
      <c r="T550" s="93" t="s">
        <v>1659</v>
      </c>
      <c r="U550" s="93" t="s">
        <v>116</v>
      </c>
      <c r="V550" s="94">
        <v>44628.518750000003</v>
      </c>
      <c r="W550" s="93" t="s">
        <v>1170</v>
      </c>
      <c r="X550" s="93" t="s">
        <v>24</v>
      </c>
    </row>
    <row r="551" spans="1:24" hidden="1" x14ac:dyDescent="0.15">
      <c r="A551" s="93" t="s">
        <v>2068</v>
      </c>
      <c r="B551" s="93" t="s">
        <v>2069</v>
      </c>
      <c r="C551" s="410">
        <v>3675</v>
      </c>
      <c r="D551" s="93" t="s">
        <v>9</v>
      </c>
      <c r="E551" s="93" t="s">
        <v>9</v>
      </c>
      <c r="F551" s="93" t="s">
        <v>1648</v>
      </c>
      <c r="G551" s="93" t="s">
        <v>9117</v>
      </c>
      <c r="H551" s="93" t="s">
        <v>1690</v>
      </c>
      <c r="I551" s="93" t="s">
        <v>111</v>
      </c>
      <c r="J551" s="93" t="s">
        <v>2013</v>
      </c>
      <c r="K551" s="93">
        <v>50</v>
      </c>
      <c r="L551" s="93" t="s">
        <v>111</v>
      </c>
      <c r="M551" s="93">
        <v>6.3</v>
      </c>
      <c r="N551" s="93" t="s">
        <v>113</v>
      </c>
      <c r="O551" s="93">
        <v>18.5</v>
      </c>
      <c r="P551" s="93">
        <v>29.5</v>
      </c>
      <c r="Q551" s="93">
        <v>37.5</v>
      </c>
      <c r="R551" s="93" t="s">
        <v>123</v>
      </c>
      <c r="S551" s="93" t="s">
        <v>659</v>
      </c>
      <c r="T551" s="93" t="s">
        <v>1659</v>
      </c>
      <c r="U551" s="93" t="s">
        <v>116</v>
      </c>
      <c r="V551" s="94">
        <v>44628.604861111111</v>
      </c>
      <c r="W551" s="93" t="s">
        <v>1170</v>
      </c>
      <c r="X551" s="93" t="s">
        <v>24</v>
      </c>
    </row>
    <row r="552" spans="1:24" hidden="1" x14ac:dyDescent="0.15">
      <c r="A552" s="93" t="s">
        <v>2070</v>
      </c>
      <c r="B552" s="93" t="s">
        <v>2071</v>
      </c>
      <c r="C552" s="410">
        <v>3675</v>
      </c>
      <c r="D552" s="93" t="s">
        <v>9</v>
      </c>
      <c r="E552" s="93" t="s">
        <v>9</v>
      </c>
      <c r="F552" s="93" t="s">
        <v>1648</v>
      </c>
      <c r="G552" s="93" t="s">
        <v>9117</v>
      </c>
      <c r="H552" s="93" t="s">
        <v>1690</v>
      </c>
      <c r="I552" s="93" t="s">
        <v>111</v>
      </c>
      <c r="J552" s="93" t="s">
        <v>2013</v>
      </c>
      <c r="K552" s="93">
        <v>50</v>
      </c>
      <c r="L552" s="93" t="s">
        <v>111</v>
      </c>
      <c r="M552" s="93">
        <v>6.3</v>
      </c>
      <c r="N552" s="93" t="s">
        <v>113</v>
      </c>
      <c r="O552" s="93">
        <v>18.5</v>
      </c>
      <c r="P552" s="93">
        <v>29.5</v>
      </c>
      <c r="Q552" s="93">
        <v>37.5</v>
      </c>
      <c r="R552" s="93" t="s">
        <v>123</v>
      </c>
      <c r="S552" s="93" t="s">
        <v>659</v>
      </c>
      <c r="T552" s="93" t="s">
        <v>1659</v>
      </c>
      <c r="U552" s="93" t="s">
        <v>116</v>
      </c>
      <c r="V552" s="94">
        <v>44628.604861111111</v>
      </c>
      <c r="W552" s="93" t="s">
        <v>1170</v>
      </c>
      <c r="X552" s="93" t="s">
        <v>24</v>
      </c>
    </row>
    <row r="553" spans="1:24" hidden="1" x14ac:dyDescent="0.15">
      <c r="A553" s="93" t="s">
        <v>2072</v>
      </c>
      <c r="B553" s="93" t="s">
        <v>2073</v>
      </c>
      <c r="C553" s="410">
        <v>3675</v>
      </c>
      <c r="D553" s="93" t="s">
        <v>9</v>
      </c>
      <c r="E553" s="93" t="s">
        <v>9</v>
      </c>
      <c r="F553" s="93" t="s">
        <v>1648</v>
      </c>
      <c r="G553" s="93" t="s">
        <v>9117</v>
      </c>
      <c r="H553" s="93" t="s">
        <v>1690</v>
      </c>
      <c r="I553" s="93" t="s">
        <v>111</v>
      </c>
      <c r="J553" s="93" t="s">
        <v>2013</v>
      </c>
      <c r="K553" s="93">
        <v>50</v>
      </c>
      <c r="L553" s="93" t="s">
        <v>111</v>
      </c>
      <c r="M553" s="93">
        <v>6.3</v>
      </c>
      <c r="N553" s="93" t="s">
        <v>113</v>
      </c>
      <c r="O553" s="93">
        <v>18.5</v>
      </c>
      <c r="P553" s="93">
        <v>29.5</v>
      </c>
      <c r="Q553" s="93">
        <v>37.5</v>
      </c>
      <c r="R553" s="93" t="s">
        <v>123</v>
      </c>
      <c r="S553" s="93" t="s">
        <v>659</v>
      </c>
      <c r="T553" s="93" t="s">
        <v>1659</v>
      </c>
      <c r="U553" s="93" t="s">
        <v>116</v>
      </c>
      <c r="V553" s="94">
        <v>44628.474999999999</v>
      </c>
      <c r="W553" s="93" t="s">
        <v>1170</v>
      </c>
      <c r="X553" s="93" t="s">
        <v>24</v>
      </c>
    </row>
    <row r="554" spans="1:24" hidden="1" x14ac:dyDescent="0.15">
      <c r="A554" s="93" t="s">
        <v>2074</v>
      </c>
      <c r="B554" s="93" t="s">
        <v>2075</v>
      </c>
      <c r="C554" s="410">
        <v>3675</v>
      </c>
      <c r="D554" s="93" t="s">
        <v>9</v>
      </c>
      <c r="E554" s="93" t="s">
        <v>9</v>
      </c>
      <c r="F554" s="93" t="s">
        <v>1648</v>
      </c>
      <c r="G554" s="93" t="s">
        <v>9117</v>
      </c>
      <c r="H554" s="93" t="s">
        <v>1690</v>
      </c>
      <c r="I554" s="93" t="s">
        <v>111</v>
      </c>
      <c r="J554" s="93" t="s">
        <v>2013</v>
      </c>
      <c r="K554" s="93">
        <v>50</v>
      </c>
      <c r="L554" s="93" t="s">
        <v>111</v>
      </c>
      <c r="M554" s="93">
        <v>6.3</v>
      </c>
      <c r="N554" s="93" t="s">
        <v>113</v>
      </c>
      <c r="O554" s="93">
        <v>18.5</v>
      </c>
      <c r="P554" s="93">
        <v>29.5</v>
      </c>
      <c r="Q554" s="93">
        <v>37.5</v>
      </c>
      <c r="R554" s="93" t="s">
        <v>123</v>
      </c>
      <c r="S554" s="93" t="s">
        <v>659</v>
      </c>
      <c r="T554" s="93" t="s">
        <v>1659</v>
      </c>
      <c r="U554" s="93" t="s">
        <v>116</v>
      </c>
      <c r="V554" s="94">
        <v>44628.583333333336</v>
      </c>
      <c r="W554" s="93" t="s">
        <v>1170</v>
      </c>
      <c r="X554" s="93" t="s">
        <v>24</v>
      </c>
    </row>
    <row r="555" spans="1:24" hidden="1" x14ac:dyDescent="0.15">
      <c r="A555" s="93" t="s">
        <v>2076</v>
      </c>
      <c r="B555" s="93" t="s">
        <v>2077</v>
      </c>
      <c r="C555" s="410">
        <v>3675</v>
      </c>
      <c r="D555" s="93" t="s">
        <v>9</v>
      </c>
      <c r="E555" s="93" t="s">
        <v>9</v>
      </c>
      <c r="F555" s="93" t="s">
        <v>1648</v>
      </c>
      <c r="G555" s="93" t="s">
        <v>9117</v>
      </c>
      <c r="H555" s="93" t="s">
        <v>1690</v>
      </c>
      <c r="I555" s="93" t="s">
        <v>111</v>
      </c>
      <c r="J555" s="93" t="s">
        <v>2013</v>
      </c>
      <c r="K555" s="93">
        <v>50</v>
      </c>
      <c r="L555" s="93" t="s">
        <v>111</v>
      </c>
      <c r="M555" s="93">
        <v>6.3</v>
      </c>
      <c r="N555" s="93" t="s">
        <v>113</v>
      </c>
      <c r="O555" s="93">
        <v>18.5</v>
      </c>
      <c r="P555" s="93">
        <v>29.5</v>
      </c>
      <c r="Q555" s="93">
        <v>37.5</v>
      </c>
      <c r="R555" s="93" t="s">
        <v>123</v>
      </c>
      <c r="S555" s="93" t="s">
        <v>659</v>
      </c>
      <c r="T555" s="93" t="s">
        <v>1659</v>
      </c>
      <c r="U555" s="93" t="s">
        <v>116</v>
      </c>
      <c r="V555" s="94">
        <v>44628.474999999999</v>
      </c>
      <c r="W555" s="93" t="s">
        <v>1170</v>
      </c>
      <c r="X555" s="93" t="s">
        <v>24</v>
      </c>
    </row>
    <row r="556" spans="1:24" hidden="1" x14ac:dyDescent="0.15">
      <c r="A556" s="93" t="s">
        <v>2078</v>
      </c>
      <c r="B556" s="93" t="s">
        <v>2079</v>
      </c>
      <c r="C556" s="410">
        <v>3675</v>
      </c>
      <c r="D556" s="93" t="s">
        <v>9</v>
      </c>
      <c r="E556" s="93" t="s">
        <v>9</v>
      </c>
      <c r="F556" s="93" t="s">
        <v>1648</v>
      </c>
      <c r="G556" s="93" t="s">
        <v>9117</v>
      </c>
      <c r="H556" s="93" t="s">
        <v>1690</v>
      </c>
      <c r="I556" s="93" t="s">
        <v>111</v>
      </c>
      <c r="J556" s="93" t="s">
        <v>2013</v>
      </c>
      <c r="K556" s="93">
        <v>50</v>
      </c>
      <c r="L556" s="93" t="s">
        <v>111</v>
      </c>
      <c r="M556" s="93">
        <v>6.3</v>
      </c>
      <c r="N556" s="93" t="s">
        <v>113</v>
      </c>
      <c r="O556" s="93">
        <v>18.5</v>
      </c>
      <c r="P556" s="93">
        <v>29.5</v>
      </c>
      <c r="Q556" s="93">
        <v>37.5</v>
      </c>
      <c r="R556" s="93" t="s">
        <v>123</v>
      </c>
      <c r="S556" s="93" t="s">
        <v>659</v>
      </c>
      <c r="T556" s="93" t="s">
        <v>1659</v>
      </c>
      <c r="U556" s="93" t="s">
        <v>116</v>
      </c>
      <c r="V556" s="94">
        <v>44628.518750000003</v>
      </c>
      <c r="W556" s="93" t="s">
        <v>1170</v>
      </c>
      <c r="X556" s="93" t="s">
        <v>24</v>
      </c>
    </row>
    <row r="557" spans="1:24" hidden="1" x14ac:dyDescent="0.15">
      <c r="A557" s="93" t="s">
        <v>2080</v>
      </c>
      <c r="B557" s="93" t="s">
        <v>2081</v>
      </c>
      <c r="C557" s="410">
        <v>3675</v>
      </c>
      <c r="D557" s="93" t="s">
        <v>9</v>
      </c>
      <c r="E557" s="93" t="s">
        <v>9</v>
      </c>
      <c r="F557" s="93" t="s">
        <v>1648</v>
      </c>
      <c r="G557" s="93" t="s">
        <v>9117</v>
      </c>
      <c r="H557" s="93" t="s">
        <v>1690</v>
      </c>
      <c r="I557" s="93" t="s">
        <v>111</v>
      </c>
      <c r="J557" s="93" t="s">
        <v>2013</v>
      </c>
      <c r="K557" s="93">
        <v>50</v>
      </c>
      <c r="L557" s="93" t="s">
        <v>111</v>
      </c>
      <c r="M557" s="93">
        <v>6.3</v>
      </c>
      <c r="N557" s="93" t="s">
        <v>113</v>
      </c>
      <c r="O557" s="93">
        <v>18.5</v>
      </c>
      <c r="P557" s="93">
        <v>29.5</v>
      </c>
      <c r="Q557" s="93">
        <v>37.5</v>
      </c>
      <c r="R557" s="93" t="s">
        <v>123</v>
      </c>
      <c r="S557" s="93" t="s">
        <v>659</v>
      </c>
      <c r="T557" s="93" t="s">
        <v>1659</v>
      </c>
      <c r="U557" s="93" t="s">
        <v>116</v>
      </c>
      <c r="V557" s="94">
        <v>44628.640277777777</v>
      </c>
      <c r="W557" s="93" t="s">
        <v>1170</v>
      </c>
      <c r="X557" s="93" t="s">
        <v>24</v>
      </c>
    </row>
    <row r="558" spans="1:24" hidden="1" x14ac:dyDescent="0.15">
      <c r="A558" s="93" t="s">
        <v>2082</v>
      </c>
      <c r="B558" s="93" t="s">
        <v>2083</v>
      </c>
      <c r="C558" s="410">
        <v>3675</v>
      </c>
      <c r="D558" s="93" t="s">
        <v>9</v>
      </c>
      <c r="E558" s="93" t="s">
        <v>9</v>
      </c>
      <c r="F558" s="93" t="s">
        <v>1648</v>
      </c>
      <c r="G558" s="93" t="s">
        <v>9117</v>
      </c>
      <c r="H558" s="93" t="s">
        <v>1690</v>
      </c>
      <c r="I558" s="93" t="s">
        <v>111</v>
      </c>
      <c r="J558" s="93" t="s">
        <v>2013</v>
      </c>
      <c r="K558" s="93">
        <v>50</v>
      </c>
      <c r="L558" s="93" t="s">
        <v>111</v>
      </c>
      <c r="M558" s="93">
        <v>6.3</v>
      </c>
      <c r="N558" s="93" t="s">
        <v>113</v>
      </c>
      <c r="O558" s="93">
        <v>18.5</v>
      </c>
      <c r="P558" s="93">
        <v>29.5</v>
      </c>
      <c r="Q558" s="93">
        <v>37.5</v>
      </c>
      <c r="R558" s="93" t="s">
        <v>123</v>
      </c>
      <c r="S558" s="93" t="s">
        <v>659</v>
      </c>
      <c r="T558" s="93" t="s">
        <v>1659</v>
      </c>
      <c r="U558" s="93" t="s">
        <v>116</v>
      </c>
      <c r="V558" s="94">
        <v>44628.474999999999</v>
      </c>
      <c r="W558" s="93" t="s">
        <v>1170</v>
      </c>
      <c r="X558" s="93" t="s">
        <v>24</v>
      </c>
    </row>
    <row r="559" spans="1:24" hidden="1" x14ac:dyDescent="0.15">
      <c r="A559" s="93" t="s">
        <v>2084</v>
      </c>
      <c r="B559" s="93" t="s">
        <v>2085</v>
      </c>
      <c r="C559" s="410">
        <v>4620</v>
      </c>
      <c r="D559" s="93" t="s">
        <v>9</v>
      </c>
      <c r="E559" s="93" t="s">
        <v>9</v>
      </c>
      <c r="F559" s="93" t="s">
        <v>1648</v>
      </c>
      <c r="G559" s="93" t="s">
        <v>9117</v>
      </c>
      <c r="H559" s="93" t="s">
        <v>1690</v>
      </c>
      <c r="I559" s="93" t="s">
        <v>111</v>
      </c>
      <c r="J559" s="93" t="s">
        <v>2086</v>
      </c>
      <c r="K559" s="93">
        <v>50</v>
      </c>
      <c r="L559" s="93" t="s">
        <v>111</v>
      </c>
      <c r="M559" s="93">
        <v>6.5</v>
      </c>
      <c r="N559" s="93" t="s">
        <v>113</v>
      </c>
      <c r="O559" s="93">
        <v>18.5</v>
      </c>
      <c r="P559" s="93">
        <v>29.5</v>
      </c>
      <c r="Q559" s="93">
        <v>37.5</v>
      </c>
      <c r="R559" s="93" t="s">
        <v>123</v>
      </c>
      <c r="S559" s="93" t="s">
        <v>659</v>
      </c>
      <c r="T559" s="93" t="s">
        <v>1659</v>
      </c>
      <c r="U559" s="93" t="s">
        <v>116</v>
      </c>
      <c r="V559" s="94">
        <v>44628.474999999999</v>
      </c>
      <c r="W559" s="93" t="s">
        <v>1170</v>
      </c>
      <c r="X559" s="93" t="s">
        <v>24</v>
      </c>
    </row>
    <row r="560" spans="1:24" hidden="1" x14ac:dyDescent="0.15">
      <c r="A560" s="93" t="s">
        <v>2087</v>
      </c>
      <c r="B560" s="93" t="s">
        <v>2088</v>
      </c>
      <c r="C560" s="410">
        <v>4620</v>
      </c>
      <c r="D560" s="93" t="s">
        <v>9</v>
      </c>
      <c r="E560" s="93" t="s">
        <v>9</v>
      </c>
      <c r="F560" s="93" t="s">
        <v>1648</v>
      </c>
      <c r="G560" s="93" t="s">
        <v>9117</v>
      </c>
      <c r="H560" s="93" t="s">
        <v>1690</v>
      </c>
      <c r="I560" s="93" t="s">
        <v>111</v>
      </c>
      <c r="J560" s="93" t="s">
        <v>2086</v>
      </c>
      <c r="K560" s="93">
        <v>50</v>
      </c>
      <c r="L560" s="93" t="s">
        <v>111</v>
      </c>
      <c r="M560" s="93">
        <v>6.5</v>
      </c>
      <c r="N560" s="93" t="s">
        <v>113</v>
      </c>
      <c r="O560" s="93">
        <v>18.5</v>
      </c>
      <c r="P560" s="93">
        <v>29.5</v>
      </c>
      <c r="Q560" s="93">
        <v>37.5</v>
      </c>
      <c r="R560" s="93" t="s">
        <v>123</v>
      </c>
      <c r="S560" s="93" t="s">
        <v>659</v>
      </c>
      <c r="T560" s="93" t="s">
        <v>1659</v>
      </c>
      <c r="U560" s="93" t="s">
        <v>116</v>
      </c>
      <c r="V560" s="94">
        <v>44628.583333333336</v>
      </c>
      <c r="W560" s="93" t="s">
        <v>1170</v>
      </c>
      <c r="X560" s="93" t="s">
        <v>24</v>
      </c>
    </row>
    <row r="561" spans="1:24" hidden="1" x14ac:dyDescent="0.15">
      <c r="A561" s="93" t="s">
        <v>2089</v>
      </c>
      <c r="B561" s="93" t="s">
        <v>2090</v>
      </c>
      <c r="C561" s="410">
        <v>4620</v>
      </c>
      <c r="D561" s="93" t="s">
        <v>9</v>
      </c>
      <c r="E561" s="93" t="s">
        <v>9</v>
      </c>
      <c r="F561" s="93" t="s">
        <v>1648</v>
      </c>
      <c r="G561" s="93" t="s">
        <v>9117</v>
      </c>
      <c r="H561" s="93" t="s">
        <v>1690</v>
      </c>
      <c r="I561" s="93" t="s">
        <v>111</v>
      </c>
      <c r="J561" s="93" t="s">
        <v>2086</v>
      </c>
      <c r="K561" s="93">
        <v>50</v>
      </c>
      <c r="L561" s="93" t="s">
        <v>111</v>
      </c>
      <c r="M561" s="93">
        <v>6.5</v>
      </c>
      <c r="N561" s="93" t="s">
        <v>113</v>
      </c>
      <c r="O561" s="93">
        <v>18.5</v>
      </c>
      <c r="P561" s="93">
        <v>29.5</v>
      </c>
      <c r="Q561" s="93">
        <v>37.5</v>
      </c>
      <c r="R561" s="93" t="s">
        <v>123</v>
      </c>
      <c r="S561" s="93" t="s">
        <v>659</v>
      </c>
      <c r="T561" s="93" t="s">
        <v>1659</v>
      </c>
      <c r="U561" s="93" t="s">
        <v>116</v>
      </c>
      <c r="V561" s="94">
        <v>44628.604861111111</v>
      </c>
      <c r="W561" s="93" t="s">
        <v>1170</v>
      </c>
      <c r="X561" s="93" t="s">
        <v>24</v>
      </c>
    </row>
    <row r="562" spans="1:24" hidden="1" x14ac:dyDescent="0.15">
      <c r="A562" s="93" t="s">
        <v>2091</v>
      </c>
      <c r="B562" s="93" t="s">
        <v>2092</v>
      </c>
      <c r="C562" s="410">
        <v>4620</v>
      </c>
      <c r="D562" s="93" t="s">
        <v>9</v>
      </c>
      <c r="E562" s="93" t="s">
        <v>9</v>
      </c>
      <c r="F562" s="93" t="s">
        <v>1648</v>
      </c>
      <c r="G562" s="93" t="s">
        <v>9117</v>
      </c>
      <c r="H562" s="93" t="s">
        <v>1690</v>
      </c>
      <c r="I562" s="93" t="s">
        <v>111</v>
      </c>
      <c r="J562" s="93" t="s">
        <v>2086</v>
      </c>
      <c r="K562" s="93">
        <v>50</v>
      </c>
      <c r="L562" s="93" t="s">
        <v>111</v>
      </c>
      <c r="M562" s="93">
        <v>6.5</v>
      </c>
      <c r="N562" s="93" t="s">
        <v>113</v>
      </c>
      <c r="O562" s="93">
        <v>18.5</v>
      </c>
      <c r="P562" s="93">
        <v>29.5</v>
      </c>
      <c r="Q562" s="93">
        <v>37.5</v>
      </c>
      <c r="R562" s="93" t="s">
        <v>123</v>
      </c>
      <c r="S562" s="93" t="s">
        <v>659</v>
      </c>
      <c r="T562" s="93" t="s">
        <v>1659</v>
      </c>
      <c r="U562" s="93" t="s">
        <v>116</v>
      </c>
      <c r="V562" s="94">
        <v>44628.640277777777</v>
      </c>
      <c r="W562" s="93" t="s">
        <v>1170</v>
      </c>
      <c r="X562" s="93" t="s">
        <v>24</v>
      </c>
    </row>
    <row r="563" spans="1:24" hidden="1" x14ac:dyDescent="0.15">
      <c r="A563" s="93" t="s">
        <v>2093</v>
      </c>
      <c r="B563" s="93" t="s">
        <v>2094</v>
      </c>
      <c r="C563" s="410">
        <v>4620</v>
      </c>
      <c r="D563" s="93" t="s">
        <v>9</v>
      </c>
      <c r="E563" s="93" t="s">
        <v>9</v>
      </c>
      <c r="F563" s="93" t="s">
        <v>1648</v>
      </c>
      <c r="G563" s="93" t="s">
        <v>9117</v>
      </c>
      <c r="H563" s="93" t="s">
        <v>1690</v>
      </c>
      <c r="I563" s="93" t="s">
        <v>111</v>
      </c>
      <c r="J563" s="93" t="s">
        <v>2086</v>
      </c>
      <c r="K563" s="93">
        <v>50</v>
      </c>
      <c r="L563" s="93" t="s">
        <v>111</v>
      </c>
      <c r="M563" s="93">
        <v>6.5</v>
      </c>
      <c r="N563" s="93" t="s">
        <v>113</v>
      </c>
      <c r="O563" s="93">
        <v>18.5</v>
      </c>
      <c r="P563" s="93">
        <v>29.5</v>
      </c>
      <c r="Q563" s="93">
        <v>37.5</v>
      </c>
      <c r="R563" s="93" t="s">
        <v>123</v>
      </c>
      <c r="S563" s="93" t="s">
        <v>659</v>
      </c>
      <c r="T563" s="93" t="s">
        <v>1659</v>
      </c>
      <c r="U563" s="93" t="s">
        <v>116</v>
      </c>
      <c r="V563" s="94">
        <v>44628.518750000003</v>
      </c>
      <c r="W563" s="93" t="s">
        <v>1170</v>
      </c>
      <c r="X563" s="93" t="s">
        <v>24</v>
      </c>
    </row>
    <row r="564" spans="1:24" hidden="1" x14ac:dyDescent="0.15">
      <c r="A564" s="93" t="s">
        <v>2095</v>
      </c>
      <c r="B564" s="93" t="s">
        <v>2096</v>
      </c>
      <c r="C564" s="410">
        <v>4620</v>
      </c>
      <c r="D564" s="93" t="s">
        <v>9</v>
      </c>
      <c r="E564" s="93" t="s">
        <v>9</v>
      </c>
      <c r="F564" s="93" t="s">
        <v>1648</v>
      </c>
      <c r="G564" s="93" t="s">
        <v>9117</v>
      </c>
      <c r="H564" s="93" t="s">
        <v>1690</v>
      </c>
      <c r="I564" s="93" t="s">
        <v>111</v>
      </c>
      <c r="J564" s="93" t="s">
        <v>2086</v>
      </c>
      <c r="K564" s="93">
        <v>50</v>
      </c>
      <c r="L564" s="93" t="s">
        <v>111</v>
      </c>
      <c r="M564" s="93">
        <v>6.5</v>
      </c>
      <c r="N564" s="93" t="s">
        <v>113</v>
      </c>
      <c r="O564" s="93">
        <v>18.5</v>
      </c>
      <c r="P564" s="93">
        <v>29.5</v>
      </c>
      <c r="Q564" s="93">
        <v>37.5</v>
      </c>
      <c r="R564" s="93" t="s">
        <v>123</v>
      </c>
      <c r="S564" s="93" t="s">
        <v>659</v>
      </c>
      <c r="T564" s="93" t="s">
        <v>1659</v>
      </c>
      <c r="U564" s="93" t="s">
        <v>116</v>
      </c>
      <c r="V564" s="94">
        <v>44628.474999999999</v>
      </c>
      <c r="W564" s="93" t="s">
        <v>1170</v>
      </c>
      <c r="X564" s="93" t="s">
        <v>24</v>
      </c>
    </row>
    <row r="565" spans="1:24" hidden="1" x14ac:dyDescent="0.15">
      <c r="A565" s="93" t="s">
        <v>2097</v>
      </c>
      <c r="B565" s="93" t="s">
        <v>2098</v>
      </c>
      <c r="C565" s="410">
        <v>4620</v>
      </c>
      <c r="D565" s="93" t="s">
        <v>9</v>
      </c>
      <c r="E565" s="93" t="s">
        <v>9</v>
      </c>
      <c r="F565" s="93" t="s">
        <v>1648</v>
      </c>
      <c r="G565" s="93" t="s">
        <v>9117</v>
      </c>
      <c r="H565" s="93" t="s">
        <v>1690</v>
      </c>
      <c r="I565" s="93" t="s">
        <v>111</v>
      </c>
      <c r="J565" s="93" t="s">
        <v>2086</v>
      </c>
      <c r="K565" s="93">
        <v>50</v>
      </c>
      <c r="L565" s="93" t="s">
        <v>111</v>
      </c>
      <c r="M565" s="93">
        <v>6.5</v>
      </c>
      <c r="N565" s="93" t="s">
        <v>113</v>
      </c>
      <c r="O565" s="93">
        <v>18.5</v>
      </c>
      <c r="P565" s="93">
        <v>29.5</v>
      </c>
      <c r="Q565" s="93">
        <v>37.5</v>
      </c>
      <c r="R565" s="93" t="s">
        <v>123</v>
      </c>
      <c r="S565" s="93" t="s">
        <v>659</v>
      </c>
      <c r="T565" s="93" t="s">
        <v>1659</v>
      </c>
      <c r="U565" s="93" t="s">
        <v>116</v>
      </c>
      <c r="V565" s="94">
        <v>44628.474999999999</v>
      </c>
      <c r="W565" s="93" t="s">
        <v>1170</v>
      </c>
      <c r="X565" s="93" t="s">
        <v>24</v>
      </c>
    </row>
    <row r="566" spans="1:24" hidden="1" x14ac:dyDescent="0.15">
      <c r="A566" s="93" t="s">
        <v>2099</v>
      </c>
      <c r="B566" s="93" t="s">
        <v>2100</v>
      </c>
      <c r="C566" s="410">
        <v>4620</v>
      </c>
      <c r="D566" s="93" t="s">
        <v>9</v>
      </c>
      <c r="E566" s="93" t="s">
        <v>9</v>
      </c>
      <c r="F566" s="93" t="s">
        <v>1648</v>
      </c>
      <c r="G566" s="93" t="s">
        <v>9117</v>
      </c>
      <c r="H566" s="93" t="s">
        <v>1690</v>
      </c>
      <c r="I566" s="93" t="s">
        <v>111</v>
      </c>
      <c r="J566" s="93" t="s">
        <v>2086</v>
      </c>
      <c r="K566" s="93">
        <v>50</v>
      </c>
      <c r="L566" s="93" t="s">
        <v>111</v>
      </c>
      <c r="M566" s="93">
        <v>6.5</v>
      </c>
      <c r="N566" s="93" t="s">
        <v>113</v>
      </c>
      <c r="O566" s="93">
        <v>18.5</v>
      </c>
      <c r="P566" s="93">
        <v>29.5</v>
      </c>
      <c r="Q566" s="93">
        <v>37.5</v>
      </c>
      <c r="R566" s="93" t="s">
        <v>123</v>
      </c>
      <c r="S566" s="93" t="s">
        <v>659</v>
      </c>
      <c r="T566" s="93" t="s">
        <v>1659</v>
      </c>
      <c r="U566" s="93" t="s">
        <v>116</v>
      </c>
      <c r="V566" s="94">
        <v>44628.583333333336</v>
      </c>
      <c r="W566" s="93" t="s">
        <v>1170</v>
      </c>
      <c r="X566" s="93" t="s">
        <v>24</v>
      </c>
    </row>
    <row r="567" spans="1:24" hidden="1" x14ac:dyDescent="0.15">
      <c r="A567" s="93" t="s">
        <v>2101</v>
      </c>
      <c r="B567" s="93" t="s">
        <v>2102</v>
      </c>
      <c r="C567" s="410">
        <v>4620</v>
      </c>
      <c r="D567" s="93" t="s">
        <v>9</v>
      </c>
      <c r="E567" s="93" t="s">
        <v>9</v>
      </c>
      <c r="F567" s="93" t="s">
        <v>1648</v>
      </c>
      <c r="G567" s="93" t="s">
        <v>9117</v>
      </c>
      <c r="H567" s="93" t="s">
        <v>1690</v>
      </c>
      <c r="I567" s="93" t="s">
        <v>111</v>
      </c>
      <c r="J567" s="93" t="s">
        <v>2086</v>
      </c>
      <c r="K567" s="93">
        <v>50</v>
      </c>
      <c r="L567" s="93" t="s">
        <v>111</v>
      </c>
      <c r="M567" s="93">
        <v>6.5</v>
      </c>
      <c r="N567" s="93" t="s">
        <v>113</v>
      </c>
      <c r="O567" s="93">
        <v>18.5</v>
      </c>
      <c r="P567" s="93">
        <v>29.5</v>
      </c>
      <c r="Q567" s="93">
        <v>37.5</v>
      </c>
      <c r="R567" s="93" t="s">
        <v>123</v>
      </c>
      <c r="S567" s="93" t="s">
        <v>659</v>
      </c>
      <c r="T567" s="93" t="s">
        <v>1659</v>
      </c>
      <c r="U567" s="93" t="s">
        <v>116</v>
      </c>
      <c r="V567" s="94">
        <v>44628.542361111111</v>
      </c>
      <c r="W567" s="93" t="s">
        <v>1170</v>
      </c>
      <c r="X567" s="93" t="s">
        <v>9</v>
      </c>
    </row>
    <row r="568" spans="1:24" hidden="1" x14ac:dyDescent="0.15">
      <c r="A568" s="93" t="s">
        <v>2103</v>
      </c>
      <c r="B568" s="93" t="s">
        <v>2104</v>
      </c>
      <c r="C568" s="410">
        <v>4620</v>
      </c>
      <c r="D568" s="93" t="s">
        <v>9</v>
      </c>
      <c r="E568" s="93" t="s">
        <v>9</v>
      </c>
      <c r="F568" s="93" t="s">
        <v>1648</v>
      </c>
      <c r="G568" s="93" t="s">
        <v>9117</v>
      </c>
      <c r="H568" s="93" t="s">
        <v>1690</v>
      </c>
      <c r="I568" s="93" t="s">
        <v>111</v>
      </c>
      <c r="J568" s="93" t="s">
        <v>2086</v>
      </c>
      <c r="K568" s="93">
        <v>50</v>
      </c>
      <c r="L568" s="93" t="s">
        <v>111</v>
      </c>
      <c r="M568" s="93">
        <v>6.5</v>
      </c>
      <c r="N568" s="93" t="s">
        <v>113</v>
      </c>
      <c r="O568" s="93">
        <v>18.5</v>
      </c>
      <c r="P568" s="93">
        <v>29.5</v>
      </c>
      <c r="Q568" s="93">
        <v>37.5</v>
      </c>
      <c r="R568" s="93" t="s">
        <v>123</v>
      </c>
      <c r="S568" s="93" t="s">
        <v>659</v>
      </c>
      <c r="T568" s="93" t="s">
        <v>1659</v>
      </c>
      <c r="U568" s="93" t="s">
        <v>116</v>
      </c>
      <c r="V568" s="94">
        <v>44628.563194444447</v>
      </c>
      <c r="W568" s="93" t="s">
        <v>1170</v>
      </c>
      <c r="X568" s="93" t="s">
        <v>9</v>
      </c>
    </row>
    <row r="569" spans="1:24" hidden="1" x14ac:dyDescent="0.15">
      <c r="A569" s="93" t="s">
        <v>2105</v>
      </c>
      <c r="B569" s="93" t="s">
        <v>2106</v>
      </c>
      <c r="C569" s="410">
        <v>4620</v>
      </c>
      <c r="D569" s="93" t="s">
        <v>9</v>
      </c>
      <c r="E569" s="93" t="s">
        <v>9</v>
      </c>
      <c r="F569" s="93" t="s">
        <v>1648</v>
      </c>
      <c r="G569" s="93" t="s">
        <v>9117</v>
      </c>
      <c r="H569" s="93" t="s">
        <v>1690</v>
      </c>
      <c r="I569" s="93" t="s">
        <v>111</v>
      </c>
      <c r="J569" s="93" t="s">
        <v>2086</v>
      </c>
      <c r="K569" s="93">
        <v>50</v>
      </c>
      <c r="L569" s="93" t="s">
        <v>111</v>
      </c>
      <c r="M569" s="93">
        <v>6.5</v>
      </c>
      <c r="N569" s="93" t="s">
        <v>113</v>
      </c>
      <c r="O569" s="93">
        <v>18.5</v>
      </c>
      <c r="P569" s="93">
        <v>29.5</v>
      </c>
      <c r="Q569" s="93">
        <v>37.5</v>
      </c>
      <c r="R569" s="93" t="s">
        <v>123</v>
      </c>
      <c r="S569" s="93" t="s">
        <v>659</v>
      </c>
      <c r="T569" s="93" t="s">
        <v>1659</v>
      </c>
      <c r="U569" s="93" t="s">
        <v>116</v>
      </c>
      <c r="V569" s="94">
        <v>44628.477083333331</v>
      </c>
      <c r="W569" s="93" t="s">
        <v>1170</v>
      </c>
      <c r="X569" s="93" t="s">
        <v>24</v>
      </c>
    </row>
    <row r="570" spans="1:24" hidden="1" x14ac:dyDescent="0.15">
      <c r="A570" s="93" t="s">
        <v>2107</v>
      </c>
      <c r="B570" s="93" t="s">
        <v>2108</v>
      </c>
      <c r="C570" s="410">
        <v>4620</v>
      </c>
      <c r="D570" s="93" t="s">
        <v>9</v>
      </c>
      <c r="E570" s="93" t="s">
        <v>9</v>
      </c>
      <c r="F570" s="93" t="s">
        <v>1648</v>
      </c>
      <c r="G570" s="93" t="s">
        <v>9117</v>
      </c>
      <c r="H570" s="93" t="s">
        <v>1690</v>
      </c>
      <c r="I570" s="93" t="s">
        <v>111</v>
      </c>
      <c r="J570" s="93" t="s">
        <v>2086</v>
      </c>
      <c r="K570" s="93">
        <v>50</v>
      </c>
      <c r="L570" s="93" t="s">
        <v>111</v>
      </c>
      <c r="M570" s="93">
        <v>6.5</v>
      </c>
      <c r="N570" s="93" t="s">
        <v>113</v>
      </c>
      <c r="O570" s="93">
        <v>18.5</v>
      </c>
      <c r="P570" s="93">
        <v>29.5</v>
      </c>
      <c r="Q570" s="93">
        <v>37.5</v>
      </c>
      <c r="R570" s="93" t="s">
        <v>123</v>
      </c>
      <c r="S570" s="93" t="s">
        <v>659</v>
      </c>
      <c r="T570" s="93" t="s">
        <v>1659</v>
      </c>
      <c r="U570" s="93" t="s">
        <v>116</v>
      </c>
      <c r="V570" s="94">
        <v>44628.520138888889</v>
      </c>
      <c r="W570" s="93" t="s">
        <v>1170</v>
      </c>
      <c r="X570" s="93" t="s">
        <v>24</v>
      </c>
    </row>
    <row r="571" spans="1:24" hidden="1" x14ac:dyDescent="0.15">
      <c r="A571" s="93" t="s">
        <v>2109</v>
      </c>
      <c r="B571" s="93" t="s">
        <v>2110</v>
      </c>
      <c r="C571" s="410">
        <v>4620</v>
      </c>
      <c r="D571" s="93" t="s">
        <v>9</v>
      </c>
      <c r="E571" s="93" t="s">
        <v>9</v>
      </c>
      <c r="F571" s="93" t="s">
        <v>1648</v>
      </c>
      <c r="G571" s="93" t="s">
        <v>9117</v>
      </c>
      <c r="H571" s="93" t="s">
        <v>1690</v>
      </c>
      <c r="I571" s="93" t="s">
        <v>111</v>
      </c>
      <c r="J571" s="93" t="s">
        <v>2086</v>
      </c>
      <c r="K571" s="93">
        <v>50</v>
      </c>
      <c r="L571" s="93" t="s">
        <v>111</v>
      </c>
      <c r="M571" s="93">
        <v>6.5</v>
      </c>
      <c r="N571" s="93" t="s">
        <v>113</v>
      </c>
      <c r="O571" s="93">
        <v>18.5</v>
      </c>
      <c r="P571" s="93">
        <v>29.5</v>
      </c>
      <c r="Q571" s="93">
        <v>37.5</v>
      </c>
      <c r="R571" s="93" t="s">
        <v>123</v>
      </c>
      <c r="S571" s="93" t="s">
        <v>659</v>
      </c>
      <c r="T571" s="93" t="s">
        <v>1659</v>
      </c>
      <c r="U571" s="93" t="s">
        <v>116</v>
      </c>
      <c r="V571" s="94">
        <v>44628.520138888889</v>
      </c>
      <c r="W571" s="93" t="s">
        <v>1170</v>
      </c>
      <c r="X571" s="93" t="s">
        <v>9</v>
      </c>
    </row>
    <row r="572" spans="1:24" hidden="1" x14ac:dyDescent="0.15">
      <c r="A572" s="93" t="s">
        <v>2111</v>
      </c>
      <c r="B572" s="93" t="s">
        <v>2112</v>
      </c>
      <c r="C572" s="410">
        <v>4620</v>
      </c>
      <c r="D572" s="93" t="s">
        <v>9</v>
      </c>
      <c r="E572" s="93" t="s">
        <v>9</v>
      </c>
      <c r="F572" s="93" t="s">
        <v>1648</v>
      </c>
      <c r="G572" s="93" t="s">
        <v>9117</v>
      </c>
      <c r="H572" s="93" t="s">
        <v>1690</v>
      </c>
      <c r="I572" s="93" t="s">
        <v>111</v>
      </c>
      <c r="J572" s="93" t="s">
        <v>2086</v>
      </c>
      <c r="K572" s="93">
        <v>50</v>
      </c>
      <c r="L572" s="93" t="s">
        <v>111</v>
      </c>
      <c r="M572" s="93">
        <v>6.5</v>
      </c>
      <c r="N572" s="93" t="s">
        <v>113</v>
      </c>
      <c r="O572" s="93">
        <v>18.5</v>
      </c>
      <c r="P572" s="93">
        <v>29.5</v>
      </c>
      <c r="Q572" s="93">
        <v>37.5</v>
      </c>
      <c r="R572" s="93" t="s">
        <v>123</v>
      </c>
      <c r="S572" s="93" t="s">
        <v>659</v>
      </c>
      <c r="T572" s="93" t="s">
        <v>1659</v>
      </c>
      <c r="U572" s="93" t="s">
        <v>116</v>
      </c>
      <c r="V572" s="94">
        <v>44628.477083333331</v>
      </c>
      <c r="W572" s="93" t="s">
        <v>1170</v>
      </c>
      <c r="X572" s="93" t="s">
        <v>9</v>
      </c>
    </row>
    <row r="573" spans="1:24" hidden="1" x14ac:dyDescent="0.15">
      <c r="A573" s="93" t="s">
        <v>2113</v>
      </c>
      <c r="B573" s="93" t="s">
        <v>2114</v>
      </c>
      <c r="C573" s="410">
        <v>4620</v>
      </c>
      <c r="D573" s="93" t="s">
        <v>9</v>
      </c>
      <c r="E573" s="93" t="s">
        <v>9</v>
      </c>
      <c r="F573" s="93" t="s">
        <v>1648</v>
      </c>
      <c r="G573" s="93" t="s">
        <v>9117</v>
      </c>
      <c r="H573" s="93" t="s">
        <v>1690</v>
      </c>
      <c r="I573" s="93" t="s">
        <v>111</v>
      </c>
      <c r="J573" s="93" t="s">
        <v>2086</v>
      </c>
      <c r="K573" s="93">
        <v>50</v>
      </c>
      <c r="L573" s="93" t="s">
        <v>111</v>
      </c>
      <c r="M573" s="93">
        <v>6.5</v>
      </c>
      <c r="N573" s="93" t="s">
        <v>113</v>
      </c>
      <c r="O573" s="93">
        <v>18.5</v>
      </c>
      <c r="P573" s="93">
        <v>29.5</v>
      </c>
      <c r="Q573" s="93">
        <v>37.5</v>
      </c>
      <c r="R573" s="93" t="s">
        <v>123</v>
      </c>
      <c r="S573" s="93" t="s">
        <v>659</v>
      </c>
      <c r="T573" s="93" t="s">
        <v>1659</v>
      </c>
      <c r="U573" s="93" t="s">
        <v>116</v>
      </c>
      <c r="V573" s="94">
        <v>44628.561805555553</v>
      </c>
      <c r="W573" s="93" t="s">
        <v>1170</v>
      </c>
      <c r="X573" s="93" t="s">
        <v>24</v>
      </c>
    </row>
    <row r="574" spans="1:24" hidden="1" x14ac:dyDescent="0.15">
      <c r="A574" s="93" t="s">
        <v>2115</v>
      </c>
      <c r="B574" s="93" t="s">
        <v>2116</v>
      </c>
      <c r="C574" s="410">
        <v>4620</v>
      </c>
      <c r="D574" s="93" t="s">
        <v>9</v>
      </c>
      <c r="E574" s="93" t="s">
        <v>9</v>
      </c>
      <c r="F574" s="93" t="s">
        <v>1648</v>
      </c>
      <c r="G574" s="93" t="s">
        <v>9117</v>
      </c>
      <c r="H574" s="93" t="s">
        <v>1690</v>
      </c>
      <c r="I574" s="93" t="s">
        <v>111</v>
      </c>
      <c r="J574" s="93" t="s">
        <v>2086</v>
      </c>
      <c r="K574" s="93">
        <v>50</v>
      </c>
      <c r="L574" s="93" t="s">
        <v>111</v>
      </c>
      <c r="M574" s="93">
        <v>6.5</v>
      </c>
      <c r="N574" s="93" t="s">
        <v>113</v>
      </c>
      <c r="O574" s="93">
        <v>18.5</v>
      </c>
      <c r="P574" s="93">
        <v>29.5</v>
      </c>
      <c r="Q574" s="93">
        <v>37.5</v>
      </c>
      <c r="R574" s="93" t="s">
        <v>123</v>
      </c>
      <c r="S574" s="93" t="s">
        <v>659</v>
      </c>
      <c r="T574" s="93" t="s">
        <v>1659</v>
      </c>
      <c r="U574" s="93" t="s">
        <v>116</v>
      </c>
      <c r="V574" s="94">
        <v>44628.583333333336</v>
      </c>
      <c r="W574" s="93" t="s">
        <v>1170</v>
      </c>
      <c r="X574" s="93" t="s">
        <v>24</v>
      </c>
    </row>
    <row r="575" spans="1:24" hidden="1" x14ac:dyDescent="0.15">
      <c r="A575" s="93" t="s">
        <v>2117</v>
      </c>
      <c r="B575" s="93" t="s">
        <v>2118</v>
      </c>
      <c r="C575" s="410">
        <v>4620</v>
      </c>
      <c r="D575" s="93" t="s">
        <v>9</v>
      </c>
      <c r="E575" s="93" t="s">
        <v>9</v>
      </c>
      <c r="F575" s="93" t="s">
        <v>1648</v>
      </c>
      <c r="G575" s="93" t="s">
        <v>9117</v>
      </c>
      <c r="H575" s="93" t="s">
        <v>1690</v>
      </c>
      <c r="I575" s="93" t="s">
        <v>111</v>
      </c>
      <c r="J575" s="93" t="s">
        <v>2086</v>
      </c>
      <c r="K575" s="93">
        <v>50</v>
      </c>
      <c r="L575" s="93" t="s">
        <v>111</v>
      </c>
      <c r="M575" s="93">
        <v>6.5</v>
      </c>
      <c r="N575" s="93" t="s">
        <v>113</v>
      </c>
      <c r="O575" s="93">
        <v>18.5</v>
      </c>
      <c r="P575" s="93">
        <v>29.5</v>
      </c>
      <c r="Q575" s="93">
        <v>37.5</v>
      </c>
      <c r="R575" s="93" t="s">
        <v>123</v>
      </c>
      <c r="S575" s="93" t="s">
        <v>659</v>
      </c>
      <c r="T575" s="93" t="s">
        <v>1659</v>
      </c>
      <c r="U575" s="93" t="s">
        <v>116</v>
      </c>
      <c r="V575" s="94">
        <v>44628.561805555553</v>
      </c>
      <c r="W575" s="93" t="s">
        <v>1170</v>
      </c>
      <c r="X575" s="93" t="s">
        <v>24</v>
      </c>
    </row>
    <row r="576" spans="1:24" hidden="1" x14ac:dyDescent="0.15">
      <c r="A576" s="93" t="s">
        <v>2119</v>
      </c>
      <c r="B576" s="93" t="s">
        <v>2120</v>
      </c>
      <c r="C576" s="410">
        <v>4620</v>
      </c>
      <c r="D576" s="93" t="s">
        <v>9</v>
      </c>
      <c r="E576" s="93" t="s">
        <v>9</v>
      </c>
      <c r="F576" s="93" t="s">
        <v>1648</v>
      </c>
      <c r="G576" s="93" t="s">
        <v>9117</v>
      </c>
      <c r="H576" s="93" t="s">
        <v>1690</v>
      </c>
      <c r="I576" s="93" t="s">
        <v>111</v>
      </c>
      <c r="J576" s="93" t="s">
        <v>2086</v>
      </c>
      <c r="K576" s="93">
        <v>50</v>
      </c>
      <c r="L576" s="93" t="s">
        <v>111</v>
      </c>
      <c r="M576" s="93">
        <v>6.5</v>
      </c>
      <c r="N576" s="93" t="s">
        <v>113</v>
      </c>
      <c r="O576" s="93">
        <v>18.5</v>
      </c>
      <c r="P576" s="93">
        <v>29.5</v>
      </c>
      <c r="Q576" s="93">
        <v>37.5</v>
      </c>
      <c r="R576" s="93" t="s">
        <v>123</v>
      </c>
      <c r="S576" s="93" t="s">
        <v>659</v>
      </c>
      <c r="T576" s="93" t="s">
        <v>1659</v>
      </c>
      <c r="U576" s="93" t="s">
        <v>116</v>
      </c>
      <c r="V576" s="94">
        <v>44628.604861111111</v>
      </c>
      <c r="W576" s="93" t="s">
        <v>1170</v>
      </c>
      <c r="X576" s="93" t="s">
        <v>24</v>
      </c>
    </row>
    <row r="577" spans="1:24" hidden="1" x14ac:dyDescent="0.15">
      <c r="A577" s="93" t="s">
        <v>2121</v>
      </c>
      <c r="B577" s="93" t="s">
        <v>2122</v>
      </c>
      <c r="C577" s="410">
        <v>4620</v>
      </c>
      <c r="D577" s="93" t="s">
        <v>9</v>
      </c>
      <c r="E577" s="93" t="s">
        <v>9</v>
      </c>
      <c r="F577" s="93" t="s">
        <v>1648</v>
      </c>
      <c r="G577" s="93" t="s">
        <v>9117</v>
      </c>
      <c r="H577" s="93" t="s">
        <v>1690</v>
      </c>
      <c r="I577" s="93" t="s">
        <v>111</v>
      </c>
      <c r="J577" s="93" t="s">
        <v>2086</v>
      </c>
      <c r="K577" s="93">
        <v>50</v>
      </c>
      <c r="L577" s="93" t="s">
        <v>111</v>
      </c>
      <c r="M577" s="93">
        <v>6.5</v>
      </c>
      <c r="N577" s="93" t="s">
        <v>113</v>
      </c>
      <c r="O577" s="93">
        <v>18.5</v>
      </c>
      <c r="P577" s="93">
        <v>29.5</v>
      </c>
      <c r="Q577" s="93">
        <v>37.5</v>
      </c>
      <c r="R577" s="93" t="s">
        <v>123</v>
      </c>
      <c r="S577" s="93" t="s">
        <v>659</v>
      </c>
      <c r="T577" s="93" t="s">
        <v>1659</v>
      </c>
      <c r="U577" s="93" t="s">
        <v>116</v>
      </c>
      <c r="V577" s="94">
        <v>44628.640277777777</v>
      </c>
      <c r="W577" s="93" t="s">
        <v>1170</v>
      </c>
      <c r="X577" s="93" t="s">
        <v>24</v>
      </c>
    </row>
    <row r="578" spans="1:24" hidden="1" x14ac:dyDescent="0.15">
      <c r="A578" s="93" t="s">
        <v>2123</v>
      </c>
      <c r="B578" s="93" t="s">
        <v>2124</v>
      </c>
      <c r="C578" s="410">
        <v>4620</v>
      </c>
      <c r="D578" s="93" t="s">
        <v>9</v>
      </c>
      <c r="E578" s="93" t="s">
        <v>9</v>
      </c>
      <c r="F578" s="93" t="s">
        <v>1648</v>
      </c>
      <c r="G578" s="93" t="s">
        <v>9117</v>
      </c>
      <c r="H578" s="93" t="s">
        <v>1690</v>
      </c>
      <c r="I578" s="93" t="s">
        <v>111</v>
      </c>
      <c r="J578" s="93" t="s">
        <v>2086</v>
      </c>
      <c r="K578" s="93">
        <v>50</v>
      </c>
      <c r="L578" s="93" t="s">
        <v>111</v>
      </c>
      <c r="M578" s="93">
        <v>6.5</v>
      </c>
      <c r="N578" s="93" t="s">
        <v>113</v>
      </c>
      <c r="O578" s="93">
        <v>18.5</v>
      </c>
      <c r="P578" s="93">
        <v>29.5</v>
      </c>
      <c r="Q578" s="93">
        <v>37.5</v>
      </c>
      <c r="R578" s="93" t="s">
        <v>123</v>
      </c>
      <c r="S578" s="93" t="s">
        <v>659</v>
      </c>
      <c r="T578" s="93" t="s">
        <v>1659</v>
      </c>
      <c r="U578" s="93" t="s">
        <v>116</v>
      </c>
      <c r="V578" s="94">
        <v>44628.518055555556</v>
      </c>
      <c r="W578" s="93" t="s">
        <v>1170</v>
      </c>
      <c r="X578" s="93" t="s">
        <v>24</v>
      </c>
    </row>
    <row r="579" spans="1:24" hidden="1" x14ac:dyDescent="0.15">
      <c r="A579" s="93" t="s">
        <v>2125</v>
      </c>
      <c r="B579" s="93" t="s">
        <v>2126</v>
      </c>
      <c r="C579" s="410">
        <v>4620</v>
      </c>
      <c r="D579" s="93" t="s">
        <v>9</v>
      </c>
      <c r="E579" s="93" t="s">
        <v>9</v>
      </c>
      <c r="F579" s="93" t="s">
        <v>1648</v>
      </c>
      <c r="G579" s="93" t="s">
        <v>9117</v>
      </c>
      <c r="H579" s="93" t="s">
        <v>1690</v>
      </c>
      <c r="I579" s="93" t="s">
        <v>111</v>
      </c>
      <c r="J579" s="93" t="s">
        <v>2086</v>
      </c>
      <c r="K579" s="93">
        <v>50</v>
      </c>
      <c r="L579" s="93" t="s">
        <v>111</v>
      </c>
      <c r="M579" s="93">
        <v>6.5</v>
      </c>
      <c r="N579" s="93" t="s">
        <v>113</v>
      </c>
      <c r="O579" s="93">
        <v>18.5</v>
      </c>
      <c r="P579" s="93">
        <v>29.5</v>
      </c>
      <c r="Q579" s="93">
        <v>37.5</v>
      </c>
      <c r="R579" s="93" t="s">
        <v>123</v>
      </c>
      <c r="S579" s="93" t="s">
        <v>659</v>
      </c>
      <c r="T579" s="93" t="s">
        <v>1659</v>
      </c>
      <c r="U579" s="93" t="s">
        <v>116</v>
      </c>
      <c r="V579" s="94">
        <v>44628.518055555556</v>
      </c>
      <c r="W579" s="93" t="s">
        <v>1170</v>
      </c>
      <c r="X579" s="93" t="s">
        <v>24</v>
      </c>
    </row>
    <row r="580" spans="1:24" hidden="1" x14ac:dyDescent="0.15">
      <c r="A580" s="93" t="s">
        <v>2127</v>
      </c>
      <c r="B580" s="93" t="s">
        <v>2128</v>
      </c>
      <c r="C580" s="410">
        <v>4620</v>
      </c>
      <c r="D580" s="93" t="s">
        <v>9</v>
      </c>
      <c r="E580" s="93" t="s">
        <v>9</v>
      </c>
      <c r="F580" s="93" t="s">
        <v>1648</v>
      </c>
      <c r="G580" s="93" t="s">
        <v>9117</v>
      </c>
      <c r="H580" s="93" t="s">
        <v>1690</v>
      </c>
      <c r="I580" s="93" t="s">
        <v>111</v>
      </c>
      <c r="J580" s="93" t="s">
        <v>2086</v>
      </c>
      <c r="K580" s="93">
        <v>50</v>
      </c>
      <c r="L580" s="93" t="s">
        <v>111</v>
      </c>
      <c r="M580" s="93">
        <v>6.5</v>
      </c>
      <c r="N580" s="93" t="s">
        <v>113</v>
      </c>
      <c r="O580" s="93">
        <v>18.5</v>
      </c>
      <c r="P580" s="93">
        <v>29.5</v>
      </c>
      <c r="Q580" s="93">
        <v>37.5</v>
      </c>
      <c r="R580" s="93" t="s">
        <v>123</v>
      </c>
      <c r="S580" s="93" t="s">
        <v>659</v>
      </c>
      <c r="T580" s="93" t="s">
        <v>1659</v>
      </c>
      <c r="U580" s="93" t="s">
        <v>116</v>
      </c>
      <c r="V580" s="94">
        <v>44628.640277777777</v>
      </c>
      <c r="W580" s="93" t="s">
        <v>1170</v>
      </c>
      <c r="X580" s="93" t="s">
        <v>24</v>
      </c>
    </row>
    <row r="581" spans="1:24" hidden="1" x14ac:dyDescent="0.15">
      <c r="A581" s="93" t="s">
        <v>2129</v>
      </c>
      <c r="B581" s="93" t="s">
        <v>2130</v>
      </c>
      <c r="C581" s="410">
        <v>4620</v>
      </c>
      <c r="D581" s="93" t="s">
        <v>9</v>
      </c>
      <c r="E581" s="93" t="s">
        <v>9</v>
      </c>
      <c r="F581" s="93" t="s">
        <v>1648</v>
      </c>
      <c r="G581" s="93" t="s">
        <v>9117</v>
      </c>
      <c r="H581" s="93" t="s">
        <v>1690</v>
      </c>
      <c r="I581" s="93" t="s">
        <v>111</v>
      </c>
      <c r="J581" s="93" t="s">
        <v>2086</v>
      </c>
      <c r="K581" s="93">
        <v>50</v>
      </c>
      <c r="L581" s="93" t="s">
        <v>111</v>
      </c>
      <c r="M581" s="93">
        <v>6.5</v>
      </c>
      <c r="N581" s="93" t="s">
        <v>113</v>
      </c>
      <c r="O581" s="93">
        <v>18.5</v>
      </c>
      <c r="P581" s="93">
        <v>29.5</v>
      </c>
      <c r="Q581" s="93">
        <v>37.5</v>
      </c>
      <c r="R581" s="93" t="s">
        <v>123</v>
      </c>
      <c r="S581" s="93" t="s">
        <v>659</v>
      </c>
      <c r="T581" s="93" t="s">
        <v>1659</v>
      </c>
      <c r="U581" s="93" t="s">
        <v>116</v>
      </c>
      <c r="V581" s="94">
        <v>44628.640277777777</v>
      </c>
      <c r="W581" s="93" t="s">
        <v>1170</v>
      </c>
      <c r="X581" s="93" t="s">
        <v>24</v>
      </c>
    </row>
    <row r="582" spans="1:24" hidden="1" x14ac:dyDescent="0.15">
      <c r="A582" s="93" t="s">
        <v>2131</v>
      </c>
      <c r="B582" s="93" t="s">
        <v>2132</v>
      </c>
      <c r="C582" s="410">
        <v>4620</v>
      </c>
      <c r="D582" s="93" t="s">
        <v>9</v>
      </c>
      <c r="E582" s="93" t="s">
        <v>9</v>
      </c>
      <c r="F582" s="93" t="s">
        <v>1648</v>
      </c>
      <c r="G582" s="93" t="s">
        <v>9117</v>
      </c>
      <c r="H582" s="93" t="s">
        <v>1690</v>
      </c>
      <c r="I582" s="93" t="s">
        <v>111</v>
      </c>
      <c r="J582" s="93" t="s">
        <v>2086</v>
      </c>
      <c r="K582" s="93">
        <v>50</v>
      </c>
      <c r="L582" s="93" t="s">
        <v>111</v>
      </c>
      <c r="M582" s="93">
        <v>6.5</v>
      </c>
      <c r="N582" s="93" t="s">
        <v>113</v>
      </c>
      <c r="O582" s="93">
        <v>18.5</v>
      </c>
      <c r="P582" s="93">
        <v>29.5</v>
      </c>
      <c r="Q582" s="93">
        <v>37.5</v>
      </c>
      <c r="R582" s="93" t="s">
        <v>123</v>
      </c>
      <c r="S582" s="93" t="s">
        <v>659</v>
      </c>
      <c r="T582" s="93" t="s">
        <v>1659</v>
      </c>
      <c r="U582" s="93" t="s">
        <v>116</v>
      </c>
      <c r="V582" s="94">
        <v>44628.640277777777</v>
      </c>
      <c r="W582" s="93" t="s">
        <v>1170</v>
      </c>
      <c r="X582" s="93" t="s">
        <v>24</v>
      </c>
    </row>
    <row r="583" spans="1:24" hidden="1" x14ac:dyDescent="0.15">
      <c r="A583" s="93" t="s">
        <v>2133</v>
      </c>
      <c r="B583" s="93" t="s">
        <v>2134</v>
      </c>
      <c r="C583" s="410">
        <v>4620</v>
      </c>
      <c r="D583" s="93" t="s">
        <v>9</v>
      </c>
      <c r="E583" s="93" t="s">
        <v>9</v>
      </c>
      <c r="F583" s="93" t="s">
        <v>1648</v>
      </c>
      <c r="G583" s="93" t="s">
        <v>9117</v>
      </c>
      <c r="H583" s="93" t="s">
        <v>1690</v>
      </c>
      <c r="I583" s="93" t="s">
        <v>111</v>
      </c>
      <c r="J583" s="93" t="s">
        <v>2086</v>
      </c>
      <c r="K583" s="93">
        <v>50</v>
      </c>
      <c r="L583" s="93" t="s">
        <v>111</v>
      </c>
      <c r="M583" s="93">
        <v>6.5</v>
      </c>
      <c r="N583" s="93" t="s">
        <v>113</v>
      </c>
      <c r="O583" s="93">
        <v>18.5</v>
      </c>
      <c r="P583" s="93">
        <v>29.5</v>
      </c>
      <c r="Q583" s="93">
        <v>37.5</v>
      </c>
      <c r="R583" s="93" t="s">
        <v>123</v>
      </c>
      <c r="S583" s="93" t="s">
        <v>659</v>
      </c>
      <c r="T583" s="93" t="s">
        <v>1659</v>
      </c>
      <c r="U583" s="93" t="s">
        <v>116</v>
      </c>
      <c r="V583" s="94">
        <v>44628.518055555556</v>
      </c>
      <c r="W583" s="93" t="s">
        <v>1170</v>
      </c>
      <c r="X583" s="93" t="s">
        <v>24</v>
      </c>
    </row>
    <row r="584" spans="1:24" hidden="1" x14ac:dyDescent="0.15">
      <c r="A584" s="93" t="s">
        <v>2135</v>
      </c>
      <c r="B584" s="93" t="s">
        <v>2136</v>
      </c>
      <c r="C584" s="410">
        <v>4620</v>
      </c>
      <c r="D584" s="93" t="s">
        <v>9</v>
      </c>
      <c r="E584" s="93" t="s">
        <v>9</v>
      </c>
      <c r="F584" s="93" t="s">
        <v>1648</v>
      </c>
      <c r="G584" s="93" t="s">
        <v>9117</v>
      </c>
      <c r="H584" s="93" t="s">
        <v>1690</v>
      </c>
      <c r="I584" s="93" t="s">
        <v>111</v>
      </c>
      <c r="J584" s="93" t="s">
        <v>2086</v>
      </c>
      <c r="K584" s="93">
        <v>50</v>
      </c>
      <c r="L584" s="93" t="s">
        <v>111</v>
      </c>
      <c r="M584" s="93">
        <v>6.5</v>
      </c>
      <c r="N584" s="93" t="s">
        <v>113</v>
      </c>
      <c r="O584" s="93">
        <v>18.5</v>
      </c>
      <c r="P584" s="93">
        <v>29.5</v>
      </c>
      <c r="Q584" s="93">
        <v>37.5</v>
      </c>
      <c r="R584" s="93" t="s">
        <v>123</v>
      </c>
      <c r="S584" s="93" t="s">
        <v>659</v>
      </c>
      <c r="T584" s="93" t="s">
        <v>1659</v>
      </c>
      <c r="U584" s="93" t="s">
        <v>116</v>
      </c>
      <c r="V584" s="94">
        <v>44628.640277777777</v>
      </c>
      <c r="W584" s="93" t="s">
        <v>1170</v>
      </c>
      <c r="X584" s="93" t="s">
        <v>24</v>
      </c>
    </row>
    <row r="585" spans="1:24" hidden="1" x14ac:dyDescent="0.15">
      <c r="A585" s="93" t="s">
        <v>2137</v>
      </c>
      <c r="B585" s="93" t="s">
        <v>2138</v>
      </c>
      <c r="C585" s="410">
        <v>4620</v>
      </c>
      <c r="D585" s="93" t="s">
        <v>9</v>
      </c>
      <c r="E585" s="93" t="s">
        <v>9</v>
      </c>
      <c r="F585" s="93" t="s">
        <v>1648</v>
      </c>
      <c r="G585" s="93" t="s">
        <v>9117</v>
      </c>
      <c r="H585" s="93" t="s">
        <v>1690</v>
      </c>
      <c r="I585" s="93" t="s">
        <v>111</v>
      </c>
      <c r="J585" s="93" t="s">
        <v>2086</v>
      </c>
      <c r="K585" s="93">
        <v>50</v>
      </c>
      <c r="L585" s="93" t="s">
        <v>111</v>
      </c>
      <c r="M585" s="93">
        <v>6.5</v>
      </c>
      <c r="N585" s="93" t="s">
        <v>113</v>
      </c>
      <c r="O585" s="93">
        <v>18.5</v>
      </c>
      <c r="P585" s="93">
        <v>29.5</v>
      </c>
      <c r="Q585" s="93">
        <v>37.5</v>
      </c>
      <c r="R585" s="93" t="s">
        <v>123</v>
      </c>
      <c r="S585" s="93" t="s">
        <v>659</v>
      </c>
      <c r="T585" s="93" t="s">
        <v>1659</v>
      </c>
      <c r="U585" s="93" t="s">
        <v>116</v>
      </c>
      <c r="V585" s="94">
        <v>44628.518055555556</v>
      </c>
      <c r="W585" s="93" t="s">
        <v>1170</v>
      </c>
      <c r="X585" s="93" t="s">
        <v>24</v>
      </c>
    </row>
    <row r="586" spans="1:24" hidden="1" x14ac:dyDescent="0.15">
      <c r="A586" s="93" t="s">
        <v>2139</v>
      </c>
      <c r="B586" s="93" t="s">
        <v>2140</v>
      </c>
      <c r="C586" s="410">
        <v>4620</v>
      </c>
      <c r="D586" s="93" t="s">
        <v>9</v>
      </c>
      <c r="E586" s="93" t="s">
        <v>9</v>
      </c>
      <c r="F586" s="93" t="s">
        <v>1648</v>
      </c>
      <c r="G586" s="93" t="s">
        <v>9117</v>
      </c>
      <c r="H586" s="93" t="s">
        <v>1690</v>
      </c>
      <c r="I586" s="93" t="s">
        <v>111</v>
      </c>
      <c r="J586" s="93" t="s">
        <v>2086</v>
      </c>
      <c r="K586" s="93">
        <v>50</v>
      </c>
      <c r="L586" s="93" t="s">
        <v>111</v>
      </c>
      <c r="M586" s="93">
        <v>6.5</v>
      </c>
      <c r="N586" s="93" t="s">
        <v>113</v>
      </c>
      <c r="O586" s="93">
        <v>18.5</v>
      </c>
      <c r="P586" s="93">
        <v>29.5</v>
      </c>
      <c r="Q586" s="93">
        <v>37.5</v>
      </c>
      <c r="R586" s="93" t="s">
        <v>123</v>
      </c>
      <c r="S586" s="93" t="s">
        <v>659</v>
      </c>
      <c r="T586" s="93" t="s">
        <v>1659</v>
      </c>
      <c r="U586" s="93" t="s">
        <v>116</v>
      </c>
      <c r="V586" s="94">
        <v>44628.540277777778</v>
      </c>
      <c r="W586" s="93" t="s">
        <v>1170</v>
      </c>
      <c r="X586" s="93" t="s">
        <v>24</v>
      </c>
    </row>
    <row r="587" spans="1:24" hidden="1" x14ac:dyDescent="0.15">
      <c r="A587" s="93" t="s">
        <v>2141</v>
      </c>
      <c r="B587" s="93" t="s">
        <v>2142</v>
      </c>
      <c r="C587" s="410">
        <v>4620</v>
      </c>
      <c r="D587" s="93" t="s">
        <v>9</v>
      </c>
      <c r="E587" s="93" t="s">
        <v>9</v>
      </c>
      <c r="F587" s="93" t="s">
        <v>1648</v>
      </c>
      <c r="G587" s="93" t="s">
        <v>9117</v>
      </c>
      <c r="H587" s="93" t="s">
        <v>1690</v>
      </c>
      <c r="I587" s="93" t="s">
        <v>111</v>
      </c>
      <c r="J587" s="93" t="s">
        <v>2086</v>
      </c>
      <c r="K587" s="93">
        <v>50</v>
      </c>
      <c r="L587" s="93" t="s">
        <v>111</v>
      </c>
      <c r="M587" s="93">
        <v>6.5</v>
      </c>
      <c r="N587" s="93" t="s">
        <v>113</v>
      </c>
      <c r="O587" s="93">
        <v>18.5</v>
      </c>
      <c r="P587" s="93">
        <v>29.5</v>
      </c>
      <c r="Q587" s="93">
        <v>37.5</v>
      </c>
      <c r="R587" s="93" t="s">
        <v>123</v>
      </c>
      <c r="S587" s="93" t="s">
        <v>659</v>
      </c>
      <c r="T587" s="93" t="s">
        <v>1659</v>
      </c>
      <c r="U587" s="93" t="s">
        <v>116</v>
      </c>
      <c r="V587" s="94">
        <v>44628.583333333336</v>
      </c>
      <c r="W587" s="93" t="s">
        <v>1170</v>
      </c>
      <c r="X587" s="93" t="s">
        <v>24</v>
      </c>
    </row>
    <row r="588" spans="1:24" hidden="1" x14ac:dyDescent="0.15">
      <c r="A588" s="93" t="s">
        <v>2143</v>
      </c>
      <c r="B588" s="93" t="s">
        <v>2144</v>
      </c>
      <c r="C588" s="410">
        <v>4620</v>
      </c>
      <c r="D588" s="93" t="s">
        <v>9</v>
      </c>
      <c r="E588" s="93" t="s">
        <v>9</v>
      </c>
      <c r="F588" s="93" t="s">
        <v>1648</v>
      </c>
      <c r="G588" s="93" t="s">
        <v>9117</v>
      </c>
      <c r="H588" s="93" t="s">
        <v>1690</v>
      </c>
      <c r="I588" s="93" t="s">
        <v>111</v>
      </c>
      <c r="J588" s="93" t="s">
        <v>2086</v>
      </c>
      <c r="K588" s="93">
        <v>50</v>
      </c>
      <c r="L588" s="93" t="s">
        <v>111</v>
      </c>
      <c r="M588" s="93">
        <v>6.5</v>
      </c>
      <c r="N588" s="93" t="s">
        <v>113</v>
      </c>
      <c r="O588" s="93">
        <v>18.5</v>
      </c>
      <c r="P588" s="93">
        <v>29.5</v>
      </c>
      <c r="Q588" s="93">
        <v>37.5</v>
      </c>
      <c r="R588" s="93" t="s">
        <v>123</v>
      </c>
      <c r="S588" s="93" t="s">
        <v>659</v>
      </c>
      <c r="T588" s="93" t="s">
        <v>1659</v>
      </c>
      <c r="U588" s="93" t="s">
        <v>116</v>
      </c>
      <c r="V588" s="94">
        <v>44628.540277777778</v>
      </c>
      <c r="W588" s="93" t="s">
        <v>1170</v>
      </c>
      <c r="X588" s="93" t="s">
        <v>24</v>
      </c>
    </row>
    <row r="589" spans="1:24" hidden="1" x14ac:dyDescent="0.15">
      <c r="A589" s="93" t="s">
        <v>2145</v>
      </c>
      <c r="B589" s="93" t="s">
        <v>2146</v>
      </c>
      <c r="C589" s="410">
        <v>4620</v>
      </c>
      <c r="D589" s="93" t="s">
        <v>9</v>
      </c>
      <c r="E589" s="93" t="s">
        <v>9</v>
      </c>
      <c r="F589" s="93" t="s">
        <v>1648</v>
      </c>
      <c r="G589" s="93" t="s">
        <v>9117</v>
      </c>
      <c r="H589" s="93" t="s">
        <v>1690</v>
      </c>
      <c r="I589" s="93" t="s">
        <v>111</v>
      </c>
      <c r="J589" s="93" t="s">
        <v>2086</v>
      </c>
      <c r="K589" s="93">
        <v>50</v>
      </c>
      <c r="L589" s="93" t="s">
        <v>111</v>
      </c>
      <c r="M589" s="93">
        <v>6.9</v>
      </c>
      <c r="N589" s="93" t="s">
        <v>113</v>
      </c>
      <c r="O589" s="93">
        <v>18.5</v>
      </c>
      <c r="P589" s="93">
        <v>29.5</v>
      </c>
      <c r="Q589" s="93">
        <v>37.5</v>
      </c>
      <c r="R589" s="93" t="s">
        <v>123</v>
      </c>
      <c r="S589" s="93" t="s">
        <v>659</v>
      </c>
      <c r="T589" s="93" t="s">
        <v>1659</v>
      </c>
      <c r="U589" s="93" t="s">
        <v>116</v>
      </c>
      <c r="V589" s="94">
        <v>44628.561805555553</v>
      </c>
      <c r="W589" s="93" t="s">
        <v>1170</v>
      </c>
      <c r="X589" s="93" t="s">
        <v>24</v>
      </c>
    </row>
    <row r="590" spans="1:24" hidden="1" x14ac:dyDescent="0.15">
      <c r="A590" s="93" t="s">
        <v>2147</v>
      </c>
      <c r="B590" s="93" t="s">
        <v>2148</v>
      </c>
      <c r="C590" s="410">
        <v>4620</v>
      </c>
      <c r="D590" s="93" t="s">
        <v>9</v>
      </c>
      <c r="E590" s="93" t="s">
        <v>9</v>
      </c>
      <c r="F590" s="93" t="s">
        <v>1648</v>
      </c>
      <c r="G590" s="93" t="s">
        <v>9117</v>
      </c>
      <c r="H590" s="93" t="s">
        <v>1690</v>
      </c>
      <c r="I590" s="93" t="s">
        <v>111</v>
      </c>
      <c r="J590" s="93" t="s">
        <v>2086</v>
      </c>
      <c r="K590" s="93">
        <v>50</v>
      </c>
      <c r="L590" s="93" t="s">
        <v>111</v>
      </c>
      <c r="M590" s="93">
        <v>6.9</v>
      </c>
      <c r="N590" s="93" t="s">
        <v>113</v>
      </c>
      <c r="O590" s="93">
        <v>18.5</v>
      </c>
      <c r="P590" s="93">
        <v>29.5</v>
      </c>
      <c r="Q590" s="93">
        <v>37.5</v>
      </c>
      <c r="R590" s="93" t="s">
        <v>123</v>
      </c>
      <c r="S590" s="93" t="s">
        <v>659</v>
      </c>
      <c r="T590" s="93" t="s">
        <v>1659</v>
      </c>
      <c r="U590" s="93" t="s">
        <v>116</v>
      </c>
      <c r="V590" s="94">
        <v>44628.640277777777</v>
      </c>
      <c r="W590" s="93" t="s">
        <v>1170</v>
      </c>
      <c r="X590" s="93" t="s">
        <v>24</v>
      </c>
    </row>
    <row r="591" spans="1:24" hidden="1" x14ac:dyDescent="0.15">
      <c r="A591" s="93" t="s">
        <v>2149</v>
      </c>
      <c r="B591" s="93" t="s">
        <v>2150</v>
      </c>
      <c r="C591" s="410">
        <v>4620</v>
      </c>
      <c r="D591" s="93" t="s">
        <v>9</v>
      </c>
      <c r="E591" s="93" t="s">
        <v>9</v>
      </c>
      <c r="F591" s="93" t="s">
        <v>1648</v>
      </c>
      <c r="G591" s="93" t="s">
        <v>9117</v>
      </c>
      <c r="H591" s="93" t="s">
        <v>1690</v>
      </c>
      <c r="I591" s="93" t="s">
        <v>111</v>
      </c>
      <c r="J591" s="93" t="s">
        <v>2086</v>
      </c>
      <c r="K591" s="93">
        <v>50</v>
      </c>
      <c r="L591" s="93" t="s">
        <v>111</v>
      </c>
      <c r="M591" s="93">
        <v>6.5</v>
      </c>
      <c r="N591" s="93" t="s">
        <v>113</v>
      </c>
      <c r="O591" s="93">
        <v>18.5</v>
      </c>
      <c r="P591" s="93">
        <v>29.5</v>
      </c>
      <c r="Q591" s="93">
        <v>37.5</v>
      </c>
      <c r="R591" s="93" t="s">
        <v>123</v>
      </c>
      <c r="S591" s="93" t="s">
        <v>659</v>
      </c>
      <c r="T591" s="93" t="s">
        <v>1659</v>
      </c>
      <c r="U591" s="93" t="s">
        <v>116</v>
      </c>
      <c r="V591" s="94">
        <v>44628.495833333334</v>
      </c>
      <c r="W591" s="93" t="s">
        <v>1170</v>
      </c>
      <c r="X591" s="93" t="s">
        <v>24</v>
      </c>
    </row>
    <row r="592" spans="1:24" hidden="1" x14ac:dyDescent="0.15">
      <c r="A592" s="93" t="s">
        <v>2151</v>
      </c>
      <c r="B592" s="93" t="s">
        <v>2152</v>
      </c>
      <c r="C592" s="410">
        <v>4620</v>
      </c>
      <c r="D592" s="93" t="s">
        <v>9</v>
      </c>
      <c r="E592" s="93" t="s">
        <v>9</v>
      </c>
      <c r="F592" s="93" t="s">
        <v>1648</v>
      </c>
      <c r="G592" s="93" t="s">
        <v>9117</v>
      </c>
      <c r="H592" s="93" t="s">
        <v>1690</v>
      </c>
      <c r="I592" s="93" t="s">
        <v>111</v>
      </c>
      <c r="J592" s="93" t="s">
        <v>2086</v>
      </c>
      <c r="K592" s="93">
        <v>50</v>
      </c>
      <c r="L592" s="93" t="s">
        <v>111</v>
      </c>
      <c r="M592" s="93">
        <v>6.5</v>
      </c>
      <c r="N592" s="93" t="s">
        <v>113</v>
      </c>
      <c r="O592" s="93">
        <v>18.5</v>
      </c>
      <c r="P592" s="93">
        <v>29.5</v>
      </c>
      <c r="Q592" s="93">
        <v>37.5</v>
      </c>
      <c r="R592" s="93" t="s">
        <v>123</v>
      </c>
      <c r="S592" s="93" t="s">
        <v>659</v>
      </c>
      <c r="T592" s="93" t="s">
        <v>1659</v>
      </c>
      <c r="U592" s="93" t="s">
        <v>116</v>
      </c>
      <c r="V592" s="94">
        <v>44628.474999999999</v>
      </c>
      <c r="W592" s="93" t="s">
        <v>1170</v>
      </c>
      <c r="X592" s="93" t="s">
        <v>24</v>
      </c>
    </row>
    <row r="593" spans="1:24" hidden="1" x14ac:dyDescent="0.15">
      <c r="A593" s="93" t="s">
        <v>2153</v>
      </c>
      <c r="B593" s="93" t="s">
        <v>2154</v>
      </c>
      <c r="C593" s="410">
        <v>4620</v>
      </c>
      <c r="D593" s="93" t="s">
        <v>9</v>
      </c>
      <c r="E593" s="93" t="s">
        <v>9</v>
      </c>
      <c r="F593" s="93" t="s">
        <v>1648</v>
      </c>
      <c r="G593" s="93" t="s">
        <v>9117</v>
      </c>
      <c r="H593" s="93" t="s">
        <v>1690</v>
      </c>
      <c r="I593" s="93" t="s">
        <v>111</v>
      </c>
      <c r="J593" s="93" t="s">
        <v>2086</v>
      </c>
      <c r="K593" s="93">
        <v>50</v>
      </c>
      <c r="L593" s="93" t="s">
        <v>111</v>
      </c>
      <c r="M593" s="93">
        <v>6.5</v>
      </c>
      <c r="N593" s="93" t="s">
        <v>113</v>
      </c>
      <c r="O593" s="93">
        <v>18.5</v>
      </c>
      <c r="P593" s="93">
        <v>29.5</v>
      </c>
      <c r="Q593" s="93">
        <v>37.5</v>
      </c>
      <c r="R593" s="93" t="s">
        <v>123</v>
      </c>
      <c r="S593" s="93" t="s">
        <v>659</v>
      </c>
      <c r="T593" s="93" t="s">
        <v>1659</v>
      </c>
      <c r="U593" s="93" t="s">
        <v>116</v>
      </c>
      <c r="V593" s="94">
        <v>44628.561805555553</v>
      </c>
      <c r="W593" s="93" t="s">
        <v>1170</v>
      </c>
      <c r="X593" s="93" t="s">
        <v>24</v>
      </c>
    </row>
    <row r="594" spans="1:24" hidden="1" x14ac:dyDescent="0.15">
      <c r="A594" s="93" t="s">
        <v>2155</v>
      </c>
      <c r="B594" s="93" t="s">
        <v>2156</v>
      </c>
      <c r="C594" s="410">
        <v>4620</v>
      </c>
      <c r="D594" s="93" t="s">
        <v>9</v>
      </c>
      <c r="E594" s="93" t="s">
        <v>9</v>
      </c>
      <c r="F594" s="93" t="s">
        <v>1648</v>
      </c>
      <c r="G594" s="93" t="s">
        <v>9117</v>
      </c>
      <c r="H594" s="93" t="s">
        <v>1690</v>
      </c>
      <c r="I594" s="93" t="s">
        <v>111</v>
      </c>
      <c r="J594" s="93" t="s">
        <v>2086</v>
      </c>
      <c r="K594" s="93">
        <v>50</v>
      </c>
      <c r="L594" s="93" t="s">
        <v>111</v>
      </c>
      <c r="M594" s="93">
        <v>6.5</v>
      </c>
      <c r="N594" s="93" t="s">
        <v>113</v>
      </c>
      <c r="O594" s="93">
        <v>18.5</v>
      </c>
      <c r="P594" s="93">
        <v>29.5</v>
      </c>
      <c r="Q594" s="93">
        <v>37.5</v>
      </c>
      <c r="R594" s="93" t="s">
        <v>123</v>
      </c>
      <c r="S594" s="93" t="s">
        <v>659</v>
      </c>
      <c r="T594" s="93" t="s">
        <v>1659</v>
      </c>
      <c r="U594" s="93" t="s">
        <v>116</v>
      </c>
      <c r="V594" s="94">
        <v>44628.474999999999</v>
      </c>
      <c r="W594" s="93" t="s">
        <v>1170</v>
      </c>
      <c r="X594" s="93" t="s">
        <v>24</v>
      </c>
    </row>
    <row r="595" spans="1:24" hidden="1" x14ac:dyDescent="0.15">
      <c r="A595" s="93" t="s">
        <v>2157</v>
      </c>
      <c r="B595" s="93" t="s">
        <v>2158</v>
      </c>
      <c r="C595" s="410">
        <v>3675</v>
      </c>
      <c r="D595" s="93" t="s">
        <v>9</v>
      </c>
      <c r="E595" s="93" t="s">
        <v>9</v>
      </c>
      <c r="F595" s="93" t="s">
        <v>1648</v>
      </c>
      <c r="G595" s="93" t="s">
        <v>9117</v>
      </c>
      <c r="H595" s="93" t="s">
        <v>1690</v>
      </c>
      <c r="I595" s="93" t="s">
        <v>111</v>
      </c>
      <c r="J595" s="93" t="s">
        <v>2013</v>
      </c>
      <c r="K595" s="93">
        <v>50</v>
      </c>
      <c r="L595" s="93" t="s">
        <v>111</v>
      </c>
      <c r="M595" s="93">
        <v>5.3</v>
      </c>
      <c r="N595" s="93" t="s">
        <v>113</v>
      </c>
      <c r="O595" s="93">
        <v>18.5</v>
      </c>
      <c r="P595" s="93">
        <v>29.5</v>
      </c>
      <c r="Q595" s="93">
        <v>37.5</v>
      </c>
      <c r="R595" s="93" t="s">
        <v>123</v>
      </c>
      <c r="S595" s="93" t="s">
        <v>659</v>
      </c>
      <c r="T595" s="93" t="s">
        <v>1659</v>
      </c>
      <c r="U595" s="93" t="s">
        <v>116</v>
      </c>
      <c r="V595" s="94">
        <v>44628.57916666667</v>
      </c>
      <c r="W595" s="93" t="s">
        <v>1170</v>
      </c>
      <c r="X595" s="93" t="s">
        <v>24</v>
      </c>
    </row>
    <row r="596" spans="1:24" hidden="1" x14ac:dyDescent="0.15">
      <c r="A596" s="93" t="s">
        <v>2159</v>
      </c>
      <c r="B596" s="93" t="s">
        <v>2160</v>
      </c>
      <c r="C596" s="410">
        <v>3675</v>
      </c>
      <c r="D596" s="93" t="s">
        <v>9</v>
      </c>
      <c r="E596" s="93" t="s">
        <v>9</v>
      </c>
      <c r="F596" s="93" t="s">
        <v>1648</v>
      </c>
      <c r="G596" s="93" t="s">
        <v>9117</v>
      </c>
      <c r="H596" s="93" t="s">
        <v>1690</v>
      </c>
      <c r="I596" s="93" t="s">
        <v>111</v>
      </c>
      <c r="J596" s="93" t="s">
        <v>2013</v>
      </c>
      <c r="K596" s="93">
        <v>50</v>
      </c>
      <c r="L596" s="93" t="s">
        <v>111</v>
      </c>
      <c r="M596" s="93">
        <v>5.3</v>
      </c>
      <c r="N596" s="93" t="s">
        <v>113</v>
      </c>
      <c r="O596" s="93">
        <v>18.5</v>
      </c>
      <c r="P596" s="93">
        <v>29.5</v>
      </c>
      <c r="Q596" s="93">
        <v>37.5</v>
      </c>
      <c r="R596" s="93" t="s">
        <v>123</v>
      </c>
      <c r="S596" s="93" t="s">
        <v>659</v>
      </c>
      <c r="T596" s="93" t="s">
        <v>1659</v>
      </c>
      <c r="U596" s="93" t="s">
        <v>116</v>
      </c>
      <c r="V596" s="94">
        <v>44628.47152777778</v>
      </c>
      <c r="W596" s="93" t="s">
        <v>1170</v>
      </c>
      <c r="X596" s="93" t="s">
        <v>24</v>
      </c>
    </row>
    <row r="597" spans="1:24" hidden="1" x14ac:dyDescent="0.15">
      <c r="A597" s="93" t="s">
        <v>2161</v>
      </c>
      <c r="B597" s="93" t="s">
        <v>2162</v>
      </c>
      <c r="C597" s="410">
        <v>8032.5</v>
      </c>
      <c r="D597" s="93" t="s">
        <v>9</v>
      </c>
      <c r="E597" s="93" t="s">
        <v>9</v>
      </c>
      <c r="F597" s="93" t="s">
        <v>1648</v>
      </c>
      <c r="G597" s="93" t="s">
        <v>9117</v>
      </c>
      <c r="H597" s="93" t="s">
        <v>1690</v>
      </c>
      <c r="I597" s="93" t="s">
        <v>111</v>
      </c>
      <c r="J597" s="93" t="s">
        <v>963</v>
      </c>
      <c r="K597" s="93">
        <v>60</v>
      </c>
      <c r="L597" s="93" t="s">
        <v>111</v>
      </c>
      <c r="M597" s="93">
        <v>5</v>
      </c>
      <c r="N597" s="93" t="s">
        <v>113</v>
      </c>
      <c r="O597" s="93">
        <v>15</v>
      </c>
      <c r="P597" s="93">
        <v>25</v>
      </c>
      <c r="Q597" s="93">
        <v>42</v>
      </c>
      <c r="R597" s="93" t="s">
        <v>123</v>
      </c>
      <c r="S597" s="93" t="s">
        <v>659</v>
      </c>
      <c r="T597" s="93" t="s">
        <v>1659</v>
      </c>
      <c r="U597" s="93" t="s">
        <v>116</v>
      </c>
      <c r="V597" s="94">
        <v>44628.491666666669</v>
      </c>
      <c r="W597" s="93" t="s">
        <v>1170</v>
      </c>
      <c r="X597" s="93" t="s">
        <v>24</v>
      </c>
    </row>
    <row r="598" spans="1:24" hidden="1" x14ac:dyDescent="0.15">
      <c r="A598" s="93" t="s">
        <v>2163</v>
      </c>
      <c r="B598" s="93" t="s">
        <v>2164</v>
      </c>
      <c r="C598" s="410">
        <v>8032.5</v>
      </c>
      <c r="D598" s="93" t="s">
        <v>9</v>
      </c>
      <c r="E598" s="93" t="s">
        <v>9</v>
      </c>
      <c r="F598" s="93" t="s">
        <v>1648</v>
      </c>
      <c r="G598" s="93" t="s">
        <v>9117</v>
      </c>
      <c r="H598" s="93" t="s">
        <v>1690</v>
      </c>
      <c r="I598" s="93" t="s">
        <v>111</v>
      </c>
      <c r="J598" s="93" t="s">
        <v>963</v>
      </c>
      <c r="K598" s="93">
        <v>60</v>
      </c>
      <c r="L598" s="93" t="s">
        <v>111</v>
      </c>
      <c r="M598" s="93">
        <v>5</v>
      </c>
      <c r="N598" s="93" t="s">
        <v>113</v>
      </c>
      <c r="O598" s="93">
        <v>15</v>
      </c>
      <c r="P598" s="93">
        <v>25</v>
      </c>
      <c r="Q598" s="93">
        <v>42</v>
      </c>
      <c r="R598" s="93" t="s">
        <v>123</v>
      </c>
      <c r="S598" s="93" t="s">
        <v>659</v>
      </c>
      <c r="T598" s="93" t="s">
        <v>1659</v>
      </c>
      <c r="U598" s="93" t="s">
        <v>116</v>
      </c>
      <c r="V598" s="94">
        <v>44628.470138888886</v>
      </c>
      <c r="W598" s="93" t="s">
        <v>1170</v>
      </c>
      <c r="X598" s="93" t="s">
        <v>9</v>
      </c>
    </row>
    <row r="599" spans="1:24" hidden="1" x14ac:dyDescent="0.15">
      <c r="A599" s="93" t="s">
        <v>2165</v>
      </c>
      <c r="B599" s="93" t="s">
        <v>2166</v>
      </c>
      <c r="C599" s="410">
        <v>4620</v>
      </c>
      <c r="D599" s="93" t="s">
        <v>9</v>
      </c>
      <c r="E599" s="93" t="s">
        <v>9</v>
      </c>
      <c r="F599" s="93" t="s">
        <v>1648</v>
      </c>
      <c r="G599" s="93" t="s">
        <v>9117</v>
      </c>
      <c r="H599" s="93" t="s">
        <v>1690</v>
      </c>
      <c r="I599" s="93" t="s">
        <v>111</v>
      </c>
      <c r="J599" s="93" t="s">
        <v>2086</v>
      </c>
      <c r="K599" s="93">
        <v>50</v>
      </c>
      <c r="L599" s="93" t="s">
        <v>111</v>
      </c>
      <c r="M599" s="93">
        <v>6.5</v>
      </c>
      <c r="N599" s="93" t="s">
        <v>113</v>
      </c>
      <c r="O599" s="93">
        <v>18.5</v>
      </c>
      <c r="P599" s="93">
        <v>29.5</v>
      </c>
      <c r="Q599" s="93">
        <v>37.5</v>
      </c>
      <c r="R599" s="93" t="s">
        <v>123</v>
      </c>
      <c r="S599" s="93" t="s">
        <v>659</v>
      </c>
      <c r="T599" s="93" t="s">
        <v>1659</v>
      </c>
      <c r="U599" s="93" t="s">
        <v>116</v>
      </c>
      <c r="V599" s="94">
        <v>44628.581944444442</v>
      </c>
      <c r="W599" s="93" t="s">
        <v>1170</v>
      </c>
      <c r="X599" s="93" t="s">
        <v>24</v>
      </c>
    </row>
    <row r="600" spans="1:24" hidden="1" x14ac:dyDescent="0.15">
      <c r="A600" s="93" t="s">
        <v>2167</v>
      </c>
      <c r="B600" s="93" t="s">
        <v>2168</v>
      </c>
      <c r="C600" s="410">
        <v>4620</v>
      </c>
      <c r="D600" s="93" t="s">
        <v>9</v>
      </c>
      <c r="E600" s="93" t="s">
        <v>9</v>
      </c>
      <c r="F600" s="93" t="s">
        <v>1648</v>
      </c>
      <c r="G600" s="93" t="s">
        <v>9117</v>
      </c>
      <c r="H600" s="93" t="s">
        <v>1690</v>
      </c>
      <c r="I600" s="93" t="s">
        <v>111</v>
      </c>
      <c r="J600" s="93" t="s">
        <v>2086</v>
      </c>
      <c r="K600" s="93">
        <v>50</v>
      </c>
      <c r="L600" s="93" t="s">
        <v>111</v>
      </c>
      <c r="M600" s="93">
        <v>6.5</v>
      </c>
      <c r="N600" s="93" t="s">
        <v>113</v>
      </c>
      <c r="O600" s="93">
        <v>18.5</v>
      </c>
      <c r="P600" s="93">
        <v>29.5</v>
      </c>
      <c r="Q600" s="93">
        <v>37.5</v>
      </c>
      <c r="R600" s="93" t="s">
        <v>123</v>
      </c>
      <c r="S600" s="93" t="s">
        <v>659</v>
      </c>
      <c r="T600" s="93" t="s">
        <v>1659</v>
      </c>
      <c r="U600" s="93" t="s">
        <v>116</v>
      </c>
      <c r="V600" s="94">
        <v>44628.538888888892</v>
      </c>
      <c r="W600" s="93" t="s">
        <v>1170</v>
      </c>
      <c r="X600" s="93" t="s">
        <v>24</v>
      </c>
    </row>
    <row r="601" spans="1:24" hidden="1" x14ac:dyDescent="0.15">
      <c r="A601" s="93" t="s">
        <v>2169</v>
      </c>
      <c r="B601" s="93" t="s">
        <v>2170</v>
      </c>
      <c r="C601" s="410">
        <v>4620</v>
      </c>
      <c r="D601" s="93" t="s">
        <v>9</v>
      </c>
      <c r="E601" s="93" t="s">
        <v>9</v>
      </c>
      <c r="F601" s="93" t="s">
        <v>1648</v>
      </c>
      <c r="G601" s="93" t="s">
        <v>9117</v>
      </c>
      <c r="H601" s="93" t="s">
        <v>1690</v>
      </c>
      <c r="I601" s="93" t="s">
        <v>111</v>
      </c>
      <c r="J601" s="93" t="s">
        <v>2086</v>
      </c>
      <c r="K601" s="93">
        <v>50</v>
      </c>
      <c r="L601" s="93" t="s">
        <v>111</v>
      </c>
      <c r="M601" s="93">
        <v>6.5</v>
      </c>
      <c r="N601" s="93" t="s">
        <v>113</v>
      </c>
      <c r="O601" s="93">
        <v>18.5</v>
      </c>
      <c r="P601" s="93">
        <v>29.5</v>
      </c>
      <c r="Q601" s="93">
        <v>37.5</v>
      </c>
      <c r="R601" s="93" t="s">
        <v>123</v>
      </c>
      <c r="S601" s="93" t="s">
        <v>659</v>
      </c>
      <c r="T601" s="93" t="s">
        <v>1659</v>
      </c>
      <c r="U601" s="93" t="s">
        <v>116</v>
      </c>
      <c r="V601" s="94">
        <v>44628.581944444442</v>
      </c>
      <c r="W601" s="93" t="s">
        <v>1170</v>
      </c>
      <c r="X601" s="93" t="s">
        <v>24</v>
      </c>
    </row>
    <row r="602" spans="1:24" hidden="1" x14ac:dyDescent="0.15">
      <c r="A602" s="93" t="s">
        <v>2171</v>
      </c>
      <c r="B602" s="93" t="s">
        <v>2172</v>
      </c>
      <c r="C602" s="410">
        <v>4620</v>
      </c>
      <c r="D602" s="93" t="s">
        <v>9</v>
      </c>
      <c r="E602" s="93" t="s">
        <v>9</v>
      </c>
      <c r="F602" s="93" t="s">
        <v>1648</v>
      </c>
      <c r="G602" s="93" t="s">
        <v>9117</v>
      </c>
      <c r="H602" s="93" t="s">
        <v>1690</v>
      </c>
      <c r="I602" s="93" t="s">
        <v>111</v>
      </c>
      <c r="J602" s="93" t="s">
        <v>2086</v>
      </c>
      <c r="K602" s="93">
        <v>50</v>
      </c>
      <c r="L602" s="93" t="s">
        <v>111</v>
      </c>
      <c r="M602" s="93">
        <v>6.5</v>
      </c>
      <c r="N602" s="93" t="s">
        <v>113</v>
      </c>
      <c r="O602" s="93">
        <v>18.5</v>
      </c>
      <c r="P602" s="93">
        <v>29.5</v>
      </c>
      <c r="Q602" s="93">
        <v>37.5</v>
      </c>
      <c r="R602" s="93" t="s">
        <v>123</v>
      </c>
      <c r="S602" s="93" t="s">
        <v>659</v>
      </c>
      <c r="T602" s="93" t="s">
        <v>1659</v>
      </c>
      <c r="U602" s="93" t="s">
        <v>116</v>
      </c>
      <c r="V602" s="94">
        <v>44628.494444444441</v>
      </c>
      <c r="W602" s="93" t="s">
        <v>1170</v>
      </c>
      <c r="X602" s="93" t="s">
        <v>24</v>
      </c>
    </row>
    <row r="603" spans="1:24" hidden="1" x14ac:dyDescent="0.15">
      <c r="A603" s="93" t="s">
        <v>2173</v>
      </c>
      <c r="B603" s="93" t="s">
        <v>2174</v>
      </c>
      <c r="C603" s="410">
        <v>4620</v>
      </c>
      <c r="D603" s="93" t="s">
        <v>9</v>
      </c>
      <c r="E603" s="93" t="s">
        <v>9</v>
      </c>
      <c r="F603" s="93" t="s">
        <v>1648</v>
      </c>
      <c r="G603" s="93" t="s">
        <v>9117</v>
      </c>
      <c r="H603" s="93" t="s">
        <v>1690</v>
      </c>
      <c r="I603" s="93" t="s">
        <v>111</v>
      </c>
      <c r="J603" s="93" t="s">
        <v>2086</v>
      </c>
      <c r="K603" s="93">
        <v>50</v>
      </c>
      <c r="L603" s="93" t="s">
        <v>111</v>
      </c>
      <c r="M603" s="93">
        <v>6.5</v>
      </c>
      <c r="N603" s="93" t="s">
        <v>113</v>
      </c>
      <c r="O603" s="93">
        <v>18.5</v>
      </c>
      <c r="P603" s="93">
        <v>29.5</v>
      </c>
      <c r="Q603" s="93">
        <v>37.5</v>
      </c>
      <c r="R603" s="93" t="s">
        <v>123</v>
      </c>
      <c r="S603" s="93" t="s">
        <v>659</v>
      </c>
      <c r="T603" s="93" t="s">
        <v>1659</v>
      </c>
      <c r="U603" s="93" t="s">
        <v>116</v>
      </c>
      <c r="V603" s="94">
        <v>44628.51666666667</v>
      </c>
      <c r="W603" s="93" t="s">
        <v>1170</v>
      </c>
      <c r="X603" s="93" t="s">
        <v>24</v>
      </c>
    </row>
    <row r="604" spans="1:24" hidden="1" x14ac:dyDescent="0.15">
      <c r="A604" s="93" t="s">
        <v>2175</v>
      </c>
      <c r="B604" s="93" t="s">
        <v>2176</v>
      </c>
      <c r="C604" s="410">
        <v>4620</v>
      </c>
      <c r="D604" s="93" t="s">
        <v>9</v>
      </c>
      <c r="E604" s="93" t="s">
        <v>9</v>
      </c>
      <c r="F604" s="93" t="s">
        <v>1648</v>
      </c>
      <c r="G604" s="93" t="s">
        <v>9117</v>
      </c>
      <c r="H604" s="93" t="s">
        <v>1690</v>
      </c>
      <c r="I604" s="93" t="s">
        <v>111</v>
      </c>
      <c r="J604" s="93" t="s">
        <v>2086</v>
      </c>
      <c r="K604" s="93">
        <v>50</v>
      </c>
      <c r="L604" s="93" t="s">
        <v>111</v>
      </c>
      <c r="M604" s="93">
        <v>6.5</v>
      </c>
      <c r="N604" s="93" t="s">
        <v>113</v>
      </c>
      <c r="O604" s="93">
        <v>18.5</v>
      </c>
      <c r="P604" s="93">
        <v>29.5</v>
      </c>
      <c r="Q604" s="93">
        <v>37.5</v>
      </c>
      <c r="R604" s="93" t="s">
        <v>123</v>
      </c>
      <c r="S604" s="93" t="s">
        <v>659</v>
      </c>
      <c r="T604" s="93" t="s">
        <v>1659</v>
      </c>
      <c r="U604" s="93" t="s">
        <v>116</v>
      </c>
      <c r="V604" s="94">
        <v>44628.51666666667</v>
      </c>
      <c r="W604" s="93" t="s">
        <v>1170</v>
      </c>
      <c r="X604" s="93" t="s">
        <v>24</v>
      </c>
    </row>
    <row r="605" spans="1:24" hidden="1" x14ac:dyDescent="0.15">
      <c r="A605" s="93" t="s">
        <v>2177</v>
      </c>
      <c r="B605" s="93" t="s">
        <v>2178</v>
      </c>
      <c r="C605" s="410">
        <v>12337.5</v>
      </c>
      <c r="D605" s="93" t="s">
        <v>9</v>
      </c>
      <c r="E605" s="93" t="s">
        <v>9</v>
      </c>
      <c r="F605" s="93" t="s">
        <v>1648</v>
      </c>
      <c r="G605" s="93" t="s">
        <v>9117</v>
      </c>
      <c r="H605" s="93" t="s">
        <v>1943</v>
      </c>
      <c r="I605" s="93" t="s">
        <v>111</v>
      </c>
      <c r="J605" s="93" t="s">
        <v>1675</v>
      </c>
      <c r="K605" s="93">
        <v>60</v>
      </c>
      <c r="L605" s="93" t="s">
        <v>111</v>
      </c>
      <c r="M605" s="93">
        <v>7.2</v>
      </c>
      <c r="N605" s="93" t="s">
        <v>113</v>
      </c>
      <c r="O605" s="93">
        <v>44</v>
      </c>
      <c r="P605" s="93">
        <v>17</v>
      </c>
      <c r="Q605" s="93">
        <v>38</v>
      </c>
      <c r="R605" s="93" t="s">
        <v>123</v>
      </c>
      <c r="S605" s="93" t="s">
        <v>16</v>
      </c>
      <c r="T605" s="93" t="s">
        <v>1659</v>
      </c>
      <c r="U605" s="93" t="s">
        <v>116</v>
      </c>
      <c r="V605" s="94">
        <v>44628.563194444447</v>
      </c>
      <c r="W605" s="93" t="s">
        <v>1170</v>
      </c>
      <c r="X605" s="93" t="s">
        <v>24</v>
      </c>
    </row>
    <row r="606" spans="1:24" hidden="1" x14ac:dyDescent="0.15">
      <c r="A606" s="93" t="s">
        <v>2179</v>
      </c>
      <c r="B606" s="93" t="s">
        <v>2180</v>
      </c>
      <c r="C606" s="410">
        <v>14175</v>
      </c>
      <c r="D606" s="93" t="s">
        <v>9</v>
      </c>
      <c r="E606" s="93" t="s">
        <v>9</v>
      </c>
      <c r="F606" s="93" t="s">
        <v>1648</v>
      </c>
      <c r="G606" s="93" t="s">
        <v>9117</v>
      </c>
      <c r="H606" s="93" t="s">
        <v>1690</v>
      </c>
      <c r="I606" s="93" t="s">
        <v>111</v>
      </c>
      <c r="J606" s="93" t="s">
        <v>963</v>
      </c>
      <c r="K606" s="93">
        <v>60</v>
      </c>
      <c r="L606" s="93" t="s">
        <v>111</v>
      </c>
      <c r="M606" s="93">
        <v>7.2</v>
      </c>
      <c r="N606" s="93" t="s">
        <v>113</v>
      </c>
      <c r="O606" s="93">
        <v>17</v>
      </c>
      <c r="P606" s="93">
        <v>38</v>
      </c>
      <c r="Q606" s="93">
        <v>44</v>
      </c>
      <c r="R606" s="93" t="s">
        <v>123</v>
      </c>
      <c r="S606" s="93" t="s">
        <v>659</v>
      </c>
      <c r="T606" s="93" t="s">
        <v>1659</v>
      </c>
      <c r="U606" s="93" t="s">
        <v>116</v>
      </c>
      <c r="V606" s="94">
        <v>44628.538194444445</v>
      </c>
      <c r="W606" s="93" t="s">
        <v>1170</v>
      </c>
      <c r="X606" s="93" t="s">
        <v>24</v>
      </c>
    </row>
    <row r="607" spans="1:24" hidden="1" x14ac:dyDescent="0.15">
      <c r="A607" s="93" t="s">
        <v>2181</v>
      </c>
      <c r="B607" s="93" t="s">
        <v>2182</v>
      </c>
      <c r="C607" s="410">
        <v>3465</v>
      </c>
      <c r="D607" s="93" t="s">
        <v>9</v>
      </c>
      <c r="E607" s="93" t="s">
        <v>9</v>
      </c>
      <c r="F607" s="93" t="s">
        <v>1648</v>
      </c>
      <c r="G607" s="93" t="s">
        <v>9117</v>
      </c>
      <c r="H607" s="93" t="s">
        <v>1943</v>
      </c>
      <c r="I607" s="93" t="s">
        <v>111</v>
      </c>
      <c r="J607" s="93" t="s">
        <v>963</v>
      </c>
      <c r="K607" s="93">
        <v>60</v>
      </c>
      <c r="L607" s="93" t="s">
        <v>111</v>
      </c>
      <c r="M607" s="93">
        <v>4.5</v>
      </c>
      <c r="N607" s="93" t="s">
        <v>113</v>
      </c>
      <c r="O607" s="93">
        <v>18.5</v>
      </c>
      <c r="P607" s="93">
        <v>29.5</v>
      </c>
      <c r="Q607" s="93">
        <v>32.5</v>
      </c>
      <c r="R607" s="93" t="s">
        <v>123</v>
      </c>
      <c r="S607" s="93" t="s">
        <v>111</v>
      </c>
      <c r="T607" s="93" t="s">
        <v>1659</v>
      </c>
      <c r="U607" s="93" t="s">
        <v>116</v>
      </c>
      <c r="V607" s="94">
        <v>44628.474999999999</v>
      </c>
      <c r="W607" s="93" t="s">
        <v>1170</v>
      </c>
      <c r="X607" s="93" t="s">
        <v>24</v>
      </c>
    </row>
    <row r="608" spans="1:24" hidden="1" x14ac:dyDescent="0.15">
      <c r="A608" s="93" t="s">
        <v>2183</v>
      </c>
      <c r="B608" s="93" t="s">
        <v>2184</v>
      </c>
      <c r="C608" s="410">
        <v>3465</v>
      </c>
      <c r="D608" s="93" t="s">
        <v>9</v>
      </c>
      <c r="E608" s="93" t="s">
        <v>9</v>
      </c>
      <c r="F608" s="93" t="s">
        <v>1648</v>
      </c>
      <c r="G608" s="93" t="s">
        <v>9117</v>
      </c>
      <c r="H608" s="93" t="s">
        <v>1943</v>
      </c>
      <c r="I608" s="93" t="s">
        <v>111</v>
      </c>
      <c r="J608" s="93" t="s">
        <v>963</v>
      </c>
      <c r="K608" s="93">
        <v>60</v>
      </c>
      <c r="L608" s="93" t="s">
        <v>111</v>
      </c>
      <c r="M608" s="93">
        <v>4.5</v>
      </c>
      <c r="N608" s="93" t="s">
        <v>113</v>
      </c>
      <c r="O608" s="93">
        <v>18.5</v>
      </c>
      <c r="P608" s="93">
        <v>29.5</v>
      </c>
      <c r="Q608" s="93">
        <v>32.5</v>
      </c>
      <c r="R608" s="93" t="s">
        <v>123</v>
      </c>
      <c r="S608" s="93" t="s">
        <v>111</v>
      </c>
      <c r="T608" s="93" t="s">
        <v>1659</v>
      </c>
      <c r="U608" s="93" t="s">
        <v>116</v>
      </c>
      <c r="V608" s="94">
        <v>44628.583333333336</v>
      </c>
      <c r="W608" s="93" t="s">
        <v>1170</v>
      </c>
      <c r="X608" s="93" t="s">
        <v>24</v>
      </c>
    </row>
    <row r="609" spans="1:24" hidden="1" x14ac:dyDescent="0.15">
      <c r="A609" s="93" t="s">
        <v>2185</v>
      </c>
      <c r="B609" s="93" t="s">
        <v>2186</v>
      </c>
      <c r="C609" s="410">
        <v>3465</v>
      </c>
      <c r="D609" s="93" t="s">
        <v>9</v>
      </c>
      <c r="E609" s="93" t="s">
        <v>9</v>
      </c>
      <c r="F609" s="93" t="s">
        <v>1648</v>
      </c>
      <c r="G609" s="93" t="s">
        <v>9117</v>
      </c>
      <c r="H609" s="93" t="s">
        <v>1943</v>
      </c>
      <c r="I609" s="93" t="s">
        <v>111</v>
      </c>
      <c r="J609" s="93" t="s">
        <v>963</v>
      </c>
      <c r="K609" s="93">
        <v>60</v>
      </c>
      <c r="L609" s="93" t="s">
        <v>111</v>
      </c>
      <c r="M609" s="93">
        <v>4.5</v>
      </c>
      <c r="N609" s="93" t="s">
        <v>113</v>
      </c>
      <c r="O609" s="93">
        <v>18.5</v>
      </c>
      <c r="P609" s="93">
        <v>29.5</v>
      </c>
      <c r="Q609" s="93">
        <v>32.5</v>
      </c>
      <c r="R609" s="93" t="s">
        <v>123</v>
      </c>
      <c r="S609" s="93" t="s">
        <v>111</v>
      </c>
      <c r="T609" s="93" t="s">
        <v>1659</v>
      </c>
      <c r="U609" s="93" t="s">
        <v>116</v>
      </c>
      <c r="V609" s="94">
        <v>44628.583333333336</v>
      </c>
      <c r="W609" s="93" t="s">
        <v>1170</v>
      </c>
      <c r="X609" s="93" t="s">
        <v>24</v>
      </c>
    </row>
    <row r="610" spans="1:24" hidden="1" x14ac:dyDescent="0.15">
      <c r="A610" s="93" t="s">
        <v>2187</v>
      </c>
      <c r="B610" s="93" t="s">
        <v>2188</v>
      </c>
      <c r="C610" s="410">
        <v>3465</v>
      </c>
      <c r="D610" s="93" t="s">
        <v>9</v>
      </c>
      <c r="E610" s="93" t="s">
        <v>9</v>
      </c>
      <c r="F610" s="93" t="s">
        <v>1648</v>
      </c>
      <c r="G610" s="93" t="s">
        <v>9117</v>
      </c>
      <c r="H610" s="93" t="s">
        <v>1943</v>
      </c>
      <c r="I610" s="93" t="s">
        <v>111</v>
      </c>
      <c r="J610" s="93" t="s">
        <v>963</v>
      </c>
      <c r="K610" s="93">
        <v>60</v>
      </c>
      <c r="L610" s="93" t="s">
        <v>111</v>
      </c>
      <c r="M610" s="93">
        <v>4.5</v>
      </c>
      <c r="N610" s="93" t="s">
        <v>113</v>
      </c>
      <c r="O610" s="93">
        <v>18.5</v>
      </c>
      <c r="P610" s="93">
        <v>29.5</v>
      </c>
      <c r="Q610" s="93">
        <v>32.5</v>
      </c>
      <c r="R610" s="93" t="s">
        <v>123</v>
      </c>
      <c r="S610" s="93" t="s">
        <v>111</v>
      </c>
      <c r="T610" s="93" t="s">
        <v>1659</v>
      </c>
      <c r="U610" s="93" t="s">
        <v>116</v>
      </c>
      <c r="V610" s="94">
        <v>44628.540277777778</v>
      </c>
      <c r="W610" s="93" t="s">
        <v>1170</v>
      </c>
      <c r="X610" s="93" t="s">
        <v>24</v>
      </c>
    </row>
    <row r="611" spans="1:24" hidden="1" x14ac:dyDescent="0.15">
      <c r="A611" s="93" t="s">
        <v>2189</v>
      </c>
      <c r="B611" s="93" t="s">
        <v>2190</v>
      </c>
      <c r="C611" s="410">
        <v>3465</v>
      </c>
      <c r="D611" s="93" t="s">
        <v>9</v>
      </c>
      <c r="E611" s="93" t="s">
        <v>9</v>
      </c>
      <c r="F611" s="93" t="s">
        <v>1648</v>
      </c>
      <c r="G611" s="93" t="s">
        <v>9117</v>
      </c>
      <c r="H611" s="93" t="s">
        <v>1943</v>
      </c>
      <c r="I611" s="93" t="s">
        <v>111</v>
      </c>
      <c r="J611" s="93" t="s">
        <v>963</v>
      </c>
      <c r="K611" s="93">
        <v>60</v>
      </c>
      <c r="L611" s="93" t="s">
        <v>111</v>
      </c>
      <c r="M611" s="93">
        <v>4.5</v>
      </c>
      <c r="N611" s="93" t="s">
        <v>113</v>
      </c>
      <c r="O611" s="93">
        <v>18.5</v>
      </c>
      <c r="P611" s="93">
        <v>29.5</v>
      </c>
      <c r="Q611" s="93">
        <v>32.5</v>
      </c>
      <c r="R611" s="93" t="s">
        <v>123</v>
      </c>
      <c r="S611" s="93" t="s">
        <v>111</v>
      </c>
      <c r="T611" s="93" t="s">
        <v>1659</v>
      </c>
      <c r="U611" s="93" t="s">
        <v>116</v>
      </c>
      <c r="V611" s="94">
        <v>44628.520138888889</v>
      </c>
      <c r="W611" s="93" t="s">
        <v>1170</v>
      </c>
      <c r="X611" s="93" t="s">
        <v>9</v>
      </c>
    </row>
    <row r="612" spans="1:24" hidden="1" x14ac:dyDescent="0.15">
      <c r="A612" s="93" t="s">
        <v>2191</v>
      </c>
      <c r="B612" s="93" t="s">
        <v>2192</v>
      </c>
      <c r="C612" s="410">
        <v>3465</v>
      </c>
      <c r="D612" s="93" t="s">
        <v>9</v>
      </c>
      <c r="E612" s="93" t="s">
        <v>9</v>
      </c>
      <c r="F612" s="93" t="s">
        <v>1648</v>
      </c>
      <c r="G612" s="93" t="s">
        <v>9117</v>
      </c>
      <c r="H612" s="93" t="s">
        <v>1943</v>
      </c>
      <c r="I612" s="93" t="s">
        <v>111</v>
      </c>
      <c r="J612" s="93" t="s">
        <v>963</v>
      </c>
      <c r="K612" s="93">
        <v>60</v>
      </c>
      <c r="L612" s="93" t="s">
        <v>111</v>
      </c>
      <c r="M612" s="93">
        <v>4.5</v>
      </c>
      <c r="N612" s="93" t="s">
        <v>113</v>
      </c>
      <c r="O612" s="93">
        <v>18.5</v>
      </c>
      <c r="P612" s="93">
        <v>29.5</v>
      </c>
      <c r="Q612" s="93">
        <v>32.5</v>
      </c>
      <c r="R612" s="93" t="s">
        <v>123</v>
      </c>
      <c r="S612" s="93" t="s">
        <v>111</v>
      </c>
      <c r="T612" s="93" t="s">
        <v>1659</v>
      </c>
      <c r="U612" s="93" t="s">
        <v>116</v>
      </c>
      <c r="V612" s="94">
        <v>44628.542361111111</v>
      </c>
      <c r="W612" s="93" t="s">
        <v>1170</v>
      </c>
      <c r="X612" s="93" t="s">
        <v>9</v>
      </c>
    </row>
    <row r="613" spans="1:24" hidden="1" x14ac:dyDescent="0.15">
      <c r="A613" s="93" t="s">
        <v>2193</v>
      </c>
      <c r="B613" s="93" t="s">
        <v>2194</v>
      </c>
      <c r="C613" s="410">
        <v>3465</v>
      </c>
      <c r="D613" s="93" t="s">
        <v>9</v>
      </c>
      <c r="E613" s="93" t="s">
        <v>9</v>
      </c>
      <c r="F613" s="93" t="s">
        <v>1648</v>
      </c>
      <c r="G613" s="93" t="s">
        <v>9117</v>
      </c>
      <c r="H613" s="93" t="s">
        <v>1943</v>
      </c>
      <c r="I613" s="93" t="s">
        <v>111</v>
      </c>
      <c r="J613" s="93" t="s">
        <v>963</v>
      </c>
      <c r="K613" s="93">
        <v>60</v>
      </c>
      <c r="L613" s="93" t="s">
        <v>111</v>
      </c>
      <c r="M613" s="93">
        <v>4.5</v>
      </c>
      <c r="N613" s="93" t="s">
        <v>113</v>
      </c>
      <c r="O613" s="93">
        <v>18.5</v>
      </c>
      <c r="P613" s="93">
        <v>29.5</v>
      </c>
      <c r="Q613" s="93">
        <v>32.5</v>
      </c>
      <c r="R613" s="93" t="s">
        <v>123</v>
      </c>
      <c r="S613" s="93" t="s">
        <v>111</v>
      </c>
      <c r="T613" s="93" t="s">
        <v>1659</v>
      </c>
      <c r="U613" s="93" t="s">
        <v>116</v>
      </c>
      <c r="V613" s="94">
        <v>44628.520138888889</v>
      </c>
      <c r="W613" s="93" t="s">
        <v>1170</v>
      </c>
      <c r="X613" s="93" t="s">
        <v>24</v>
      </c>
    </row>
    <row r="614" spans="1:24" hidden="1" x14ac:dyDescent="0.15">
      <c r="A614" s="93" t="s">
        <v>2195</v>
      </c>
      <c r="B614" s="93" t="s">
        <v>2196</v>
      </c>
      <c r="C614" s="410">
        <v>3465</v>
      </c>
      <c r="D614" s="93" t="s">
        <v>9</v>
      </c>
      <c r="E614" s="93" t="s">
        <v>9</v>
      </c>
      <c r="F614" s="93" t="s">
        <v>1648</v>
      </c>
      <c r="G614" s="93" t="s">
        <v>9117</v>
      </c>
      <c r="H614" s="93" t="s">
        <v>1943</v>
      </c>
      <c r="I614" s="93" t="s">
        <v>111</v>
      </c>
      <c r="J614" s="93" t="s">
        <v>963</v>
      </c>
      <c r="K614" s="93">
        <v>60</v>
      </c>
      <c r="L614" s="93" t="s">
        <v>111</v>
      </c>
      <c r="M614" s="93">
        <v>4.5</v>
      </c>
      <c r="N614" s="93" t="s">
        <v>113</v>
      </c>
      <c r="O614" s="93">
        <v>18.5</v>
      </c>
      <c r="P614" s="93">
        <v>29.5</v>
      </c>
      <c r="Q614" s="93">
        <v>32.5</v>
      </c>
      <c r="R614" s="93" t="s">
        <v>123</v>
      </c>
      <c r="S614" s="93" t="s">
        <v>111</v>
      </c>
      <c r="T614" s="93" t="s">
        <v>1659</v>
      </c>
      <c r="U614" s="93" t="s">
        <v>116</v>
      </c>
      <c r="V614" s="94">
        <v>44628.642361111109</v>
      </c>
      <c r="W614" s="93" t="s">
        <v>1170</v>
      </c>
      <c r="X614" s="93" t="s">
        <v>24</v>
      </c>
    </row>
    <row r="615" spans="1:24" hidden="1" x14ac:dyDescent="0.15">
      <c r="A615" s="93" t="s">
        <v>2197</v>
      </c>
      <c r="B615" s="93" t="s">
        <v>2198</v>
      </c>
      <c r="C615" s="410">
        <v>3465</v>
      </c>
      <c r="D615" s="93" t="s">
        <v>9</v>
      </c>
      <c r="E615" s="93" t="s">
        <v>9</v>
      </c>
      <c r="F615" s="93" t="s">
        <v>1648</v>
      </c>
      <c r="G615" s="93" t="s">
        <v>9117</v>
      </c>
      <c r="H615" s="93" t="s">
        <v>1943</v>
      </c>
      <c r="I615" s="93" t="s">
        <v>111</v>
      </c>
      <c r="J615" s="93" t="s">
        <v>963</v>
      </c>
      <c r="K615" s="93">
        <v>60</v>
      </c>
      <c r="L615" s="93" t="s">
        <v>111</v>
      </c>
      <c r="M615" s="93">
        <v>4.5</v>
      </c>
      <c r="N615" s="93" t="s">
        <v>113</v>
      </c>
      <c r="O615" s="93">
        <v>18.5</v>
      </c>
      <c r="P615" s="93">
        <v>29.5</v>
      </c>
      <c r="Q615" s="93">
        <v>32.5</v>
      </c>
      <c r="R615" s="93" t="s">
        <v>123</v>
      </c>
      <c r="S615" s="93" t="s">
        <v>111</v>
      </c>
      <c r="T615" s="93" t="s">
        <v>1659</v>
      </c>
      <c r="U615" s="93" t="s">
        <v>116</v>
      </c>
      <c r="V615" s="94">
        <v>44628.520138888889</v>
      </c>
      <c r="W615" s="93" t="s">
        <v>1170</v>
      </c>
      <c r="X615" s="93" t="s">
        <v>24</v>
      </c>
    </row>
    <row r="616" spans="1:24" hidden="1" x14ac:dyDescent="0.15">
      <c r="A616" s="93" t="s">
        <v>2199</v>
      </c>
      <c r="B616" s="93" t="s">
        <v>2200</v>
      </c>
      <c r="C616" s="410">
        <v>3465</v>
      </c>
      <c r="D616" s="93" t="s">
        <v>9</v>
      </c>
      <c r="E616" s="93" t="s">
        <v>9</v>
      </c>
      <c r="F616" s="93" t="s">
        <v>1648</v>
      </c>
      <c r="G616" s="93" t="s">
        <v>9117</v>
      </c>
      <c r="H616" s="93" t="s">
        <v>1943</v>
      </c>
      <c r="I616" s="93" t="s">
        <v>111</v>
      </c>
      <c r="J616" s="93" t="s">
        <v>963</v>
      </c>
      <c r="K616" s="93">
        <v>60</v>
      </c>
      <c r="L616" s="93" t="s">
        <v>111</v>
      </c>
      <c r="M616" s="93">
        <v>4.5</v>
      </c>
      <c r="N616" s="93" t="s">
        <v>113</v>
      </c>
      <c r="O616" s="93">
        <v>18.5</v>
      </c>
      <c r="P616" s="93">
        <v>29.5</v>
      </c>
      <c r="Q616" s="93">
        <v>32.5</v>
      </c>
      <c r="R616" s="93" t="s">
        <v>123</v>
      </c>
      <c r="S616" s="93" t="s">
        <v>111</v>
      </c>
      <c r="T616" s="93" t="s">
        <v>1659</v>
      </c>
      <c r="U616" s="93" t="s">
        <v>116</v>
      </c>
      <c r="V616" s="94">
        <v>44628.477083333331</v>
      </c>
      <c r="W616" s="93" t="s">
        <v>1170</v>
      </c>
      <c r="X616" s="93" t="s">
        <v>24</v>
      </c>
    </row>
    <row r="617" spans="1:24" hidden="1" x14ac:dyDescent="0.15">
      <c r="A617" s="93" t="s">
        <v>2201</v>
      </c>
      <c r="B617" s="93" t="s">
        <v>2202</v>
      </c>
      <c r="C617" s="410">
        <v>3465</v>
      </c>
      <c r="D617" s="93" t="s">
        <v>9</v>
      </c>
      <c r="E617" s="93" t="s">
        <v>9</v>
      </c>
      <c r="F617" s="93" t="s">
        <v>1648</v>
      </c>
      <c r="G617" s="93" t="s">
        <v>9117</v>
      </c>
      <c r="H617" s="93" t="s">
        <v>1943</v>
      </c>
      <c r="I617" s="93" t="s">
        <v>111</v>
      </c>
      <c r="J617" s="93" t="s">
        <v>963</v>
      </c>
      <c r="K617" s="93">
        <v>60</v>
      </c>
      <c r="L617" s="93" t="s">
        <v>111</v>
      </c>
      <c r="M617" s="93">
        <v>4.5</v>
      </c>
      <c r="N617" s="93" t="s">
        <v>113</v>
      </c>
      <c r="O617" s="93">
        <v>18.5</v>
      </c>
      <c r="P617" s="93">
        <v>29.5</v>
      </c>
      <c r="Q617" s="93">
        <v>32.5</v>
      </c>
      <c r="R617" s="93" t="s">
        <v>123</v>
      </c>
      <c r="S617" s="93" t="s">
        <v>111</v>
      </c>
      <c r="T617" s="93" t="s">
        <v>1659</v>
      </c>
      <c r="U617" s="93" t="s">
        <v>116</v>
      </c>
      <c r="V617" s="94">
        <v>44628.583333333336</v>
      </c>
      <c r="W617" s="93" t="s">
        <v>1170</v>
      </c>
      <c r="X617" s="93" t="s">
        <v>24</v>
      </c>
    </row>
    <row r="618" spans="1:24" hidden="1" x14ac:dyDescent="0.15">
      <c r="A618" s="93" t="s">
        <v>2203</v>
      </c>
      <c r="B618" s="93" t="s">
        <v>2204</v>
      </c>
      <c r="C618" s="410">
        <v>3465</v>
      </c>
      <c r="D618" s="93" t="s">
        <v>9</v>
      </c>
      <c r="E618" s="93" t="s">
        <v>9</v>
      </c>
      <c r="F618" s="93" t="s">
        <v>1648</v>
      </c>
      <c r="G618" s="93" t="s">
        <v>9117</v>
      </c>
      <c r="H618" s="93" t="s">
        <v>1943</v>
      </c>
      <c r="I618" s="93" t="s">
        <v>111</v>
      </c>
      <c r="J618" s="93" t="s">
        <v>963</v>
      </c>
      <c r="K618" s="93">
        <v>60</v>
      </c>
      <c r="L618" s="93" t="s">
        <v>111</v>
      </c>
      <c r="M618" s="93">
        <v>4.5</v>
      </c>
      <c r="N618" s="93" t="s">
        <v>113</v>
      </c>
      <c r="O618" s="93">
        <v>18.5</v>
      </c>
      <c r="P618" s="93">
        <v>29.5</v>
      </c>
      <c r="Q618" s="93">
        <v>32.5</v>
      </c>
      <c r="R618" s="93" t="s">
        <v>123</v>
      </c>
      <c r="S618" s="93" t="s">
        <v>111</v>
      </c>
      <c r="T618" s="93" t="s">
        <v>1659</v>
      </c>
      <c r="U618" s="93" t="s">
        <v>116</v>
      </c>
      <c r="V618" s="94">
        <v>44628.518055555556</v>
      </c>
      <c r="W618" s="93" t="s">
        <v>1170</v>
      </c>
      <c r="X618" s="93" t="s">
        <v>24</v>
      </c>
    </row>
    <row r="619" spans="1:24" hidden="1" x14ac:dyDescent="0.15">
      <c r="A619" s="93" t="s">
        <v>2205</v>
      </c>
      <c r="B619" s="93" t="s">
        <v>2206</v>
      </c>
      <c r="C619" s="410">
        <v>3465</v>
      </c>
      <c r="D619" s="93" t="s">
        <v>9</v>
      </c>
      <c r="E619" s="93" t="s">
        <v>9</v>
      </c>
      <c r="F619" s="93" t="s">
        <v>1648</v>
      </c>
      <c r="G619" s="93" t="s">
        <v>9117</v>
      </c>
      <c r="H619" s="93" t="s">
        <v>1943</v>
      </c>
      <c r="I619" s="93" t="s">
        <v>111</v>
      </c>
      <c r="J619" s="93" t="s">
        <v>963</v>
      </c>
      <c r="K619" s="93">
        <v>60</v>
      </c>
      <c r="L619" s="93" t="s">
        <v>111</v>
      </c>
      <c r="M619" s="93">
        <v>4.5</v>
      </c>
      <c r="N619" s="93" t="s">
        <v>113</v>
      </c>
      <c r="O619" s="93">
        <v>18.5</v>
      </c>
      <c r="P619" s="93">
        <v>29.5</v>
      </c>
      <c r="Q619" s="93">
        <v>32.5</v>
      </c>
      <c r="R619" s="93" t="s">
        <v>123</v>
      </c>
      <c r="S619" s="93" t="s">
        <v>111</v>
      </c>
      <c r="T619" s="93" t="s">
        <v>1659</v>
      </c>
      <c r="U619" s="93" t="s">
        <v>116</v>
      </c>
      <c r="V619" s="94">
        <v>44628.495833333334</v>
      </c>
      <c r="W619" s="93" t="s">
        <v>1170</v>
      </c>
      <c r="X619" s="93" t="s">
        <v>24</v>
      </c>
    </row>
    <row r="620" spans="1:24" hidden="1" x14ac:dyDescent="0.15">
      <c r="A620" s="93" t="s">
        <v>2207</v>
      </c>
      <c r="B620" s="93" t="s">
        <v>2208</v>
      </c>
      <c r="C620" s="410">
        <v>3465</v>
      </c>
      <c r="D620" s="93" t="s">
        <v>9</v>
      </c>
      <c r="E620" s="93" t="s">
        <v>9</v>
      </c>
      <c r="F620" s="93" t="s">
        <v>1648</v>
      </c>
      <c r="G620" s="93" t="s">
        <v>9117</v>
      </c>
      <c r="H620" s="93" t="s">
        <v>1943</v>
      </c>
      <c r="I620" s="93" t="s">
        <v>111</v>
      </c>
      <c r="J620" s="93" t="s">
        <v>963</v>
      </c>
      <c r="K620" s="93">
        <v>60</v>
      </c>
      <c r="L620" s="93" t="s">
        <v>111</v>
      </c>
      <c r="M620" s="93">
        <v>4.5</v>
      </c>
      <c r="N620" s="93" t="s">
        <v>113</v>
      </c>
      <c r="O620" s="93">
        <v>18.5</v>
      </c>
      <c r="P620" s="93">
        <v>29.5</v>
      </c>
      <c r="Q620" s="93">
        <v>32.5</v>
      </c>
      <c r="R620" s="93" t="s">
        <v>123</v>
      </c>
      <c r="S620" s="93" t="s">
        <v>111</v>
      </c>
      <c r="T620" s="93" t="s">
        <v>1659</v>
      </c>
      <c r="U620" s="93" t="s">
        <v>116</v>
      </c>
      <c r="V620" s="94">
        <v>44628.640277777777</v>
      </c>
      <c r="W620" s="93" t="s">
        <v>1170</v>
      </c>
      <c r="X620" s="93" t="s">
        <v>24</v>
      </c>
    </row>
    <row r="621" spans="1:24" hidden="1" x14ac:dyDescent="0.15">
      <c r="A621" s="93" t="s">
        <v>2209</v>
      </c>
      <c r="B621" s="93" t="s">
        <v>2210</v>
      </c>
      <c r="C621" s="410">
        <v>3465</v>
      </c>
      <c r="D621" s="93" t="s">
        <v>9</v>
      </c>
      <c r="E621" s="93" t="s">
        <v>9</v>
      </c>
      <c r="F621" s="93" t="s">
        <v>1648</v>
      </c>
      <c r="G621" s="93" t="s">
        <v>9117</v>
      </c>
      <c r="H621" s="93" t="s">
        <v>1943</v>
      </c>
      <c r="I621" s="93" t="s">
        <v>111</v>
      </c>
      <c r="J621" s="93" t="s">
        <v>963</v>
      </c>
      <c r="K621" s="93">
        <v>60</v>
      </c>
      <c r="L621" s="93" t="s">
        <v>111</v>
      </c>
      <c r="M621" s="93">
        <v>4.5</v>
      </c>
      <c r="N621" s="93" t="s">
        <v>113</v>
      </c>
      <c r="O621" s="93">
        <v>18.5</v>
      </c>
      <c r="P621" s="93">
        <v>29.5</v>
      </c>
      <c r="Q621" s="93">
        <v>32.5</v>
      </c>
      <c r="R621" s="93" t="s">
        <v>123</v>
      </c>
      <c r="S621" s="93" t="s">
        <v>111</v>
      </c>
      <c r="T621" s="93" t="s">
        <v>1659</v>
      </c>
      <c r="U621" s="93" t="s">
        <v>116</v>
      </c>
      <c r="V621" s="94">
        <v>44628.518055555556</v>
      </c>
      <c r="W621" s="93" t="s">
        <v>1170</v>
      </c>
      <c r="X621" s="93" t="s">
        <v>24</v>
      </c>
    </row>
    <row r="622" spans="1:24" hidden="1" x14ac:dyDescent="0.15">
      <c r="A622" s="93" t="s">
        <v>2211</v>
      </c>
      <c r="B622" s="93" t="s">
        <v>2212</v>
      </c>
      <c r="C622" s="410">
        <v>3465</v>
      </c>
      <c r="D622" s="93" t="s">
        <v>9</v>
      </c>
      <c r="E622" s="93" t="s">
        <v>9</v>
      </c>
      <c r="F622" s="93" t="s">
        <v>1648</v>
      </c>
      <c r="G622" s="93" t="s">
        <v>9117</v>
      </c>
      <c r="H622" s="93" t="s">
        <v>1943</v>
      </c>
      <c r="I622" s="93" t="s">
        <v>111</v>
      </c>
      <c r="J622" s="93" t="s">
        <v>963</v>
      </c>
      <c r="K622" s="93">
        <v>60</v>
      </c>
      <c r="L622" s="93" t="s">
        <v>111</v>
      </c>
      <c r="M622" s="93">
        <v>4.5</v>
      </c>
      <c r="N622" s="93" t="s">
        <v>113</v>
      </c>
      <c r="O622" s="93">
        <v>18.5</v>
      </c>
      <c r="P622" s="93">
        <v>29.5</v>
      </c>
      <c r="Q622" s="93">
        <v>32.5</v>
      </c>
      <c r="R622" s="93" t="s">
        <v>123</v>
      </c>
      <c r="S622" s="93" t="s">
        <v>111</v>
      </c>
      <c r="T622" s="93" t="s">
        <v>1659</v>
      </c>
      <c r="U622" s="93" t="s">
        <v>116</v>
      </c>
      <c r="V622" s="94">
        <v>44628.518055555556</v>
      </c>
      <c r="W622" s="93" t="s">
        <v>1170</v>
      </c>
      <c r="X622" s="93" t="s">
        <v>24</v>
      </c>
    </row>
    <row r="623" spans="1:24" hidden="1" x14ac:dyDescent="0.15">
      <c r="A623" s="93" t="s">
        <v>2213</v>
      </c>
      <c r="B623" s="93" t="s">
        <v>2214</v>
      </c>
      <c r="C623" s="410">
        <v>3465</v>
      </c>
      <c r="D623" s="93" t="s">
        <v>9</v>
      </c>
      <c r="E623" s="93" t="s">
        <v>9</v>
      </c>
      <c r="F623" s="93" t="s">
        <v>1648</v>
      </c>
      <c r="G623" s="93" t="s">
        <v>9117</v>
      </c>
      <c r="H623" s="93" t="s">
        <v>1943</v>
      </c>
      <c r="I623" s="93" t="s">
        <v>111</v>
      </c>
      <c r="J623" s="93" t="s">
        <v>963</v>
      </c>
      <c r="K623" s="93">
        <v>60</v>
      </c>
      <c r="L623" s="93" t="s">
        <v>111</v>
      </c>
      <c r="M623" s="93">
        <v>5.9</v>
      </c>
      <c r="N623" s="93" t="s">
        <v>113</v>
      </c>
      <c r="O623" s="93">
        <v>18.5</v>
      </c>
      <c r="P623" s="93">
        <v>29.5</v>
      </c>
      <c r="Q623" s="93">
        <v>32.5</v>
      </c>
      <c r="R623" s="93" t="s">
        <v>123</v>
      </c>
      <c r="S623" s="93" t="s">
        <v>111</v>
      </c>
      <c r="T623" s="93" t="s">
        <v>1659</v>
      </c>
      <c r="U623" s="93" t="s">
        <v>116</v>
      </c>
      <c r="V623" s="94">
        <v>44628.495833333334</v>
      </c>
      <c r="W623" s="93" t="s">
        <v>1170</v>
      </c>
      <c r="X623" s="93" t="s">
        <v>24</v>
      </c>
    </row>
    <row r="624" spans="1:24" hidden="1" x14ac:dyDescent="0.15">
      <c r="A624" s="93" t="s">
        <v>2215</v>
      </c>
      <c r="B624" s="93" t="s">
        <v>2216</v>
      </c>
      <c r="C624" s="410">
        <v>3465</v>
      </c>
      <c r="D624" s="93" t="s">
        <v>9</v>
      </c>
      <c r="E624" s="93" t="s">
        <v>9</v>
      </c>
      <c r="F624" s="93" t="s">
        <v>1648</v>
      </c>
      <c r="G624" s="93" t="s">
        <v>9117</v>
      </c>
      <c r="H624" s="93" t="s">
        <v>1943</v>
      </c>
      <c r="I624" s="93" t="s">
        <v>111</v>
      </c>
      <c r="J624" s="93" t="s">
        <v>963</v>
      </c>
      <c r="K624" s="93">
        <v>60</v>
      </c>
      <c r="L624" s="93" t="s">
        <v>111</v>
      </c>
      <c r="M624" s="93">
        <v>5.9</v>
      </c>
      <c r="N624" s="93" t="s">
        <v>113</v>
      </c>
      <c r="O624" s="93">
        <v>18.5</v>
      </c>
      <c r="P624" s="93">
        <v>29.5</v>
      </c>
      <c r="Q624" s="93">
        <v>32.5</v>
      </c>
      <c r="R624" s="93" t="s">
        <v>123</v>
      </c>
      <c r="S624" s="93" t="s">
        <v>111</v>
      </c>
      <c r="T624" s="93" t="s">
        <v>1659</v>
      </c>
      <c r="U624" s="93" t="s">
        <v>116</v>
      </c>
      <c r="V624" s="94">
        <v>44628.474999999999</v>
      </c>
      <c r="W624" s="93" t="s">
        <v>1170</v>
      </c>
      <c r="X624" s="93" t="s">
        <v>24</v>
      </c>
    </row>
    <row r="625" spans="1:24" hidden="1" x14ac:dyDescent="0.15">
      <c r="A625" s="93" t="s">
        <v>2217</v>
      </c>
      <c r="B625" s="93" t="s">
        <v>2218</v>
      </c>
      <c r="C625" s="410">
        <v>3465</v>
      </c>
      <c r="D625" s="93" t="s">
        <v>9</v>
      </c>
      <c r="E625" s="93" t="s">
        <v>9</v>
      </c>
      <c r="F625" s="93" t="s">
        <v>1648</v>
      </c>
      <c r="G625" s="93" t="s">
        <v>9117</v>
      </c>
      <c r="H625" s="93" t="s">
        <v>1943</v>
      </c>
      <c r="I625" s="93" t="s">
        <v>111</v>
      </c>
      <c r="J625" s="93" t="s">
        <v>963</v>
      </c>
      <c r="K625" s="93">
        <v>60</v>
      </c>
      <c r="L625" s="93" t="s">
        <v>111</v>
      </c>
      <c r="M625" s="93">
        <v>4.5</v>
      </c>
      <c r="N625" s="93" t="s">
        <v>113</v>
      </c>
      <c r="O625" s="93">
        <v>18.5</v>
      </c>
      <c r="P625" s="93">
        <v>29.5</v>
      </c>
      <c r="Q625" s="93">
        <v>32.5</v>
      </c>
      <c r="R625" s="93" t="s">
        <v>123</v>
      </c>
      <c r="S625" s="93" t="s">
        <v>111</v>
      </c>
      <c r="T625" s="93" t="s">
        <v>1659</v>
      </c>
      <c r="U625" s="93" t="s">
        <v>116</v>
      </c>
      <c r="V625" s="94">
        <v>44628.518055555556</v>
      </c>
      <c r="W625" s="93" t="s">
        <v>1170</v>
      </c>
      <c r="X625" s="93" t="s">
        <v>24</v>
      </c>
    </row>
    <row r="626" spans="1:24" hidden="1" x14ac:dyDescent="0.15">
      <c r="A626" s="93" t="s">
        <v>2219</v>
      </c>
      <c r="B626" s="93" t="s">
        <v>2220</v>
      </c>
      <c r="C626" s="410">
        <v>3465</v>
      </c>
      <c r="D626" s="93" t="s">
        <v>9</v>
      </c>
      <c r="E626" s="93" t="s">
        <v>9</v>
      </c>
      <c r="F626" s="93" t="s">
        <v>1648</v>
      </c>
      <c r="G626" s="93" t="s">
        <v>9117</v>
      </c>
      <c r="H626" s="93" t="s">
        <v>1943</v>
      </c>
      <c r="I626" s="93" t="s">
        <v>111</v>
      </c>
      <c r="J626" s="93" t="s">
        <v>963</v>
      </c>
      <c r="K626" s="93">
        <v>60</v>
      </c>
      <c r="L626" s="93" t="s">
        <v>111</v>
      </c>
      <c r="M626" s="93">
        <v>4.5</v>
      </c>
      <c r="N626" s="93" t="s">
        <v>113</v>
      </c>
      <c r="O626" s="93">
        <v>18.5</v>
      </c>
      <c r="P626" s="93">
        <v>29.5</v>
      </c>
      <c r="Q626" s="93">
        <v>32.5</v>
      </c>
      <c r="R626" s="93" t="s">
        <v>123</v>
      </c>
      <c r="S626" s="93" t="s">
        <v>111</v>
      </c>
      <c r="T626" s="93" t="s">
        <v>1659</v>
      </c>
      <c r="U626" s="93" t="s">
        <v>116</v>
      </c>
      <c r="V626" s="94">
        <v>44628.540277777778</v>
      </c>
      <c r="W626" s="93" t="s">
        <v>1170</v>
      </c>
      <c r="X626" s="93" t="s">
        <v>24</v>
      </c>
    </row>
    <row r="627" spans="1:24" hidden="1" x14ac:dyDescent="0.15">
      <c r="A627" s="93" t="s">
        <v>2221</v>
      </c>
      <c r="B627" s="93" t="s">
        <v>2222</v>
      </c>
      <c r="C627" s="410">
        <v>3465</v>
      </c>
      <c r="D627" s="93" t="s">
        <v>9</v>
      </c>
      <c r="E627" s="93" t="s">
        <v>9</v>
      </c>
      <c r="F627" s="93" t="s">
        <v>1648</v>
      </c>
      <c r="G627" s="93" t="s">
        <v>9117</v>
      </c>
      <c r="H627" s="93" t="s">
        <v>1943</v>
      </c>
      <c r="I627" s="93" t="s">
        <v>111</v>
      </c>
      <c r="J627" s="93" t="s">
        <v>963</v>
      </c>
      <c r="K627" s="93">
        <v>60</v>
      </c>
      <c r="L627" s="93" t="s">
        <v>111</v>
      </c>
      <c r="M627" s="93">
        <v>4.5</v>
      </c>
      <c r="N627" s="93" t="s">
        <v>113</v>
      </c>
      <c r="O627" s="93">
        <v>18.5</v>
      </c>
      <c r="P627" s="93">
        <v>29.5</v>
      </c>
      <c r="Q627" s="93">
        <v>32.5</v>
      </c>
      <c r="R627" s="93" t="s">
        <v>123</v>
      </c>
      <c r="S627" s="93" t="s">
        <v>111</v>
      </c>
      <c r="T627" s="93" t="s">
        <v>1659</v>
      </c>
      <c r="U627" s="93" t="s">
        <v>116</v>
      </c>
      <c r="V627" s="94">
        <v>44628.604861111111</v>
      </c>
      <c r="W627" s="93" t="s">
        <v>1170</v>
      </c>
      <c r="X627" s="93" t="s">
        <v>24</v>
      </c>
    </row>
    <row r="628" spans="1:24" hidden="1" x14ac:dyDescent="0.15">
      <c r="A628" s="93" t="s">
        <v>2223</v>
      </c>
      <c r="B628" s="93" t="s">
        <v>2224</v>
      </c>
      <c r="C628" s="410">
        <v>3465</v>
      </c>
      <c r="D628" s="93" t="s">
        <v>9</v>
      </c>
      <c r="E628" s="93" t="s">
        <v>9</v>
      </c>
      <c r="F628" s="93" t="s">
        <v>1648</v>
      </c>
      <c r="G628" s="93" t="s">
        <v>9117</v>
      </c>
      <c r="H628" s="93" t="s">
        <v>1943</v>
      </c>
      <c r="I628" s="93" t="s">
        <v>111</v>
      </c>
      <c r="J628" s="93" t="s">
        <v>963</v>
      </c>
      <c r="K628" s="93">
        <v>60</v>
      </c>
      <c r="L628" s="93" t="s">
        <v>111</v>
      </c>
      <c r="M628" s="93">
        <v>4.5</v>
      </c>
      <c r="N628" s="93" t="s">
        <v>113</v>
      </c>
      <c r="O628" s="93">
        <v>18.5</v>
      </c>
      <c r="P628" s="93">
        <v>29.5</v>
      </c>
      <c r="Q628" s="93">
        <v>32.5</v>
      </c>
      <c r="R628" s="93" t="s">
        <v>123</v>
      </c>
      <c r="S628" s="93" t="s">
        <v>111</v>
      </c>
      <c r="T628" s="93" t="s">
        <v>1659</v>
      </c>
      <c r="U628" s="93" t="s">
        <v>116</v>
      </c>
      <c r="V628" s="94">
        <v>44628.518055555556</v>
      </c>
      <c r="W628" s="93" t="s">
        <v>1170</v>
      </c>
      <c r="X628" s="93" t="s">
        <v>24</v>
      </c>
    </row>
    <row r="629" spans="1:24" hidden="1" x14ac:dyDescent="0.15">
      <c r="A629" s="93" t="s">
        <v>2225</v>
      </c>
      <c r="B629" s="93" t="s">
        <v>2226</v>
      </c>
      <c r="C629" s="410">
        <v>3465</v>
      </c>
      <c r="D629" s="93" t="s">
        <v>9</v>
      </c>
      <c r="E629" s="93" t="s">
        <v>9</v>
      </c>
      <c r="F629" s="93" t="s">
        <v>1648</v>
      </c>
      <c r="G629" s="93" t="s">
        <v>9117</v>
      </c>
      <c r="H629" s="93" t="s">
        <v>1943</v>
      </c>
      <c r="I629" s="93" t="s">
        <v>111</v>
      </c>
      <c r="J629" s="93" t="s">
        <v>963</v>
      </c>
      <c r="K629" s="93">
        <v>60</v>
      </c>
      <c r="L629" s="93" t="s">
        <v>111</v>
      </c>
      <c r="M629" s="93">
        <v>4.5</v>
      </c>
      <c r="N629" s="93" t="s">
        <v>113</v>
      </c>
      <c r="O629" s="93">
        <v>18.5</v>
      </c>
      <c r="P629" s="93">
        <v>29.5</v>
      </c>
      <c r="Q629" s="93">
        <v>32.5</v>
      </c>
      <c r="R629" s="93" t="s">
        <v>123</v>
      </c>
      <c r="S629" s="93" t="s">
        <v>111</v>
      </c>
      <c r="T629" s="93" t="s">
        <v>1659</v>
      </c>
      <c r="U629" s="93" t="s">
        <v>116</v>
      </c>
      <c r="V629" s="94">
        <v>44628.518055555556</v>
      </c>
      <c r="W629" s="93" t="s">
        <v>1170</v>
      </c>
      <c r="X629" s="93" t="s">
        <v>24</v>
      </c>
    </row>
    <row r="630" spans="1:24" hidden="1" x14ac:dyDescent="0.15">
      <c r="A630" s="93" t="s">
        <v>2227</v>
      </c>
      <c r="B630" s="93" t="s">
        <v>2228</v>
      </c>
      <c r="C630" s="410">
        <v>3465</v>
      </c>
      <c r="D630" s="93" t="s">
        <v>9</v>
      </c>
      <c r="E630" s="93" t="s">
        <v>9</v>
      </c>
      <c r="F630" s="93" t="s">
        <v>1648</v>
      </c>
      <c r="G630" s="93" t="s">
        <v>9117</v>
      </c>
      <c r="H630" s="93" t="s">
        <v>1943</v>
      </c>
      <c r="I630" s="93" t="s">
        <v>111</v>
      </c>
      <c r="J630" s="93" t="s">
        <v>963</v>
      </c>
      <c r="K630" s="93">
        <v>60</v>
      </c>
      <c r="L630" s="93" t="s">
        <v>111</v>
      </c>
      <c r="M630" s="93">
        <v>4.5</v>
      </c>
      <c r="N630" s="93" t="s">
        <v>113</v>
      </c>
      <c r="O630" s="93">
        <v>18.5</v>
      </c>
      <c r="P630" s="93">
        <v>29.5</v>
      </c>
      <c r="Q630" s="93">
        <v>32.5</v>
      </c>
      <c r="R630" s="93" t="s">
        <v>123</v>
      </c>
      <c r="S630" s="93" t="s">
        <v>111</v>
      </c>
      <c r="T630" s="93" t="s">
        <v>1659</v>
      </c>
      <c r="U630" s="93" t="s">
        <v>116</v>
      </c>
      <c r="V630" s="94">
        <v>44628.495833333334</v>
      </c>
      <c r="W630" s="93" t="s">
        <v>1170</v>
      </c>
      <c r="X630" s="93" t="s">
        <v>24</v>
      </c>
    </row>
    <row r="631" spans="1:24" hidden="1" x14ac:dyDescent="0.15">
      <c r="A631" s="93" t="s">
        <v>2229</v>
      </c>
      <c r="B631" s="93" t="s">
        <v>2230</v>
      </c>
      <c r="C631" s="410">
        <v>3465</v>
      </c>
      <c r="D631" s="93" t="s">
        <v>9</v>
      </c>
      <c r="E631" s="93" t="s">
        <v>9</v>
      </c>
      <c r="F631" s="93" t="s">
        <v>1648</v>
      </c>
      <c r="G631" s="93" t="s">
        <v>9117</v>
      </c>
      <c r="H631" s="93" t="s">
        <v>1943</v>
      </c>
      <c r="I631" s="93" t="s">
        <v>111</v>
      </c>
      <c r="J631" s="93" t="s">
        <v>963</v>
      </c>
      <c r="K631" s="93">
        <v>60</v>
      </c>
      <c r="L631" s="93" t="s">
        <v>111</v>
      </c>
      <c r="M631" s="93">
        <v>4.5</v>
      </c>
      <c r="N631" s="93" t="s">
        <v>113</v>
      </c>
      <c r="O631" s="93">
        <v>18.5</v>
      </c>
      <c r="P631" s="93">
        <v>29.5</v>
      </c>
      <c r="Q631" s="93">
        <v>32.5</v>
      </c>
      <c r="R631" s="93" t="s">
        <v>123</v>
      </c>
      <c r="S631" s="93" t="s">
        <v>111</v>
      </c>
      <c r="T631" s="93" t="s">
        <v>1659</v>
      </c>
      <c r="U631" s="93" t="s">
        <v>116</v>
      </c>
      <c r="V631" s="94">
        <v>44628.583333333336</v>
      </c>
      <c r="W631" s="93" t="s">
        <v>1170</v>
      </c>
      <c r="X631" s="93" t="s">
        <v>24</v>
      </c>
    </row>
    <row r="632" spans="1:24" hidden="1" x14ac:dyDescent="0.15">
      <c r="A632" s="93" t="s">
        <v>2231</v>
      </c>
      <c r="B632" s="93" t="s">
        <v>2232</v>
      </c>
      <c r="C632" s="410">
        <v>3465</v>
      </c>
      <c r="D632" s="93" t="s">
        <v>9</v>
      </c>
      <c r="E632" s="93" t="s">
        <v>9</v>
      </c>
      <c r="F632" s="93" t="s">
        <v>1648</v>
      </c>
      <c r="G632" s="93" t="s">
        <v>9117</v>
      </c>
      <c r="H632" s="93" t="s">
        <v>1943</v>
      </c>
      <c r="I632" s="93" t="s">
        <v>111</v>
      </c>
      <c r="J632" s="93" t="s">
        <v>963</v>
      </c>
      <c r="K632" s="93">
        <v>60</v>
      </c>
      <c r="L632" s="93" t="s">
        <v>111</v>
      </c>
      <c r="M632" s="93">
        <v>4.5</v>
      </c>
      <c r="N632" s="93" t="s">
        <v>113</v>
      </c>
      <c r="O632" s="93">
        <v>18.5</v>
      </c>
      <c r="P632" s="93">
        <v>29.5</v>
      </c>
      <c r="Q632" s="93">
        <v>32.5</v>
      </c>
      <c r="R632" s="93" t="s">
        <v>123</v>
      </c>
      <c r="S632" s="93" t="s">
        <v>111</v>
      </c>
      <c r="T632" s="93" t="s">
        <v>1659</v>
      </c>
      <c r="U632" s="93" t="s">
        <v>116</v>
      </c>
      <c r="V632" s="94">
        <v>44628.561805555553</v>
      </c>
      <c r="W632" s="93" t="s">
        <v>1170</v>
      </c>
      <c r="X632" s="93" t="s">
        <v>24</v>
      </c>
    </row>
    <row r="633" spans="1:24" hidden="1" x14ac:dyDescent="0.15">
      <c r="A633" s="93" t="s">
        <v>2233</v>
      </c>
      <c r="B633" s="93" t="s">
        <v>2234</v>
      </c>
      <c r="C633" s="410">
        <v>3465</v>
      </c>
      <c r="D633" s="93" t="s">
        <v>9</v>
      </c>
      <c r="E633" s="93" t="s">
        <v>9</v>
      </c>
      <c r="F633" s="93" t="s">
        <v>1648</v>
      </c>
      <c r="G633" s="93" t="s">
        <v>9117</v>
      </c>
      <c r="H633" s="93" t="s">
        <v>1943</v>
      </c>
      <c r="I633" s="93" t="s">
        <v>111</v>
      </c>
      <c r="J633" s="93" t="s">
        <v>963</v>
      </c>
      <c r="K633" s="93">
        <v>60</v>
      </c>
      <c r="L633" s="93" t="s">
        <v>111</v>
      </c>
      <c r="M633" s="93">
        <v>4.5</v>
      </c>
      <c r="N633" s="93" t="s">
        <v>113</v>
      </c>
      <c r="O633" s="93">
        <v>18.5</v>
      </c>
      <c r="P633" s="93">
        <v>29.5</v>
      </c>
      <c r="Q633" s="93">
        <v>32.5</v>
      </c>
      <c r="R633" s="93" t="s">
        <v>123</v>
      </c>
      <c r="S633" s="93" t="s">
        <v>111</v>
      </c>
      <c r="T633" s="93" t="s">
        <v>1659</v>
      </c>
      <c r="U633" s="93" t="s">
        <v>116</v>
      </c>
      <c r="V633" s="94">
        <v>44628.604861111111</v>
      </c>
      <c r="W633" s="93" t="s">
        <v>1170</v>
      </c>
      <c r="X633" s="93" t="s">
        <v>24</v>
      </c>
    </row>
    <row r="634" spans="1:24" hidden="1" x14ac:dyDescent="0.15">
      <c r="A634" s="93" t="s">
        <v>2235</v>
      </c>
      <c r="B634" s="93" t="s">
        <v>2236</v>
      </c>
      <c r="C634" s="410">
        <v>3465</v>
      </c>
      <c r="D634" s="93" t="s">
        <v>9</v>
      </c>
      <c r="E634" s="93" t="s">
        <v>9</v>
      </c>
      <c r="F634" s="93" t="s">
        <v>1648</v>
      </c>
      <c r="G634" s="93" t="s">
        <v>9117</v>
      </c>
      <c r="H634" s="93" t="s">
        <v>1943</v>
      </c>
      <c r="I634" s="93" t="s">
        <v>111</v>
      </c>
      <c r="J634" s="93" t="s">
        <v>963</v>
      </c>
      <c r="K634" s="93">
        <v>60</v>
      </c>
      <c r="L634" s="93" t="s">
        <v>111</v>
      </c>
      <c r="M634" s="93">
        <v>4.5</v>
      </c>
      <c r="N634" s="93" t="s">
        <v>113</v>
      </c>
      <c r="O634" s="93">
        <v>18.5</v>
      </c>
      <c r="P634" s="93">
        <v>29.5</v>
      </c>
      <c r="Q634" s="93">
        <v>32.5</v>
      </c>
      <c r="R634" s="93" t="s">
        <v>123</v>
      </c>
      <c r="S634" s="93" t="s">
        <v>111</v>
      </c>
      <c r="T634" s="93" t="s">
        <v>1659</v>
      </c>
      <c r="U634" s="93" t="s">
        <v>116</v>
      </c>
      <c r="V634" s="94">
        <v>44628.561805555553</v>
      </c>
      <c r="W634" s="93" t="s">
        <v>1170</v>
      </c>
      <c r="X634" s="93" t="s">
        <v>24</v>
      </c>
    </row>
    <row r="635" spans="1:24" hidden="1" x14ac:dyDescent="0.15">
      <c r="A635" s="93" t="s">
        <v>2237</v>
      </c>
      <c r="B635" s="93" t="s">
        <v>2238</v>
      </c>
      <c r="C635" s="410">
        <v>3465</v>
      </c>
      <c r="D635" s="93" t="s">
        <v>9</v>
      </c>
      <c r="E635" s="93" t="s">
        <v>9</v>
      </c>
      <c r="F635" s="93" t="s">
        <v>1648</v>
      </c>
      <c r="G635" s="93" t="s">
        <v>9117</v>
      </c>
      <c r="H635" s="93" t="s">
        <v>1943</v>
      </c>
      <c r="I635" s="93" t="s">
        <v>111</v>
      </c>
      <c r="J635" s="93" t="s">
        <v>963</v>
      </c>
      <c r="K635" s="93">
        <v>60</v>
      </c>
      <c r="L635" s="93" t="s">
        <v>111</v>
      </c>
      <c r="M635" s="93">
        <v>4.5</v>
      </c>
      <c r="N635" s="93" t="s">
        <v>113</v>
      </c>
      <c r="O635" s="93">
        <v>18.5</v>
      </c>
      <c r="P635" s="93">
        <v>29.5</v>
      </c>
      <c r="Q635" s="93">
        <v>32.5</v>
      </c>
      <c r="R635" s="93" t="s">
        <v>123</v>
      </c>
      <c r="S635" s="93" t="s">
        <v>111</v>
      </c>
      <c r="T635" s="93" t="s">
        <v>1659</v>
      </c>
      <c r="U635" s="93" t="s">
        <v>116</v>
      </c>
      <c r="V635" s="94">
        <v>44628.495833333334</v>
      </c>
      <c r="W635" s="93" t="s">
        <v>1170</v>
      </c>
      <c r="X635" s="93" t="s">
        <v>24</v>
      </c>
    </row>
    <row r="636" spans="1:24" hidden="1" x14ac:dyDescent="0.15">
      <c r="A636" s="93" t="s">
        <v>2239</v>
      </c>
      <c r="B636" s="93" t="s">
        <v>2240</v>
      </c>
      <c r="C636" s="410">
        <v>3465</v>
      </c>
      <c r="D636" s="93" t="s">
        <v>9</v>
      </c>
      <c r="E636" s="93" t="s">
        <v>9</v>
      </c>
      <c r="F636" s="93" t="s">
        <v>1648</v>
      </c>
      <c r="G636" s="93" t="s">
        <v>9117</v>
      </c>
      <c r="H636" s="93" t="s">
        <v>1943</v>
      </c>
      <c r="I636" s="93" t="s">
        <v>111</v>
      </c>
      <c r="J636" s="93" t="s">
        <v>963</v>
      </c>
      <c r="K636" s="93">
        <v>60</v>
      </c>
      <c r="L636" s="93" t="s">
        <v>111</v>
      </c>
      <c r="M636" s="93">
        <v>4.5</v>
      </c>
      <c r="N636" s="93" t="s">
        <v>113</v>
      </c>
      <c r="O636" s="93">
        <v>18.5</v>
      </c>
      <c r="P636" s="93">
        <v>29.5</v>
      </c>
      <c r="Q636" s="93">
        <v>32.5</v>
      </c>
      <c r="R636" s="93" t="s">
        <v>123</v>
      </c>
      <c r="S636" s="93" t="s">
        <v>111</v>
      </c>
      <c r="T636" s="93" t="s">
        <v>1659</v>
      </c>
      <c r="U636" s="93" t="s">
        <v>116</v>
      </c>
      <c r="V636" s="94">
        <v>44628.561805555553</v>
      </c>
      <c r="W636" s="93" t="s">
        <v>1170</v>
      </c>
      <c r="X636" s="93" t="s">
        <v>24</v>
      </c>
    </row>
    <row r="637" spans="1:24" hidden="1" x14ac:dyDescent="0.15">
      <c r="A637" s="93" t="s">
        <v>2241</v>
      </c>
      <c r="B637" s="93" t="s">
        <v>2242</v>
      </c>
      <c r="C637" s="410">
        <v>3465</v>
      </c>
      <c r="D637" s="93" t="s">
        <v>9</v>
      </c>
      <c r="E637" s="93" t="s">
        <v>9</v>
      </c>
      <c r="F637" s="93" t="s">
        <v>1648</v>
      </c>
      <c r="G637" s="93" t="s">
        <v>9117</v>
      </c>
      <c r="H637" s="93" t="s">
        <v>1943</v>
      </c>
      <c r="I637" s="93" t="s">
        <v>111</v>
      </c>
      <c r="J637" s="93" t="s">
        <v>963</v>
      </c>
      <c r="K637" s="93">
        <v>60</v>
      </c>
      <c r="L637" s="93" t="s">
        <v>111</v>
      </c>
      <c r="M637" s="93">
        <v>4.5</v>
      </c>
      <c r="N637" s="93" t="s">
        <v>113</v>
      </c>
      <c r="O637" s="93">
        <v>18.5</v>
      </c>
      <c r="P637" s="93">
        <v>29.5</v>
      </c>
      <c r="Q637" s="93">
        <v>32.5</v>
      </c>
      <c r="R637" s="93" t="s">
        <v>123</v>
      </c>
      <c r="S637" s="93" t="s">
        <v>111</v>
      </c>
      <c r="T637" s="93" t="s">
        <v>1659</v>
      </c>
      <c r="U637" s="93" t="s">
        <v>116</v>
      </c>
      <c r="V637" s="94">
        <v>44628.561805555553</v>
      </c>
      <c r="W637" s="93" t="s">
        <v>1170</v>
      </c>
      <c r="X637" s="93" t="s">
        <v>24</v>
      </c>
    </row>
    <row r="638" spans="1:24" hidden="1" x14ac:dyDescent="0.15">
      <c r="A638" s="93" t="s">
        <v>2243</v>
      </c>
      <c r="B638" s="93" t="s">
        <v>2244</v>
      </c>
      <c r="C638" s="410">
        <v>3465</v>
      </c>
      <c r="D638" s="93" t="s">
        <v>9</v>
      </c>
      <c r="E638" s="93" t="s">
        <v>9</v>
      </c>
      <c r="F638" s="93" t="s">
        <v>1648</v>
      </c>
      <c r="G638" s="93" t="s">
        <v>9117</v>
      </c>
      <c r="H638" s="93" t="s">
        <v>1943</v>
      </c>
      <c r="I638" s="93" t="s">
        <v>111</v>
      </c>
      <c r="J638" s="93" t="s">
        <v>963</v>
      </c>
      <c r="K638" s="93">
        <v>60</v>
      </c>
      <c r="L638" s="93" t="s">
        <v>111</v>
      </c>
      <c r="M638" s="93">
        <v>4.5</v>
      </c>
      <c r="N638" s="93" t="s">
        <v>113</v>
      </c>
      <c r="O638" s="93">
        <v>18.5</v>
      </c>
      <c r="P638" s="93">
        <v>29.5</v>
      </c>
      <c r="Q638" s="93">
        <v>32.5</v>
      </c>
      <c r="R638" s="93" t="s">
        <v>123</v>
      </c>
      <c r="S638" s="93" t="s">
        <v>111</v>
      </c>
      <c r="T638" s="93" t="s">
        <v>1659</v>
      </c>
      <c r="U638" s="93" t="s">
        <v>116</v>
      </c>
      <c r="V638" s="94">
        <v>44628.495833333334</v>
      </c>
      <c r="W638" s="93" t="s">
        <v>1170</v>
      </c>
      <c r="X638" s="93" t="s">
        <v>24</v>
      </c>
    </row>
    <row r="639" spans="1:24" hidden="1" x14ac:dyDescent="0.15">
      <c r="A639" s="93" t="s">
        <v>2245</v>
      </c>
      <c r="B639" s="93" t="s">
        <v>2246</v>
      </c>
      <c r="C639" s="410">
        <v>3465</v>
      </c>
      <c r="D639" s="93" t="s">
        <v>9</v>
      </c>
      <c r="E639" s="93" t="s">
        <v>9</v>
      </c>
      <c r="F639" s="93" t="s">
        <v>1648</v>
      </c>
      <c r="G639" s="93" t="s">
        <v>9117</v>
      </c>
      <c r="H639" s="93" t="s">
        <v>1943</v>
      </c>
      <c r="I639" s="93" t="s">
        <v>111</v>
      </c>
      <c r="J639" s="93" t="s">
        <v>963</v>
      </c>
      <c r="K639" s="93">
        <v>60</v>
      </c>
      <c r="L639" s="93" t="s">
        <v>111</v>
      </c>
      <c r="M639" s="93">
        <v>4.5</v>
      </c>
      <c r="N639" s="93" t="s">
        <v>113</v>
      </c>
      <c r="O639" s="93">
        <v>18.5</v>
      </c>
      <c r="P639" s="93">
        <v>29.5</v>
      </c>
      <c r="Q639" s="93">
        <v>32.5</v>
      </c>
      <c r="R639" s="93" t="s">
        <v>123</v>
      </c>
      <c r="S639" s="93" t="s">
        <v>111</v>
      </c>
      <c r="T639" s="93" t="s">
        <v>1659</v>
      </c>
      <c r="U639" s="93" t="s">
        <v>116</v>
      </c>
      <c r="V639" s="94">
        <v>44628.518055555556</v>
      </c>
      <c r="W639" s="93" t="s">
        <v>1170</v>
      </c>
      <c r="X639" s="93" t="s">
        <v>24</v>
      </c>
    </row>
    <row r="640" spans="1:24" hidden="1" x14ac:dyDescent="0.15">
      <c r="A640" s="93" t="s">
        <v>2247</v>
      </c>
      <c r="B640" s="93" t="s">
        <v>2248</v>
      </c>
      <c r="C640" s="410">
        <v>3465</v>
      </c>
      <c r="D640" s="93" t="s">
        <v>9</v>
      </c>
      <c r="E640" s="93" t="s">
        <v>9</v>
      </c>
      <c r="F640" s="93" t="s">
        <v>1648</v>
      </c>
      <c r="G640" s="93" t="s">
        <v>9117</v>
      </c>
      <c r="H640" s="93" t="s">
        <v>1943</v>
      </c>
      <c r="I640" s="93" t="s">
        <v>111</v>
      </c>
      <c r="J640" s="93" t="s">
        <v>963</v>
      </c>
      <c r="K640" s="93">
        <v>60</v>
      </c>
      <c r="L640" s="93" t="s">
        <v>111</v>
      </c>
      <c r="M640" s="93">
        <v>4.5</v>
      </c>
      <c r="N640" s="93" t="s">
        <v>113</v>
      </c>
      <c r="O640" s="93">
        <v>18.5</v>
      </c>
      <c r="P640" s="93">
        <v>29.5</v>
      </c>
      <c r="Q640" s="93">
        <v>32.5</v>
      </c>
      <c r="R640" s="93" t="s">
        <v>123</v>
      </c>
      <c r="S640" s="93" t="s">
        <v>111</v>
      </c>
      <c r="T640" s="93" t="s">
        <v>1659</v>
      </c>
      <c r="U640" s="93" t="s">
        <v>116</v>
      </c>
      <c r="V640" s="94">
        <v>44628.640277777777</v>
      </c>
      <c r="W640" s="93" t="s">
        <v>1170</v>
      </c>
      <c r="X640" s="93" t="s">
        <v>24</v>
      </c>
    </row>
    <row r="641" spans="1:24" hidden="1" x14ac:dyDescent="0.15">
      <c r="A641" s="93" t="s">
        <v>2249</v>
      </c>
      <c r="B641" s="93" t="s">
        <v>2250</v>
      </c>
      <c r="C641" s="410">
        <v>3465</v>
      </c>
      <c r="D641" s="93" t="s">
        <v>9</v>
      </c>
      <c r="E641" s="93" t="s">
        <v>9</v>
      </c>
      <c r="F641" s="93" t="s">
        <v>1648</v>
      </c>
      <c r="G641" s="93" t="s">
        <v>9117</v>
      </c>
      <c r="H641" s="93" t="s">
        <v>1943</v>
      </c>
      <c r="I641" s="93" t="s">
        <v>111</v>
      </c>
      <c r="J641" s="93" t="s">
        <v>963</v>
      </c>
      <c r="K641" s="93">
        <v>60</v>
      </c>
      <c r="L641" s="93" t="s">
        <v>111</v>
      </c>
      <c r="M641" s="93">
        <v>4.5</v>
      </c>
      <c r="N641" s="93" t="s">
        <v>113</v>
      </c>
      <c r="O641" s="93">
        <v>18.5</v>
      </c>
      <c r="P641" s="93">
        <v>29.5</v>
      </c>
      <c r="Q641" s="93">
        <v>32.5</v>
      </c>
      <c r="R641" s="93" t="s">
        <v>123</v>
      </c>
      <c r="S641" s="93" t="s">
        <v>111</v>
      </c>
      <c r="T641" s="93" t="s">
        <v>1659</v>
      </c>
      <c r="U641" s="93" t="s">
        <v>116</v>
      </c>
      <c r="V641" s="94">
        <v>44628.474999999999</v>
      </c>
      <c r="W641" s="93" t="s">
        <v>1170</v>
      </c>
      <c r="X641" s="93" t="s">
        <v>24</v>
      </c>
    </row>
    <row r="642" spans="1:24" hidden="1" x14ac:dyDescent="0.15">
      <c r="A642" s="93" t="s">
        <v>2251</v>
      </c>
      <c r="B642" s="93" t="s">
        <v>2252</v>
      </c>
      <c r="C642" s="410">
        <v>3465</v>
      </c>
      <c r="D642" s="93" t="s">
        <v>9</v>
      </c>
      <c r="E642" s="93" t="s">
        <v>9</v>
      </c>
      <c r="F642" s="93" t="s">
        <v>1648</v>
      </c>
      <c r="G642" s="93" t="s">
        <v>9117</v>
      </c>
      <c r="H642" s="93" t="s">
        <v>1943</v>
      </c>
      <c r="I642" s="93" t="s">
        <v>111</v>
      </c>
      <c r="J642" s="93" t="s">
        <v>963</v>
      </c>
      <c r="K642" s="93">
        <v>60</v>
      </c>
      <c r="L642" s="93" t="s">
        <v>111</v>
      </c>
      <c r="M642" s="93">
        <v>4.5</v>
      </c>
      <c r="N642" s="93" t="s">
        <v>113</v>
      </c>
      <c r="O642" s="93">
        <v>18.5</v>
      </c>
      <c r="P642" s="93">
        <v>29.5</v>
      </c>
      <c r="Q642" s="93">
        <v>32.5</v>
      </c>
      <c r="R642" s="93" t="s">
        <v>123</v>
      </c>
      <c r="S642" s="93" t="s">
        <v>111</v>
      </c>
      <c r="T642" s="93" t="s">
        <v>1659</v>
      </c>
      <c r="U642" s="93" t="s">
        <v>116</v>
      </c>
      <c r="V642" s="94">
        <v>44628.604861111111</v>
      </c>
      <c r="W642" s="93" t="s">
        <v>1170</v>
      </c>
      <c r="X642" s="93" t="s">
        <v>24</v>
      </c>
    </row>
    <row r="643" spans="1:24" hidden="1" x14ac:dyDescent="0.15">
      <c r="A643" s="93" t="s">
        <v>2253</v>
      </c>
      <c r="B643" s="93" t="s">
        <v>2254</v>
      </c>
      <c r="C643" s="410">
        <v>3465</v>
      </c>
      <c r="D643" s="93" t="s">
        <v>9</v>
      </c>
      <c r="E643" s="93" t="s">
        <v>9</v>
      </c>
      <c r="F643" s="93" t="s">
        <v>1648</v>
      </c>
      <c r="G643" s="93" t="s">
        <v>9117</v>
      </c>
      <c r="H643" s="93" t="s">
        <v>1943</v>
      </c>
      <c r="I643" s="93" t="s">
        <v>111</v>
      </c>
      <c r="J643" s="93" t="s">
        <v>963</v>
      </c>
      <c r="K643" s="93">
        <v>60</v>
      </c>
      <c r="L643" s="93" t="s">
        <v>111</v>
      </c>
      <c r="M643" s="93">
        <v>4.5</v>
      </c>
      <c r="N643" s="93" t="s">
        <v>113</v>
      </c>
      <c r="O643" s="93">
        <v>18.5</v>
      </c>
      <c r="P643" s="93">
        <v>29.5</v>
      </c>
      <c r="Q643" s="93">
        <v>32.5</v>
      </c>
      <c r="R643" s="93" t="s">
        <v>123</v>
      </c>
      <c r="S643" s="93" t="s">
        <v>111</v>
      </c>
      <c r="T643" s="93" t="s">
        <v>1659</v>
      </c>
      <c r="U643" s="93" t="s">
        <v>116</v>
      </c>
      <c r="V643" s="94">
        <v>44628.604861111111</v>
      </c>
      <c r="W643" s="93" t="s">
        <v>1170</v>
      </c>
      <c r="X643" s="93" t="s">
        <v>24</v>
      </c>
    </row>
    <row r="644" spans="1:24" hidden="1" x14ac:dyDescent="0.15">
      <c r="A644" s="93" t="s">
        <v>2255</v>
      </c>
      <c r="B644" s="93" t="s">
        <v>2256</v>
      </c>
      <c r="C644" s="410">
        <v>3465</v>
      </c>
      <c r="D644" s="93" t="s">
        <v>9</v>
      </c>
      <c r="E644" s="93" t="s">
        <v>9</v>
      </c>
      <c r="F644" s="93" t="s">
        <v>1648</v>
      </c>
      <c r="G644" s="93" t="s">
        <v>9117</v>
      </c>
      <c r="H644" s="93" t="s">
        <v>1943</v>
      </c>
      <c r="I644" s="93" t="s">
        <v>111</v>
      </c>
      <c r="J644" s="93" t="s">
        <v>963</v>
      </c>
      <c r="K644" s="93">
        <v>60</v>
      </c>
      <c r="L644" s="93" t="s">
        <v>111</v>
      </c>
      <c r="M644" s="93">
        <v>4.5</v>
      </c>
      <c r="N644" s="93" t="s">
        <v>113</v>
      </c>
      <c r="O644" s="93">
        <v>18.5</v>
      </c>
      <c r="P644" s="93">
        <v>29.5</v>
      </c>
      <c r="Q644" s="93">
        <v>32.5</v>
      </c>
      <c r="R644" s="93" t="s">
        <v>123</v>
      </c>
      <c r="S644" s="93" t="s">
        <v>111</v>
      </c>
      <c r="T644" s="93" t="s">
        <v>1659</v>
      </c>
      <c r="U644" s="93" t="s">
        <v>116</v>
      </c>
      <c r="V644" s="94">
        <v>44628.604861111111</v>
      </c>
      <c r="W644" s="93" t="s">
        <v>1170</v>
      </c>
      <c r="X644" s="93" t="s">
        <v>24</v>
      </c>
    </row>
    <row r="645" spans="1:24" hidden="1" x14ac:dyDescent="0.15">
      <c r="A645" s="93" t="s">
        <v>2257</v>
      </c>
      <c r="B645" s="93" t="s">
        <v>2258</v>
      </c>
      <c r="C645" s="410">
        <v>3465</v>
      </c>
      <c r="D645" s="93" t="s">
        <v>9</v>
      </c>
      <c r="E645" s="93" t="s">
        <v>9</v>
      </c>
      <c r="F645" s="93" t="s">
        <v>1648</v>
      </c>
      <c r="G645" s="93" t="s">
        <v>9117</v>
      </c>
      <c r="H645" s="93" t="s">
        <v>1943</v>
      </c>
      <c r="I645" s="93" t="s">
        <v>111</v>
      </c>
      <c r="J645" s="93" t="s">
        <v>963</v>
      </c>
      <c r="K645" s="93">
        <v>60</v>
      </c>
      <c r="L645" s="93" t="s">
        <v>111</v>
      </c>
      <c r="M645" s="93">
        <v>4.5</v>
      </c>
      <c r="N645" s="93" t="s">
        <v>113</v>
      </c>
      <c r="O645" s="93">
        <v>18.5</v>
      </c>
      <c r="P645" s="93">
        <v>29.5</v>
      </c>
      <c r="Q645" s="93">
        <v>32.5</v>
      </c>
      <c r="R645" s="93" t="s">
        <v>123</v>
      </c>
      <c r="S645" s="93" t="s">
        <v>111</v>
      </c>
      <c r="T645" s="93" t="s">
        <v>1659</v>
      </c>
      <c r="U645" s="93" t="s">
        <v>116</v>
      </c>
      <c r="V645" s="94">
        <v>44628.640277777777</v>
      </c>
      <c r="W645" s="93" t="s">
        <v>1170</v>
      </c>
      <c r="X645" s="93" t="s">
        <v>24</v>
      </c>
    </row>
    <row r="646" spans="1:24" hidden="1" x14ac:dyDescent="0.15">
      <c r="A646" s="93" t="s">
        <v>2259</v>
      </c>
      <c r="B646" s="93" t="s">
        <v>2260</v>
      </c>
      <c r="C646" s="410">
        <v>3465</v>
      </c>
      <c r="D646" s="93" t="s">
        <v>9</v>
      </c>
      <c r="E646" s="93" t="s">
        <v>9</v>
      </c>
      <c r="F646" s="93" t="s">
        <v>1648</v>
      </c>
      <c r="G646" s="93" t="s">
        <v>9117</v>
      </c>
      <c r="H646" s="93" t="s">
        <v>1943</v>
      </c>
      <c r="I646" s="93" t="s">
        <v>111</v>
      </c>
      <c r="J646" s="93" t="s">
        <v>963</v>
      </c>
      <c r="K646" s="93">
        <v>60</v>
      </c>
      <c r="L646" s="93" t="s">
        <v>111</v>
      </c>
      <c r="M646" s="93">
        <v>4.5</v>
      </c>
      <c r="N646" s="93" t="s">
        <v>113</v>
      </c>
      <c r="O646" s="93">
        <v>18.5</v>
      </c>
      <c r="P646" s="93">
        <v>29.5</v>
      </c>
      <c r="Q646" s="93">
        <v>32.5</v>
      </c>
      <c r="R646" s="93" t="s">
        <v>123</v>
      </c>
      <c r="S646" s="93" t="s">
        <v>111</v>
      </c>
      <c r="T646" s="93" t="s">
        <v>1659</v>
      </c>
      <c r="U646" s="93" t="s">
        <v>116</v>
      </c>
      <c r="V646" s="94">
        <v>44628.604861111111</v>
      </c>
      <c r="W646" s="93" t="s">
        <v>1170</v>
      </c>
      <c r="X646" s="93" t="s">
        <v>24</v>
      </c>
    </row>
    <row r="647" spans="1:24" hidden="1" x14ac:dyDescent="0.15">
      <c r="A647" s="93" t="s">
        <v>2261</v>
      </c>
      <c r="B647" s="93" t="s">
        <v>2262</v>
      </c>
      <c r="C647" s="410">
        <v>3465</v>
      </c>
      <c r="D647" s="93" t="s">
        <v>9</v>
      </c>
      <c r="E647" s="93" t="s">
        <v>9</v>
      </c>
      <c r="F647" s="93" t="s">
        <v>1648</v>
      </c>
      <c r="G647" s="93" t="s">
        <v>9117</v>
      </c>
      <c r="H647" s="93" t="s">
        <v>1943</v>
      </c>
      <c r="I647" s="93" t="s">
        <v>111</v>
      </c>
      <c r="J647" s="93" t="s">
        <v>963</v>
      </c>
      <c r="K647" s="93">
        <v>60</v>
      </c>
      <c r="L647" s="93" t="s">
        <v>111</v>
      </c>
      <c r="M647" s="93">
        <v>4.5</v>
      </c>
      <c r="N647" s="93" t="s">
        <v>113</v>
      </c>
      <c r="O647" s="93">
        <v>18.5</v>
      </c>
      <c r="P647" s="93">
        <v>29.5</v>
      </c>
      <c r="Q647" s="93">
        <v>32.5</v>
      </c>
      <c r="R647" s="93" t="s">
        <v>123</v>
      </c>
      <c r="S647" s="93" t="s">
        <v>111</v>
      </c>
      <c r="T647" s="93" t="s">
        <v>1659</v>
      </c>
      <c r="U647" s="93" t="s">
        <v>116</v>
      </c>
      <c r="V647" s="94">
        <v>44628.561805555553</v>
      </c>
      <c r="W647" s="93" t="s">
        <v>1170</v>
      </c>
      <c r="X647" s="93" t="s">
        <v>24</v>
      </c>
    </row>
    <row r="648" spans="1:24" hidden="1" x14ac:dyDescent="0.15">
      <c r="A648" s="93" t="s">
        <v>2263</v>
      </c>
      <c r="B648" s="93" t="s">
        <v>2264</v>
      </c>
      <c r="C648" s="410">
        <v>3465</v>
      </c>
      <c r="D648" s="93" t="s">
        <v>9</v>
      </c>
      <c r="E648" s="93" t="s">
        <v>9</v>
      </c>
      <c r="F648" s="93" t="s">
        <v>1648</v>
      </c>
      <c r="G648" s="93" t="s">
        <v>9117</v>
      </c>
      <c r="H648" s="93" t="s">
        <v>1943</v>
      </c>
      <c r="I648" s="93" t="s">
        <v>111</v>
      </c>
      <c r="J648" s="93" t="s">
        <v>963</v>
      </c>
      <c r="K648" s="93">
        <v>60</v>
      </c>
      <c r="L648" s="93" t="s">
        <v>111</v>
      </c>
      <c r="M648" s="93">
        <v>4.5</v>
      </c>
      <c r="N648" s="93" t="s">
        <v>113</v>
      </c>
      <c r="O648" s="93">
        <v>18.5</v>
      </c>
      <c r="P648" s="93">
        <v>29.5</v>
      </c>
      <c r="Q648" s="93">
        <v>32.5</v>
      </c>
      <c r="R648" s="93" t="s">
        <v>123</v>
      </c>
      <c r="S648" s="93" t="s">
        <v>111</v>
      </c>
      <c r="T648" s="93" t="s">
        <v>1659</v>
      </c>
      <c r="U648" s="93" t="s">
        <v>116</v>
      </c>
      <c r="V648" s="94">
        <v>44628.561805555553</v>
      </c>
      <c r="W648" s="93" t="s">
        <v>1170</v>
      </c>
      <c r="X648" s="93" t="s">
        <v>24</v>
      </c>
    </row>
    <row r="649" spans="1:24" hidden="1" x14ac:dyDescent="0.15">
      <c r="A649" s="93" t="s">
        <v>2265</v>
      </c>
      <c r="B649" s="93" t="s">
        <v>2266</v>
      </c>
      <c r="C649" s="410">
        <v>13230</v>
      </c>
      <c r="D649" s="93" t="s">
        <v>9</v>
      </c>
      <c r="E649" s="93" t="s">
        <v>9</v>
      </c>
      <c r="F649" s="93" t="s">
        <v>1648</v>
      </c>
      <c r="G649" s="93" t="s">
        <v>9117</v>
      </c>
      <c r="H649" s="93" t="s">
        <v>1943</v>
      </c>
      <c r="I649" s="93" t="s">
        <v>111</v>
      </c>
      <c r="J649" s="93" t="s">
        <v>1675</v>
      </c>
      <c r="K649" s="93">
        <v>60</v>
      </c>
      <c r="L649" s="93" t="s">
        <v>111</v>
      </c>
      <c r="M649" s="93">
        <v>5</v>
      </c>
      <c r="N649" s="93" t="s">
        <v>113</v>
      </c>
      <c r="O649" s="93">
        <v>16</v>
      </c>
      <c r="P649" s="93">
        <v>35</v>
      </c>
      <c r="Q649" s="93">
        <v>44</v>
      </c>
      <c r="R649" s="93" t="s">
        <v>123</v>
      </c>
      <c r="S649" s="93" t="s">
        <v>659</v>
      </c>
      <c r="T649" s="93" t="s">
        <v>1659</v>
      </c>
      <c r="U649" s="93" t="s">
        <v>116</v>
      </c>
      <c r="V649" s="94">
        <v>44628.489583333336</v>
      </c>
      <c r="W649" s="93" t="s">
        <v>1555</v>
      </c>
      <c r="X649" s="93" t="s">
        <v>24</v>
      </c>
    </row>
    <row r="650" spans="1:24" hidden="1" x14ac:dyDescent="0.15">
      <c r="A650" s="93" t="s">
        <v>2267</v>
      </c>
      <c r="B650" s="93" t="s">
        <v>2268</v>
      </c>
      <c r="C650" s="410">
        <v>4919.25</v>
      </c>
      <c r="D650" s="93" t="s">
        <v>9</v>
      </c>
      <c r="E650" s="93" t="s">
        <v>9</v>
      </c>
      <c r="F650" s="93" t="s">
        <v>1648</v>
      </c>
      <c r="G650" s="93" t="s">
        <v>9117</v>
      </c>
      <c r="H650" s="93" t="s">
        <v>1943</v>
      </c>
      <c r="I650" s="93" t="s">
        <v>111</v>
      </c>
      <c r="J650" s="93" t="s">
        <v>1675</v>
      </c>
      <c r="K650" s="93">
        <v>60</v>
      </c>
      <c r="L650" s="93" t="s">
        <v>111</v>
      </c>
      <c r="M650" s="93">
        <v>5</v>
      </c>
      <c r="N650" s="93" t="s">
        <v>113</v>
      </c>
      <c r="O650" s="93">
        <v>16</v>
      </c>
      <c r="P650" s="93">
        <v>35</v>
      </c>
      <c r="Q650" s="93">
        <v>44</v>
      </c>
      <c r="R650" s="93" t="s">
        <v>123</v>
      </c>
      <c r="S650" s="93" t="s">
        <v>659</v>
      </c>
      <c r="T650" s="93" t="s">
        <v>1659</v>
      </c>
      <c r="U650" s="93" t="s">
        <v>116</v>
      </c>
      <c r="V650" s="94">
        <v>44628.46875</v>
      </c>
      <c r="W650" s="93" t="s">
        <v>1555</v>
      </c>
      <c r="X650" s="93" t="s">
        <v>24</v>
      </c>
    </row>
    <row r="651" spans="1:24" hidden="1" x14ac:dyDescent="0.15">
      <c r="A651" s="93" t="s">
        <v>9181</v>
      </c>
      <c r="B651" s="93" t="s">
        <v>9182</v>
      </c>
      <c r="C651" s="410">
        <v>4200</v>
      </c>
      <c r="D651" s="93" t="s">
        <v>9</v>
      </c>
      <c r="E651" s="93" t="s">
        <v>9</v>
      </c>
      <c r="F651" s="93" t="s">
        <v>1648</v>
      </c>
      <c r="G651" s="93" t="s">
        <v>9183</v>
      </c>
      <c r="H651" s="93" t="s">
        <v>1690</v>
      </c>
      <c r="I651" s="93" t="s">
        <v>111</v>
      </c>
      <c r="J651" s="93" t="s">
        <v>963</v>
      </c>
      <c r="K651" s="93">
        <v>60</v>
      </c>
      <c r="L651" s="93" t="s">
        <v>111</v>
      </c>
      <c r="M651" s="93">
        <v>6</v>
      </c>
      <c r="N651" s="93" t="s">
        <v>111</v>
      </c>
      <c r="O651" s="93">
        <v>32.200000000000003</v>
      </c>
      <c r="P651" s="93">
        <v>27</v>
      </c>
      <c r="Q651" s="93">
        <v>8.6</v>
      </c>
      <c r="R651" s="93" t="s">
        <v>123</v>
      </c>
      <c r="S651" s="93" t="s">
        <v>659</v>
      </c>
      <c r="T651" s="93" t="s">
        <v>1659</v>
      </c>
      <c r="U651" s="93" t="s">
        <v>116</v>
      </c>
      <c r="V651" s="94">
        <v>44628.595138888886</v>
      </c>
      <c r="W651" s="93" t="s">
        <v>1170</v>
      </c>
      <c r="X651" s="93" t="s">
        <v>9</v>
      </c>
    </row>
    <row r="652" spans="1:24" hidden="1" x14ac:dyDescent="0.15">
      <c r="A652" s="93" t="s">
        <v>2269</v>
      </c>
      <c r="B652" s="93" t="s">
        <v>2270</v>
      </c>
      <c r="C652" s="410">
        <v>3675</v>
      </c>
      <c r="D652" s="93" t="s">
        <v>9</v>
      </c>
      <c r="E652" s="93" t="s">
        <v>9</v>
      </c>
      <c r="F652" s="93" t="s">
        <v>1648</v>
      </c>
      <c r="G652" s="93" t="s">
        <v>9117</v>
      </c>
      <c r="H652" s="93" t="s">
        <v>1690</v>
      </c>
      <c r="I652" s="93" t="s">
        <v>111</v>
      </c>
      <c r="J652" s="93" t="s">
        <v>2013</v>
      </c>
      <c r="K652" s="93">
        <v>50</v>
      </c>
      <c r="L652" s="93" t="s">
        <v>111</v>
      </c>
      <c r="M652" s="93">
        <v>6.5</v>
      </c>
      <c r="N652" s="93" t="s">
        <v>113</v>
      </c>
      <c r="O652" s="93">
        <v>18.5</v>
      </c>
      <c r="P652" s="93">
        <v>29.5</v>
      </c>
      <c r="Q652" s="93">
        <v>37.5</v>
      </c>
      <c r="R652" s="93" t="s">
        <v>123</v>
      </c>
      <c r="S652" s="93" t="s">
        <v>659</v>
      </c>
      <c r="T652" s="93" t="s">
        <v>1659</v>
      </c>
      <c r="U652" s="93" t="s">
        <v>116</v>
      </c>
      <c r="V652" s="94">
        <v>44628.474999999999</v>
      </c>
      <c r="W652" s="93" t="s">
        <v>1170</v>
      </c>
      <c r="X652" s="93" t="s">
        <v>24</v>
      </c>
    </row>
    <row r="653" spans="1:24" hidden="1" x14ac:dyDescent="0.15">
      <c r="A653" s="93" t="s">
        <v>2271</v>
      </c>
      <c r="B653" s="93" t="s">
        <v>2272</v>
      </c>
      <c r="C653" s="410">
        <v>3675</v>
      </c>
      <c r="D653" s="93" t="s">
        <v>9</v>
      </c>
      <c r="E653" s="93" t="s">
        <v>9</v>
      </c>
      <c r="F653" s="93" t="s">
        <v>1648</v>
      </c>
      <c r="G653" s="93" t="s">
        <v>9117</v>
      </c>
      <c r="H653" s="93" t="s">
        <v>1690</v>
      </c>
      <c r="I653" s="93" t="s">
        <v>111</v>
      </c>
      <c r="J653" s="93" t="s">
        <v>2013</v>
      </c>
      <c r="K653" s="93">
        <v>50</v>
      </c>
      <c r="L653" s="93" t="s">
        <v>111</v>
      </c>
      <c r="M653" s="93">
        <v>6.5</v>
      </c>
      <c r="N653" s="93" t="s">
        <v>113</v>
      </c>
      <c r="O653" s="93">
        <v>18.5</v>
      </c>
      <c r="P653" s="93">
        <v>29.5</v>
      </c>
      <c r="Q653" s="93">
        <v>37.5</v>
      </c>
      <c r="R653" s="93" t="s">
        <v>123</v>
      </c>
      <c r="S653" s="93" t="s">
        <v>659</v>
      </c>
      <c r="T653" s="93" t="s">
        <v>1659</v>
      </c>
      <c r="U653" s="93" t="s">
        <v>116</v>
      </c>
      <c r="V653" s="94">
        <v>44628.583333333336</v>
      </c>
      <c r="W653" s="93" t="s">
        <v>1170</v>
      </c>
      <c r="X653" s="93" t="s">
        <v>24</v>
      </c>
    </row>
    <row r="654" spans="1:24" hidden="1" x14ac:dyDescent="0.15">
      <c r="A654" s="93" t="s">
        <v>2273</v>
      </c>
      <c r="B654" s="93" t="s">
        <v>2274</v>
      </c>
      <c r="C654" s="410">
        <v>3675</v>
      </c>
      <c r="D654" s="93" t="s">
        <v>9</v>
      </c>
      <c r="E654" s="93" t="s">
        <v>9</v>
      </c>
      <c r="F654" s="93" t="s">
        <v>1648</v>
      </c>
      <c r="G654" s="93" t="s">
        <v>9117</v>
      </c>
      <c r="H654" s="93" t="s">
        <v>1690</v>
      </c>
      <c r="I654" s="93" t="s">
        <v>111</v>
      </c>
      <c r="J654" s="93" t="s">
        <v>2013</v>
      </c>
      <c r="K654" s="93">
        <v>50</v>
      </c>
      <c r="L654" s="93" t="s">
        <v>111</v>
      </c>
      <c r="M654" s="93">
        <v>6.5</v>
      </c>
      <c r="N654" s="93" t="s">
        <v>113</v>
      </c>
      <c r="O654" s="93">
        <v>18.5</v>
      </c>
      <c r="P654" s="93">
        <v>29.5</v>
      </c>
      <c r="Q654" s="93">
        <v>37.5</v>
      </c>
      <c r="R654" s="93" t="s">
        <v>123</v>
      </c>
      <c r="S654" s="93" t="s">
        <v>659</v>
      </c>
      <c r="T654" s="93" t="s">
        <v>1659</v>
      </c>
      <c r="U654" s="93" t="s">
        <v>116</v>
      </c>
      <c r="V654" s="94">
        <v>44628.518055555556</v>
      </c>
      <c r="W654" s="93" t="s">
        <v>1170</v>
      </c>
      <c r="X654" s="93" t="s">
        <v>24</v>
      </c>
    </row>
    <row r="655" spans="1:24" hidden="1" x14ac:dyDescent="0.15">
      <c r="A655" s="93" t="s">
        <v>2275</v>
      </c>
      <c r="B655" s="93" t="s">
        <v>2276</v>
      </c>
      <c r="C655" s="410">
        <v>3675</v>
      </c>
      <c r="D655" s="93" t="s">
        <v>9</v>
      </c>
      <c r="E655" s="93" t="s">
        <v>9</v>
      </c>
      <c r="F655" s="93" t="s">
        <v>1648</v>
      </c>
      <c r="G655" s="93" t="s">
        <v>9117</v>
      </c>
      <c r="H655" s="93" t="s">
        <v>1690</v>
      </c>
      <c r="I655" s="93" t="s">
        <v>111</v>
      </c>
      <c r="J655" s="93" t="s">
        <v>2013</v>
      </c>
      <c r="K655" s="93">
        <v>50</v>
      </c>
      <c r="L655" s="93" t="s">
        <v>111</v>
      </c>
      <c r="M655" s="93">
        <v>6.5</v>
      </c>
      <c r="N655" s="93" t="s">
        <v>113</v>
      </c>
      <c r="O655" s="93">
        <v>18.5</v>
      </c>
      <c r="P655" s="93">
        <v>29.5</v>
      </c>
      <c r="Q655" s="93">
        <v>37.5</v>
      </c>
      <c r="R655" s="93" t="s">
        <v>123</v>
      </c>
      <c r="S655" s="93" t="s">
        <v>659</v>
      </c>
      <c r="T655" s="93" t="s">
        <v>1659</v>
      </c>
      <c r="U655" s="93" t="s">
        <v>116</v>
      </c>
      <c r="V655" s="94">
        <v>44628.561111111114</v>
      </c>
      <c r="W655" s="93" t="s">
        <v>1170</v>
      </c>
      <c r="X655" s="93" t="s">
        <v>24</v>
      </c>
    </row>
    <row r="656" spans="1:24" hidden="1" x14ac:dyDescent="0.15">
      <c r="A656" s="93" t="s">
        <v>2277</v>
      </c>
      <c r="B656" s="93" t="s">
        <v>2278</v>
      </c>
      <c r="C656" s="410">
        <v>3675</v>
      </c>
      <c r="D656" s="93" t="s">
        <v>9</v>
      </c>
      <c r="E656" s="93" t="s">
        <v>9</v>
      </c>
      <c r="F656" s="93" t="s">
        <v>1648</v>
      </c>
      <c r="G656" s="93" t="s">
        <v>9117</v>
      </c>
      <c r="H656" s="93" t="s">
        <v>1690</v>
      </c>
      <c r="I656" s="93" t="s">
        <v>111</v>
      </c>
      <c r="J656" s="93" t="s">
        <v>2013</v>
      </c>
      <c r="K656" s="93">
        <v>50</v>
      </c>
      <c r="L656" s="93" t="s">
        <v>111</v>
      </c>
      <c r="M656" s="93">
        <v>6.5</v>
      </c>
      <c r="N656" s="93" t="s">
        <v>113</v>
      </c>
      <c r="O656" s="93">
        <v>18.5</v>
      </c>
      <c r="P656" s="93">
        <v>29.5</v>
      </c>
      <c r="Q656" s="93">
        <v>37.5</v>
      </c>
      <c r="R656" s="93" t="s">
        <v>123</v>
      </c>
      <c r="S656" s="93" t="s">
        <v>659</v>
      </c>
      <c r="T656" s="93" t="s">
        <v>1659</v>
      </c>
      <c r="U656" s="93" t="s">
        <v>116</v>
      </c>
      <c r="V656" s="94">
        <v>44628.518055555556</v>
      </c>
      <c r="W656" s="93" t="s">
        <v>1170</v>
      </c>
      <c r="X656" s="93" t="s">
        <v>24</v>
      </c>
    </row>
    <row r="657" spans="1:24" hidden="1" x14ac:dyDescent="0.15">
      <c r="A657" s="93" t="s">
        <v>2279</v>
      </c>
      <c r="B657" s="93" t="s">
        <v>2280</v>
      </c>
      <c r="C657" s="410">
        <v>3675</v>
      </c>
      <c r="D657" s="93" t="s">
        <v>9</v>
      </c>
      <c r="E657" s="93" t="s">
        <v>9</v>
      </c>
      <c r="F657" s="93" t="s">
        <v>1648</v>
      </c>
      <c r="G657" s="93" t="s">
        <v>9117</v>
      </c>
      <c r="H657" s="93" t="s">
        <v>1690</v>
      </c>
      <c r="I657" s="93" t="s">
        <v>111</v>
      </c>
      <c r="J657" s="93" t="s">
        <v>2013</v>
      </c>
      <c r="K657" s="93">
        <v>50</v>
      </c>
      <c r="L657" s="93" t="s">
        <v>111</v>
      </c>
      <c r="M657" s="93">
        <v>6.5</v>
      </c>
      <c r="N657" s="93" t="s">
        <v>113</v>
      </c>
      <c r="O657" s="93">
        <v>18.5</v>
      </c>
      <c r="P657" s="93">
        <v>29.5</v>
      </c>
      <c r="Q657" s="93">
        <v>37.5</v>
      </c>
      <c r="R657" s="93" t="s">
        <v>123</v>
      </c>
      <c r="S657" s="93" t="s">
        <v>659</v>
      </c>
      <c r="T657" s="93" t="s">
        <v>1659</v>
      </c>
      <c r="U657" s="93" t="s">
        <v>116</v>
      </c>
      <c r="V657" s="94">
        <v>44628.495833333334</v>
      </c>
      <c r="W657" s="93" t="s">
        <v>1170</v>
      </c>
      <c r="X657" s="93" t="s">
        <v>24</v>
      </c>
    </row>
    <row r="658" spans="1:24" hidden="1" x14ac:dyDescent="0.15">
      <c r="A658" s="93" t="s">
        <v>2281</v>
      </c>
      <c r="B658" s="93" t="s">
        <v>2282</v>
      </c>
      <c r="C658" s="410">
        <v>3675</v>
      </c>
      <c r="D658" s="93" t="s">
        <v>9</v>
      </c>
      <c r="E658" s="93" t="s">
        <v>9</v>
      </c>
      <c r="F658" s="93" t="s">
        <v>1648</v>
      </c>
      <c r="G658" s="93" t="s">
        <v>9117</v>
      </c>
      <c r="H658" s="93" t="s">
        <v>1690</v>
      </c>
      <c r="I658" s="93" t="s">
        <v>111</v>
      </c>
      <c r="J658" s="93" t="s">
        <v>2013</v>
      </c>
      <c r="K658" s="93">
        <v>50</v>
      </c>
      <c r="L658" s="93" t="s">
        <v>111</v>
      </c>
      <c r="M658" s="93">
        <v>6.5</v>
      </c>
      <c r="N658" s="93" t="s">
        <v>113</v>
      </c>
      <c r="O658" s="93">
        <v>18.5</v>
      </c>
      <c r="P658" s="93">
        <v>29.5</v>
      </c>
      <c r="Q658" s="93">
        <v>37.5</v>
      </c>
      <c r="R658" s="93" t="s">
        <v>123</v>
      </c>
      <c r="S658" s="93" t="s">
        <v>659</v>
      </c>
      <c r="T658" s="93" t="s">
        <v>1659</v>
      </c>
      <c r="U658" s="93" t="s">
        <v>116</v>
      </c>
      <c r="V658" s="94">
        <v>44628.640277777777</v>
      </c>
      <c r="W658" s="93" t="s">
        <v>1170</v>
      </c>
      <c r="X658" s="93" t="s">
        <v>24</v>
      </c>
    </row>
    <row r="659" spans="1:24" hidden="1" x14ac:dyDescent="0.15">
      <c r="A659" s="93" t="s">
        <v>2283</v>
      </c>
      <c r="B659" s="93" t="s">
        <v>2284</v>
      </c>
      <c r="C659" s="410">
        <v>3675</v>
      </c>
      <c r="D659" s="93" t="s">
        <v>9</v>
      </c>
      <c r="E659" s="93" t="s">
        <v>9</v>
      </c>
      <c r="F659" s="93" t="s">
        <v>1648</v>
      </c>
      <c r="G659" s="93" t="s">
        <v>9117</v>
      </c>
      <c r="H659" s="93" t="s">
        <v>1690</v>
      </c>
      <c r="I659" s="93" t="s">
        <v>111</v>
      </c>
      <c r="J659" s="93" t="s">
        <v>2013</v>
      </c>
      <c r="K659" s="93">
        <v>50</v>
      </c>
      <c r="L659" s="93" t="s">
        <v>111</v>
      </c>
      <c r="M659" s="93">
        <v>6.5</v>
      </c>
      <c r="N659" s="93" t="s">
        <v>113</v>
      </c>
      <c r="O659" s="93">
        <v>18.5</v>
      </c>
      <c r="P659" s="93">
        <v>29.5</v>
      </c>
      <c r="Q659" s="93">
        <v>37.5</v>
      </c>
      <c r="R659" s="93" t="s">
        <v>123</v>
      </c>
      <c r="S659" s="93" t="s">
        <v>659</v>
      </c>
      <c r="T659" s="93" t="s">
        <v>1659</v>
      </c>
      <c r="U659" s="93" t="s">
        <v>116</v>
      </c>
      <c r="V659" s="94">
        <v>44628.540277777778</v>
      </c>
      <c r="W659" s="93" t="s">
        <v>1170</v>
      </c>
      <c r="X659" s="93" t="s">
        <v>24</v>
      </c>
    </row>
    <row r="660" spans="1:24" hidden="1" x14ac:dyDescent="0.15">
      <c r="A660" s="93" t="s">
        <v>2285</v>
      </c>
      <c r="B660" s="93" t="s">
        <v>2286</v>
      </c>
      <c r="C660" s="410">
        <v>3675</v>
      </c>
      <c r="D660" s="93" t="s">
        <v>9</v>
      </c>
      <c r="E660" s="93" t="s">
        <v>9</v>
      </c>
      <c r="F660" s="93" t="s">
        <v>1648</v>
      </c>
      <c r="G660" s="93" t="s">
        <v>9117</v>
      </c>
      <c r="H660" s="93" t="s">
        <v>1690</v>
      </c>
      <c r="I660" s="93" t="s">
        <v>111</v>
      </c>
      <c r="J660" s="93" t="s">
        <v>2013</v>
      </c>
      <c r="K660" s="93">
        <v>50</v>
      </c>
      <c r="L660" s="93" t="s">
        <v>111</v>
      </c>
      <c r="M660" s="93">
        <v>6.5</v>
      </c>
      <c r="N660" s="93" t="s">
        <v>113</v>
      </c>
      <c r="O660" s="93">
        <v>18.5</v>
      </c>
      <c r="P660" s="93">
        <v>29.5</v>
      </c>
      <c r="Q660" s="93">
        <v>37.5</v>
      </c>
      <c r="R660" s="93" t="s">
        <v>123</v>
      </c>
      <c r="S660" s="93" t="s">
        <v>659</v>
      </c>
      <c r="T660" s="93" t="s">
        <v>1659</v>
      </c>
      <c r="U660" s="93" t="s">
        <v>116</v>
      </c>
      <c r="V660" s="94">
        <v>44628.604861111111</v>
      </c>
      <c r="W660" s="93" t="s">
        <v>1170</v>
      </c>
      <c r="X660" s="93" t="s">
        <v>24</v>
      </c>
    </row>
    <row r="661" spans="1:24" hidden="1" x14ac:dyDescent="0.15">
      <c r="A661" s="93" t="s">
        <v>2287</v>
      </c>
      <c r="B661" s="93" t="s">
        <v>2288</v>
      </c>
      <c r="C661" s="410">
        <v>3675</v>
      </c>
      <c r="D661" s="93" t="s">
        <v>9</v>
      </c>
      <c r="E661" s="93" t="s">
        <v>9</v>
      </c>
      <c r="F661" s="93" t="s">
        <v>1648</v>
      </c>
      <c r="G661" s="93" t="s">
        <v>9117</v>
      </c>
      <c r="H661" s="93" t="s">
        <v>1690</v>
      </c>
      <c r="I661" s="93" t="s">
        <v>111</v>
      </c>
      <c r="J661" s="93" t="s">
        <v>2013</v>
      </c>
      <c r="K661" s="93">
        <v>50</v>
      </c>
      <c r="L661" s="93" t="s">
        <v>111</v>
      </c>
      <c r="M661" s="93">
        <v>6.5</v>
      </c>
      <c r="N661" s="93" t="s">
        <v>113</v>
      </c>
      <c r="O661" s="93">
        <v>18.5</v>
      </c>
      <c r="P661" s="93">
        <v>29.5</v>
      </c>
      <c r="Q661" s="93">
        <v>37.5</v>
      </c>
      <c r="R661" s="93" t="s">
        <v>123</v>
      </c>
      <c r="S661" s="93" t="s">
        <v>659</v>
      </c>
      <c r="T661" s="93" t="s">
        <v>1659</v>
      </c>
      <c r="U661" s="93" t="s">
        <v>116</v>
      </c>
      <c r="V661" s="94">
        <v>44628.495833333334</v>
      </c>
      <c r="W661" s="93" t="s">
        <v>1170</v>
      </c>
      <c r="X661" s="93" t="s">
        <v>24</v>
      </c>
    </row>
    <row r="662" spans="1:24" hidden="1" x14ac:dyDescent="0.15">
      <c r="A662" s="93" t="s">
        <v>2289</v>
      </c>
      <c r="B662" s="93" t="s">
        <v>2290</v>
      </c>
      <c r="C662" s="410">
        <v>3675</v>
      </c>
      <c r="D662" s="93" t="s">
        <v>9</v>
      </c>
      <c r="E662" s="93" t="s">
        <v>9</v>
      </c>
      <c r="F662" s="93" t="s">
        <v>1648</v>
      </c>
      <c r="G662" s="93" t="s">
        <v>9117</v>
      </c>
      <c r="H662" s="93" t="s">
        <v>1690</v>
      </c>
      <c r="I662" s="93" t="s">
        <v>111</v>
      </c>
      <c r="J662" s="93" t="s">
        <v>2013</v>
      </c>
      <c r="K662" s="93">
        <v>50</v>
      </c>
      <c r="L662" s="93" t="s">
        <v>111</v>
      </c>
      <c r="M662" s="93">
        <v>6.5</v>
      </c>
      <c r="N662" s="93" t="s">
        <v>113</v>
      </c>
      <c r="O662" s="93">
        <v>18.5</v>
      </c>
      <c r="P662" s="93">
        <v>29.5</v>
      </c>
      <c r="Q662" s="93">
        <v>37.5</v>
      </c>
      <c r="R662" s="93" t="s">
        <v>123</v>
      </c>
      <c r="S662" s="93" t="s">
        <v>659</v>
      </c>
      <c r="T662" s="93" t="s">
        <v>1659</v>
      </c>
      <c r="U662" s="93" t="s">
        <v>116</v>
      </c>
      <c r="V662" s="94">
        <v>44628.640277777777</v>
      </c>
      <c r="W662" s="93" t="s">
        <v>1170</v>
      </c>
      <c r="X662" s="93" t="s">
        <v>24</v>
      </c>
    </row>
    <row r="663" spans="1:24" hidden="1" x14ac:dyDescent="0.15">
      <c r="A663" s="93" t="s">
        <v>2291</v>
      </c>
      <c r="B663" s="93" t="s">
        <v>2292</v>
      </c>
      <c r="C663" s="410">
        <v>3675</v>
      </c>
      <c r="D663" s="93" t="s">
        <v>9</v>
      </c>
      <c r="E663" s="93" t="s">
        <v>9</v>
      </c>
      <c r="F663" s="93" t="s">
        <v>1648</v>
      </c>
      <c r="G663" s="93" t="s">
        <v>9117</v>
      </c>
      <c r="H663" s="93" t="s">
        <v>1690</v>
      </c>
      <c r="I663" s="93" t="s">
        <v>111</v>
      </c>
      <c r="J663" s="93" t="s">
        <v>2013</v>
      </c>
      <c r="K663" s="93">
        <v>50</v>
      </c>
      <c r="L663" s="93" t="s">
        <v>111</v>
      </c>
      <c r="M663" s="93">
        <v>6.5</v>
      </c>
      <c r="N663" s="93" t="s">
        <v>113</v>
      </c>
      <c r="O663" s="93">
        <v>18.5</v>
      </c>
      <c r="P663" s="93">
        <v>29.5</v>
      </c>
      <c r="Q663" s="93">
        <v>37.5</v>
      </c>
      <c r="R663" s="93" t="s">
        <v>123</v>
      </c>
      <c r="S663" s="93" t="s">
        <v>659</v>
      </c>
      <c r="T663" s="93" t="s">
        <v>1659</v>
      </c>
      <c r="U663" s="93" t="s">
        <v>116</v>
      </c>
      <c r="V663" s="94">
        <v>44628.640277777777</v>
      </c>
      <c r="W663" s="93" t="s">
        <v>1170</v>
      </c>
      <c r="X663" s="93" t="s">
        <v>24</v>
      </c>
    </row>
    <row r="664" spans="1:24" hidden="1" x14ac:dyDescent="0.15">
      <c r="A664" s="93" t="s">
        <v>2293</v>
      </c>
      <c r="B664" s="93" t="s">
        <v>2294</v>
      </c>
      <c r="C664" s="410">
        <v>3675</v>
      </c>
      <c r="D664" s="93" t="s">
        <v>9</v>
      </c>
      <c r="E664" s="93" t="s">
        <v>9</v>
      </c>
      <c r="F664" s="93" t="s">
        <v>1648</v>
      </c>
      <c r="G664" s="93" t="s">
        <v>9117</v>
      </c>
      <c r="H664" s="93" t="s">
        <v>1690</v>
      </c>
      <c r="I664" s="93" t="s">
        <v>111</v>
      </c>
      <c r="J664" s="93" t="s">
        <v>2013</v>
      </c>
      <c r="K664" s="93">
        <v>50</v>
      </c>
      <c r="L664" s="93" t="s">
        <v>111</v>
      </c>
      <c r="M664" s="93">
        <v>6.5</v>
      </c>
      <c r="N664" s="93" t="s">
        <v>113</v>
      </c>
      <c r="O664" s="93">
        <v>18.5</v>
      </c>
      <c r="P664" s="93">
        <v>29.5</v>
      </c>
      <c r="Q664" s="93">
        <v>37.5</v>
      </c>
      <c r="R664" s="93" t="s">
        <v>123</v>
      </c>
      <c r="S664" s="93" t="s">
        <v>659</v>
      </c>
      <c r="T664" s="93" t="s">
        <v>1659</v>
      </c>
      <c r="U664" s="93" t="s">
        <v>116</v>
      </c>
      <c r="V664" s="94">
        <v>44628.518055555556</v>
      </c>
      <c r="W664" s="93" t="s">
        <v>1170</v>
      </c>
      <c r="X664" s="93" t="s">
        <v>24</v>
      </c>
    </row>
    <row r="665" spans="1:24" hidden="1" x14ac:dyDescent="0.15">
      <c r="A665" s="93" t="s">
        <v>2295</v>
      </c>
      <c r="B665" s="93" t="s">
        <v>2296</v>
      </c>
      <c r="C665" s="410">
        <v>3675</v>
      </c>
      <c r="D665" s="93" t="s">
        <v>9</v>
      </c>
      <c r="E665" s="93" t="s">
        <v>9</v>
      </c>
      <c r="F665" s="93" t="s">
        <v>1648</v>
      </c>
      <c r="G665" s="93" t="s">
        <v>9117</v>
      </c>
      <c r="H665" s="93" t="s">
        <v>1690</v>
      </c>
      <c r="I665" s="93" t="s">
        <v>111</v>
      </c>
      <c r="J665" s="93" t="s">
        <v>2013</v>
      </c>
      <c r="K665" s="93">
        <v>50</v>
      </c>
      <c r="L665" s="93" t="s">
        <v>111</v>
      </c>
      <c r="M665" s="93">
        <v>6.5</v>
      </c>
      <c r="N665" s="93" t="s">
        <v>113</v>
      </c>
      <c r="O665" s="93">
        <v>18.5</v>
      </c>
      <c r="P665" s="93">
        <v>29.5</v>
      </c>
      <c r="Q665" s="93">
        <v>37.5</v>
      </c>
      <c r="R665" s="93" t="s">
        <v>123</v>
      </c>
      <c r="S665" s="93" t="s">
        <v>659</v>
      </c>
      <c r="T665" s="93" t="s">
        <v>1659</v>
      </c>
      <c r="U665" s="93" t="s">
        <v>116</v>
      </c>
      <c r="V665" s="94">
        <v>44628.583333333336</v>
      </c>
      <c r="W665" s="93" t="s">
        <v>1170</v>
      </c>
      <c r="X665" s="93" t="s">
        <v>24</v>
      </c>
    </row>
    <row r="666" spans="1:24" hidden="1" x14ac:dyDescent="0.15">
      <c r="A666" s="93" t="s">
        <v>2297</v>
      </c>
      <c r="B666" s="93" t="s">
        <v>2298</v>
      </c>
      <c r="C666" s="410">
        <v>3675</v>
      </c>
      <c r="D666" s="93" t="s">
        <v>9</v>
      </c>
      <c r="E666" s="93" t="s">
        <v>9</v>
      </c>
      <c r="F666" s="93" t="s">
        <v>1648</v>
      </c>
      <c r="G666" s="93" t="s">
        <v>9117</v>
      </c>
      <c r="H666" s="93" t="s">
        <v>1690</v>
      </c>
      <c r="I666" s="93" t="s">
        <v>111</v>
      </c>
      <c r="J666" s="93" t="s">
        <v>2013</v>
      </c>
      <c r="K666" s="93">
        <v>50</v>
      </c>
      <c r="L666" s="93" t="s">
        <v>111</v>
      </c>
      <c r="M666" s="93">
        <v>6.5</v>
      </c>
      <c r="N666" s="93" t="s">
        <v>113</v>
      </c>
      <c r="O666" s="93">
        <v>18.5</v>
      </c>
      <c r="P666" s="93">
        <v>29.5</v>
      </c>
      <c r="Q666" s="93">
        <v>37.5</v>
      </c>
      <c r="R666" s="93" t="s">
        <v>123</v>
      </c>
      <c r="S666" s="93" t="s">
        <v>659</v>
      </c>
      <c r="T666" s="93" t="s">
        <v>1659</v>
      </c>
      <c r="U666" s="93" t="s">
        <v>116</v>
      </c>
      <c r="V666" s="94">
        <v>44628.640277777777</v>
      </c>
      <c r="W666" s="93" t="s">
        <v>1170</v>
      </c>
      <c r="X666" s="93" t="s">
        <v>24</v>
      </c>
    </row>
    <row r="667" spans="1:24" hidden="1" x14ac:dyDescent="0.15">
      <c r="A667" s="93" t="s">
        <v>2299</v>
      </c>
      <c r="B667" s="93" t="s">
        <v>2300</v>
      </c>
      <c r="C667" s="410">
        <v>3675</v>
      </c>
      <c r="D667" s="93" t="s">
        <v>9</v>
      </c>
      <c r="E667" s="93" t="s">
        <v>9</v>
      </c>
      <c r="F667" s="93" t="s">
        <v>1648</v>
      </c>
      <c r="G667" s="93" t="s">
        <v>9117</v>
      </c>
      <c r="H667" s="93" t="s">
        <v>1690</v>
      </c>
      <c r="I667" s="93" t="s">
        <v>111</v>
      </c>
      <c r="J667" s="93" t="s">
        <v>2013</v>
      </c>
      <c r="K667" s="93">
        <v>50</v>
      </c>
      <c r="L667" s="93" t="s">
        <v>111</v>
      </c>
      <c r="M667" s="93">
        <v>6.5</v>
      </c>
      <c r="N667" s="93" t="s">
        <v>113</v>
      </c>
      <c r="O667" s="93">
        <v>18.5</v>
      </c>
      <c r="P667" s="93">
        <v>29.5</v>
      </c>
      <c r="Q667" s="93">
        <v>37.5</v>
      </c>
      <c r="R667" s="93" t="s">
        <v>123</v>
      </c>
      <c r="S667" s="93" t="s">
        <v>659</v>
      </c>
      <c r="T667" s="93" t="s">
        <v>1659</v>
      </c>
      <c r="U667" s="93" t="s">
        <v>116</v>
      </c>
      <c r="V667" s="94">
        <v>44628.561111111114</v>
      </c>
      <c r="W667" s="93" t="s">
        <v>1170</v>
      </c>
      <c r="X667" s="93" t="s">
        <v>24</v>
      </c>
    </row>
    <row r="668" spans="1:24" hidden="1" x14ac:dyDescent="0.15">
      <c r="A668" s="93" t="s">
        <v>2301</v>
      </c>
      <c r="B668" s="93" t="s">
        <v>2302</v>
      </c>
      <c r="C668" s="410">
        <v>3675</v>
      </c>
      <c r="D668" s="93" t="s">
        <v>9</v>
      </c>
      <c r="E668" s="93" t="s">
        <v>9</v>
      </c>
      <c r="F668" s="93" t="s">
        <v>1648</v>
      </c>
      <c r="G668" s="93" t="s">
        <v>9117</v>
      </c>
      <c r="H668" s="93" t="s">
        <v>1690</v>
      </c>
      <c r="I668" s="93" t="s">
        <v>111</v>
      </c>
      <c r="J668" s="93" t="s">
        <v>2013</v>
      </c>
      <c r="K668" s="93">
        <v>50</v>
      </c>
      <c r="L668" s="93" t="s">
        <v>111</v>
      </c>
      <c r="M668" s="93">
        <v>6.5</v>
      </c>
      <c r="N668" s="93" t="s">
        <v>113</v>
      </c>
      <c r="O668" s="93">
        <v>18.5</v>
      </c>
      <c r="P668" s="93">
        <v>29.5</v>
      </c>
      <c r="Q668" s="93">
        <v>37.5</v>
      </c>
      <c r="R668" s="93" t="s">
        <v>123</v>
      </c>
      <c r="S668" s="93" t="s">
        <v>659</v>
      </c>
      <c r="T668" s="93" t="s">
        <v>1659</v>
      </c>
      <c r="U668" s="93" t="s">
        <v>116</v>
      </c>
      <c r="V668" s="94">
        <v>44628.518055555556</v>
      </c>
      <c r="W668" s="93" t="s">
        <v>1170</v>
      </c>
      <c r="X668" s="93" t="s">
        <v>24</v>
      </c>
    </row>
    <row r="669" spans="1:24" hidden="1" x14ac:dyDescent="0.15">
      <c r="A669" s="93" t="s">
        <v>2303</v>
      </c>
      <c r="B669" s="93" t="s">
        <v>2304</v>
      </c>
      <c r="C669" s="410">
        <v>3675</v>
      </c>
      <c r="D669" s="93" t="s">
        <v>9</v>
      </c>
      <c r="E669" s="93" t="s">
        <v>9</v>
      </c>
      <c r="F669" s="93" t="s">
        <v>1648</v>
      </c>
      <c r="G669" s="93" t="s">
        <v>9117</v>
      </c>
      <c r="H669" s="93" t="s">
        <v>1690</v>
      </c>
      <c r="I669" s="93" t="s">
        <v>111</v>
      </c>
      <c r="J669" s="93" t="s">
        <v>2013</v>
      </c>
      <c r="K669" s="93">
        <v>50</v>
      </c>
      <c r="L669" s="93" t="s">
        <v>111</v>
      </c>
      <c r="M669" s="93">
        <v>6.5</v>
      </c>
      <c r="N669" s="93" t="s">
        <v>113</v>
      </c>
      <c r="O669" s="93">
        <v>18.5</v>
      </c>
      <c r="P669" s="93">
        <v>29.5</v>
      </c>
      <c r="Q669" s="93">
        <v>37.5</v>
      </c>
      <c r="R669" s="93" t="s">
        <v>123</v>
      </c>
      <c r="S669" s="93" t="s">
        <v>659</v>
      </c>
      <c r="T669" s="93" t="s">
        <v>1659</v>
      </c>
      <c r="U669" s="93" t="s">
        <v>116</v>
      </c>
      <c r="V669" s="94">
        <v>44628.540277777778</v>
      </c>
      <c r="W669" s="93" t="s">
        <v>1170</v>
      </c>
      <c r="X669" s="93" t="s">
        <v>24</v>
      </c>
    </row>
    <row r="670" spans="1:24" hidden="1" x14ac:dyDescent="0.15">
      <c r="A670" s="93" t="s">
        <v>2305</v>
      </c>
      <c r="B670" s="93" t="s">
        <v>2306</v>
      </c>
      <c r="C670" s="410">
        <v>3675</v>
      </c>
      <c r="D670" s="93" t="s">
        <v>9</v>
      </c>
      <c r="E670" s="93" t="s">
        <v>9</v>
      </c>
      <c r="F670" s="93" t="s">
        <v>1648</v>
      </c>
      <c r="G670" s="93" t="s">
        <v>9117</v>
      </c>
      <c r="H670" s="93" t="s">
        <v>1690</v>
      </c>
      <c r="I670" s="93" t="s">
        <v>111</v>
      </c>
      <c r="J670" s="93" t="s">
        <v>2013</v>
      </c>
      <c r="K670" s="93">
        <v>50</v>
      </c>
      <c r="L670" s="93" t="s">
        <v>111</v>
      </c>
      <c r="M670" s="93">
        <v>6.5</v>
      </c>
      <c r="N670" s="93" t="s">
        <v>113</v>
      </c>
      <c r="O670" s="93">
        <v>18.5</v>
      </c>
      <c r="P670" s="93">
        <v>29.5</v>
      </c>
      <c r="Q670" s="93">
        <v>37.5</v>
      </c>
      <c r="R670" s="93" t="s">
        <v>123</v>
      </c>
      <c r="S670" s="93" t="s">
        <v>659</v>
      </c>
      <c r="T670" s="93" t="s">
        <v>1659</v>
      </c>
      <c r="U670" s="93" t="s">
        <v>116</v>
      </c>
      <c r="V670" s="94">
        <v>44628.474999999999</v>
      </c>
      <c r="W670" s="93" t="s">
        <v>1170</v>
      </c>
      <c r="X670" s="93" t="s">
        <v>24</v>
      </c>
    </row>
    <row r="671" spans="1:24" hidden="1" x14ac:dyDescent="0.15">
      <c r="A671" s="93" t="s">
        <v>2307</v>
      </c>
      <c r="B671" s="93" t="s">
        <v>2308</v>
      </c>
      <c r="C671" s="410">
        <v>3675</v>
      </c>
      <c r="D671" s="93" t="s">
        <v>9</v>
      </c>
      <c r="E671" s="93" t="s">
        <v>9</v>
      </c>
      <c r="F671" s="93" t="s">
        <v>1648</v>
      </c>
      <c r="G671" s="93" t="s">
        <v>9117</v>
      </c>
      <c r="H671" s="93" t="s">
        <v>1690</v>
      </c>
      <c r="I671" s="93" t="s">
        <v>111</v>
      </c>
      <c r="J671" s="93" t="s">
        <v>2013</v>
      </c>
      <c r="K671" s="93">
        <v>50</v>
      </c>
      <c r="L671" s="93" t="s">
        <v>111</v>
      </c>
      <c r="M671" s="93">
        <v>6.5</v>
      </c>
      <c r="N671" s="93" t="s">
        <v>113</v>
      </c>
      <c r="O671" s="93">
        <v>18.5</v>
      </c>
      <c r="P671" s="93">
        <v>29.5</v>
      </c>
      <c r="Q671" s="93">
        <v>37.5</v>
      </c>
      <c r="R671" s="93" t="s">
        <v>123</v>
      </c>
      <c r="S671" s="93" t="s">
        <v>659</v>
      </c>
      <c r="T671" s="93" t="s">
        <v>1659</v>
      </c>
      <c r="U671" s="93" t="s">
        <v>116</v>
      </c>
      <c r="V671" s="94">
        <v>44628.495833333334</v>
      </c>
      <c r="W671" s="93" t="s">
        <v>1170</v>
      </c>
      <c r="X671" s="93" t="s">
        <v>24</v>
      </c>
    </row>
    <row r="672" spans="1:24" hidden="1" x14ac:dyDescent="0.15">
      <c r="A672" s="93" t="s">
        <v>2309</v>
      </c>
      <c r="B672" s="93" t="s">
        <v>2310</v>
      </c>
      <c r="C672" s="410">
        <v>3675</v>
      </c>
      <c r="D672" s="93" t="s">
        <v>9</v>
      </c>
      <c r="E672" s="93" t="s">
        <v>9</v>
      </c>
      <c r="F672" s="93" t="s">
        <v>1648</v>
      </c>
      <c r="G672" s="93" t="s">
        <v>9117</v>
      </c>
      <c r="H672" s="93" t="s">
        <v>1690</v>
      </c>
      <c r="I672" s="93" t="s">
        <v>111</v>
      </c>
      <c r="J672" s="93" t="s">
        <v>2013</v>
      </c>
      <c r="K672" s="93">
        <v>50</v>
      </c>
      <c r="L672" s="93" t="s">
        <v>111</v>
      </c>
      <c r="M672" s="93">
        <v>6.5</v>
      </c>
      <c r="N672" s="93" t="s">
        <v>113</v>
      </c>
      <c r="O672" s="93">
        <v>18.5</v>
      </c>
      <c r="P672" s="93">
        <v>29.5</v>
      </c>
      <c r="Q672" s="93">
        <v>37.5</v>
      </c>
      <c r="R672" s="93" t="s">
        <v>123</v>
      </c>
      <c r="S672" s="93" t="s">
        <v>659</v>
      </c>
      <c r="T672" s="93" t="s">
        <v>1659</v>
      </c>
      <c r="U672" s="93" t="s">
        <v>116</v>
      </c>
      <c r="V672" s="94">
        <v>44628.540277777778</v>
      </c>
      <c r="W672" s="93" t="s">
        <v>1170</v>
      </c>
      <c r="X672" s="93" t="s">
        <v>24</v>
      </c>
    </row>
    <row r="673" spans="1:24" hidden="1" x14ac:dyDescent="0.15">
      <c r="A673" s="93" t="s">
        <v>2311</v>
      </c>
      <c r="B673" s="93" t="s">
        <v>2312</v>
      </c>
      <c r="C673" s="410">
        <v>3675</v>
      </c>
      <c r="D673" s="93" t="s">
        <v>9</v>
      </c>
      <c r="E673" s="93" t="s">
        <v>9</v>
      </c>
      <c r="F673" s="93" t="s">
        <v>1648</v>
      </c>
      <c r="G673" s="93" t="s">
        <v>9117</v>
      </c>
      <c r="H673" s="93" t="s">
        <v>1690</v>
      </c>
      <c r="I673" s="93" t="s">
        <v>111</v>
      </c>
      <c r="J673" s="93" t="s">
        <v>2013</v>
      </c>
      <c r="K673" s="93">
        <v>50</v>
      </c>
      <c r="L673" s="93" t="s">
        <v>111</v>
      </c>
      <c r="M673" s="93">
        <v>6.5</v>
      </c>
      <c r="N673" s="93" t="s">
        <v>113</v>
      </c>
      <c r="O673" s="93">
        <v>18.5</v>
      </c>
      <c r="P673" s="93">
        <v>29.5</v>
      </c>
      <c r="Q673" s="93">
        <v>37.5</v>
      </c>
      <c r="R673" s="93" t="s">
        <v>123</v>
      </c>
      <c r="S673" s="93" t="s">
        <v>659</v>
      </c>
      <c r="T673" s="93" t="s">
        <v>1659</v>
      </c>
      <c r="U673" s="93" t="s">
        <v>116</v>
      </c>
      <c r="V673" s="94">
        <v>44628.540277777778</v>
      </c>
      <c r="W673" s="93" t="s">
        <v>1170</v>
      </c>
      <c r="X673" s="93" t="s">
        <v>24</v>
      </c>
    </row>
    <row r="674" spans="1:24" hidden="1" x14ac:dyDescent="0.15">
      <c r="A674" s="93" t="s">
        <v>2313</v>
      </c>
      <c r="B674" s="93" t="s">
        <v>2314</v>
      </c>
      <c r="C674" s="410">
        <v>3675</v>
      </c>
      <c r="D674" s="93" t="s">
        <v>9</v>
      </c>
      <c r="E674" s="93" t="s">
        <v>9</v>
      </c>
      <c r="F674" s="93" t="s">
        <v>1648</v>
      </c>
      <c r="G674" s="93" t="s">
        <v>9117</v>
      </c>
      <c r="H674" s="93" t="s">
        <v>1690</v>
      </c>
      <c r="I674" s="93" t="s">
        <v>111</v>
      </c>
      <c r="J674" s="93" t="s">
        <v>2013</v>
      </c>
      <c r="K674" s="93">
        <v>50</v>
      </c>
      <c r="L674" s="93" t="s">
        <v>111</v>
      </c>
      <c r="M674" s="93">
        <v>6.5</v>
      </c>
      <c r="N674" s="93" t="s">
        <v>113</v>
      </c>
      <c r="O674" s="93">
        <v>18.5</v>
      </c>
      <c r="P674" s="93">
        <v>29.5</v>
      </c>
      <c r="Q674" s="93">
        <v>37.5</v>
      </c>
      <c r="R674" s="93" t="s">
        <v>123</v>
      </c>
      <c r="S674" s="93" t="s">
        <v>659</v>
      </c>
      <c r="T674" s="93" t="s">
        <v>1659</v>
      </c>
      <c r="U674" s="93" t="s">
        <v>116</v>
      </c>
      <c r="V674" s="94">
        <v>44628.583333333336</v>
      </c>
      <c r="W674" s="93" t="s">
        <v>1170</v>
      </c>
      <c r="X674" s="93" t="s">
        <v>24</v>
      </c>
    </row>
    <row r="675" spans="1:24" hidden="1" x14ac:dyDescent="0.15">
      <c r="A675" s="93" t="s">
        <v>2315</v>
      </c>
      <c r="B675" s="93" t="s">
        <v>2316</v>
      </c>
      <c r="C675" s="410">
        <v>3675</v>
      </c>
      <c r="D675" s="93" t="s">
        <v>9</v>
      </c>
      <c r="E675" s="93" t="s">
        <v>9</v>
      </c>
      <c r="F675" s="93" t="s">
        <v>1648</v>
      </c>
      <c r="G675" s="93" t="s">
        <v>9117</v>
      </c>
      <c r="H675" s="93" t="s">
        <v>1690</v>
      </c>
      <c r="I675" s="93" t="s">
        <v>111</v>
      </c>
      <c r="J675" s="93" t="s">
        <v>2013</v>
      </c>
      <c r="K675" s="93">
        <v>50</v>
      </c>
      <c r="L675" s="93" t="s">
        <v>111</v>
      </c>
      <c r="M675" s="93">
        <v>6.5</v>
      </c>
      <c r="N675" s="93" t="s">
        <v>113</v>
      </c>
      <c r="O675" s="93">
        <v>18.5</v>
      </c>
      <c r="P675" s="93">
        <v>29.5</v>
      </c>
      <c r="Q675" s="93">
        <v>37.5</v>
      </c>
      <c r="R675" s="93" t="s">
        <v>123</v>
      </c>
      <c r="S675" s="93" t="s">
        <v>659</v>
      </c>
      <c r="T675" s="93" t="s">
        <v>1659</v>
      </c>
      <c r="U675" s="93" t="s">
        <v>116</v>
      </c>
      <c r="V675" s="94">
        <v>44628.540277777778</v>
      </c>
      <c r="W675" s="93" t="s">
        <v>1170</v>
      </c>
      <c r="X675" s="93" t="s">
        <v>24</v>
      </c>
    </row>
    <row r="676" spans="1:24" hidden="1" x14ac:dyDescent="0.15">
      <c r="A676" s="93" t="s">
        <v>2317</v>
      </c>
      <c r="B676" s="93" t="s">
        <v>2318</v>
      </c>
      <c r="C676" s="410">
        <v>3675</v>
      </c>
      <c r="D676" s="93" t="s">
        <v>9</v>
      </c>
      <c r="E676" s="93" t="s">
        <v>9</v>
      </c>
      <c r="F676" s="93" t="s">
        <v>1648</v>
      </c>
      <c r="G676" s="93" t="s">
        <v>9117</v>
      </c>
      <c r="H676" s="93" t="s">
        <v>1690</v>
      </c>
      <c r="I676" s="93" t="s">
        <v>111</v>
      </c>
      <c r="J676" s="93" t="s">
        <v>2013</v>
      </c>
      <c r="K676" s="93">
        <v>50</v>
      </c>
      <c r="L676" s="93" t="s">
        <v>111</v>
      </c>
      <c r="M676" s="93">
        <v>6.5</v>
      </c>
      <c r="N676" s="93" t="s">
        <v>113</v>
      </c>
      <c r="O676" s="93">
        <v>18.5</v>
      </c>
      <c r="P676" s="93">
        <v>29.5</v>
      </c>
      <c r="Q676" s="93">
        <v>37.5</v>
      </c>
      <c r="R676" s="93" t="s">
        <v>123</v>
      </c>
      <c r="S676" s="93" t="s">
        <v>659</v>
      </c>
      <c r="T676" s="93" t="s">
        <v>1659</v>
      </c>
      <c r="U676" s="93" t="s">
        <v>116</v>
      </c>
      <c r="V676" s="94">
        <v>44628.583333333336</v>
      </c>
      <c r="W676" s="93" t="s">
        <v>1170</v>
      </c>
      <c r="X676" s="93" t="s">
        <v>24</v>
      </c>
    </row>
    <row r="677" spans="1:24" hidden="1" x14ac:dyDescent="0.15">
      <c r="A677" s="93" t="s">
        <v>2319</v>
      </c>
      <c r="B677" s="93" t="s">
        <v>2320</v>
      </c>
      <c r="C677" s="410">
        <v>3675</v>
      </c>
      <c r="D677" s="93" t="s">
        <v>9</v>
      </c>
      <c r="E677" s="93" t="s">
        <v>9</v>
      </c>
      <c r="F677" s="93" t="s">
        <v>1648</v>
      </c>
      <c r="G677" s="93" t="s">
        <v>9117</v>
      </c>
      <c r="H677" s="93" t="s">
        <v>1690</v>
      </c>
      <c r="I677" s="93" t="s">
        <v>111</v>
      </c>
      <c r="J677" s="93" t="s">
        <v>2013</v>
      </c>
      <c r="K677" s="93">
        <v>50</v>
      </c>
      <c r="L677" s="93" t="s">
        <v>111</v>
      </c>
      <c r="M677" s="93">
        <v>6.5</v>
      </c>
      <c r="N677" s="93" t="s">
        <v>113</v>
      </c>
      <c r="O677" s="93">
        <v>18.5</v>
      </c>
      <c r="P677" s="93">
        <v>29.5</v>
      </c>
      <c r="Q677" s="93">
        <v>37.5</v>
      </c>
      <c r="R677" s="93" t="s">
        <v>123</v>
      </c>
      <c r="S677" s="93" t="s">
        <v>659</v>
      </c>
      <c r="T677" s="93" t="s">
        <v>1659</v>
      </c>
      <c r="U677" s="93" t="s">
        <v>116</v>
      </c>
      <c r="V677" s="94">
        <v>44628.495833333334</v>
      </c>
      <c r="W677" s="93" t="s">
        <v>1170</v>
      </c>
      <c r="X677" s="93" t="s">
        <v>24</v>
      </c>
    </row>
    <row r="678" spans="1:24" hidden="1" x14ac:dyDescent="0.15">
      <c r="A678" s="93" t="s">
        <v>2321</v>
      </c>
      <c r="B678" s="93" t="s">
        <v>2322</v>
      </c>
      <c r="C678" s="410">
        <v>3675</v>
      </c>
      <c r="D678" s="93" t="s">
        <v>9</v>
      </c>
      <c r="E678" s="93" t="s">
        <v>9</v>
      </c>
      <c r="F678" s="93" t="s">
        <v>1648</v>
      </c>
      <c r="G678" s="93" t="s">
        <v>9117</v>
      </c>
      <c r="H678" s="93" t="s">
        <v>1690</v>
      </c>
      <c r="I678" s="93" t="s">
        <v>111</v>
      </c>
      <c r="J678" s="93" t="s">
        <v>2013</v>
      </c>
      <c r="K678" s="93">
        <v>50</v>
      </c>
      <c r="L678" s="93" t="s">
        <v>111</v>
      </c>
      <c r="M678" s="93">
        <v>6.5</v>
      </c>
      <c r="N678" s="93" t="s">
        <v>113</v>
      </c>
      <c r="O678" s="93">
        <v>18.5</v>
      </c>
      <c r="P678" s="93">
        <v>29.5</v>
      </c>
      <c r="Q678" s="93">
        <v>37.5</v>
      </c>
      <c r="R678" s="93" t="s">
        <v>123</v>
      </c>
      <c r="S678" s="93" t="s">
        <v>659</v>
      </c>
      <c r="T678" s="93" t="s">
        <v>1659</v>
      </c>
      <c r="U678" s="93" t="s">
        <v>116</v>
      </c>
      <c r="V678" s="94">
        <v>44628.604861111111</v>
      </c>
      <c r="W678" s="93" t="s">
        <v>1170</v>
      </c>
      <c r="X678" s="93" t="s">
        <v>24</v>
      </c>
    </row>
    <row r="679" spans="1:24" hidden="1" x14ac:dyDescent="0.15">
      <c r="A679" s="93" t="s">
        <v>2323</v>
      </c>
      <c r="B679" s="93" t="s">
        <v>2324</v>
      </c>
      <c r="C679" s="410">
        <v>3675</v>
      </c>
      <c r="D679" s="93" t="s">
        <v>9</v>
      </c>
      <c r="E679" s="93" t="s">
        <v>9</v>
      </c>
      <c r="F679" s="93" t="s">
        <v>1648</v>
      </c>
      <c r="G679" s="93" t="s">
        <v>9117</v>
      </c>
      <c r="H679" s="93" t="s">
        <v>1690</v>
      </c>
      <c r="I679" s="93" t="s">
        <v>111</v>
      </c>
      <c r="J679" s="93" t="s">
        <v>2013</v>
      </c>
      <c r="K679" s="93">
        <v>50</v>
      </c>
      <c r="L679" s="93" t="s">
        <v>111</v>
      </c>
      <c r="M679" s="93">
        <v>6.5</v>
      </c>
      <c r="N679" s="93" t="s">
        <v>113</v>
      </c>
      <c r="O679" s="93">
        <v>18.5</v>
      </c>
      <c r="P679" s="93">
        <v>29.5</v>
      </c>
      <c r="Q679" s="93">
        <v>37.5</v>
      </c>
      <c r="R679" s="93" t="s">
        <v>123</v>
      </c>
      <c r="S679" s="93" t="s">
        <v>659</v>
      </c>
      <c r="T679" s="93" t="s">
        <v>1659</v>
      </c>
      <c r="U679" s="93" t="s">
        <v>116</v>
      </c>
      <c r="V679" s="94">
        <v>44628.583333333336</v>
      </c>
      <c r="W679" s="93" t="s">
        <v>1170</v>
      </c>
      <c r="X679" s="93" t="s">
        <v>24</v>
      </c>
    </row>
    <row r="680" spans="1:24" hidden="1" x14ac:dyDescent="0.15">
      <c r="A680" s="93" t="s">
        <v>2325</v>
      </c>
      <c r="B680" s="93" t="s">
        <v>2326</v>
      </c>
      <c r="C680" s="410">
        <v>3675</v>
      </c>
      <c r="D680" s="93" t="s">
        <v>9</v>
      </c>
      <c r="E680" s="93" t="s">
        <v>9</v>
      </c>
      <c r="F680" s="93" t="s">
        <v>1648</v>
      </c>
      <c r="G680" s="93" t="s">
        <v>9117</v>
      </c>
      <c r="H680" s="93" t="s">
        <v>1690</v>
      </c>
      <c r="I680" s="93" t="s">
        <v>111</v>
      </c>
      <c r="J680" s="93" t="s">
        <v>2013</v>
      </c>
      <c r="K680" s="93">
        <v>50</v>
      </c>
      <c r="L680" s="93" t="s">
        <v>111</v>
      </c>
      <c r="M680" s="93">
        <v>6.5</v>
      </c>
      <c r="N680" s="93" t="s">
        <v>113</v>
      </c>
      <c r="O680" s="93">
        <v>18.5</v>
      </c>
      <c r="P680" s="93">
        <v>29.5</v>
      </c>
      <c r="Q680" s="93">
        <v>37.5</v>
      </c>
      <c r="R680" s="93" t="s">
        <v>123</v>
      </c>
      <c r="S680" s="93" t="s">
        <v>659</v>
      </c>
      <c r="T680" s="93" t="s">
        <v>1659</v>
      </c>
      <c r="U680" s="93" t="s">
        <v>116</v>
      </c>
      <c r="V680" s="94">
        <v>44628.518055555556</v>
      </c>
      <c r="W680" s="93" t="s">
        <v>1170</v>
      </c>
      <c r="X680" s="93" t="s">
        <v>24</v>
      </c>
    </row>
    <row r="681" spans="1:24" hidden="1" x14ac:dyDescent="0.15">
      <c r="A681" s="93" t="s">
        <v>2327</v>
      </c>
      <c r="B681" s="93" t="s">
        <v>2328</v>
      </c>
      <c r="C681" s="410">
        <v>3675</v>
      </c>
      <c r="D681" s="93" t="s">
        <v>9</v>
      </c>
      <c r="E681" s="93" t="s">
        <v>9</v>
      </c>
      <c r="F681" s="93" t="s">
        <v>1648</v>
      </c>
      <c r="G681" s="93" t="s">
        <v>9117</v>
      </c>
      <c r="H681" s="93" t="s">
        <v>1690</v>
      </c>
      <c r="I681" s="93" t="s">
        <v>111</v>
      </c>
      <c r="J681" s="93" t="s">
        <v>2013</v>
      </c>
      <c r="K681" s="93">
        <v>50</v>
      </c>
      <c r="L681" s="93" t="s">
        <v>111</v>
      </c>
      <c r="M681" s="93">
        <v>6.5</v>
      </c>
      <c r="N681" s="93" t="s">
        <v>113</v>
      </c>
      <c r="O681" s="93">
        <v>18.5</v>
      </c>
      <c r="P681" s="93">
        <v>29.5</v>
      </c>
      <c r="Q681" s="93">
        <v>37.5</v>
      </c>
      <c r="R681" s="93" t="s">
        <v>123</v>
      </c>
      <c r="S681" s="93" t="s">
        <v>659</v>
      </c>
      <c r="T681" s="93" t="s">
        <v>1659</v>
      </c>
      <c r="U681" s="93" t="s">
        <v>116</v>
      </c>
      <c r="V681" s="94">
        <v>44628.540277777778</v>
      </c>
      <c r="W681" s="93" t="s">
        <v>1170</v>
      </c>
      <c r="X681" s="93" t="s">
        <v>24</v>
      </c>
    </row>
    <row r="682" spans="1:24" hidden="1" x14ac:dyDescent="0.15">
      <c r="A682" s="93" t="s">
        <v>2329</v>
      </c>
      <c r="B682" s="93" t="s">
        <v>2330</v>
      </c>
      <c r="C682" s="410">
        <v>3675</v>
      </c>
      <c r="D682" s="93" t="s">
        <v>9</v>
      </c>
      <c r="E682" s="93" t="s">
        <v>9</v>
      </c>
      <c r="F682" s="93" t="s">
        <v>1648</v>
      </c>
      <c r="G682" s="93" t="s">
        <v>9117</v>
      </c>
      <c r="H682" s="93" t="s">
        <v>1690</v>
      </c>
      <c r="I682" s="93" t="s">
        <v>111</v>
      </c>
      <c r="J682" s="93" t="s">
        <v>2013</v>
      </c>
      <c r="K682" s="93">
        <v>50</v>
      </c>
      <c r="L682" s="93" t="s">
        <v>111</v>
      </c>
      <c r="M682" s="93">
        <v>6.5</v>
      </c>
      <c r="N682" s="93" t="s">
        <v>113</v>
      </c>
      <c r="O682" s="93">
        <v>18.5</v>
      </c>
      <c r="P682" s="93">
        <v>29.5</v>
      </c>
      <c r="Q682" s="93">
        <v>37.5</v>
      </c>
      <c r="R682" s="93" t="s">
        <v>123</v>
      </c>
      <c r="S682" s="93" t="s">
        <v>659</v>
      </c>
      <c r="T682" s="93" t="s">
        <v>1659</v>
      </c>
      <c r="U682" s="93" t="s">
        <v>116</v>
      </c>
      <c r="V682" s="94">
        <v>44628.540277777778</v>
      </c>
      <c r="W682" s="93" t="s">
        <v>1170</v>
      </c>
      <c r="X682" s="93" t="s">
        <v>24</v>
      </c>
    </row>
    <row r="683" spans="1:24" hidden="1" x14ac:dyDescent="0.15">
      <c r="A683" s="93" t="s">
        <v>2331</v>
      </c>
      <c r="B683" s="93" t="s">
        <v>2332</v>
      </c>
      <c r="C683" s="410">
        <v>3675</v>
      </c>
      <c r="D683" s="93" t="s">
        <v>9</v>
      </c>
      <c r="E683" s="93" t="s">
        <v>9</v>
      </c>
      <c r="F683" s="93" t="s">
        <v>1648</v>
      </c>
      <c r="G683" s="93" t="s">
        <v>9117</v>
      </c>
      <c r="H683" s="93" t="s">
        <v>1690</v>
      </c>
      <c r="I683" s="93" t="s">
        <v>111</v>
      </c>
      <c r="J683" s="93" t="s">
        <v>2013</v>
      </c>
      <c r="K683" s="93">
        <v>50</v>
      </c>
      <c r="L683" s="93" t="s">
        <v>111</v>
      </c>
      <c r="M683" s="93">
        <v>6.5</v>
      </c>
      <c r="N683" s="93" t="s">
        <v>113</v>
      </c>
      <c r="O683" s="93">
        <v>18.5</v>
      </c>
      <c r="P683" s="93">
        <v>29.5</v>
      </c>
      <c r="Q683" s="93">
        <v>37.5</v>
      </c>
      <c r="R683" s="93" t="s">
        <v>123</v>
      </c>
      <c r="S683" s="93" t="s">
        <v>659</v>
      </c>
      <c r="T683" s="93" t="s">
        <v>1659</v>
      </c>
      <c r="U683" s="93" t="s">
        <v>116</v>
      </c>
      <c r="V683" s="94">
        <v>44628.640277777777</v>
      </c>
      <c r="W683" s="93" t="s">
        <v>1170</v>
      </c>
      <c r="X683" s="93" t="s">
        <v>24</v>
      </c>
    </row>
    <row r="684" spans="1:24" hidden="1" x14ac:dyDescent="0.15">
      <c r="A684" s="93" t="s">
        <v>2333</v>
      </c>
      <c r="B684" s="93" t="s">
        <v>2334</v>
      </c>
      <c r="C684" s="410">
        <v>3675</v>
      </c>
      <c r="D684" s="93" t="s">
        <v>9</v>
      </c>
      <c r="E684" s="93" t="s">
        <v>9</v>
      </c>
      <c r="F684" s="93" t="s">
        <v>1648</v>
      </c>
      <c r="G684" s="93" t="s">
        <v>9117</v>
      </c>
      <c r="H684" s="93" t="s">
        <v>1690</v>
      </c>
      <c r="I684" s="93" t="s">
        <v>111</v>
      </c>
      <c r="J684" s="93" t="s">
        <v>2013</v>
      </c>
      <c r="K684" s="93">
        <v>50</v>
      </c>
      <c r="L684" s="93" t="s">
        <v>111</v>
      </c>
      <c r="M684" s="93">
        <v>6.5</v>
      </c>
      <c r="N684" s="93" t="s">
        <v>113</v>
      </c>
      <c r="O684" s="93">
        <v>18.5</v>
      </c>
      <c r="P684" s="93">
        <v>29.5</v>
      </c>
      <c r="Q684" s="93">
        <v>37.5</v>
      </c>
      <c r="R684" s="93" t="s">
        <v>123</v>
      </c>
      <c r="S684" s="93" t="s">
        <v>659</v>
      </c>
      <c r="T684" s="93" t="s">
        <v>1659</v>
      </c>
      <c r="U684" s="93" t="s">
        <v>116</v>
      </c>
      <c r="V684" s="94">
        <v>44628.540277777778</v>
      </c>
      <c r="W684" s="93" t="s">
        <v>1170</v>
      </c>
      <c r="X684" s="93" t="s">
        <v>24</v>
      </c>
    </row>
    <row r="685" spans="1:24" hidden="1" x14ac:dyDescent="0.15">
      <c r="A685" s="93" t="s">
        <v>2335</v>
      </c>
      <c r="B685" s="93" t="s">
        <v>2336</v>
      </c>
      <c r="C685" s="410">
        <v>3675</v>
      </c>
      <c r="D685" s="93" t="s">
        <v>9</v>
      </c>
      <c r="E685" s="93" t="s">
        <v>9</v>
      </c>
      <c r="F685" s="93" t="s">
        <v>1648</v>
      </c>
      <c r="G685" s="93" t="s">
        <v>9117</v>
      </c>
      <c r="H685" s="93" t="s">
        <v>1690</v>
      </c>
      <c r="I685" s="93" t="s">
        <v>111</v>
      </c>
      <c r="J685" s="93" t="s">
        <v>2013</v>
      </c>
      <c r="K685" s="93">
        <v>50</v>
      </c>
      <c r="L685" s="93" t="s">
        <v>111</v>
      </c>
      <c r="M685" s="93">
        <v>6.5</v>
      </c>
      <c r="N685" s="93" t="s">
        <v>113</v>
      </c>
      <c r="O685" s="93">
        <v>18.5</v>
      </c>
      <c r="P685" s="93">
        <v>29.5</v>
      </c>
      <c r="Q685" s="93">
        <v>37.5</v>
      </c>
      <c r="R685" s="93" t="s">
        <v>123</v>
      </c>
      <c r="S685" s="93" t="s">
        <v>659</v>
      </c>
      <c r="T685" s="93" t="s">
        <v>1659</v>
      </c>
      <c r="U685" s="93" t="s">
        <v>116</v>
      </c>
      <c r="V685" s="94">
        <v>44628.518055555556</v>
      </c>
      <c r="W685" s="93" t="s">
        <v>1170</v>
      </c>
      <c r="X685" s="93" t="s">
        <v>24</v>
      </c>
    </row>
    <row r="686" spans="1:24" hidden="1" x14ac:dyDescent="0.15">
      <c r="A686" s="93" t="s">
        <v>2337</v>
      </c>
      <c r="B686" s="93" t="s">
        <v>2338</v>
      </c>
      <c r="C686" s="410">
        <v>3675</v>
      </c>
      <c r="D686" s="93" t="s">
        <v>9</v>
      </c>
      <c r="E686" s="93" t="s">
        <v>9</v>
      </c>
      <c r="F686" s="93" t="s">
        <v>1648</v>
      </c>
      <c r="G686" s="93" t="s">
        <v>9117</v>
      </c>
      <c r="H686" s="93" t="s">
        <v>1690</v>
      </c>
      <c r="I686" s="93" t="s">
        <v>111</v>
      </c>
      <c r="J686" s="93" t="s">
        <v>2013</v>
      </c>
      <c r="K686" s="93">
        <v>50</v>
      </c>
      <c r="L686" s="93" t="s">
        <v>111</v>
      </c>
      <c r="M686" s="93">
        <v>6.5</v>
      </c>
      <c r="N686" s="93" t="s">
        <v>113</v>
      </c>
      <c r="O686" s="93">
        <v>18.5</v>
      </c>
      <c r="P686" s="93">
        <v>29.5</v>
      </c>
      <c r="Q686" s="93">
        <v>37.5</v>
      </c>
      <c r="R686" s="93" t="s">
        <v>123</v>
      </c>
      <c r="S686" s="93" t="s">
        <v>659</v>
      </c>
      <c r="T686" s="93" t="s">
        <v>1659</v>
      </c>
      <c r="U686" s="93" t="s">
        <v>116</v>
      </c>
      <c r="V686" s="94">
        <v>44628.540277777778</v>
      </c>
      <c r="W686" s="93" t="s">
        <v>1170</v>
      </c>
      <c r="X686" s="93" t="s">
        <v>24</v>
      </c>
    </row>
    <row r="687" spans="1:24" hidden="1" x14ac:dyDescent="0.15">
      <c r="A687" s="93" t="s">
        <v>2339</v>
      </c>
      <c r="B687" s="93" t="s">
        <v>2340</v>
      </c>
      <c r="C687" s="410">
        <v>3675</v>
      </c>
      <c r="D687" s="93" t="s">
        <v>9</v>
      </c>
      <c r="E687" s="93" t="s">
        <v>9</v>
      </c>
      <c r="F687" s="93" t="s">
        <v>1648</v>
      </c>
      <c r="G687" s="93" t="s">
        <v>9117</v>
      </c>
      <c r="H687" s="93" t="s">
        <v>1690</v>
      </c>
      <c r="I687" s="93" t="s">
        <v>111</v>
      </c>
      <c r="J687" s="93" t="s">
        <v>2013</v>
      </c>
      <c r="K687" s="93">
        <v>50</v>
      </c>
      <c r="L687" s="93" t="s">
        <v>111</v>
      </c>
      <c r="M687" s="93">
        <v>6.5</v>
      </c>
      <c r="N687" s="93" t="s">
        <v>113</v>
      </c>
      <c r="O687" s="93">
        <v>18.5</v>
      </c>
      <c r="P687" s="93">
        <v>29.5</v>
      </c>
      <c r="Q687" s="93">
        <v>37.5</v>
      </c>
      <c r="R687" s="93" t="s">
        <v>123</v>
      </c>
      <c r="S687" s="93" t="s">
        <v>659</v>
      </c>
      <c r="T687" s="93" t="s">
        <v>1659</v>
      </c>
      <c r="U687" s="93" t="s">
        <v>116</v>
      </c>
      <c r="V687" s="94">
        <v>44628.495833333334</v>
      </c>
      <c r="W687" s="93" t="s">
        <v>1170</v>
      </c>
      <c r="X687" s="93" t="s">
        <v>24</v>
      </c>
    </row>
    <row r="688" spans="1:24" hidden="1" x14ac:dyDescent="0.15">
      <c r="A688" s="93" t="s">
        <v>2341</v>
      </c>
      <c r="B688" s="93" t="s">
        <v>2342</v>
      </c>
      <c r="C688" s="410">
        <v>3675</v>
      </c>
      <c r="D688" s="93" t="s">
        <v>9</v>
      </c>
      <c r="E688" s="93" t="s">
        <v>9</v>
      </c>
      <c r="F688" s="93" t="s">
        <v>1648</v>
      </c>
      <c r="G688" s="93" t="s">
        <v>9117</v>
      </c>
      <c r="H688" s="93" t="s">
        <v>1690</v>
      </c>
      <c r="I688" s="93" t="s">
        <v>111</v>
      </c>
      <c r="J688" s="93" t="s">
        <v>2013</v>
      </c>
      <c r="K688" s="93">
        <v>50</v>
      </c>
      <c r="L688" s="93" t="s">
        <v>111</v>
      </c>
      <c r="M688" s="93">
        <v>6.5</v>
      </c>
      <c r="N688" s="93" t="s">
        <v>113</v>
      </c>
      <c r="O688" s="93">
        <v>18.5</v>
      </c>
      <c r="P688" s="93">
        <v>29.5</v>
      </c>
      <c r="Q688" s="93">
        <v>37.5</v>
      </c>
      <c r="R688" s="93" t="s">
        <v>123</v>
      </c>
      <c r="S688" s="93" t="s">
        <v>659</v>
      </c>
      <c r="T688" s="93" t="s">
        <v>1659</v>
      </c>
      <c r="U688" s="93" t="s">
        <v>116</v>
      </c>
      <c r="V688" s="94">
        <v>44628.561111111114</v>
      </c>
      <c r="W688" s="93" t="s">
        <v>1170</v>
      </c>
      <c r="X688" s="93" t="s">
        <v>24</v>
      </c>
    </row>
    <row r="689" spans="1:24" hidden="1" x14ac:dyDescent="0.15">
      <c r="A689" s="93" t="s">
        <v>2343</v>
      </c>
      <c r="B689" s="93" t="s">
        <v>2344</v>
      </c>
      <c r="C689" s="410">
        <v>3675</v>
      </c>
      <c r="D689" s="93" t="s">
        <v>9</v>
      </c>
      <c r="E689" s="93" t="s">
        <v>9</v>
      </c>
      <c r="F689" s="93" t="s">
        <v>1648</v>
      </c>
      <c r="G689" s="93" t="s">
        <v>9117</v>
      </c>
      <c r="H689" s="93" t="s">
        <v>1690</v>
      </c>
      <c r="I689" s="93" t="s">
        <v>111</v>
      </c>
      <c r="J689" s="93" t="s">
        <v>2013</v>
      </c>
      <c r="K689" s="93">
        <v>50</v>
      </c>
      <c r="L689" s="93" t="s">
        <v>111</v>
      </c>
      <c r="M689" s="93">
        <v>6.5</v>
      </c>
      <c r="N689" s="93" t="s">
        <v>113</v>
      </c>
      <c r="O689" s="93">
        <v>18.5</v>
      </c>
      <c r="P689" s="93">
        <v>29.5</v>
      </c>
      <c r="Q689" s="93">
        <v>37.5</v>
      </c>
      <c r="R689" s="93" t="s">
        <v>123</v>
      </c>
      <c r="S689" s="93" t="s">
        <v>659</v>
      </c>
      <c r="T689" s="93" t="s">
        <v>1659</v>
      </c>
      <c r="U689" s="93" t="s">
        <v>116</v>
      </c>
      <c r="V689" s="94">
        <v>44628.583333333336</v>
      </c>
      <c r="W689" s="93" t="s">
        <v>1170</v>
      </c>
      <c r="X689" s="93" t="s">
        <v>24</v>
      </c>
    </row>
    <row r="690" spans="1:24" hidden="1" x14ac:dyDescent="0.15">
      <c r="A690" s="93" t="s">
        <v>2345</v>
      </c>
      <c r="B690" s="93" t="s">
        <v>2346</v>
      </c>
      <c r="C690" s="410">
        <v>3675</v>
      </c>
      <c r="D690" s="93" t="s">
        <v>9</v>
      </c>
      <c r="E690" s="93" t="s">
        <v>9</v>
      </c>
      <c r="F690" s="93" t="s">
        <v>1648</v>
      </c>
      <c r="G690" s="93" t="s">
        <v>9117</v>
      </c>
      <c r="H690" s="93" t="s">
        <v>1690</v>
      </c>
      <c r="I690" s="93" t="s">
        <v>111</v>
      </c>
      <c r="J690" s="93" t="s">
        <v>2013</v>
      </c>
      <c r="K690" s="93">
        <v>50</v>
      </c>
      <c r="L690" s="93">
        <v>1</v>
      </c>
      <c r="M690" s="93">
        <v>6.5</v>
      </c>
      <c r="N690" s="93" t="s">
        <v>113</v>
      </c>
      <c r="O690" s="93">
        <v>18.5</v>
      </c>
      <c r="P690" s="93">
        <v>29.5</v>
      </c>
      <c r="Q690" s="93">
        <v>37.5</v>
      </c>
      <c r="R690" s="93" t="s">
        <v>123</v>
      </c>
      <c r="S690" s="93" t="s">
        <v>659</v>
      </c>
      <c r="T690" s="93" t="s">
        <v>1659</v>
      </c>
      <c r="U690" s="93" t="s">
        <v>116</v>
      </c>
      <c r="V690" s="94">
        <v>44628.561111111114</v>
      </c>
      <c r="W690" s="93" t="s">
        <v>1170</v>
      </c>
      <c r="X690" s="93" t="s">
        <v>24</v>
      </c>
    </row>
    <row r="691" spans="1:24" hidden="1" x14ac:dyDescent="0.15">
      <c r="A691" s="93" t="s">
        <v>2347</v>
      </c>
      <c r="B691" s="93" t="s">
        <v>2348</v>
      </c>
      <c r="C691" s="410">
        <v>3675</v>
      </c>
      <c r="D691" s="93" t="s">
        <v>9</v>
      </c>
      <c r="E691" s="93" t="s">
        <v>9</v>
      </c>
      <c r="F691" s="93" t="s">
        <v>1648</v>
      </c>
      <c r="G691" s="93" t="s">
        <v>9117</v>
      </c>
      <c r="H691" s="93" t="s">
        <v>1690</v>
      </c>
      <c r="I691" s="93" t="s">
        <v>111</v>
      </c>
      <c r="J691" s="93" t="s">
        <v>2013</v>
      </c>
      <c r="K691" s="93">
        <v>50</v>
      </c>
      <c r="L691" s="93">
        <v>1</v>
      </c>
      <c r="M691" s="93">
        <v>6.5</v>
      </c>
      <c r="N691" s="93" t="s">
        <v>113</v>
      </c>
      <c r="O691" s="93">
        <v>18.5</v>
      </c>
      <c r="P691" s="93">
        <v>29.5</v>
      </c>
      <c r="Q691" s="93">
        <v>37.5</v>
      </c>
      <c r="R691" s="93" t="s">
        <v>123</v>
      </c>
      <c r="S691" s="93" t="s">
        <v>659</v>
      </c>
      <c r="T691" s="93" t="s">
        <v>1659</v>
      </c>
      <c r="U691" s="93" t="s">
        <v>116</v>
      </c>
      <c r="V691" s="94">
        <v>44628.518055555556</v>
      </c>
      <c r="W691" s="93" t="s">
        <v>1170</v>
      </c>
      <c r="X691" s="93" t="s">
        <v>24</v>
      </c>
    </row>
    <row r="692" spans="1:24" hidden="1" x14ac:dyDescent="0.15">
      <c r="A692" s="93" t="s">
        <v>2349</v>
      </c>
      <c r="B692" s="93" t="s">
        <v>2350</v>
      </c>
      <c r="C692" s="410">
        <v>3675</v>
      </c>
      <c r="D692" s="93" t="s">
        <v>9</v>
      </c>
      <c r="E692" s="93" t="s">
        <v>9</v>
      </c>
      <c r="F692" s="93" t="s">
        <v>1648</v>
      </c>
      <c r="G692" s="93" t="s">
        <v>9117</v>
      </c>
      <c r="H692" s="93" t="s">
        <v>1690</v>
      </c>
      <c r="I692" s="93" t="s">
        <v>111</v>
      </c>
      <c r="J692" s="93" t="s">
        <v>2013</v>
      </c>
      <c r="K692" s="93">
        <v>50</v>
      </c>
      <c r="L692" s="93" t="s">
        <v>111</v>
      </c>
      <c r="M692" s="93">
        <v>6.5</v>
      </c>
      <c r="N692" s="93" t="s">
        <v>113</v>
      </c>
      <c r="O692" s="93">
        <v>18.5</v>
      </c>
      <c r="P692" s="93">
        <v>29.5</v>
      </c>
      <c r="Q692" s="93">
        <v>37.5</v>
      </c>
      <c r="R692" s="93" t="s">
        <v>123</v>
      </c>
      <c r="S692" s="93" t="s">
        <v>659</v>
      </c>
      <c r="T692" s="93" t="s">
        <v>1659</v>
      </c>
      <c r="U692" s="93" t="s">
        <v>116</v>
      </c>
      <c r="V692" s="94">
        <v>44628.583333333336</v>
      </c>
      <c r="W692" s="93" t="s">
        <v>1170</v>
      </c>
      <c r="X692" s="93" t="s">
        <v>24</v>
      </c>
    </row>
    <row r="693" spans="1:24" hidden="1" x14ac:dyDescent="0.15">
      <c r="A693" s="93" t="s">
        <v>2351</v>
      </c>
      <c r="B693" s="93" t="s">
        <v>2352</v>
      </c>
      <c r="C693" s="410">
        <v>3675</v>
      </c>
      <c r="D693" s="93" t="s">
        <v>9</v>
      </c>
      <c r="E693" s="93" t="s">
        <v>9</v>
      </c>
      <c r="F693" s="93" t="s">
        <v>1648</v>
      </c>
      <c r="G693" s="93" t="s">
        <v>9117</v>
      </c>
      <c r="H693" s="93" t="s">
        <v>1690</v>
      </c>
      <c r="I693" s="93" t="s">
        <v>111</v>
      </c>
      <c r="J693" s="93" t="s">
        <v>2013</v>
      </c>
      <c r="K693" s="93">
        <v>50</v>
      </c>
      <c r="L693" s="93" t="s">
        <v>111</v>
      </c>
      <c r="M693" s="93">
        <v>6.5</v>
      </c>
      <c r="N693" s="93" t="s">
        <v>113</v>
      </c>
      <c r="O693" s="93">
        <v>18.5</v>
      </c>
      <c r="P693" s="93">
        <v>29.5</v>
      </c>
      <c r="Q693" s="93">
        <v>37.5</v>
      </c>
      <c r="R693" s="93" t="s">
        <v>123</v>
      </c>
      <c r="S693" s="93" t="s">
        <v>659</v>
      </c>
      <c r="T693" s="93" t="s">
        <v>1659</v>
      </c>
      <c r="U693" s="93" t="s">
        <v>116</v>
      </c>
      <c r="V693" s="94">
        <v>44628.604861111111</v>
      </c>
      <c r="W693" s="93" t="s">
        <v>1170</v>
      </c>
      <c r="X693" s="93" t="s">
        <v>24</v>
      </c>
    </row>
    <row r="694" spans="1:24" hidden="1" x14ac:dyDescent="0.15">
      <c r="A694" s="93" t="s">
        <v>9184</v>
      </c>
      <c r="B694" s="93" t="s">
        <v>9185</v>
      </c>
      <c r="C694" s="410">
        <v>3675</v>
      </c>
      <c r="D694" s="93" t="s">
        <v>9</v>
      </c>
      <c r="E694" s="93" t="s">
        <v>9</v>
      </c>
      <c r="F694" s="93" t="s">
        <v>1648</v>
      </c>
      <c r="G694" s="93" t="s">
        <v>9117</v>
      </c>
      <c r="H694" s="93" t="s">
        <v>1690</v>
      </c>
      <c r="I694" s="93" t="s">
        <v>111</v>
      </c>
      <c r="J694" s="93" t="s">
        <v>2013</v>
      </c>
      <c r="K694" s="93">
        <v>50</v>
      </c>
      <c r="L694" s="93" t="s">
        <v>111</v>
      </c>
      <c r="M694" s="93">
        <v>6.5</v>
      </c>
      <c r="N694" s="93" t="s">
        <v>113</v>
      </c>
      <c r="O694" s="93">
        <v>18.5</v>
      </c>
      <c r="P694" s="93">
        <v>29.5</v>
      </c>
      <c r="Q694" s="93">
        <v>37.5</v>
      </c>
      <c r="R694" s="93" t="s">
        <v>123</v>
      </c>
      <c r="S694" s="93" t="s">
        <v>659</v>
      </c>
      <c r="T694" s="93" t="s">
        <v>1659</v>
      </c>
      <c r="U694" s="93" t="s">
        <v>395</v>
      </c>
      <c r="V694" s="94">
        <v>44628.540277777778</v>
      </c>
      <c r="W694" s="93" t="s">
        <v>1170</v>
      </c>
      <c r="X694" s="93" t="s">
        <v>24</v>
      </c>
    </row>
    <row r="695" spans="1:24" hidden="1" x14ac:dyDescent="0.15">
      <c r="A695" s="93" t="s">
        <v>9186</v>
      </c>
      <c r="B695" s="93" t="s">
        <v>9187</v>
      </c>
      <c r="C695" s="410">
        <v>3675</v>
      </c>
      <c r="D695" s="93" t="s">
        <v>9</v>
      </c>
      <c r="E695" s="93" t="s">
        <v>9</v>
      </c>
      <c r="F695" s="93" t="s">
        <v>1648</v>
      </c>
      <c r="G695" s="93" t="s">
        <v>9117</v>
      </c>
      <c r="H695" s="93" t="s">
        <v>1690</v>
      </c>
      <c r="I695" s="93" t="s">
        <v>111</v>
      </c>
      <c r="J695" s="93" t="s">
        <v>2013</v>
      </c>
      <c r="K695" s="93">
        <v>50</v>
      </c>
      <c r="L695" s="93" t="s">
        <v>111</v>
      </c>
      <c r="M695" s="93">
        <v>6.5</v>
      </c>
      <c r="N695" s="93" t="s">
        <v>113</v>
      </c>
      <c r="O695" s="93">
        <v>18.5</v>
      </c>
      <c r="P695" s="93">
        <v>29.5</v>
      </c>
      <c r="Q695" s="93">
        <v>37.5</v>
      </c>
      <c r="R695" s="93" t="s">
        <v>123</v>
      </c>
      <c r="S695" s="93" t="s">
        <v>659</v>
      </c>
      <c r="T695" s="93" t="s">
        <v>1659</v>
      </c>
      <c r="U695" s="93" t="s">
        <v>395</v>
      </c>
      <c r="V695" s="94">
        <v>44628.474999999999</v>
      </c>
      <c r="W695" s="93" t="s">
        <v>1170</v>
      </c>
      <c r="X695" s="93" t="s">
        <v>24</v>
      </c>
    </row>
    <row r="696" spans="1:24" hidden="1" x14ac:dyDescent="0.15">
      <c r="A696" s="93" t="s">
        <v>2353</v>
      </c>
      <c r="B696" s="93" t="s">
        <v>2354</v>
      </c>
      <c r="C696" s="410">
        <v>4620</v>
      </c>
      <c r="D696" s="93" t="s">
        <v>9</v>
      </c>
      <c r="E696" s="93" t="s">
        <v>9</v>
      </c>
      <c r="F696" s="93" t="s">
        <v>1648</v>
      </c>
      <c r="G696" s="93" t="s">
        <v>9117</v>
      </c>
      <c r="H696" s="93" t="s">
        <v>1690</v>
      </c>
      <c r="I696" s="93" t="s">
        <v>111</v>
      </c>
      <c r="J696" s="93" t="s">
        <v>2086</v>
      </c>
      <c r="K696" s="93">
        <v>50</v>
      </c>
      <c r="L696" s="93" t="s">
        <v>111</v>
      </c>
      <c r="M696" s="93">
        <v>6.5</v>
      </c>
      <c r="N696" s="93" t="s">
        <v>113</v>
      </c>
      <c r="O696" s="93">
        <v>18.5</v>
      </c>
      <c r="P696" s="93">
        <v>29.5</v>
      </c>
      <c r="Q696" s="93">
        <v>37.5</v>
      </c>
      <c r="R696" s="93" t="s">
        <v>123</v>
      </c>
      <c r="S696" s="93" t="s">
        <v>659</v>
      </c>
      <c r="T696" s="93" t="s">
        <v>1659</v>
      </c>
      <c r="U696" s="93" t="s">
        <v>116</v>
      </c>
      <c r="V696" s="94">
        <v>44628.495833333334</v>
      </c>
      <c r="W696" s="93" t="s">
        <v>1170</v>
      </c>
      <c r="X696" s="93" t="s">
        <v>24</v>
      </c>
    </row>
    <row r="697" spans="1:24" hidden="1" x14ac:dyDescent="0.15">
      <c r="A697" s="93" t="s">
        <v>2355</v>
      </c>
      <c r="B697" s="93" t="s">
        <v>2356</v>
      </c>
      <c r="C697" s="410">
        <v>4620</v>
      </c>
      <c r="D697" s="93" t="s">
        <v>9</v>
      </c>
      <c r="E697" s="93" t="s">
        <v>9</v>
      </c>
      <c r="F697" s="93" t="s">
        <v>1648</v>
      </c>
      <c r="G697" s="93" t="s">
        <v>9117</v>
      </c>
      <c r="H697" s="93" t="s">
        <v>1690</v>
      </c>
      <c r="I697" s="93" t="s">
        <v>111</v>
      </c>
      <c r="J697" s="93" t="s">
        <v>2086</v>
      </c>
      <c r="K697" s="93">
        <v>50</v>
      </c>
      <c r="L697" s="93" t="s">
        <v>111</v>
      </c>
      <c r="M697" s="93">
        <v>6.5</v>
      </c>
      <c r="N697" s="93" t="s">
        <v>113</v>
      </c>
      <c r="O697" s="93">
        <v>18.5</v>
      </c>
      <c r="P697" s="93">
        <v>29.5</v>
      </c>
      <c r="Q697" s="93">
        <v>37.5</v>
      </c>
      <c r="R697" s="93" t="s">
        <v>123</v>
      </c>
      <c r="S697" s="93" t="s">
        <v>659</v>
      </c>
      <c r="T697" s="93" t="s">
        <v>1659</v>
      </c>
      <c r="U697" s="93" t="s">
        <v>116</v>
      </c>
      <c r="V697" s="94">
        <v>44628.561111111114</v>
      </c>
      <c r="W697" s="93" t="s">
        <v>1170</v>
      </c>
      <c r="X697" s="93" t="s">
        <v>24</v>
      </c>
    </row>
    <row r="698" spans="1:24" hidden="1" x14ac:dyDescent="0.15">
      <c r="A698" s="93" t="s">
        <v>2357</v>
      </c>
      <c r="B698" s="93" t="s">
        <v>2358</v>
      </c>
      <c r="C698" s="410">
        <v>4620</v>
      </c>
      <c r="D698" s="93" t="s">
        <v>9</v>
      </c>
      <c r="E698" s="93" t="s">
        <v>9</v>
      </c>
      <c r="F698" s="93" t="s">
        <v>1648</v>
      </c>
      <c r="G698" s="93" t="s">
        <v>9117</v>
      </c>
      <c r="H698" s="93" t="s">
        <v>1690</v>
      </c>
      <c r="I698" s="93" t="s">
        <v>111</v>
      </c>
      <c r="J698" s="93" t="s">
        <v>2086</v>
      </c>
      <c r="K698" s="93">
        <v>50</v>
      </c>
      <c r="L698" s="93" t="s">
        <v>111</v>
      </c>
      <c r="M698" s="93">
        <v>6.5</v>
      </c>
      <c r="N698" s="93" t="s">
        <v>113</v>
      </c>
      <c r="O698" s="93">
        <v>18.5</v>
      </c>
      <c r="P698" s="93">
        <v>29.5</v>
      </c>
      <c r="Q698" s="93">
        <v>37.5</v>
      </c>
      <c r="R698" s="93" t="s">
        <v>123</v>
      </c>
      <c r="S698" s="93" t="s">
        <v>659</v>
      </c>
      <c r="T698" s="93" t="s">
        <v>1659</v>
      </c>
      <c r="U698" s="93" t="s">
        <v>116</v>
      </c>
      <c r="V698" s="94">
        <v>44628.583333333336</v>
      </c>
      <c r="W698" s="93" t="s">
        <v>1170</v>
      </c>
      <c r="X698" s="93" t="s">
        <v>24</v>
      </c>
    </row>
    <row r="699" spans="1:24" hidden="1" x14ac:dyDescent="0.15">
      <c r="A699" s="93" t="s">
        <v>2359</v>
      </c>
      <c r="B699" s="93" t="s">
        <v>2360</v>
      </c>
      <c r="C699" s="410">
        <v>4620</v>
      </c>
      <c r="D699" s="93" t="s">
        <v>9</v>
      </c>
      <c r="E699" s="93" t="s">
        <v>9</v>
      </c>
      <c r="F699" s="93" t="s">
        <v>1648</v>
      </c>
      <c r="G699" s="93" t="s">
        <v>9117</v>
      </c>
      <c r="H699" s="93" t="s">
        <v>1690</v>
      </c>
      <c r="I699" s="93" t="s">
        <v>111</v>
      </c>
      <c r="J699" s="93" t="s">
        <v>2086</v>
      </c>
      <c r="K699" s="93">
        <v>50</v>
      </c>
      <c r="L699" s="93" t="s">
        <v>111</v>
      </c>
      <c r="M699" s="93">
        <v>6.5</v>
      </c>
      <c r="N699" s="93" t="s">
        <v>113</v>
      </c>
      <c r="O699" s="93">
        <v>18.5</v>
      </c>
      <c r="P699" s="93">
        <v>29.5</v>
      </c>
      <c r="Q699" s="93">
        <v>37.5</v>
      </c>
      <c r="R699" s="93" t="s">
        <v>123</v>
      </c>
      <c r="S699" s="93" t="s">
        <v>659</v>
      </c>
      <c r="T699" s="93" t="s">
        <v>1659</v>
      </c>
      <c r="U699" s="93" t="s">
        <v>116</v>
      </c>
      <c r="V699" s="94">
        <v>44628.474999999999</v>
      </c>
      <c r="W699" s="93" t="s">
        <v>1170</v>
      </c>
      <c r="X699" s="93" t="s">
        <v>24</v>
      </c>
    </row>
    <row r="700" spans="1:24" hidden="1" x14ac:dyDescent="0.15">
      <c r="A700" s="93" t="s">
        <v>2361</v>
      </c>
      <c r="B700" s="93" t="s">
        <v>2362</v>
      </c>
      <c r="C700" s="410">
        <v>4620</v>
      </c>
      <c r="D700" s="93" t="s">
        <v>9</v>
      </c>
      <c r="E700" s="93" t="s">
        <v>9</v>
      </c>
      <c r="F700" s="93" t="s">
        <v>1648</v>
      </c>
      <c r="G700" s="93" t="s">
        <v>9117</v>
      </c>
      <c r="H700" s="93" t="s">
        <v>1690</v>
      </c>
      <c r="I700" s="93" t="s">
        <v>111</v>
      </c>
      <c r="J700" s="93" t="s">
        <v>2086</v>
      </c>
      <c r="K700" s="93">
        <v>50</v>
      </c>
      <c r="L700" s="93" t="s">
        <v>111</v>
      </c>
      <c r="M700" s="93">
        <v>6.5</v>
      </c>
      <c r="N700" s="93" t="s">
        <v>113</v>
      </c>
      <c r="O700" s="93">
        <v>18.5</v>
      </c>
      <c r="P700" s="93">
        <v>29.5</v>
      </c>
      <c r="Q700" s="93">
        <v>37.5</v>
      </c>
      <c r="R700" s="93" t="s">
        <v>123</v>
      </c>
      <c r="S700" s="93" t="s">
        <v>659</v>
      </c>
      <c r="T700" s="93" t="s">
        <v>1659</v>
      </c>
      <c r="U700" s="93" t="s">
        <v>116</v>
      </c>
      <c r="V700" s="94">
        <v>44628.583333333336</v>
      </c>
      <c r="W700" s="93" t="s">
        <v>1170</v>
      </c>
      <c r="X700" s="93" t="s">
        <v>24</v>
      </c>
    </row>
    <row r="701" spans="1:24" hidden="1" x14ac:dyDescent="0.15">
      <c r="A701" s="93" t="s">
        <v>2363</v>
      </c>
      <c r="B701" s="93" t="s">
        <v>2364</v>
      </c>
      <c r="C701" s="410">
        <v>4620</v>
      </c>
      <c r="D701" s="93" t="s">
        <v>9</v>
      </c>
      <c r="E701" s="93" t="s">
        <v>9</v>
      </c>
      <c r="F701" s="93" t="s">
        <v>1648</v>
      </c>
      <c r="G701" s="93" t="s">
        <v>9117</v>
      </c>
      <c r="H701" s="93" t="s">
        <v>1690</v>
      </c>
      <c r="I701" s="93" t="s">
        <v>111</v>
      </c>
      <c r="J701" s="93" t="s">
        <v>2086</v>
      </c>
      <c r="K701" s="93">
        <v>50</v>
      </c>
      <c r="L701" s="93" t="s">
        <v>111</v>
      </c>
      <c r="M701" s="93">
        <v>6.5</v>
      </c>
      <c r="N701" s="93" t="s">
        <v>113</v>
      </c>
      <c r="O701" s="93">
        <v>18.5</v>
      </c>
      <c r="P701" s="93">
        <v>29.5</v>
      </c>
      <c r="Q701" s="93">
        <v>37.5</v>
      </c>
      <c r="R701" s="93" t="s">
        <v>123</v>
      </c>
      <c r="S701" s="93" t="s">
        <v>659</v>
      </c>
      <c r="T701" s="93" t="s">
        <v>1659</v>
      </c>
      <c r="U701" s="93" t="s">
        <v>116</v>
      </c>
      <c r="V701" s="94">
        <v>44628.540277777778</v>
      </c>
      <c r="W701" s="93" t="s">
        <v>1170</v>
      </c>
      <c r="X701" s="93" t="s">
        <v>24</v>
      </c>
    </row>
    <row r="702" spans="1:24" hidden="1" x14ac:dyDescent="0.15">
      <c r="A702" s="93" t="s">
        <v>2365</v>
      </c>
      <c r="B702" s="93" t="s">
        <v>2366</v>
      </c>
      <c r="C702" s="410">
        <v>4620</v>
      </c>
      <c r="D702" s="93" t="s">
        <v>9</v>
      </c>
      <c r="E702" s="93" t="s">
        <v>9</v>
      </c>
      <c r="F702" s="93" t="s">
        <v>1648</v>
      </c>
      <c r="G702" s="93" t="s">
        <v>9117</v>
      </c>
      <c r="H702" s="93" t="s">
        <v>1690</v>
      </c>
      <c r="I702" s="93" t="s">
        <v>111</v>
      </c>
      <c r="J702" s="93" t="s">
        <v>2086</v>
      </c>
      <c r="K702" s="93">
        <v>50</v>
      </c>
      <c r="L702" s="93" t="s">
        <v>111</v>
      </c>
      <c r="M702" s="93">
        <v>6.5</v>
      </c>
      <c r="N702" s="93" t="s">
        <v>113</v>
      </c>
      <c r="O702" s="93">
        <v>18.5</v>
      </c>
      <c r="P702" s="93">
        <v>29.5</v>
      </c>
      <c r="Q702" s="93">
        <v>37.5</v>
      </c>
      <c r="R702" s="93" t="s">
        <v>123</v>
      </c>
      <c r="S702" s="93" t="s">
        <v>659</v>
      </c>
      <c r="T702" s="93" t="s">
        <v>1659</v>
      </c>
      <c r="U702" s="93" t="s">
        <v>116</v>
      </c>
      <c r="V702" s="94">
        <v>44628.495833333334</v>
      </c>
      <c r="W702" s="93" t="s">
        <v>1170</v>
      </c>
      <c r="X702" s="93" t="s">
        <v>24</v>
      </c>
    </row>
    <row r="703" spans="1:24" hidden="1" x14ac:dyDescent="0.15">
      <c r="A703" s="93" t="s">
        <v>2367</v>
      </c>
      <c r="B703" s="93" t="s">
        <v>2368</v>
      </c>
      <c r="C703" s="410">
        <v>4620</v>
      </c>
      <c r="D703" s="93" t="s">
        <v>9</v>
      </c>
      <c r="E703" s="93" t="s">
        <v>9</v>
      </c>
      <c r="F703" s="93" t="s">
        <v>1648</v>
      </c>
      <c r="G703" s="93" t="s">
        <v>9117</v>
      </c>
      <c r="H703" s="93" t="s">
        <v>1690</v>
      </c>
      <c r="I703" s="93" t="s">
        <v>111</v>
      </c>
      <c r="J703" s="93" t="s">
        <v>2086</v>
      </c>
      <c r="K703" s="93">
        <v>50</v>
      </c>
      <c r="L703" s="93" t="s">
        <v>111</v>
      </c>
      <c r="M703" s="93">
        <v>6.5</v>
      </c>
      <c r="N703" s="93" t="s">
        <v>113</v>
      </c>
      <c r="O703" s="93">
        <v>18.5</v>
      </c>
      <c r="P703" s="93">
        <v>29.5</v>
      </c>
      <c r="Q703" s="93">
        <v>37.5</v>
      </c>
      <c r="R703" s="93" t="s">
        <v>123</v>
      </c>
      <c r="S703" s="93" t="s">
        <v>659</v>
      </c>
      <c r="T703" s="93" t="s">
        <v>1659</v>
      </c>
      <c r="U703" s="93" t="s">
        <v>116</v>
      </c>
      <c r="V703" s="94">
        <v>44628.474999999999</v>
      </c>
      <c r="W703" s="93" t="s">
        <v>1170</v>
      </c>
      <c r="X703" s="93" t="s">
        <v>24</v>
      </c>
    </row>
    <row r="704" spans="1:24" hidden="1" x14ac:dyDescent="0.15">
      <c r="A704" s="93" t="s">
        <v>2369</v>
      </c>
      <c r="B704" s="93" t="s">
        <v>2370</v>
      </c>
      <c r="C704" s="410">
        <v>4620</v>
      </c>
      <c r="D704" s="93" t="s">
        <v>9</v>
      </c>
      <c r="E704" s="93" t="s">
        <v>9</v>
      </c>
      <c r="F704" s="93" t="s">
        <v>1648</v>
      </c>
      <c r="G704" s="93" t="s">
        <v>9117</v>
      </c>
      <c r="H704" s="93" t="s">
        <v>1690</v>
      </c>
      <c r="I704" s="93" t="s">
        <v>111</v>
      </c>
      <c r="J704" s="93" t="s">
        <v>2086</v>
      </c>
      <c r="K704" s="93">
        <v>50</v>
      </c>
      <c r="L704" s="93" t="s">
        <v>111</v>
      </c>
      <c r="M704" s="93">
        <v>6.5</v>
      </c>
      <c r="N704" s="93" t="s">
        <v>113</v>
      </c>
      <c r="O704" s="93">
        <v>18.5</v>
      </c>
      <c r="P704" s="93">
        <v>29.5</v>
      </c>
      <c r="Q704" s="93">
        <v>37.5</v>
      </c>
      <c r="R704" s="93" t="s">
        <v>123</v>
      </c>
      <c r="S704" s="93" t="s">
        <v>659</v>
      </c>
      <c r="T704" s="93" t="s">
        <v>1659</v>
      </c>
      <c r="U704" s="93" t="s">
        <v>116</v>
      </c>
      <c r="V704" s="94">
        <v>44628.583333333336</v>
      </c>
      <c r="W704" s="93" t="s">
        <v>1170</v>
      </c>
      <c r="X704" s="93" t="s">
        <v>24</v>
      </c>
    </row>
    <row r="705" spans="1:24" hidden="1" x14ac:dyDescent="0.15">
      <c r="A705" s="93" t="s">
        <v>2371</v>
      </c>
      <c r="B705" s="93" t="s">
        <v>2372</v>
      </c>
      <c r="C705" s="410">
        <v>4620</v>
      </c>
      <c r="D705" s="93" t="s">
        <v>9</v>
      </c>
      <c r="E705" s="93" t="s">
        <v>9</v>
      </c>
      <c r="F705" s="93" t="s">
        <v>1648</v>
      </c>
      <c r="G705" s="93" t="s">
        <v>9117</v>
      </c>
      <c r="H705" s="93" t="s">
        <v>1690</v>
      </c>
      <c r="I705" s="93" t="s">
        <v>111</v>
      </c>
      <c r="J705" s="93" t="s">
        <v>2086</v>
      </c>
      <c r="K705" s="93">
        <v>50</v>
      </c>
      <c r="L705" s="93" t="s">
        <v>111</v>
      </c>
      <c r="M705" s="93">
        <v>6.5</v>
      </c>
      <c r="N705" s="93" t="s">
        <v>113</v>
      </c>
      <c r="O705" s="93">
        <v>18.5</v>
      </c>
      <c r="P705" s="93">
        <v>29.5</v>
      </c>
      <c r="Q705" s="93">
        <v>37.5</v>
      </c>
      <c r="R705" s="93" t="s">
        <v>123</v>
      </c>
      <c r="S705" s="93" t="s">
        <v>659</v>
      </c>
      <c r="T705" s="93" t="s">
        <v>1659</v>
      </c>
      <c r="U705" s="93" t="s">
        <v>116</v>
      </c>
      <c r="V705" s="94">
        <v>44628.495833333334</v>
      </c>
      <c r="W705" s="93" t="s">
        <v>1170</v>
      </c>
      <c r="X705" s="93" t="s">
        <v>24</v>
      </c>
    </row>
    <row r="706" spans="1:24" hidden="1" x14ac:dyDescent="0.15">
      <c r="A706" s="93" t="s">
        <v>2373</v>
      </c>
      <c r="B706" s="93" t="s">
        <v>2374</v>
      </c>
      <c r="C706" s="410">
        <v>4620</v>
      </c>
      <c r="D706" s="93" t="s">
        <v>9</v>
      </c>
      <c r="E706" s="93" t="s">
        <v>9</v>
      </c>
      <c r="F706" s="93" t="s">
        <v>1648</v>
      </c>
      <c r="G706" s="93" t="s">
        <v>9117</v>
      </c>
      <c r="H706" s="93" t="s">
        <v>1690</v>
      </c>
      <c r="I706" s="93" t="s">
        <v>111</v>
      </c>
      <c r="J706" s="93" t="s">
        <v>2086</v>
      </c>
      <c r="K706" s="93">
        <v>50</v>
      </c>
      <c r="L706" s="93" t="s">
        <v>111</v>
      </c>
      <c r="M706" s="93">
        <v>6.5</v>
      </c>
      <c r="N706" s="93" t="s">
        <v>113</v>
      </c>
      <c r="O706" s="93">
        <v>18.5</v>
      </c>
      <c r="P706" s="93">
        <v>29.5</v>
      </c>
      <c r="Q706" s="93">
        <v>37.5</v>
      </c>
      <c r="R706" s="93" t="s">
        <v>123</v>
      </c>
      <c r="S706" s="93" t="s">
        <v>659</v>
      </c>
      <c r="T706" s="93" t="s">
        <v>1659</v>
      </c>
      <c r="U706" s="93" t="s">
        <v>116</v>
      </c>
      <c r="V706" s="94">
        <v>44628.583333333336</v>
      </c>
      <c r="W706" s="93" t="s">
        <v>1170</v>
      </c>
      <c r="X706" s="93" t="s">
        <v>24</v>
      </c>
    </row>
    <row r="707" spans="1:24" hidden="1" x14ac:dyDescent="0.15">
      <c r="A707" s="93" t="s">
        <v>2375</v>
      </c>
      <c r="B707" s="93" t="s">
        <v>2376</v>
      </c>
      <c r="C707" s="410">
        <v>4620</v>
      </c>
      <c r="D707" s="93" t="s">
        <v>9</v>
      </c>
      <c r="E707" s="93" t="s">
        <v>9</v>
      </c>
      <c r="F707" s="93" t="s">
        <v>1648</v>
      </c>
      <c r="G707" s="93" t="s">
        <v>9117</v>
      </c>
      <c r="H707" s="93" t="s">
        <v>1690</v>
      </c>
      <c r="I707" s="93" t="s">
        <v>111</v>
      </c>
      <c r="J707" s="93" t="s">
        <v>2086</v>
      </c>
      <c r="K707" s="93">
        <v>50</v>
      </c>
      <c r="L707" s="93" t="s">
        <v>111</v>
      </c>
      <c r="M707" s="93">
        <v>6.5</v>
      </c>
      <c r="N707" s="93" t="s">
        <v>113</v>
      </c>
      <c r="O707" s="93">
        <v>18.5</v>
      </c>
      <c r="P707" s="93">
        <v>29.5</v>
      </c>
      <c r="Q707" s="93">
        <v>37.5</v>
      </c>
      <c r="R707" s="93" t="s">
        <v>123</v>
      </c>
      <c r="S707" s="93" t="s">
        <v>659</v>
      </c>
      <c r="T707" s="93" t="s">
        <v>1659</v>
      </c>
      <c r="U707" s="93" t="s">
        <v>116</v>
      </c>
      <c r="V707" s="94">
        <v>44628.604861111111</v>
      </c>
      <c r="W707" s="93" t="s">
        <v>1170</v>
      </c>
      <c r="X707" s="93" t="s">
        <v>24</v>
      </c>
    </row>
    <row r="708" spans="1:24" hidden="1" x14ac:dyDescent="0.15">
      <c r="A708" s="93" t="s">
        <v>2377</v>
      </c>
      <c r="B708" s="93" t="s">
        <v>2378</v>
      </c>
      <c r="C708" s="410">
        <v>4620</v>
      </c>
      <c r="D708" s="93" t="s">
        <v>9</v>
      </c>
      <c r="E708" s="93" t="s">
        <v>9</v>
      </c>
      <c r="F708" s="93" t="s">
        <v>1648</v>
      </c>
      <c r="G708" s="93" t="s">
        <v>9117</v>
      </c>
      <c r="H708" s="93" t="s">
        <v>1690</v>
      </c>
      <c r="I708" s="93" t="s">
        <v>111</v>
      </c>
      <c r="J708" s="93" t="s">
        <v>2086</v>
      </c>
      <c r="K708" s="93">
        <v>50</v>
      </c>
      <c r="L708" s="93" t="s">
        <v>111</v>
      </c>
      <c r="M708" s="93">
        <v>6.5</v>
      </c>
      <c r="N708" s="93" t="s">
        <v>113</v>
      </c>
      <c r="O708" s="93">
        <v>18.5</v>
      </c>
      <c r="P708" s="93">
        <v>29.5</v>
      </c>
      <c r="Q708" s="93">
        <v>37.5</v>
      </c>
      <c r="R708" s="93" t="s">
        <v>123</v>
      </c>
      <c r="S708" s="93" t="s">
        <v>659</v>
      </c>
      <c r="T708" s="93" t="s">
        <v>1659</v>
      </c>
      <c r="U708" s="93" t="s">
        <v>116</v>
      </c>
      <c r="V708" s="94">
        <v>44628.583333333336</v>
      </c>
      <c r="W708" s="93" t="s">
        <v>1170</v>
      </c>
      <c r="X708" s="93" t="s">
        <v>24</v>
      </c>
    </row>
    <row r="709" spans="1:24" hidden="1" x14ac:dyDescent="0.15">
      <c r="A709" s="93" t="s">
        <v>2379</v>
      </c>
      <c r="B709" s="93" t="s">
        <v>2380</v>
      </c>
      <c r="C709" s="410">
        <v>4620</v>
      </c>
      <c r="D709" s="93" t="s">
        <v>9</v>
      </c>
      <c r="E709" s="93" t="s">
        <v>9</v>
      </c>
      <c r="F709" s="93" t="s">
        <v>1648</v>
      </c>
      <c r="G709" s="93" t="s">
        <v>9117</v>
      </c>
      <c r="H709" s="93" t="s">
        <v>1690</v>
      </c>
      <c r="I709" s="93" t="s">
        <v>111</v>
      </c>
      <c r="J709" s="93" t="s">
        <v>2086</v>
      </c>
      <c r="K709" s="93">
        <v>50</v>
      </c>
      <c r="L709" s="93" t="s">
        <v>111</v>
      </c>
      <c r="M709" s="93">
        <v>6.5</v>
      </c>
      <c r="N709" s="93" t="s">
        <v>113</v>
      </c>
      <c r="O709" s="93">
        <v>18.5</v>
      </c>
      <c r="P709" s="93">
        <v>29.5</v>
      </c>
      <c r="Q709" s="93">
        <v>37.5</v>
      </c>
      <c r="R709" s="93" t="s">
        <v>123</v>
      </c>
      <c r="S709" s="93" t="s">
        <v>659</v>
      </c>
      <c r="T709" s="93" t="s">
        <v>1659</v>
      </c>
      <c r="U709" s="93" t="s">
        <v>116</v>
      </c>
      <c r="V709" s="94">
        <v>44628.640277777777</v>
      </c>
      <c r="W709" s="93" t="s">
        <v>1170</v>
      </c>
      <c r="X709" s="93" t="s">
        <v>24</v>
      </c>
    </row>
    <row r="710" spans="1:24" hidden="1" x14ac:dyDescent="0.15">
      <c r="A710" s="93" t="s">
        <v>2381</v>
      </c>
      <c r="B710" s="93" t="s">
        <v>2382</v>
      </c>
      <c r="C710" s="410">
        <v>4620</v>
      </c>
      <c r="D710" s="93" t="s">
        <v>9</v>
      </c>
      <c r="E710" s="93" t="s">
        <v>9</v>
      </c>
      <c r="F710" s="93" t="s">
        <v>1648</v>
      </c>
      <c r="G710" s="93" t="s">
        <v>9117</v>
      </c>
      <c r="H710" s="93" t="s">
        <v>1690</v>
      </c>
      <c r="I710" s="93" t="s">
        <v>111</v>
      </c>
      <c r="J710" s="93" t="s">
        <v>2086</v>
      </c>
      <c r="K710" s="93">
        <v>50</v>
      </c>
      <c r="L710" s="93" t="s">
        <v>111</v>
      </c>
      <c r="M710" s="93">
        <v>6.5</v>
      </c>
      <c r="N710" s="93" t="s">
        <v>113</v>
      </c>
      <c r="O710" s="93">
        <v>18.5</v>
      </c>
      <c r="P710" s="93">
        <v>29.5</v>
      </c>
      <c r="Q710" s="93">
        <v>37.5</v>
      </c>
      <c r="R710" s="93" t="s">
        <v>123</v>
      </c>
      <c r="S710" s="93" t="s">
        <v>659</v>
      </c>
      <c r="T710" s="93" t="s">
        <v>1659</v>
      </c>
      <c r="U710" s="93" t="s">
        <v>116</v>
      </c>
      <c r="V710" s="94">
        <v>44628.63958333333</v>
      </c>
      <c r="W710" s="93" t="s">
        <v>1170</v>
      </c>
      <c r="X710" s="93" t="s">
        <v>24</v>
      </c>
    </row>
    <row r="711" spans="1:24" hidden="1" x14ac:dyDescent="0.15">
      <c r="A711" s="93" t="s">
        <v>2383</v>
      </c>
      <c r="B711" s="93" t="s">
        <v>2384</v>
      </c>
      <c r="C711" s="410">
        <v>4620</v>
      </c>
      <c r="D711" s="93" t="s">
        <v>9</v>
      </c>
      <c r="E711" s="93" t="s">
        <v>9</v>
      </c>
      <c r="F711" s="93" t="s">
        <v>1648</v>
      </c>
      <c r="G711" s="93" t="s">
        <v>9117</v>
      </c>
      <c r="H711" s="93" t="s">
        <v>1690</v>
      </c>
      <c r="I711" s="93" t="s">
        <v>111</v>
      </c>
      <c r="J711" s="93" t="s">
        <v>2086</v>
      </c>
      <c r="K711" s="93">
        <v>50</v>
      </c>
      <c r="L711" s="93" t="s">
        <v>111</v>
      </c>
      <c r="M711" s="93">
        <v>6.5</v>
      </c>
      <c r="N711" s="93" t="s">
        <v>113</v>
      </c>
      <c r="O711" s="93">
        <v>18.5</v>
      </c>
      <c r="P711" s="93">
        <v>29.5</v>
      </c>
      <c r="Q711" s="93">
        <v>37.5</v>
      </c>
      <c r="R711" s="93" t="s">
        <v>123</v>
      </c>
      <c r="S711" s="93" t="s">
        <v>659</v>
      </c>
      <c r="T711" s="93" t="s">
        <v>1659</v>
      </c>
      <c r="U711" s="93" t="s">
        <v>116</v>
      </c>
      <c r="V711" s="94">
        <v>44628.582638888889</v>
      </c>
      <c r="W711" s="93" t="s">
        <v>1170</v>
      </c>
      <c r="X711" s="93" t="s">
        <v>24</v>
      </c>
    </row>
    <row r="712" spans="1:24" hidden="1" x14ac:dyDescent="0.15">
      <c r="A712" s="93" t="s">
        <v>2385</v>
      </c>
      <c r="B712" s="93" t="s">
        <v>2386</v>
      </c>
      <c r="C712" s="410">
        <v>4620</v>
      </c>
      <c r="D712" s="93" t="s">
        <v>9</v>
      </c>
      <c r="E712" s="93" t="s">
        <v>9</v>
      </c>
      <c r="F712" s="93" t="s">
        <v>1648</v>
      </c>
      <c r="G712" s="93" t="s">
        <v>9117</v>
      </c>
      <c r="H712" s="93" t="s">
        <v>1690</v>
      </c>
      <c r="I712" s="93" t="s">
        <v>111</v>
      </c>
      <c r="J712" s="93" t="s">
        <v>2086</v>
      </c>
      <c r="K712" s="93">
        <v>50</v>
      </c>
      <c r="L712" s="93" t="s">
        <v>111</v>
      </c>
      <c r="M712" s="93">
        <v>6.5</v>
      </c>
      <c r="N712" s="93" t="s">
        <v>113</v>
      </c>
      <c r="O712" s="93">
        <v>18.5</v>
      </c>
      <c r="P712" s="93">
        <v>29.5</v>
      </c>
      <c r="Q712" s="93">
        <v>37.5</v>
      </c>
      <c r="R712" s="93" t="s">
        <v>123</v>
      </c>
      <c r="S712" s="93" t="s">
        <v>659</v>
      </c>
      <c r="T712" s="93" t="s">
        <v>1659</v>
      </c>
      <c r="U712" s="93" t="s">
        <v>116</v>
      </c>
      <c r="V712" s="94">
        <v>44628.474999999999</v>
      </c>
      <c r="W712" s="93" t="s">
        <v>1170</v>
      </c>
      <c r="X712" s="93" t="s">
        <v>24</v>
      </c>
    </row>
    <row r="713" spans="1:24" hidden="1" x14ac:dyDescent="0.15">
      <c r="A713" s="93" t="s">
        <v>2387</v>
      </c>
      <c r="B713" s="93" t="s">
        <v>2388</v>
      </c>
      <c r="C713" s="410">
        <v>4620</v>
      </c>
      <c r="D713" s="93" t="s">
        <v>9</v>
      </c>
      <c r="E713" s="93" t="s">
        <v>9</v>
      </c>
      <c r="F713" s="93" t="s">
        <v>1648</v>
      </c>
      <c r="G713" s="93" t="s">
        <v>9117</v>
      </c>
      <c r="H713" s="93" t="s">
        <v>1690</v>
      </c>
      <c r="I713" s="93" t="s">
        <v>111</v>
      </c>
      <c r="J713" s="93" t="s">
        <v>2086</v>
      </c>
      <c r="K713" s="93">
        <v>50</v>
      </c>
      <c r="L713" s="93" t="s">
        <v>111</v>
      </c>
      <c r="M713" s="93">
        <v>6.5</v>
      </c>
      <c r="N713" s="93" t="s">
        <v>113</v>
      </c>
      <c r="O713" s="93">
        <v>18.5</v>
      </c>
      <c r="P713" s="93">
        <v>29.5</v>
      </c>
      <c r="Q713" s="93">
        <v>37.5</v>
      </c>
      <c r="R713" s="93" t="s">
        <v>123</v>
      </c>
      <c r="S713" s="93" t="s">
        <v>659</v>
      </c>
      <c r="T713" s="93" t="s">
        <v>1659</v>
      </c>
      <c r="U713" s="93" t="s">
        <v>116</v>
      </c>
      <c r="V713" s="94">
        <v>44628.518055555556</v>
      </c>
      <c r="W713" s="93" t="s">
        <v>1170</v>
      </c>
      <c r="X713" s="93" t="s">
        <v>24</v>
      </c>
    </row>
    <row r="714" spans="1:24" hidden="1" x14ac:dyDescent="0.15">
      <c r="A714" s="93" t="s">
        <v>2389</v>
      </c>
      <c r="B714" s="93" t="s">
        <v>2390</v>
      </c>
      <c r="C714" s="410">
        <v>4620</v>
      </c>
      <c r="D714" s="93" t="s">
        <v>9</v>
      </c>
      <c r="E714" s="93" t="s">
        <v>9</v>
      </c>
      <c r="F714" s="93" t="s">
        <v>1648</v>
      </c>
      <c r="G714" s="93" t="s">
        <v>9117</v>
      </c>
      <c r="H714" s="93" t="s">
        <v>1690</v>
      </c>
      <c r="I714" s="93" t="s">
        <v>111</v>
      </c>
      <c r="J714" s="93" t="s">
        <v>2086</v>
      </c>
      <c r="K714" s="93">
        <v>50</v>
      </c>
      <c r="L714" s="93" t="s">
        <v>111</v>
      </c>
      <c r="M714" s="93">
        <v>6.5</v>
      </c>
      <c r="N714" s="93" t="s">
        <v>113</v>
      </c>
      <c r="O714" s="93">
        <v>18.5</v>
      </c>
      <c r="P714" s="93">
        <v>29.5</v>
      </c>
      <c r="Q714" s="93">
        <v>37.5</v>
      </c>
      <c r="R714" s="93" t="s">
        <v>123</v>
      </c>
      <c r="S714" s="93" t="s">
        <v>659</v>
      </c>
      <c r="T714" s="93" t="s">
        <v>1659</v>
      </c>
      <c r="U714" s="93" t="s">
        <v>116</v>
      </c>
      <c r="V714" s="94">
        <v>44628.561111111114</v>
      </c>
      <c r="W714" s="93" t="s">
        <v>1170</v>
      </c>
      <c r="X714" s="93" t="s">
        <v>24</v>
      </c>
    </row>
    <row r="715" spans="1:24" hidden="1" x14ac:dyDescent="0.15">
      <c r="A715" s="93" t="s">
        <v>2391</v>
      </c>
      <c r="B715" s="93" t="s">
        <v>2392</v>
      </c>
      <c r="C715" s="410">
        <v>4620</v>
      </c>
      <c r="D715" s="93" t="s">
        <v>9</v>
      </c>
      <c r="E715" s="93" t="s">
        <v>9</v>
      </c>
      <c r="F715" s="93" t="s">
        <v>1648</v>
      </c>
      <c r="G715" s="93" t="s">
        <v>9117</v>
      </c>
      <c r="H715" s="93" t="s">
        <v>1690</v>
      </c>
      <c r="I715" s="93" t="s">
        <v>111</v>
      </c>
      <c r="J715" s="93" t="s">
        <v>2086</v>
      </c>
      <c r="K715" s="93">
        <v>50</v>
      </c>
      <c r="L715" s="93" t="s">
        <v>111</v>
      </c>
      <c r="M715" s="93">
        <v>6.5</v>
      </c>
      <c r="N715" s="93" t="s">
        <v>113</v>
      </c>
      <c r="O715" s="93">
        <v>18.5</v>
      </c>
      <c r="P715" s="93">
        <v>29.5</v>
      </c>
      <c r="Q715" s="93">
        <v>37.5</v>
      </c>
      <c r="R715" s="93" t="s">
        <v>123</v>
      </c>
      <c r="S715" s="93" t="s">
        <v>659</v>
      </c>
      <c r="T715" s="93" t="s">
        <v>1659</v>
      </c>
      <c r="U715" s="93" t="s">
        <v>116</v>
      </c>
      <c r="V715" s="94">
        <v>44628.474999999999</v>
      </c>
      <c r="W715" s="93" t="s">
        <v>1170</v>
      </c>
      <c r="X715" s="93" t="s">
        <v>24</v>
      </c>
    </row>
    <row r="716" spans="1:24" hidden="1" x14ac:dyDescent="0.15">
      <c r="A716" s="93" t="s">
        <v>2393</v>
      </c>
      <c r="B716" s="93" t="s">
        <v>2394</v>
      </c>
      <c r="C716" s="410">
        <v>4620</v>
      </c>
      <c r="D716" s="93" t="s">
        <v>9</v>
      </c>
      <c r="E716" s="93" t="s">
        <v>9</v>
      </c>
      <c r="F716" s="93" t="s">
        <v>1648</v>
      </c>
      <c r="G716" s="93" t="s">
        <v>9117</v>
      </c>
      <c r="H716" s="93" t="s">
        <v>1690</v>
      </c>
      <c r="I716" s="93" t="s">
        <v>111</v>
      </c>
      <c r="J716" s="93" t="s">
        <v>2086</v>
      </c>
      <c r="K716" s="93">
        <v>50</v>
      </c>
      <c r="L716" s="93" t="s">
        <v>111</v>
      </c>
      <c r="M716" s="93">
        <v>6.5</v>
      </c>
      <c r="N716" s="93" t="s">
        <v>113</v>
      </c>
      <c r="O716" s="93">
        <v>18.5</v>
      </c>
      <c r="P716" s="93">
        <v>29.5</v>
      </c>
      <c r="Q716" s="93">
        <v>37.5</v>
      </c>
      <c r="R716" s="93" t="s">
        <v>123</v>
      </c>
      <c r="S716" s="93" t="s">
        <v>659</v>
      </c>
      <c r="T716" s="93" t="s">
        <v>1659</v>
      </c>
      <c r="U716" s="93" t="s">
        <v>116</v>
      </c>
      <c r="V716" s="94">
        <v>44628.561111111114</v>
      </c>
      <c r="W716" s="93" t="s">
        <v>1170</v>
      </c>
      <c r="X716" s="93" t="s">
        <v>24</v>
      </c>
    </row>
    <row r="717" spans="1:24" hidden="1" x14ac:dyDescent="0.15">
      <c r="A717" s="93" t="s">
        <v>2395</v>
      </c>
      <c r="B717" s="93" t="s">
        <v>2396</v>
      </c>
      <c r="C717" s="410">
        <v>4620</v>
      </c>
      <c r="D717" s="93" t="s">
        <v>9</v>
      </c>
      <c r="E717" s="93" t="s">
        <v>9</v>
      </c>
      <c r="F717" s="93" t="s">
        <v>1648</v>
      </c>
      <c r="G717" s="93" t="s">
        <v>9117</v>
      </c>
      <c r="H717" s="93" t="s">
        <v>1690</v>
      </c>
      <c r="I717" s="93" t="s">
        <v>111</v>
      </c>
      <c r="J717" s="93" t="s">
        <v>2086</v>
      </c>
      <c r="K717" s="93">
        <v>50</v>
      </c>
      <c r="L717" s="93" t="s">
        <v>111</v>
      </c>
      <c r="M717" s="93">
        <v>6.5</v>
      </c>
      <c r="N717" s="93" t="s">
        <v>113</v>
      </c>
      <c r="O717" s="93">
        <v>18.5</v>
      </c>
      <c r="P717" s="93">
        <v>29.5</v>
      </c>
      <c r="Q717" s="93">
        <v>37.5</v>
      </c>
      <c r="R717" s="93" t="s">
        <v>123</v>
      </c>
      <c r="S717" s="93" t="s">
        <v>659</v>
      </c>
      <c r="T717" s="93" t="s">
        <v>1659</v>
      </c>
      <c r="U717" s="93" t="s">
        <v>116</v>
      </c>
      <c r="V717" s="94">
        <v>44628.561111111114</v>
      </c>
      <c r="W717" s="93" t="s">
        <v>1170</v>
      </c>
      <c r="X717" s="93" t="s">
        <v>24</v>
      </c>
    </row>
    <row r="718" spans="1:24" hidden="1" x14ac:dyDescent="0.15">
      <c r="A718" s="93" t="s">
        <v>2397</v>
      </c>
      <c r="B718" s="93" t="s">
        <v>2398</v>
      </c>
      <c r="C718" s="410">
        <v>4620</v>
      </c>
      <c r="D718" s="93" t="s">
        <v>9</v>
      </c>
      <c r="E718" s="93" t="s">
        <v>9</v>
      </c>
      <c r="F718" s="93" t="s">
        <v>1648</v>
      </c>
      <c r="G718" s="93" t="s">
        <v>9117</v>
      </c>
      <c r="H718" s="93" t="s">
        <v>1690</v>
      </c>
      <c r="I718" s="93" t="s">
        <v>111</v>
      </c>
      <c r="J718" s="93" t="s">
        <v>2086</v>
      </c>
      <c r="K718" s="93">
        <v>50</v>
      </c>
      <c r="L718" s="93" t="s">
        <v>111</v>
      </c>
      <c r="M718" s="93">
        <v>6.5</v>
      </c>
      <c r="N718" s="93" t="s">
        <v>113</v>
      </c>
      <c r="O718" s="93">
        <v>18.5</v>
      </c>
      <c r="P718" s="93">
        <v>29.5</v>
      </c>
      <c r="Q718" s="93">
        <v>37.5</v>
      </c>
      <c r="R718" s="93" t="s">
        <v>123</v>
      </c>
      <c r="S718" s="93" t="s">
        <v>659</v>
      </c>
      <c r="T718" s="93" t="s">
        <v>1659</v>
      </c>
      <c r="U718" s="93" t="s">
        <v>116</v>
      </c>
      <c r="V718" s="94">
        <v>44628.495833333334</v>
      </c>
      <c r="W718" s="93" t="s">
        <v>1170</v>
      </c>
      <c r="X718" s="93" t="s">
        <v>24</v>
      </c>
    </row>
    <row r="719" spans="1:24" hidden="1" x14ac:dyDescent="0.15">
      <c r="A719" s="93" t="s">
        <v>2399</v>
      </c>
      <c r="B719" s="93" t="s">
        <v>2400</v>
      </c>
      <c r="C719" s="410">
        <v>4620</v>
      </c>
      <c r="D719" s="93" t="s">
        <v>9</v>
      </c>
      <c r="E719" s="93" t="s">
        <v>9</v>
      </c>
      <c r="F719" s="93" t="s">
        <v>1648</v>
      </c>
      <c r="G719" s="93" t="s">
        <v>9117</v>
      </c>
      <c r="H719" s="93" t="s">
        <v>1690</v>
      </c>
      <c r="I719" s="93" t="s">
        <v>111</v>
      </c>
      <c r="J719" s="93" t="s">
        <v>2086</v>
      </c>
      <c r="K719" s="93">
        <v>50</v>
      </c>
      <c r="L719" s="93" t="s">
        <v>111</v>
      </c>
      <c r="M719" s="93">
        <v>6.5</v>
      </c>
      <c r="N719" s="93" t="s">
        <v>113</v>
      </c>
      <c r="O719" s="93">
        <v>18.5</v>
      </c>
      <c r="P719" s="93">
        <v>29.5</v>
      </c>
      <c r="Q719" s="93">
        <v>37.5</v>
      </c>
      <c r="R719" s="93" t="s">
        <v>123</v>
      </c>
      <c r="S719" s="93" t="s">
        <v>659</v>
      </c>
      <c r="T719" s="93" t="s">
        <v>1659</v>
      </c>
      <c r="U719" s="93" t="s">
        <v>116</v>
      </c>
      <c r="V719" s="94">
        <v>44628.63958333333</v>
      </c>
      <c r="W719" s="93" t="s">
        <v>1170</v>
      </c>
      <c r="X719" s="93" t="s">
        <v>24</v>
      </c>
    </row>
    <row r="720" spans="1:24" hidden="1" x14ac:dyDescent="0.15">
      <c r="A720" s="93" t="s">
        <v>2401</v>
      </c>
      <c r="B720" s="93" t="s">
        <v>2402</v>
      </c>
      <c r="C720" s="410">
        <v>4620</v>
      </c>
      <c r="D720" s="93" t="s">
        <v>9</v>
      </c>
      <c r="E720" s="93" t="s">
        <v>9</v>
      </c>
      <c r="F720" s="93" t="s">
        <v>1648</v>
      </c>
      <c r="G720" s="93" t="s">
        <v>9117</v>
      </c>
      <c r="H720" s="93" t="s">
        <v>1690</v>
      </c>
      <c r="I720" s="93" t="s">
        <v>111</v>
      </c>
      <c r="J720" s="93" t="s">
        <v>2086</v>
      </c>
      <c r="K720" s="93">
        <v>50</v>
      </c>
      <c r="L720" s="93" t="s">
        <v>111</v>
      </c>
      <c r="M720" s="93">
        <v>6.5</v>
      </c>
      <c r="N720" s="93" t="s">
        <v>113</v>
      </c>
      <c r="O720" s="93">
        <v>18.5</v>
      </c>
      <c r="P720" s="93">
        <v>29.5</v>
      </c>
      <c r="Q720" s="93">
        <v>37.5</v>
      </c>
      <c r="R720" s="93" t="s">
        <v>123</v>
      </c>
      <c r="S720" s="93" t="s">
        <v>659</v>
      </c>
      <c r="T720" s="93" t="s">
        <v>1659</v>
      </c>
      <c r="U720" s="93" t="s">
        <v>116</v>
      </c>
      <c r="V720" s="94">
        <v>44628.474999999999</v>
      </c>
      <c r="W720" s="93" t="s">
        <v>1170</v>
      </c>
      <c r="X720" s="93" t="s">
        <v>24</v>
      </c>
    </row>
    <row r="721" spans="1:24" hidden="1" x14ac:dyDescent="0.15">
      <c r="A721" s="93" t="s">
        <v>2403</v>
      </c>
      <c r="B721" s="93" t="s">
        <v>2404</v>
      </c>
      <c r="C721" s="410">
        <v>4620</v>
      </c>
      <c r="D721" s="93" t="s">
        <v>9</v>
      </c>
      <c r="E721" s="93" t="s">
        <v>9</v>
      </c>
      <c r="F721" s="93" t="s">
        <v>1648</v>
      </c>
      <c r="G721" s="93" t="s">
        <v>9117</v>
      </c>
      <c r="H721" s="93" t="s">
        <v>1690</v>
      </c>
      <c r="I721" s="93" t="s">
        <v>111</v>
      </c>
      <c r="J721" s="93" t="s">
        <v>2086</v>
      </c>
      <c r="K721" s="93">
        <v>50</v>
      </c>
      <c r="L721" s="93" t="s">
        <v>111</v>
      </c>
      <c r="M721" s="93">
        <v>6.5</v>
      </c>
      <c r="N721" s="93" t="s">
        <v>113</v>
      </c>
      <c r="O721" s="93">
        <v>18.5</v>
      </c>
      <c r="P721" s="93">
        <v>29.5</v>
      </c>
      <c r="Q721" s="93">
        <v>37.5</v>
      </c>
      <c r="R721" s="93" t="s">
        <v>123</v>
      </c>
      <c r="S721" s="93" t="s">
        <v>659</v>
      </c>
      <c r="T721" s="93" t="s">
        <v>1659</v>
      </c>
      <c r="U721" s="93" t="s">
        <v>116</v>
      </c>
      <c r="V721" s="94">
        <v>44628.561111111114</v>
      </c>
      <c r="W721" s="93" t="s">
        <v>1170</v>
      </c>
      <c r="X721" s="93" t="s">
        <v>24</v>
      </c>
    </row>
    <row r="722" spans="1:24" hidden="1" x14ac:dyDescent="0.15">
      <c r="A722" s="93" t="s">
        <v>2405</v>
      </c>
      <c r="B722" s="93" t="s">
        <v>2406</v>
      </c>
      <c r="C722" s="410">
        <v>4620</v>
      </c>
      <c r="D722" s="93" t="s">
        <v>9</v>
      </c>
      <c r="E722" s="93" t="s">
        <v>9</v>
      </c>
      <c r="F722" s="93" t="s">
        <v>1648</v>
      </c>
      <c r="G722" s="93" t="s">
        <v>9117</v>
      </c>
      <c r="H722" s="93" t="s">
        <v>1690</v>
      </c>
      <c r="I722" s="93" t="s">
        <v>111</v>
      </c>
      <c r="J722" s="93" t="s">
        <v>2086</v>
      </c>
      <c r="K722" s="93">
        <v>50</v>
      </c>
      <c r="L722" s="93" t="s">
        <v>111</v>
      </c>
      <c r="M722" s="93">
        <v>6.5</v>
      </c>
      <c r="N722" s="93" t="s">
        <v>113</v>
      </c>
      <c r="O722" s="93">
        <v>18.5</v>
      </c>
      <c r="P722" s="93">
        <v>29.5</v>
      </c>
      <c r="Q722" s="93">
        <v>37.5</v>
      </c>
      <c r="R722" s="93" t="s">
        <v>123</v>
      </c>
      <c r="S722" s="93" t="s">
        <v>659</v>
      </c>
      <c r="T722" s="93" t="s">
        <v>1659</v>
      </c>
      <c r="U722" s="93" t="s">
        <v>116</v>
      </c>
      <c r="V722" s="94">
        <v>44628.561111111114</v>
      </c>
      <c r="W722" s="93" t="s">
        <v>1170</v>
      </c>
      <c r="X722" s="93" t="s">
        <v>24</v>
      </c>
    </row>
    <row r="723" spans="1:24" hidden="1" x14ac:dyDescent="0.15">
      <c r="A723" s="93" t="s">
        <v>2407</v>
      </c>
      <c r="B723" s="93" t="s">
        <v>2408</v>
      </c>
      <c r="C723" s="410">
        <v>4620</v>
      </c>
      <c r="D723" s="93" t="s">
        <v>9</v>
      </c>
      <c r="E723" s="93" t="s">
        <v>9</v>
      </c>
      <c r="F723" s="93" t="s">
        <v>1648</v>
      </c>
      <c r="G723" s="93" t="s">
        <v>9117</v>
      </c>
      <c r="H723" s="93" t="s">
        <v>1690</v>
      </c>
      <c r="I723" s="93" t="s">
        <v>111</v>
      </c>
      <c r="J723" s="93" t="s">
        <v>2086</v>
      </c>
      <c r="K723" s="93">
        <v>50</v>
      </c>
      <c r="L723" s="93" t="s">
        <v>111</v>
      </c>
      <c r="M723" s="93">
        <v>6.5</v>
      </c>
      <c r="N723" s="93" t="s">
        <v>113</v>
      </c>
      <c r="O723" s="93">
        <v>18.5</v>
      </c>
      <c r="P723" s="93">
        <v>29.5</v>
      </c>
      <c r="Q723" s="93">
        <v>37.5</v>
      </c>
      <c r="R723" s="93" t="s">
        <v>123</v>
      </c>
      <c r="S723" s="93" t="s">
        <v>659</v>
      </c>
      <c r="T723" s="93" t="s">
        <v>1659</v>
      </c>
      <c r="U723" s="93" t="s">
        <v>116</v>
      </c>
      <c r="V723" s="94">
        <v>44628.474999999999</v>
      </c>
      <c r="W723" s="93" t="s">
        <v>1170</v>
      </c>
      <c r="X723" s="93" t="s">
        <v>24</v>
      </c>
    </row>
    <row r="724" spans="1:24" hidden="1" x14ac:dyDescent="0.15">
      <c r="A724" s="93" t="s">
        <v>2409</v>
      </c>
      <c r="B724" s="93" t="s">
        <v>2410</v>
      </c>
      <c r="C724" s="410">
        <v>4620</v>
      </c>
      <c r="D724" s="93" t="s">
        <v>9</v>
      </c>
      <c r="E724" s="93" t="s">
        <v>9</v>
      </c>
      <c r="F724" s="93" t="s">
        <v>1648</v>
      </c>
      <c r="G724" s="93" t="s">
        <v>9117</v>
      </c>
      <c r="H724" s="93" t="s">
        <v>1690</v>
      </c>
      <c r="I724" s="93" t="s">
        <v>111</v>
      </c>
      <c r="J724" s="93" t="s">
        <v>2086</v>
      </c>
      <c r="K724" s="93">
        <v>50</v>
      </c>
      <c r="L724" s="93" t="s">
        <v>111</v>
      </c>
      <c r="M724" s="93">
        <v>6.5</v>
      </c>
      <c r="N724" s="93" t="s">
        <v>113</v>
      </c>
      <c r="O724" s="93">
        <v>18.5</v>
      </c>
      <c r="P724" s="93">
        <v>29.5</v>
      </c>
      <c r="Q724" s="93">
        <v>37.5</v>
      </c>
      <c r="R724" s="93" t="s">
        <v>123</v>
      </c>
      <c r="S724" s="93" t="s">
        <v>659</v>
      </c>
      <c r="T724" s="93" t="s">
        <v>1659</v>
      </c>
      <c r="U724" s="93" t="s">
        <v>116</v>
      </c>
      <c r="V724" s="94">
        <v>44628.63958333333</v>
      </c>
      <c r="W724" s="93" t="s">
        <v>1170</v>
      </c>
      <c r="X724" s="93" t="s">
        <v>24</v>
      </c>
    </row>
    <row r="725" spans="1:24" hidden="1" x14ac:dyDescent="0.15">
      <c r="A725" s="93" t="s">
        <v>2411</v>
      </c>
      <c r="B725" s="93" t="s">
        <v>2412</v>
      </c>
      <c r="C725" s="410">
        <v>4620</v>
      </c>
      <c r="D725" s="93" t="s">
        <v>9</v>
      </c>
      <c r="E725" s="93" t="s">
        <v>9</v>
      </c>
      <c r="F725" s="93" t="s">
        <v>1648</v>
      </c>
      <c r="G725" s="93" t="s">
        <v>9117</v>
      </c>
      <c r="H725" s="93" t="s">
        <v>1690</v>
      </c>
      <c r="I725" s="93" t="s">
        <v>111</v>
      </c>
      <c r="J725" s="93" t="s">
        <v>2086</v>
      </c>
      <c r="K725" s="93">
        <v>50</v>
      </c>
      <c r="L725" s="93" t="s">
        <v>111</v>
      </c>
      <c r="M725" s="93">
        <v>6.5</v>
      </c>
      <c r="N725" s="93" t="s">
        <v>113</v>
      </c>
      <c r="O725" s="93">
        <v>18.5</v>
      </c>
      <c r="P725" s="93">
        <v>29.5</v>
      </c>
      <c r="Q725" s="93">
        <v>37.5</v>
      </c>
      <c r="R725" s="93" t="s">
        <v>123</v>
      </c>
      <c r="S725" s="93" t="s">
        <v>659</v>
      </c>
      <c r="T725" s="93" t="s">
        <v>1659</v>
      </c>
      <c r="U725" s="93" t="s">
        <v>116</v>
      </c>
      <c r="V725" s="94">
        <v>44628.495833333334</v>
      </c>
      <c r="W725" s="93" t="s">
        <v>1170</v>
      </c>
      <c r="X725" s="93" t="s">
        <v>24</v>
      </c>
    </row>
    <row r="726" spans="1:24" hidden="1" x14ac:dyDescent="0.15">
      <c r="A726" s="93" t="s">
        <v>2413</v>
      </c>
      <c r="B726" s="93" t="s">
        <v>2414</v>
      </c>
      <c r="C726" s="410">
        <v>4620</v>
      </c>
      <c r="D726" s="93" t="s">
        <v>9</v>
      </c>
      <c r="E726" s="93" t="s">
        <v>9</v>
      </c>
      <c r="F726" s="93" t="s">
        <v>1648</v>
      </c>
      <c r="G726" s="93" t="s">
        <v>9117</v>
      </c>
      <c r="H726" s="93" t="s">
        <v>1690</v>
      </c>
      <c r="I726" s="93" t="s">
        <v>111</v>
      </c>
      <c r="J726" s="93" t="s">
        <v>2086</v>
      </c>
      <c r="K726" s="93">
        <v>50</v>
      </c>
      <c r="L726" s="93" t="s">
        <v>111</v>
      </c>
      <c r="M726" s="93">
        <v>6.5</v>
      </c>
      <c r="N726" s="93" t="s">
        <v>113</v>
      </c>
      <c r="O726" s="93">
        <v>18.5</v>
      </c>
      <c r="P726" s="93">
        <v>29.5</v>
      </c>
      <c r="Q726" s="93">
        <v>37.5</v>
      </c>
      <c r="R726" s="93" t="s">
        <v>123</v>
      </c>
      <c r="S726" s="93" t="s">
        <v>659</v>
      </c>
      <c r="T726" s="93" t="s">
        <v>1659</v>
      </c>
      <c r="U726" s="93" t="s">
        <v>116</v>
      </c>
      <c r="V726" s="94">
        <v>44628.582638888889</v>
      </c>
      <c r="W726" s="93" t="s">
        <v>1170</v>
      </c>
      <c r="X726" s="93" t="s">
        <v>24</v>
      </c>
    </row>
    <row r="727" spans="1:24" hidden="1" x14ac:dyDescent="0.15">
      <c r="A727" s="93" t="s">
        <v>2415</v>
      </c>
      <c r="B727" s="93" t="s">
        <v>2416</v>
      </c>
      <c r="C727" s="410">
        <v>4620</v>
      </c>
      <c r="D727" s="93" t="s">
        <v>9</v>
      </c>
      <c r="E727" s="93" t="s">
        <v>9</v>
      </c>
      <c r="F727" s="93" t="s">
        <v>1648</v>
      </c>
      <c r="G727" s="93" t="s">
        <v>9117</v>
      </c>
      <c r="H727" s="93" t="s">
        <v>1690</v>
      </c>
      <c r="I727" s="93" t="s">
        <v>111</v>
      </c>
      <c r="J727" s="93" t="s">
        <v>2086</v>
      </c>
      <c r="K727" s="93">
        <v>50</v>
      </c>
      <c r="L727" s="93" t="s">
        <v>111</v>
      </c>
      <c r="M727" s="93">
        <v>6.5</v>
      </c>
      <c r="N727" s="93" t="s">
        <v>113</v>
      </c>
      <c r="O727" s="93">
        <v>18.5</v>
      </c>
      <c r="P727" s="93">
        <v>29.5</v>
      </c>
      <c r="Q727" s="93">
        <v>37.5</v>
      </c>
      <c r="R727" s="93" t="s">
        <v>123</v>
      </c>
      <c r="S727" s="93" t="s">
        <v>659</v>
      </c>
      <c r="T727" s="93" t="s">
        <v>1659</v>
      </c>
      <c r="U727" s="93" t="s">
        <v>116</v>
      </c>
      <c r="V727" s="94">
        <v>44628.604861111111</v>
      </c>
      <c r="W727" s="93" t="s">
        <v>1170</v>
      </c>
      <c r="X727" s="93" t="s">
        <v>24</v>
      </c>
    </row>
    <row r="728" spans="1:24" hidden="1" x14ac:dyDescent="0.15">
      <c r="A728" s="93" t="s">
        <v>2417</v>
      </c>
      <c r="B728" s="93" t="s">
        <v>2418</v>
      </c>
      <c r="C728" s="410">
        <v>4620</v>
      </c>
      <c r="D728" s="93" t="s">
        <v>9</v>
      </c>
      <c r="E728" s="93" t="s">
        <v>9</v>
      </c>
      <c r="F728" s="93" t="s">
        <v>1648</v>
      </c>
      <c r="G728" s="93" t="s">
        <v>9117</v>
      </c>
      <c r="H728" s="93" t="s">
        <v>1690</v>
      </c>
      <c r="I728" s="93" t="s">
        <v>111</v>
      </c>
      <c r="J728" s="93" t="s">
        <v>2086</v>
      </c>
      <c r="K728" s="93">
        <v>50</v>
      </c>
      <c r="L728" s="93" t="s">
        <v>111</v>
      </c>
      <c r="M728" s="93">
        <v>6.5</v>
      </c>
      <c r="N728" s="93" t="s">
        <v>113</v>
      </c>
      <c r="O728" s="93">
        <v>18.5</v>
      </c>
      <c r="P728" s="93">
        <v>29.5</v>
      </c>
      <c r="Q728" s="93">
        <v>37.5</v>
      </c>
      <c r="R728" s="93" t="s">
        <v>123</v>
      </c>
      <c r="S728" s="93" t="s">
        <v>659</v>
      </c>
      <c r="T728" s="93" t="s">
        <v>1659</v>
      </c>
      <c r="U728" s="93" t="s">
        <v>116</v>
      </c>
      <c r="V728" s="94">
        <v>44628.518055555556</v>
      </c>
      <c r="W728" s="93" t="s">
        <v>1170</v>
      </c>
      <c r="X728" s="93" t="s">
        <v>24</v>
      </c>
    </row>
    <row r="729" spans="1:24" hidden="1" x14ac:dyDescent="0.15">
      <c r="A729" s="93" t="s">
        <v>2419</v>
      </c>
      <c r="B729" s="93" t="s">
        <v>2420</v>
      </c>
      <c r="C729" s="410">
        <v>4620</v>
      </c>
      <c r="D729" s="93" t="s">
        <v>9</v>
      </c>
      <c r="E729" s="93" t="s">
        <v>9</v>
      </c>
      <c r="F729" s="93" t="s">
        <v>1648</v>
      </c>
      <c r="G729" s="93" t="s">
        <v>9117</v>
      </c>
      <c r="H729" s="93" t="s">
        <v>1690</v>
      </c>
      <c r="I729" s="93" t="s">
        <v>111</v>
      </c>
      <c r="J729" s="93" t="s">
        <v>2086</v>
      </c>
      <c r="K729" s="93">
        <v>50</v>
      </c>
      <c r="L729" s="93" t="s">
        <v>111</v>
      </c>
      <c r="M729" s="93">
        <v>6.5</v>
      </c>
      <c r="N729" s="93" t="s">
        <v>113</v>
      </c>
      <c r="O729" s="93">
        <v>18.5</v>
      </c>
      <c r="P729" s="93">
        <v>29.5</v>
      </c>
      <c r="Q729" s="93">
        <v>37.5</v>
      </c>
      <c r="R729" s="93" t="s">
        <v>123</v>
      </c>
      <c r="S729" s="93" t="s">
        <v>659</v>
      </c>
      <c r="T729" s="93" t="s">
        <v>1659</v>
      </c>
      <c r="U729" s="93" t="s">
        <v>116</v>
      </c>
      <c r="V729" s="94">
        <v>44628.539583333331</v>
      </c>
      <c r="W729" s="93" t="s">
        <v>1170</v>
      </c>
      <c r="X729" s="93" t="s">
        <v>24</v>
      </c>
    </row>
    <row r="730" spans="1:24" hidden="1" x14ac:dyDescent="0.15">
      <c r="A730" s="93" t="s">
        <v>2421</v>
      </c>
      <c r="B730" s="93" t="s">
        <v>2422</v>
      </c>
      <c r="C730" s="410">
        <v>4620</v>
      </c>
      <c r="D730" s="93" t="s">
        <v>9</v>
      </c>
      <c r="E730" s="93" t="s">
        <v>9</v>
      </c>
      <c r="F730" s="93" t="s">
        <v>1648</v>
      </c>
      <c r="G730" s="93" t="s">
        <v>9117</v>
      </c>
      <c r="H730" s="93" t="s">
        <v>1690</v>
      </c>
      <c r="I730" s="93" t="s">
        <v>111</v>
      </c>
      <c r="J730" s="93" t="s">
        <v>2086</v>
      </c>
      <c r="K730" s="93">
        <v>50</v>
      </c>
      <c r="L730" s="93" t="s">
        <v>111</v>
      </c>
      <c r="M730" s="93">
        <v>6.5</v>
      </c>
      <c r="N730" s="93" t="s">
        <v>113</v>
      </c>
      <c r="O730" s="93">
        <v>18.5</v>
      </c>
      <c r="P730" s="93">
        <v>29.5</v>
      </c>
      <c r="Q730" s="93">
        <v>37.5</v>
      </c>
      <c r="R730" s="93" t="s">
        <v>123</v>
      </c>
      <c r="S730" s="93" t="s">
        <v>659</v>
      </c>
      <c r="T730" s="93" t="s">
        <v>1659</v>
      </c>
      <c r="U730" s="93" t="s">
        <v>116</v>
      </c>
      <c r="V730" s="94">
        <v>44628.495833333334</v>
      </c>
      <c r="W730" s="93" t="s">
        <v>1170</v>
      </c>
      <c r="X730" s="93" t="s">
        <v>24</v>
      </c>
    </row>
    <row r="731" spans="1:24" hidden="1" x14ac:dyDescent="0.15">
      <c r="A731" s="93" t="s">
        <v>2423</v>
      </c>
      <c r="B731" s="93" t="s">
        <v>2424</v>
      </c>
      <c r="C731" s="410">
        <v>4620</v>
      </c>
      <c r="D731" s="93" t="s">
        <v>9</v>
      </c>
      <c r="E731" s="93" t="s">
        <v>9</v>
      </c>
      <c r="F731" s="93" t="s">
        <v>1648</v>
      </c>
      <c r="G731" s="93" t="s">
        <v>9117</v>
      </c>
      <c r="H731" s="93" t="s">
        <v>1690</v>
      </c>
      <c r="I731" s="93" t="s">
        <v>111</v>
      </c>
      <c r="J731" s="93" t="s">
        <v>2086</v>
      </c>
      <c r="K731" s="93">
        <v>50</v>
      </c>
      <c r="L731" s="93" t="s">
        <v>111</v>
      </c>
      <c r="M731" s="93">
        <v>6.5</v>
      </c>
      <c r="N731" s="93" t="s">
        <v>113</v>
      </c>
      <c r="O731" s="93">
        <v>18.5</v>
      </c>
      <c r="P731" s="93">
        <v>29.5</v>
      </c>
      <c r="Q731" s="93">
        <v>37.5</v>
      </c>
      <c r="R731" s="93" t="s">
        <v>123</v>
      </c>
      <c r="S731" s="93" t="s">
        <v>659</v>
      </c>
      <c r="T731" s="93" t="s">
        <v>1659</v>
      </c>
      <c r="U731" s="93" t="s">
        <v>116</v>
      </c>
      <c r="V731" s="94">
        <v>44628.561111111114</v>
      </c>
      <c r="W731" s="93" t="s">
        <v>1170</v>
      </c>
      <c r="X731" s="93" t="s">
        <v>24</v>
      </c>
    </row>
    <row r="732" spans="1:24" hidden="1" x14ac:dyDescent="0.15">
      <c r="A732" s="93" t="s">
        <v>2425</v>
      </c>
      <c r="B732" s="93" t="s">
        <v>2426</v>
      </c>
      <c r="C732" s="410">
        <v>4620</v>
      </c>
      <c r="D732" s="93" t="s">
        <v>9</v>
      </c>
      <c r="E732" s="93" t="s">
        <v>9</v>
      </c>
      <c r="F732" s="93" t="s">
        <v>1648</v>
      </c>
      <c r="G732" s="93" t="s">
        <v>9117</v>
      </c>
      <c r="H732" s="93" t="s">
        <v>1690</v>
      </c>
      <c r="I732" s="93" t="s">
        <v>111</v>
      </c>
      <c r="J732" s="93" t="s">
        <v>2086</v>
      </c>
      <c r="K732" s="93">
        <v>50</v>
      </c>
      <c r="L732" s="93" t="s">
        <v>111</v>
      </c>
      <c r="M732" s="93">
        <v>6.5</v>
      </c>
      <c r="N732" s="93" t="s">
        <v>113</v>
      </c>
      <c r="O732" s="93">
        <v>18.5</v>
      </c>
      <c r="P732" s="93">
        <v>29.5</v>
      </c>
      <c r="Q732" s="93">
        <v>37.5</v>
      </c>
      <c r="R732" s="93" t="s">
        <v>123</v>
      </c>
      <c r="S732" s="93" t="s">
        <v>659</v>
      </c>
      <c r="T732" s="93" t="s">
        <v>1659</v>
      </c>
      <c r="U732" s="93" t="s">
        <v>116</v>
      </c>
      <c r="V732" s="94">
        <v>44628.604861111111</v>
      </c>
      <c r="W732" s="93" t="s">
        <v>1170</v>
      </c>
      <c r="X732" s="93" t="s">
        <v>24</v>
      </c>
    </row>
    <row r="733" spans="1:24" hidden="1" x14ac:dyDescent="0.15">
      <c r="A733" s="93" t="s">
        <v>2427</v>
      </c>
      <c r="B733" s="93" t="s">
        <v>2428</v>
      </c>
      <c r="C733" s="410">
        <v>4620</v>
      </c>
      <c r="D733" s="93" t="s">
        <v>9</v>
      </c>
      <c r="E733" s="93" t="s">
        <v>9</v>
      </c>
      <c r="F733" s="93" t="s">
        <v>1648</v>
      </c>
      <c r="G733" s="93" t="s">
        <v>9117</v>
      </c>
      <c r="H733" s="93" t="s">
        <v>1690</v>
      </c>
      <c r="I733" s="93" t="s">
        <v>111</v>
      </c>
      <c r="J733" s="93" t="s">
        <v>2086</v>
      </c>
      <c r="K733" s="93">
        <v>50</v>
      </c>
      <c r="L733" s="93" t="s">
        <v>111</v>
      </c>
      <c r="M733" s="93">
        <v>6.5</v>
      </c>
      <c r="N733" s="93" t="s">
        <v>113</v>
      </c>
      <c r="O733" s="93">
        <v>18.5</v>
      </c>
      <c r="P733" s="93">
        <v>29.5</v>
      </c>
      <c r="Q733" s="93">
        <v>37.5</v>
      </c>
      <c r="R733" s="93" t="s">
        <v>123</v>
      </c>
      <c r="S733" s="93" t="s">
        <v>659</v>
      </c>
      <c r="T733" s="93" t="s">
        <v>1659</v>
      </c>
      <c r="U733" s="93" t="s">
        <v>116</v>
      </c>
      <c r="V733" s="94">
        <v>44628.518055555556</v>
      </c>
      <c r="W733" s="93" t="s">
        <v>1170</v>
      </c>
      <c r="X733" s="93" t="s">
        <v>24</v>
      </c>
    </row>
    <row r="734" spans="1:24" hidden="1" x14ac:dyDescent="0.15">
      <c r="A734" s="93" t="s">
        <v>2429</v>
      </c>
      <c r="B734" s="93" t="s">
        <v>2430</v>
      </c>
      <c r="C734" s="410">
        <v>4620</v>
      </c>
      <c r="D734" s="93" t="s">
        <v>9</v>
      </c>
      <c r="E734" s="93" t="s">
        <v>9</v>
      </c>
      <c r="F734" s="93" t="s">
        <v>1648</v>
      </c>
      <c r="G734" s="93" t="s">
        <v>9117</v>
      </c>
      <c r="H734" s="93" t="s">
        <v>1690</v>
      </c>
      <c r="I734" s="93" t="s">
        <v>111</v>
      </c>
      <c r="J734" s="93" t="s">
        <v>2086</v>
      </c>
      <c r="K734" s="93">
        <v>50</v>
      </c>
      <c r="L734" s="93" t="s">
        <v>111</v>
      </c>
      <c r="M734" s="93">
        <v>6.5</v>
      </c>
      <c r="N734" s="93" t="s">
        <v>113</v>
      </c>
      <c r="O734" s="93">
        <v>18.5</v>
      </c>
      <c r="P734" s="93">
        <v>29.5</v>
      </c>
      <c r="Q734" s="93">
        <v>37.5</v>
      </c>
      <c r="R734" s="93" t="s">
        <v>123</v>
      </c>
      <c r="S734" s="93" t="s">
        <v>659</v>
      </c>
      <c r="T734" s="93" t="s">
        <v>1659</v>
      </c>
      <c r="U734" s="93" t="s">
        <v>116</v>
      </c>
      <c r="V734" s="94">
        <v>44628.561111111114</v>
      </c>
      <c r="W734" s="93" t="s">
        <v>1170</v>
      </c>
      <c r="X734" s="93" t="s">
        <v>24</v>
      </c>
    </row>
    <row r="735" spans="1:24" hidden="1" x14ac:dyDescent="0.15">
      <c r="A735" s="93" t="s">
        <v>2431</v>
      </c>
      <c r="B735" s="93" t="s">
        <v>2432</v>
      </c>
      <c r="C735" s="410">
        <v>4620</v>
      </c>
      <c r="D735" s="93" t="s">
        <v>9</v>
      </c>
      <c r="E735" s="93" t="s">
        <v>9</v>
      </c>
      <c r="F735" s="93" t="s">
        <v>1648</v>
      </c>
      <c r="G735" s="93" t="s">
        <v>9117</v>
      </c>
      <c r="H735" s="93" t="s">
        <v>1690</v>
      </c>
      <c r="I735" s="93" t="s">
        <v>111</v>
      </c>
      <c r="J735" s="93" t="s">
        <v>2086</v>
      </c>
      <c r="K735" s="93">
        <v>50</v>
      </c>
      <c r="L735" s="93" t="s">
        <v>111</v>
      </c>
      <c r="M735" s="93">
        <v>6.5</v>
      </c>
      <c r="N735" s="93" t="s">
        <v>113</v>
      </c>
      <c r="O735" s="93">
        <v>18.5</v>
      </c>
      <c r="P735" s="93">
        <v>29.5</v>
      </c>
      <c r="Q735" s="93">
        <v>37.5</v>
      </c>
      <c r="R735" s="93" t="s">
        <v>123</v>
      </c>
      <c r="S735" s="93" t="s">
        <v>659</v>
      </c>
      <c r="T735" s="93" t="s">
        <v>1659</v>
      </c>
      <c r="U735" s="93" t="s">
        <v>116</v>
      </c>
      <c r="V735" s="94">
        <v>44628.561111111114</v>
      </c>
      <c r="W735" s="93" t="s">
        <v>1170</v>
      </c>
      <c r="X735" s="93" t="s">
        <v>24</v>
      </c>
    </row>
    <row r="736" spans="1:24" hidden="1" x14ac:dyDescent="0.15">
      <c r="A736" s="93" t="s">
        <v>2433</v>
      </c>
      <c r="B736" s="93" t="s">
        <v>2434</v>
      </c>
      <c r="C736" s="410">
        <v>4620</v>
      </c>
      <c r="D736" s="93" t="s">
        <v>9</v>
      </c>
      <c r="E736" s="93" t="s">
        <v>9</v>
      </c>
      <c r="F736" s="93" t="s">
        <v>1648</v>
      </c>
      <c r="G736" s="93" t="s">
        <v>9117</v>
      </c>
      <c r="H736" s="93" t="s">
        <v>1690</v>
      </c>
      <c r="I736" s="93" t="s">
        <v>111</v>
      </c>
      <c r="J736" s="93" t="s">
        <v>2086</v>
      </c>
      <c r="K736" s="93">
        <v>50</v>
      </c>
      <c r="L736" s="93" t="s">
        <v>111</v>
      </c>
      <c r="M736" s="93">
        <v>6.5</v>
      </c>
      <c r="N736" s="93" t="s">
        <v>113</v>
      </c>
      <c r="O736" s="93">
        <v>18.5</v>
      </c>
      <c r="P736" s="93">
        <v>29.5</v>
      </c>
      <c r="Q736" s="93">
        <v>37.5</v>
      </c>
      <c r="R736" s="93" t="s">
        <v>123</v>
      </c>
      <c r="S736" s="93" t="s">
        <v>659</v>
      </c>
      <c r="T736" s="93" t="s">
        <v>1659</v>
      </c>
      <c r="U736" s="93" t="s">
        <v>116</v>
      </c>
      <c r="V736" s="94">
        <v>44628.539583333331</v>
      </c>
      <c r="W736" s="93" t="s">
        <v>1170</v>
      </c>
      <c r="X736" s="93" t="s">
        <v>24</v>
      </c>
    </row>
    <row r="737" spans="1:24" hidden="1" x14ac:dyDescent="0.15">
      <c r="A737" s="93" t="s">
        <v>2435</v>
      </c>
      <c r="B737" s="93" t="s">
        <v>2436</v>
      </c>
      <c r="C737" s="410">
        <v>4620</v>
      </c>
      <c r="D737" s="93" t="s">
        <v>9</v>
      </c>
      <c r="E737" s="93" t="s">
        <v>9</v>
      </c>
      <c r="F737" s="93" t="s">
        <v>1648</v>
      </c>
      <c r="G737" s="93" t="s">
        <v>9117</v>
      </c>
      <c r="H737" s="93" t="s">
        <v>1690</v>
      </c>
      <c r="I737" s="93" t="s">
        <v>111</v>
      </c>
      <c r="J737" s="93" t="s">
        <v>2086</v>
      </c>
      <c r="K737" s="93">
        <v>50</v>
      </c>
      <c r="L737" s="93" t="s">
        <v>111</v>
      </c>
      <c r="M737" s="93">
        <v>6.5</v>
      </c>
      <c r="N737" s="93" t="s">
        <v>113</v>
      </c>
      <c r="O737" s="93">
        <v>18.5</v>
      </c>
      <c r="P737" s="93">
        <v>29.5</v>
      </c>
      <c r="Q737" s="93">
        <v>37.5</v>
      </c>
      <c r="R737" s="93" t="s">
        <v>123</v>
      </c>
      <c r="S737" s="93" t="s">
        <v>659</v>
      </c>
      <c r="T737" s="93" t="s">
        <v>1659</v>
      </c>
      <c r="U737" s="93" t="s">
        <v>116</v>
      </c>
      <c r="V737" s="94">
        <v>44628.63958333333</v>
      </c>
      <c r="W737" s="93" t="s">
        <v>1170</v>
      </c>
      <c r="X737" s="93" t="s">
        <v>24</v>
      </c>
    </row>
    <row r="738" spans="1:24" hidden="1" x14ac:dyDescent="0.15">
      <c r="A738" s="93" t="s">
        <v>2437</v>
      </c>
      <c r="B738" s="93" t="s">
        <v>2438</v>
      </c>
      <c r="C738" s="410">
        <v>3675</v>
      </c>
      <c r="D738" s="93" t="s">
        <v>9</v>
      </c>
      <c r="E738" s="93" t="s">
        <v>9</v>
      </c>
      <c r="F738" s="93" t="s">
        <v>1648</v>
      </c>
      <c r="G738" s="93" t="s">
        <v>9117</v>
      </c>
      <c r="H738" s="93" t="s">
        <v>1690</v>
      </c>
      <c r="I738" s="93" t="s">
        <v>111</v>
      </c>
      <c r="J738" s="93" t="s">
        <v>2013</v>
      </c>
      <c r="K738" s="93">
        <v>50</v>
      </c>
      <c r="L738" s="93" t="s">
        <v>111</v>
      </c>
      <c r="M738" s="93">
        <v>6.5</v>
      </c>
      <c r="N738" s="93" t="s">
        <v>111</v>
      </c>
      <c r="O738" s="93">
        <v>37.5</v>
      </c>
      <c r="P738" s="93">
        <v>29</v>
      </c>
      <c r="Q738" s="93">
        <v>18</v>
      </c>
      <c r="R738" s="93" t="s">
        <v>123</v>
      </c>
      <c r="S738" s="93" t="s">
        <v>2</v>
      </c>
      <c r="T738" s="93" t="s">
        <v>1659</v>
      </c>
      <c r="U738" s="93" t="s">
        <v>116</v>
      </c>
      <c r="V738" s="94">
        <v>44628.552777777775</v>
      </c>
      <c r="W738" s="93" t="s">
        <v>1170</v>
      </c>
      <c r="X738" s="93" t="s">
        <v>24</v>
      </c>
    </row>
    <row r="739" spans="1:24" hidden="1" x14ac:dyDescent="0.15">
      <c r="A739" s="93" t="s">
        <v>9188</v>
      </c>
      <c r="B739" s="93" t="s">
        <v>2448</v>
      </c>
      <c r="C739" s="410">
        <v>3675</v>
      </c>
      <c r="D739" s="93" t="s">
        <v>9</v>
      </c>
      <c r="E739" s="93" t="s">
        <v>9</v>
      </c>
      <c r="F739" s="93" t="s">
        <v>1648</v>
      </c>
      <c r="G739" s="93" t="s">
        <v>9117</v>
      </c>
      <c r="H739" s="93" t="s">
        <v>1690</v>
      </c>
      <c r="I739" s="93" t="s">
        <v>111</v>
      </c>
      <c r="J739" s="93" t="s">
        <v>2013</v>
      </c>
      <c r="K739" s="93">
        <v>50</v>
      </c>
      <c r="L739" s="93" t="s">
        <v>111</v>
      </c>
      <c r="M739" s="93" t="s">
        <v>111</v>
      </c>
      <c r="N739" s="93" t="s">
        <v>111</v>
      </c>
      <c r="O739" s="93" t="s">
        <v>111</v>
      </c>
      <c r="P739" s="93" t="s">
        <v>111</v>
      </c>
      <c r="Q739" s="93" t="s">
        <v>111</v>
      </c>
      <c r="R739" s="93" t="s">
        <v>123</v>
      </c>
      <c r="S739" s="93" t="s">
        <v>659</v>
      </c>
      <c r="T739" s="93" t="s">
        <v>1659</v>
      </c>
      <c r="U739" s="93" t="s">
        <v>116</v>
      </c>
      <c r="V739" s="94">
        <v>44628.631249999999</v>
      </c>
      <c r="W739" s="93" t="s">
        <v>1170</v>
      </c>
      <c r="X739" s="93" t="s">
        <v>24</v>
      </c>
    </row>
    <row r="740" spans="1:24" hidden="1" x14ac:dyDescent="0.15">
      <c r="A740" s="93" t="s">
        <v>2439</v>
      </c>
      <c r="B740" s="93" t="s">
        <v>2440</v>
      </c>
      <c r="C740" s="410">
        <v>3675</v>
      </c>
      <c r="D740" s="93" t="s">
        <v>9</v>
      </c>
      <c r="E740" s="93" t="s">
        <v>9</v>
      </c>
      <c r="F740" s="93" t="s">
        <v>1648</v>
      </c>
      <c r="G740" s="93" t="s">
        <v>9117</v>
      </c>
      <c r="H740" s="93" t="s">
        <v>1690</v>
      </c>
      <c r="I740" s="93" t="s">
        <v>111</v>
      </c>
      <c r="J740" s="93" t="s">
        <v>2013</v>
      </c>
      <c r="K740" s="93">
        <v>50</v>
      </c>
      <c r="L740" s="93" t="s">
        <v>111</v>
      </c>
      <c r="M740" s="93">
        <v>6.5</v>
      </c>
      <c r="N740" s="93" t="s">
        <v>111</v>
      </c>
      <c r="O740" s="93">
        <v>37.5</v>
      </c>
      <c r="P740" s="93">
        <v>29</v>
      </c>
      <c r="Q740" s="93">
        <v>18</v>
      </c>
      <c r="R740" s="93" t="s">
        <v>123</v>
      </c>
      <c r="S740" s="93" t="s">
        <v>659</v>
      </c>
      <c r="T740" s="93" t="s">
        <v>1659</v>
      </c>
      <c r="U740" s="93" t="s">
        <v>116</v>
      </c>
      <c r="V740" s="94">
        <v>44628.509027777778</v>
      </c>
      <c r="W740" s="93" t="s">
        <v>1170</v>
      </c>
      <c r="X740" s="93" t="s">
        <v>24</v>
      </c>
    </row>
    <row r="741" spans="1:24" hidden="1" x14ac:dyDescent="0.15">
      <c r="A741" s="93" t="s">
        <v>2441</v>
      </c>
      <c r="B741" s="93" t="s">
        <v>2442</v>
      </c>
      <c r="C741" s="410">
        <v>3675</v>
      </c>
      <c r="D741" s="93" t="s">
        <v>9</v>
      </c>
      <c r="E741" s="93" t="s">
        <v>9</v>
      </c>
      <c r="F741" s="93" t="s">
        <v>1648</v>
      </c>
      <c r="G741" s="93" t="s">
        <v>9117</v>
      </c>
      <c r="H741" s="93" t="s">
        <v>1690</v>
      </c>
      <c r="I741" s="93" t="s">
        <v>111</v>
      </c>
      <c r="J741" s="93" t="s">
        <v>2013</v>
      </c>
      <c r="K741" s="93">
        <v>50</v>
      </c>
      <c r="L741" s="93" t="s">
        <v>111</v>
      </c>
      <c r="M741" s="93">
        <v>6.5</v>
      </c>
      <c r="N741" s="93" t="s">
        <v>111</v>
      </c>
      <c r="O741" s="93">
        <v>37.5</v>
      </c>
      <c r="P741" s="93">
        <v>29</v>
      </c>
      <c r="Q741" s="93">
        <v>18</v>
      </c>
      <c r="R741" s="93" t="s">
        <v>123</v>
      </c>
      <c r="S741" s="93" t="s">
        <v>659</v>
      </c>
      <c r="T741" s="93" t="s">
        <v>1659</v>
      </c>
      <c r="U741" s="93" t="s">
        <v>116</v>
      </c>
      <c r="V741" s="94">
        <v>44628.53125</v>
      </c>
      <c r="W741" s="93" t="s">
        <v>1170</v>
      </c>
      <c r="X741" s="93" t="s">
        <v>24</v>
      </c>
    </row>
    <row r="742" spans="1:24" hidden="1" x14ac:dyDescent="0.15">
      <c r="A742" s="93" t="s">
        <v>2443</v>
      </c>
      <c r="B742" s="93" t="s">
        <v>2444</v>
      </c>
      <c r="C742" s="410">
        <v>3675</v>
      </c>
      <c r="D742" s="93" t="s">
        <v>9</v>
      </c>
      <c r="E742" s="93" t="s">
        <v>9</v>
      </c>
      <c r="F742" s="93" t="s">
        <v>1648</v>
      </c>
      <c r="G742" s="93" t="s">
        <v>9117</v>
      </c>
      <c r="H742" s="93" t="s">
        <v>1690</v>
      </c>
      <c r="I742" s="93" t="s">
        <v>111</v>
      </c>
      <c r="J742" s="93" t="s">
        <v>2013</v>
      </c>
      <c r="K742" s="93">
        <v>50</v>
      </c>
      <c r="L742" s="93" t="s">
        <v>111</v>
      </c>
      <c r="M742" s="93">
        <v>6.5</v>
      </c>
      <c r="N742" s="93" t="s">
        <v>111</v>
      </c>
      <c r="O742" s="93">
        <v>37.5</v>
      </c>
      <c r="P742" s="93">
        <v>29</v>
      </c>
      <c r="Q742" s="93">
        <v>18</v>
      </c>
      <c r="R742" s="93" t="s">
        <v>123</v>
      </c>
      <c r="S742" s="93" t="s">
        <v>659</v>
      </c>
      <c r="T742" s="93" t="s">
        <v>1659</v>
      </c>
      <c r="U742" s="93" t="s">
        <v>116</v>
      </c>
      <c r="V742" s="94">
        <v>44628.631249999999</v>
      </c>
      <c r="W742" s="93" t="s">
        <v>1170</v>
      </c>
      <c r="X742" s="93" t="s">
        <v>24</v>
      </c>
    </row>
    <row r="743" spans="1:24" hidden="1" x14ac:dyDescent="0.15">
      <c r="A743" s="93" t="s">
        <v>2445</v>
      </c>
      <c r="B743" s="93" t="s">
        <v>2446</v>
      </c>
      <c r="C743" s="410">
        <v>3675</v>
      </c>
      <c r="D743" s="93" t="s">
        <v>9</v>
      </c>
      <c r="E743" s="93" t="s">
        <v>9</v>
      </c>
      <c r="F743" s="93" t="s">
        <v>1648</v>
      </c>
      <c r="G743" s="93" t="s">
        <v>9117</v>
      </c>
      <c r="H743" s="93" t="s">
        <v>1690</v>
      </c>
      <c r="I743" s="93" t="s">
        <v>111</v>
      </c>
      <c r="J743" s="93" t="s">
        <v>2013</v>
      </c>
      <c r="K743" s="93">
        <v>50</v>
      </c>
      <c r="L743" s="93" t="s">
        <v>111</v>
      </c>
      <c r="M743" s="93">
        <v>6.5</v>
      </c>
      <c r="N743" s="93" t="s">
        <v>111</v>
      </c>
      <c r="O743" s="93">
        <v>37.5</v>
      </c>
      <c r="P743" s="93">
        <v>29</v>
      </c>
      <c r="Q743" s="93">
        <v>18</v>
      </c>
      <c r="R743" s="93" t="s">
        <v>123</v>
      </c>
      <c r="S743" s="93" t="s">
        <v>659</v>
      </c>
      <c r="T743" s="93" t="s">
        <v>1659</v>
      </c>
      <c r="U743" s="93" t="s">
        <v>116</v>
      </c>
      <c r="V743" s="94">
        <v>44628.509027777778</v>
      </c>
      <c r="W743" s="93" t="s">
        <v>1170</v>
      </c>
      <c r="X743" s="93" t="s">
        <v>24</v>
      </c>
    </row>
    <row r="744" spans="1:24" hidden="1" x14ac:dyDescent="0.15">
      <c r="A744" s="93" t="s">
        <v>2447</v>
      </c>
      <c r="B744" s="93" t="s">
        <v>2448</v>
      </c>
      <c r="C744" s="410">
        <v>3675</v>
      </c>
      <c r="D744" s="93" t="s">
        <v>9</v>
      </c>
      <c r="E744" s="93" t="s">
        <v>9</v>
      </c>
      <c r="F744" s="93" t="s">
        <v>1648</v>
      </c>
      <c r="G744" s="93" t="s">
        <v>9117</v>
      </c>
      <c r="H744" s="93" t="s">
        <v>1690</v>
      </c>
      <c r="I744" s="93" t="s">
        <v>111</v>
      </c>
      <c r="J744" s="93" t="s">
        <v>2013</v>
      </c>
      <c r="K744" s="93">
        <v>50</v>
      </c>
      <c r="L744" s="93" t="s">
        <v>111</v>
      </c>
      <c r="M744" s="93">
        <v>6.5</v>
      </c>
      <c r="N744" s="93" t="s">
        <v>111</v>
      </c>
      <c r="O744" s="93">
        <v>37.5</v>
      </c>
      <c r="P744" s="93">
        <v>29</v>
      </c>
      <c r="Q744" s="93">
        <v>18</v>
      </c>
      <c r="R744" s="93" t="s">
        <v>123</v>
      </c>
      <c r="S744" s="93" t="s">
        <v>659</v>
      </c>
      <c r="T744" s="93" t="s">
        <v>1659</v>
      </c>
      <c r="U744" s="93" t="s">
        <v>116</v>
      </c>
      <c r="V744" s="94">
        <v>44628.630555555559</v>
      </c>
      <c r="W744" s="93" t="s">
        <v>1170</v>
      </c>
      <c r="X744" s="93" t="s">
        <v>24</v>
      </c>
    </row>
    <row r="745" spans="1:24" hidden="1" x14ac:dyDescent="0.15">
      <c r="A745" s="93" t="s">
        <v>2449</v>
      </c>
      <c r="B745" s="93" t="s">
        <v>2450</v>
      </c>
      <c r="C745" s="410">
        <v>4620</v>
      </c>
      <c r="D745" s="93" t="s">
        <v>9</v>
      </c>
      <c r="E745" s="93" t="s">
        <v>9</v>
      </c>
      <c r="F745" s="93" t="s">
        <v>1648</v>
      </c>
      <c r="G745" s="93" t="s">
        <v>9117</v>
      </c>
      <c r="H745" s="93" t="s">
        <v>1690</v>
      </c>
      <c r="I745" s="93" t="s">
        <v>111</v>
      </c>
      <c r="J745" s="93" t="s">
        <v>963</v>
      </c>
      <c r="K745" s="93">
        <v>60</v>
      </c>
      <c r="L745" s="93" t="s">
        <v>111</v>
      </c>
      <c r="M745" s="93">
        <v>6.5</v>
      </c>
      <c r="N745" s="93" t="s">
        <v>113</v>
      </c>
      <c r="O745" s="93">
        <v>18.5</v>
      </c>
      <c r="P745" s="93">
        <v>29.5</v>
      </c>
      <c r="Q745" s="93">
        <v>37.5</v>
      </c>
      <c r="R745" s="93" t="s">
        <v>123</v>
      </c>
      <c r="S745" s="93" t="s">
        <v>659</v>
      </c>
      <c r="T745" s="93" t="s">
        <v>1659</v>
      </c>
      <c r="U745" s="93" t="s">
        <v>116</v>
      </c>
      <c r="V745" s="94">
        <v>44628.581944444442</v>
      </c>
      <c r="W745" s="93" t="s">
        <v>1170</v>
      </c>
      <c r="X745" s="93" t="s">
        <v>24</v>
      </c>
    </row>
    <row r="746" spans="1:24" hidden="1" x14ac:dyDescent="0.15">
      <c r="A746" s="93" t="s">
        <v>2451</v>
      </c>
      <c r="B746" s="93" t="s">
        <v>2452</v>
      </c>
      <c r="C746" s="410">
        <v>4620</v>
      </c>
      <c r="D746" s="93" t="s">
        <v>9</v>
      </c>
      <c r="E746" s="93" t="s">
        <v>9</v>
      </c>
      <c r="F746" s="93" t="s">
        <v>1648</v>
      </c>
      <c r="G746" s="93" t="s">
        <v>9117</v>
      </c>
      <c r="H746" s="93" t="s">
        <v>1690</v>
      </c>
      <c r="I746" s="93" t="s">
        <v>111</v>
      </c>
      <c r="J746" s="93" t="s">
        <v>963</v>
      </c>
      <c r="K746" s="93">
        <v>60</v>
      </c>
      <c r="L746" s="93" t="s">
        <v>111</v>
      </c>
      <c r="M746" s="93">
        <v>6.5</v>
      </c>
      <c r="N746" s="93" t="s">
        <v>113</v>
      </c>
      <c r="O746" s="93">
        <v>18.5</v>
      </c>
      <c r="P746" s="93">
        <v>29.5</v>
      </c>
      <c r="Q746" s="93">
        <v>37.5</v>
      </c>
      <c r="R746" s="93" t="s">
        <v>123</v>
      </c>
      <c r="S746" s="93" t="s">
        <v>659</v>
      </c>
      <c r="T746" s="93" t="s">
        <v>1659</v>
      </c>
      <c r="U746" s="93" t="s">
        <v>116</v>
      </c>
      <c r="V746" s="94">
        <v>44628.473611111112</v>
      </c>
      <c r="W746" s="93" t="s">
        <v>1170</v>
      </c>
      <c r="X746" s="93" t="s">
        <v>24</v>
      </c>
    </row>
    <row r="747" spans="1:24" hidden="1" x14ac:dyDescent="0.15">
      <c r="A747" s="93" t="s">
        <v>2453</v>
      </c>
      <c r="B747" s="93" t="s">
        <v>2454</v>
      </c>
      <c r="C747" s="410">
        <v>3675</v>
      </c>
      <c r="D747" s="93" t="s">
        <v>9</v>
      </c>
      <c r="E747" s="93" t="s">
        <v>9</v>
      </c>
      <c r="F747" s="93" t="s">
        <v>1648</v>
      </c>
      <c r="G747" s="93" t="s">
        <v>9117</v>
      </c>
      <c r="H747" s="93" t="s">
        <v>1690</v>
      </c>
      <c r="I747" s="93" t="s">
        <v>111</v>
      </c>
      <c r="J747" s="93" t="s">
        <v>2013</v>
      </c>
      <c r="K747" s="93">
        <v>50</v>
      </c>
      <c r="L747" s="93" t="s">
        <v>111</v>
      </c>
      <c r="M747" s="93">
        <v>6.5</v>
      </c>
      <c r="N747" s="93" t="s">
        <v>113</v>
      </c>
      <c r="O747" s="93">
        <v>18.5</v>
      </c>
      <c r="P747" s="93">
        <v>29.5</v>
      </c>
      <c r="Q747" s="93">
        <v>37.5</v>
      </c>
      <c r="R747" s="93" t="s">
        <v>123</v>
      </c>
      <c r="S747" s="93" t="s">
        <v>659</v>
      </c>
      <c r="T747" s="93" t="s">
        <v>1659</v>
      </c>
      <c r="U747" s="93" t="s">
        <v>116</v>
      </c>
      <c r="V747" s="94">
        <v>44628.47152777778</v>
      </c>
      <c r="W747" s="93" t="s">
        <v>1170</v>
      </c>
      <c r="X747" s="93" t="s">
        <v>24</v>
      </c>
    </row>
    <row r="748" spans="1:24" hidden="1" x14ac:dyDescent="0.15">
      <c r="A748" s="93" t="s">
        <v>2455</v>
      </c>
      <c r="B748" s="93" t="s">
        <v>2456</v>
      </c>
      <c r="C748" s="410">
        <v>3675</v>
      </c>
      <c r="D748" s="93" t="s">
        <v>9</v>
      </c>
      <c r="E748" s="93" t="s">
        <v>9</v>
      </c>
      <c r="F748" s="93" t="s">
        <v>1648</v>
      </c>
      <c r="G748" s="93" t="s">
        <v>9117</v>
      </c>
      <c r="H748" s="93" t="s">
        <v>1690</v>
      </c>
      <c r="I748" s="93" t="s">
        <v>111</v>
      </c>
      <c r="J748" s="93" t="s">
        <v>2013</v>
      </c>
      <c r="K748" s="93">
        <v>50</v>
      </c>
      <c r="L748" s="93" t="s">
        <v>111</v>
      </c>
      <c r="M748" s="93">
        <v>6.5</v>
      </c>
      <c r="N748" s="93" t="s">
        <v>113</v>
      </c>
      <c r="O748" s="93">
        <v>18.5</v>
      </c>
      <c r="P748" s="93">
        <v>29.5</v>
      </c>
      <c r="Q748" s="93">
        <v>37.5</v>
      </c>
      <c r="R748" s="93" t="s">
        <v>123</v>
      </c>
      <c r="S748" s="93" t="s">
        <v>659</v>
      </c>
      <c r="T748" s="93" t="s">
        <v>1659</v>
      </c>
      <c r="U748" s="93" t="s">
        <v>116</v>
      </c>
      <c r="V748" s="94">
        <v>44628.57916666667</v>
      </c>
      <c r="W748" s="93" t="s">
        <v>1170</v>
      </c>
      <c r="X748" s="93" t="s">
        <v>24</v>
      </c>
    </row>
    <row r="749" spans="1:24" hidden="1" x14ac:dyDescent="0.15">
      <c r="A749" s="93" t="s">
        <v>2457</v>
      </c>
      <c r="B749" s="93" t="s">
        <v>2458</v>
      </c>
      <c r="C749" s="410">
        <v>8032.5</v>
      </c>
      <c r="D749" s="93" t="s">
        <v>9</v>
      </c>
      <c r="E749" s="93" t="s">
        <v>9</v>
      </c>
      <c r="F749" s="93" t="s">
        <v>1648</v>
      </c>
      <c r="G749" s="93" t="s">
        <v>9117</v>
      </c>
      <c r="H749" s="93" t="s">
        <v>1690</v>
      </c>
      <c r="I749" s="93" t="s">
        <v>111</v>
      </c>
      <c r="J749" s="93" t="s">
        <v>963</v>
      </c>
      <c r="K749" s="93">
        <v>60</v>
      </c>
      <c r="L749" s="93" t="s">
        <v>111</v>
      </c>
      <c r="M749" s="93">
        <v>5</v>
      </c>
      <c r="N749" s="93" t="s">
        <v>113</v>
      </c>
      <c r="O749" s="93">
        <v>15</v>
      </c>
      <c r="P749" s="93">
        <v>25</v>
      </c>
      <c r="Q749" s="93">
        <v>42</v>
      </c>
      <c r="R749" s="93" t="s">
        <v>123</v>
      </c>
      <c r="S749" s="93" t="s">
        <v>659</v>
      </c>
      <c r="T749" s="93" t="s">
        <v>1659</v>
      </c>
      <c r="U749" s="93" t="s">
        <v>116</v>
      </c>
      <c r="V749" s="94">
        <v>44628.576388888891</v>
      </c>
      <c r="W749" s="93" t="s">
        <v>1555</v>
      </c>
      <c r="X749" s="93" t="s">
        <v>24</v>
      </c>
    </row>
    <row r="750" spans="1:24" hidden="1" x14ac:dyDescent="0.15">
      <c r="A750" s="93" t="s">
        <v>2459</v>
      </c>
      <c r="B750" s="93" t="s">
        <v>2460</v>
      </c>
      <c r="C750" s="410">
        <v>8032.5</v>
      </c>
      <c r="D750" s="93" t="s">
        <v>9</v>
      </c>
      <c r="E750" s="93" t="s">
        <v>9</v>
      </c>
      <c r="F750" s="93" t="s">
        <v>1648</v>
      </c>
      <c r="G750" s="93" t="s">
        <v>9117</v>
      </c>
      <c r="H750" s="93" t="s">
        <v>1690</v>
      </c>
      <c r="I750" s="93" t="s">
        <v>111</v>
      </c>
      <c r="J750" s="93" t="s">
        <v>963</v>
      </c>
      <c r="K750" s="93">
        <v>60</v>
      </c>
      <c r="L750" s="93" t="s">
        <v>111</v>
      </c>
      <c r="M750" s="93">
        <v>5</v>
      </c>
      <c r="N750" s="93" t="s">
        <v>113</v>
      </c>
      <c r="O750" s="93">
        <v>15</v>
      </c>
      <c r="P750" s="93">
        <v>25</v>
      </c>
      <c r="Q750" s="93">
        <v>42</v>
      </c>
      <c r="R750" s="93" t="s">
        <v>123</v>
      </c>
      <c r="S750" s="93" t="s">
        <v>659</v>
      </c>
      <c r="T750" s="93" t="s">
        <v>1659</v>
      </c>
      <c r="U750" s="93" t="s">
        <v>116</v>
      </c>
      <c r="V750" s="94">
        <v>44628.46875</v>
      </c>
      <c r="W750" s="93" t="s">
        <v>1555</v>
      </c>
      <c r="X750" s="93" t="s">
        <v>24</v>
      </c>
    </row>
    <row r="751" spans="1:24" hidden="1" x14ac:dyDescent="0.15">
      <c r="A751" s="93" t="s">
        <v>2461</v>
      </c>
      <c r="B751" s="93" t="s">
        <v>2462</v>
      </c>
      <c r="C751" s="410">
        <v>3465</v>
      </c>
      <c r="D751" s="93" t="s">
        <v>9</v>
      </c>
      <c r="E751" s="93" t="s">
        <v>9</v>
      </c>
      <c r="F751" s="93" t="s">
        <v>1648</v>
      </c>
      <c r="G751" s="93" t="s">
        <v>9117</v>
      </c>
      <c r="H751" s="93" t="s">
        <v>1943</v>
      </c>
      <c r="I751" s="93" t="s">
        <v>111</v>
      </c>
      <c r="J751" s="93" t="s">
        <v>963</v>
      </c>
      <c r="K751" s="93">
        <v>60</v>
      </c>
      <c r="L751" s="93" t="s">
        <v>111</v>
      </c>
      <c r="M751" s="93">
        <v>4.9000000000000004</v>
      </c>
      <c r="N751" s="93" t="s">
        <v>113</v>
      </c>
      <c r="O751" s="93">
        <v>18.5</v>
      </c>
      <c r="P751" s="93">
        <v>29.5</v>
      </c>
      <c r="Q751" s="93">
        <v>32.5</v>
      </c>
      <c r="R751" s="93" t="s">
        <v>123</v>
      </c>
      <c r="S751" s="93" t="s">
        <v>111</v>
      </c>
      <c r="T751" s="93" t="s">
        <v>1659</v>
      </c>
      <c r="U751" s="93" t="s">
        <v>116</v>
      </c>
      <c r="V751" s="94">
        <v>44628.582638888889</v>
      </c>
      <c r="W751" s="93" t="s">
        <v>1170</v>
      </c>
      <c r="X751" s="93" t="s">
        <v>24</v>
      </c>
    </row>
    <row r="752" spans="1:24" hidden="1" x14ac:dyDescent="0.15">
      <c r="A752" s="93" t="s">
        <v>2463</v>
      </c>
      <c r="B752" s="93" t="s">
        <v>2464</v>
      </c>
      <c r="C752" s="410">
        <v>3465</v>
      </c>
      <c r="D752" s="93" t="s">
        <v>9</v>
      </c>
      <c r="E752" s="93" t="s">
        <v>9</v>
      </c>
      <c r="F752" s="93" t="s">
        <v>1648</v>
      </c>
      <c r="G752" s="93" t="s">
        <v>9117</v>
      </c>
      <c r="H752" s="93" t="s">
        <v>1943</v>
      </c>
      <c r="I752" s="93" t="s">
        <v>111</v>
      </c>
      <c r="J752" s="93" t="s">
        <v>963</v>
      </c>
      <c r="K752" s="93">
        <v>60</v>
      </c>
      <c r="L752" s="93" t="s">
        <v>111</v>
      </c>
      <c r="M752" s="93">
        <v>4.9000000000000004</v>
      </c>
      <c r="N752" s="93" t="s">
        <v>113</v>
      </c>
      <c r="O752" s="93">
        <v>18.5</v>
      </c>
      <c r="P752" s="93">
        <v>29.5</v>
      </c>
      <c r="Q752" s="93">
        <v>32.5</v>
      </c>
      <c r="R752" s="93" t="s">
        <v>123</v>
      </c>
      <c r="S752" s="93" t="s">
        <v>111</v>
      </c>
      <c r="T752" s="93" t="s">
        <v>1659</v>
      </c>
      <c r="U752" s="93" t="s">
        <v>116</v>
      </c>
      <c r="V752" s="94">
        <v>44628.63958333333</v>
      </c>
      <c r="W752" s="93" t="s">
        <v>1170</v>
      </c>
      <c r="X752" s="93" t="s">
        <v>24</v>
      </c>
    </row>
    <row r="753" spans="1:24" hidden="1" x14ac:dyDescent="0.15">
      <c r="A753" s="93" t="s">
        <v>2465</v>
      </c>
      <c r="B753" s="93" t="s">
        <v>2466</v>
      </c>
      <c r="C753" s="410">
        <v>3465</v>
      </c>
      <c r="D753" s="93" t="s">
        <v>9</v>
      </c>
      <c r="E753" s="93" t="s">
        <v>9</v>
      </c>
      <c r="F753" s="93" t="s">
        <v>1648</v>
      </c>
      <c r="G753" s="93" t="s">
        <v>9117</v>
      </c>
      <c r="H753" s="93" t="s">
        <v>1943</v>
      </c>
      <c r="I753" s="93" t="s">
        <v>111</v>
      </c>
      <c r="J753" s="93" t="s">
        <v>963</v>
      </c>
      <c r="K753" s="93">
        <v>60</v>
      </c>
      <c r="L753" s="93" t="s">
        <v>111</v>
      </c>
      <c r="M753" s="93">
        <v>4.9000000000000004</v>
      </c>
      <c r="N753" s="93" t="s">
        <v>113</v>
      </c>
      <c r="O753" s="93">
        <v>18.5</v>
      </c>
      <c r="P753" s="93">
        <v>29.5</v>
      </c>
      <c r="Q753" s="93">
        <v>32.5</v>
      </c>
      <c r="R753" s="93" t="s">
        <v>123</v>
      </c>
      <c r="S753" s="93" t="s">
        <v>111</v>
      </c>
      <c r="T753" s="93" t="s">
        <v>1659</v>
      </c>
      <c r="U753" s="93" t="s">
        <v>116</v>
      </c>
      <c r="V753" s="94">
        <v>44628.474999999999</v>
      </c>
      <c r="W753" s="93" t="s">
        <v>1170</v>
      </c>
      <c r="X753" s="93" t="s">
        <v>24</v>
      </c>
    </row>
    <row r="754" spans="1:24" hidden="1" x14ac:dyDescent="0.15">
      <c r="A754" s="93" t="s">
        <v>2467</v>
      </c>
      <c r="B754" s="93" t="s">
        <v>2468</v>
      </c>
      <c r="C754" s="410">
        <v>3465</v>
      </c>
      <c r="D754" s="93" t="s">
        <v>9</v>
      </c>
      <c r="E754" s="93" t="s">
        <v>9</v>
      </c>
      <c r="F754" s="93" t="s">
        <v>1648</v>
      </c>
      <c r="G754" s="93" t="s">
        <v>9117</v>
      </c>
      <c r="H754" s="93" t="s">
        <v>1943</v>
      </c>
      <c r="I754" s="93" t="s">
        <v>111</v>
      </c>
      <c r="J754" s="93" t="s">
        <v>963</v>
      </c>
      <c r="K754" s="93">
        <v>60</v>
      </c>
      <c r="L754" s="93" t="s">
        <v>111</v>
      </c>
      <c r="M754" s="93">
        <v>4.9000000000000004</v>
      </c>
      <c r="N754" s="93" t="s">
        <v>113</v>
      </c>
      <c r="O754" s="93">
        <v>18.5</v>
      </c>
      <c r="P754" s="93">
        <v>29.5</v>
      </c>
      <c r="Q754" s="93">
        <v>32.5</v>
      </c>
      <c r="R754" s="93" t="s">
        <v>123</v>
      </c>
      <c r="S754" s="93" t="s">
        <v>111</v>
      </c>
      <c r="T754" s="93" t="s">
        <v>1659</v>
      </c>
      <c r="U754" s="93" t="s">
        <v>116</v>
      </c>
      <c r="V754" s="94">
        <v>44628.539583333331</v>
      </c>
      <c r="W754" s="93" t="s">
        <v>1170</v>
      </c>
      <c r="X754" s="93" t="s">
        <v>24</v>
      </c>
    </row>
    <row r="755" spans="1:24" hidden="1" x14ac:dyDescent="0.15">
      <c r="A755" s="93" t="s">
        <v>2469</v>
      </c>
      <c r="B755" s="93" t="s">
        <v>2470</v>
      </c>
      <c r="C755" s="410">
        <v>3465</v>
      </c>
      <c r="D755" s="93" t="s">
        <v>9</v>
      </c>
      <c r="E755" s="93" t="s">
        <v>9</v>
      </c>
      <c r="F755" s="93" t="s">
        <v>1648</v>
      </c>
      <c r="G755" s="93" t="s">
        <v>9117</v>
      </c>
      <c r="H755" s="93" t="s">
        <v>1943</v>
      </c>
      <c r="I755" s="93" t="s">
        <v>111</v>
      </c>
      <c r="J755" s="93" t="s">
        <v>963</v>
      </c>
      <c r="K755" s="93">
        <v>60</v>
      </c>
      <c r="L755" s="93" t="s">
        <v>111</v>
      </c>
      <c r="M755" s="93">
        <v>4.9000000000000004</v>
      </c>
      <c r="N755" s="93" t="s">
        <v>113</v>
      </c>
      <c r="O755" s="93">
        <v>18.5</v>
      </c>
      <c r="P755" s="93">
        <v>29.5</v>
      </c>
      <c r="Q755" s="93">
        <v>32.5</v>
      </c>
      <c r="R755" s="93" t="s">
        <v>123</v>
      </c>
      <c r="S755" s="93" t="s">
        <v>111</v>
      </c>
      <c r="T755" s="93" t="s">
        <v>1659</v>
      </c>
      <c r="U755" s="93" t="s">
        <v>116</v>
      </c>
      <c r="V755" s="94">
        <v>44628.561111111114</v>
      </c>
      <c r="W755" s="93" t="s">
        <v>1170</v>
      </c>
      <c r="X755" s="93" t="s">
        <v>24</v>
      </c>
    </row>
    <row r="756" spans="1:24" hidden="1" x14ac:dyDescent="0.15">
      <c r="A756" s="93" t="s">
        <v>2471</v>
      </c>
      <c r="B756" s="93" t="s">
        <v>2472</v>
      </c>
      <c r="C756" s="410">
        <v>3465</v>
      </c>
      <c r="D756" s="93" t="s">
        <v>9</v>
      </c>
      <c r="E756" s="93" t="s">
        <v>9</v>
      </c>
      <c r="F756" s="93" t="s">
        <v>1648</v>
      </c>
      <c r="G756" s="93" t="s">
        <v>9117</v>
      </c>
      <c r="H756" s="93" t="s">
        <v>1943</v>
      </c>
      <c r="I756" s="93" t="s">
        <v>111</v>
      </c>
      <c r="J756" s="93" t="s">
        <v>963</v>
      </c>
      <c r="K756" s="93">
        <v>60</v>
      </c>
      <c r="L756" s="93" t="s">
        <v>111</v>
      </c>
      <c r="M756" s="93">
        <v>4.9000000000000004</v>
      </c>
      <c r="N756" s="93" t="s">
        <v>113</v>
      </c>
      <c r="O756" s="93">
        <v>18.5</v>
      </c>
      <c r="P756" s="93">
        <v>29.5</v>
      </c>
      <c r="Q756" s="93">
        <v>32.5</v>
      </c>
      <c r="R756" s="93" t="s">
        <v>123</v>
      </c>
      <c r="S756" s="93" t="s">
        <v>111</v>
      </c>
      <c r="T756" s="93" t="s">
        <v>1659</v>
      </c>
      <c r="U756" s="93" t="s">
        <v>116</v>
      </c>
      <c r="V756" s="94">
        <v>44628.582638888889</v>
      </c>
      <c r="W756" s="93" t="s">
        <v>1170</v>
      </c>
      <c r="X756" s="93" t="s">
        <v>24</v>
      </c>
    </row>
    <row r="757" spans="1:24" hidden="1" x14ac:dyDescent="0.15">
      <c r="A757" s="93" t="s">
        <v>2473</v>
      </c>
      <c r="B757" s="93" t="s">
        <v>2474</v>
      </c>
      <c r="C757" s="410">
        <v>3465</v>
      </c>
      <c r="D757" s="93" t="s">
        <v>9</v>
      </c>
      <c r="E757" s="93" t="s">
        <v>9</v>
      </c>
      <c r="F757" s="93" t="s">
        <v>1648</v>
      </c>
      <c r="G757" s="93" t="s">
        <v>9117</v>
      </c>
      <c r="H757" s="93" t="s">
        <v>1943</v>
      </c>
      <c r="I757" s="93" t="s">
        <v>111</v>
      </c>
      <c r="J757" s="93" t="s">
        <v>963</v>
      </c>
      <c r="K757" s="93">
        <v>60</v>
      </c>
      <c r="L757" s="93" t="s">
        <v>111</v>
      </c>
      <c r="M757" s="93">
        <v>4.9000000000000004</v>
      </c>
      <c r="N757" s="93" t="s">
        <v>113</v>
      </c>
      <c r="O757" s="93">
        <v>18.5</v>
      </c>
      <c r="P757" s="93">
        <v>29.5</v>
      </c>
      <c r="Q757" s="93">
        <v>32.5</v>
      </c>
      <c r="R757" s="93" t="s">
        <v>123</v>
      </c>
      <c r="S757" s="93" t="s">
        <v>111</v>
      </c>
      <c r="T757" s="93" t="s">
        <v>1659</v>
      </c>
      <c r="U757" s="93" t="s">
        <v>116</v>
      </c>
      <c r="V757" s="94">
        <v>44628.63958333333</v>
      </c>
      <c r="W757" s="93" t="s">
        <v>1170</v>
      </c>
      <c r="X757" s="93" t="s">
        <v>24</v>
      </c>
    </row>
    <row r="758" spans="1:24" hidden="1" x14ac:dyDescent="0.15">
      <c r="A758" s="93" t="s">
        <v>2475</v>
      </c>
      <c r="B758" s="93" t="s">
        <v>2476</v>
      </c>
      <c r="C758" s="410">
        <v>3465</v>
      </c>
      <c r="D758" s="93" t="s">
        <v>9</v>
      </c>
      <c r="E758" s="93" t="s">
        <v>9</v>
      </c>
      <c r="F758" s="93" t="s">
        <v>1648</v>
      </c>
      <c r="G758" s="93" t="s">
        <v>9117</v>
      </c>
      <c r="H758" s="93" t="s">
        <v>1943</v>
      </c>
      <c r="I758" s="93" t="s">
        <v>111</v>
      </c>
      <c r="J758" s="93" t="s">
        <v>963</v>
      </c>
      <c r="K758" s="93">
        <v>60</v>
      </c>
      <c r="L758" s="93" t="s">
        <v>111</v>
      </c>
      <c r="M758" s="93">
        <v>4.9000000000000004</v>
      </c>
      <c r="N758" s="93" t="s">
        <v>113</v>
      </c>
      <c r="O758" s="93">
        <v>18.5</v>
      </c>
      <c r="P758" s="93">
        <v>29.5</v>
      </c>
      <c r="Q758" s="93">
        <v>32.5</v>
      </c>
      <c r="R758" s="93" t="s">
        <v>123</v>
      </c>
      <c r="S758" s="93" t="s">
        <v>111</v>
      </c>
      <c r="T758" s="93" t="s">
        <v>1659</v>
      </c>
      <c r="U758" s="93" t="s">
        <v>116</v>
      </c>
      <c r="V758" s="94">
        <v>44628.63958333333</v>
      </c>
      <c r="W758" s="93" t="s">
        <v>1170</v>
      </c>
      <c r="X758" s="93" t="s">
        <v>24</v>
      </c>
    </row>
    <row r="759" spans="1:24" hidden="1" x14ac:dyDescent="0.15">
      <c r="A759" s="93" t="s">
        <v>2477</v>
      </c>
      <c r="B759" s="93" t="s">
        <v>2478</v>
      </c>
      <c r="C759" s="410">
        <v>3465</v>
      </c>
      <c r="D759" s="93" t="s">
        <v>9</v>
      </c>
      <c r="E759" s="93" t="s">
        <v>9</v>
      </c>
      <c r="F759" s="93" t="s">
        <v>1648</v>
      </c>
      <c r="G759" s="93" t="s">
        <v>9117</v>
      </c>
      <c r="H759" s="93" t="s">
        <v>1943</v>
      </c>
      <c r="I759" s="93" t="s">
        <v>111</v>
      </c>
      <c r="J759" s="93" t="s">
        <v>963</v>
      </c>
      <c r="K759" s="93">
        <v>60</v>
      </c>
      <c r="L759" s="93" t="s">
        <v>111</v>
      </c>
      <c r="M759" s="93">
        <v>4.9000000000000004</v>
      </c>
      <c r="N759" s="93" t="s">
        <v>113</v>
      </c>
      <c r="O759" s="93">
        <v>18.5</v>
      </c>
      <c r="P759" s="93">
        <v>29.5</v>
      </c>
      <c r="Q759" s="93">
        <v>32.5</v>
      </c>
      <c r="R759" s="93" t="s">
        <v>123</v>
      </c>
      <c r="S759" s="93" t="s">
        <v>111</v>
      </c>
      <c r="T759" s="93" t="s">
        <v>1659</v>
      </c>
      <c r="U759" s="93" t="s">
        <v>116</v>
      </c>
      <c r="V759" s="94">
        <v>44628.539583333331</v>
      </c>
      <c r="W759" s="93" t="s">
        <v>1170</v>
      </c>
      <c r="X759" s="93" t="s">
        <v>24</v>
      </c>
    </row>
    <row r="760" spans="1:24" hidden="1" x14ac:dyDescent="0.15">
      <c r="A760" s="93" t="s">
        <v>2479</v>
      </c>
      <c r="B760" s="93" t="s">
        <v>2480</v>
      </c>
      <c r="C760" s="410">
        <v>3465</v>
      </c>
      <c r="D760" s="93" t="s">
        <v>9</v>
      </c>
      <c r="E760" s="93" t="s">
        <v>9</v>
      </c>
      <c r="F760" s="93" t="s">
        <v>1648</v>
      </c>
      <c r="G760" s="93" t="s">
        <v>9117</v>
      </c>
      <c r="H760" s="93" t="s">
        <v>1943</v>
      </c>
      <c r="I760" s="93" t="s">
        <v>111</v>
      </c>
      <c r="J760" s="93" t="s">
        <v>963</v>
      </c>
      <c r="K760" s="93">
        <v>60</v>
      </c>
      <c r="L760" s="93" t="s">
        <v>111</v>
      </c>
      <c r="M760" s="93">
        <v>4.9000000000000004</v>
      </c>
      <c r="N760" s="93" t="s">
        <v>113</v>
      </c>
      <c r="O760" s="93">
        <v>18.5</v>
      </c>
      <c r="P760" s="93">
        <v>29.5</v>
      </c>
      <c r="Q760" s="93">
        <v>32.5</v>
      </c>
      <c r="R760" s="93" t="s">
        <v>123</v>
      </c>
      <c r="S760" s="93" t="s">
        <v>111</v>
      </c>
      <c r="T760" s="93" t="s">
        <v>1659</v>
      </c>
      <c r="U760" s="93" t="s">
        <v>116</v>
      </c>
      <c r="V760" s="94">
        <v>44628.518055555556</v>
      </c>
      <c r="W760" s="93" t="s">
        <v>1170</v>
      </c>
      <c r="X760" s="93" t="s">
        <v>24</v>
      </c>
    </row>
    <row r="761" spans="1:24" hidden="1" x14ac:dyDescent="0.15">
      <c r="A761" s="93" t="s">
        <v>2481</v>
      </c>
      <c r="B761" s="93" t="s">
        <v>2482</v>
      </c>
      <c r="C761" s="410">
        <v>3465</v>
      </c>
      <c r="D761" s="93" t="s">
        <v>9</v>
      </c>
      <c r="E761" s="93" t="s">
        <v>9</v>
      </c>
      <c r="F761" s="93" t="s">
        <v>1648</v>
      </c>
      <c r="G761" s="93" t="s">
        <v>9117</v>
      </c>
      <c r="H761" s="93" t="s">
        <v>1943</v>
      </c>
      <c r="I761" s="93" t="s">
        <v>111</v>
      </c>
      <c r="J761" s="93" t="s">
        <v>963</v>
      </c>
      <c r="K761" s="93">
        <v>60</v>
      </c>
      <c r="L761" s="93" t="s">
        <v>111</v>
      </c>
      <c r="M761" s="93">
        <v>4.9000000000000004</v>
      </c>
      <c r="N761" s="93" t="s">
        <v>113</v>
      </c>
      <c r="O761" s="93">
        <v>18.5</v>
      </c>
      <c r="P761" s="93">
        <v>29.5</v>
      </c>
      <c r="Q761" s="93">
        <v>32.5</v>
      </c>
      <c r="R761" s="93" t="s">
        <v>123</v>
      </c>
      <c r="S761" s="93" t="s">
        <v>111</v>
      </c>
      <c r="T761" s="93" t="s">
        <v>1659</v>
      </c>
      <c r="U761" s="93" t="s">
        <v>116</v>
      </c>
      <c r="V761" s="94">
        <v>44628.518055555556</v>
      </c>
      <c r="W761" s="93" t="s">
        <v>1170</v>
      </c>
      <c r="X761" s="93" t="s">
        <v>24</v>
      </c>
    </row>
    <row r="762" spans="1:24" hidden="1" x14ac:dyDescent="0.15">
      <c r="A762" s="93" t="s">
        <v>2483</v>
      </c>
      <c r="B762" s="93" t="s">
        <v>2484</v>
      </c>
      <c r="C762" s="410">
        <v>3465</v>
      </c>
      <c r="D762" s="93" t="s">
        <v>9</v>
      </c>
      <c r="E762" s="93" t="s">
        <v>9</v>
      </c>
      <c r="F762" s="93" t="s">
        <v>1648</v>
      </c>
      <c r="G762" s="93" t="s">
        <v>9117</v>
      </c>
      <c r="H762" s="93" t="s">
        <v>1943</v>
      </c>
      <c r="I762" s="93" t="s">
        <v>111</v>
      </c>
      <c r="J762" s="93" t="s">
        <v>963</v>
      </c>
      <c r="K762" s="93">
        <v>60</v>
      </c>
      <c r="L762" s="93" t="s">
        <v>111</v>
      </c>
      <c r="M762" s="93">
        <v>4.9000000000000004</v>
      </c>
      <c r="N762" s="93" t="s">
        <v>113</v>
      </c>
      <c r="O762" s="93">
        <v>18.5</v>
      </c>
      <c r="P762" s="93">
        <v>29.5</v>
      </c>
      <c r="Q762" s="93">
        <v>32.5</v>
      </c>
      <c r="R762" s="93" t="s">
        <v>123</v>
      </c>
      <c r="S762" s="93" t="s">
        <v>111</v>
      </c>
      <c r="T762" s="93" t="s">
        <v>1659</v>
      </c>
      <c r="U762" s="93" t="s">
        <v>116</v>
      </c>
      <c r="V762" s="94">
        <v>44628.495833333334</v>
      </c>
      <c r="W762" s="93" t="s">
        <v>1170</v>
      </c>
      <c r="X762" s="93" t="s">
        <v>24</v>
      </c>
    </row>
    <row r="763" spans="1:24" hidden="1" x14ac:dyDescent="0.15">
      <c r="A763" s="93" t="s">
        <v>2485</v>
      </c>
      <c r="B763" s="93" t="s">
        <v>2486</v>
      </c>
      <c r="C763" s="410">
        <v>3465</v>
      </c>
      <c r="D763" s="93" t="s">
        <v>9</v>
      </c>
      <c r="E763" s="93" t="s">
        <v>9</v>
      </c>
      <c r="F763" s="93" t="s">
        <v>1648</v>
      </c>
      <c r="G763" s="93" t="s">
        <v>9117</v>
      </c>
      <c r="H763" s="93" t="s">
        <v>1943</v>
      </c>
      <c r="I763" s="93" t="s">
        <v>111</v>
      </c>
      <c r="J763" s="93" t="s">
        <v>963</v>
      </c>
      <c r="K763" s="93">
        <v>60</v>
      </c>
      <c r="L763" s="93" t="s">
        <v>111</v>
      </c>
      <c r="M763" s="93">
        <v>4.9000000000000004</v>
      </c>
      <c r="N763" s="93" t="s">
        <v>113</v>
      </c>
      <c r="O763" s="93">
        <v>18.5</v>
      </c>
      <c r="P763" s="93">
        <v>29.5</v>
      </c>
      <c r="Q763" s="93">
        <v>32.5</v>
      </c>
      <c r="R763" s="93" t="s">
        <v>123</v>
      </c>
      <c r="S763" s="93" t="s">
        <v>659</v>
      </c>
      <c r="T763" s="93" t="s">
        <v>1659</v>
      </c>
      <c r="U763" s="93" t="s">
        <v>116</v>
      </c>
      <c r="V763" s="94">
        <v>44628.63958333333</v>
      </c>
      <c r="W763" s="93" t="s">
        <v>1170</v>
      </c>
      <c r="X763" s="93" t="s">
        <v>24</v>
      </c>
    </row>
    <row r="764" spans="1:24" hidden="1" x14ac:dyDescent="0.15">
      <c r="A764" s="93" t="s">
        <v>2487</v>
      </c>
      <c r="B764" s="93" t="s">
        <v>2488</v>
      </c>
      <c r="C764" s="410">
        <v>3465</v>
      </c>
      <c r="D764" s="93" t="s">
        <v>9</v>
      </c>
      <c r="E764" s="93" t="s">
        <v>9</v>
      </c>
      <c r="F764" s="93" t="s">
        <v>1648</v>
      </c>
      <c r="G764" s="93" t="s">
        <v>9117</v>
      </c>
      <c r="H764" s="93" t="s">
        <v>1943</v>
      </c>
      <c r="I764" s="93" t="s">
        <v>111</v>
      </c>
      <c r="J764" s="93" t="s">
        <v>963</v>
      </c>
      <c r="K764" s="93">
        <v>60</v>
      </c>
      <c r="L764" s="93" t="s">
        <v>111</v>
      </c>
      <c r="M764" s="93">
        <v>4.9000000000000004</v>
      </c>
      <c r="N764" s="93" t="s">
        <v>113</v>
      </c>
      <c r="O764" s="93">
        <v>18.5</v>
      </c>
      <c r="P764" s="93">
        <v>29.5</v>
      </c>
      <c r="Q764" s="93">
        <v>32.5</v>
      </c>
      <c r="R764" s="93" t="s">
        <v>123</v>
      </c>
      <c r="S764" s="93" t="s">
        <v>659</v>
      </c>
      <c r="T764" s="93" t="s">
        <v>1659</v>
      </c>
      <c r="U764" s="93" t="s">
        <v>116</v>
      </c>
      <c r="V764" s="94">
        <v>44628.495833333334</v>
      </c>
      <c r="W764" s="93" t="s">
        <v>1170</v>
      </c>
      <c r="X764" s="93" t="s">
        <v>24</v>
      </c>
    </row>
    <row r="765" spans="1:24" hidden="1" x14ac:dyDescent="0.15">
      <c r="A765" s="93" t="s">
        <v>2489</v>
      </c>
      <c r="B765" s="93" t="s">
        <v>2490</v>
      </c>
      <c r="C765" s="410">
        <v>3465</v>
      </c>
      <c r="D765" s="93" t="s">
        <v>9</v>
      </c>
      <c r="E765" s="93" t="s">
        <v>9</v>
      </c>
      <c r="F765" s="93" t="s">
        <v>1648</v>
      </c>
      <c r="G765" s="93" t="s">
        <v>9117</v>
      </c>
      <c r="H765" s="93" t="s">
        <v>1943</v>
      </c>
      <c r="I765" s="93" t="s">
        <v>111</v>
      </c>
      <c r="J765" s="93" t="s">
        <v>963</v>
      </c>
      <c r="K765" s="93">
        <v>60</v>
      </c>
      <c r="L765" s="93" t="s">
        <v>111</v>
      </c>
      <c r="M765" s="93">
        <v>4.9000000000000004</v>
      </c>
      <c r="N765" s="93" t="s">
        <v>113</v>
      </c>
      <c r="O765" s="93">
        <v>18.5</v>
      </c>
      <c r="P765" s="93">
        <v>29.5</v>
      </c>
      <c r="Q765" s="93">
        <v>32.5</v>
      </c>
      <c r="R765" s="93" t="s">
        <v>123</v>
      </c>
      <c r="S765" s="93" t="s">
        <v>111</v>
      </c>
      <c r="T765" s="93" t="s">
        <v>1659</v>
      </c>
      <c r="U765" s="93" t="s">
        <v>116</v>
      </c>
      <c r="V765" s="94">
        <v>44628.474999999999</v>
      </c>
      <c r="W765" s="93" t="s">
        <v>1170</v>
      </c>
      <c r="X765" s="93" t="s">
        <v>24</v>
      </c>
    </row>
    <row r="766" spans="1:24" hidden="1" x14ac:dyDescent="0.15">
      <c r="A766" s="93" t="s">
        <v>2491</v>
      </c>
      <c r="B766" s="93" t="s">
        <v>2492</v>
      </c>
      <c r="C766" s="410">
        <v>3465</v>
      </c>
      <c r="D766" s="93" t="s">
        <v>9</v>
      </c>
      <c r="E766" s="93" t="s">
        <v>9</v>
      </c>
      <c r="F766" s="93" t="s">
        <v>1648</v>
      </c>
      <c r="G766" s="93" t="s">
        <v>9117</v>
      </c>
      <c r="H766" s="93" t="s">
        <v>1943</v>
      </c>
      <c r="I766" s="93" t="s">
        <v>111</v>
      </c>
      <c r="J766" s="93" t="s">
        <v>963</v>
      </c>
      <c r="K766" s="93">
        <v>60</v>
      </c>
      <c r="L766" s="93" t="s">
        <v>111</v>
      </c>
      <c r="M766" s="93">
        <v>4.9000000000000004</v>
      </c>
      <c r="N766" s="93" t="s">
        <v>113</v>
      </c>
      <c r="O766" s="93">
        <v>18.5</v>
      </c>
      <c r="P766" s="93">
        <v>29.5</v>
      </c>
      <c r="Q766" s="93">
        <v>32.5</v>
      </c>
      <c r="R766" s="93" t="s">
        <v>123</v>
      </c>
      <c r="S766" s="93" t="s">
        <v>111</v>
      </c>
      <c r="T766" s="93" t="s">
        <v>1659</v>
      </c>
      <c r="U766" s="93" t="s">
        <v>116</v>
      </c>
      <c r="V766" s="94">
        <v>44628.474999999999</v>
      </c>
      <c r="W766" s="93" t="s">
        <v>1170</v>
      </c>
      <c r="X766" s="93" t="s">
        <v>24</v>
      </c>
    </row>
    <row r="767" spans="1:24" hidden="1" x14ac:dyDescent="0.15">
      <c r="A767" s="93" t="s">
        <v>2493</v>
      </c>
      <c r="B767" s="93" t="s">
        <v>2494</v>
      </c>
      <c r="C767" s="410">
        <v>3465</v>
      </c>
      <c r="D767" s="93" t="s">
        <v>9</v>
      </c>
      <c r="E767" s="93" t="s">
        <v>9</v>
      </c>
      <c r="F767" s="93" t="s">
        <v>1648</v>
      </c>
      <c r="G767" s="93" t="s">
        <v>9117</v>
      </c>
      <c r="H767" s="93" t="s">
        <v>1943</v>
      </c>
      <c r="I767" s="93" t="s">
        <v>111</v>
      </c>
      <c r="J767" s="93" t="s">
        <v>963</v>
      </c>
      <c r="K767" s="93">
        <v>60</v>
      </c>
      <c r="L767" s="93" t="s">
        <v>111</v>
      </c>
      <c r="M767" s="93">
        <v>4.9000000000000004</v>
      </c>
      <c r="N767" s="93" t="s">
        <v>113</v>
      </c>
      <c r="O767" s="93">
        <v>18.5</v>
      </c>
      <c r="P767" s="93">
        <v>29.5</v>
      </c>
      <c r="Q767" s="93">
        <v>32.5</v>
      </c>
      <c r="R767" s="93" t="s">
        <v>123</v>
      </c>
      <c r="S767" s="93" t="s">
        <v>111</v>
      </c>
      <c r="T767" s="93" t="s">
        <v>1659</v>
      </c>
      <c r="U767" s="93" t="s">
        <v>116</v>
      </c>
      <c r="V767" s="94">
        <v>44628.495833333334</v>
      </c>
      <c r="W767" s="93" t="s">
        <v>1170</v>
      </c>
      <c r="X767" s="93" t="s">
        <v>24</v>
      </c>
    </row>
    <row r="768" spans="1:24" hidden="1" x14ac:dyDescent="0.15">
      <c r="A768" s="93" t="s">
        <v>2495</v>
      </c>
      <c r="B768" s="93" t="s">
        <v>2496</v>
      </c>
      <c r="C768" s="410">
        <v>3465</v>
      </c>
      <c r="D768" s="93" t="s">
        <v>9</v>
      </c>
      <c r="E768" s="93" t="s">
        <v>9</v>
      </c>
      <c r="F768" s="93" t="s">
        <v>1648</v>
      </c>
      <c r="G768" s="93" t="s">
        <v>9117</v>
      </c>
      <c r="H768" s="93" t="s">
        <v>1943</v>
      </c>
      <c r="I768" s="93" t="s">
        <v>111</v>
      </c>
      <c r="J768" s="93" t="s">
        <v>963</v>
      </c>
      <c r="K768" s="93">
        <v>60</v>
      </c>
      <c r="L768" s="93" t="s">
        <v>111</v>
      </c>
      <c r="M768" s="93">
        <v>4.9000000000000004</v>
      </c>
      <c r="N768" s="93" t="s">
        <v>113</v>
      </c>
      <c r="O768" s="93">
        <v>18.5</v>
      </c>
      <c r="P768" s="93">
        <v>29.5</v>
      </c>
      <c r="Q768" s="93">
        <v>32.5</v>
      </c>
      <c r="R768" s="93" t="s">
        <v>123</v>
      </c>
      <c r="S768" s="93" t="s">
        <v>111</v>
      </c>
      <c r="T768" s="93" t="s">
        <v>1659</v>
      </c>
      <c r="U768" s="93" t="s">
        <v>116</v>
      </c>
      <c r="V768" s="94">
        <v>44628.495833333334</v>
      </c>
      <c r="W768" s="93" t="s">
        <v>1170</v>
      </c>
      <c r="X768" s="93" t="s">
        <v>24</v>
      </c>
    </row>
    <row r="769" spans="1:24" hidden="1" x14ac:dyDescent="0.15">
      <c r="A769" s="93" t="s">
        <v>2497</v>
      </c>
      <c r="B769" s="93" t="s">
        <v>2498</v>
      </c>
      <c r="C769" s="410">
        <v>3465</v>
      </c>
      <c r="D769" s="93" t="s">
        <v>9</v>
      </c>
      <c r="E769" s="93" t="s">
        <v>9</v>
      </c>
      <c r="F769" s="93" t="s">
        <v>1648</v>
      </c>
      <c r="G769" s="93" t="s">
        <v>9117</v>
      </c>
      <c r="H769" s="93" t="s">
        <v>1943</v>
      </c>
      <c r="I769" s="93" t="s">
        <v>111</v>
      </c>
      <c r="J769" s="93" t="s">
        <v>963</v>
      </c>
      <c r="K769" s="93">
        <v>60</v>
      </c>
      <c r="L769" s="93" t="s">
        <v>111</v>
      </c>
      <c r="M769" s="93">
        <v>4.9000000000000004</v>
      </c>
      <c r="N769" s="93" t="s">
        <v>113</v>
      </c>
      <c r="O769" s="93">
        <v>18.5</v>
      </c>
      <c r="P769" s="93">
        <v>29.5</v>
      </c>
      <c r="Q769" s="93">
        <v>32.5</v>
      </c>
      <c r="R769" s="93" t="s">
        <v>123</v>
      </c>
      <c r="S769" s="93" t="s">
        <v>111</v>
      </c>
      <c r="T769" s="93" t="s">
        <v>1659</v>
      </c>
      <c r="U769" s="93" t="s">
        <v>116</v>
      </c>
      <c r="V769" s="94">
        <v>44628.604861111111</v>
      </c>
      <c r="W769" s="93" t="s">
        <v>1170</v>
      </c>
      <c r="X769" s="93" t="s">
        <v>24</v>
      </c>
    </row>
    <row r="770" spans="1:24" hidden="1" x14ac:dyDescent="0.15">
      <c r="A770" s="93" t="s">
        <v>2499</v>
      </c>
      <c r="B770" s="93" t="s">
        <v>2500</v>
      </c>
      <c r="C770" s="410">
        <v>3465</v>
      </c>
      <c r="D770" s="93" t="s">
        <v>9</v>
      </c>
      <c r="E770" s="93" t="s">
        <v>9</v>
      </c>
      <c r="F770" s="93" t="s">
        <v>1648</v>
      </c>
      <c r="G770" s="93" t="s">
        <v>9117</v>
      </c>
      <c r="H770" s="93" t="s">
        <v>1943</v>
      </c>
      <c r="I770" s="93" t="s">
        <v>111</v>
      </c>
      <c r="J770" s="93" t="s">
        <v>963</v>
      </c>
      <c r="K770" s="93">
        <v>60</v>
      </c>
      <c r="L770" s="93" t="s">
        <v>111</v>
      </c>
      <c r="M770" s="93">
        <v>4.9000000000000004</v>
      </c>
      <c r="N770" s="93" t="s">
        <v>113</v>
      </c>
      <c r="O770" s="93">
        <v>18.5</v>
      </c>
      <c r="P770" s="93">
        <v>29.5</v>
      </c>
      <c r="Q770" s="93">
        <v>32.5</v>
      </c>
      <c r="R770" s="93" t="s">
        <v>123</v>
      </c>
      <c r="S770" s="93" t="s">
        <v>111</v>
      </c>
      <c r="T770" s="93" t="s">
        <v>1659</v>
      </c>
      <c r="U770" s="93" t="s">
        <v>116</v>
      </c>
      <c r="V770" s="94">
        <v>44628.561111111114</v>
      </c>
      <c r="W770" s="93" t="s">
        <v>1170</v>
      </c>
      <c r="X770" s="93" t="s">
        <v>24</v>
      </c>
    </row>
    <row r="771" spans="1:24" hidden="1" x14ac:dyDescent="0.15">
      <c r="A771" s="93" t="s">
        <v>2501</v>
      </c>
      <c r="B771" s="93" t="s">
        <v>2502</v>
      </c>
      <c r="C771" s="410">
        <v>3465</v>
      </c>
      <c r="D771" s="93" t="s">
        <v>9</v>
      </c>
      <c r="E771" s="93" t="s">
        <v>9</v>
      </c>
      <c r="F771" s="93" t="s">
        <v>1648</v>
      </c>
      <c r="G771" s="93" t="s">
        <v>9117</v>
      </c>
      <c r="H771" s="93" t="s">
        <v>1943</v>
      </c>
      <c r="I771" s="93" t="s">
        <v>111</v>
      </c>
      <c r="J771" s="93" t="s">
        <v>963</v>
      </c>
      <c r="K771" s="93">
        <v>60</v>
      </c>
      <c r="L771" s="93" t="s">
        <v>111</v>
      </c>
      <c r="M771" s="93">
        <v>4.9000000000000004</v>
      </c>
      <c r="N771" s="93" t="s">
        <v>113</v>
      </c>
      <c r="O771" s="93">
        <v>18.5</v>
      </c>
      <c r="P771" s="93">
        <v>29.5</v>
      </c>
      <c r="Q771" s="93">
        <v>32.5</v>
      </c>
      <c r="R771" s="93" t="s">
        <v>123</v>
      </c>
      <c r="S771" s="93" t="s">
        <v>111</v>
      </c>
      <c r="T771" s="93" t="s">
        <v>1659</v>
      </c>
      <c r="U771" s="93" t="s">
        <v>116</v>
      </c>
      <c r="V771" s="94">
        <v>44628.63958333333</v>
      </c>
      <c r="W771" s="93" t="s">
        <v>1170</v>
      </c>
      <c r="X771" s="93" t="s">
        <v>24</v>
      </c>
    </row>
    <row r="772" spans="1:24" hidden="1" x14ac:dyDescent="0.15">
      <c r="A772" s="93" t="s">
        <v>2503</v>
      </c>
      <c r="B772" s="93" t="s">
        <v>2504</v>
      </c>
      <c r="C772" s="410">
        <v>3465</v>
      </c>
      <c r="D772" s="93" t="s">
        <v>9</v>
      </c>
      <c r="E772" s="93" t="s">
        <v>9</v>
      </c>
      <c r="F772" s="93" t="s">
        <v>1648</v>
      </c>
      <c r="G772" s="93" t="s">
        <v>9117</v>
      </c>
      <c r="H772" s="93" t="s">
        <v>1943</v>
      </c>
      <c r="I772" s="93" t="s">
        <v>111</v>
      </c>
      <c r="J772" s="93" t="s">
        <v>963</v>
      </c>
      <c r="K772" s="93">
        <v>60</v>
      </c>
      <c r="L772" s="93" t="s">
        <v>111</v>
      </c>
      <c r="M772" s="93">
        <v>4.9000000000000004</v>
      </c>
      <c r="N772" s="93" t="s">
        <v>113</v>
      </c>
      <c r="O772" s="93">
        <v>18.5</v>
      </c>
      <c r="P772" s="93">
        <v>29.5</v>
      </c>
      <c r="Q772" s="93">
        <v>32.5</v>
      </c>
      <c r="R772" s="93" t="s">
        <v>123</v>
      </c>
      <c r="S772" s="93" t="s">
        <v>111</v>
      </c>
      <c r="T772" s="93" t="s">
        <v>1659</v>
      </c>
      <c r="U772" s="93" t="s">
        <v>116</v>
      </c>
      <c r="V772" s="94">
        <v>44628.474999999999</v>
      </c>
      <c r="W772" s="93" t="s">
        <v>1170</v>
      </c>
      <c r="X772" s="93" t="s">
        <v>24</v>
      </c>
    </row>
    <row r="773" spans="1:24" hidden="1" x14ac:dyDescent="0.15">
      <c r="A773" s="93" t="s">
        <v>2505</v>
      </c>
      <c r="B773" s="93" t="s">
        <v>2506</v>
      </c>
      <c r="C773" s="410">
        <v>3465</v>
      </c>
      <c r="D773" s="93" t="s">
        <v>9</v>
      </c>
      <c r="E773" s="93" t="s">
        <v>9</v>
      </c>
      <c r="F773" s="93" t="s">
        <v>1648</v>
      </c>
      <c r="G773" s="93" t="s">
        <v>9117</v>
      </c>
      <c r="H773" s="93" t="s">
        <v>1943</v>
      </c>
      <c r="I773" s="93" t="s">
        <v>111</v>
      </c>
      <c r="J773" s="93" t="s">
        <v>963</v>
      </c>
      <c r="K773" s="93">
        <v>60</v>
      </c>
      <c r="L773" s="93" t="s">
        <v>111</v>
      </c>
      <c r="M773" s="93">
        <v>4.9000000000000004</v>
      </c>
      <c r="N773" s="93" t="s">
        <v>113</v>
      </c>
      <c r="O773" s="93">
        <v>18.5</v>
      </c>
      <c r="P773" s="93">
        <v>29.5</v>
      </c>
      <c r="Q773" s="93">
        <v>32.5</v>
      </c>
      <c r="R773" s="93" t="s">
        <v>123</v>
      </c>
      <c r="S773" s="93" t="s">
        <v>111</v>
      </c>
      <c r="T773" s="93" t="s">
        <v>1659</v>
      </c>
      <c r="U773" s="93" t="s">
        <v>116</v>
      </c>
      <c r="V773" s="94">
        <v>44628.495833333334</v>
      </c>
      <c r="W773" s="93" t="s">
        <v>1170</v>
      </c>
      <c r="X773" s="93" t="s">
        <v>24</v>
      </c>
    </row>
    <row r="774" spans="1:24" hidden="1" x14ac:dyDescent="0.15">
      <c r="A774" s="93" t="s">
        <v>2507</v>
      </c>
      <c r="B774" s="93" t="s">
        <v>2508</v>
      </c>
      <c r="C774" s="410">
        <v>3465</v>
      </c>
      <c r="D774" s="93" t="s">
        <v>9</v>
      </c>
      <c r="E774" s="93" t="s">
        <v>9</v>
      </c>
      <c r="F774" s="93" t="s">
        <v>1648</v>
      </c>
      <c r="G774" s="93" t="s">
        <v>9117</v>
      </c>
      <c r="H774" s="93" t="s">
        <v>1943</v>
      </c>
      <c r="I774" s="93" t="s">
        <v>111</v>
      </c>
      <c r="J774" s="93" t="s">
        <v>963</v>
      </c>
      <c r="K774" s="93">
        <v>60</v>
      </c>
      <c r="L774" s="93" t="s">
        <v>111</v>
      </c>
      <c r="M774" s="93">
        <v>4.9000000000000004</v>
      </c>
      <c r="N774" s="93" t="s">
        <v>113</v>
      </c>
      <c r="O774" s="93">
        <v>18.5</v>
      </c>
      <c r="P774" s="93">
        <v>29.5</v>
      </c>
      <c r="Q774" s="93">
        <v>32.5</v>
      </c>
      <c r="R774" s="93" t="s">
        <v>123</v>
      </c>
      <c r="S774" s="93" t="s">
        <v>111</v>
      </c>
      <c r="T774" s="93" t="s">
        <v>1659</v>
      </c>
      <c r="U774" s="93" t="s">
        <v>116</v>
      </c>
      <c r="V774" s="94">
        <v>44628.474999999999</v>
      </c>
      <c r="W774" s="93" t="s">
        <v>1170</v>
      </c>
      <c r="X774" s="93" t="s">
        <v>24</v>
      </c>
    </row>
    <row r="775" spans="1:24" hidden="1" x14ac:dyDescent="0.15">
      <c r="A775" s="93" t="s">
        <v>2509</v>
      </c>
      <c r="B775" s="93" t="s">
        <v>2510</v>
      </c>
      <c r="C775" s="410">
        <v>3465</v>
      </c>
      <c r="D775" s="93" t="s">
        <v>9</v>
      </c>
      <c r="E775" s="93" t="s">
        <v>9</v>
      </c>
      <c r="F775" s="93" t="s">
        <v>1648</v>
      </c>
      <c r="G775" s="93" t="s">
        <v>9117</v>
      </c>
      <c r="H775" s="93" t="s">
        <v>1943</v>
      </c>
      <c r="I775" s="93" t="s">
        <v>111</v>
      </c>
      <c r="J775" s="93" t="s">
        <v>963</v>
      </c>
      <c r="K775" s="93">
        <v>60</v>
      </c>
      <c r="L775" s="93" t="s">
        <v>111</v>
      </c>
      <c r="M775" s="93">
        <v>4.9000000000000004</v>
      </c>
      <c r="N775" s="93" t="s">
        <v>113</v>
      </c>
      <c r="O775" s="93">
        <v>18.5</v>
      </c>
      <c r="P775" s="93">
        <v>29.5</v>
      </c>
      <c r="Q775" s="93">
        <v>32.5</v>
      </c>
      <c r="R775" s="93" t="s">
        <v>123</v>
      </c>
      <c r="S775" s="93" t="s">
        <v>111</v>
      </c>
      <c r="T775" s="93" t="s">
        <v>1659</v>
      </c>
      <c r="U775" s="93" t="s">
        <v>116</v>
      </c>
      <c r="V775" s="94">
        <v>44628.495833333334</v>
      </c>
      <c r="W775" s="93" t="s">
        <v>1170</v>
      </c>
      <c r="X775" s="93" t="s">
        <v>24</v>
      </c>
    </row>
    <row r="776" spans="1:24" hidden="1" x14ac:dyDescent="0.15">
      <c r="A776" s="93" t="s">
        <v>2511</v>
      </c>
      <c r="B776" s="93" t="s">
        <v>2512</v>
      </c>
      <c r="C776" s="410">
        <v>3465</v>
      </c>
      <c r="D776" s="93" t="s">
        <v>9</v>
      </c>
      <c r="E776" s="93" t="s">
        <v>9</v>
      </c>
      <c r="F776" s="93" t="s">
        <v>1648</v>
      </c>
      <c r="G776" s="93" t="s">
        <v>9117</v>
      </c>
      <c r="H776" s="93" t="s">
        <v>1943</v>
      </c>
      <c r="I776" s="93" t="s">
        <v>111</v>
      </c>
      <c r="J776" s="93" t="s">
        <v>963</v>
      </c>
      <c r="K776" s="93">
        <v>60</v>
      </c>
      <c r="L776" s="93" t="s">
        <v>111</v>
      </c>
      <c r="M776" s="93">
        <v>4.9000000000000004</v>
      </c>
      <c r="N776" s="93" t="s">
        <v>113</v>
      </c>
      <c r="O776" s="93">
        <v>18.5</v>
      </c>
      <c r="P776" s="93">
        <v>29.5</v>
      </c>
      <c r="Q776" s="93">
        <v>32.5</v>
      </c>
      <c r="R776" s="93" t="s">
        <v>123</v>
      </c>
      <c r="S776" s="93" t="s">
        <v>111</v>
      </c>
      <c r="T776" s="93" t="s">
        <v>1659</v>
      </c>
      <c r="U776" s="93" t="s">
        <v>116</v>
      </c>
      <c r="V776" s="94">
        <v>44628.495833333334</v>
      </c>
      <c r="W776" s="93" t="s">
        <v>1170</v>
      </c>
      <c r="X776" s="93" t="s">
        <v>24</v>
      </c>
    </row>
    <row r="777" spans="1:24" hidden="1" x14ac:dyDescent="0.15">
      <c r="A777" s="93" t="s">
        <v>2513</v>
      </c>
      <c r="B777" s="93" t="s">
        <v>2514</v>
      </c>
      <c r="C777" s="410">
        <v>3465</v>
      </c>
      <c r="D777" s="93" t="s">
        <v>9</v>
      </c>
      <c r="E777" s="93" t="s">
        <v>9</v>
      </c>
      <c r="F777" s="93" t="s">
        <v>1648</v>
      </c>
      <c r="G777" s="93" t="s">
        <v>9117</v>
      </c>
      <c r="H777" s="93" t="s">
        <v>1943</v>
      </c>
      <c r="I777" s="93" t="s">
        <v>111</v>
      </c>
      <c r="J777" s="93" t="s">
        <v>963</v>
      </c>
      <c r="K777" s="93">
        <v>60</v>
      </c>
      <c r="L777" s="93" t="s">
        <v>111</v>
      </c>
      <c r="M777" s="93">
        <v>4.9000000000000004</v>
      </c>
      <c r="N777" s="93" t="s">
        <v>113</v>
      </c>
      <c r="O777" s="93">
        <v>18.5</v>
      </c>
      <c r="P777" s="93">
        <v>29.5</v>
      </c>
      <c r="Q777" s="93">
        <v>32.5</v>
      </c>
      <c r="R777" s="93" t="s">
        <v>123</v>
      </c>
      <c r="S777" s="93" t="s">
        <v>111</v>
      </c>
      <c r="T777" s="93" t="s">
        <v>1659</v>
      </c>
      <c r="U777" s="93" t="s">
        <v>116</v>
      </c>
      <c r="V777" s="94">
        <v>44628.495833333334</v>
      </c>
      <c r="W777" s="93" t="s">
        <v>1170</v>
      </c>
      <c r="X777" s="93" t="s">
        <v>24</v>
      </c>
    </row>
    <row r="778" spans="1:24" hidden="1" x14ac:dyDescent="0.15">
      <c r="A778" s="93" t="s">
        <v>2515</v>
      </c>
      <c r="B778" s="93" t="s">
        <v>2516</v>
      </c>
      <c r="C778" s="410">
        <v>3465</v>
      </c>
      <c r="D778" s="93" t="s">
        <v>9</v>
      </c>
      <c r="E778" s="93" t="s">
        <v>9</v>
      </c>
      <c r="F778" s="93" t="s">
        <v>1648</v>
      </c>
      <c r="G778" s="93" t="s">
        <v>9117</v>
      </c>
      <c r="H778" s="93" t="s">
        <v>1943</v>
      </c>
      <c r="I778" s="93" t="s">
        <v>111</v>
      </c>
      <c r="J778" s="93" t="s">
        <v>963</v>
      </c>
      <c r="K778" s="93">
        <v>60</v>
      </c>
      <c r="L778" s="93" t="s">
        <v>111</v>
      </c>
      <c r="M778" s="93">
        <v>4.9000000000000004</v>
      </c>
      <c r="N778" s="93" t="s">
        <v>113</v>
      </c>
      <c r="O778" s="93">
        <v>18.5</v>
      </c>
      <c r="P778" s="93">
        <v>29.5</v>
      </c>
      <c r="Q778" s="93">
        <v>32.5</v>
      </c>
      <c r="R778" s="93" t="s">
        <v>123</v>
      </c>
      <c r="S778" s="93" t="s">
        <v>111</v>
      </c>
      <c r="T778" s="93" t="s">
        <v>1659</v>
      </c>
      <c r="U778" s="93" t="s">
        <v>116</v>
      </c>
      <c r="V778" s="94">
        <v>44628.604861111111</v>
      </c>
      <c r="W778" s="93" t="s">
        <v>1170</v>
      </c>
      <c r="X778" s="93" t="s">
        <v>24</v>
      </c>
    </row>
    <row r="779" spans="1:24" hidden="1" x14ac:dyDescent="0.15">
      <c r="A779" s="93" t="s">
        <v>2517</v>
      </c>
      <c r="B779" s="93" t="s">
        <v>2518</v>
      </c>
      <c r="C779" s="410">
        <v>3465</v>
      </c>
      <c r="D779" s="93" t="s">
        <v>9</v>
      </c>
      <c r="E779" s="93" t="s">
        <v>9</v>
      </c>
      <c r="F779" s="93" t="s">
        <v>1648</v>
      </c>
      <c r="G779" s="93" t="s">
        <v>9117</v>
      </c>
      <c r="H779" s="93" t="s">
        <v>1943</v>
      </c>
      <c r="I779" s="93" t="s">
        <v>111</v>
      </c>
      <c r="J779" s="93" t="s">
        <v>963</v>
      </c>
      <c r="K779" s="93">
        <v>60</v>
      </c>
      <c r="L779" s="93" t="s">
        <v>111</v>
      </c>
      <c r="M779" s="93">
        <v>4.9000000000000004</v>
      </c>
      <c r="N779" s="93" t="s">
        <v>113</v>
      </c>
      <c r="O779" s="93">
        <v>18.5</v>
      </c>
      <c r="P779" s="93">
        <v>29.5</v>
      </c>
      <c r="Q779" s="93">
        <v>32.5</v>
      </c>
      <c r="R779" s="93" t="s">
        <v>123</v>
      </c>
      <c r="S779" s="93" t="s">
        <v>111</v>
      </c>
      <c r="T779" s="93" t="s">
        <v>1659</v>
      </c>
      <c r="U779" s="93" t="s">
        <v>116</v>
      </c>
      <c r="V779" s="94">
        <v>44628.539583333331</v>
      </c>
      <c r="W779" s="93" t="s">
        <v>1170</v>
      </c>
      <c r="X779" s="93" t="s">
        <v>24</v>
      </c>
    </row>
    <row r="780" spans="1:24" hidden="1" x14ac:dyDescent="0.15">
      <c r="A780" s="93" t="s">
        <v>2519</v>
      </c>
      <c r="B780" s="93" t="s">
        <v>2520</v>
      </c>
      <c r="C780" s="410">
        <v>3465</v>
      </c>
      <c r="D780" s="93" t="s">
        <v>9</v>
      </c>
      <c r="E780" s="93" t="s">
        <v>9</v>
      </c>
      <c r="F780" s="93" t="s">
        <v>1648</v>
      </c>
      <c r="G780" s="93" t="s">
        <v>9117</v>
      </c>
      <c r="H780" s="93" t="s">
        <v>1943</v>
      </c>
      <c r="I780" s="93" t="s">
        <v>111</v>
      </c>
      <c r="J780" s="93" t="s">
        <v>963</v>
      </c>
      <c r="K780" s="93">
        <v>60</v>
      </c>
      <c r="L780" s="93" t="s">
        <v>111</v>
      </c>
      <c r="M780" s="93">
        <v>4.9000000000000004</v>
      </c>
      <c r="N780" s="93" t="s">
        <v>113</v>
      </c>
      <c r="O780" s="93">
        <v>18.5</v>
      </c>
      <c r="P780" s="93">
        <v>29.5</v>
      </c>
      <c r="Q780" s="93">
        <v>32.5</v>
      </c>
      <c r="R780" s="93" t="s">
        <v>123</v>
      </c>
      <c r="S780" s="93" t="s">
        <v>111</v>
      </c>
      <c r="T780" s="93" t="s">
        <v>1659</v>
      </c>
      <c r="U780" s="93" t="s">
        <v>116</v>
      </c>
      <c r="V780" s="94">
        <v>44628.518055555556</v>
      </c>
      <c r="W780" s="93" t="s">
        <v>1170</v>
      </c>
      <c r="X780" s="93" t="s">
        <v>24</v>
      </c>
    </row>
    <row r="781" spans="1:24" hidden="1" x14ac:dyDescent="0.15">
      <c r="A781" s="93" t="s">
        <v>2521</v>
      </c>
      <c r="B781" s="93" t="s">
        <v>2522</v>
      </c>
      <c r="C781" s="410">
        <v>3465</v>
      </c>
      <c r="D781" s="93" t="s">
        <v>9</v>
      </c>
      <c r="E781" s="93" t="s">
        <v>9</v>
      </c>
      <c r="F781" s="93" t="s">
        <v>1648</v>
      </c>
      <c r="G781" s="93" t="s">
        <v>9117</v>
      </c>
      <c r="H781" s="93" t="s">
        <v>1943</v>
      </c>
      <c r="I781" s="93" t="s">
        <v>111</v>
      </c>
      <c r="J781" s="93" t="s">
        <v>963</v>
      </c>
      <c r="K781" s="93">
        <v>60</v>
      </c>
      <c r="L781" s="93" t="s">
        <v>111</v>
      </c>
      <c r="M781" s="93">
        <v>4.9000000000000004</v>
      </c>
      <c r="N781" s="93" t="s">
        <v>113</v>
      </c>
      <c r="O781" s="93">
        <v>18.5</v>
      </c>
      <c r="P781" s="93">
        <v>29.5</v>
      </c>
      <c r="Q781" s="93">
        <v>32.5</v>
      </c>
      <c r="R781" s="93" t="s">
        <v>123</v>
      </c>
      <c r="S781" s="93" t="s">
        <v>111</v>
      </c>
      <c r="T781" s="93" t="s">
        <v>1659</v>
      </c>
      <c r="U781" s="93" t="s">
        <v>116</v>
      </c>
      <c r="V781" s="94">
        <v>44628.474999999999</v>
      </c>
      <c r="W781" s="93" t="s">
        <v>1170</v>
      </c>
      <c r="X781" s="93" t="s">
        <v>24</v>
      </c>
    </row>
    <row r="782" spans="1:24" hidden="1" x14ac:dyDescent="0.15">
      <c r="A782" s="93" t="s">
        <v>2523</v>
      </c>
      <c r="B782" s="93" t="s">
        <v>2524</v>
      </c>
      <c r="C782" s="410">
        <v>3465</v>
      </c>
      <c r="D782" s="93" t="s">
        <v>9</v>
      </c>
      <c r="E782" s="93" t="s">
        <v>9</v>
      </c>
      <c r="F782" s="93" t="s">
        <v>1648</v>
      </c>
      <c r="G782" s="93" t="s">
        <v>9117</v>
      </c>
      <c r="H782" s="93" t="s">
        <v>1943</v>
      </c>
      <c r="I782" s="93" t="s">
        <v>111</v>
      </c>
      <c r="J782" s="93" t="s">
        <v>963</v>
      </c>
      <c r="K782" s="93">
        <v>60</v>
      </c>
      <c r="L782" s="93" t="s">
        <v>111</v>
      </c>
      <c r="M782" s="93">
        <v>4.9000000000000004</v>
      </c>
      <c r="N782" s="93" t="s">
        <v>113</v>
      </c>
      <c r="O782" s="93">
        <v>18.5</v>
      </c>
      <c r="P782" s="93">
        <v>29.5</v>
      </c>
      <c r="Q782" s="93">
        <v>32.5</v>
      </c>
      <c r="R782" s="93" t="s">
        <v>123</v>
      </c>
      <c r="S782" s="93" t="s">
        <v>111</v>
      </c>
      <c r="T782" s="93" t="s">
        <v>1659</v>
      </c>
      <c r="U782" s="93" t="s">
        <v>116</v>
      </c>
      <c r="V782" s="94">
        <v>44628.495833333334</v>
      </c>
      <c r="W782" s="93" t="s">
        <v>1170</v>
      </c>
      <c r="X782" s="93" t="s">
        <v>24</v>
      </c>
    </row>
    <row r="783" spans="1:24" hidden="1" x14ac:dyDescent="0.15">
      <c r="A783" s="93" t="s">
        <v>2525</v>
      </c>
      <c r="B783" s="93" t="s">
        <v>2526</v>
      </c>
      <c r="C783" s="410">
        <v>3465</v>
      </c>
      <c r="D783" s="93" t="s">
        <v>9</v>
      </c>
      <c r="E783" s="93" t="s">
        <v>9</v>
      </c>
      <c r="F783" s="93" t="s">
        <v>1648</v>
      </c>
      <c r="G783" s="93" t="s">
        <v>9117</v>
      </c>
      <c r="H783" s="93" t="s">
        <v>1943</v>
      </c>
      <c r="I783" s="93" t="s">
        <v>111</v>
      </c>
      <c r="J783" s="93" t="s">
        <v>963</v>
      </c>
      <c r="K783" s="93">
        <v>60</v>
      </c>
      <c r="L783" s="93" t="s">
        <v>111</v>
      </c>
      <c r="M783" s="93">
        <v>4.9000000000000004</v>
      </c>
      <c r="N783" s="93" t="s">
        <v>113</v>
      </c>
      <c r="O783" s="93">
        <v>18.5</v>
      </c>
      <c r="P783" s="93">
        <v>29.5</v>
      </c>
      <c r="Q783" s="93">
        <v>32.5</v>
      </c>
      <c r="R783" s="93" t="s">
        <v>123</v>
      </c>
      <c r="S783" s="93" t="s">
        <v>111</v>
      </c>
      <c r="T783" s="93" t="s">
        <v>1659</v>
      </c>
      <c r="U783" s="93" t="s">
        <v>116</v>
      </c>
      <c r="V783" s="94">
        <v>44628.582638888889</v>
      </c>
      <c r="W783" s="93" t="s">
        <v>1170</v>
      </c>
      <c r="X783" s="93" t="s">
        <v>24</v>
      </c>
    </row>
    <row r="784" spans="1:24" hidden="1" x14ac:dyDescent="0.15">
      <c r="A784" s="93" t="s">
        <v>2527</v>
      </c>
      <c r="B784" s="93" t="s">
        <v>2528</v>
      </c>
      <c r="C784" s="410">
        <v>3465</v>
      </c>
      <c r="D784" s="93" t="s">
        <v>9</v>
      </c>
      <c r="E784" s="93" t="s">
        <v>9</v>
      </c>
      <c r="F784" s="93" t="s">
        <v>1648</v>
      </c>
      <c r="G784" s="93" t="s">
        <v>9117</v>
      </c>
      <c r="H784" s="93" t="s">
        <v>1943</v>
      </c>
      <c r="I784" s="93" t="s">
        <v>111</v>
      </c>
      <c r="J784" s="93" t="s">
        <v>963</v>
      </c>
      <c r="K784" s="93">
        <v>60</v>
      </c>
      <c r="L784" s="93" t="s">
        <v>111</v>
      </c>
      <c r="M784" s="93">
        <v>4.9000000000000004</v>
      </c>
      <c r="N784" s="93" t="s">
        <v>113</v>
      </c>
      <c r="O784" s="93">
        <v>18.5</v>
      </c>
      <c r="P784" s="93">
        <v>29.5</v>
      </c>
      <c r="Q784" s="93">
        <v>32.5</v>
      </c>
      <c r="R784" s="93" t="s">
        <v>123</v>
      </c>
      <c r="S784" s="93" t="s">
        <v>111</v>
      </c>
      <c r="T784" s="93" t="s">
        <v>1659</v>
      </c>
      <c r="U784" s="93" t="s">
        <v>116</v>
      </c>
      <c r="V784" s="94">
        <v>44628.539583333331</v>
      </c>
      <c r="W784" s="93" t="s">
        <v>1170</v>
      </c>
      <c r="X784" s="93" t="s">
        <v>24</v>
      </c>
    </row>
    <row r="785" spans="1:24" hidden="1" x14ac:dyDescent="0.15">
      <c r="A785" s="93" t="s">
        <v>2529</v>
      </c>
      <c r="B785" s="93" t="s">
        <v>2530</v>
      </c>
      <c r="C785" s="410">
        <v>3465</v>
      </c>
      <c r="D785" s="93" t="s">
        <v>9</v>
      </c>
      <c r="E785" s="93" t="s">
        <v>9</v>
      </c>
      <c r="F785" s="93" t="s">
        <v>1648</v>
      </c>
      <c r="G785" s="93" t="s">
        <v>9117</v>
      </c>
      <c r="H785" s="93" t="s">
        <v>1943</v>
      </c>
      <c r="I785" s="93" t="s">
        <v>111</v>
      </c>
      <c r="J785" s="93" t="s">
        <v>963</v>
      </c>
      <c r="K785" s="93">
        <v>60</v>
      </c>
      <c r="L785" s="93" t="s">
        <v>111</v>
      </c>
      <c r="M785" s="93">
        <v>4.9000000000000004</v>
      </c>
      <c r="N785" s="93" t="s">
        <v>113</v>
      </c>
      <c r="O785" s="93">
        <v>18.5</v>
      </c>
      <c r="P785" s="93">
        <v>29.5</v>
      </c>
      <c r="Q785" s="93">
        <v>32.5</v>
      </c>
      <c r="R785" s="93" t="s">
        <v>123</v>
      </c>
      <c r="S785" s="93" t="s">
        <v>111</v>
      </c>
      <c r="T785" s="93" t="s">
        <v>1659</v>
      </c>
      <c r="U785" s="93" t="s">
        <v>116</v>
      </c>
      <c r="V785" s="94">
        <v>44628.582638888889</v>
      </c>
      <c r="W785" s="93" t="s">
        <v>1170</v>
      </c>
      <c r="X785" s="93" t="s">
        <v>24</v>
      </c>
    </row>
    <row r="786" spans="1:24" hidden="1" x14ac:dyDescent="0.15">
      <c r="A786" s="93" t="s">
        <v>2531</v>
      </c>
      <c r="B786" s="93" t="s">
        <v>2532</v>
      </c>
      <c r="C786" s="410">
        <v>3465</v>
      </c>
      <c r="D786" s="93" t="s">
        <v>9</v>
      </c>
      <c r="E786" s="93" t="s">
        <v>9</v>
      </c>
      <c r="F786" s="93" t="s">
        <v>1648</v>
      </c>
      <c r="G786" s="93" t="s">
        <v>9117</v>
      </c>
      <c r="H786" s="93" t="s">
        <v>1943</v>
      </c>
      <c r="I786" s="93" t="s">
        <v>111</v>
      </c>
      <c r="J786" s="93" t="s">
        <v>963</v>
      </c>
      <c r="K786" s="93">
        <v>60</v>
      </c>
      <c r="L786" s="93" t="s">
        <v>111</v>
      </c>
      <c r="M786" s="93">
        <v>4.9000000000000004</v>
      </c>
      <c r="N786" s="93" t="s">
        <v>113</v>
      </c>
      <c r="O786" s="93">
        <v>18.5</v>
      </c>
      <c r="P786" s="93">
        <v>29.5</v>
      </c>
      <c r="Q786" s="93">
        <v>32.5</v>
      </c>
      <c r="R786" s="93" t="s">
        <v>123</v>
      </c>
      <c r="S786" s="93" t="s">
        <v>111</v>
      </c>
      <c r="T786" s="93" t="s">
        <v>1659</v>
      </c>
      <c r="U786" s="93" t="s">
        <v>116</v>
      </c>
      <c r="V786" s="94">
        <v>44628.561111111114</v>
      </c>
      <c r="W786" s="93" t="s">
        <v>1170</v>
      </c>
      <c r="X786" s="93" t="s">
        <v>24</v>
      </c>
    </row>
    <row r="787" spans="1:24" hidden="1" x14ac:dyDescent="0.15">
      <c r="A787" s="93" t="s">
        <v>2533</v>
      </c>
      <c r="B787" s="93" t="s">
        <v>2534</v>
      </c>
      <c r="C787" s="410">
        <v>3465</v>
      </c>
      <c r="D787" s="93" t="s">
        <v>9</v>
      </c>
      <c r="E787" s="93" t="s">
        <v>9</v>
      </c>
      <c r="F787" s="93" t="s">
        <v>1648</v>
      </c>
      <c r="G787" s="93" t="s">
        <v>9117</v>
      </c>
      <c r="H787" s="93" t="s">
        <v>1943</v>
      </c>
      <c r="I787" s="93" t="s">
        <v>111</v>
      </c>
      <c r="J787" s="93" t="s">
        <v>963</v>
      </c>
      <c r="K787" s="93">
        <v>60</v>
      </c>
      <c r="L787" s="93" t="s">
        <v>111</v>
      </c>
      <c r="M787" s="93">
        <v>4.9000000000000004</v>
      </c>
      <c r="N787" s="93" t="s">
        <v>113</v>
      </c>
      <c r="O787" s="93">
        <v>18.5</v>
      </c>
      <c r="P787" s="93">
        <v>29.5</v>
      </c>
      <c r="Q787" s="93">
        <v>32.5</v>
      </c>
      <c r="R787" s="93" t="s">
        <v>123</v>
      </c>
      <c r="S787" s="93" t="s">
        <v>111</v>
      </c>
      <c r="T787" s="93" t="s">
        <v>1659</v>
      </c>
      <c r="U787" s="93" t="s">
        <v>116</v>
      </c>
      <c r="V787" s="94">
        <v>44628.63958333333</v>
      </c>
      <c r="W787" s="93" t="s">
        <v>1170</v>
      </c>
      <c r="X787" s="93" t="s">
        <v>24</v>
      </c>
    </row>
    <row r="788" spans="1:24" hidden="1" x14ac:dyDescent="0.15">
      <c r="A788" s="93" t="s">
        <v>2535</v>
      </c>
      <c r="B788" s="93" t="s">
        <v>2536</v>
      </c>
      <c r="C788" s="410">
        <v>3465</v>
      </c>
      <c r="D788" s="93" t="s">
        <v>9</v>
      </c>
      <c r="E788" s="93" t="s">
        <v>9</v>
      </c>
      <c r="F788" s="93" t="s">
        <v>1648</v>
      </c>
      <c r="G788" s="93" t="s">
        <v>9117</v>
      </c>
      <c r="H788" s="93" t="s">
        <v>1943</v>
      </c>
      <c r="I788" s="93" t="s">
        <v>111</v>
      </c>
      <c r="J788" s="93" t="s">
        <v>963</v>
      </c>
      <c r="K788" s="93">
        <v>60</v>
      </c>
      <c r="L788" s="93" t="s">
        <v>111</v>
      </c>
      <c r="M788" s="93">
        <v>4.9000000000000004</v>
      </c>
      <c r="N788" s="93" t="s">
        <v>113</v>
      </c>
      <c r="O788" s="93">
        <v>18.5</v>
      </c>
      <c r="P788" s="93">
        <v>29.5</v>
      </c>
      <c r="Q788" s="93">
        <v>32.5</v>
      </c>
      <c r="R788" s="93" t="s">
        <v>123</v>
      </c>
      <c r="S788" s="93" t="s">
        <v>111</v>
      </c>
      <c r="T788" s="93" t="s">
        <v>1659</v>
      </c>
      <c r="U788" s="93" t="s">
        <v>116</v>
      </c>
      <c r="V788" s="94">
        <v>44628.561111111114</v>
      </c>
      <c r="W788" s="93" t="s">
        <v>1170</v>
      </c>
      <c r="X788" s="93" t="s">
        <v>24</v>
      </c>
    </row>
    <row r="789" spans="1:24" hidden="1" x14ac:dyDescent="0.15">
      <c r="A789" s="93" t="s">
        <v>2537</v>
      </c>
      <c r="B789" s="93" t="s">
        <v>2538</v>
      </c>
      <c r="C789" s="410">
        <v>3465</v>
      </c>
      <c r="D789" s="93" t="s">
        <v>9</v>
      </c>
      <c r="E789" s="93" t="s">
        <v>9</v>
      </c>
      <c r="F789" s="93" t="s">
        <v>1648</v>
      </c>
      <c r="G789" s="93" t="s">
        <v>9117</v>
      </c>
      <c r="H789" s="93" t="s">
        <v>1943</v>
      </c>
      <c r="I789" s="93" t="s">
        <v>111</v>
      </c>
      <c r="J789" s="93" t="s">
        <v>963</v>
      </c>
      <c r="K789" s="93">
        <v>60</v>
      </c>
      <c r="L789" s="93" t="s">
        <v>111</v>
      </c>
      <c r="M789" s="93">
        <v>4.9000000000000004</v>
      </c>
      <c r="N789" s="93" t="s">
        <v>113</v>
      </c>
      <c r="O789" s="93">
        <v>18.5</v>
      </c>
      <c r="P789" s="93">
        <v>29.5</v>
      </c>
      <c r="Q789" s="93">
        <v>32.5</v>
      </c>
      <c r="R789" s="93" t="s">
        <v>123</v>
      </c>
      <c r="S789" s="93" t="s">
        <v>111</v>
      </c>
      <c r="T789" s="93" t="s">
        <v>1659</v>
      </c>
      <c r="U789" s="93" t="s">
        <v>116</v>
      </c>
      <c r="V789" s="94">
        <v>44628.474999999999</v>
      </c>
      <c r="W789" s="93" t="s">
        <v>1170</v>
      </c>
      <c r="X789" s="93" t="s">
        <v>24</v>
      </c>
    </row>
    <row r="790" spans="1:24" hidden="1" x14ac:dyDescent="0.15">
      <c r="A790" s="93" t="s">
        <v>2539</v>
      </c>
      <c r="B790" s="93" t="s">
        <v>2540</v>
      </c>
      <c r="C790" s="410">
        <v>3465</v>
      </c>
      <c r="D790" s="93" t="s">
        <v>9</v>
      </c>
      <c r="E790" s="93" t="s">
        <v>9</v>
      </c>
      <c r="F790" s="93" t="s">
        <v>1648</v>
      </c>
      <c r="G790" s="93" t="s">
        <v>9117</v>
      </c>
      <c r="H790" s="93" t="s">
        <v>1943</v>
      </c>
      <c r="I790" s="93" t="s">
        <v>111</v>
      </c>
      <c r="J790" s="93" t="s">
        <v>963</v>
      </c>
      <c r="K790" s="93">
        <v>60</v>
      </c>
      <c r="L790" s="93" t="s">
        <v>111</v>
      </c>
      <c r="M790" s="93">
        <v>4.9000000000000004</v>
      </c>
      <c r="N790" s="93" t="s">
        <v>113</v>
      </c>
      <c r="O790" s="93">
        <v>18.5</v>
      </c>
      <c r="P790" s="93">
        <v>29.5</v>
      </c>
      <c r="Q790" s="93">
        <v>32.5</v>
      </c>
      <c r="R790" s="93" t="s">
        <v>123</v>
      </c>
      <c r="S790" s="93" t="s">
        <v>111</v>
      </c>
      <c r="T790" s="93" t="s">
        <v>1659</v>
      </c>
      <c r="U790" s="93" t="s">
        <v>116</v>
      </c>
      <c r="V790" s="94">
        <v>44628.63958333333</v>
      </c>
      <c r="W790" s="93" t="s">
        <v>1170</v>
      </c>
      <c r="X790" s="93" t="s">
        <v>24</v>
      </c>
    </row>
    <row r="791" spans="1:24" hidden="1" x14ac:dyDescent="0.15">
      <c r="A791" s="93" t="s">
        <v>2541</v>
      </c>
      <c r="B791" s="93" t="s">
        <v>2542</v>
      </c>
      <c r="C791" s="410">
        <v>3465</v>
      </c>
      <c r="D791" s="93" t="s">
        <v>9</v>
      </c>
      <c r="E791" s="93" t="s">
        <v>9</v>
      </c>
      <c r="F791" s="93" t="s">
        <v>1648</v>
      </c>
      <c r="G791" s="93" t="s">
        <v>9117</v>
      </c>
      <c r="H791" s="93" t="s">
        <v>1943</v>
      </c>
      <c r="I791" s="93" t="s">
        <v>111</v>
      </c>
      <c r="J791" s="93" t="s">
        <v>963</v>
      </c>
      <c r="K791" s="93">
        <v>60</v>
      </c>
      <c r="L791" s="93" t="s">
        <v>111</v>
      </c>
      <c r="M791" s="93">
        <v>4.9000000000000004</v>
      </c>
      <c r="N791" s="93" t="s">
        <v>113</v>
      </c>
      <c r="O791" s="93">
        <v>18.5</v>
      </c>
      <c r="P791" s="93">
        <v>29.5</v>
      </c>
      <c r="Q791" s="93">
        <v>32.5</v>
      </c>
      <c r="R791" s="93" t="s">
        <v>123</v>
      </c>
      <c r="S791" s="93" t="s">
        <v>111</v>
      </c>
      <c r="T791" s="93" t="s">
        <v>1659</v>
      </c>
      <c r="U791" s="93" t="s">
        <v>116</v>
      </c>
      <c r="V791" s="94">
        <v>44628.518055555556</v>
      </c>
      <c r="W791" s="93" t="s">
        <v>1170</v>
      </c>
      <c r="X791" s="93" t="s">
        <v>24</v>
      </c>
    </row>
    <row r="792" spans="1:24" hidden="1" x14ac:dyDescent="0.15">
      <c r="A792" s="93" t="s">
        <v>2543</v>
      </c>
      <c r="B792" s="93" t="s">
        <v>2544</v>
      </c>
      <c r="C792" s="410">
        <v>3465</v>
      </c>
      <c r="D792" s="93" t="s">
        <v>9</v>
      </c>
      <c r="E792" s="93" t="s">
        <v>9</v>
      </c>
      <c r="F792" s="93" t="s">
        <v>1648</v>
      </c>
      <c r="G792" s="93" t="s">
        <v>9117</v>
      </c>
      <c r="H792" s="93" t="s">
        <v>1943</v>
      </c>
      <c r="I792" s="93" t="s">
        <v>111</v>
      </c>
      <c r="J792" s="93" t="s">
        <v>963</v>
      </c>
      <c r="K792" s="93">
        <v>60</v>
      </c>
      <c r="L792" s="93" t="s">
        <v>111</v>
      </c>
      <c r="M792" s="93">
        <v>4.9000000000000004</v>
      </c>
      <c r="N792" s="93" t="s">
        <v>113</v>
      </c>
      <c r="O792" s="93">
        <v>18.5</v>
      </c>
      <c r="P792" s="93">
        <v>29.5</v>
      </c>
      <c r="Q792" s="93">
        <v>32.5</v>
      </c>
      <c r="R792" s="93" t="s">
        <v>123</v>
      </c>
      <c r="S792" s="93" t="s">
        <v>111</v>
      </c>
      <c r="T792" s="93" t="s">
        <v>1659</v>
      </c>
      <c r="U792" s="93" t="s">
        <v>116</v>
      </c>
      <c r="V792" s="94">
        <v>44628.518055555556</v>
      </c>
      <c r="W792" s="93" t="s">
        <v>1170</v>
      </c>
      <c r="X792" s="93" t="s">
        <v>24</v>
      </c>
    </row>
    <row r="793" spans="1:24" hidden="1" x14ac:dyDescent="0.15">
      <c r="A793" s="93" t="s">
        <v>2545</v>
      </c>
      <c r="B793" s="93" t="s">
        <v>2546</v>
      </c>
      <c r="C793" s="410">
        <v>3465</v>
      </c>
      <c r="D793" s="93" t="s">
        <v>9</v>
      </c>
      <c r="E793" s="93" t="s">
        <v>9</v>
      </c>
      <c r="F793" s="93" t="s">
        <v>1648</v>
      </c>
      <c r="G793" s="93" t="s">
        <v>9117</v>
      </c>
      <c r="H793" s="93" t="s">
        <v>1943</v>
      </c>
      <c r="I793" s="93" t="s">
        <v>111</v>
      </c>
      <c r="J793" s="93" t="s">
        <v>963</v>
      </c>
      <c r="K793" s="93">
        <v>60</v>
      </c>
      <c r="L793" s="93" t="s">
        <v>111</v>
      </c>
      <c r="M793" s="93">
        <v>4.9000000000000004</v>
      </c>
      <c r="N793" s="93" t="s">
        <v>113</v>
      </c>
      <c r="O793" s="93">
        <v>18.5</v>
      </c>
      <c r="P793" s="93">
        <v>29.5</v>
      </c>
      <c r="Q793" s="93">
        <v>32.5</v>
      </c>
      <c r="R793" s="93" t="s">
        <v>123</v>
      </c>
      <c r="S793" s="93" t="s">
        <v>111</v>
      </c>
      <c r="T793" s="93" t="s">
        <v>1659</v>
      </c>
      <c r="U793" s="93" t="s">
        <v>116</v>
      </c>
      <c r="V793" s="94">
        <v>44628.63958333333</v>
      </c>
      <c r="W793" s="93" t="s">
        <v>1170</v>
      </c>
      <c r="X793" s="93" t="s">
        <v>24</v>
      </c>
    </row>
    <row r="794" spans="1:24" hidden="1" x14ac:dyDescent="0.15">
      <c r="A794" s="93" t="s">
        <v>2547</v>
      </c>
      <c r="B794" s="93" t="s">
        <v>2548</v>
      </c>
      <c r="C794" s="410">
        <v>3465</v>
      </c>
      <c r="D794" s="93" t="s">
        <v>9</v>
      </c>
      <c r="E794" s="93" t="s">
        <v>9</v>
      </c>
      <c r="F794" s="93" t="s">
        <v>1648</v>
      </c>
      <c r="G794" s="93" t="s">
        <v>9117</v>
      </c>
      <c r="H794" s="93" t="s">
        <v>1943</v>
      </c>
      <c r="I794" s="93" t="s">
        <v>111</v>
      </c>
      <c r="J794" s="93" t="s">
        <v>963</v>
      </c>
      <c r="K794" s="93">
        <v>60</v>
      </c>
      <c r="L794" s="93" t="s">
        <v>111</v>
      </c>
      <c r="M794" s="93">
        <v>4.9000000000000004</v>
      </c>
      <c r="N794" s="93" t="s">
        <v>113</v>
      </c>
      <c r="O794" s="93">
        <v>18.5</v>
      </c>
      <c r="P794" s="93">
        <v>29.5</v>
      </c>
      <c r="Q794" s="93">
        <v>32.5</v>
      </c>
      <c r="R794" s="93" t="s">
        <v>123</v>
      </c>
      <c r="S794" s="93" t="s">
        <v>111</v>
      </c>
      <c r="T794" s="93" t="s">
        <v>1659</v>
      </c>
      <c r="U794" s="93" t="s">
        <v>116</v>
      </c>
      <c r="V794" s="94">
        <v>44628.474999999999</v>
      </c>
      <c r="W794" s="93" t="s">
        <v>1170</v>
      </c>
      <c r="X794" s="93" t="s">
        <v>24</v>
      </c>
    </row>
    <row r="795" spans="1:24" hidden="1" x14ac:dyDescent="0.15">
      <c r="A795" s="93" t="s">
        <v>2549</v>
      </c>
      <c r="B795" s="93" t="s">
        <v>2550</v>
      </c>
      <c r="C795" s="410">
        <v>3465</v>
      </c>
      <c r="D795" s="93" t="s">
        <v>9</v>
      </c>
      <c r="E795" s="93" t="s">
        <v>9</v>
      </c>
      <c r="F795" s="93" t="s">
        <v>1648</v>
      </c>
      <c r="G795" s="93" t="s">
        <v>9117</v>
      </c>
      <c r="H795" s="93" t="s">
        <v>1943</v>
      </c>
      <c r="I795" s="93" t="s">
        <v>111</v>
      </c>
      <c r="J795" s="93" t="s">
        <v>963</v>
      </c>
      <c r="K795" s="93">
        <v>60</v>
      </c>
      <c r="L795" s="93" t="s">
        <v>111</v>
      </c>
      <c r="M795" s="93">
        <v>4.9000000000000004</v>
      </c>
      <c r="N795" s="93" t="s">
        <v>113</v>
      </c>
      <c r="O795" s="93">
        <v>18.5</v>
      </c>
      <c r="P795" s="93">
        <v>29.5</v>
      </c>
      <c r="Q795" s="93">
        <v>32.5</v>
      </c>
      <c r="R795" s="93" t="s">
        <v>123</v>
      </c>
      <c r="S795" s="93" t="s">
        <v>111</v>
      </c>
      <c r="T795" s="93" t="s">
        <v>1659</v>
      </c>
      <c r="U795" s="93" t="s">
        <v>116</v>
      </c>
      <c r="V795" s="94">
        <v>44628.582638888889</v>
      </c>
      <c r="W795" s="93" t="s">
        <v>1170</v>
      </c>
      <c r="X795" s="93" t="s">
        <v>24</v>
      </c>
    </row>
    <row r="796" spans="1:24" hidden="1" x14ac:dyDescent="0.15">
      <c r="A796" s="93" t="s">
        <v>2551</v>
      </c>
      <c r="B796" s="93" t="s">
        <v>2552</v>
      </c>
      <c r="C796" s="410">
        <v>3465</v>
      </c>
      <c r="D796" s="93" t="s">
        <v>9</v>
      </c>
      <c r="E796" s="93" t="s">
        <v>9</v>
      </c>
      <c r="F796" s="93" t="s">
        <v>1648</v>
      </c>
      <c r="G796" s="93" t="s">
        <v>9117</v>
      </c>
      <c r="H796" s="93" t="s">
        <v>1943</v>
      </c>
      <c r="I796" s="93" t="s">
        <v>111</v>
      </c>
      <c r="J796" s="93" t="s">
        <v>963</v>
      </c>
      <c r="K796" s="93">
        <v>60</v>
      </c>
      <c r="L796" s="93" t="s">
        <v>111</v>
      </c>
      <c r="M796" s="93">
        <v>4.9000000000000004</v>
      </c>
      <c r="N796" s="93" t="s">
        <v>113</v>
      </c>
      <c r="O796" s="93">
        <v>18.5</v>
      </c>
      <c r="P796" s="93">
        <v>29.5</v>
      </c>
      <c r="Q796" s="93">
        <v>32.5</v>
      </c>
      <c r="R796" s="93" t="s">
        <v>123</v>
      </c>
      <c r="S796" s="93" t="s">
        <v>111</v>
      </c>
      <c r="T796" s="93" t="s">
        <v>1659</v>
      </c>
      <c r="U796" s="93" t="s">
        <v>116</v>
      </c>
      <c r="V796" s="94">
        <v>44628.518055555556</v>
      </c>
      <c r="W796" s="93" t="s">
        <v>1170</v>
      </c>
      <c r="X796" s="93" t="s">
        <v>24</v>
      </c>
    </row>
    <row r="797" spans="1:24" hidden="1" x14ac:dyDescent="0.15">
      <c r="A797" s="93" t="s">
        <v>2553</v>
      </c>
      <c r="B797" s="93" t="s">
        <v>2554</v>
      </c>
      <c r="C797" s="410">
        <v>3465</v>
      </c>
      <c r="D797" s="93" t="s">
        <v>9</v>
      </c>
      <c r="E797" s="93" t="s">
        <v>9</v>
      </c>
      <c r="F797" s="93" t="s">
        <v>1648</v>
      </c>
      <c r="G797" s="93" t="s">
        <v>9117</v>
      </c>
      <c r="H797" s="93" t="s">
        <v>1943</v>
      </c>
      <c r="I797" s="93" t="s">
        <v>111</v>
      </c>
      <c r="J797" s="93" t="s">
        <v>963</v>
      </c>
      <c r="K797" s="93">
        <v>60</v>
      </c>
      <c r="L797" s="93" t="s">
        <v>111</v>
      </c>
      <c r="M797" s="93">
        <v>4.9000000000000004</v>
      </c>
      <c r="N797" s="93" t="s">
        <v>113</v>
      </c>
      <c r="O797" s="93">
        <v>18.5</v>
      </c>
      <c r="P797" s="93">
        <v>29.5</v>
      </c>
      <c r="Q797" s="93">
        <v>32.5</v>
      </c>
      <c r="R797" s="93" t="s">
        <v>123</v>
      </c>
      <c r="S797" s="93" t="s">
        <v>111</v>
      </c>
      <c r="T797" s="93" t="s">
        <v>1659</v>
      </c>
      <c r="U797" s="93" t="s">
        <v>116</v>
      </c>
      <c r="V797" s="94">
        <v>44628.474999999999</v>
      </c>
      <c r="W797" s="93" t="s">
        <v>1170</v>
      </c>
      <c r="X797" s="93" t="s">
        <v>24</v>
      </c>
    </row>
    <row r="798" spans="1:24" hidden="1" x14ac:dyDescent="0.15">
      <c r="A798" s="93" t="s">
        <v>2555</v>
      </c>
      <c r="B798" s="93" t="s">
        <v>2556</v>
      </c>
      <c r="C798" s="410">
        <v>3465</v>
      </c>
      <c r="D798" s="93" t="s">
        <v>9</v>
      </c>
      <c r="E798" s="93" t="s">
        <v>9</v>
      </c>
      <c r="F798" s="93" t="s">
        <v>1648</v>
      </c>
      <c r="G798" s="93" t="s">
        <v>9117</v>
      </c>
      <c r="H798" s="93" t="s">
        <v>1943</v>
      </c>
      <c r="I798" s="93" t="s">
        <v>111</v>
      </c>
      <c r="J798" s="93" t="s">
        <v>963</v>
      </c>
      <c r="K798" s="93">
        <v>60</v>
      </c>
      <c r="L798" s="93" t="s">
        <v>111</v>
      </c>
      <c r="M798" s="93">
        <v>4.9000000000000004</v>
      </c>
      <c r="N798" s="93" t="s">
        <v>113</v>
      </c>
      <c r="O798" s="93">
        <v>18.5</v>
      </c>
      <c r="P798" s="93">
        <v>29.5</v>
      </c>
      <c r="Q798" s="93">
        <v>32.5</v>
      </c>
      <c r="R798" s="93" t="s">
        <v>123</v>
      </c>
      <c r="S798" s="93" t="s">
        <v>111</v>
      </c>
      <c r="T798" s="93" t="s">
        <v>1659</v>
      </c>
      <c r="U798" s="93" t="s">
        <v>116</v>
      </c>
      <c r="V798" s="94">
        <v>44628.604861111111</v>
      </c>
      <c r="W798" s="93" t="s">
        <v>1170</v>
      </c>
      <c r="X798" s="93" t="s">
        <v>24</v>
      </c>
    </row>
    <row r="799" spans="1:24" hidden="1" x14ac:dyDescent="0.15">
      <c r="A799" s="93" t="s">
        <v>2557</v>
      </c>
      <c r="B799" s="93" t="s">
        <v>2558</v>
      </c>
      <c r="C799" s="410">
        <v>3465</v>
      </c>
      <c r="D799" s="93" t="s">
        <v>9</v>
      </c>
      <c r="E799" s="93" t="s">
        <v>9</v>
      </c>
      <c r="F799" s="93" t="s">
        <v>1648</v>
      </c>
      <c r="G799" s="93" t="s">
        <v>9117</v>
      </c>
      <c r="H799" s="93" t="s">
        <v>1943</v>
      </c>
      <c r="I799" s="93" t="s">
        <v>111</v>
      </c>
      <c r="J799" s="93" t="s">
        <v>963</v>
      </c>
      <c r="K799" s="93">
        <v>60</v>
      </c>
      <c r="L799" s="93" t="s">
        <v>111</v>
      </c>
      <c r="M799" s="93">
        <v>4.9000000000000004</v>
      </c>
      <c r="N799" s="93" t="s">
        <v>113</v>
      </c>
      <c r="O799" s="93">
        <v>18.5</v>
      </c>
      <c r="P799" s="93">
        <v>29.5</v>
      </c>
      <c r="Q799" s="93">
        <v>32.5</v>
      </c>
      <c r="R799" s="93" t="s">
        <v>123</v>
      </c>
      <c r="S799" s="93" t="s">
        <v>111</v>
      </c>
      <c r="T799" s="93" t="s">
        <v>1659</v>
      </c>
      <c r="U799" s="93" t="s">
        <v>116</v>
      </c>
      <c r="V799" s="94">
        <v>44628.474305555559</v>
      </c>
      <c r="W799" s="93" t="s">
        <v>1170</v>
      </c>
      <c r="X799" s="93" t="s">
        <v>24</v>
      </c>
    </row>
    <row r="800" spans="1:24" hidden="1" x14ac:dyDescent="0.15">
      <c r="A800" s="93" t="s">
        <v>2559</v>
      </c>
      <c r="B800" s="93" t="s">
        <v>2560</v>
      </c>
      <c r="C800" s="410">
        <v>3465</v>
      </c>
      <c r="D800" s="93" t="s">
        <v>9</v>
      </c>
      <c r="E800" s="93" t="s">
        <v>9</v>
      </c>
      <c r="F800" s="93" t="s">
        <v>1648</v>
      </c>
      <c r="G800" s="93" t="s">
        <v>9117</v>
      </c>
      <c r="H800" s="93" t="s">
        <v>1943</v>
      </c>
      <c r="I800" s="93" t="s">
        <v>111</v>
      </c>
      <c r="J800" s="93" t="s">
        <v>963</v>
      </c>
      <c r="K800" s="93">
        <v>60</v>
      </c>
      <c r="L800" s="93" t="s">
        <v>111</v>
      </c>
      <c r="M800" s="93">
        <v>4.9000000000000004</v>
      </c>
      <c r="N800" s="93" t="s">
        <v>113</v>
      </c>
      <c r="O800" s="93">
        <v>18.5</v>
      </c>
      <c r="P800" s="93">
        <v>29.5</v>
      </c>
      <c r="Q800" s="93">
        <v>32.5</v>
      </c>
      <c r="R800" s="93" t="s">
        <v>123</v>
      </c>
      <c r="S800" s="93" t="s">
        <v>111</v>
      </c>
      <c r="T800" s="93" t="s">
        <v>1659</v>
      </c>
      <c r="U800" s="93" t="s">
        <v>116</v>
      </c>
      <c r="V800" s="94">
        <v>44628.63958333333</v>
      </c>
      <c r="W800" s="93" t="s">
        <v>1170</v>
      </c>
      <c r="X800" s="93" t="s">
        <v>24</v>
      </c>
    </row>
    <row r="801" spans="1:24" hidden="1" x14ac:dyDescent="0.15">
      <c r="A801" s="93" t="s">
        <v>2561</v>
      </c>
      <c r="B801" s="93" t="s">
        <v>2562</v>
      </c>
      <c r="C801" s="410">
        <v>3465</v>
      </c>
      <c r="D801" s="93" t="s">
        <v>9</v>
      </c>
      <c r="E801" s="93" t="s">
        <v>9</v>
      </c>
      <c r="F801" s="93" t="s">
        <v>1648</v>
      </c>
      <c r="G801" s="93" t="s">
        <v>9117</v>
      </c>
      <c r="H801" s="93" t="s">
        <v>1943</v>
      </c>
      <c r="I801" s="93" t="s">
        <v>111</v>
      </c>
      <c r="J801" s="93" t="s">
        <v>963</v>
      </c>
      <c r="K801" s="93">
        <v>60</v>
      </c>
      <c r="L801" s="93" t="s">
        <v>111</v>
      </c>
      <c r="M801" s="93">
        <v>4.9000000000000004</v>
      </c>
      <c r="N801" s="93" t="s">
        <v>113</v>
      </c>
      <c r="O801" s="93">
        <v>18.5</v>
      </c>
      <c r="P801" s="93">
        <v>29.5</v>
      </c>
      <c r="Q801" s="93">
        <v>32.5</v>
      </c>
      <c r="R801" s="93" t="s">
        <v>123</v>
      </c>
      <c r="S801" s="93" t="s">
        <v>111</v>
      </c>
      <c r="T801" s="93" t="s">
        <v>1659</v>
      </c>
      <c r="U801" s="93" t="s">
        <v>116</v>
      </c>
      <c r="V801" s="94">
        <v>44628.561111111114</v>
      </c>
      <c r="W801" s="93" t="s">
        <v>1170</v>
      </c>
      <c r="X801" s="93" t="s">
        <v>24</v>
      </c>
    </row>
    <row r="802" spans="1:24" hidden="1" x14ac:dyDescent="0.15">
      <c r="A802" s="93" t="s">
        <v>2563</v>
      </c>
      <c r="B802" s="93" t="s">
        <v>2564</v>
      </c>
      <c r="C802" s="410">
        <v>3465</v>
      </c>
      <c r="D802" s="93" t="s">
        <v>9</v>
      </c>
      <c r="E802" s="93" t="s">
        <v>9</v>
      </c>
      <c r="F802" s="93" t="s">
        <v>1648</v>
      </c>
      <c r="G802" s="93" t="s">
        <v>9117</v>
      </c>
      <c r="H802" s="93" t="s">
        <v>1943</v>
      </c>
      <c r="I802" s="93" t="s">
        <v>111</v>
      </c>
      <c r="J802" s="93" t="s">
        <v>963</v>
      </c>
      <c r="K802" s="93">
        <v>60</v>
      </c>
      <c r="L802" s="93" t="s">
        <v>111</v>
      </c>
      <c r="M802" s="93">
        <v>4.9000000000000004</v>
      </c>
      <c r="N802" s="93" t="s">
        <v>113</v>
      </c>
      <c r="O802" s="93">
        <v>18.5</v>
      </c>
      <c r="P802" s="93">
        <v>29.5</v>
      </c>
      <c r="Q802" s="93">
        <v>32.5</v>
      </c>
      <c r="R802" s="93" t="s">
        <v>123</v>
      </c>
      <c r="S802" s="93" t="s">
        <v>111</v>
      </c>
      <c r="T802" s="93" t="s">
        <v>1659</v>
      </c>
      <c r="U802" s="93" t="s">
        <v>116</v>
      </c>
      <c r="V802" s="94">
        <v>44628.604861111111</v>
      </c>
      <c r="W802" s="93" t="s">
        <v>1170</v>
      </c>
      <c r="X802" s="93" t="s">
        <v>24</v>
      </c>
    </row>
    <row r="803" spans="1:24" hidden="1" x14ac:dyDescent="0.15">
      <c r="A803" s="93" t="s">
        <v>2565</v>
      </c>
      <c r="B803" s="93" t="s">
        <v>2566</v>
      </c>
      <c r="C803" s="410">
        <v>3465</v>
      </c>
      <c r="D803" s="93" t="s">
        <v>9</v>
      </c>
      <c r="E803" s="93" t="s">
        <v>9</v>
      </c>
      <c r="F803" s="93" t="s">
        <v>1648</v>
      </c>
      <c r="G803" s="93" t="s">
        <v>9117</v>
      </c>
      <c r="H803" s="93" t="s">
        <v>1943</v>
      </c>
      <c r="I803" s="93" t="s">
        <v>111</v>
      </c>
      <c r="J803" s="93" t="s">
        <v>963</v>
      </c>
      <c r="K803" s="93">
        <v>60</v>
      </c>
      <c r="L803" s="93" t="s">
        <v>111</v>
      </c>
      <c r="M803" s="93">
        <v>4.9000000000000004</v>
      </c>
      <c r="N803" s="93" t="s">
        <v>113</v>
      </c>
      <c r="O803" s="93">
        <v>18.5</v>
      </c>
      <c r="P803" s="93">
        <v>29.5</v>
      </c>
      <c r="Q803" s="93">
        <v>32.5</v>
      </c>
      <c r="R803" s="93" t="s">
        <v>123</v>
      </c>
      <c r="S803" s="93" t="s">
        <v>111</v>
      </c>
      <c r="T803" s="93" t="s">
        <v>1659</v>
      </c>
      <c r="U803" s="93" t="s">
        <v>116</v>
      </c>
      <c r="V803" s="94">
        <v>44628.582638888889</v>
      </c>
      <c r="W803" s="93" t="s">
        <v>1170</v>
      </c>
      <c r="X803" s="93" t="s">
        <v>24</v>
      </c>
    </row>
    <row r="804" spans="1:24" hidden="1" x14ac:dyDescent="0.15">
      <c r="A804" s="93" t="s">
        <v>2567</v>
      </c>
      <c r="B804" s="93" t="s">
        <v>2568</v>
      </c>
      <c r="C804" s="410">
        <v>3465</v>
      </c>
      <c r="D804" s="93" t="s">
        <v>9</v>
      </c>
      <c r="E804" s="93" t="s">
        <v>9</v>
      </c>
      <c r="F804" s="93" t="s">
        <v>1648</v>
      </c>
      <c r="G804" s="93" t="s">
        <v>9117</v>
      </c>
      <c r="H804" s="93" t="s">
        <v>1943</v>
      </c>
      <c r="I804" s="93" t="s">
        <v>111</v>
      </c>
      <c r="J804" s="93" t="s">
        <v>963</v>
      </c>
      <c r="K804" s="93">
        <v>60</v>
      </c>
      <c r="L804" s="93" t="s">
        <v>111</v>
      </c>
      <c r="M804" s="93">
        <v>4.9000000000000004</v>
      </c>
      <c r="N804" s="93" t="s">
        <v>113</v>
      </c>
      <c r="O804" s="93">
        <v>18.5</v>
      </c>
      <c r="P804" s="93">
        <v>29.5</v>
      </c>
      <c r="Q804" s="93">
        <v>32.5</v>
      </c>
      <c r="R804" s="93" t="s">
        <v>123</v>
      </c>
      <c r="S804" s="93" t="s">
        <v>111</v>
      </c>
      <c r="T804" s="93" t="s">
        <v>1659</v>
      </c>
      <c r="U804" s="93" t="s">
        <v>116</v>
      </c>
      <c r="V804" s="94">
        <v>44628.604166666664</v>
      </c>
      <c r="W804" s="93" t="s">
        <v>1170</v>
      </c>
      <c r="X804" s="93" t="s">
        <v>24</v>
      </c>
    </row>
    <row r="805" spans="1:24" hidden="1" x14ac:dyDescent="0.15">
      <c r="A805" s="93" t="s">
        <v>2569</v>
      </c>
      <c r="B805" s="93" t="s">
        <v>2570</v>
      </c>
      <c r="C805" s="410">
        <v>3465</v>
      </c>
      <c r="D805" s="93" t="s">
        <v>9</v>
      </c>
      <c r="E805" s="93" t="s">
        <v>9</v>
      </c>
      <c r="F805" s="93" t="s">
        <v>1648</v>
      </c>
      <c r="G805" s="93" t="s">
        <v>9117</v>
      </c>
      <c r="H805" s="93" t="s">
        <v>1943</v>
      </c>
      <c r="I805" s="93" t="s">
        <v>111</v>
      </c>
      <c r="J805" s="93" t="s">
        <v>963</v>
      </c>
      <c r="K805" s="93">
        <v>60</v>
      </c>
      <c r="L805" s="93" t="s">
        <v>111</v>
      </c>
      <c r="M805" s="93">
        <v>4.9000000000000004</v>
      </c>
      <c r="N805" s="93" t="s">
        <v>113</v>
      </c>
      <c r="O805" s="93">
        <v>18.5</v>
      </c>
      <c r="P805" s="93">
        <v>29.5</v>
      </c>
      <c r="Q805" s="93">
        <v>32.5</v>
      </c>
      <c r="R805" s="93" t="s">
        <v>123</v>
      </c>
      <c r="S805" s="93" t="s">
        <v>111</v>
      </c>
      <c r="T805" s="93" t="s">
        <v>1659</v>
      </c>
      <c r="U805" s="93" t="s">
        <v>116</v>
      </c>
      <c r="V805" s="94">
        <v>44628.495833333334</v>
      </c>
      <c r="W805" s="93" t="s">
        <v>1170</v>
      </c>
      <c r="X805" s="93" t="s">
        <v>24</v>
      </c>
    </row>
    <row r="806" spans="1:24" hidden="1" x14ac:dyDescent="0.15">
      <c r="A806" s="93" t="s">
        <v>2571</v>
      </c>
      <c r="B806" s="93" t="s">
        <v>2572</v>
      </c>
      <c r="C806" s="410">
        <v>3465</v>
      </c>
      <c r="D806" s="93" t="s">
        <v>9</v>
      </c>
      <c r="E806" s="93" t="s">
        <v>9</v>
      </c>
      <c r="F806" s="93" t="s">
        <v>1648</v>
      </c>
      <c r="G806" s="93" t="s">
        <v>9117</v>
      </c>
      <c r="H806" s="93" t="s">
        <v>1943</v>
      </c>
      <c r="I806" s="93" t="s">
        <v>111</v>
      </c>
      <c r="J806" s="93" t="s">
        <v>963</v>
      </c>
      <c r="K806" s="93">
        <v>60</v>
      </c>
      <c r="L806" s="93" t="s">
        <v>111</v>
      </c>
      <c r="M806" s="93">
        <v>4.9000000000000004</v>
      </c>
      <c r="N806" s="93" t="s">
        <v>113</v>
      </c>
      <c r="O806" s="93">
        <v>18.5</v>
      </c>
      <c r="P806" s="93">
        <v>29.5</v>
      </c>
      <c r="Q806" s="93">
        <v>32.5</v>
      </c>
      <c r="R806" s="93" t="s">
        <v>123</v>
      </c>
      <c r="S806" s="93" t="s">
        <v>111</v>
      </c>
      <c r="T806" s="93" t="s">
        <v>1659</v>
      </c>
      <c r="U806" s="93" t="s">
        <v>116</v>
      </c>
      <c r="V806" s="94">
        <v>44628.474305555559</v>
      </c>
      <c r="W806" s="93" t="s">
        <v>1170</v>
      </c>
      <c r="X806" s="93" t="s">
        <v>24</v>
      </c>
    </row>
    <row r="807" spans="1:24" hidden="1" x14ac:dyDescent="0.15">
      <c r="A807" s="93" t="s">
        <v>2573</v>
      </c>
      <c r="B807" s="93" t="s">
        <v>2574</v>
      </c>
      <c r="C807" s="410">
        <v>3465</v>
      </c>
      <c r="D807" s="93" t="s">
        <v>9</v>
      </c>
      <c r="E807" s="93" t="s">
        <v>9</v>
      </c>
      <c r="F807" s="93" t="s">
        <v>1648</v>
      </c>
      <c r="G807" s="93" t="s">
        <v>9117</v>
      </c>
      <c r="H807" s="93" t="s">
        <v>1943</v>
      </c>
      <c r="I807" s="93" t="s">
        <v>111</v>
      </c>
      <c r="J807" s="93" t="s">
        <v>963</v>
      </c>
      <c r="K807" s="93">
        <v>60</v>
      </c>
      <c r="L807" s="93" t="s">
        <v>111</v>
      </c>
      <c r="M807" s="93">
        <v>4.9000000000000004</v>
      </c>
      <c r="N807" s="93" t="s">
        <v>113</v>
      </c>
      <c r="O807" s="93">
        <v>18.5</v>
      </c>
      <c r="P807" s="93">
        <v>29.5</v>
      </c>
      <c r="Q807" s="93">
        <v>32.5</v>
      </c>
      <c r="R807" s="93" t="s">
        <v>123</v>
      </c>
      <c r="S807" s="93" t="s">
        <v>111</v>
      </c>
      <c r="T807" s="93" t="s">
        <v>1659</v>
      </c>
      <c r="U807" s="93" t="s">
        <v>116</v>
      </c>
      <c r="V807" s="94">
        <v>44628.63958333333</v>
      </c>
      <c r="W807" s="93" t="s">
        <v>1170</v>
      </c>
      <c r="X807" s="93" t="s">
        <v>24</v>
      </c>
    </row>
    <row r="808" spans="1:24" hidden="1" x14ac:dyDescent="0.15">
      <c r="A808" s="93" t="s">
        <v>2575</v>
      </c>
      <c r="B808" s="93" t="s">
        <v>2576</v>
      </c>
      <c r="C808" s="410">
        <v>3465</v>
      </c>
      <c r="D808" s="93" t="s">
        <v>9</v>
      </c>
      <c r="E808" s="93" t="s">
        <v>9</v>
      </c>
      <c r="F808" s="93" t="s">
        <v>1648</v>
      </c>
      <c r="G808" s="93" t="s">
        <v>9117</v>
      </c>
      <c r="H808" s="93" t="s">
        <v>1943</v>
      </c>
      <c r="I808" s="93" t="s">
        <v>111</v>
      </c>
      <c r="J808" s="93" t="s">
        <v>963</v>
      </c>
      <c r="K808" s="93">
        <v>60</v>
      </c>
      <c r="L808" s="93" t="s">
        <v>111</v>
      </c>
      <c r="M808" s="93">
        <v>4.9000000000000004</v>
      </c>
      <c r="N808" s="93" t="s">
        <v>113</v>
      </c>
      <c r="O808" s="93">
        <v>18.5</v>
      </c>
      <c r="P808" s="93">
        <v>29.5</v>
      </c>
      <c r="Q808" s="93">
        <v>32.5</v>
      </c>
      <c r="R808" s="93" t="s">
        <v>123</v>
      </c>
      <c r="S808" s="93" t="s">
        <v>111</v>
      </c>
      <c r="T808" s="93" t="s">
        <v>1659</v>
      </c>
      <c r="U808" s="93" t="s">
        <v>116</v>
      </c>
      <c r="V808" s="94">
        <v>44628.582638888889</v>
      </c>
      <c r="W808" s="93" t="s">
        <v>1170</v>
      </c>
      <c r="X808" s="93" t="s">
        <v>24</v>
      </c>
    </row>
    <row r="809" spans="1:24" hidden="1" x14ac:dyDescent="0.15">
      <c r="A809" s="93" t="s">
        <v>2577</v>
      </c>
      <c r="B809" s="93" t="s">
        <v>2578</v>
      </c>
      <c r="C809" s="410">
        <v>3465</v>
      </c>
      <c r="D809" s="93" t="s">
        <v>9</v>
      </c>
      <c r="E809" s="93" t="s">
        <v>9</v>
      </c>
      <c r="F809" s="93" t="s">
        <v>1648</v>
      </c>
      <c r="G809" s="93" t="s">
        <v>9117</v>
      </c>
      <c r="H809" s="93" t="s">
        <v>1943</v>
      </c>
      <c r="I809" s="93" t="s">
        <v>111</v>
      </c>
      <c r="J809" s="93" t="s">
        <v>963</v>
      </c>
      <c r="K809" s="93">
        <v>60</v>
      </c>
      <c r="L809" s="93" t="s">
        <v>111</v>
      </c>
      <c r="M809" s="93">
        <v>4.9000000000000004</v>
      </c>
      <c r="N809" s="93" t="s">
        <v>113</v>
      </c>
      <c r="O809" s="93">
        <v>18.5</v>
      </c>
      <c r="P809" s="93">
        <v>29.5</v>
      </c>
      <c r="Q809" s="93">
        <v>32.5</v>
      </c>
      <c r="R809" s="93" t="s">
        <v>123</v>
      </c>
      <c r="S809" s="93" t="s">
        <v>111</v>
      </c>
      <c r="T809" s="93" t="s">
        <v>1659</v>
      </c>
      <c r="U809" s="93" t="s">
        <v>116</v>
      </c>
      <c r="V809" s="94">
        <v>44628.495833333334</v>
      </c>
      <c r="W809" s="93" t="s">
        <v>1170</v>
      </c>
      <c r="X809" s="93" t="s">
        <v>24</v>
      </c>
    </row>
    <row r="810" spans="1:24" hidden="1" x14ac:dyDescent="0.15">
      <c r="A810" s="93" t="s">
        <v>2579</v>
      </c>
      <c r="B810" s="93" t="s">
        <v>2580</v>
      </c>
      <c r="C810" s="410">
        <v>3465</v>
      </c>
      <c r="D810" s="93" t="s">
        <v>9</v>
      </c>
      <c r="E810" s="93" t="s">
        <v>9</v>
      </c>
      <c r="F810" s="93" t="s">
        <v>1648</v>
      </c>
      <c r="G810" s="93" t="s">
        <v>9117</v>
      </c>
      <c r="H810" s="93" t="s">
        <v>1943</v>
      </c>
      <c r="I810" s="93" t="s">
        <v>111</v>
      </c>
      <c r="J810" s="93" t="s">
        <v>963</v>
      </c>
      <c r="K810" s="93">
        <v>60</v>
      </c>
      <c r="L810" s="93" t="s">
        <v>111</v>
      </c>
      <c r="M810" s="93">
        <v>4.9000000000000004</v>
      </c>
      <c r="N810" s="93" t="s">
        <v>113</v>
      </c>
      <c r="O810" s="93">
        <v>18.5</v>
      </c>
      <c r="P810" s="93">
        <v>29.5</v>
      </c>
      <c r="Q810" s="93">
        <v>32.5</v>
      </c>
      <c r="R810" s="93" t="s">
        <v>123</v>
      </c>
      <c r="S810" s="93" t="s">
        <v>111</v>
      </c>
      <c r="T810" s="93" t="s">
        <v>1659</v>
      </c>
      <c r="U810" s="93" t="s">
        <v>116</v>
      </c>
      <c r="V810" s="94">
        <v>44628.561111111114</v>
      </c>
      <c r="W810" s="93" t="s">
        <v>1170</v>
      </c>
      <c r="X810" s="93" t="s">
        <v>24</v>
      </c>
    </row>
    <row r="811" spans="1:24" hidden="1" x14ac:dyDescent="0.15">
      <c r="A811" s="93" t="s">
        <v>2581</v>
      </c>
      <c r="B811" s="93" t="s">
        <v>2582</v>
      </c>
      <c r="C811" s="410">
        <v>3465</v>
      </c>
      <c r="D811" s="93" t="s">
        <v>9</v>
      </c>
      <c r="E811" s="93" t="s">
        <v>9</v>
      </c>
      <c r="F811" s="93" t="s">
        <v>1648</v>
      </c>
      <c r="G811" s="93" t="s">
        <v>9117</v>
      </c>
      <c r="H811" s="93" t="s">
        <v>1943</v>
      </c>
      <c r="I811" s="93" t="s">
        <v>111</v>
      </c>
      <c r="J811" s="93" t="s">
        <v>963</v>
      </c>
      <c r="K811" s="93">
        <v>60</v>
      </c>
      <c r="L811" s="93" t="s">
        <v>111</v>
      </c>
      <c r="M811" s="93">
        <v>4.9000000000000004</v>
      </c>
      <c r="N811" s="93" t="s">
        <v>113</v>
      </c>
      <c r="O811" s="93">
        <v>18.5</v>
      </c>
      <c r="P811" s="93">
        <v>29.5</v>
      </c>
      <c r="Q811" s="93">
        <v>32.5</v>
      </c>
      <c r="R811" s="93" t="s">
        <v>123</v>
      </c>
      <c r="S811" s="93" t="s">
        <v>111</v>
      </c>
      <c r="T811" s="93" t="s">
        <v>1659</v>
      </c>
      <c r="U811" s="93" t="s">
        <v>116</v>
      </c>
      <c r="V811" s="94">
        <v>44628.474305555559</v>
      </c>
      <c r="W811" s="93" t="s">
        <v>1170</v>
      </c>
      <c r="X811" s="93" t="s">
        <v>24</v>
      </c>
    </row>
    <row r="812" spans="1:24" hidden="1" x14ac:dyDescent="0.15">
      <c r="A812" s="93" t="s">
        <v>2583</v>
      </c>
      <c r="B812" s="93" t="s">
        <v>2584</v>
      </c>
      <c r="C812" s="410">
        <v>3465</v>
      </c>
      <c r="D812" s="93" t="s">
        <v>9</v>
      </c>
      <c r="E812" s="93" t="s">
        <v>9</v>
      </c>
      <c r="F812" s="93" t="s">
        <v>1648</v>
      </c>
      <c r="G812" s="93" t="s">
        <v>9117</v>
      </c>
      <c r="H812" s="93" t="s">
        <v>1943</v>
      </c>
      <c r="I812" s="93" t="s">
        <v>111</v>
      </c>
      <c r="J812" s="93" t="s">
        <v>963</v>
      </c>
      <c r="K812" s="93">
        <v>60</v>
      </c>
      <c r="L812" s="93" t="s">
        <v>111</v>
      </c>
      <c r="M812" s="93">
        <v>4.9000000000000004</v>
      </c>
      <c r="N812" s="93" t="s">
        <v>113</v>
      </c>
      <c r="O812" s="93">
        <v>18.5</v>
      </c>
      <c r="P812" s="93">
        <v>29.5</v>
      </c>
      <c r="Q812" s="93">
        <v>32.5</v>
      </c>
      <c r="R812" s="93" t="s">
        <v>123</v>
      </c>
      <c r="S812" s="93" t="s">
        <v>111</v>
      </c>
      <c r="T812" s="93" t="s">
        <v>1659</v>
      </c>
      <c r="U812" s="93" t="s">
        <v>116</v>
      </c>
      <c r="V812" s="94">
        <v>44628.604166666664</v>
      </c>
      <c r="W812" s="93" t="s">
        <v>1170</v>
      </c>
      <c r="X812" s="93" t="s">
        <v>24</v>
      </c>
    </row>
    <row r="813" spans="1:24" hidden="1" x14ac:dyDescent="0.15">
      <c r="A813" s="93" t="s">
        <v>2585</v>
      </c>
      <c r="B813" s="93" t="s">
        <v>2586</v>
      </c>
      <c r="C813" s="410">
        <v>3465</v>
      </c>
      <c r="D813" s="93" t="s">
        <v>9</v>
      </c>
      <c r="E813" s="93" t="s">
        <v>9</v>
      </c>
      <c r="F813" s="93" t="s">
        <v>1648</v>
      </c>
      <c r="G813" s="93" t="s">
        <v>9117</v>
      </c>
      <c r="H813" s="93" t="s">
        <v>1943</v>
      </c>
      <c r="I813" s="93" t="s">
        <v>111</v>
      </c>
      <c r="J813" s="93" t="s">
        <v>963</v>
      </c>
      <c r="K813" s="93">
        <v>60</v>
      </c>
      <c r="L813" s="93" t="s">
        <v>111</v>
      </c>
      <c r="M813" s="93">
        <v>4.9000000000000004</v>
      </c>
      <c r="N813" s="93" t="s">
        <v>113</v>
      </c>
      <c r="O813" s="93">
        <v>18.5</v>
      </c>
      <c r="P813" s="93">
        <v>29.5</v>
      </c>
      <c r="Q813" s="93">
        <v>32.5</v>
      </c>
      <c r="R813" s="93" t="s">
        <v>123</v>
      </c>
      <c r="S813" s="93" t="s">
        <v>111</v>
      </c>
      <c r="T813" s="93" t="s">
        <v>1659</v>
      </c>
      <c r="U813" s="93" t="s">
        <v>116</v>
      </c>
      <c r="V813" s="94">
        <v>44628.518055555556</v>
      </c>
      <c r="W813" s="93" t="s">
        <v>1170</v>
      </c>
      <c r="X813" s="93" t="s">
        <v>24</v>
      </c>
    </row>
    <row r="814" spans="1:24" hidden="1" x14ac:dyDescent="0.15">
      <c r="A814" s="93" t="s">
        <v>2587</v>
      </c>
      <c r="B814" s="93" t="s">
        <v>2588</v>
      </c>
      <c r="C814" s="410">
        <v>3465</v>
      </c>
      <c r="D814" s="93" t="s">
        <v>9</v>
      </c>
      <c r="E814" s="93" t="s">
        <v>9</v>
      </c>
      <c r="F814" s="93" t="s">
        <v>1648</v>
      </c>
      <c r="G814" s="93" t="s">
        <v>9117</v>
      </c>
      <c r="H814" s="93" t="s">
        <v>1943</v>
      </c>
      <c r="I814" s="93" t="s">
        <v>111</v>
      </c>
      <c r="J814" s="93" t="s">
        <v>963</v>
      </c>
      <c r="K814" s="93">
        <v>60</v>
      </c>
      <c r="L814" s="93" t="s">
        <v>111</v>
      </c>
      <c r="M814" s="93">
        <v>4.9000000000000004</v>
      </c>
      <c r="N814" s="93" t="s">
        <v>113</v>
      </c>
      <c r="O814" s="93">
        <v>18.5</v>
      </c>
      <c r="P814" s="93">
        <v>29.5</v>
      </c>
      <c r="Q814" s="93">
        <v>32.5</v>
      </c>
      <c r="R814" s="93" t="s">
        <v>123</v>
      </c>
      <c r="S814" s="93" t="s">
        <v>111</v>
      </c>
      <c r="T814" s="93" t="s">
        <v>1659</v>
      </c>
      <c r="U814" s="93" t="s">
        <v>116</v>
      </c>
      <c r="V814" s="94">
        <v>44628.561111111114</v>
      </c>
      <c r="W814" s="93" t="s">
        <v>1170</v>
      </c>
      <c r="X814" s="93" t="s">
        <v>24</v>
      </c>
    </row>
    <row r="815" spans="1:24" hidden="1" x14ac:dyDescent="0.15">
      <c r="A815" s="93" t="s">
        <v>2589</v>
      </c>
      <c r="B815" s="93" t="s">
        <v>2590</v>
      </c>
      <c r="C815" s="410">
        <v>3465</v>
      </c>
      <c r="D815" s="93" t="s">
        <v>9</v>
      </c>
      <c r="E815" s="93" t="s">
        <v>9</v>
      </c>
      <c r="F815" s="93" t="s">
        <v>1648</v>
      </c>
      <c r="G815" s="93" t="s">
        <v>9117</v>
      </c>
      <c r="H815" s="93" t="s">
        <v>1943</v>
      </c>
      <c r="I815" s="93" t="s">
        <v>111</v>
      </c>
      <c r="J815" s="93" t="s">
        <v>963</v>
      </c>
      <c r="K815" s="93">
        <v>60</v>
      </c>
      <c r="L815" s="93" t="s">
        <v>111</v>
      </c>
      <c r="M815" s="93">
        <v>4.9000000000000004</v>
      </c>
      <c r="N815" s="93" t="s">
        <v>113</v>
      </c>
      <c r="O815" s="93">
        <v>18.5</v>
      </c>
      <c r="P815" s="93">
        <v>29.5</v>
      </c>
      <c r="Q815" s="93">
        <v>32.5</v>
      </c>
      <c r="R815" s="93" t="s">
        <v>123</v>
      </c>
      <c r="S815" s="93" t="s">
        <v>111</v>
      </c>
      <c r="T815" s="93" t="s">
        <v>1659</v>
      </c>
      <c r="U815" s="93" t="s">
        <v>116</v>
      </c>
      <c r="V815" s="94">
        <v>44628.561111111114</v>
      </c>
      <c r="W815" s="93" t="s">
        <v>1170</v>
      </c>
      <c r="X815" s="93" t="s">
        <v>24</v>
      </c>
    </row>
    <row r="816" spans="1:24" hidden="1" x14ac:dyDescent="0.15">
      <c r="A816" s="93" t="s">
        <v>2591</v>
      </c>
      <c r="B816" s="93" t="s">
        <v>2592</v>
      </c>
      <c r="C816" s="410">
        <v>3465</v>
      </c>
      <c r="D816" s="93" t="s">
        <v>9</v>
      </c>
      <c r="E816" s="93" t="s">
        <v>9</v>
      </c>
      <c r="F816" s="93" t="s">
        <v>1648</v>
      </c>
      <c r="G816" s="93" t="s">
        <v>9117</v>
      </c>
      <c r="H816" s="93" t="s">
        <v>1943</v>
      </c>
      <c r="I816" s="93" t="s">
        <v>111</v>
      </c>
      <c r="J816" s="93" t="s">
        <v>963</v>
      </c>
      <c r="K816" s="93">
        <v>60</v>
      </c>
      <c r="L816" s="93" t="s">
        <v>111</v>
      </c>
      <c r="M816" s="93">
        <v>4.9000000000000004</v>
      </c>
      <c r="N816" s="93" t="s">
        <v>113</v>
      </c>
      <c r="O816" s="93">
        <v>18.5</v>
      </c>
      <c r="P816" s="93">
        <v>29.5</v>
      </c>
      <c r="Q816" s="93">
        <v>32.5</v>
      </c>
      <c r="R816" s="93" t="s">
        <v>123</v>
      </c>
      <c r="S816" s="93" t="s">
        <v>111</v>
      </c>
      <c r="T816" s="93" t="s">
        <v>1659</v>
      </c>
      <c r="U816" s="93" t="s">
        <v>116</v>
      </c>
      <c r="V816" s="94">
        <v>44628.604166666664</v>
      </c>
      <c r="W816" s="93" t="s">
        <v>1170</v>
      </c>
      <c r="X816" s="93" t="s">
        <v>24</v>
      </c>
    </row>
    <row r="817" spans="1:24" hidden="1" x14ac:dyDescent="0.15">
      <c r="A817" s="93" t="s">
        <v>2593</v>
      </c>
      <c r="B817" s="93" t="s">
        <v>2594</v>
      </c>
      <c r="C817" s="410">
        <v>3465</v>
      </c>
      <c r="D817" s="93" t="s">
        <v>9</v>
      </c>
      <c r="E817" s="93" t="s">
        <v>9</v>
      </c>
      <c r="F817" s="93" t="s">
        <v>1648</v>
      </c>
      <c r="G817" s="93" t="s">
        <v>9117</v>
      </c>
      <c r="H817" s="93" t="s">
        <v>1943</v>
      </c>
      <c r="I817" s="93" t="s">
        <v>111</v>
      </c>
      <c r="J817" s="93" t="s">
        <v>963</v>
      </c>
      <c r="K817" s="93">
        <v>60</v>
      </c>
      <c r="L817" s="93" t="s">
        <v>111</v>
      </c>
      <c r="M817" s="93">
        <v>4.9000000000000004</v>
      </c>
      <c r="N817" s="93" t="s">
        <v>113</v>
      </c>
      <c r="O817" s="93">
        <v>18.5</v>
      </c>
      <c r="P817" s="93">
        <v>29.5</v>
      </c>
      <c r="Q817" s="93">
        <v>32.5</v>
      </c>
      <c r="R817" s="93" t="s">
        <v>123</v>
      </c>
      <c r="S817" s="93" t="s">
        <v>111</v>
      </c>
      <c r="T817" s="93" t="s">
        <v>1659</v>
      </c>
      <c r="U817" s="93" t="s">
        <v>116</v>
      </c>
      <c r="V817" s="94">
        <v>44628.582638888889</v>
      </c>
      <c r="W817" s="93" t="s">
        <v>1170</v>
      </c>
      <c r="X817" s="93" t="s">
        <v>24</v>
      </c>
    </row>
    <row r="818" spans="1:24" hidden="1" x14ac:dyDescent="0.15">
      <c r="A818" s="93" t="s">
        <v>2595</v>
      </c>
      <c r="B818" s="93" t="s">
        <v>2596</v>
      </c>
      <c r="C818" s="410">
        <v>3465</v>
      </c>
      <c r="D818" s="93" t="s">
        <v>9</v>
      </c>
      <c r="E818" s="93" t="s">
        <v>9</v>
      </c>
      <c r="F818" s="93" t="s">
        <v>1648</v>
      </c>
      <c r="G818" s="93" t="s">
        <v>9117</v>
      </c>
      <c r="H818" s="93" t="s">
        <v>1943</v>
      </c>
      <c r="I818" s="93" t="s">
        <v>111</v>
      </c>
      <c r="J818" s="93" t="s">
        <v>963</v>
      </c>
      <c r="K818" s="93">
        <v>60</v>
      </c>
      <c r="L818" s="93" t="s">
        <v>111</v>
      </c>
      <c r="M818" s="93">
        <v>4.9000000000000004</v>
      </c>
      <c r="N818" s="93" t="s">
        <v>113</v>
      </c>
      <c r="O818" s="93">
        <v>18.5</v>
      </c>
      <c r="P818" s="93">
        <v>29.5</v>
      </c>
      <c r="Q818" s="93">
        <v>32.5</v>
      </c>
      <c r="R818" s="93" t="s">
        <v>123</v>
      </c>
      <c r="S818" s="93" t="s">
        <v>111</v>
      </c>
      <c r="T818" s="93" t="s">
        <v>1659</v>
      </c>
      <c r="U818" s="93" t="s">
        <v>116</v>
      </c>
      <c r="V818" s="94">
        <v>44628.582638888889</v>
      </c>
      <c r="W818" s="93" t="s">
        <v>1170</v>
      </c>
      <c r="X818" s="93" t="s">
        <v>24</v>
      </c>
    </row>
    <row r="819" spans="1:24" hidden="1" x14ac:dyDescent="0.15">
      <c r="A819" s="93" t="s">
        <v>2597</v>
      </c>
      <c r="B819" s="93" t="s">
        <v>2598</v>
      </c>
      <c r="C819" s="410">
        <v>3465</v>
      </c>
      <c r="D819" s="93" t="s">
        <v>9</v>
      </c>
      <c r="E819" s="93" t="s">
        <v>9</v>
      </c>
      <c r="F819" s="93" t="s">
        <v>1648</v>
      </c>
      <c r="G819" s="93" t="s">
        <v>9117</v>
      </c>
      <c r="H819" s="93" t="s">
        <v>1943</v>
      </c>
      <c r="I819" s="93" t="s">
        <v>111</v>
      </c>
      <c r="J819" s="93" t="s">
        <v>963</v>
      </c>
      <c r="K819" s="93">
        <v>60</v>
      </c>
      <c r="L819" s="93" t="s">
        <v>111</v>
      </c>
      <c r="M819" s="93">
        <v>4.9000000000000004</v>
      </c>
      <c r="N819" s="93" t="s">
        <v>113</v>
      </c>
      <c r="O819" s="93">
        <v>18.5</v>
      </c>
      <c r="P819" s="93">
        <v>29.5</v>
      </c>
      <c r="Q819" s="93">
        <v>32.5</v>
      </c>
      <c r="R819" s="93" t="s">
        <v>123</v>
      </c>
      <c r="S819" s="93" t="s">
        <v>111</v>
      </c>
      <c r="T819" s="93" t="s">
        <v>1659</v>
      </c>
      <c r="U819" s="93" t="s">
        <v>116</v>
      </c>
      <c r="V819" s="94">
        <v>44628.474305555559</v>
      </c>
      <c r="W819" s="93" t="s">
        <v>1170</v>
      </c>
      <c r="X819" s="93" t="s">
        <v>24</v>
      </c>
    </row>
    <row r="820" spans="1:24" hidden="1" x14ac:dyDescent="0.15">
      <c r="A820" s="93" t="s">
        <v>2599</v>
      </c>
      <c r="B820" s="93" t="s">
        <v>2600</v>
      </c>
      <c r="C820" s="410">
        <v>3465</v>
      </c>
      <c r="D820" s="93" t="s">
        <v>9</v>
      </c>
      <c r="E820" s="93" t="s">
        <v>9</v>
      </c>
      <c r="F820" s="93" t="s">
        <v>1648</v>
      </c>
      <c r="G820" s="93" t="s">
        <v>9117</v>
      </c>
      <c r="H820" s="93" t="s">
        <v>1943</v>
      </c>
      <c r="I820" s="93" t="s">
        <v>111</v>
      </c>
      <c r="J820" s="93" t="s">
        <v>963</v>
      </c>
      <c r="K820" s="93">
        <v>60</v>
      </c>
      <c r="L820" s="93" t="s">
        <v>111</v>
      </c>
      <c r="M820" s="93">
        <v>4.9000000000000004</v>
      </c>
      <c r="N820" s="93" t="s">
        <v>113</v>
      </c>
      <c r="O820" s="93">
        <v>18.5</v>
      </c>
      <c r="P820" s="93">
        <v>29.5</v>
      </c>
      <c r="Q820" s="93">
        <v>32.5</v>
      </c>
      <c r="R820" s="93" t="s">
        <v>123</v>
      </c>
      <c r="S820" s="93" t="s">
        <v>111</v>
      </c>
      <c r="T820" s="93" t="s">
        <v>1659</v>
      </c>
      <c r="U820" s="93" t="s">
        <v>116</v>
      </c>
      <c r="V820" s="94">
        <v>44628.539583333331</v>
      </c>
      <c r="W820" s="93" t="s">
        <v>1170</v>
      </c>
      <c r="X820" s="93" t="s">
        <v>24</v>
      </c>
    </row>
    <row r="821" spans="1:24" hidden="1" x14ac:dyDescent="0.15">
      <c r="A821" s="93" t="s">
        <v>2601</v>
      </c>
      <c r="B821" s="93" t="s">
        <v>2602</v>
      </c>
      <c r="C821" s="410">
        <v>3465</v>
      </c>
      <c r="D821" s="93" t="s">
        <v>9</v>
      </c>
      <c r="E821" s="93" t="s">
        <v>9</v>
      </c>
      <c r="F821" s="93" t="s">
        <v>1648</v>
      </c>
      <c r="G821" s="93" t="s">
        <v>9117</v>
      </c>
      <c r="H821" s="93" t="s">
        <v>1943</v>
      </c>
      <c r="I821" s="93" t="s">
        <v>111</v>
      </c>
      <c r="J821" s="93" t="s">
        <v>963</v>
      </c>
      <c r="K821" s="93">
        <v>60</v>
      </c>
      <c r="L821" s="93" t="s">
        <v>111</v>
      </c>
      <c r="M821" s="93">
        <v>4.9000000000000004</v>
      </c>
      <c r="N821" s="93" t="s">
        <v>113</v>
      </c>
      <c r="O821" s="93">
        <v>18.5</v>
      </c>
      <c r="P821" s="93">
        <v>29.5</v>
      </c>
      <c r="Q821" s="93">
        <v>32.5</v>
      </c>
      <c r="R821" s="93" t="s">
        <v>123</v>
      </c>
      <c r="S821" s="93" t="s">
        <v>111</v>
      </c>
      <c r="T821" s="93" t="s">
        <v>1659</v>
      </c>
      <c r="U821" s="93" t="s">
        <v>116</v>
      </c>
      <c r="V821" s="94">
        <v>44628.582638888889</v>
      </c>
      <c r="W821" s="93" t="s">
        <v>1170</v>
      </c>
      <c r="X821" s="93" t="s">
        <v>24</v>
      </c>
    </row>
    <row r="822" spans="1:24" hidden="1" x14ac:dyDescent="0.15">
      <c r="A822" s="93" t="s">
        <v>2603</v>
      </c>
      <c r="B822" s="93" t="s">
        <v>2604</v>
      </c>
      <c r="C822" s="410">
        <v>3465</v>
      </c>
      <c r="D822" s="93" t="s">
        <v>9</v>
      </c>
      <c r="E822" s="93" t="s">
        <v>9</v>
      </c>
      <c r="F822" s="93" t="s">
        <v>1648</v>
      </c>
      <c r="G822" s="93" t="s">
        <v>9117</v>
      </c>
      <c r="H822" s="93" t="s">
        <v>1943</v>
      </c>
      <c r="I822" s="93" t="s">
        <v>111</v>
      </c>
      <c r="J822" s="93" t="s">
        <v>963</v>
      </c>
      <c r="K822" s="93">
        <v>60</v>
      </c>
      <c r="L822" s="93" t="s">
        <v>111</v>
      </c>
      <c r="M822" s="93">
        <v>4.9000000000000004</v>
      </c>
      <c r="N822" s="93" t="s">
        <v>113</v>
      </c>
      <c r="O822" s="93">
        <v>18.5</v>
      </c>
      <c r="P822" s="93">
        <v>29.5</v>
      </c>
      <c r="Q822" s="93">
        <v>32.5</v>
      </c>
      <c r="R822" s="93" t="s">
        <v>123</v>
      </c>
      <c r="S822" s="93" t="s">
        <v>111</v>
      </c>
      <c r="T822" s="93" t="s">
        <v>1659</v>
      </c>
      <c r="U822" s="93" t="s">
        <v>116</v>
      </c>
      <c r="V822" s="94">
        <v>44628.561111111114</v>
      </c>
      <c r="W822" s="93" t="s">
        <v>1170</v>
      </c>
      <c r="X822" s="93" t="s">
        <v>24</v>
      </c>
    </row>
    <row r="823" spans="1:24" hidden="1" x14ac:dyDescent="0.15">
      <c r="A823" s="93" t="s">
        <v>2605</v>
      </c>
      <c r="B823" s="93" t="s">
        <v>2606</v>
      </c>
      <c r="C823" s="410">
        <v>3465</v>
      </c>
      <c r="D823" s="93" t="s">
        <v>9</v>
      </c>
      <c r="E823" s="93" t="s">
        <v>9</v>
      </c>
      <c r="F823" s="93" t="s">
        <v>1648</v>
      </c>
      <c r="G823" s="93" t="s">
        <v>9117</v>
      </c>
      <c r="H823" s="93" t="s">
        <v>1943</v>
      </c>
      <c r="I823" s="93" t="s">
        <v>111</v>
      </c>
      <c r="J823" s="93" t="s">
        <v>963</v>
      </c>
      <c r="K823" s="93">
        <v>60</v>
      </c>
      <c r="L823" s="93" t="s">
        <v>111</v>
      </c>
      <c r="M823" s="93">
        <v>4.9000000000000004</v>
      </c>
      <c r="N823" s="93" t="s">
        <v>113</v>
      </c>
      <c r="O823" s="93">
        <v>18.5</v>
      </c>
      <c r="P823" s="93">
        <v>29.5</v>
      </c>
      <c r="Q823" s="93">
        <v>32.5</v>
      </c>
      <c r="R823" s="93" t="s">
        <v>123</v>
      </c>
      <c r="S823" s="93" t="s">
        <v>111</v>
      </c>
      <c r="T823" s="93" t="s">
        <v>1659</v>
      </c>
      <c r="U823" s="93" t="s">
        <v>116</v>
      </c>
      <c r="V823" s="94">
        <v>44628.561111111114</v>
      </c>
      <c r="W823" s="93" t="s">
        <v>1170</v>
      </c>
      <c r="X823" s="93" t="s">
        <v>24</v>
      </c>
    </row>
    <row r="824" spans="1:24" hidden="1" x14ac:dyDescent="0.15">
      <c r="A824" s="93" t="s">
        <v>2607</v>
      </c>
      <c r="B824" s="93" t="s">
        <v>2608</v>
      </c>
      <c r="C824" s="410">
        <v>3465</v>
      </c>
      <c r="D824" s="93" t="s">
        <v>9</v>
      </c>
      <c r="E824" s="93" t="s">
        <v>9</v>
      </c>
      <c r="F824" s="93" t="s">
        <v>1648</v>
      </c>
      <c r="G824" s="93" t="s">
        <v>9117</v>
      </c>
      <c r="H824" s="93" t="s">
        <v>1943</v>
      </c>
      <c r="I824" s="93" t="s">
        <v>111</v>
      </c>
      <c r="J824" s="93" t="s">
        <v>963</v>
      </c>
      <c r="K824" s="93">
        <v>60</v>
      </c>
      <c r="L824" s="93" t="s">
        <v>111</v>
      </c>
      <c r="M824" s="93">
        <v>4.9000000000000004</v>
      </c>
      <c r="N824" s="93" t="s">
        <v>113</v>
      </c>
      <c r="O824" s="93">
        <v>18.5</v>
      </c>
      <c r="P824" s="93">
        <v>29.5</v>
      </c>
      <c r="Q824" s="93">
        <v>32.5</v>
      </c>
      <c r="R824" s="93" t="s">
        <v>123</v>
      </c>
      <c r="S824" s="93" t="s">
        <v>111</v>
      </c>
      <c r="T824" s="93" t="s">
        <v>1659</v>
      </c>
      <c r="U824" s="93" t="s">
        <v>116</v>
      </c>
      <c r="V824" s="94">
        <v>44628.63958333333</v>
      </c>
      <c r="W824" s="93" t="s">
        <v>1170</v>
      </c>
      <c r="X824" s="93" t="s">
        <v>24</v>
      </c>
    </row>
    <row r="825" spans="1:24" hidden="1" x14ac:dyDescent="0.15">
      <c r="A825" s="93" t="s">
        <v>2609</v>
      </c>
      <c r="B825" s="93" t="s">
        <v>2610</v>
      </c>
      <c r="C825" s="410">
        <v>3465</v>
      </c>
      <c r="D825" s="93" t="s">
        <v>9</v>
      </c>
      <c r="E825" s="93" t="s">
        <v>9</v>
      </c>
      <c r="F825" s="93" t="s">
        <v>1648</v>
      </c>
      <c r="G825" s="93" t="s">
        <v>9117</v>
      </c>
      <c r="H825" s="93" t="s">
        <v>1943</v>
      </c>
      <c r="I825" s="93" t="s">
        <v>111</v>
      </c>
      <c r="J825" s="93" t="s">
        <v>963</v>
      </c>
      <c r="K825" s="93">
        <v>60</v>
      </c>
      <c r="L825" s="93" t="s">
        <v>111</v>
      </c>
      <c r="M825" s="93">
        <v>4.9000000000000004</v>
      </c>
      <c r="N825" s="93" t="s">
        <v>113</v>
      </c>
      <c r="O825" s="93">
        <v>18.5</v>
      </c>
      <c r="P825" s="93">
        <v>29.5</v>
      </c>
      <c r="Q825" s="93">
        <v>32.5</v>
      </c>
      <c r="R825" s="93" t="s">
        <v>123</v>
      </c>
      <c r="S825" s="93" t="s">
        <v>111</v>
      </c>
      <c r="T825" s="93" t="s">
        <v>1659</v>
      </c>
      <c r="U825" s="93" t="s">
        <v>116</v>
      </c>
      <c r="V825" s="94">
        <v>44628.582638888889</v>
      </c>
      <c r="W825" s="93" t="s">
        <v>1170</v>
      </c>
      <c r="X825" s="93" t="s">
        <v>24</v>
      </c>
    </row>
    <row r="826" spans="1:24" hidden="1" x14ac:dyDescent="0.15">
      <c r="A826" s="93" t="s">
        <v>2611</v>
      </c>
      <c r="B826" s="93" t="s">
        <v>2612</v>
      </c>
      <c r="C826" s="410">
        <v>3465</v>
      </c>
      <c r="D826" s="93" t="s">
        <v>9</v>
      </c>
      <c r="E826" s="93" t="s">
        <v>9</v>
      </c>
      <c r="F826" s="93" t="s">
        <v>1648</v>
      </c>
      <c r="G826" s="93" t="s">
        <v>9117</v>
      </c>
      <c r="H826" s="93" t="s">
        <v>1943</v>
      </c>
      <c r="I826" s="93" t="s">
        <v>111</v>
      </c>
      <c r="J826" s="93" t="s">
        <v>963</v>
      </c>
      <c r="K826" s="93">
        <v>60</v>
      </c>
      <c r="L826" s="93" t="s">
        <v>111</v>
      </c>
      <c r="M826" s="93">
        <v>4.9000000000000004</v>
      </c>
      <c r="N826" s="93" t="s">
        <v>113</v>
      </c>
      <c r="O826" s="93">
        <v>18.5</v>
      </c>
      <c r="P826" s="93">
        <v>29.5</v>
      </c>
      <c r="Q826" s="93">
        <v>32.5</v>
      </c>
      <c r="R826" s="93" t="s">
        <v>123</v>
      </c>
      <c r="S826" s="93" t="s">
        <v>111</v>
      </c>
      <c r="T826" s="93" t="s">
        <v>1659</v>
      </c>
      <c r="U826" s="93" t="s">
        <v>116</v>
      </c>
      <c r="V826" s="94">
        <v>44628.518055555556</v>
      </c>
      <c r="W826" s="93" t="s">
        <v>1170</v>
      </c>
      <c r="X826" s="93" t="s">
        <v>24</v>
      </c>
    </row>
    <row r="827" spans="1:24" hidden="1" x14ac:dyDescent="0.15">
      <c r="A827" s="93" t="s">
        <v>2613</v>
      </c>
      <c r="B827" s="93" t="s">
        <v>2614</v>
      </c>
      <c r="C827" s="410">
        <v>3465</v>
      </c>
      <c r="D827" s="93" t="s">
        <v>9</v>
      </c>
      <c r="E827" s="93" t="s">
        <v>9</v>
      </c>
      <c r="F827" s="93" t="s">
        <v>1648</v>
      </c>
      <c r="G827" s="93" t="s">
        <v>9117</v>
      </c>
      <c r="H827" s="93" t="s">
        <v>1943</v>
      </c>
      <c r="I827" s="93" t="s">
        <v>111</v>
      </c>
      <c r="J827" s="93" t="s">
        <v>963</v>
      </c>
      <c r="K827" s="93">
        <v>60</v>
      </c>
      <c r="L827" s="93" t="s">
        <v>111</v>
      </c>
      <c r="M827" s="93">
        <v>4.9000000000000004</v>
      </c>
      <c r="N827" s="93" t="s">
        <v>113</v>
      </c>
      <c r="O827" s="93">
        <v>18.5</v>
      </c>
      <c r="P827" s="93">
        <v>29.5</v>
      </c>
      <c r="Q827" s="93">
        <v>32.5</v>
      </c>
      <c r="R827" s="93" t="s">
        <v>123</v>
      </c>
      <c r="S827" s="93" t="s">
        <v>111</v>
      </c>
      <c r="T827" s="93" t="s">
        <v>1659</v>
      </c>
      <c r="U827" s="93" t="s">
        <v>116</v>
      </c>
      <c r="V827" s="94">
        <v>44628.474305555559</v>
      </c>
      <c r="W827" s="93" t="s">
        <v>1170</v>
      </c>
      <c r="X827" s="93" t="s">
        <v>24</v>
      </c>
    </row>
    <row r="828" spans="1:24" hidden="1" x14ac:dyDescent="0.15">
      <c r="A828" s="93" t="s">
        <v>2615</v>
      </c>
      <c r="B828" s="93" t="s">
        <v>2616</v>
      </c>
      <c r="C828" s="410">
        <v>3465</v>
      </c>
      <c r="D828" s="93" t="s">
        <v>9</v>
      </c>
      <c r="E828" s="93" t="s">
        <v>9</v>
      </c>
      <c r="F828" s="93" t="s">
        <v>1648</v>
      </c>
      <c r="G828" s="93" t="s">
        <v>9117</v>
      </c>
      <c r="H828" s="93" t="s">
        <v>1943</v>
      </c>
      <c r="I828" s="93" t="s">
        <v>111</v>
      </c>
      <c r="J828" s="93" t="s">
        <v>963</v>
      </c>
      <c r="K828" s="93">
        <v>60</v>
      </c>
      <c r="L828" s="93" t="s">
        <v>111</v>
      </c>
      <c r="M828" s="93">
        <v>4.9000000000000004</v>
      </c>
      <c r="N828" s="93" t="s">
        <v>113</v>
      </c>
      <c r="O828" s="93">
        <v>18.5</v>
      </c>
      <c r="P828" s="93">
        <v>29.5</v>
      </c>
      <c r="Q828" s="93">
        <v>32.5</v>
      </c>
      <c r="R828" s="93" t="s">
        <v>123</v>
      </c>
      <c r="S828" s="93" t="s">
        <v>111</v>
      </c>
      <c r="T828" s="93" t="s">
        <v>1659</v>
      </c>
      <c r="U828" s="93" t="s">
        <v>116</v>
      </c>
      <c r="V828" s="94">
        <v>44628.518055555556</v>
      </c>
      <c r="W828" s="93" t="s">
        <v>1170</v>
      </c>
      <c r="X828" s="93" t="s">
        <v>24</v>
      </c>
    </row>
    <row r="829" spans="1:24" hidden="1" x14ac:dyDescent="0.15">
      <c r="A829" s="93" t="s">
        <v>2617</v>
      </c>
      <c r="B829" s="93" t="s">
        <v>2618</v>
      </c>
      <c r="C829" s="410">
        <v>3465</v>
      </c>
      <c r="D829" s="93" t="s">
        <v>9</v>
      </c>
      <c r="E829" s="93" t="s">
        <v>9</v>
      </c>
      <c r="F829" s="93" t="s">
        <v>1648</v>
      </c>
      <c r="G829" s="93" t="s">
        <v>9117</v>
      </c>
      <c r="H829" s="93" t="s">
        <v>1943</v>
      </c>
      <c r="I829" s="93" t="s">
        <v>111</v>
      </c>
      <c r="J829" s="93" t="s">
        <v>963</v>
      </c>
      <c r="K829" s="93">
        <v>60</v>
      </c>
      <c r="L829" s="93" t="s">
        <v>111</v>
      </c>
      <c r="M829" s="93">
        <v>4.9000000000000004</v>
      </c>
      <c r="N829" s="93" t="s">
        <v>113</v>
      </c>
      <c r="O829" s="93">
        <v>18.5</v>
      </c>
      <c r="P829" s="93">
        <v>29.5</v>
      </c>
      <c r="Q829" s="93">
        <v>32.5</v>
      </c>
      <c r="R829" s="93" t="s">
        <v>123</v>
      </c>
      <c r="S829" s="93" t="s">
        <v>111</v>
      </c>
      <c r="T829" s="93" t="s">
        <v>1659</v>
      </c>
      <c r="U829" s="93" t="s">
        <v>116</v>
      </c>
      <c r="V829" s="94">
        <v>44628.474305555559</v>
      </c>
      <c r="W829" s="93" t="s">
        <v>1170</v>
      </c>
      <c r="X829" s="93" t="s">
        <v>24</v>
      </c>
    </row>
    <row r="830" spans="1:24" hidden="1" x14ac:dyDescent="0.15">
      <c r="A830" s="93" t="s">
        <v>2619</v>
      </c>
      <c r="B830" s="93" t="s">
        <v>2620</v>
      </c>
      <c r="C830" s="410">
        <v>3465</v>
      </c>
      <c r="D830" s="93" t="s">
        <v>9</v>
      </c>
      <c r="E830" s="93" t="s">
        <v>9</v>
      </c>
      <c r="F830" s="93" t="s">
        <v>1648</v>
      </c>
      <c r="G830" s="93" t="s">
        <v>9117</v>
      </c>
      <c r="H830" s="93" t="s">
        <v>1943</v>
      </c>
      <c r="I830" s="93" t="s">
        <v>111</v>
      </c>
      <c r="J830" s="93" t="s">
        <v>963</v>
      </c>
      <c r="K830" s="93">
        <v>60</v>
      </c>
      <c r="L830" s="93" t="s">
        <v>111</v>
      </c>
      <c r="M830" s="93">
        <v>4.9000000000000004</v>
      </c>
      <c r="N830" s="93" t="s">
        <v>113</v>
      </c>
      <c r="O830" s="93">
        <v>18.5</v>
      </c>
      <c r="P830" s="93">
        <v>29.5</v>
      </c>
      <c r="Q830" s="93">
        <v>32.5</v>
      </c>
      <c r="R830" s="93" t="s">
        <v>123</v>
      </c>
      <c r="S830" s="93" t="s">
        <v>111</v>
      </c>
      <c r="T830" s="93" t="s">
        <v>1659</v>
      </c>
      <c r="U830" s="93" t="s">
        <v>116</v>
      </c>
      <c r="V830" s="94">
        <v>44628.63958333333</v>
      </c>
      <c r="W830" s="93" t="s">
        <v>1170</v>
      </c>
      <c r="X830" s="93" t="s">
        <v>24</v>
      </c>
    </row>
    <row r="831" spans="1:24" hidden="1" x14ac:dyDescent="0.15">
      <c r="A831" s="93" t="s">
        <v>2621</v>
      </c>
      <c r="B831" s="93" t="s">
        <v>2622</v>
      </c>
      <c r="C831" s="410">
        <v>3465</v>
      </c>
      <c r="D831" s="93" t="s">
        <v>9</v>
      </c>
      <c r="E831" s="93" t="s">
        <v>9</v>
      </c>
      <c r="F831" s="93" t="s">
        <v>1648</v>
      </c>
      <c r="G831" s="93" t="s">
        <v>9117</v>
      </c>
      <c r="H831" s="93" t="s">
        <v>1943</v>
      </c>
      <c r="I831" s="93" t="s">
        <v>111</v>
      </c>
      <c r="J831" s="93" t="s">
        <v>963</v>
      </c>
      <c r="K831" s="93">
        <v>60</v>
      </c>
      <c r="L831" s="93" t="s">
        <v>111</v>
      </c>
      <c r="M831" s="93">
        <v>4.9000000000000004</v>
      </c>
      <c r="N831" s="93" t="s">
        <v>113</v>
      </c>
      <c r="O831" s="93">
        <v>18.5</v>
      </c>
      <c r="P831" s="93">
        <v>29.5</v>
      </c>
      <c r="Q831" s="93">
        <v>32.5</v>
      </c>
      <c r="R831" s="93" t="s">
        <v>123</v>
      </c>
      <c r="S831" s="93" t="s">
        <v>111</v>
      </c>
      <c r="T831" s="93" t="s">
        <v>1659</v>
      </c>
      <c r="U831" s="93" t="s">
        <v>116</v>
      </c>
      <c r="V831" s="94">
        <v>44628.604166666664</v>
      </c>
      <c r="W831" s="93" t="s">
        <v>1170</v>
      </c>
      <c r="X831" s="93" t="s">
        <v>24</v>
      </c>
    </row>
    <row r="832" spans="1:24" hidden="1" x14ac:dyDescent="0.15">
      <c r="A832" s="93" t="s">
        <v>2623</v>
      </c>
      <c r="B832" s="93" t="s">
        <v>2624</v>
      </c>
      <c r="C832" s="410">
        <v>3465</v>
      </c>
      <c r="D832" s="93" t="s">
        <v>9</v>
      </c>
      <c r="E832" s="93" t="s">
        <v>9</v>
      </c>
      <c r="F832" s="93" t="s">
        <v>1648</v>
      </c>
      <c r="G832" s="93" t="s">
        <v>9117</v>
      </c>
      <c r="H832" s="93" t="s">
        <v>1943</v>
      </c>
      <c r="I832" s="93" t="s">
        <v>111</v>
      </c>
      <c r="J832" s="93" t="s">
        <v>963</v>
      </c>
      <c r="K832" s="93">
        <v>60</v>
      </c>
      <c r="L832" s="93" t="s">
        <v>111</v>
      </c>
      <c r="M832" s="93">
        <v>4.9000000000000004</v>
      </c>
      <c r="N832" s="93" t="s">
        <v>113</v>
      </c>
      <c r="O832" s="93">
        <v>18.5</v>
      </c>
      <c r="P832" s="93">
        <v>29.5</v>
      </c>
      <c r="Q832" s="93">
        <v>32.5</v>
      </c>
      <c r="R832" s="93" t="s">
        <v>123</v>
      </c>
      <c r="S832" s="93" t="s">
        <v>111</v>
      </c>
      <c r="T832" s="93" t="s">
        <v>1659</v>
      </c>
      <c r="U832" s="93" t="s">
        <v>116</v>
      </c>
      <c r="V832" s="94">
        <v>44628.561111111114</v>
      </c>
      <c r="W832" s="93" t="s">
        <v>1170</v>
      </c>
      <c r="X832" s="93" t="s">
        <v>24</v>
      </c>
    </row>
    <row r="833" spans="1:24" hidden="1" x14ac:dyDescent="0.15">
      <c r="A833" s="93" t="s">
        <v>2625</v>
      </c>
      <c r="B833" s="93" t="s">
        <v>2626</v>
      </c>
      <c r="C833" s="410">
        <v>3465</v>
      </c>
      <c r="D833" s="93" t="s">
        <v>9</v>
      </c>
      <c r="E833" s="93" t="s">
        <v>9</v>
      </c>
      <c r="F833" s="93" t="s">
        <v>1648</v>
      </c>
      <c r="G833" s="93" t="s">
        <v>9117</v>
      </c>
      <c r="H833" s="93" t="s">
        <v>1943</v>
      </c>
      <c r="I833" s="93" t="s">
        <v>111</v>
      </c>
      <c r="J833" s="93" t="s">
        <v>963</v>
      </c>
      <c r="K833" s="93">
        <v>60</v>
      </c>
      <c r="L833" s="93" t="s">
        <v>111</v>
      </c>
      <c r="M833" s="93">
        <v>4.9000000000000004</v>
      </c>
      <c r="N833" s="93" t="s">
        <v>113</v>
      </c>
      <c r="O833" s="93">
        <v>18.5</v>
      </c>
      <c r="P833" s="93">
        <v>29.5</v>
      </c>
      <c r="Q833" s="93">
        <v>32.5</v>
      </c>
      <c r="R833" s="93" t="s">
        <v>123</v>
      </c>
      <c r="S833" s="93" t="s">
        <v>111</v>
      </c>
      <c r="T833" s="93" t="s">
        <v>1659</v>
      </c>
      <c r="U833" s="93" t="s">
        <v>116</v>
      </c>
      <c r="V833" s="94">
        <v>44628.539583333331</v>
      </c>
      <c r="W833" s="93" t="s">
        <v>1170</v>
      </c>
      <c r="X833" s="93" t="s">
        <v>24</v>
      </c>
    </row>
    <row r="834" spans="1:24" hidden="1" x14ac:dyDescent="0.15">
      <c r="A834" s="93" t="s">
        <v>2627</v>
      </c>
      <c r="B834" s="93" t="s">
        <v>2628</v>
      </c>
      <c r="C834" s="410">
        <v>3465</v>
      </c>
      <c r="D834" s="93" t="s">
        <v>9</v>
      </c>
      <c r="E834" s="93" t="s">
        <v>9</v>
      </c>
      <c r="F834" s="93" t="s">
        <v>1648</v>
      </c>
      <c r="G834" s="93" t="s">
        <v>9117</v>
      </c>
      <c r="H834" s="93" t="s">
        <v>1943</v>
      </c>
      <c r="I834" s="93" t="s">
        <v>111</v>
      </c>
      <c r="J834" s="93" t="s">
        <v>963</v>
      </c>
      <c r="K834" s="93">
        <v>60</v>
      </c>
      <c r="L834" s="93" t="s">
        <v>111</v>
      </c>
      <c r="M834" s="93">
        <v>4.9000000000000004</v>
      </c>
      <c r="N834" s="93" t="s">
        <v>113</v>
      </c>
      <c r="O834" s="93">
        <v>18.5</v>
      </c>
      <c r="P834" s="93">
        <v>29.5</v>
      </c>
      <c r="Q834" s="93">
        <v>32.5</v>
      </c>
      <c r="R834" s="93" t="s">
        <v>123</v>
      </c>
      <c r="S834" s="93" t="s">
        <v>111</v>
      </c>
      <c r="T834" s="93" t="s">
        <v>1659</v>
      </c>
      <c r="U834" s="93" t="s">
        <v>116</v>
      </c>
      <c r="V834" s="94">
        <v>44628.63958333333</v>
      </c>
      <c r="W834" s="93" t="s">
        <v>1170</v>
      </c>
      <c r="X834" s="93" t="s">
        <v>24</v>
      </c>
    </row>
    <row r="835" spans="1:24" hidden="1" x14ac:dyDescent="0.15">
      <c r="A835" s="93" t="s">
        <v>2629</v>
      </c>
      <c r="B835" s="93" t="s">
        <v>2630</v>
      </c>
      <c r="C835" s="410">
        <v>3465</v>
      </c>
      <c r="D835" s="93" t="s">
        <v>9</v>
      </c>
      <c r="E835" s="93" t="s">
        <v>9</v>
      </c>
      <c r="F835" s="93" t="s">
        <v>1648</v>
      </c>
      <c r="G835" s="93" t="s">
        <v>9117</v>
      </c>
      <c r="H835" s="93" t="s">
        <v>1943</v>
      </c>
      <c r="I835" s="93" t="s">
        <v>111</v>
      </c>
      <c r="J835" s="93" t="s">
        <v>963</v>
      </c>
      <c r="K835" s="93">
        <v>60</v>
      </c>
      <c r="L835" s="93" t="s">
        <v>111</v>
      </c>
      <c r="M835" s="93">
        <v>4.9000000000000004</v>
      </c>
      <c r="N835" s="93" t="s">
        <v>113</v>
      </c>
      <c r="O835" s="93">
        <v>18.5</v>
      </c>
      <c r="P835" s="93">
        <v>29.5</v>
      </c>
      <c r="Q835" s="93">
        <v>32.5</v>
      </c>
      <c r="R835" s="93" t="s">
        <v>123</v>
      </c>
      <c r="S835" s="93" t="s">
        <v>111</v>
      </c>
      <c r="T835" s="93" t="s">
        <v>1659</v>
      </c>
      <c r="U835" s="93" t="s">
        <v>116</v>
      </c>
      <c r="V835" s="94">
        <v>44628.63958333333</v>
      </c>
      <c r="W835" s="93" t="s">
        <v>1170</v>
      </c>
      <c r="X835" s="93" t="s">
        <v>24</v>
      </c>
    </row>
    <row r="836" spans="1:24" hidden="1" x14ac:dyDescent="0.15">
      <c r="A836" s="93" t="s">
        <v>2631</v>
      </c>
      <c r="B836" s="93" t="s">
        <v>2632</v>
      </c>
      <c r="C836" s="410">
        <v>3465</v>
      </c>
      <c r="D836" s="93" t="s">
        <v>9</v>
      </c>
      <c r="E836" s="93" t="s">
        <v>9</v>
      </c>
      <c r="F836" s="93" t="s">
        <v>1648</v>
      </c>
      <c r="G836" s="93" t="s">
        <v>9117</v>
      </c>
      <c r="H836" s="93" t="s">
        <v>1943</v>
      </c>
      <c r="I836" s="93" t="s">
        <v>111</v>
      </c>
      <c r="J836" s="93" t="s">
        <v>963</v>
      </c>
      <c r="K836" s="93">
        <v>60</v>
      </c>
      <c r="L836" s="93" t="s">
        <v>111</v>
      </c>
      <c r="M836" s="93">
        <v>4.9000000000000004</v>
      </c>
      <c r="N836" s="93" t="s">
        <v>113</v>
      </c>
      <c r="O836" s="93">
        <v>18.5</v>
      </c>
      <c r="P836" s="93">
        <v>29.5</v>
      </c>
      <c r="Q836" s="93">
        <v>32.5</v>
      </c>
      <c r="R836" s="93" t="s">
        <v>123</v>
      </c>
      <c r="S836" s="93" t="s">
        <v>111</v>
      </c>
      <c r="T836" s="93" t="s">
        <v>1659</v>
      </c>
      <c r="U836" s="93" t="s">
        <v>116</v>
      </c>
      <c r="V836" s="94">
        <v>44628.63958333333</v>
      </c>
      <c r="W836" s="93" t="s">
        <v>1170</v>
      </c>
      <c r="X836" s="93" t="s">
        <v>24</v>
      </c>
    </row>
    <row r="837" spans="1:24" hidden="1" x14ac:dyDescent="0.15">
      <c r="A837" s="93" t="s">
        <v>2633</v>
      </c>
      <c r="B837" s="93" t="s">
        <v>2634</v>
      </c>
      <c r="C837" s="410">
        <v>3465</v>
      </c>
      <c r="D837" s="93" t="s">
        <v>9</v>
      </c>
      <c r="E837" s="93" t="s">
        <v>9</v>
      </c>
      <c r="F837" s="93" t="s">
        <v>1648</v>
      </c>
      <c r="G837" s="93" t="s">
        <v>9117</v>
      </c>
      <c r="H837" s="93" t="s">
        <v>1943</v>
      </c>
      <c r="I837" s="93" t="s">
        <v>111</v>
      </c>
      <c r="J837" s="93" t="s">
        <v>963</v>
      </c>
      <c r="K837" s="93">
        <v>60</v>
      </c>
      <c r="L837" s="93" t="s">
        <v>111</v>
      </c>
      <c r="M837" s="93">
        <v>4.9000000000000004</v>
      </c>
      <c r="N837" s="93" t="s">
        <v>113</v>
      </c>
      <c r="O837" s="93">
        <v>18.5</v>
      </c>
      <c r="P837" s="93">
        <v>29.5</v>
      </c>
      <c r="Q837" s="93">
        <v>32.5</v>
      </c>
      <c r="R837" s="93" t="s">
        <v>123</v>
      </c>
      <c r="S837" s="93" t="s">
        <v>111</v>
      </c>
      <c r="T837" s="93" t="s">
        <v>1659</v>
      </c>
      <c r="U837" s="93" t="s">
        <v>116</v>
      </c>
      <c r="V837" s="94">
        <v>44628.495138888888</v>
      </c>
      <c r="W837" s="93" t="s">
        <v>1170</v>
      </c>
      <c r="X837" s="93" t="s">
        <v>24</v>
      </c>
    </row>
    <row r="838" spans="1:24" hidden="1" x14ac:dyDescent="0.15">
      <c r="A838" s="93" t="s">
        <v>2635</v>
      </c>
      <c r="B838" s="93" t="s">
        <v>2636</v>
      </c>
      <c r="C838" s="410">
        <v>3465</v>
      </c>
      <c r="D838" s="93" t="s">
        <v>9</v>
      </c>
      <c r="E838" s="93" t="s">
        <v>9</v>
      </c>
      <c r="F838" s="93" t="s">
        <v>1648</v>
      </c>
      <c r="G838" s="93" t="s">
        <v>9117</v>
      </c>
      <c r="H838" s="93" t="s">
        <v>1943</v>
      </c>
      <c r="I838" s="93" t="s">
        <v>111</v>
      </c>
      <c r="J838" s="93" t="s">
        <v>963</v>
      </c>
      <c r="K838" s="93">
        <v>60</v>
      </c>
      <c r="L838" s="93" t="s">
        <v>111</v>
      </c>
      <c r="M838" s="93">
        <v>4.9000000000000004</v>
      </c>
      <c r="N838" s="93" t="s">
        <v>113</v>
      </c>
      <c r="O838" s="93">
        <v>18.5</v>
      </c>
      <c r="P838" s="93">
        <v>29.5</v>
      </c>
      <c r="Q838" s="93">
        <v>32.5</v>
      </c>
      <c r="R838" s="93" t="s">
        <v>123</v>
      </c>
      <c r="S838" s="93" t="s">
        <v>111</v>
      </c>
      <c r="T838" s="93" t="s">
        <v>1659</v>
      </c>
      <c r="U838" s="93" t="s">
        <v>116</v>
      </c>
      <c r="V838" s="94">
        <v>44628.561111111114</v>
      </c>
      <c r="W838" s="93" t="s">
        <v>1170</v>
      </c>
      <c r="X838" s="93" t="s">
        <v>24</v>
      </c>
    </row>
    <row r="839" spans="1:24" hidden="1" x14ac:dyDescent="0.15">
      <c r="A839" s="93" t="s">
        <v>2637</v>
      </c>
      <c r="B839" s="93" t="s">
        <v>2638</v>
      </c>
      <c r="C839" s="410">
        <v>3465</v>
      </c>
      <c r="D839" s="93" t="s">
        <v>9</v>
      </c>
      <c r="E839" s="93" t="s">
        <v>9</v>
      </c>
      <c r="F839" s="93" t="s">
        <v>1648</v>
      </c>
      <c r="G839" s="93" t="s">
        <v>9117</v>
      </c>
      <c r="H839" s="93" t="s">
        <v>1943</v>
      </c>
      <c r="I839" s="93" t="s">
        <v>111</v>
      </c>
      <c r="J839" s="93" t="s">
        <v>963</v>
      </c>
      <c r="K839" s="93">
        <v>60</v>
      </c>
      <c r="L839" s="93" t="s">
        <v>111</v>
      </c>
      <c r="M839" s="93">
        <v>4.9000000000000004</v>
      </c>
      <c r="N839" s="93" t="s">
        <v>113</v>
      </c>
      <c r="O839" s="93">
        <v>18.5</v>
      </c>
      <c r="P839" s="93">
        <v>29.5</v>
      </c>
      <c r="Q839" s="93">
        <v>32.5</v>
      </c>
      <c r="R839" s="93" t="s">
        <v>123</v>
      </c>
      <c r="S839" s="93" t="s">
        <v>111</v>
      </c>
      <c r="T839" s="93" t="s">
        <v>1659</v>
      </c>
      <c r="U839" s="93" t="s">
        <v>116</v>
      </c>
      <c r="V839" s="94">
        <v>44628.63958333333</v>
      </c>
      <c r="W839" s="93" t="s">
        <v>1170</v>
      </c>
      <c r="X839" s="93" t="s">
        <v>24</v>
      </c>
    </row>
    <row r="840" spans="1:24" hidden="1" x14ac:dyDescent="0.15">
      <c r="A840" s="93" t="s">
        <v>2639</v>
      </c>
      <c r="B840" s="93" t="s">
        <v>2640</v>
      </c>
      <c r="C840" s="410">
        <v>3465</v>
      </c>
      <c r="D840" s="93" t="s">
        <v>9</v>
      </c>
      <c r="E840" s="93" t="s">
        <v>9</v>
      </c>
      <c r="F840" s="93" t="s">
        <v>1648</v>
      </c>
      <c r="G840" s="93" t="s">
        <v>9117</v>
      </c>
      <c r="H840" s="93" t="s">
        <v>1943</v>
      </c>
      <c r="I840" s="93" t="s">
        <v>111</v>
      </c>
      <c r="J840" s="93" t="s">
        <v>963</v>
      </c>
      <c r="K840" s="93">
        <v>60</v>
      </c>
      <c r="L840" s="93" t="s">
        <v>111</v>
      </c>
      <c r="M840" s="93">
        <v>4.9000000000000004</v>
      </c>
      <c r="N840" s="93" t="s">
        <v>113</v>
      </c>
      <c r="O840" s="93">
        <v>18.5</v>
      </c>
      <c r="P840" s="93">
        <v>29.5</v>
      </c>
      <c r="Q840" s="93">
        <v>32.5</v>
      </c>
      <c r="R840" s="93" t="s">
        <v>123</v>
      </c>
      <c r="S840" s="93" t="s">
        <v>111</v>
      </c>
      <c r="T840" s="93" t="s">
        <v>1659</v>
      </c>
      <c r="U840" s="93" t="s">
        <v>116</v>
      </c>
      <c r="V840" s="94">
        <v>44628.495138888888</v>
      </c>
      <c r="W840" s="93" t="s">
        <v>1170</v>
      </c>
      <c r="X840" s="93" t="s">
        <v>24</v>
      </c>
    </row>
    <row r="841" spans="1:24" hidden="1" x14ac:dyDescent="0.15">
      <c r="A841" s="93" t="s">
        <v>2641</v>
      </c>
      <c r="B841" s="93" t="s">
        <v>2642</v>
      </c>
      <c r="C841" s="410">
        <v>3465</v>
      </c>
      <c r="D841" s="93" t="s">
        <v>9</v>
      </c>
      <c r="E841" s="93" t="s">
        <v>9</v>
      </c>
      <c r="F841" s="93" t="s">
        <v>1648</v>
      </c>
      <c r="G841" s="93" t="s">
        <v>9117</v>
      </c>
      <c r="H841" s="93" t="s">
        <v>1943</v>
      </c>
      <c r="I841" s="93" t="s">
        <v>111</v>
      </c>
      <c r="J841" s="93" t="s">
        <v>963</v>
      </c>
      <c r="K841" s="93">
        <v>60</v>
      </c>
      <c r="L841" s="93" t="s">
        <v>111</v>
      </c>
      <c r="M841" s="93">
        <v>4.9000000000000004</v>
      </c>
      <c r="N841" s="93" t="s">
        <v>113</v>
      </c>
      <c r="O841" s="93">
        <v>18.5</v>
      </c>
      <c r="P841" s="93">
        <v>29.5</v>
      </c>
      <c r="Q841" s="93">
        <v>32.5</v>
      </c>
      <c r="R841" s="93" t="s">
        <v>123</v>
      </c>
      <c r="S841" s="93" t="s">
        <v>111</v>
      </c>
      <c r="T841" s="93" t="s">
        <v>1659</v>
      </c>
      <c r="U841" s="93" t="s">
        <v>116</v>
      </c>
      <c r="V841" s="94">
        <v>44628.604166666664</v>
      </c>
      <c r="W841" s="93" t="s">
        <v>1170</v>
      </c>
      <c r="X841" s="93" t="s">
        <v>24</v>
      </c>
    </row>
    <row r="842" spans="1:24" hidden="1" x14ac:dyDescent="0.15">
      <c r="A842" s="93" t="s">
        <v>2643</v>
      </c>
      <c r="B842" s="93" t="s">
        <v>2644</v>
      </c>
      <c r="C842" s="410">
        <v>3465</v>
      </c>
      <c r="D842" s="93" t="s">
        <v>9</v>
      </c>
      <c r="E842" s="93" t="s">
        <v>9</v>
      </c>
      <c r="F842" s="93" t="s">
        <v>1648</v>
      </c>
      <c r="G842" s="93" t="s">
        <v>9117</v>
      </c>
      <c r="H842" s="93" t="s">
        <v>1943</v>
      </c>
      <c r="I842" s="93" t="s">
        <v>111</v>
      </c>
      <c r="J842" s="93" t="s">
        <v>963</v>
      </c>
      <c r="K842" s="93">
        <v>60</v>
      </c>
      <c r="L842" s="93" t="s">
        <v>111</v>
      </c>
      <c r="M842" s="93">
        <v>4.9000000000000004</v>
      </c>
      <c r="N842" s="93" t="s">
        <v>113</v>
      </c>
      <c r="O842" s="93">
        <v>18.5</v>
      </c>
      <c r="P842" s="93">
        <v>29.5</v>
      </c>
      <c r="Q842" s="93">
        <v>32.5</v>
      </c>
      <c r="R842" s="93" t="s">
        <v>123</v>
      </c>
      <c r="S842" s="93" t="s">
        <v>111</v>
      </c>
      <c r="T842" s="93" t="s">
        <v>1659</v>
      </c>
      <c r="U842" s="93" t="s">
        <v>116</v>
      </c>
      <c r="V842" s="94">
        <v>44628.495138888888</v>
      </c>
      <c r="W842" s="93" t="s">
        <v>1170</v>
      </c>
      <c r="X842" s="93" t="s">
        <v>24</v>
      </c>
    </row>
    <row r="843" spans="1:24" hidden="1" x14ac:dyDescent="0.15">
      <c r="A843" s="93" t="s">
        <v>2645</v>
      </c>
      <c r="B843" s="93" t="s">
        <v>2646</v>
      </c>
      <c r="C843" s="410">
        <v>3465</v>
      </c>
      <c r="D843" s="93" t="s">
        <v>9</v>
      </c>
      <c r="E843" s="93" t="s">
        <v>9</v>
      </c>
      <c r="F843" s="93" t="s">
        <v>1648</v>
      </c>
      <c r="G843" s="93" t="s">
        <v>9117</v>
      </c>
      <c r="H843" s="93" t="s">
        <v>1943</v>
      </c>
      <c r="I843" s="93" t="s">
        <v>111</v>
      </c>
      <c r="J843" s="93" t="s">
        <v>963</v>
      </c>
      <c r="K843" s="93">
        <v>60</v>
      </c>
      <c r="L843" s="93" t="s">
        <v>111</v>
      </c>
      <c r="M843" s="93">
        <v>4.9000000000000004</v>
      </c>
      <c r="N843" s="93" t="s">
        <v>113</v>
      </c>
      <c r="O843" s="93">
        <v>18.5</v>
      </c>
      <c r="P843" s="93">
        <v>29.5</v>
      </c>
      <c r="Q843" s="93">
        <v>32.5</v>
      </c>
      <c r="R843" s="93" t="s">
        <v>123</v>
      </c>
      <c r="S843" s="93" t="s">
        <v>111</v>
      </c>
      <c r="T843" s="93" t="s">
        <v>1659</v>
      </c>
      <c r="U843" s="93" t="s">
        <v>116</v>
      </c>
      <c r="V843" s="94">
        <v>44628.495138888888</v>
      </c>
      <c r="W843" s="93" t="s">
        <v>1170</v>
      </c>
      <c r="X843" s="93" t="s">
        <v>24</v>
      </c>
    </row>
    <row r="844" spans="1:24" hidden="1" x14ac:dyDescent="0.15">
      <c r="A844" s="93" t="s">
        <v>2647</v>
      </c>
      <c r="B844" s="93" t="s">
        <v>2648</v>
      </c>
      <c r="C844" s="410">
        <v>3465</v>
      </c>
      <c r="D844" s="93" t="s">
        <v>9</v>
      </c>
      <c r="E844" s="93" t="s">
        <v>9</v>
      </c>
      <c r="F844" s="93" t="s">
        <v>1648</v>
      </c>
      <c r="G844" s="93" t="s">
        <v>9117</v>
      </c>
      <c r="H844" s="93" t="s">
        <v>1943</v>
      </c>
      <c r="I844" s="93" t="s">
        <v>111</v>
      </c>
      <c r="J844" s="93" t="s">
        <v>963</v>
      </c>
      <c r="K844" s="93">
        <v>60</v>
      </c>
      <c r="L844" s="93" t="s">
        <v>111</v>
      </c>
      <c r="M844" s="93">
        <v>4.9000000000000004</v>
      </c>
      <c r="N844" s="93" t="s">
        <v>113</v>
      </c>
      <c r="O844" s="93">
        <v>18.5</v>
      </c>
      <c r="P844" s="93">
        <v>29.5</v>
      </c>
      <c r="Q844" s="93">
        <v>32.5</v>
      </c>
      <c r="R844" s="93" t="s">
        <v>123</v>
      </c>
      <c r="S844" s="93" t="s">
        <v>111</v>
      </c>
      <c r="T844" s="93" t="s">
        <v>1659</v>
      </c>
      <c r="U844" s="93" t="s">
        <v>116</v>
      </c>
      <c r="V844" s="94">
        <v>44628.582638888889</v>
      </c>
      <c r="W844" s="93" t="s">
        <v>1170</v>
      </c>
      <c r="X844" s="93" t="s">
        <v>24</v>
      </c>
    </row>
    <row r="845" spans="1:24" hidden="1" x14ac:dyDescent="0.15">
      <c r="A845" s="93" t="s">
        <v>2649</v>
      </c>
      <c r="B845" s="93" t="s">
        <v>2650</v>
      </c>
      <c r="C845" s="410">
        <v>3465</v>
      </c>
      <c r="D845" s="93" t="s">
        <v>9</v>
      </c>
      <c r="E845" s="93" t="s">
        <v>9</v>
      </c>
      <c r="F845" s="93" t="s">
        <v>1648</v>
      </c>
      <c r="G845" s="93" t="s">
        <v>9117</v>
      </c>
      <c r="H845" s="93" t="s">
        <v>1943</v>
      </c>
      <c r="I845" s="93" t="s">
        <v>111</v>
      </c>
      <c r="J845" s="93" t="s">
        <v>963</v>
      </c>
      <c r="K845" s="93">
        <v>60</v>
      </c>
      <c r="L845" s="93" t="s">
        <v>111</v>
      </c>
      <c r="M845" s="93">
        <v>4.9000000000000004</v>
      </c>
      <c r="N845" s="93" t="s">
        <v>113</v>
      </c>
      <c r="O845" s="93">
        <v>18.5</v>
      </c>
      <c r="P845" s="93">
        <v>29.5</v>
      </c>
      <c r="Q845" s="93">
        <v>32.5</v>
      </c>
      <c r="R845" s="93" t="s">
        <v>123</v>
      </c>
      <c r="S845" s="93" t="s">
        <v>111</v>
      </c>
      <c r="T845" s="93" t="s">
        <v>1659</v>
      </c>
      <c r="U845" s="93" t="s">
        <v>116</v>
      </c>
      <c r="V845" s="94">
        <v>44628.63958333333</v>
      </c>
      <c r="W845" s="93" t="s">
        <v>1170</v>
      </c>
      <c r="X845" s="93" t="s">
        <v>24</v>
      </c>
    </row>
    <row r="846" spans="1:24" hidden="1" x14ac:dyDescent="0.15">
      <c r="A846" s="93" t="s">
        <v>2651</v>
      </c>
      <c r="B846" s="93" t="s">
        <v>2652</v>
      </c>
      <c r="C846" s="410">
        <v>3465</v>
      </c>
      <c r="D846" s="93" t="s">
        <v>9</v>
      </c>
      <c r="E846" s="93" t="s">
        <v>9</v>
      </c>
      <c r="F846" s="93" t="s">
        <v>1648</v>
      </c>
      <c r="G846" s="93" t="s">
        <v>9117</v>
      </c>
      <c r="H846" s="93" t="s">
        <v>1943</v>
      </c>
      <c r="I846" s="93" t="s">
        <v>111</v>
      </c>
      <c r="J846" s="93" t="s">
        <v>963</v>
      </c>
      <c r="K846" s="93">
        <v>60</v>
      </c>
      <c r="L846" s="93" t="s">
        <v>111</v>
      </c>
      <c r="M846" s="93">
        <v>4.9000000000000004</v>
      </c>
      <c r="N846" s="93" t="s">
        <v>113</v>
      </c>
      <c r="O846" s="93">
        <v>18.5</v>
      </c>
      <c r="P846" s="93">
        <v>29.5</v>
      </c>
      <c r="Q846" s="93">
        <v>32.5</v>
      </c>
      <c r="R846" s="93" t="s">
        <v>123</v>
      </c>
      <c r="S846" s="93" t="s">
        <v>111</v>
      </c>
      <c r="T846" s="93" t="s">
        <v>1659</v>
      </c>
      <c r="U846" s="93" t="s">
        <v>116</v>
      </c>
      <c r="V846" s="94">
        <v>44628.604166666664</v>
      </c>
      <c r="W846" s="93" t="s">
        <v>1170</v>
      </c>
      <c r="X846" s="93" t="s">
        <v>24</v>
      </c>
    </row>
    <row r="847" spans="1:24" hidden="1" x14ac:dyDescent="0.15">
      <c r="A847" s="93" t="s">
        <v>2653</v>
      </c>
      <c r="B847" s="93" t="s">
        <v>2654</v>
      </c>
      <c r="C847" s="410">
        <v>3465</v>
      </c>
      <c r="D847" s="93" t="s">
        <v>9</v>
      </c>
      <c r="E847" s="93" t="s">
        <v>9</v>
      </c>
      <c r="F847" s="93" t="s">
        <v>1648</v>
      </c>
      <c r="G847" s="93" t="s">
        <v>9117</v>
      </c>
      <c r="H847" s="93" t="s">
        <v>1943</v>
      </c>
      <c r="I847" s="93" t="s">
        <v>111</v>
      </c>
      <c r="J847" s="93" t="s">
        <v>963</v>
      </c>
      <c r="K847" s="93">
        <v>60</v>
      </c>
      <c r="L847" s="93" t="s">
        <v>111</v>
      </c>
      <c r="M847" s="93">
        <v>4.9000000000000004</v>
      </c>
      <c r="N847" s="93" t="s">
        <v>113</v>
      </c>
      <c r="O847" s="93">
        <v>18.5</v>
      </c>
      <c r="P847" s="93">
        <v>29.5</v>
      </c>
      <c r="Q847" s="93">
        <v>32.5</v>
      </c>
      <c r="R847" s="93" t="s">
        <v>123</v>
      </c>
      <c r="S847" s="93" t="s">
        <v>111</v>
      </c>
      <c r="T847" s="93" t="s">
        <v>1659</v>
      </c>
      <c r="U847" s="93" t="s">
        <v>116</v>
      </c>
      <c r="V847" s="94">
        <v>44628.474305555559</v>
      </c>
      <c r="W847" s="93" t="s">
        <v>1170</v>
      </c>
      <c r="X847" s="93" t="s">
        <v>24</v>
      </c>
    </row>
    <row r="848" spans="1:24" hidden="1" x14ac:dyDescent="0.15">
      <c r="A848" s="93" t="s">
        <v>2655</v>
      </c>
      <c r="B848" s="93" t="s">
        <v>2656</v>
      </c>
      <c r="C848" s="410">
        <v>3465</v>
      </c>
      <c r="D848" s="93" t="s">
        <v>9</v>
      </c>
      <c r="E848" s="93" t="s">
        <v>9</v>
      </c>
      <c r="F848" s="93" t="s">
        <v>1648</v>
      </c>
      <c r="G848" s="93" t="s">
        <v>9117</v>
      </c>
      <c r="H848" s="93" t="s">
        <v>1943</v>
      </c>
      <c r="I848" s="93" t="s">
        <v>111</v>
      </c>
      <c r="J848" s="93" t="s">
        <v>963</v>
      </c>
      <c r="K848" s="93">
        <v>60</v>
      </c>
      <c r="L848" s="93" t="s">
        <v>111</v>
      </c>
      <c r="M848" s="93">
        <v>4.9000000000000004</v>
      </c>
      <c r="N848" s="93" t="s">
        <v>113</v>
      </c>
      <c r="O848" s="93">
        <v>18.5</v>
      </c>
      <c r="P848" s="93">
        <v>29.5</v>
      </c>
      <c r="Q848" s="93">
        <v>32.5</v>
      </c>
      <c r="R848" s="93" t="s">
        <v>123</v>
      </c>
      <c r="S848" s="93" t="s">
        <v>111</v>
      </c>
      <c r="T848" s="93" t="s">
        <v>1659</v>
      </c>
      <c r="U848" s="93" t="s">
        <v>116</v>
      </c>
      <c r="V848" s="94">
        <v>44628.561111111114</v>
      </c>
      <c r="W848" s="93" t="s">
        <v>1170</v>
      </c>
      <c r="X848" s="93" t="s">
        <v>24</v>
      </c>
    </row>
    <row r="849" spans="1:24" hidden="1" x14ac:dyDescent="0.15">
      <c r="A849" s="93" t="s">
        <v>2657</v>
      </c>
      <c r="B849" s="93" t="s">
        <v>2658</v>
      </c>
      <c r="C849" s="410">
        <v>3465</v>
      </c>
      <c r="D849" s="93" t="s">
        <v>9</v>
      </c>
      <c r="E849" s="93" t="s">
        <v>9</v>
      </c>
      <c r="F849" s="93" t="s">
        <v>1648</v>
      </c>
      <c r="G849" s="93" t="s">
        <v>9117</v>
      </c>
      <c r="H849" s="93" t="s">
        <v>1943</v>
      </c>
      <c r="I849" s="93" t="s">
        <v>111</v>
      </c>
      <c r="J849" s="93" t="s">
        <v>963</v>
      </c>
      <c r="K849" s="93">
        <v>60</v>
      </c>
      <c r="L849" s="93" t="s">
        <v>111</v>
      </c>
      <c r="M849" s="93">
        <v>4.9000000000000004</v>
      </c>
      <c r="N849" s="93" t="s">
        <v>113</v>
      </c>
      <c r="O849" s="93">
        <v>18.5</v>
      </c>
      <c r="P849" s="93">
        <v>29.5</v>
      </c>
      <c r="Q849" s="93">
        <v>32.5</v>
      </c>
      <c r="R849" s="93" t="s">
        <v>123</v>
      </c>
      <c r="S849" s="93" t="s">
        <v>111</v>
      </c>
      <c r="T849" s="93" t="s">
        <v>1659</v>
      </c>
      <c r="U849" s="93" t="s">
        <v>116</v>
      </c>
      <c r="V849" s="94">
        <v>44628.474305555559</v>
      </c>
      <c r="W849" s="93" t="s">
        <v>1170</v>
      </c>
      <c r="X849" s="93" t="s">
        <v>24</v>
      </c>
    </row>
    <row r="850" spans="1:24" hidden="1" x14ac:dyDescent="0.15">
      <c r="A850" s="93" t="s">
        <v>2659</v>
      </c>
      <c r="B850" s="93" t="s">
        <v>2660</v>
      </c>
      <c r="C850" s="410">
        <v>3465</v>
      </c>
      <c r="D850" s="93" t="s">
        <v>9</v>
      </c>
      <c r="E850" s="93" t="s">
        <v>9</v>
      </c>
      <c r="F850" s="93" t="s">
        <v>1648</v>
      </c>
      <c r="G850" s="93" t="s">
        <v>9117</v>
      </c>
      <c r="H850" s="93" t="s">
        <v>1943</v>
      </c>
      <c r="I850" s="93" t="s">
        <v>111</v>
      </c>
      <c r="J850" s="93" t="s">
        <v>963</v>
      </c>
      <c r="K850" s="93">
        <v>60</v>
      </c>
      <c r="L850" s="93" t="s">
        <v>111</v>
      </c>
      <c r="M850" s="93">
        <v>4.9000000000000004</v>
      </c>
      <c r="N850" s="93" t="s">
        <v>113</v>
      </c>
      <c r="O850" s="93">
        <v>18.5</v>
      </c>
      <c r="P850" s="93">
        <v>29.5</v>
      </c>
      <c r="Q850" s="93">
        <v>32.5</v>
      </c>
      <c r="R850" s="93" t="s">
        <v>123</v>
      </c>
      <c r="S850" s="93" t="s">
        <v>111</v>
      </c>
      <c r="T850" s="93" t="s">
        <v>1659</v>
      </c>
      <c r="U850" s="93" t="s">
        <v>116</v>
      </c>
      <c r="V850" s="94">
        <v>44628.63958333333</v>
      </c>
      <c r="W850" s="93" t="s">
        <v>1170</v>
      </c>
      <c r="X850" s="93" t="s">
        <v>24</v>
      </c>
    </row>
    <row r="851" spans="1:24" hidden="1" x14ac:dyDescent="0.15">
      <c r="A851" s="93" t="s">
        <v>2661</v>
      </c>
      <c r="B851" s="93" t="s">
        <v>2662</v>
      </c>
      <c r="C851" s="410">
        <v>3465</v>
      </c>
      <c r="D851" s="93" t="s">
        <v>9</v>
      </c>
      <c r="E851" s="93" t="s">
        <v>9</v>
      </c>
      <c r="F851" s="93" t="s">
        <v>1648</v>
      </c>
      <c r="G851" s="93" t="s">
        <v>9117</v>
      </c>
      <c r="H851" s="93" t="s">
        <v>1943</v>
      </c>
      <c r="I851" s="93" t="s">
        <v>111</v>
      </c>
      <c r="J851" s="93" t="s">
        <v>963</v>
      </c>
      <c r="K851" s="93">
        <v>60</v>
      </c>
      <c r="L851" s="93" t="s">
        <v>111</v>
      </c>
      <c r="M851" s="93">
        <v>4.9000000000000004</v>
      </c>
      <c r="N851" s="93" t="s">
        <v>113</v>
      </c>
      <c r="O851" s="93">
        <v>18.5</v>
      </c>
      <c r="P851" s="93">
        <v>29.5</v>
      </c>
      <c r="Q851" s="93">
        <v>32.5</v>
      </c>
      <c r="R851" s="93" t="s">
        <v>123</v>
      </c>
      <c r="S851" s="93" t="s">
        <v>111</v>
      </c>
      <c r="T851" s="93" t="s">
        <v>1659</v>
      </c>
      <c r="U851" s="93" t="s">
        <v>116</v>
      </c>
      <c r="V851" s="94">
        <v>44628.561111111114</v>
      </c>
      <c r="W851" s="93" t="s">
        <v>1170</v>
      </c>
      <c r="X851" s="93" t="s">
        <v>24</v>
      </c>
    </row>
    <row r="852" spans="1:24" hidden="1" x14ac:dyDescent="0.15">
      <c r="A852" s="93" t="s">
        <v>2663</v>
      </c>
      <c r="B852" s="93" t="s">
        <v>2664</v>
      </c>
      <c r="C852" s="410">
        <v>3465</v>
      </c>
      <c r="D852" s="93" t="s">
        <v>9</v>
      </c>
      <c r="E852" s="93" t="s">
        <v>9</v>
      </c>
      <c r="F852" s="93" t="s">
        <v>1648</v>
      </c>
      <c r="G852" s="93" t="s">
        <v>9117</v>
      </c>
      <c r="H852" s="93" t="s">
        <v>1943</v>
      </c>
      <c r="I852" s="93" t="s">
        <v>111</v>
      </c>
      <c r="J852" s="93" t="s">
        <v>963</v>
      </c>
      <c r="K852" s="93">
        <v>60</v>
      </c>
      <c r="L852" s="93" t="s">
        <v>111</v>
      </c>
      <c r="M852" s="93">
        <v>4.9000000000000004</v>
      </c>
      <c r="N852" s="93" t="s">
        <v>113</v>
      </c>
      <c r="O852" s="93">
        <v>18.5</v>
      </c>
      <c r="P852" s="93">
        <v>29.5</v>
      </c>
      <c r="Q852" s="93">
        <v>32.5</v>
      </c>
      <c r="R852" s="93" t="s">
        <v>123</v>
      </c>
      <c r="S852" s="93" t="s">
        <v>111</v>
      </c>
      <c r="T852" s="93" t="s">
        <v>1659</v>
      </c>
      <c r="U852" s="93" t="s">
        <v>116</v>
      </c>
      <c r="V852" s="94">
        <v>44628.518055555556</v>
      </c>
      <c r="W852" s="93" t="s">
        <v>1170</v>
      </c>
      <c r="X852" s="93" t="s">
        <v>24</v>
      </c>
    </row>
    <row r="853" spans="1:24" hidden="1" x14ac:dyDescent="0.15">
      <c r="A853" s="93" t="s">
        <v>2665</v>
      </c>
      <c r="B853" s="93" t="s">
        <v>2666</v>
      </c>
      <c r="C853" s="410">
        <v>3465</v>
      </c>
      <c r="D853" s="93" t="s">
        <v>9</v>
      </c>
      <c r="E853" s="93" t="s">
        <v>9</v>
      </c>
      <c r="F853" s="93" t="s">
        <v>1648</v>
      </c>
      <c r="G853" s="93" t="s">
        <v>9117</v>
      </c>
      <c r="H853" s="93" t="s">
        <v>1943</v>
      </c>
      <c r="I853" s="93" t="s">
        <v>111</v>
      </c>
      <c r="J853" s="93" t="s">
        <v>963</v>
      </c>
      <c r="K853" s="93">
        <v>60</v>
      </c>
      <c r="L853" s="93" t="s">
        <v>111</v>
      </c>
      <c r="M853" s="93">
        <v>4.9000000000000004</v>
      </c>
      <c r="N853" s="93" t="s">
        <v>113</v>
      </c>
      <c r="O853" s="93">
        <v>18.5</v>
      </c>
      <c r="P853" s="93">
        <v>29.5</v>
      </c>
      <c r="Q853" s="93">
        <v>32.5</v>
      </c>
      <c r="R853" s="93" t="s">
        <v>123</v>
      </c>
      <c r="S853" s="93" t="s">
        <v>111</v>
      </c>
      <c r="T853" s="93" t="s">
        <v>1659</v>
      </c>
      <c r="U853" s="93" t="s">
        <v>116</v>
      </c>
      <c r="V853" s="94">
        <v>44628.474305555559</v>
      </c>
      <c r="W853" s="93" t="s">
        <v>1170</v>
      </c>
      <c r="X853" s="93" t="s">
        <v>24</v>
      </c>
    </row>
    <row r="854" spans="1:24" hidden="1" x14ac:dyDescent="0.15">
      <c r="A854" s="93" t="s">
        <v>2667</v>
      </c>
      <c r="B854" s="93" t="s">
        <v>2668</v>
      </c>
      <c r="C854" s="410">
        <v>3465</v>
      </c>
      <c r="D854" s="93" t="s">
        <v>9</v>
      </c>
      <c r="E854" s="93" t="s">
        <v>9</v>
      </c>
      <c r="F854" s="93" t="s">
        <v>1648</v>
      </c>
      <c r="G854" s="93" t="s">
        <v>9117</v>
      </c>
      <c r="H854" s="93" t="s">
        <v>1943</v>
      </c>
      <c r="I854" s="93" t="s">
        <v>111</v>
      </c>
      <c r="J854" s="93" t="s">
        <v>963</v>
      </c>
      <c r="K854" s="93">
        <v>60</v>
      </c>
      <c r="L854" s="93" t="s">
        <v>111</v>
      </c>
      <c r="M854" s="93">
        <v>4.9000000000000004</v>
      </c>
      <c r="N854" s="93" t="s">
        <v>113</v>
      </c>
      <c r="O854" s="93">
        <v>18.5</v>
      </c>
      <c r="P854" s="93">
        <v>29.5</v>
      </c>
      <c r="Q854" s="93">
        <v>32.5</v>
      </c>
      <c r="R854" s="93" t="s">
        <v>123</v>
      </c>
      <c r="S854" s="93" t="s">
        <v>111</v>
      </c>
      <c r="T854" s="93" t="s">
        <v>1659</v>
      </c>
      <c r="U854" s="93" t="s">
        <v>116</v>
      </c>
      <c r="V854" s="94">
        <v>44628.517361111109</v>
      </c>
      <c r="W854" s="93" t="s">
        <v>1170</v>
      </c>
      <c r="X854" s="93" t="s">
        <v>24</v>
      </c>
    </row>
    <row r="855" spans="1:24" hidden="1" x14ac:dyDescent="0.15">
      <c r="A855" s="93" t="s">
        <v>2669</v>
      </c>
      <c r="B855" s="93" t="s">
        <v>2670</v>
      </c>
      <c r="C855" s="410">
        <v>3465</v>
      </c>
      <c r="D855" s="93" t="s">
        <v>9</v>
      </c>
      <c r="E855" s="93" t="s">
        <v>9</v>
      </c>
      <c r="F855" s="93" t="s">
        <v>1648</v>
      </c>
      <c r="G855" s="93" t="s">
        <v>9117</v>
      </c>
      <c r="H855" s="93" t="s">
        <v>1943</v>
      </c>
      <c r="I855" s="93" t="s">
        <v>111</v>
      </c>
      <c r="J855" s="93" t="s">
        <v>963</v>
      </c>
      <c r="K855" s="93">
        <v>60</v>
      </c>
      <c r="L855" s="93" t="s">
        <v>111</v>
      </c>
      <c r="M855" s="93">
        <v>4.9000000000000004</v>
      </c>
      <c r="N855" s="93" t="s">
        <v>113</v>
      </c>
      <c r="O855" s="93">
        <v>18.5</v>
      </c>
      <c r="P855" s="93">
        <v>29.5</v>
      </c>
      <c r="Q855" s="93">
        <v>32.5</v>
      </c>
      <c r="R855" s="93" t="s">
        <v>123</v>
      </c>
      <c r="S855" s="93" t="s">
        <v>111</v>
      </c>
      <c r="T855" s="93" t="s">
        <v>1659</v>
      </c>
      <c r="U855" s="93" t="s">
        <v>116</v>
      </c>
      <c r="V855" s="94">
        <v>44628.517361111109</v>
      </c>
      <c r="W855" s="93" t="s">
        <v>1170</v>
      </c>
      <c r="X855" s="93" t="s">
        <v>24</v>
      </c>
    </row>
    <row r="856" spans="1:24" hidden="1" x14ac:dyDescent="0.15">
      <c r="A856" s="93" t="s">
        <v>2671</v>
      </c>
      <c r="B856" s="93" t="s">
        <v>2672</v>
      </c>
      <c r="C856" s="410">
        <v>3465</v>
      </c>
      <c r="D856" s="93" t="s">
        <v>9</v>
      </c>
      <c r="E856" s="93" t="s">
        <v>9</v>
      </c>
      <c r="F856" s="93" t="s">
        <v>1648</v>
      </c>
      <c r="G856" s="93" t="s">
        <v>9117</v>
      </c>
      <c r="H856" s="93" t="s">
        <v>1943</v>
      </c>
      <c r="I856" s="93" t="s">
        <v>111</v>
      </c>
      <c r="J856" s="93" t="s">
        <v>963</v>
      </c>
      <c r="K856" s="93">
        <v>60</v>
      </c>
      <c r="L856" s="93" t="s">
        <v>111</v>
      </c>
      <c r="M856" s="93">
        <v>4.9000000000000004</v>
      </c>
      <c r="N856" s="93" t="s">
        <v>113</v>
      </c>
      <c r="O856" s="93">
        <v>18.5</v>
      </c>
      <c r="P856" s="93">
        <v>29.5</v>
      </c>
      <c r="Q856" s="93">
        <v>32.5</v>
      </c>
      <c r="R856" s="93" t="s">
        <v>123</v>
      </c>
      <c r="S856" s="93" t="s">
        <v>111</v>
      </c>
      <c r="T856" s="93" t="s">
        <v>1659</v>
      </c>
      <c r="U856" s="93" t="s">
        <v>116</v>
      </c>
      <c r="V856" s="94">
        <v>44628.495138888888</v>
      </c>
      <c r="W856" s="93" t="s">
        <v>1170</v>
      </c>
      <c r="X856" s="93" t="s">
        <v>24</v>
      </c>
    </row>
    <row r="857" spans="1:24" hidden="1" x14ac:dyDescent="0.15">
      <c r="A857" s="93" t="s">
        <v>2673</v>
      </c>
      <c r="B857" s="93" t="s">
        <v>2674</v>
      </c>
      <c r="C857" s="410">
        <v>3465</v>
      </c>
      <c r="D857" s="93" t="s">
        <v>9</v>
      </c>
      <c r="E857" s="93" t="s">
        <v>9</v>
      </c>
      <c r="F857" s="93" t="s">
        <v>1648</v>
      </c>
      <c r="G857" s="93" t="s">
        <v>9117</v>
      </c>
      <c r="H857" s="93" t="s">
        <v>1943</v>
      </c>
      <c r="I857" s="93" t="s">
        <v>111</v>
      </c>
      <c r="J857" s="93" t="s">
        <v>963</v>
      </c>
      <c r="K857" s="93">
        <v>60</v>
      </c>
      <c r="L857" s="93" t="s">
        <v>111</v>
      </c>
      <c r="M857" s="93">
        <v>4.9000000000000004</v>
      </c>
      <c r="N857" s="93" t="s">
        <v>113</v>
      </c>
      <c r="O857" s="93">
        <v>18.5</v>
      </c>
      <c r="P857" s="93">
        <v>29.5</v>
      </c>
      <c r="Q857" s="93">
        <v>32.5</v>
      </c>
      <c r="R857" s="93" t="s">
        <v>123</v>
      </c>
      <c r="S857" s="93" t="s">
        <v>111</v>
      </c>
      <c r="T857" s="93" t="s">
        <v>1659</v>
      </c>
      <c r="U857" s="93" t="s">
        <v>116</v>
      </c>
      <c r="V857" s="94">
        <v>44628.561111111114</v>
      </c>
      <c r="W857" s="93" t="s">
        <v>1170</v>
      </c>
      <c r="X857" s="93" t="s">
        <v>24</v>
      </c>
    </row>
    <row r="858" spans="1:24" hidden="1" x14ac:dyDescent="0.15">
      <c r="A858" s="93" t="s">
        <v>2675</v>
      </c>
      <c r="B858" s="93" t="s">
        <v>2676</v>
      </c>
      <c r="C858" s="410">
        <v>3465</v>
      </c>
      <c r="D858" s="93" t="s">
        <v>9</v>
      </c>
      <c r="E858" s="93" t="s">
        <v>9</v>
      </c>
      <c r="F858" s="93" t="s">
        <v>1648</v>
      </c>
      <c r="G858" s="93" t="s">
        <v>9117</v>
      </c>
      <c r="H858" s="93" t="s">
        <v>1943</v>
      </c>
      <c r="I858" s="93" t="s">
        <v>111</v>
      </c>
      <c r="J858" s="93" t="s">
        <v>963</v>
      </c>
      <c r="K858" s="93">
        <v>60</v>
      </c>
      <c r="L858" s="93" t="s">
        <v>111</v>
      </c>
      <c r="M858" s="93">
        <v>4.9000000000000004</v>
      </c>
      <c r="N858" s="93" t="s">
        <v>113</v>
      </c>
      <c r="O858" s="93">
        <v>18.5</v>
      </c>
      <c r="P858" s="93">
        <v>29.5</v>
      </c>
      <c r="Q858" s="93">
        <v>32.5</v>
      </c>
      <c r="R858" s="93" t="s">
        <v>123</v>
      </c>
      <c r="S858" s="93" t="s">
        <v>111</v>
      </c>
      <c r="T858" s="93" t="s">
        <v>1659</v>
      </c>
      <c r="U858" s="93" t="s">
        <v>116</v>
      </c>
      <c r="V858" s="94">
        <v>44628.539583333331</v>
      </c>
      <c r="W858" s="93" t="s">
        <v>1170</v>
      </c>
      <c r="X858" s="93" t="s">
        <v>24</v>
      </c>
    </row>
    <row r="859" spans="1:24" hidden="1" x14ac:dyDescent="0.15">
      <c r="A859" s="93" t="s">
        <v>2677</v>
      </c>
      <c r="B859" s="93" t="s">
        <v>2678</v>
      </c>
      <c r="C859" s="410">
        <v>3465</v>
      </c>
      <c r="D859" s="93" t="s">
        <v>9</v>
      </c>
      <c r="E859" s="93" t="s">
        <v>9</v>
      </c>
      <c r="F859" s="93" t="s">
        <v>1648</v>
      </c>
      <c r="G859" s="93" t="s">
        <v>9117</v>
      </c>
      <c r="H859" s="93" t="s">
        <v>1943</v>
      </c>
      <c r="I859" s="93" t="s">
        <v>111</v>
      </c>
      <c r="J859" s="93" t="s">
        <v>963</v>
      </c>
      <c r="K859" s="93">
        <v>60</v>
      </c>
      <c r="L859" s="93" t="s">
        <v>111</v>
      </c>
      <c r="M859" s="93">
        <v>4.9000000000000004</v>
      </c>
      <c r="N859" s="93" t="s">
        <v>113</v>
      </c>
      <c r="O859" s="93">
        <v>18.5</v>
      </c>
      <c r="P859" s="93">
        <v>29.5</v>
      </c>
      <c r="Q859" s="93">
        <v>32.5</v>
      </c>
      <c r="R859" s="93" t="s">
        <v>123</v>
      </c>
      <c r="S859" s="93" t="s">
        <v>111</v>
      </c>
      <c r="T859" s="93" t="s">
        <v>1659</v>
      </c>
      <c r="U859" s="93" t="s">
        <v>116</v>
      </c>
      <c r="V859" s="94">
        <v>44628.604166666664</v>
      </c>
      <c r="W859" s="93" t="s">
        <v>1170</v>
      </c>
      <c r="X859" s="93" t="s">
        <v>24</v>
      </c>
    </row>
    <row r="860" spans="1:24" hidden="1" x14ac:dyDescent="0.15">
      <c r="A860" s="93" t="s">
        <v>2679</v>
      </c>
      <c r="B860" s="93" t="s">
        <v>2680</v>
      </c>
      <c r="C860" s="410">
        <v>3465</v>
      </c>
      <c r="D860" s="93" t="s">
        <v>9</v>
      </c>
      <c r="E860" s="93" t="s">
        <v>9</v>
      </c>
      <c r="F860" s="93" t="s">
        <v>1648</v>
      </c>
      <c r="G860" s="93" t="s">
        <v>9117</v>
      </c>
      <c r="H860" s="93" t="s">
        <v>1943</v>
      </c>
      <c r="I860" s="93" t="s">
        <v>111</v>
      </c>
      <c r="J860" s="93" t="s">
        <v>963</v>
      </c>
      <c r="K860" s="93">
        <v>60</v>
      </c>
      <c r="L860" s="93" t="s">
        <v>111</v>
      </c>
      <c r="M860" s="93">
        <v>4.9000000000000004</v>
      </c>
      <c r="N860" s="93" t="s">
        <v>113</v>
      </c>
      <c r="O860" s="93">
        <v>18.5</v>
      </c>
      <c r="P860" s="93">
        <v>29.5</v>
      </c>
      <c r="Q860" s="93">
        <v>32.5</v>
      </c>
      <c r="R860" s="93" t="s">
        <v>123</v>
      </c>
      <c r="S860" s="93" t="s">
        <v>111</v>
      </c>
      <c r="T860" s="93" t="s">
        <v>1659</v>
      </c>
      <c r="U860" s="93" t="s">
        <v>116</v>
      </c>
      <c r="V860" s="94">
        <v>44628.539583333331</v>
      </c>
      <c r="W860" s="93" t="s">
        <v>1170</v>
      </c>
      <c r="X860" s="93" t="s">
        <v>24</v>
      </c>
    </row>
    <row r="861" spans="1:24" hidden="1" x14ac:dyDescent="0.15">
      <c r="A861" s="93" t="s">
        <v>2681</v>
      </c>
      <c r="B861" s="93" t="s">
        <v>2682</v>
      </c>
      <c r="C861" s="410">
        <v>3465</v>
      </c>
      <c r="D861" s="93" t="s">
        <v>9</v>
      </c>
      <c r="E861" s="93" t="s">
        <v>9</v>
      </c>
      <c r="F861" s="93" t="s">
        <v>1648</v>
      </c>
      <c r="G861" s="93" t="s">
        <v>9117</v>
      </c>
      <c r="H861" s="93" t="s">
        <v>1943</v>
      </c>
      <c r="I861" s="93" t="s">
        <v>111</v>
      </c>
      <c r="J861" s="93" t="s">
        <v>963</v>
      </c>
      <c r="K861" s="93">
        <v>60</v>
      </c>
      <c r="L861" s="93" t="s">
        <v>111</v>
      </c>
      <c r="M861" s="93">
        <v>4.9000000000000004</v>
      </c>
      <c r="N861" s="93" t="s">
        <v>113</v>
      </c>
      <c r="O861" s="93">
        <v>18.5</v>
      </c>
      <c r="P861" s="93">
        <v>29.5</v>
      </c>
      <c r="Q861" s="93">
        <v>32.5</v>
      </c>
      <c r="R861" s="93" t="s">
        <v>123</v>
      </c>
      <c r="S861" s="93" t="s">
        <v>111</v>
      </c>
      <c r="T861" s="93" t="s">
        <v>1659</v>
      </c>
      <c r="U861" s="93" t="s">
        <v>116</v>
      </c>
      <c r="V861" s="94">
        <v>44628.604166666664</v>
      </c>
      <c r="W861" s="93" t="s">
        <v>1170</v>
      </c>
      <c r="X861" s="93" t="s">
        <v>24</v>
      </c>
    </row>
    <row r="862" spans="1:24" hidden="1" x14ac:dyDescent="0.15">
      <c r="A862" s="93" t="s">
        <v>2683</v>
      </c>
      <c r="B862" s="93" t="s">
        <v>2684</v>
      </c>
      <c r="C862" s="410">
        <v>3465</v>
      </c>
      <c r="D862" s="93" t="s">
        <v>9</v>
      </c>
      <c r="E862" s="93" t="s">
        <v>9</v>
      </c>
      <c r="F862" s="93" t="s">
        <v>1648</v>
      </c>
      <c r="G862" s="93" t="s">
        <v>9117</v>
      </c>
      <c r="H862" s="93" t="s">
        <v>1943</v>
      </c>
      <c r="I862" s="93" t="s">
        <v>111</v>
      </c>
      <c r="J862" s="93" t="s">
        <v>963</v>
      </c>
      <c r="K862" s="93">
        <v>60</v>
      </c>
      <c r="L862" s="93" t="s">
        <v>111</v>
      </c>
      <c r="M862" s="93">
        <v>4.9000000000000004</v>
      </c>
      <c r="N862" s="93" t="s">
        <v>113</v>
      </c>
      <c r="O862" s="93">
        <v>18.5</v>
      </c>
      <c r="P862" s="93">
        <v>29.5</v>
      </c>
      <c r="Q862" s="93">
        <v>32.5</v>
      </c>
      <c r="R862" s="93" t="s">
        <v>123</v>
      </c>
      <c r="S862" s="93" t="s">
        <v>111</v>
      </c>
      <c r="T862" s="93" t="s">
        <v>1659</v>
      </c>
      <c r="U862" s="93" t="s">
        <v>116</v>
      </c>
      <c r="V862" s="94">
        <v>44628.474305555559</v>
      </c>
      <c r="W862" s="93" t="s">
        <v>1170</v>
      </c>
      <c r="X862" s="93" t="s">
        <v>24</v>
      </c>
    </row>
    <row r="863" spans="1:24" hidden="1" x14ac:dyDescent="0.15">
      <c r="A863" s="93" t="s">
        <v>2685</v>
      </c>
      <c r="B863" s="93" t="s">
        <v>2686</v>
      </c>
      <c r="C863" s="410">
        <v>3465</v>
      </c>
      <c r="D863" s="93" t="s">
        <v>9</v>
      </c>
      <c r="E863" s="93" t="s">
        <v>9</v>
      </c>
      <c r="F863" s="93" t="s">
        <v>1648</v>
      </c>
      <c r="G863" s="93" t="s">
        <v>9117</v>
      </c>
      <c r="H863" s="93" t="s">
        <v>1943</v>
      </c>
      <c r="I863" s="93" t="s">
        <v>111</v>
      </c>
      <c r="J863" s="93" t="s">
        <v>963</v>
      </c>
      <c r="K863" s="93">
        <v>60</v>
      </c>
      <c r="L863" s="93" t="s">
        <v>111</v>
      </c>
      <c r="M863" s="93">
        <v>4.9000000000000004</v>
      </c>
      <c r="N863" s="93" t="s">
        <v>113</v>
      </c>
      <c r="O863" s="93">
        <v>18.5</v>
      </c>
      <c r="P863" s="93">
        <v>29.5</v>
      </c>
      <c r="Q863" s="93">
        <v>32.5</v>
      </c>
      <c r="R863" s="93" t="s">
        <v>123</v>
      </c>
      <c r="S863" s="93" t="s">
        <v>111</v>
      </c>
      <c r="T863" s="93" t="s">
        <v>1659</v>
      </c>
      <c r="U863" s="93" t="s">
        <v>116</v>
      </c>
      <c r="V863" s="94">
        <v>44628.63958333333</v>
      </c>
      <c r="W863" s="93" t="s">
        <v>1170</v>
      </c>
      <c r="X863" s="93" t="s">
        <v>24</v>
      </c>
    </row>
    <row r="864" spans="1:24" hidden="1" x14ac:dyDescent="0.15">
      <c r="A864" s="93" t="s">
        <v>2687</v>
      </c>
      <c r="B864" s="93" t="s">
        <v>2688</v>
      </c>
      <c r="C864" s="410">
        <v>3465</v>
      </c>
      <c r="D864" s="93" t="s">
        <v>9</v>
      </c>
      <c r="E864" s="93" t="s">
        <v>9</v>
      </c>
      <c r="F864" s="93" t="s">
        <v>1648</v>
      </c>
      <c r="G864" s="93" t="s">
        <v>9117</v>
      </c>
      <c r="H864" s="93" t="s">
        <v>1943</v>
      </c>
      <c r="I864" s="93" t="s">
        <v>111</v>
      </c>
      <c r="J864" s="93" t="s">
        <v>963</v>
      </c>
      <c r="K864" s="93">
        <v>60</v>
      </c>
      <c r="L864" s="93" t="s">
        <v>111</v>
      </c>
      <c r="M864" s="93">
        <v>4.9000000000000004</v>
      </c>
      <c r="N864" s="93" t="s">
        <v>113</v>
      </c>
      <c r="O864" s="93">
        <v>18.5</v>
      </c>
      <c r="P864" s="93">
        <v>29.5</v>
      </c>
      <c r="Q864" s="93">
        <v>32.5</v>
      </c>
      <c r="R864" s="93" t="s">
        <v>123</v>
      </c>
      <c r="S864" s="93" t="s">
        <v>111</v>
      </c>
      <c r="T864" s="93" t="s">
        <v>1659</v>
      </c>
      <c r="U864" s="93" t="s">
        <v>116</v>
      </c>
      <c r="V864" s="94">
        <v>44628.582638888889</v>
      </c>
      <c r="W864" s="93" t="s">
        <v>1170</v>
      </c>
      <c r="X864" s="93" t="s">
        <v>24</v>
      </c>
    </row>
    <row r="865" spans="1:24" hidden="1" x14ac:dyDescent="0.15">
      <c r="A865" s="93" t="s">
        <v>2689</v>
      </c>
      <c r="B865" s="93" t="s">
        <v>2690</v>
      </c>
      <c r="C865" s="410">
        <v>3465</v>
      </c>
      <c r="D865" s="93" t="s">
        <v>9</v>
      </c>
      <c r="E865" s="93" t="s">
        <v>9</v>
      </c>
      <c r="F865" s="93" t="s">
        <v>1648</v>
      </c>
      <c r="G865" s="93" t="s">
        <v>9117</v>
      </c>
      <c r="H865" s="93" t="s">
        <v>1943</v>
      </c>
      <c r="I865" s="93" t="s">
        <v>111</v>
      </c>
      <c r="J865" s="93" t="s">
        <v>963</v>
      </c>
      <c r="K865" s="93">
        <v>60</v>
      </c>
      <c r="L865" s="93" t="s">
        <v>111</v>
      </c>
      <c r="M865" s="93">
        <v>4.9000000000000004</v>
      </c>
      <c r="N865" s="93" t="s">
        <v>113</v>
      </c>
      <c r="O865" s="93">
        <v>18.5</v>
      </c>
      <c r="P865" s="93">
        <v>29.5</v>
      </c>
      <c r="Q865" s="93">
        <v>32.5</v>
      </c>
      <c r="R865" s="93" t="s">
        <v>123</v>
      </c>
      <c r="S865" s="93" t="s">
        <v>111</v>
      </c>
      <c r="T865" s="93" t="s">
        <v>1659</v>
      </c>
      <c r="U865" s="93" t="s">
        <v>116</v>
      </c>
      <c r="V865" s="94">
        <v>44628.582638888889</v>
      </c>
      <c r="W865" s="93" t="s">
        <v>1170</v>
      </c>
      <c r="X865" s="93" t="s">
        <v>24</v>
      </c>
    </row>
    <row r="866" spans="1:24" hidden="1" x14ac:dyDescent="0.15">
      <c r="A866" s="93" t="s">
        <v>2691</v>
      </c>
      <c r="B866" s="93" t="s">
        <v>2692</v>
      </c>
      <c r="C866" s="410">
        <v>3465</v>
      </c>
      <c r="D866" s="93" t="s">
        <v>9</v>
      </c>
      <c r="E866" s="93" t="s">
        <v>9</v>
      </c>
      <c r="F866" s="93" t="s">
        <v>1648</v>
      </c>
      <c r="G866" s="93" t="s">
        <v>9117</v>
      </c>
      <c r="H866" s="93" t="s">
        <v>1943</v>
      </c>
      <c r="I866" s="93" t="s">
        <v>111</v>
      </c>
      <c r="J866" s="93" t="s">
        <v>963</v>
      </c>
      <c r="K866" s="93">
        <v>60</v>
      </c>
      <c r="L866" s="93" t="s">
        <v>111</v>
      </c>
      <c r="M866" s="93">
        <v>4.9000000000000004</v>
      </c>
      <c r="N866" s="93" t="s">
        <v>113</v>
      </c>
      <c r="O866" s="93">
        <v>18.5</v>
      </c>
      <c r="P866" s="93">
        <v>29.5</v>
      </c>
      <c r="Q866" s="93">
        <v>32.5</v>
      </c>
      <c r="R866" s="93" t="s">
        <v>123</v>
      </c>
      <c r="S866" s="93" t="s">
        <v>111</v>
      </c>
      <c r="T866" s="93" t="s">
        <v>1659</v>
      </c>
      <c r="U866" s="93" t="s">
        <v>116</v>
      </c>
      <c r="V866" s="94">
        <v>44628.539583333331</v>
      </c>
      <c r="W866" s="93" t="s">
        <v>1170</v>
      </c>
      <c r="X866" s="93" t="s">
        <v>24</v>
      </c>
    </row>
    <row r="867" spans="1:24" hidden="1" x14ac:dyDescent="0.15">
      <c r="A867" s="93" t="s">
        <v>2693</v>
      </c>
      <c r="B867" s="93" t="s">
        <v>2694</v>
      </c>
      <c r="C867" s="410">
        <v>3465</v>
      </c>
      <c r="D867" s="93" t="s">
        <v>9</v>
      </c>
      <c r="E867" s="93" t="s">
        <v>9</v>
      </c>
      <c r="F867" s="93" t="s">
        <v>1648</v>
      </c>
      <c r="G867" s="93" t="s">
        <v>9117</v>
      </c>
      <c r="H867" s="93" t="s">
        <v>1943</v>
      </c>
      <c r="I867" s="93" t="s">
        <v>111</v>
      </c>
      <c r="J867" s="93" t="s">
        <v>963</v>
      </c>
      <c r="K867" s="93">
        <v>60</v>
      </c>
      <c r="L867" s="93" t="s">
        <v>111</v>
      </c>
      <c r="M867" s="93">
        <v>4.9000000000000004</v>
      </c>
      <c r="N867" s="93" t="s">
        <v>113</v>
      </c>
      <c r="O867" s="93">
        <v>18.5</v>
      </c>
      <c r="P867" s="93">
        <v>29.5</v>
      </c>
      <c r="Q867" s="93">
        <v>32.5</v>
      </c>
      <c r="R867" s="93" t="s">
        <v>123</v>
      </c>
      <c r="S867" s="93" t="s">
        <v>111</v>
      </c>
      <c r="T867" s="93" t="s">
        <v>1659</v>
      </c>
      <c r="U867" s="93" t="s">
        <v>116</v>
      </c>
      <c r="V867" s="94">
        <v>44628.495138888888</v>
      </c>
      <c r="W867" s="93" t="s">
        <v>1170</v>
      </c>
      <c r="X867" s="93" t="s">
        <v>24</v>
      </c>
    </row>
    <row r="868" spans="1:24" hidden="1" x14ac:dyDescent="0.15">
      <c r="A868" s="93" t="s">
        <v>2695</v>
      </c>
      <c r="B868" s="93" t="s">
        <v>2696</v>
      </c>
      <c r="C868" s="410">
        <v>3465</v>
      </c>
      <c r="D868" s="93" t="s">
        <v>9</v>
      </c>
      <c r="E868" s="93" t="s">
        <v>9</v>
      </c>
      <c r="F868" s="93" t="s">
        <v>1648</v>
      </c>
      <c r="G868" s="93" t="s">
        <v>9117</v>
      </c>
      <c r="H868" s="93" t="s">
        <v>1943</v>
      </c>
      <c r="I868" s="93" t="s">
        <v>111</v>
      </c>
      <c r="J868" s="93" t="s">
        <v>963</v>
      </c>
      <c r="K868" s="93">
        <v>60</v>
      </c>
      <c r="L868" s="93" t="s">
        <v>111</v>
      </c>
      <c r="M868" s="93">
        <v>4.9000000000000004</v>
      </c>
      <c r="N868" s="93" t="s">
        <v>113</v>
      </c>
      <c r="O868" s="93">
        <v>18.5</v>
      </c>
      <c r="P868" s="93">
        <v>29.5</v>
      </c>
      <c r="Q868" s="93">
        <v>32.5</v>
      </c>
      <c r="R868" s="93" t="s">
        <v>123</v>
      </c>
      <c r="S868" s="93" t="s">
        <v>111</v>
      </c>
      <c r="T868" s="93" t="s">
        <v>1659</v>
      </c>
      <c r="U868" s="93" t="s">
        <v>116</v>
      </c>
      <c r="V868" s="94">
        <v>44628.495138888888</v>
      </c>
      <c r="W868" s="93" t="s">
        <v>1170</v>
      </c>
      <c r="X868" s="93" t="s">
        <v>24</v>
      </c>
    </row>
    <row r="869" spans="1:24" hidden="1" x14ac:dyDescent="0.15">
      <c r="A869" s="93" t="s">
        <v>2697</v>
      </c>
      <c r="B869" s="93" t="s">
        <v>2698</v>
      </c>
      <c r="C869" s="410">
        <v>3465</v>
      </c>
      <c r="D869" s="93" t="s">
        <v>9</v>
      </c>
      <c r="E869" s="93" t="s">
        <v>9</v>
      </c>
      <c r="F869" s="93" t="s">
        <v>1648</v>
      </c>
      <c r="G869" s="93" t="s">
        <v>9117</v>
      </c>
      <c r="H869" s="93" t="s">
        <v>1943</v>
      </c>
      <c r="I869" s="93" t="s">
        <v>111</v>
      </c>
      <c r="J869" s="93" t="s">
        <v>963</v>
      </c>
      <c r="K869" s="93">
        <v>60</v>
      </c>
      <c r="L869" s="93" t="s">
        <v>111</v>
      </c>
      <c r="M869" s="93">
        <v>4.9000000000000004</v>
      </c>
      <c r="N869" s="93" t="s">
        <v>113</v>
      </c>
      <c r="O869" s="93">
        <v>18.5</v>
      </c>
      <c r="P869" s="93">
        <v>29.5</v>
      </c>
      <c r="Q869" s="93">
        <v>32.5</v>
      </c>
      <c r="R869" s="93" t="s">
        <v>123</v>
      </c>
      <c r="S869" s="93" t="s">
        <v>111</v>
      </c>
      <c r="T869" s="93" t="s">
        <v>1659</v>
      </c>
      <c r="U869" s="93" t="s">
        <v>116</v>
      </c>
      <c r="V869" s="94">
        <v>44628.495138888888</v>
      </c>
      <c r="W869" s="93" t="s">
        <v>1170</v>
      </c>
      <c r="X869" s="93" t="s">
        <v>24</v>
      </c>
    </row>
    <row r="870" spans="1:24" hidden="1" x14ac:dyDescent="0.15">
      <c r="A870" s="93" t="s">
        <v>2699</v>
      </c>
      <c r="B870" s="93" t="s">
        <v>2700</v>
      </c>
      <c r="C870" s="410">
        <v>3465</v>
      </c>
      <c r="D870" s="93" t="s">
        <v>9</v>
      </c>
      <c r="E870" s="93" t="s">
        <v>9</v>
      </c>
      <c r="F870" s="93" t="s">
        <v>1648</v>
      </c>
      <c r="G870" s="93" t="s">
        <v>9117</v>
      </c>
      <c r="H870" s="93" t="s">
        <v>1943</v>
      </c>
      <c r="I870" s="93" t="s">
        <v>111</v>
      </c>
      <c r="J870" s="93" t="s">
        <v>963</v>
      </c>
      <c r="K870" s="93">
        <v>60</v>
      </c>
      <c r="L870" s="93" t="s">
        <v>111</v>
      </c>
      <c r="M870" s="93">
        <v>4.9000000000000004</v>
      </c>
      <c r="N870" s="93" t="s">
        <v>113</v>
      </c>
      <c r="O870" s="93">
        <v>18.5</v>
      </c>
      <c r="P870" s="93">
        <v>29.5</v>
      </c>
      <c r="Q870" s="93">
        <v>32.5</v>
      </c>
      <c r="R870" s="93" t="s">
        <v>123</v>
      </c>
      <c r="S870" s="93" t="s">
        <v>111</v>
      </c>
      <c r="T870" s="93" t="s">
        <v>1659</v>
      </c>
      <c r="U870" s="93" t="s">
        <v>116</v>
      </c>
      <c r="V870" s="94">
        <v>44628.495138888888</v>
      </c>
      <c r="W870" s="93" t="s">
        <v>1170</v>
      </c>
      <c r="X870" s="93" t="s">
        <v>24</v>
      </c>
    </row>
    <row r="871" spans="1:24" hidden="1" x14ac:dyDescent="0.15">
      <c r="A871" s="93" t="s">
        <v>2701</v>
      </c>
      <c r="B871" s="93" t="s">
        <v>2702</v>
      </c>
      <c r="C871" s="410">
        <v>3465</v>
      </c>
      <c r="D871" s="93" t="s">
        <v>9</v>
      </c>
      <c r="E871" s="93" t="s">
        <v>9</v>
      </c>
      <c r="F871" s="93" t="s">
        <v>1648</v>
      </c>
      <c r="G871" s="93" t="s">
        <v>9117</v>
      </c>
      <c r="H871" s="93" t="s">
        <v>1943</v>
      </c>
      <c r="I871" s="93" t="s">
        <v>111</v>
      </c>
      <c r="J871" s="93" t="s">
        <v>963</v>
      </c>
      <c r="K871" s="93">
        <v>60</v>
      </c>
      <c r="L871" s="93" t="s">
        <v>111</v>
      </c>
      <c r="M871" s="93">
        <v>4.9000000000000004</v>
      </c>
      <c r="N871" s="93" t="s">
        <v>113</v>
      </c>
      <c r="O871" s="93">
        <v>18.5</v>
      </c>
      <c r="P871" s="93">
        <v>29.5</v>
      </c>
      <c r="Q871" s="93">
        <v>32.5</v>
      </c>
      <c r="R871" s="93" t="s">
        <v>123</v>
      </c>
      <c r="S871" s="93" t="s">
        <v>111</v>
      </c>
      <c r="T871" s="93" t="s">
        <v>1659</v>
      </c>
      <c r="U871" s="93" t="s">
        <v>116</v>
      </c>
      <c r="V871" s="94">
        <v>44628.474305555559</v>
      </c>
      <c r="W871" s="93" t="s">
        <v>1170</v>
      </c>
      <c r="X871" s="93" t="s">
        <v>24</v>
      </c>
    </row>
    <row r="872" spans="1:24" hidden="1" x14ac:dyDescent="0.15">
      <c r="A872" s="93" t="s">
        <v>2703</v>
      </c>
      <c r="B872" s="93" t="s">
        <v>2704</v>
      </c>
      <c r="C872" s="410">
        <v>3465</v>
      </c>
      <c r="D872" s="93" t="s">
        <v>9</v>
      </c>
      <c r="E872" s="93" t="s">
        <v>9</v>
      </c>
      <c r="F872" s="93" t="s">
        <v>1648</v>
      </c>
      <c r="G872" s="93" t="s">
        <v>9117</v>
      </c>
      <c r="H872" s="93" t="s">
        <v>1943</v>
      </c>
      <c r="I872" s="93" t="s">
        <v>111</v>
      </c>
      <c r="J872" s="93" t="s">
        <v>963</v>
      </c>
      <c r="K872" s="93">
        <v>60</v>
      </c>
      <c r="L872" s="93" t="s">
        <v>111</v>
      </c>
      <c r="M872" s="93">
        <v>4.9000000000000004</v>
      </c>
      <c r="N872" s="93" t="s">
        <v>113</v>
      </c>
      <c r="O872" s="93">
        <v>18.5</v>
      </c>
      <c r="P872" s="93">
        <v>29.5</v>
      </c>
      <c r="Q872" s="93">
        <v>32.5</v>
      </c>
      <c r="R872" s="93" t="s">
        <v>123</v>
      </c>
      <c r="S872" s="93" t="s">
        <v>111</v>
      </c>
      <c r="T872" s="93" t="s">
        <v>1659</v>
      </c>
      <c r="U872" s="93" t="s">
        <v>116</v>
      </c>
      <c r="V872" s="94">
        <v>44628.539583333331</v>
      </c>
      <c r="W872" s="93" t="s">
        <v>1170</v>
      </c>
      <c r="X872" s="93" t="s">
        <v>24</v>
      </c>
    </row>
    <row r="873" spans="1:24" hidden="1" x14ac:dyDescent="0.15">
      <c r="A873" s="93" t="s">
        <v>2705</v>
      </c>
      <c r="B873" s="93" t="s">
        <v>2706</v>
      </c>
      <c r="C873" s="410">
        <v>3465</v>
      </c>
      <c r="D873" s="93" t="s">
        <v>9</v>
      </c>
      <c r="E873" s="93" t="s">
        <v>9</v>
      </c>
      <c r="F873" s="93" t="s">
        <v>1648</v>
      </c>
      <c r="G873" s="93" t="s">
        <v>9117</v>
      </c>
      <c r="H873" s="93" t="s">
        <v>1943</v>
      </c>
      <c r="I873" s="93" t="s">
        <v>111</v>
      </c>
      <c r="J873" s="93" t="s">
        <v>963</v>
      </c>
      <c r="K873" s="93">
        <v>60</v>
      </c>
      <c r="L873" s="93" t="s">
        <v>111</v>
      </c>
      <c r="M873" s="93">
        <v>4.9000000000000004</v>
      </c>
      <c r="N873" s="93" t="s">
        <v>113</v>
      </c>
      <c r="O873" s="93">
        <v>18.5</v>
      </c>
      <c r="P873" s="93">
        <v>29.5</v>
      </c>
      <c r="Q873" s="93">
        <v>32.5</v>
      </c>
      <c r="R873" s="93" t="s">
        <v>123</v>
      </c>
      <c r="S873" s="93" t="s">
        <v>111</v>
      </c>
      <c r="T873" s="93" t="s">
        <v>1659</v>
      </c>
      <c r="U873" s="93" t="s">
        <v>116</v>
      </c>
      <c r="V873" s="94">
        <v>44628.517361111109</v>
      </c>
      <c r="W873" s="93" t="s">
        <v>1170</v>
      </c>
      <c r="X873" s="93" t="s">
        <v>24</v>
      </c>
    </row>
    <row r="874" spans="1:24" hidden="1" x14ac:dyDescent="0.15">
      <c r="A874" s="93" t="s">
        <v>2707</v>
      </c>
      <c r="B874" s="93" t="s">
        <v>2708</v>
      </c>
      <c r="C874" s="410">
        <v>3465</v>
      </c>
      <c r="D874" s="93" t="s">
        <v>9</v>
      </c>
      <c r="E874" s="93" t="s">
        <v>9</v>
      </c>
      <c r="F874" s="93" t="s">
        <v>1648</v>
      </c>
      <c r="G874" s="93" t="s">
        <v>9117</v>
      </c>
      <c r="H874" s="93" t="s">
        <v>1943</v>
      </c>
      <c r="I874" s="93" t="s">
        <v>111</v>
      </c>
      <c r="J874" s="93" t="s">
        <v>963</v>
      </c>
      <c r="K874" s="93">
        <v>60</v>
      </c>
      <c r="L874" s="93" t="s">
        <v>111</v>
      </c>
      <c r="M874" s="93">
        <v>4.9000000000000004</v>
      </c>
      <c r="N874" s="93" t="s">
        <v>113</v>
      </c>
      <c r="O874" s="93">
        <v>18.5</v>
      </c>
      <c r="P874" s="93">
        <v>29.5</v>
      </c>
      <c r="Q874" s="93">
        <v>32.5</v>
      </c>
      <c r="R874" s="93" t="s">
        <v>123</v>
      </c>
      <c r="S874" s="93" t="s">
        <v>111</v>
      </c>
      <c r="T874" s="93" t="s">
        <v>1659</v>
      </c>
      <c r="U874" s="93" t="s">
        <v>116</v>
      </c>
      <c r="V874" s="94">
        <v>44628.582638888889</v>
      </c>
      <c r="W874" s="93" t="s">
        <v>1170</v>
      </c>
      <c r="X874" s="93" t="s">
        <v>24</v>
      </c>
    </row>
    <row r="875" spans="1:24" hidden="1" x14ac:dyDescent="0.15">
      <c r="A875" s="93" t="s">
        <v>2709</v>
      </c>
      <c r="B875" s="93" t="s">
        <v>2710</v>
      </c>
      <c r="C875" s="410">
        <v>3465</v>
      </c>
      <c r="D875" s="93" t="s">
        <v>9</v>
      </c>
      <c r="E875" s="93" t="s">
        <v>9</v>
      </c>
      <c r="F875" s="93" t="s">
        <v>1648</v>
      </c>
      <c r="G875" s="93" t="s">
        <v>9117</v>
      </c>
      <c r="H875" s="93" t="s">
        <v>1943</v>
      </c>
      <c r="I875" s="93" t="s">
        <v>111</v>
      </c>
      <c r="J875" s="93" t="s">
        <v>963</v>
      </c>
      <c r="K875" s="93">
        <v>60</v>
      </c>
      <c r="L875" s="93" t="s">
        <v>111</v>
      </c>
      <c r="M875" s="93">
        <v>4.9000000000000004</v>
      </c>
      <c r="N875" s="93" t="s">
        <v>113</v>
      </c>
      <c r="O875" s="93">
        <v>18.5</v>
      </c>
      <c r="P875" s="93">
        <v>29.5</v>
      </c>
      <c r="Q875" s="93">
        <v>32.5</v>
      </c>
      <c r="R875" s="93" t="s">
        <v>123</v>
      </c>
      <c r="S875" s="93" t="s">
        <v>111</v>
      </c>
      <c r="T875" s="93" t="s">
        <v>1659</v>
      </c>
      <c r="U875" s="93" t="s">
        <v>116</v>
      </c>
      <c r="V875" s="94">
        <v>44628.517361111109</v>
      </c>
      <c r="W875" s="93" t="s">
        <v>1170</v>
      </c>
      <c r="X875" s="93" t="s">
        <v>24</v>
      </c>
    </row>
    <row r="876" spans="1:24" hidden="1" x14ac:dyDescent="0.15">
      <c r="A876" s="93" t="s">
        <v>2711</v>
      </c>
      <c r="B876" s="93" t="s">
        <v>2712</v>
      </c>
      <c r="C876" s="410">
        <v>3465</v>
      </c>
      <c r="D876" s="93" t="s">
        <v>9</v>
      </c>
      <c r="E876" s="93" t="s">
        <v>9</v>
      </c>
      <c r="F876" s="93" t="s">
        <v>1648</v>
      </c>
      <c r="G876" s="93" t="s">
        <v>9117</v>
      </c>
      <c r="H876" s="93" t="s">
        <v>1943</v>
      </c>
      <c r="I876" s="93" t="s">
        <v>111</v>
      </c>
      <c r="J876" s="93" t="s">
        <v>963</v>
      </c>
      <c r="K876" s="93">
        <v>60</v>
      </c>
      <c r="L876" s="93" t="s">
        <v>111</v>
      </c>
      <c r="M876" s="93">
        <v>4.9000000000000004</v>
      </c>
      <c r="N876" s="93" t="s">
        <v>113</v>
      </c>
      <c r="O876" s="93">
        <v>18.5</v>
      </c>
      <c r="P876" s="93">
        <v>29.5</v>
      </c>
      <c r="Q876" s="93">
        <v>32.5</v>
      </c>
      <c r="R876" s="93" t="s">
        <v>123</v>
      </c>
      <c r="S876" s="93" t="s">
        <v>111</v>
      </c>
      <c r="T876" s="93" t="s">
        <v>1659</v>
      </c>
      <c r="U876" s="93" t="s">
        <v>116</v>
      </c>
      <c r="V876" s="94">
        <v>44628.561111111114</v>
      </c>
      <c r="W876" s="93" t="s">
        <v>1170</v>
      </c>
      <c r="X876" s="93" t="s">
        <v>24</v>
      </c>
    </row>
    <row r="877" spans="1:24" hidden="1" x14ac:dyDescent="0.15">
      <c r="A877" s="93" t="s">
        <v>2713</v>
      </c>
      <c r="B877" s="93" t="s">
        <v>2714</v>
      </c>
      <c r="C877" s="410">
        <v>3465</v>
      </c>
      <c r="D877" s="93" t="s">
        <v>9</v>
      </c>
      <c r="E877" s="93" t="s">
        <v>9</v>
      </c>
      <c r="F877" s="93" t="s">
        <v>1648</v>
      </c>
      <c r="G877" s="93" t="s">
        <v>9117</v>
      </c>
      <c r="H877" s="93" t="s">
        <v>1943</v>
      </c>
      <c r="I877" s="93" t="s">
        <v>111</v>
      </c>
      <c r="J877" s="93" t="s">
        <v>963</v>
      </c>
      <c r="K877" s="93">
        <v>60</v>
      </c>
      <c r="L877" s="93" t="s">
        <v>111</v>
      </c>
      <c r="M877" s="93">
        <v>4.9000000000000004</v>
      </c>
      <c r="N877" s="93" t="s">
        <v>113</v>
      </c>
      <c r="O877" s="93">
        <v>18.5</v>
      </c>
      <c r="P877" s="93">
        <v>29.5</v>
      </c>
      <c r="Q877" s="93">
        <v>32.5</v>
      </c>
      <c r="R877" s="93" t="s">
        <v>123</v>
      </c>
      <c r="S877" s="93" t="s">
        <v>111</v>
      </c>
      <c r="T877" s="93" t="s">
        <v>1659</v>
      </c>
      <c r="U877" s="93" t="s">
        <v>116</v>
      </c>
      <c r="V877" s="94">
        <v>44628.582638888889</v>
      </c>
      <c r="W877" s="93" t="s">
        <v>1170</v>
      </c>
      <c r="X877" s="93" t="s">
        <v>24</v>
      </c>
    </row>
    <row r="878" spans="1:24" hidden="1" x14ac:dyDescent="0.15">
      <c r="A878" s="93" t="s">
        <v>2715</v>
      </c>
      <c r="B878" s="93" t="s">
        <v>2716</v>
      </c>
      <c r="C878" s="410">
        <v>3465</v>
      </c>
      <c r="D878" s="93" t="s">
        <v>9</v>
      </c>
      <c r="E878" s="93" t="s">
        <v>9</v>
      </c>
      <c r="F878" s="93" t="s">
        <v>1648</v>
      </c>
      <c r="G878" s="93" t="s">
        <v>9117</v>
      </c>
      <c r="H878" s="93" t="s">
        <v>1943</v>
      </c>
      <c r="I878" s="93" t="s">
        <v>111</v>
      </c>
      <c r="J878" s="93" t="s">
        <v>963</v>
      </c>
      <c r="K878" s="93">
        <v>60</v>
      </c>
      <c r="L878" s="93" t="s">
        <v>111</v>
      </c>
      <c r="M878" s="93">
        <v>4.9000000000000004</v>
      </c>
      <c r="N878" s="93" t="s">
        <v>113</v>
      </c>
      <c r="O878" s="93">
        <v>18.5</v>
      </c>
      <c r="P878" s="93">
        <v>29.5</v>
      </c>
      <c r="Q878" s="93">
        <v>32.5</v>
      </c>
      <c r="R878" s="93" t="s">
        <v>123</v>
      </c>
      <c r="S878" s="93" t="s">
        <v>111</v>
      </c>
      <c r="T878" s="93" t="s">
        <v>1659</v>
      </c>
      <c r="U878" s="93" t="s">
        <v>116</v>
      </c>
      <c r="V878" s="94">
        <v>44628.63958333333</v>
      </c>
      <c r="W878" s="93" t="s">
        <v>1170</v>
      </c>
      <c r="X878" s="93" t="s">
        <v>24</v>
      </c>
    </row>
    <row r="879" spans="1:24" hidden="1" x14ac:dyDescent="0.15">
      <c r="A879" s="93" t="s">
        <v>2717</v>
      </c>
      <c r="B879" s="93" t="s">
        <v>2718</v>
      </c>
      <c r="C879" s="410">
        <v>3465</v>
      </c>
      <c r="D879" s="93" t="s">
        <v>9</v>
      </c>
      <c r="E879" s="93" t="s">
        <v>9</v>
      </c>
      <c r="F879" s="93" t="s">
        <v>1648</v>
      </c>
      <c r="G879" s="93" t="s">
        <v>9117</v>
      </c>
      <c r="H879" s="93" t="s">
        <v>1943</v>
      </c>
      <c r="I879" s="93" t="s">
        <v>111</v>
      </c>
      <c r="J879" s="93" t="s">
        <v>963</v>
      </c>
      <c r="K879" s="93">
        <v>60</v>
      </c>
      <c r="L879" s="93" t="s">
        <v>111</v>
      </c>
      <c r="M879" s="93">
        <v>4.9000000000000004</v>
      </c>
      <c r="N879" s="93" t="s">
        <v>113</v>
      </c>
      <c r="O879" s="93">
        <v>18.5</v>
      </c>
      <c r="P879" s="93">
        <v>29.5</v>
      </c>
      <c r="Q879" s="93">
        <v>32.5</v>
      </c>
      <c r="R879" s="93" t="s">
        <v>123</v>
      </c>
      <c r="S879" s="93" t="s">
        <v>111</v>
      </c>
      <c r="T879" s="93" t="s">
        <v>1659</v>
      </c>
      <c r="U879" s="93" t="s">
        <v>116</v>
      </c>
      <c r="V879" s="94">
        <v>44628.561111111114</v>
      </c>
      <c r="W879" s="93" t="s">
        <v>1170</v>
      </c>
      <c r="X879" s="93" t="s">
        <v>24</v>
      </c>
    </row>
    <row r="880" spans="1:24" hidden="1" x14ac:dyDescent="0.15">
      <c r="A880" s="93" t="s">
        <v>2719</v>
      </c>
      <c r="B880" s="93" t="s">
        <v>2720</v>
      </c>
      <c r="C880" s="410">
        <v>3465</v>
      </c>
      <c r="D880" s="93" t="s">
        <v>9</v>
      </c>
      <c r="E880" s="93" t="s">
        <v>9</v>
      </c>
      <c r="F880" s="93" t="s">
        <v>1648</v>
      </c>
      <c r="G880" s="93" t="s">
        <v>9117</v>
      </c>
      <c r="H880" s="93" t="s">
        <v>1943</v>
      </c>
      <c r="I880" s="93" t="s">
        <v>111</v>
      </c>
      <c r="J880" s="93" t="s">
        <v>963</v>
      </c>
      <c r="K880" s="93">
        <v>60</v>
      </c>
      <c r="L880" s="93" t="s">
        <v>111</v>
      </c>
      <c r="M880" s="93">
        <v>4.9000000000000004</v>
      </c>
      <c r="N880" s="93" t="s">
        <v>113</v>
      </c>
      <c r="O880" s="93">
        <v>18.5</v>
      </c>
      <c r="P880" s="93">
        <v>29.5</v>
      </c>
      <c r="Q880" s="93">
        <v>32.5</v>
      </c>
      <c r="R880" s="93" t="s">
        <v>123</v>
      </c>
      <c r="S880" s="93" t="s">
        <v>111</v>
      </c>
      <c r="T880" s="93" t="s">
        <v>1659</v>
      </c>
      <c r="U880" s="93" t="s">
        <v>116</v>
      </c>
      <c r="V880" s="94">
        <v>44628.474305555559</v>
      </c>
      <c r="W880" s="93" t="s">
        <v>1170</v>
      </c>
      <c r="X880" s="93" t="s">
        <v>24</v>
      </c>
    </row>
    <row r="881" spans="1:24" hidden="1" x14ac:dyDescent="0.15">
      <c r="A881" s="93" t="s">
        <v>2721</v>
      </c>
      <c r="B881" s="93" t="s">
        <v>2722</v>
      </c>
      <c r="C881" s="410">
        <v>3465</v>
      </c>
      <c r="D881" s="93" t="s">
        <v>9</v>
      </c>
      <c r="E881" s="93" t="s">
        <v>9</v>
      </c>
      <c r="F881" s="93" t="s">
        <v>1648</v>
      </c>
      <c r="G881" s="93" t="s">
        <v>9117</v>
      </c>
      <c r="H881" s="93" t="s">
        <v>1943</v>
      </c>
      <c r="I881" s="93" t="s">
        <v>111</v>
      </c>
      <c r="J881" s="93" t="s">
        <v>963</v>
      </c>
      <c r="K881" s="93">
        <v>60</v>
      </c>
      <c r="L881" s="93" t="s">
        <v>111</v>
      </c>
      <c r="M881" s="93">
        <v>4.9000000000000004</v>
      </c>
      <c r="N881" s="93" t="s">
        <v>113</v>
      </c>
      <c r="O881" s="93">
        <v>18.5</v>
      </c>
      <c r="P881" s="93">
        <v>29.5</v>
      </c>
      <c r="Q881" s="93">
        <v>32.5</v>
      </c>
      <c r="R881" s="93" t="s">
        <v>123</v>
      </c>
      <c r="S881" s="93" t="s">
        <v>111</v>
      </c>
      <c r="T881" s="93" t="s">
        <v>1659</v>
      </c>
      <c r="U881" s="93" t="s">
        <v>116</v>
      </c>
      <c r="V881" s="94">
        <v>44628.517361111109</v>
      </c>
      <c r="W881" s="93" t="s">
        <v>1170</v>
      </c>
      <c r="X881" s="93" t="s">
        <v>24</v>
      </c>
    </row>
    <row r="882" spans="1:24" hidden="1" x14ac:dyDescent="0.15">
      <c r="A882" s="93" t="s">
        <v>2723</v>
      </c>
      <c r="B882" s="93" t="s">
        <v>2724</v>
      </c>
      <c r="C882" s="410">
        <v>3465</v>
      </c>
      <c r="D882" s="93" t="s">
        <v>9</v>
      </c>
      <c r="E882" s="93" t="s">
        <v>9</v>
      </c>
      <c r="F882" s="93" t="s">
        <v>1648</v>
      </c>
      <c r="G882" s="93" t="s">
        <v>9117</v>
      </c>
      <c r="H882" s="93" t="s">
        <v>1943</v>
      </c>
      <c r="I882" s="93" t="s">
        <v>111</v>
      </c>
      <c r="J882" s="93" t="s">
        <v>963</v>
      </c>
      <c r="K882" s="93">
        <v>60</v>
      </c>
      <c r="L882" s="93" t="s">
        <v>111</v>
      </c>
      <c r="M882" s="93">
        <v>4.9000000000000004</v>
      </c>
      <c r="N882" s="93" t="s">
        <v>113</v>
      </c>
      <c r="O882" s="93">
        <v>18.5</v>
      </c>
      <c r="P882" s="93">
        <v>29.5</v>
      </c>
      <c r="Q882" s="93">
        <v>32.5</v>
      </c>
      <c r="R882" s="93" t="s">
        <v>123</v>
      </c>
      <c r="S882" s="93" t="s">
        <v>111</v>
      </c>
      <c r="T882" s="93" t="s">
        <v>1659</v>
      </c>
      <c r="U882" s="93" t="s">
        <v>116</v>
      </c>
      <c r="V882" s="94">
        <v>44628.561111111114</v>
      </c>
      <c r="W882" s="93" t="s">
        <v>1170</v>
      </c>
      <c r="X882" s="93" t="s">
        <v>24</v>
      </c>
    </row>
    <row r="883" spans="1:24" hidden="1" x14ac:dyDescent="0.15">
      <c r="A883" s="93" t="s">
        <v>2725</v>
      </c>
      <c r="B883" s="93" t="s">
        <v>2726</v>
      </c>
      <c r="C883" s="410">
        <v>3465</v>
      </c>
      <c r="D883" s="93" t="s">
        <v>9</v>
      </c>
      <c r="E883" s="93" t="s">
        <v>9</v>
      </c>
      <c r="F883" s="93" t="s">
        <v>1648</v>
      </c>
      <c r="G883" s="93" t="s">
        <v>9117</v>
      </c>
      <c r="H883" s="93" t="s">
        <v>1943</v>
      </c>
      <c r="I883" s="93" t="s">
        <v>111</v>
      </c>
      <c r="J883" s="93" t="s">
        <v>963</v>
      </c>
      <c r="K883" s="93">
        <v>60</v>
      </c>
      <c r="L883" s="93" t="s">
        <v>111</v>
      </c>
      <c r="M883" s="93">
        <v>4.9000000000000004</v>
      </c>
      <c r="N883" s="93" t="s">
        <v>113</v>
      </c>
      <c r="O883" s="93">
        <v>18.5</v>
      </c>
      <c r="P883" s="93">
        <v>29.5</v>
      </c>
      <c r="Q883" s="93">
        <v>32.5</v>
      </c>
      <c r="R883" s="93" t="s">
        <v>123</v>
      </c>
      <c r="S883" s="93" t="s">
        <v>111</v>
      </c>
      <c r="T883" s="93" t="s">
        <v>1659</v>
      </c>
      <c r="U883" s="93" t="s">
        <v>116</v>
      </c>
      <c r="V883" s="94">
        <v>44628.63958333333</v>
      </c>
      <c r="W883" s="93" t="s">
        <v>1170</v>
      </c>
      <c r="X883" s="93" t="s">
        <v>24</v>
      </c>
    </row>
    <row r="884" spans="1:24" hidden="1" x14ac:dyDescent="0.15">
      <c r="A884" s="93" t="s">
        <v>2727</v>
      </c>
      <c r="B884" s="93" t="s">
        <v>2728</v>
      </c>
      <c r="C884" s="410">
        <v>3465</v>
      </c>
      <c r="D884" s="93" t="s">
        <v>9</v>
      </c>
      <c r="E884" s="93" t="s">
        <v>9</v>
      </c>
      <c r="F884" s="93" t="s">
        <v>1648</v>
      </c>
      <c r="G884" s="93" t="s">
        <v>9117</v>
      </c>
      <c r="H884" s="93" t="s">
        <v>1943</v>
      </c>
      <c r="I884" s="93" t="s">
        <v>111</v>
      </c>
      <c r="J884" s="93" t="s">
        <v>963</v>
      </c>
      <c r="K884" s="93">
        <v>60</v>
      </c>
      <c r="L884" s="93" t="s">
        <v>111</v>
      </c>
      <c r="M884" s="93">
        <v>4.9000000000000004</v>
      </c>
      <c r="N884" s="93" t="s">
        <v>113</v>
      </c>
      <c r="O884" s="93">
        <v>18.5</v>
      </c>
      <c r="P884" s="93">
        <v>29.5</v>
      </c>
      <c r="Q884" s="93">
        <v>32.5</v>
      </c>
      <c r="R884" s="93" t="s">
        <v>123</v>
      </c>
      <c r="S884" s="93" t="s">
        <v>111</v>
      </c>
      <c r="T884" s="93" t="s">
        <v>1659</v>
      </c>
      <c r="U884" s="93" t="s">
        <v>116</v>
      </c>
      <c r="V884" s="94">
        <v>44628.474305555559</v>
      </c>
      <c r="W884" s="93" t="s">
        <v>1170</v>
      </c>
      <c r="X884" s="93" t="s">
        <v>24</v>
      </c>
    </row>
    <row r="885" spans="1:24" hidden="1" x14ac:dyDescent="0.15">
      <c r="A885" s="93" t="s">
        <v>2729</v>
      </c>
      <c r="B885" s="93" t="s">
        <v>2730</v>
      </c>
      <c r="C885" s="410">
        <v>3465</v>
      </c>
      <c r="D885" s="93" t="s">
        <v>9</v>
      </c>
      <c r="E885" s="93" t="s">
        <v>9</v>
      </c>
      <c r="F885" s="93" t="s">
        <v>1648</v>
      </c>
      <c r="G885" s="93" t="s">
        <v>9117</v>
      </c>
      <c r="H885" s="93" t="s">
        <v>1943</v>
      </c>
      <c r="I885" s="93" t="s">
        <v>111</v>
      </c>
      <c r="J885" s="93" t="s">
        <v>963</v>
      </c>
      <c r="K885" s="93">
        <v>60</v>
      </c>
      <c r="L885" s="93" t="s">
        <v>111</v>
      </c>
      <c r="M885" s="93">
        <v>4.9000000000000004</v>
      </c>
      <c r="N885" s="93" t="s">
        <v>113</v>
      </c>
      <c r="O885" s="93">
        <v>18.5</v>
      </c>
      <c r="P885" s="93">
        <v>29.5</v>
      </c>
      <c r="Q885" s="93">
        <v>32.5</v>
      </c>
      <c r="R885" s="93" t="s">
        <v>123</v>
      </c>
      <c r="S885" s="93" t="s">
        <v>111</v>
      </c>
      <c r="T885" s="93" t="s">
        <v>1659</v>
      </c>
      <c r="U885" s="93" t="s">
        <v>116</v>
      </c>
      <c r="V885" s="94">
        <v>44628.539583333331</v>
      </c>
      <c r="W885" s="93" t="s">
        <v>1170</v>
      </c>
      <c r="X885" s="93" t="s">
        <v>24</v>
      </c>
    </row>
    <row r="886" spans="1:24" hidden="1" x14ac:dyDescent="0.15">
      <c r="A886" s="93" t="s">
        <v>2731</v>
      </c>
      <c r="B886" s="93" t="s">
        <v>2732</v>
      </c>
      <c r="C886" s="410">
        <v>3465</v>
      </c>
      <c r="D886" s="93" t="s">
        <v>9</v>
      </c>
      <c r="E886" s="93" t="s">
        <v>9</v>
      </c>
      <c r="F886" s="93" t="s">
        <v>1648</v>
      </c>
      <c r="G886" s="93" t="s">
        <v>9117</v>
      </c>
      <c r="H886" s="93" t="s">
        <v>1943</v>
      </c>
      <c r="I886" s="93" t="s">
        <v>111</v>
      </c>
      <c r="J886" s="93" t="s">
        <v>963</v>
      </c>
      <c r="K886" s="93">
        <v>60</v>
      </c>
      <c r="L886" s="93" t="s">
        <v>111</v>
      </c>
      <c r="M886" s="93">
        <v>4.9000000000000004</v>
      </c>
      <c r="N886" s="93" t="s">
        <v>113</v>
      </c>
      <c r="O886" s="93">
        <v>18.5</v>
      </c>
      <c r="P886" s="93">
        <v>29.5</v>
      </c>
      <c r="Q886" s="93">
        <v>32.5</v>
      </c>
      <c r="R886" s="93" t="s">
        <v>123</v>
      </c>
      <c r="S886" s="93" t="s">
        <v>111</v>
      </c>
      <c r="T886" s="93" t="s">
        <v>1659</v>
      </c>
      <c r="U886" s="93" t="s">
        <v>116</v>
      </c>
      <c r="V886" s="94">
        <v>44628.582638888889</v>
      </c>
      <c r="W886" s="93" t="s">
        <v>1170</v>
      </c>
      <c r="X886" s="93" t="s">
        <v>24</v>
      </c>
    </row>
    <row r="887" spans="1:24" hidden="1" x14ac:dyDescent="0.15">
      <c r="A887" s="93" t="s">
        <v>2733</v>
      </c>
      <c r="B887" s="93" t="s">
        <v>2734</v>
      </c>
      <c r="C887" s="410">
        <v>3465</v>
      </c>
      <c r="D887" s="93" t="s">
        <v>9</v>
      </c>
      <c r="E887" s="93" t="s">
        <v>9</v>
      </c>
      <c r="F887" s="93" t="s">
        <v>1648</v>
      </c>
      <c r="G887" s="93" t="s">
        <v>9117</v>
      </c>
      <c r="H887" s="93" t="s">
        <v>1943</v>
      </c>
      <c r="I887" s="93" t="s">
        <v>111</v>
      </c>
      <c r="J887" s="93" t="s">
        <v>963</v>
      </c>
      <c r="K887" s="93">
        <v>60</v>
      </c>
      <c r="L887" s="93" t="s">
        <v>111</v>
      </c>
      <c r="M887" s="93">
        <v>4.9000000000000004</v>
      </c>
      <c r="N887" s="93" t="s">
        <v>113</v>
      </c>
      <c r="O887" s="93">
        <v>18.5</v>
      </c>
      <c r="P887" s="93">
        <v>29.5</v>
      </c>
      <c r="Q887" s="93">
        <v>32.5</v>
      </c>
      <c r="R887" s="93" t="s">
        <v>123</v>
      </c>
      <c r="S887" s="93" t="s">
        <v>111</v>
      </c>
      <c r="T887" s="93" t="s">
        <v>1659</v>
      </c>
      <c r="U887" s="93" t="s">
        <v>116</v>
      </c>
      <c r="V887" s="94">
        <v>44628.517361111109</v>
      </c>
      <c r="W887" s="93" t="s">
        <v>1170</v>
      </c>
      <c r="X887" s="93" t="s">
        <v>24</v>
      </c>
    </row>
    <row r="888" spans="1:24" hidden="1" x14ac:dyDescent="0.15">
      <c r="A888" s="93" t="s">
        <v>2735</v>
      </c>
      <c r="B888" s="93" t="s">
        <v>2736</v>
      </c>
      <c r="C888" s="410">
        <v>3465</v>
      </c>
      <c r="D888" s="93" t="s">
        <v>9</v>
      </c>
      <c r="E888" s="93" t="s">
        <v>9</v>
      </c>
      <c r="F888" s="93" t="s">
        <v>1648</v>
      </c>
      <c r="G888" s="93" t="s">
        <v>9117</v>
      </c>
      <c r="H888" s="93" t="s">
        <v>1943</v>
      </c>
      <c r="I888" s="93" t="s">
        <v>111</v>
      </c>
      <c r="J888" s="93" t="s">
        <v>963</v>
      </c>
      <c r="K888" s="93">
        <v>60</v>
      </c>
      <c r="L888" s="93" t="s">
        <v>111</v>
      </c>
      <c r="M888" s="93">
        <v>4.9000000000000004</v>
      </c>
      <c r="N888" s="93" t="s">
        <v>113</v>
      </c>
      <c r="O888" s="93">
        <v>18.5</v>
      </c>
      <c r="P888" s="93">
        <v>29.5</v>
      </c>
      <c r="Q888" s="93">
        <v>32.5</v>
      </c>
      <c r="R888" s="93" t="s">
        <v>123</v>
      </c>
      <c r="S888" s="93" t="s">
        <v>111</v>
      </c>
      <c r="T888" s="93" t="s">
        <v>1659</v>
      </c>
      <c r="U888" s="93" t="s">
        <v>116</v>
      </c>
      <c r="V888" s="94">
        <v>44628.582638888889</v>
      </c>
      <c r="W888" s="93" t="s">
        <v>1170</v>
      </c>
      <c r="X888" s="93" t="s">
        <v>24</v>
      </c>
    </row>
    <row r="889" spans="1:24" hidden="1" x14ac:dyDescent="0.15">
      <c r="A889" s="93" t="s">
        <v>2737</v>
      </c>
      <c r="B889" s="93" t="s">
        <v>2738</v>
      </c>
      <c r="C889" s="410">
        <v>3465</v>
      </c>
      <c r="D889" s="93" t="s">
        <v>9</v>
      </c>
      <c r="E889" s="93" t="s">
        <v>9</v>
      </c>
      <c r="F889" s="93" t="s">
        <v>1648</v>
      </c>
      <c r="G889" s="93" t="s">
        <v>9117</v>
      </c>
      <c r="H889" s="93" t="s">
        <v>1943</v>
      </c>
      <c r="I889" s="93" t="s">
        <v>111</v>
      </c>
      <c r="J889" s="93" t="s">
        <v>963</v>
      </c>
      <c r="K889" s="93">
        <v>60</v>
      </c>
      <c r="L889" s="93" t="s">
        <v>111</v>
      </c>
      <c r="M889" s="93">
        <v>4.9000000000000004</v>
      </c>
      <c r="N889" s="93" t="s">
        <v>113</v>
      </c>
      <c r="O889" s="93">
        <v>18.5</v>
      </c>
      <c r="P889" s="93">
        <v>29.5</v>
      </c>
      <c r="Q889" s="93">
        <v>32.5</v>
      </c>
      <c r="R889" s="93" t="s">
        <v>123</v>
      </c>
      <c r="S889" s="93" t="s">
        <v>111</v>
      </c>
      <c r="T889" s="93" t="s">
        <v>1659</v>
      </c>
      <c r="U889" s="93" t="s">
        <v>116</v>
      </c>
      <c r="V889" s="94">
        <v>44628.495138888888</v>
      </c>
      <c r="W889" s="93" t="s">
        <v>1170</v>
      </c>
      <c r="X889" s="93" t="s">
        <v>24</v>
      </c>
    </row>
    <row r="890" spans="1:24" hidden="1" x14ac:dyDescent="0.15">
      <c r="A890" s="93" t="s">
        <v>2739</v>
      </c>
      <c r="B890" s="93" t="s">
        <v>2740</v>
      </c>
      <c r="C890" s="410">
        <v>3465</v>
      </c>
      <c r="D890" s="93" t="s">
        <v>9</v>
      </c>
      <c r="E890" s="93" t="s">
        <v>9</v>
      </c>
      <c r="F890" s="93" t="s">
        <v>1648</v>
      </c>
      <c r="G890" s="93" t="s">
        <v>9117</v>
      </c>
      <c r="H890" s="93" t="s">
        <v>1943</v>
      </c>
      <c r="I890" s="93" t="s">
        <v>111</v>
      </c>
      <c r="J890" s="93" t="s">
        <v>963</v>
      </c>
      <c r="K890" s="93">
        <v>60</v>
      </c>
      <c r="L890" s="93" t="s">
        <v>111</v>
      </c>
      <c r="M890" s="93">
        <v>4.9000000000000004</v>
      </c>
      <c r="N890" s="93" t="s">
        <v>113</v>
      </c>
      <c r="O890" s="93">
        <v>18.5</v>
      </c>
      <c r="P890" s="93">
        <v>29.5</v>
      </c>
      <c r="Q890" s="93">
        <v>32.5</v>
      </c>
      <c r="R890" s="93" t="s">
        <v>123</v>
      </c>
      <c r="S890" s="93" t="s">
        <v>111</v>
      </c>
      <c r="T890" s="93" t="s">
        <v>1659</v>
      </c>
      <c r="U890" s="93" t="s">
        <v>116</v>
      </c>
      <c r="V890" s="94">
        <v>44628.560416666667</v>
      </c>
      <c r="W890" s="93" t="s">
        <v>1170</v>
      </c>
      <c r="X890" s="93" t="s">
        <v>24</v>
      </c>
    </row>
    <row r="891" spans="1:24" hidden="1" x14ac:dyDescent="0.15">
      <c r="A891" s="93" t="s">
        <v>2741</v>
      </c>
      <c r="B891" s="93" t="s">
        <v>2742</v>
      </c>
      <c r="C891" s="410">
        <v>3465</v>
      </c>
      <c r="D891" s="93" t="s">
        <v>9</v>
      </c>
      <c r="E891" s="93" t="s">
        <v>9</v>
      </c>
      <c r="F891" s="93" t="s">
        <v>1648</v>
      </c>
      <c r="G891" s="93" t="s">
        <v>9117</v>
      </c>
      <c r="H891" s="93" t="s">
        <v>1943</v>
      </c>
      <c r="I891" s="93" t="s">
        <v>111</v>
      </c>
      <c r="J891" s="93" t="s">
        <v>963</v>
      </c>
      <c r="K891" s="93">
        <v>60</v>
      </c>
      <c r="L891" s="93" t="s">
        <v>111</v>
      </c>
      <c r="M891" s="93">
        <v>4.9000000000000004</v>
      </c>
      <c r="N891" s="93" t="s">
        <v>113</v>
      </c>
      <c r="O891" s="93">
        <v>18.5</v>
      </c>
      <c r="P891" s="93">
        <v>29.5</v>
      </c>
      <c r="Q891" s="93">
        <v>32.5</v>
      </c>
      <c r="R891" s="93" t="s">
        <v>123</v>
      </c>
      <c r="S891" s="93" t="s">
        <v>111</v>
      </c>
      <c r="T891" s="93" t="s">
        <v>1659</v>
      </c>
      <c r="U891" s="93" t="s">
        <v>116</v>
      </c>
      <c r="V891" s="94">
        <v>44628.517361111109</v>
      </c>
      <c r="W891" s="93" t="s">
        <v>1170</v>
      </c>
      <c r="X891" s="93" t="s">
        <v>24</v>
      </c>
    </row>
    <row r="892" spans="1:24" hidden="1" x14ac:dyDescent="0.15">
      <c r="A892" s="93" t="s">
        <v>2743</v>
      </c>
      <c r="B892" s="93" t="s">
        <v>2744</v>
      </c>
      <c r="C892" s="410">
        <v>3465</v>
      </c>
      <c r="D892" s="93" t="s">
        <v>9</v>
      </c>
      <c r="E892" s="93" t="s">
        <v>9</v>
      </c>
      <c r="F892" s="93" t="s">
        <v>1648</v>
      </c>
      <c r="G892" s="93" t="s">
        <v>9117</v>
      </c>
      <c r="H892" s="93" t="s">
        <v>1943</v>
      </c>
      <c r="I892" s="93" t="s">
        <v>111</v>
      </c>
      <c r="J892" s="93" t="s">
        <v>963</v>
      </c>
      <c r="K892" s="93">
        <v>60</v>
      </c>
      <c r="L892" s="93" t="s">
        <v>111</v>
      </c>
      <c r="M892" s="93">
        <v>4.9000000000000004</v>
      </c>
      <c r="N892" s="93" t="s">
        <v>113</v>
      </c>
      <c r="O892" s="93">
        <v>18.5</v>
      </c>
      <c r="P892" s="93">
        <v>29.5</v>
      </c>
      <c r="Q892" s="93">
        <v>32.5</v>
      </c>
      <c r="R892" s="93" t="s">
        <v>123</v>
      </c>
      <c r="S892" s="93" t="s">
        <v>111</v>
      </c>
      <c r="T892" s="93" t="s">
        <v>1659</v>
      </c>
      <c r="U892" s="93" t="s">
        <v>116</v>
      </c>
      <c r="V892" s="94">
        <v>44628.560416666667</v>
      </c>
      <c r="W892" s="93" t="s">
        <v>1170</v>
      </c>
      <c r="X892" s="93" t="s">
        <v>24</v>
      </c>
    </row>
    <row r="893" spans="1:24" hidden="1" x14ac:dyDescent="0.15">
      <c r="A893" s="93" t="s">
        <v>2745</v>
      </c>
      <c r="B893" s="93" t="s">
        <v>2746</v>
      </c>
      <c r="C893" s="410">
        <v>3465</v>
      </c>
      <c r="D893" s="93" t="s">
        <v>9</v>
      </c>
      <c r="E893" s="93" t="s">
        <v>9</v>
      </c>
      <c r="F893" s="93" t="s">
        <v>1648</v>
      </c>
      <c r="G893" s="93" t="s">
        <v>9117</v>
      </c>
      <c r="H893" s="93" t="s">
        <v>1943</v>
      </c>
      <c r="I893" s="93" t="s">
        <v>111</v>
      </c>
      <c r="J893" s="93" t="s">
        <v>963</v>
      </c>
      <c r="K893" s="93">
        <v>60</v>
      </c>
      <c r="L893" s="93" t="s">
        <v>111</v>
      </c>
      <c r="M893" s="93">
        <v>4.9000000000000004</v>
      </c>
      <c r="N893" s="93" t="s">
        <v>113</v>
      </c>
      <c r="O893" s="93">
        <v>18.5</v>
      </c>
      <c r="P893" s="93">
        <v>29.5</v>
      </c>
      <c r="Q893" s="93">
        <v>32.5</v>
      </c>
      <c r="R893" s="93" t="s">
        <v>123</v>
      </c>
      <c r="S893" s="93" t="s">
        <v>111</v>
      </c>
      <c r="T893" s="93" t="s">
        <v>1659</v>
      </c>
      <c r="U893" s="93" t="s">
        <v>116</v>
      </c>
      <c r="V893" s="94">
        <v>44628.474305555559</v>
      </c>
      <c r="W893" s="93" t="s">
        <v>1170</v>
      </c>
      <c r="X893" s="93" t="s">
        <v>24</v>
      </c>
    </row>
    <row r="894" spans="1:24" hidden="1" x14ac:dyDescent="0.15">
      <c r="A894" s="93" t="s">
        <v>2747</v>
      </c>
      <c r="B894" s="93" t="s">
        <v>2748</v>
      </c>
      <c r="C894" s="410">
        <v>3465</v>
      </c>
      <c r="D894" s="93" t="s">
        <v>9</v>
      </c>
      <c r="E894" s="93" t="s">
        <v>9</v>
      </c>
      <c r="F894" s="93" t="s">
        <v>1648</v>
      </c>
      <c r="G894" s="93" t="s">
        <v>9117</v>
      </c>
      <c r="H894" s="93" t="s">
        <v>1943</v>
      </c>
      <c r="I894" s="93" t="s">
        <v>111</v>
      </c>
      <c r="J894" s="93" t="s">
        <v>963</v>
      </c>
      <c r="K894" s="93">
        <v>60</v>
      </c>
      <c r="L894" s="93" t="s">
        <v>111</v>
      </c>
      <c r="M894" s="93">
        <v>4.9000000000000004</v>
      </c>
      <c r="N894" s="93" t="s">
        <v>113</v>
      </c>
      <c r="O894" s="93">
        <v>18.5</v>
      </c>
      <c r="P894" s="93">
        <v>29.5</v>
      </c>
      <c r="Q894" s="93">
        <v>32.5</v>
      </c>
      <c r="R894" s="93" t="s">
        <v>123</v>
      </c>
      <c r="S894" s="93" t="s">
        <v>111</v>
      </c>
      <c r="T894" s="93" t="s">
        <v>1659</v>
      </c>
      <c r="U894" s="93" t="s">
        <v>116</v>
      </c>
      <c r="V894" s="94">
        <v>44628.495138888888</v>
      </c>
      <c r="W894" s="93" t="s">
        <v>1170</v>
      </c>
      <c r="X894" s="93" t="s">
        <v>24</v>
      </c>
    </row>
    <row r="895" spans="1:24" hidden="1" x14ac:dyDescent="0.15">
      <c r="A895" s="93" t="s">
        <v>2749</v>
      </c>
      <c r="B895" s="93" t="s">
        <v>2750</v>
      </c>
      <c r="C895" s="410">
        <v>3465</v>
      </c>
      <c r="D895" s="93" t="s">
        <v>9</v>
      </c>
      <c r="E895" s="93" t="s">
        <v>9</v>
      </c>
      <c r="F895" s="93" t="s">
        <v>1648</v>
      </c>
      <c r="G895" s="93" t="s">
        <v>9117</v>
      </c>
      <c r="H895" s="93" t="s">
        <v>1943</v>
      </c>
      <c r="I895" s="93" t="s">
        <v>111</v>
      </c>
      <c r="J895" s="93" t="s">
        <v>963</v>
      </c>
      <c r="K895" s="93">
        <v>60</v>
      </c>
      <c r="L895" s="93" t="s">
        <v>111</v>
      </c>
      <c r="M895" s="93">
        <v>4.9000000000000004</v>
      </c>
      <c r="N895" s="93" t="s">
        <v>113</v>
      </c>
      <c r="O895" s="93">
        <v>18.5</v>
      </c>
      <c r="P895" s="93">
        <v>29.5</v>
      </c>
      <c r="Q895" s="93">
        <v>32.5</v>
      </c>
      <c r="R895" s="93" t="s">
        <v>123</v>
      </c>
      <c r="S895" s="93" t="s">
        <v>111</v>
      </c>
      <c r="T895" s="93" t="s">
        <v>1659</v>
      </c>
      <c r="U895" s="93" t="s">
        <v>116</v>
      </c>
      <c r="V895" s="94">
        <v>44628.560416666667</v>
      </c>
      <c r="W895" s="93" t="s">
        <v>1170</v>
      </c>
      <c r="X895" s="93" t="s">
        <v>24</v>
      </c>
    </row>
    <row r="896" spans="1:24" hidden="1" x14ac:dyDescent="0.15">
      <c r="A896" s="93" t="s">
        <v>2751</v>
      </c>
      <c r="B896" s="93" t="s">
        <v>2752</v>
      </c>
      <c r="C896" s="410">
        <v>3465</v>
      </c>
      <c r="D896" s="93" t="s">
        <v>9</v>
      </c>
      <c r="E896" s="93" t="s">
        <v>9</v>
      </c>
      <c r="F896" s="93" t="s">
        <v>1648</v>
      </c>
      <c r="G896" s="93" t="s">
        <v>9117</v>
      </c>
      <c r="H896" s="93" t="s">
        <v>1943</v>
      </c>
      <c r="I896" s="93" t="s">
        <v>111</v>
      </c>
      <c r="J896" s="93" t="s">
        <v>963</v>
      </c>
      <c r="K896" s="93">
        <v>60</v>
      </c>
      <c r="L896" s="93" t="s">
        <v>111</v>
      </c>
      <c r="M896" s="93">
        <v>4.9000000000000004</v>
      </c>
      <c r="N896" s="93" t="s">
        <v>113</v>
      </c>
      <c r="O896" s="93">
        <v>18.5</v>
      </c>
      <c r="P896" s="93">
        <v>29.5</v>
      </c>
      <c r="Q896" s="93">
        <v>32.5</v>
      </c>
      <c r="R896" s="93" t="s">
        <v>123</v>
      </c>
      <c r="S896" s="93" t="s">
        <v>111</v>
      </c>
      <c r="T896" s="93" t="s">
        <v>1659</v>
      </c>
      <c r="U896" s="93" t="s">
        <v>116</v>
      </c>
      <c r="V896" s="94">
        <v>44628.582638888889</v>
      </c>
      <c r="W896" s="93" t="s">
        <v>1170</v>
      </c>
      <c r="X896" s="93" t="s">
        <v>24</v>
      </c>
    </row>
    <row r="897" spans="1:24" hidden="1" x14ac:dyDescent="0.15">
      <c r="A897" s="93" t="s">
        <v>2753</v>
      </c>
      <c r="B897" s="93" t="s">
        <v>2754</v>
      </c>
      <c r="C897" s="410">
        <v>3465</v>
      </c>
      <c r="D897" s="93" t="s">
        <v>9</v>
      </c>
      <c r="E897" s="93" t="s">
        <v>9</v>
      </c>
      <c r="F897" s="93" t="s">
        <v>1648</v>
      </c>
      <c r="G897" s="93" t="s">
        <v>9117</v>
      </c>
      <c r="H897" s="93" t="s">
        <v>1943</v>
      </c>
      <c r="I897" s="93" t="s">
        <v>111</v>
      </c>
      <c r="J897" s="93" t="s">
        <v>963</v>
      </c>
      <c r="K897" s="93">
        <v>60</v>
      </c>
      <c r="L897" s="93" t="s">
        <v>111</v>
      </c>
      <c r="M897" s="93">
        <v>4.9000000000000004</v>
      </c>
      <c r="N897" s="93" t="s">
        <v>113</v>
      </c>
      <c r="O897" s="93">
        <v>18.5</v>
      </c>
      <c r="P897" s="93">
        <v>29.5</v>
      </c>
      <c r="Q897" s="93">
        <v>32.5</v>
      </c>
      <c r="R897" s="93" t="s">
        <v>123</v>
      </c>
      <c r="S897" s="93" t="s">
        <v>111</v>
      </c>
      <c r="T897" s="93" t="s">
        <v>1659</v>
      </c>
      <c r="U897" s="93" t="s">
        <v>116</v>
      </c>
      <c r="V897" s="94">
        <v>44628.474305555559</v>
      </c>
      <c r="W897" s="93" t="s">
        <v>1170</v>
      </c>
      <c r="X897" s="93" t="s">
        <v>24</v>
      </c>
    </row>
    <row r="898" spans="1:24" hidden="1" x14ac:dyDescent="0.15">
      <c r="A898" s="93" t="s">
        <v>2755</v>
      </c>
      <c r="B898" s="93" t="s">
        <v>2756</v>
      </c>
      <c r="C898" s="410">
        <v>3465</v>
      </c>
      <c r="D898" s="93" t="s">
        <v>9</v>
      </c>
      <c r="E898" s="93" t="s">
        <v>9</v>
      </c>
      <c r="F898" s="93" t="s">
        <v>1648</v>
      </c>
      <c r="G898" s="93" t="s">
        <v>9117</v>
      </c>
      <c r="H898" s="93" t="s">
        <v>1943</v>
      </c>
      <c r="I898" s="93" t="s">
        <v>111</v>
      </c>
      <c r="J898" s="93" t="s">
        <v>963</v>
      </c>
      <c r="K898" s="93">
        <v>60</v>
      </c>
      <c r="L898" s="93" t="s">
        <v>111</v>
      </c>
      <c r="M898" s="93">
        <v>4.9000000000000004</v>
      </c>
      <c r="N898" s="93" t="s">
        <v>113</v>
      </c>
      <c r="O898" s="93">
        <v>18.5</v>
      </c>
      <c r="P898" s="93">
        <v>29.5</v>
      </c>
      <c r="Q898" s="93">
        <v>32.5</v>
      </c>
      <c r="R898" s="93" t="s">
        <v>123</v>
      </c>
      <c r="S898" s="93" t="s">
        <v>111</v>
      </c>
      <c r="T898" s="93" t="s">
        <v>1659</v>
      </c>
      <c r="U898" s="93" t="s">
        <v>116</v>
      </c>
      <c r="V898" s="94">
        <v>44628.560416666667</v>
      </c>
      <c r="W898" s="93" t="s">
        <v>1170</v>
      </c>
      <c r="X898" s="93" t="s">
        <v>24</v>
      </c>
    </row>
    <row r="899" spans="1:24" hidden="1" x14ac:dyDescent="0.15">
      <c r="A899" s="93" t="s">
        <v>2757</v>
      </c>
      <c r="B899" s="93" t="s">
        <v>2758</v>
      </c>
      <c r="C899" s="410">
        <v>3465</v>
      </c>
      <c r="D899" s="93" t="s">
        <v>9</v>
      </c>
      <c r="E899" s="93" t="s">
        <v>9</v>
      </c>
      <c r="F899" s="93" t="s">
        <v>1648</v>
      </c>
      <c r="G899" s="93" t="s">
        <v>9117</v>
      </c>
      <c r="H899" s="93" t="s">
        <v>1943</v>
      </c>
      <c r="I899" s="93" t="s">
        <v>111</v>
      </c>
      <c r="J899" s="93" t="s">
        <v>963</v>
      </c>
      <c r="K899" s="93">
        <v>60</v>
      </c>
      <c r="L899" s="93" t="s">
        <v>111</v>
      </c>
      <c r="M899" s="93">
        <v>4.9000000000000004</v>
      </c>
      <c r="N899" s="93" t="s">
        <v>113</v>
      </c>
      <c r="O899" s="93">
        <v>18.5</v>
      </c>
      <c r="P899" s="93">
        <v>29.5</v>
      </c>
      <c r="Q899" s="93">
        <v>32.5</v>
      </c>
      <c r="R899" s="93" t="s">
        <v>123</v>
      </c>
      <c r="S899" s="93" t="s">
        <v>111</v>
      </c>
      <c r="T899" s="93" t="s">
        <v>1659</v>
      </c>
      <c r="U899" s="93" t="s">
        <v>116</v>
      </c>
      <c r="V899" s="94">
        <v>44628.63958333333</v>
      </c>
      <c r="W899" s="93" t="s">
        <v>1170</v>
      </c>
      <c r="X899" s="93" t="s">
        <v>24</v>
      </c>
    </row>
    <row r="900" spans="1:24" hidden="1" x14ac:dyDescent="0.15">
      <c r="A900" s="93" t="s">
        <v>2759</v>
      </c>
      <c r="B900" s="93" t="s">
        <v>2760</v>
      </c>
      <c r="C900" s="410">
        <v>3465</v>
      </c>
      <c r="D900" s="93" t="s">
        <v>9</v>
      </c>
      <c r="E900" s="93" t="s">
        <v>9</v>
      </c>
      <c r="F900" s="93" t="s">
        <v>1648</v>
      </c>
      <c r="G900" s="93" t="s">
        <v>9117</v>
      </c>
      <c r="H900" s="93" t="s">
        <v>1943</v>
      </c>
      <c r="I900" s="93" t="s">
        <v>111</v>
      </c>
      <c r="J900" s="93" t="s">
        <v>963</v>
      </c>
      <c r="K900" s="93">
        <v>60</v>
      </c>
      <c r="L900" s="93" t="s">
        <v>111</v>
      </c>
      <c r="M900" s="93">
        <v>4.9000000000000004</v>
      </c>
      <c r="N900" s="93" t="s">
        <v>113</v>
      </c>
      <c r="O900" s="93">
        <v>18.5</v>
      </c>
      <c r="P900" s="93">
        <v>29.5</v>
      </c>
      <c r="Q900" s="93">
        <v>32.5</v>
      </c>
      <c r="R900" s="93" t="s">
        <v>123</v>
      </c>
      <c r="S900" s="93" t="s">
        <v>111</v>
      </c>
      <c r="T900" s="93" t="s">
        <v>1659</v>
      </c>
      <c r="U900" s="93" t="s">
        <v>116</v>
      </c>
      <c r="V900" s="94">
        <v>44628.560416666667</v>
      </c>
      <c r="W900" s="93" t="s">
        <v>1170</v>
      </c>
      <c r="X900" s="93" t="s">
        <v>24</v>
      </c>
    </row>
    <row r="901" spans="1:24" hidden="1" x14ac:dyDescent="0.15">
      <c r="A901" s="93" t="s">
        <v>2761</v>
      </c>
      <c r="B901" s="93" t="s">
        <v>2762</v>
      </c>
      <c r="C901" s="410">
        <v>3465</v>
      </c>
      <c r="D901" s="93" t="s">
        <v>9</v>
      </c>
      <c r="E901" s="93" t="s">
        <v>9</v>
      </c>
      <c r="F901" s="93" t="s">
        <v>1648</v>
      </c>
      <c r="G901" s="93" t="s">
        <v>9117</v>
      </c>
      <c r="H901" s="93" t="s">
        <v>1943</v>
      </c>
      <c r="I901" s="93" t="s">
        <v>111</v>
      </c>
      <c r="J901" s="93" t="s">
        <v>963</v>
      </c>
      <c r="K901" s="93">
        <v>60</v>
      </c>
      <c r="L901" s="93" t="s">
        <v>111</v>
      </c>
      <c r="M901" s="93">
        <v>4.9000000000000004</v>
      </c>
      <c r="N901" s="93" t="s">
        <v>113</v>
      </c>
      <c r="O901" s="93">
        <v>18.5</v>
      </c>
      <c r="P901" s="93">
        <v>29.5</v>
      </c>
      <c r="Q901" s="93">
        <v>32.5</v>
      </c>
      <c r="R901" s="93" t="s">
        <v>123</v>
      </c>
      <c r="S901" s="93" t="s">
        <v>111</v>
      </c>
      <c r="T901" s="93" t="s">
        <v>1659</v>
      </c>
      <c r="U901" s="93" t="s">
        <v>116</v>
      </c>
      <c r="V901" s="94">
        <v>44628.517361111109</v>
      </c>
      <c r="W901" s="93" t="s">
        <v>1170</v>
      </c>
      <c r="X901" s="93" t="s">
        <v>24</v>
      </c>
    </row>
    <row r="902" spans="1:24" hidden="1" x14ac:dyDescent="0.15">
      <c r="A902" s="93" t="s">
        <v>2763</v>
      </c>
      <c r="B902" s="93" t="s">
        <v>2764</v>
      </c>
      <c r="C902" s="410">
        <v>3465</v>
      </c>
      <c r="D902" s="93" t="s">
        <v>9</v>
      </c>
      <c r="E902" s="93" t="s">
        <v>9</v>
      </c>
      <c r="F902" s="93" t="s">
        <v>1648</v>
      </c>
      <c r="G902" s="93" t="s">
        <v>9117</v>
      </c>
      <c r="H902" s="93" t="s">
        <v>1943</v>
      </c>
      <c r="I902" s="93" t="s">
        <v>111</v>
      </c>
      <c r="J902" s="93" t="s">
        <v>963</v>
      </c>
      <c r="K902" s="93">
        <v>60</v>
      </c>
      <c r="L902" s="93" t="s">
        <v>111</v>
      </c>
      <c r="M902" s="93">
        <v>4.9000000000000004</v>
      </c>
      <c r="N902" s="93" t="s">
        <v>113</v>
      </c>
      <c r="O902" s="93">
        <v>18.5</v>
      </c>
      <c r="P902" s="93">
        <v>29.5</v>
      </c>
      <c r="Q902" s="93">
        <v>32.5</v>
      </c>
      <c r="R902" s="93" t="s">
        <v>123</v>
      </c>
      <c r="S902" s="93" t="s">
        <v>111</v>
      </c>
      <c r="T902" s="93" t="s">
        <v>1659</v>
      </c>
      <c r="U902" s="93" t="s">
        <v>116</v>
      </c>
      <c r="V902" s="94">
        <v>44628.517361111109</v>
      </c>
      <c r="W902" s="93" t="s">
        <v>1170</v>
      </c>
      <c r="X902" s="93" t="s">
        <v>24</v>
      </c>
    </row>
    <row r="903" spans="1:24" hidden="1" x14ac:dyDescent="0.15">
      <c r="A903" s="93" t="s">
        <v>2765</v>
      </c>
      <c r="B903" s="93" t="s">
        <v>2766</v>
      </c>
      <c r="C903" s="410">
        <v>3465</v>
      </c>
      <c r="D903" s="93" t="s">
        <v>9</v>
      </c>
      <c r="E903" s="93" t="s">
        <v>9</v>
      </c>
      <c r="F903" s="93" t="s">
        <v>1648</v>
      </c>
      <c r="G903" s="93" t="s">
        <v>9117</v>
      </c>
      <c r="H903" s="93" t="s">
        <v>1943</v>
      </c>
      <c r="I903" s="93" t="s">
        <v>111</v>
      </c>
      <c r="J903" s="93" t="s">
        <v>963</v>
      </c>
      <c r="K903" s="93">
        <v>60</v>
      </c>
      <c r="L903" s="93" t="s">
        <v>111</v>
      </c>
      <c r="M903" s="93">
        <v>4.9000000000000004</v>
      </c>
      <c r="N903" s="93" t="s">
        <v>113</v>
      </c>
      <c r="O903" s="93">
        <v>18.5</v>
      </c>
      <c r="P903" s="93">
        <v>29.5</v>
      </c>
      <c r="Q903" s="93">
        <v>32.5</v>
      </c>
      <c r="R903" s="93" t="s">
        <v>123</v>
      </c>
      <c r="S903" s="93" t="s">
        <v>111</v>
      </c>
      <c r="T903" s="93" t="s">
        <v>1659</v>
      </c>
      <c r="U903" s="93" t="s">
        <v>116</v>
      </c>
      <c r="V903" s="94">
        <v>44628.604166666664</v>
      </c>
      <c r="W903" s="93" t="s">
        <v>1170</v>
      </c>
      <c r="X903" s="93" t="s">
        <v>24</v>
      </c>
    </row>
    <row r="904" spans="1:24" hidden="1" x14ac:dyDescent="0.15">
      <c r="A904" s="93" t="s">
        <v>2767</v>
      </c>
      <c r="B904" s="93" t="s">
        <v>2768</v>
      </c>
      <c r="C904" s="410">
        <v>3465</v>
      </c>
      <c r="D904" s="93" t="s">
        <v>9</v>
      </c>
      <c r="E904" s="93" t="s">
        <v>9</v>
      </c>
      <c r="F904" s="93" t="s">
        <v>1648</v>
      </c>
      <c r="G904" s="93" t="s">
        <v>9117</v>
      </c>
      <c r="H904" s="93" t="s">
        <v>1943</v>
      </c>
      <c r="I904" s="93" t="s">
        <v>111</v>
      </c>
      <c r="J904" s="93" t="s">
        <v>963</v>
      </c>
      <c r="K904" s="93">
        <v>60</v>
      </c>
      <c r="L904" s="93" t="s">
        <v>111</v>
      </c>
      <c r="M904" s="93">
        <v>4.9000000000000004</v>
      </c>
      <c r="N904" s="93" t="s">
        <v>113</v>
      </c>
      <c r="O904" s="93">
        <v>18.5</v>
      </c>
      <c r="P904" s="93">
        <v>29.5</v>
      </c>
      <c r="Q904" s="93">
        <v>32.5</v>
      </c>
      <c r="R904" s="93" t="s">
        <v>123</v>
      </c>
      <c r="S904" s="93" t="s">
        <v>111</v>
      </c>
      <c r="T904" s="93" t="s">
        <v>1659</v>
      </c>
      <c r="U904" s="93" t="s">
        <v>116</v>
      </c>
      <c r="V904" s="94">
        <v>44628.604166666664</v>
      </c>
      <c r="W904" s="93" t="s">
        <v>1170</v>
      </c>
      <c r="X904" s="93" t="s">
        <v>24</v>
      </c>
    </row>
    <row r="905" spans="1:24" hidden="1" x14ac:dyDescent="0.15">
      <c r="A905" s="93" t="s">
        <v>2769</v>
      </c>
      <c r="B905" s="93" t="s">
        <v>2770</v>
      </c>
      <c r="C905" s="410">
        <v>3465</v>
      </c>
      <c r="D905" s="93" t="s">
        <v>9</v>
      </c>
      <c r="E905" s="93" t="s">
        <v>9</v>
      </c>
      <c r="F905" s="93" t="s">
        <v>1648</v>
      </c>
      <c r="G905" s="93" t="s">
        <v>9117</v>
      </c>
      <c r="H905" s="93" t="s">
        <v>1943</v>
      </c>
      <c r="I905" s="93" t="s">
        <v>111</v>
      </c>
      <c r="J905" s="93" t="s">
        <v>963</v>
      </c>
      <c r="K905" s="93">
        <v>60</v>
      </c>
      <c r="L905" s="93" t="s">
        <v>111</v>
      </c>
      <c r="M905" s="93">
        <v>4.9000000000000004</v>
      </c>
      <c r="N905" s="93" t="s">
        <v>113</v>
      </c>
      <c r="O905" s="93">
        <v>18.5</v>
      </c>
      <c r="P905" s="93">
        <v>29.5</v>
      </c>
      <c r="Q905" s="93">
        <v>32.5</v>
      </c>
      <c r="R905" s="93" t="s">
        <v>123</v>
      </c>
      <c r="S905" s="93" t="s">
        <v>111</v>
      </c>
      <c r="T905" s="93" t="s">
        <v>1659</v>
      </c>
      <c r="U905" s="93" t="s">
        <v>116</v>
      </c>
      <c r="V905" s="94">
        <v>44628.539583333331</v>
      </c>
      <c r="W905" s="93" t="s">
        <v>1170</v>
      </c>
      <c r="X905" s="93" t="s">
        <v>24</v>
      </c>
    </row>
    <row r="906" spans="1:24" hidden="1" x14ac:dyDescent="0.15">
      <c r="A906" s="93" t="s">
        <v>2771</v>
      </c>
      <c r="B906" s="93" t="s">
        <v>2772</v>
      </c>
      <c r="C906" s="410">
        <v>3465</v>
      </c>
      <c r="D906" s="93" t="s">
        <v>9</v>
      </c>
      <c r="E906" s="93" t="s">
        <v>9</v>
      </c>
      <c r="F906" s="93" t="s">
        <v>1648</v>
      </c>
      <c r="G906" s="93" t="s">
        <v>9117</v>
      </c>
      <c r="H906" s="93" t="s">
        <v>1943</v>
      </c>
      <c r="I906" s="93" t="s">
        <v>111</v>
      </c>
      <c r="J906" s="93" t="s">
        <v>963</v>
      </c>
      <c r="K906" s="93">
        <v>60</v>
      </c>
      <c r="L906" s="93" t="s">
        <v>111</v>
      </c>
      <c r="M906" s="93">
        <v>4.9000000000000004</v>
      </c>
      <c r="N906" s="93" t="s">
        <v>113</v>
      </c>
      <c r="O906" s="93">
        <v>18.5</v>
      </c>
      <c r="P906" s="93">
        <v>29.5</v>
      </c>
      <c r="Q906" s="93">
        <v>32.5</v>
      </c>
      <c r="R906" s="93" t="s">
        <v>123</v>
      </c>
      <c r="S906" s="93" t="s">
        <v>111</v>
      </c>
      <c r="T906" s="93" t="s">
        <v>1659</v>
      </c>
      <c r="U906" s="93" t="s">
        <v>116</v>
      </c>
      <c r="V906" s="94">
        <v>44628.539583333331</v>
      </c>
      <c r="W906" s="93" t="s">
        <v>1170</v>
      </c>
      <c r="X906" s="93" t="s">
        <v>24</v>
      </c>
    </row>
    <row r="907" spans="1:24" hidden="1" x14ac:dyDescent="0.15">
      <c r="A907" s="93" t="s">
        <v>2773</v>
      </c>
      <c r="B907" s="93" t="s">
        <v>2774</v>
      </c>
      <c r="C907" s="410">
        <v>3465</v>
      </c>
      <c r="D907" s="93" t="s">
        <v>9</v>
      </c>
      <c r="E907" s="93" t="s">
        <v>9</v>
      </c>
      <c r="F907" s="93" t="s">
        <v>1648</v>
      </c>
      <c r="G907" s="93" t="s">
        <v>9117</v>
      </c>
      <c r="H907" s="93" t="s">
        <v>1943</v>
      </c>
      <c r="I907" s="93" t="s">
        <v>111</v>
      </c>
      <c r="J907" s="93" t="s">
        <v>963</v>
      </c>
      <c r="K907" s="93">
        <v>60</v>
      </c>
      <c r="L907" s="93" t="s">
        <v>111</v>
      </c>
      <c r="M907" s="93">
        <v>4.9000000000000004</v>
      </c>
      <c r="N907" s="93" t="s">
        <v>113</v>
      </c>
      <c r="O907" s="93">
        <v>18.5</v>
      </c>
      <c r="P907" s="93">
        <v>29.5</v>
      </c>
      <c r="Q907" s="93">
        <v>32.5</v>
      </c>
      <c r="R907" s="93" t="s">
        <v>123</v>
      </c>
      <c r="S907" s="93" t="s">
        <v>111</v>
      </c>
      <c r="T907" s="93" t="s">
        <v>1659</v>
      </c>
      <c r="U907" s="93" t="s">
        <v>116</v>
      </c>
      <c r="V907" s="94">
        <v>44628.63958333333</v>
      </c>
      <c r="W907" s="93" t="s">
        <v>1170</v>
      </c>
      <c r="X907" s="93" t="s">
        <v>24</v>
      </c>
    </row>
    <row r="908" spans="1:24" hidden="1" x14ac:dyDescent="0.15">
      <c r="A908" s="93" t="s">
        <v>2775</v>
      </c>
      <c r="B908" s="93" t="s">
        <v>2776</v>
      </c>
      <c r="C908" s="410">
        <v>3465</v>
      </c>
      <c r="D908" s="93" t="s">
        <v>9</v>
      </c>
      <c r="E908" s="93" t="s">
        <v>9</v>
      </c>
      <c r="F908" s="93" t="s">
        <v>1648</v>
      </c>
      <c r="G908" s="93" t="s">
        <v>9117</v>
      </c>
      <c r="H908" s="93" t="s">
        <v>1943</v>
      </c>
      <c r="I908" s="93" t="s">
        <v>111</v>
      </c>
      <c r="J908" s="93" t="s">
        <v>963</v>
      </c>
      <c r="K908" s="93">
        <v>60</v>
      </c>
      <c r="L908" s="93" t="s">
        <v>111</v>
      </c>
      <c r="M908" s="93">
        <v>4.9000000000000004</v>
      </c>
      <c r="N908" s="93" t="s">
        <v>113</v>
      </c>
      <c r="O908" s="93">
        <v>18.5</v>
      </c>
      <c r="P908" s="93">
        <v>29.5</v>
      </c>
      <c r="Q908" s="93">
        <v>32.5</v>
      </c>
      <c r="R908" s="93" t="s">
        <v>123</v>
      </c>
      <c r="S908" s="93" t="s">
        <v>111</v>
      </c>
      <c r="T908" s="93" t="s">
        <v>1659</v>
      </c>
      <c r="U908" s="93" t="s">
        <v>116</v>
      </c>
      <c r="V908" s="94">
        <v>44628.560416666667</v>
      </c>
      <c r="W908" s="93" t="s">
        <v>1170</v>
      </c>
      <c r="X908" s="93" t="s">
        <v>24</v>
      </c>
    </row>
    <row r="909" spans="1:24" hidden="1" x14ac:dyDescent="0.15">
      <c r="A909" s="93" t="s">
        <v>2777</v>
      </c>
      <c r="B909" s="93" t="s">
        <v>2778</v>
      </c>
      <c r="C909" s="410">
        <v>3465</v>
      </c>
      <c r="D909" s="93" t="s">
        <v>9</v>
      </c>
      <c r="E909" s="93" t="s">
        <v>9</v>
      </c>
      <c r="F909" s="93" t="s">
        <v>1648</v>
      </c>
      <c r="G909" s="93" t="s">
        <v>9117</v>
      </c>
      <c r="H909" s="93" t="s">
        <v>1943</v>
      </c>
      <c r="I909" s="93" t="s">
        <v>111</v>
      </c>
      <c r="J909" s="93" t="s">
        <v>963</v>
      </c>
      <c r="K909" s="93">
        <v>60</v>
      </c>
      <c r="L909" s="93" t="s">
        <v>111</v>
      </c>
      <c r="M909" s="93">
        <v>4.9000000000000004</v>
      </c>
      <c r="N909" s="93" t="s">
        <v>113</v>
      </c>
      <c r="O909" s="93">
        <v>18.5</v>
      </c>
      <c r="P909" s="93">
        <v>29.5</v>
      </c>
      <c r="Q909" s="93">
        <v>32.5</v>
      </c>
      <c r="R909" s="93" t="s">
        <v>123</v>
      </c>
      <c r="S909" s="93" t="s">
        <v>111</v>
      </c>
      <c r="T909" s="93" t="s">
        <v>1659</v>
      </c>
      <c r="U909" s="93" t="s">
        <v>116</v>
      </c>
      <c r="V909" s="94">
        <v>44628.539583333331</v>
      </c>
      <c r="W909" s="93" t="s">
        <v>1170</v>
      </c>
      <c r="X909" s="93" t="s">
        <v>24</v>
      </c>
    </row>
    <row r="910" spans="1:24" hidden="1" x14ac:dyDescent="0.15">
      <c r="A910" s="93" t="s">
        <v>2779</v>
      </c>
      <c r="B910" s="93" t="s">
        <v>2780</v>
      </c>
      <c r="C910" s="410">
        <v>3465</v>
      </c>
      <c r="D910" s="93" t="s">
        <v>9</v>
      </c>
      <c r="E910" s="93" t="s">
        <v>9</v>
      </c>
      <c r="F910" s="93" t="s">
        <v>1648</v>
      </c>
      <c r="G910" s="93" t="s">
        <v>9117</v>
      </c>
      <c r="H910" s="93" t="s">
        <v>1943</v>
      </c>
      <c r="I910" s="93" t="s">
        <v>111</v>
      </c>
      <c r="J910" s="93" t="s">
        <v>963</v>
      </c>
      <c r="K910" s="93">
        <v>60</v>
      </c>
      <c r="L910" s="93" t="s">
        <v>111</v>
      </c>
      <c r="M910" s="93">
        <v>4.9000000000000004</v>
      </c>
      <c r="N910" s="93" t="s">
        <v>113</v>
      </c>
      <c r="O910" s="93">
        <v>18.5</v>
      </c>
      <c r="P910" s="93">
        <v>29.5</v>
      </c>
      <c r="Q910" s="93">
        <v>32.5</v>
      </c>
      <c r="R910" s="93" t="s">
        <v>123</v>
      </c>
      <c r="S910" s="93" t="s">
        <v>111</v>
      </c>
      <c r="T910" s="93" t="s">
        <v>1659</v>
      </c>
      <c r="U910" s="93" t="s">
        <v>116</v>
      </c>
      <c r="V910" s="94">
        <v>44628.495138888888</v>
      </c>
      <c r="W910" s="93" t="s">
        <v>1170</v>
      </c>
      <c r="X910" s="93" t="s">
        <v>24</v>
      </c>
    </row>
    <row r="911" spans="1:24" hidden="1" x14ac:dyDescent="0.15">
      <c r="A911" s="93" t="s">
        <v>2781</v>
      </c>
      <c r="B911" s="93" t="s">
        <v>2782</v>
      </c>
      <c r="C911" s="410">
        <v>3465</v>
      </c>
      <c r="D911" s="93" t="s">
        <v>9</v>
      </c>
      <c r="E911" s="93" t="s">
        <v>9</v>
      </c>
      <c r="F911" s="93" t="s">
        <v>1648</v>
      </c>
      <c r="G911" s="93" t="s">
        <v>9117</v>
      </c>
      <c r="H911" s="93" t="s">
        <v>1943</v>
      </c>
      <c r="I911" s="93" t="s">
        <v>111</v>
      </c>
      <c r="J911" s="93" t="s">
        <v>963</v>
      </c>
      <c r="K911" s="93">
        <v>60</v>
      </c>
      <c r="L911" s="93" t="s">
        <v>111</v>
      </c>
      <c r="M911" s="93">
        <v>4.9000000000000004</v>
      </c>
      <c r="N911" s="93" t="s">
        <v>113</v>
      </c>
      <c r="O911" s="93">
        <v>18.5</v>
      </c>
      <c r="P911" s="93">
        <v>29.5</v>
      </c>
      <c r="Q911" s="93">
        <v>32.5</v>
      </c>
      <c r="R911" s="93" t="s">
        <v>123</v>
      </c>
      <c r="S911" s="93" t="s">
        <v>111</v>
      </c>
      <c r="T911" s="93" t="s">
        <v>1659</v>
      </c>
      <c r="U911" s="93" t="s">
        <v>116</v>
      </c>
      <c r="V911" s="94">
        <v>44628.560416666667</v>
      </c>
      <c r="W911" s="93" t="s">
        <v>1170</v>
      </c>
      <c r="X911" s="93" t="s">
        <v>24</v>
      </c>
    </row>
    <row r="912" spans="1:24" hidden="1" x14ac:dyDescent="0.15">
      <c r="A912" s="93" t="s">
        <v>2783</v>
      </c>
      <c r="B912" s="93" t="s">
        <v>2784</v>
      </c>
      <c r="C912" s="410">
        <v>3465</v>
      </c>
      <c r="D912" s="93" t="s">
        <v>9</v>
      </c>
      <c r="E912" s="93" t="s">
        <v>9</v>
      </c>
      <c r="F912" s="93" t="s">
        <v>1648</v>
      </c>
      <c r="G912" s="93" t="s">
        <v>9117</v>
      </c>
      <c r="H912" s="93" t="s">
        <v>1943</v>
      </c>
      <c r="I912" s="93" t="s">
        <v>111</v>
      </c>
      <c r="J912" s="93" t="s">
        <v>963</v>
      </c>
      <c r="K912" s="93">
        <v>60</v>
      </c>
      <c r="L912" s="93" t="s">
        <v>111</v>
      </c>
      <c r="M912" s="93">
        <v>4.9000000000000004</v>
      </c>
      <c r="N912" s="93" t="s">
        <v>113</v>
      </c>
      <c r="O912" s="93">
        <v>18.5</v>
      </c>
      <c r="P912" s="93">
        <v>29.5</v>
      </c>
      <c r="Q912" s="93">
        <v>32.5</v>
      </c>
      <c r="R912" s="93" t="s">
        <v>123</v>
      </c>
      <c r="S912" s="93" t="s">
        <v>111</v>
      </c>
      <c r="T912" s="93" t="s">
        <v>1659</v>
      </c>
      <c r="U912" s="93" t="s">
        <v>116</v>
      </c>
      <c r="V912" s="94">
        <v>44628.495138888888</v>
      </c>
      <c r="W912" s="93" t="s">
        <v>1170</v>
      </c>
      <c r="X912" s="93" t="s">
        <v>24</v>
      </c>
    </row>
    <row r="913" spans="1:24" hidden="1" x14ac:dyDescent="0.15">
      <c r="A913" s="93" t="s">
        <v>2785</v>
      </c>
      <c r="B913" s="93" t="s">
        <v>2786</v>
      </c>
      <c r="C913" s="410">
        <v>3465</v>
      </c>
      <c r="D913" s="93" t="s">
        <v>9</v>
      </c>
      <c r="E913" s="93" t="s">
        <v>9</v>
      </c>
      <c r="F913" s="93" t="s">
        <v>1648</v>
      </c>
      <c r="G913" s="93" t="s">
        <v>9117</v>
      </c>
      <c r="H913" s="93" t="s">
        <v>1943</v>
      </c>
      <c r="I913" s="93" t="s">
        <v>111</v>
      </c>
      <c r="J913" s="93" t="s">
        <v>963</v>
      </c>
      <c r="K913" s="93">
        <v>60</v>
      </c>
      <c r="L913" s="93" t="s">
        <v>111</v>
      </c>
      <c r="M913" s="93">
        <v>4.9000000000000004</v>
      </c>
      <c r="N913" s="93" t="s">
        <v>113</v>
      </c>
      <c r="O913" s="93">
        <v>18.5</v>
      </c>
      <c r="P913" s="93">
        <v>29.5</v>
      </c>
      <c r="Q913" s="93">
        <v>32.5</v>
      </c>
      <c r="R913" s="93" t="s">
        <v>123</v>
      </c>
      <c r="S913" s="93" t="s">
        <v>111</v>
      </c>
      <c r="T913" s="93" t="s">
        <v>1659</v>
      </c>
      <c r="U913" s="93" t="s">
        <v>116</v>
      </c>
      <c r="V913" s="94">
        <v>44628.582638888889</v>
      </c>
      <c r="W913" s="93" t="s">
        <v>1170</v>
      </c>
      <c r="X913" s="93" t="s">
        <v>24</v>
      </c>
    </row>
    <row r="914" spans="1:24" hidden="1" x14ac:dyDescent="0.15">
      <c r="A914" s="93" t="s">
        <v>2787</v>
      </c>
      <c r="B914" s="93" t="s">
        <v>2788</v>
      </c>
      <c r="C914" s="410">
        <v>3465</v>
      </c>
      <c r="D914" s="93" t="s">
        <v>9</v>
      </c>
      <c r="E914" s="93" t="s">
        <v>9</v>
      </c>
      <c r="F914" s="93" t="s">
        <v>1648</v>
      </c>
      <c r="G914" s="93" t="s">
        <v>9117</v>
      </c>
      <c r="H914" s="93" t="s">
        <v>1943</v>
      </c>
      <c r="I914" s="93" t="s">
        <v>111</v>
      </c>
      <c r="J914" s="93" t="s">
        <v>963</v>
      </c>
      <c r="K914" s="93">
        <v>60</v>
      </c>
      <c r="L914" s="93" t="s">
        <v>111</v>
      </c>
      <c r="M914" s="93">
        <v>4.9000000000000004</v>
      </c>
      <c r="N914" s="93" t="s">
        <v>113</v>
      </c>
      <c r="O914" s="93">
        <v>18.5</v>
      </c>
      <c r="P914" s="93">
        <v>29.5</v>
      </c>
      <c r="Q914" s="93">
        <v>32.5</v>
      </c>
      <c r="R914" s="93" t="s">
        <v>123</v>
      </c>
      <c r="S914" s="93" t="s">
        <v>111</v>
      </c>
      <c r="T914" s="93" t="s">
        <v>1659</v>
      </c>
      <c r="U914" s="93" t="s">
        <v>116</v>
      </c>
      <c r="V914" s="94">
        <v>44628.517361111109</v>
      </c>
      <c r="W914" s="93" t="s">
        <v>1170</v>
      </c>
      <c r="X914" s="93" t="s">
        <v>24</v>
      </c>
    </row>
    <row r="915" spans="1:24" hidden="1" x14ac:dyDescent="0.15">
      <c r="A915" s="93" t="s">
        <v>2789</v>
      </c>
      <c r="B915" s="93" t="s">
        <v>2790</v>
      </c>
      <c r="C915" s="410">
        <v>4919.25</v>
      </c>
      <c r="D915" s="93" t="s">
        <v>9</v>
      </c>
      <c r="E915" s="93" t="s">
        <v>9</v>
      </c>
      <c r="F915" s="93" t="s">
        <v>1648</v>
      </c>
      <c r="G915" s="93" t="s">
        <v>9117</v>
      </c>
      <c r="H915" s="93" t="s">
        <v>1690</v>
      </c>
      <c r="I915" s="93" t="s">
        <v>111</v>
      </c>
      <c r="J915" s="93" t="s">
        <v>1675</v>
      </c>
      <c r="K915" s="93">
        <v>60</v>
      </c>
      <c r="L915" s="93" t="s">
        <v>111</v>
      </c>
      <c r="M915" s="93">
        <v>5</v>
      </c>
      <c r="N915" s="93" t="s">
        <v>113</v>
      </c>
      <c r="O915" s="93">
        <v>16</v>
      </c>
      <c r="P915" s="93">
        <v>35</v>
      </c>
      <c r="Q915" s="93">
        <v>44</v>
      </c>
      <c r="R915" s="93" t="s">
        <v>123</v>
      </c>
      <c r="S915" s="93" t="s">
        <v>659</v>
      </c>
      <c r="T915" s="93" t="s">
        <v>1659</v>
      </c>
      <c r="U915" s="93" t="s">
        <v>116</v>
      </c>
      <c r="V915" s="94">
        <v>44628.598611111112</v>
      </c>
      <c r="W915" s="93" t="s">
        <v>1555</v>
      </c>
      <c r="X915" s="93" t="s">
        <v>24</v>
      </c>
    </row>
    <row r="916" spans="1:24" hidden="1" x14ac:dyDescent="0.15">
      <c r="A916" s="93" t="s">
        <v>2791</v>
      </c>
      <c r="B916" s="93" t="s">
        <v>2792</v>
      </c>
      <c r="C916" s="410">
        <v>3675</v>
      </c>
      <c r="D916" s="93" t="s">
        <v>9</v>
      </c>
      <c r="E916" s="93" t="s">
        <v>9</v>
      </c>
      <c r="F916" s="93" t="s">
        <v>1648</v>
      </c>
      <c r="G916" s="93" t="s">
        <v>9117</v>
      </c>
      <c r="H916" s="93" t="s">
        <v>1690</v>
      </c>
      <c r="I916" s="93" t="s">
        <v>111</v>
      </c>
      <c r="J916" s="93" t="s">
        <v>2013</v>
      </c>
      <c r="K916" s="93">
        <v>50</v>
      </c>
      <c r="L916" s="93" t="s">
        <v>111</v>
      </c>
      <c r="M916" s="93">
        <v>6.3</v>
      </c>
      <c r="N916" s="93" t="s">
        <v>113</v>
      </c>
      <c r="O916" s="93">
        <v>18.5</v>
      </c>
      <c r="P916" s="93">
        <v>29.5</v>
      </c>
      <c r="Q916" s="93">
        <v>37.5</v>
      </c>
      <c r="R916" s="93" t="s">
        <v>123</v>
      </c>
      <c r="S916" s="93" t="s">
        <v>659</v>
      </c>
      <c r="T916" s="93" t="s">
        <v>1659</v>
      </c>
      <c r="U916" s="93" t="s">
        <v>116</v>
      </c>
      <c r="V916" s="94">
        <v>44628.585416666669</v>
      </c>
      <c r="W916" s="93" t="s">
        <v>1170</v>
      </c>
      <c r="X916" s="93" t="s">
        <v>24</v>
      </c>
    </row>
    <row r="917" spans="1:24" hidden="1" x14ac:dyDescent="0.15">
      <c r="A917" s="93" t="s">
        <v>2793</v>
      </c>
      <c r="B917" s="93" t="s">
        <v>2794</v>
      </c>
      <c r="C917" s="410">
        <v>3675</v>
      </c>
      <c r="D917" s="93" t="s">
        <v>9</v>
      </c>
      <c r="E917" s="93" t="s">
        <v>9</v>
      </c>
      <c r="F917" s="93" t="s">
        <v>1648</v>
      </c>
      <c r="G917" s="93" t="s">
        <v>9117</v>
      </c>
      <c r="H917" s="93" t="s">
        <v>1690</v>
      </c>
      <c r="I917" s="93" t="s">
        <v>111</v>
      </c>
      <c r="J917" s="93" t="s">
        <v>2013</v>
      </c>
      <c r="K917" s="93">
        <v>50</v>
      </c>
      <c r="L917" s="93" t="s">
        <v>111</v>
      </c>
      <c r="M917" s="93">
        <v>6.3</v>
      </c>
      <c r="N917" s="93" t="s">
        <v>113</v>
      </c>
      <c r="O917" s="93">
        <v>18.5</v>
      </c>
      <c r="P917" s="93">
        <v>29.5</v>
      </c>
      <c r="Q917" s="93">
        <v>37.5</v>
      </c>
      <c r="R917" s="93" t="s">
        <v>123</v>
      </c>
      <c r="S917" s="93" t="s">
        <v>659</v>
      </c>
      <c r="T917" s="93" t="s">
        <v>1659</v>
      </c>
      <c r="U917" s="93" t="s">
        <v>116</v>
      </c>
      <c r="V917" s="94">
        <v>44628.585416666669</v>
      </c>
      <c r="W917" s="93" t="s">
        <v>1170</v>
      </c>
      <c r="X917" s="93" t="s">
        <v>24</v>
      </c>
    </row>
    <row r="918" spans="1:24" hidden="1" x14ac:dyDescent="0.15">
      <c r="A918" s="93" t="s">
        <v>2795</v>
      </c>
      <c r="B918" s="93" t="s">
        <v>2796</v>
      </c>
      <c r="C918" s="410">
        <v>3675</v>
      </c>
      <c r="D918" s="93" t="s">
        <v>9</v>
      </c>
      <c r="E918" s="93" t="s">
        <v>9</v>
      </c>
      <c r="F918" s="93" t="s">
        <v>1648</v>
      </c>
      <c r="G918" s="93" t="s">
        <v>9117</v>
      </c>
      <c r="H918" s="93" t="s">
        <v>1690</v>
      </c>
      <c r="I918" s="93" t="s">
        <v>111</v>
      </c>
      <c r="J918" s="93" t="s">
        <v>2013</v>
      </c>
      <c r="K918" s="93">
        <v>50</v>
      </c>
      <c r="L918" s="93" t="s">
        <v>111</v>
      </c>
      <c r="M918" s="93">
        <v>6.3</v>
      </c>
      <c r="N918" s="93" t="s">
        <v>113</v>
      </c>
      <c r="O918" s="93">
        <v>18.5</v>
      </c>
      <c r="P918" s="93">
        <v>29.5</v>
      </c>
      <c r="Q918" s="93">
        <v>37.5</v>
      </c>
      <c r="R918" s="93" t="s">
        <v>123</v>
      </c>
      <c r="S918" s="93" t="s">
        <v>659</v>
      </c>
      <c r="T918" s="93" t="s">
        <v>1659</v>
      </c>
      <c r="U918" s="93" t="s">
        <v>116</v>
      </c>
      <c r="V918" s="94">
        <v>44628.585416666669</v>
      </c>
      <c r="W918" s="93" t="s">
        <v>1170</v>
      </c>
      <c r="X918" s="93" t="s">
        <v>24</v>
      </c>
    </row>
    <row r="919" spans="1:24" hidden="1" x14ac:dyDescent="0.15">
      <c r="A919" s="93" t="s">
        <v>2797</v>
      </c>
      <c r="B919" s="93" t="s">
        <v>2798</v>
      </c>
      <c r="C919" s="410">
        <v>3675</v>
      </c>
      <c r="D919" s="93" t="s">
        <v>9</v>
      </c>
      <c r="E919" s="93" t="s">
        <v>9</v>
      </c>
      <c r="F919" s="93" t="s">
        <v>1648</v>
      </c>
      <c r="G919" s="93" t="s">
        <v>9117</v>
      </c>
      <c r="H919" s="93" t="s">
        <v>1690</v>
      </c>
      <c r="I919" s="93" t="s">
        <v>111</v>
      </c>
      <c r="J919" s="93" t="s">
        <v>2013</v>
      </c>
      <c r="K919" s="93">
        <v>50</v>
      </c>
      <c r="L919" s="93" t="s">
        <v>111</v>
      </c>
      <c r="M919" s="93">
        <v>6.3</v>
      </c>
      <c r="N919" s="93" t="s">
        <v>113</v>
      </c>
      <c r="O919" s="93">
        <v>18.5</v>
      </c>
      <c r="P919" s="93">
        <v>29.5</v>
      </c>
      <c r="Q919" s="93">
        <v>37.5</v>
      </c>
      <c r="R919" s="93" t="s">
        <v>123</v>
      </c>
      <c r="S919" s="93" t="s">
        <v>659</v>
      </c>
      <c r="T919" s="93" t="s">
        <v>1659</v>
      </c>
      <c r="U919" s="93" t="s">
        <v>116</v>
      </c>
      <c r="V919" s="94">
        <v>44628.563194444447</v>
      </c>
      <c r="W919" s="93" t="s">
        <v>1170</v>
      </c>
      <c r="X919" s="93" t="s">
        <v>24</v>
      </c>
    </row>
    <row r="920" spans="1:24" hidden="1" x14ac:dyDescent="0.15">
      <c r="A920" s="93" t="s">
        <v>2799</v>
      </c>
      <c r="B920" s="93" t="s">
        <v>2800</v>
      </c>
      <c r="C920" s="410">
        <v>3675</v>
      </c>
      <c r="D920" s="93" t="s">
        <v>9</v>
      </c>
      <c r="E920" s="93" t="s">
        <v>9</v>
      </c>
      <c r="F920" s="93" t="s">
        <v>1648</v>
      </c>
      <c r="G920" s="93" t="s">
        <v>9117</v>
      </c>
      <c r="H920" s="93" t="s">
        <v>1690</v>
      </c>
      <c r="I920" s="93" t="s">
        <v>111</v>
      </c>
      <c r="J920" s="93" t="s">
        <v>2013</v>
      </c>
      <c r="K920" s="93">
        <v>50</v>
      </c>
      <c r="L920" s="93" t="s">
        <v>111</v>
      </c>
      <c r="M920" s="93">
        <v>6.3</v>
      </c>
      <c r="N920" s="93" t="s">
        <v>113</v>
      </c>
      <c r="O920" s="93">
        <v>18.5</v>
      </c>
      <c r="P920" s="93">
        <v>29.5</v>
      </c>
      <c r="Q920" s="93">
        <v>37.5</v>
      </c>
      <c r="R920" s="93" t="s">
        <v>123</v>
      </c>
      <c r="S920" s="93" t="s">
        <v>659</v>
      </c>
      <c r="T920" s="93" t="s">
        <v>1659</v>
      </c>
      <c r="U920" s="93" t="s">
        <v>116</v>
      </c>
      <c r="V920" s="94">
        <v>44628.563194444447</v>
      </c>
      <c r="W920" s="93" t="s">
        <v>1170</v>
      </c>
      <c r="X920" s="93" t="s">
        <v>24</v>
      </c>
    </row>
    <row r="921" spans="1:24" hidden="1" x14ac:dyDescent="0.15">
      <c r="A921" s="93" t="s">
        <v>2801</v>
      </c>
      <c r="B921" s="93" t="s">
        <v>2802</v>
      </c>
      <c r="C921" s="410">
        <v>3675</v>
      </c>
      <c r="D921" s="93" t="s">
        <v>9</v>
      </c>
      <c r="E921" s="93" t="s">
        <v>9</v>
      </c>
      <c r="F921" s="93" t="s">
        <v>1648</v>
      </c>
      <c r="G921" s="93" t="s">
        <v>9117</v>
      </c>
      <c r="H921" s="93" t="s">
        <v>1690</v>
      </c>
      <c r="I921" s="93" t="s">
        <v>111</v>
      </c>
      <c r="J921" s="93" t="s">
        <v>2013</v>
      </c>
      <c r="K921" s="93">
        <v>50</v>
      </c>
      <c r="L921" s="93" t="s">
        <v>111</v>
      </c>
      <c r="M921" s="93">
        <v>6.3</v>
      </c>
      <c r="N921" s="93" t="s">
        <v>113</v>
      </c>
      <c r="O921" s="93">
        <v>18.5</v>
      </c>
      <c r="P921" s="93">
        <v>29.5</v>
      </c>
      <c r="Q921" s="93">
        <v>37.5</v>
      </c>
      <c r="R921" s="93" t="s">
        <v>123</v>
      </c>
      <c r="S921" s="93" t="s">
        <v>659</v>
      </c>
      <c r="T921" s="93" t="s">
        <v>1659</v>
      </c>
      <c r="U921" s="93" t="s">
        <v>116</v>
      </c>
      <c r="V921" s="94">
        <v>44628.497916666667</v>
      </c>
      <c r="W921" s="93" t="s">
        <v>1170</v>
      </c>
      <c r="X921" s="93" t="s">
        <v>24</v>
      </c>
    </row>
    <row r="922" spans="1:24" hidden="1" x14ac:dyDescent="0.15">
      <c r="A922" s="93" t="s">
        <v>2803</v>
      </c>
      <c r="B922" s="93" t="s">
        <v>2804</v>
      </c>
      <c r="C922" s="410">
        <v>3675</v>
      </c>
      <c r="D922" s="93" t="s">
        <v>9</v>
      </c>
      <c r="E922" s="93" t="s">
        <v>9</v>
      </c>
      <c r="F922" s="93" t="s">
        <v>1648</v>
      </c>
      <c r="G922" s="93" t="s">
        <v>9117</v>
      </c>
      <c r="H922" s="93" t="s">
        <v>1690</v>
      </c>
      <c r="I922" s="93" t="s">
        <v>111</v>
      </c>
      <c r="J922" s="93" t="s">
        <v>2013</v>
      </c>
      <c r="K922" s="93">
        <v>50</v>
      </c>
      <c r="L922" s="93" t="s">
        <v>111</v>
      </c>
      <c r="M922" s="93">
        <v>6.3</v>
      </c>
      <c r="N922" s="93" t="s">
        <v>113</v>
      </c>
      <c r="O922" s="93">
        <v>18.5</v>
      </c>
      <c r="P922" s="93">
        <v>29.5</v>
      </c>
      <c r="Q922" s="93">
        <v>37.5</v>
      </c>
      <c r="R922" s="93" t="s">
        <v>123</v>
      </c>
      <c r="S922" s="93" t="s">
        <v>659</v>
      </c>
      <c r="T922" s="93" t="s">
        <v>1659</v>
      </c>
      <c r="U922" s="93" t="s">
        <v>116</v>
      </c>
      <c r="V922" s="94">
        <v>44628.497916666667</v>
      </c>
      <c r="W922" s="93" t="s">
        <v>1170</v>
      </c>
      <c r="X922" s="93" t="s">
        <v>24</v>
      </c>
    </row>
    <row r="923" spans="1:24" hidden="1" x14ac:dyDescent="0.15">
      <c r="A923" s="93" t="s">
        <v>2805</v>
      </c>
      <c r="B923" s="93" t="s">
        <v>2806</v>
      </c>
      <c r="C923" s="410">
        <v>3675</v>
      </c>
      <c r="D923" s="93" t="s">
        <v>9</v>
      </c>
      <c r="E923" s="93" t="s">
        <v>9</v>
      </c>
      <c r="F923" s="93" t="s">
        <v>1648</v>
      </c>
      <c r="G923" s="93" t="s">
        <v>9117</v>
      </c>
      <c r="H923" s="93" t="s">
        <v>1690</v>
      </c>
      <c r="I923" s="93" t="s">
        <v>111</v>
      </c>
      <c r="J923" s="93" t="s">
        <v>2013</v>
      </c>
      <c r="K923" s="93">
        <v>50</v>
      </c>
      <c r="L923" s="93" t="s">
        <v>111</v>
      </c>
      <c r="M923" s="93">
        <v>6.3</v>
      </c>
      <c r="N923" s="93" t="s">
        <v>113</v>
      </c>
      <c r="O923" s="93">
        <v>18.5</v>
      </c>
      <c r="P923" s="93">
        <v>29.5</v>
      </c>
      <c r="Q923" s="93">
        <v>37.5</v>
      </c>
      <c r="R923" s="93" t="s">
        <v>123</v>
      </c>
      <c r="S923" s="93" t="s">
        <v>659</v>
      </c>
      <c r="T923" s="93" t="s">
        <v>1659</v>
      </c>
      <c r="U923" s="93" t="s">
        <v>116</v>
      </c>
      <c r="V923" s="94">
        <v>44628.642361111109</v>
      </c>
      <c r="W923" s="93" t="s">
        <v>1170</v>
      </c>
      <c r="X923" s="93" t="s">
        <v>24</v>
      </c>
    </row>
    <row r="924" spans="1:24" hidden="1" x14ac:dyDescent="0.15">
      <c r="A924" s="93" t="s">
        <v>2807</v>
      </c>
      <c r="B924" s="93" t="s">
        <v>2808</v>
      </c>
      <c r="C924" s="410">
        <v>3675</v>
      </c>
      <c r="D924" s="93" t="s">
        <v>9</v>
      </c>
      <c r="E924" s="93" t="s">
        <v>9</v>
      </c>
      <c r="F924" s="93" t="s">
        <v>1648</v>
      </c>
      <c r="G924" s="93" t="s">
        <v>9117</v>
      </c>
      <c r="H924" s="93" t="s">
        <v>1690</v>
      </c>
      <c r="I924" s="93" t="s">
        <v>111</v>
      </c>
      <c r="J924" s="93" t="s">
        <v>2013</v>
      </c>
      <c r="K924" s="93">
        <v>50</v>
      </c>
      <c r="L924" s="93" t="s">
        <v>111</v>
      </c>
      <c r="M924" s="93">
        <v>6.3</v>
      </c>
      <c r="N924" s="93" t="s">
        <v>113</v>
      </c>
      <c r="O924" s="93">
        <v>18.5</v>
      </c>
      <c r="P924" s="93">
        <v>29.5</v>
      </c>
      <c r="Q924" s="93">
        <v>37.5</v>
      </c>
      <c r="R924" s="93" t="s">
        <v>123</v>
      </c>
      <c r="S924" s="93" t="s">
        <v>659</v>
      </c>
      <c r="T924" s="93" t="s">
        <v>1659</v>
      </c>
      <c r="U924" s="93" t="s">
        <v>116</v>
      </c>
      <c r="V924" s="94">
        <v>44628.520138888889</v>
      </c>
      <c r="W924" s="93" t="s">
        <v>1170</v>
      </c>
      <c r="X924" s="93" t="s">
        <v>24</v>
      </c>
    </row>
    <row r="925" spans="1:24" hidden="1" x14ac:dyDescent="0.15">
      <c r="A925" s="93" t="s">
        <v>2809</v>
      </c>
      <c r="B925" s="93" t="s">
        <v>2810</v>
      </c>
      <c r="C925" s="410">
        <v>3675</v>
      </c>
      <c r="D925" s="93" t="s">
        <v>9</v>
      </c>
      <c r="E925" s="93" t="s">
        <v>9</v>
      </c>
      <c r="F925" s="93" t="s">
        <v>1648</v>
      </c>
      <c r="G925" s="93" t="s">
        <v>9117</v>
      </c>
      <c r="H925" s="93" t="s">
        <v>1690</v>
      </c>
      <c r="I925" s="93" t="s">
        <v>111</v>
      </c>
      <c r="J925" s="93" t="s">
        <v>2013</v>
      </c>
      <c r="K925" s="93">
        <v>50</v>
      </c>
      <c r="L925" s="93" t="s">
        <v>111</v>
      </c>
      <c r="M925" s="93">
        <v>6.3</v>
      </c>
      <c r="N925" s="93" t="s">
        <v>113</v>
      </c>
      <c r="O925" s="93">
        <v>18.5</v>
      </c>
      <c r="P925" s="93">
        <v>29.5</v>
      </c>
      <c r="Q925" s="93">
        <v>37.5</v>
      </c>
      <c r="R925" s="93" t="s">
        <v>123</v>
      </c>
      <c r="S925" s="93" t="s">
        <v>659</v>
      </c>
      <c r="T925" s="93" t="s">
        <v>1659</v>
      </c>
      <c r="U925" s="93" t="s">
        <v>116</v>
      </c>
      <c r="V925" s="94">
        <v>44628.497916666667</v>
      </c>
      <c r="W925" s="93" t="s">
        <v>1170</v>
      </c>
      <c r="X925" s="93" t="s">
        <v>24</v>
      </c>
    </row>
    <row r="926" spans="1:24" hidden="1" x14ac:dyDescent="0.15">
      <c r="A926" s="93" t="s">
        <v>2811</v>
      </c>
      <c r="B926" s="93" t="s">
        <v>2812</v>
      </c>
      <c r="C926" s="410">
        <v>3675</v>
      </c>
      <c r="D926" s="93" t="s">
        <v>9</v>
      </c>
      <c r="E926" s="93" t="s">
        <v>9</v>
      </c>
      <c r="F926" s="93" t="s">
        <v>1648</v>
      </c>
      <c r="G926" s="93" t="s">
        <v>9117</v>
      </c>
      <c r="H926" s="93" t="s">
        <v>1690</v>
      </c>
      <c r="I926" s="93" t="s">
        <v>111</v>
      </c>
      <c r="J926" s="93" t="s">
        <v>2013</v>
      </c>
      <c r="K926" s="93">
        <v>50</v>
      </c>
      <c r="L926" s="93" t="s">
        <v>111</v>
      </c>
      <c r="M926" s="93">
        <v>6.3</v>
      </c>
      <c r="N926" s="93" t="s">
        <v>113</v>
      </c>
      <c r="O926" s="93">
        <v>18.5</v>
      </c>
      <c r="P926" s="93">
        <v>29.5</v>
      </c>
      <c r="Q926" s="93">
        <v>37.5</v>
      </c>
      <c r="R926" s="93" t="s">
        <v>123</v>
      </c>
      <c r="S926" s="93" t="s">
        <v>659</v>
      </c>
      <c r="T926" s="93" t="s">
        <v>1659</v>
      </c>
      <c r="U926" s="93" t="s">
        <v>116</v>
      </c>
      <c r="V926" s="94">
        <v>44628.606944444444</v>
      </c>
      <c r="W926" s="93" t="s">
        <v>1170</v>
      </c>
      <c r="X926" s="93" t="s">
        <v>24</v>
      </c>
    </row>
    <row r="927" spans="1:24" hidden="1" x14ac:dyDescent="0.15">
      <c r="A927" s="93" t="s">
        <v>2813</v>
      </c>
      <c r="B927" s="93" t="s">
        <v>2814</v>
      </c>
      <c r="C927" s="410">
        <v>3675</v>
      </c>
      <c r="D927" s="93" t="s">
        <v>9</v>
      </c>
      <c r="E927" s="93" t="s">
        <v>9</v>
      </c>
      <c r="F927" s="93" t="s">
        <v>1648</v>
      </c>
      <c r="G927" s="93" t="s">
        <v>9117</v>
      </c>
      <c r="H927" s="93" t="s">
        <v>1690</v>
      </c>
      <c r="I927" s="93" t="s">
        <v>111</v>
      </c>
      <c r="J927" s="93" t="s">
        <v>2013</v>
      </c>
      <c r="K927" s="93">
        <v>50</v>
      </c>
      <c r="L927" s="93" t="s">
        <v>111</v>
      </c>
      <c r="M927" s="93">
        <v>6.3</v>
      </c>
      <c r="N927" s="93" t="s">
        <v>113</v>
      </c>
      <c r="O927" s="93">
        <v>18.5</v>
      </c>
      <c r="P927" s="93">
        <v>29.5</v>
      </c>
      <c r="Q927" s="93">
        <v>37.5</v>
      </c>
      <c r="R927" s="93" t="s">
        <v>123</v>
      </c>
      <c r="S927" s="93" t="s">
        <v>659</v>
      </c>
      <c r="T927" s="93" t="s">
        <v>1659</v>
      </c>
      <c r="U927" s="93" t="s">
        <v>116</v>
      </c>
      <c r="V927" s="94">
        <v>44628.477083333331</v>
      </c>
      <c r="W927" s="93" t="s">
        <v>1170</v>
      </c>
      <c r="X927" s="93" t="s">
        <v>24</v>
      </c>
    </row>
    <row r="928" spans="1:24" hidden="1" x14ac:dyDescent="0.15">
      <c r="A928" s="93" t="s">
        <v>2815</v>
      </c>
      <c r="B928" s="93" t="s">
        <v>2816</v>
      </c>
      <c r="C928" s="410">
        <v>3675</v>
      </c>
      <c r="D928" s="93" t="s">
        <v>9</v>
      </c>
      <c r="E928" s="93" t="s">
        <v>9</v>
      </c>
      <c r="F928" s="93" t="s">
        <v>1648</v>
      </c>
      <c r="G928" s="93" t="s">
        <v>9117</v>
      </c>
      <c r="H928" s="93" t="s">
        <v>1690</v>
      </c>
      <c r="I928" s="93" t="s">
        <v>111</v>
      </c>
      <c r="J928" s="93" t="s">
        <v>2013</v>
      </c>
      <c r="K928" s="93">
        <v>50</v>
      </c>
      <c r="L928" s="93" t="s">
        <v>111</v>
      </c>
      <c r="M928" s="93">
        <v>6.3</v>
      </c>
      <c r="N928" s="93" t="s">
        <v>113</v>
      </c>
      <c r="O928" s="93">
        <v>18.5</v>
      </c>
      <c r="P928" s="93">
        <v>29.5</v>
      </c>
      <c r="Q928" s="93">
        <v>37.5</v>
      </c>
      <c r="R928" s="93" t="s">
        <v>123</v>
      </c>
      <c r="S928" s="93" t="s">
        <v>659</v>
      </c>
      <c r="T928" s="93" t="s">
        <v>1659</v>
      </c>
      <c r="U928" s="93" t="s">
        <v>116</v>
      </c>
      <c r="V928" s="94">
        <v>44628.520138888889</v>
      </c>
      <c r="W928" s="93" t="s">
        <v>1170</v>
      </c>
      <c r="X928" s="93" t="s">
        <v>24</v>
      </c>
    </row>
    <row r="929" spans="1:24" hidden="1" x14ac:dyDescent="0.15">
      <c r="A929" s="93" t="s">
        <v>2817</v>
      </c>
      <c r="B929" s="93" t="s">
        <v>2818</v>
      </c>
      <c r="C929" s="410">
        <v>3675</v>
      </c>
      <c r="D929" s="93" t="s">
        <v>9</v>
      </c>
      <c r="E929" s="93" t="s">
        <v>9</v>
      </c>
      <c r="F929" s="93" t="s">
        <v>1648</v>
      </c>
      <c r="G929" s="93" t="s">
        <v>9117</v>
      </c>
      <c r="H929" s="93" t="s">
        <v>1690</v>
      </c>
      <c r="I929" s="93" t="s">
        <v>111</v>
      </c>
      <c r="J929" s="93" t="s">
        <v>2013</v>
      </c>
      <c r="K929" s="93">
        <v>50</v>
      </c>
      <c r="L929" s="93" t="s">
        <v>111</v>
      </c>
      <c r="M929" s="93">
        <v>6.3</v>
      </c>
      <c r="N929" s="93" t="s">
        <v>113</v>
      </c>
      <c r="O929" s="93">
        <v>18.5</v>
      </c>
      <c r="P929" s="93">
        <v>29.5</v>
      </c>
      <c r="Q929" s="93">
        <v>37.5</v>
      </c>
      <c r="R929" s="93" t="s">
        <v>123</v>
      </c>
      <c r="S929" s="93" t="s">
        <v>659</v>
      </c>
      <c r="T929" s="93" t="s">
        <v>1659</v>
      </c>
      <c r="U929" s="93" t="s">
        <v>116</v>
      </c>
      <c r="V929" s="94">
        <v>44628.585416666669</v>
      </c>
      <c r="W929" s="93" t="s">
        <v>1170</v>
      </c>
      <c r="X929" s="93" t="s">
        <v>24</v>
      </c>
    </row>
    <row r="930" spans="1:24" hidden="1" x14ac:dyDescent="0.15">
      <c r="A930" s="93" t="s">
        <v>2819</v>
      </c>
      <c r="B930" s="93" t="s">
        <v>2820</v>
      </c>
      <c r="C930" s="410">
        <v>3675</v>
      </c>
      <c r="D930" s="93" t="s">
        <v>9</v>
      </c>
      <c r="E930" s="93" t="s">
        <v>9</v>
      </c>
      <c r="F930" s="93" t="s">
        <v>1648</v>
      </c>
      <c r="G930" s="93" t="s">
        <v>9117</v>
      </c>
      <c r="H930" s="93" t="s">
        <v>1690</v>
      </c>
      <c r="I930" s="93" t="s">
        <v>111</v>
      </c>
      <c r="J930" s="93" t="s">
        <v>2013</v>
      </c>
      <c r="K930" s="93">
        <v>50</v>
      </c>
      <c r="L930" s="93" t="s">
        <v>111</v>
      </c>
      <c r="M930" s="93">
        <v>6.3</v>
      </c>
      <c r="N930" s="93" t="s">
        <v>113</v>
      </c>
      <c r="O930" s="93">
        <v>18.5</v>
      </c>
      <c r="P930" s="93">
        <v>29.5</v>
      </c>
      <c r="Q930" s="93">
        <v>37.5</v>
      </c>
      <c r="R930" s="93" t="s">
        <v>123</v>
      </c>
      <c r="S930" s="93" t="s">
        <v>659</v>
      </c>
      <c r="T930" s="93" t="s">
        <v>1659</v>
      </c>
      <c r="U930" s="93" t="s">
        <v>116</v>
      </c>
      <c r="V930" s="94">
        <v>44628.542361111111</v>
      </c>
      <c r="W930" s="93" t="s">
        <v>1170</v>
      </c>
      <c r="X930" s="93" t="s">
        <v>24</v>
      </c>
    </row>
    <row r="931" spans="1:24" hidden="1" x14ac:dyDescent="0.15">
      <c r="A931" s="93" t="s">
        <v>2821</v>
      </c>
      <c r="B931" s="93" t="s">
        <v>2822</v>
      </c>
      <c r="C931" s="410">
        <v>3675</v>
      </c>
      <c r="D931" s="93" t="s">
        <v>9</v>
      </c>
      <c r="E931" s="93" t="s">
        <v>9</v>
      </c>
      <c r="F931" s="93" t="s">
        <v>1648</v>
      </c>
      <c r="G931" s="93" t="s">
        <v>9117</v>
      </c>
      <c r="H931" s="93" t="s">
        <v>1690</v>
      </c>
      <c r="I931" s="93" t="s">
        <v>111</v>
      </c>
      <c r="J931" s="93" t="s">
        <v>2013</v>
      </c>
      <c r="K931" s="93">
        <v>50</v>
      </c>
      <c r="L931" s="93" t="s">
        <v>111</v>
      </c>
      <c r="M931" s="93">
        <v>6.3</v>
      </c>
      <c r="N931" s="93" t="s">
        <v>113</v>
      </c>
      <c r="O931" s="93">
        <v>18.5</v>
      </c>
      <c r="P931" s="93">
        <v>29.5</v>
      </c>
      <c r="Q931" s="93">
        <v>37.5</v>
      </c>
      <c r="R931" s="93" t="s">
        <v>123</v>
      </c>
      <c r="S931" s="93" t="s">
        <v>659</v>
      </c>
      <c r="T931" s="93" t="s">
        <v>1659</v>
      </c>
      <c r="U931" s="93" t="s">
        <v>116</v>
      </c>
      <c r="V931" s="94">
        <v>44628.642361111109</v>
      </c>
      <c r="W931" s="93" t="s">
        <v>1170</v>
      </c>
      <c r="X931" s="93" t="s">
        <v>24</v>
      </c>
    </row>
    <row r="932" spans="1:24" hidden="1" x14ac:dyDescent="0.15">
      <c r="A932" s="93" t="s">
        <v>2823</v>
      </c>
      <c r="B932" s="93" t="s">
        <v>2824</v>
      </c>
      <c r="C932" s="410">
        <v>3675</v>
      </c>
      <c r="D932" s="93" t="s">
        <v>9</v>
      </c>
      <c r="E932" s="93" t="s">
        <v>9</v>
      </c>
      <c r="F932" s="93" t="s">
        <v>1648</v>
      </c>
      <c r="G932" s="93" t="s">
        <v>9117</v>
      </c>
      <c r="H932" s="93" t="s">
        <v>1690</v>
      </c>
      <c r="I932" s="93" t="s">
        <v>111</v>
      </c>
      <c r="J932" s="93" t="s">
        <v>2013</v>
      </c>
      <c r="K932" s="93">
        <v>50</v>
      </c>
      <c r="L932" s="93" t="s">
        <v>111</v>
      </c>
      <c r="M932" s="93">
        <v>6.3</v>
      </c>
      <c r="N932" s="93" t="s">
        <v>113</v>
      </c>
      <c r="O932" s="93">
        <v>18.5</v>
      </c>
      <c r="P932" s="93">
        <v>29.5</v>
      </c>
      <c r="Q932" s="93">
        <v>37.5</v>
      </c>
      <c r="R932" s="93" t="s">
        <v>123</v>
      </c>
      <c r="S932" s="93" t="s">
        <v>659</v>
      </c>
      <c r="T932" s="93" t="s">
        <v>1659</v>
      </c>
      <c r="U932" s="93" t="s">
        <v>116</v>
      </c>
      <c r="V932" s="94">
        <v>44628.477083333331</v>
      </c>
      <c r="W932" s="93" t="s">
        <v>1170</v>
      </c>
      <c r="X932" s="93" t="s">
        <v>24</v>
      </c>
    </row>
    <row r="933" spans="1:24" hidden="1" x14ac:dyDescent="0.15">
      <c r="A933" s="93" t="s">
        <v>2825</v>
      </c>
      <c r="B933" s="93" t="s">
        <v>2826</v>
      </c>
      <c r="C933" s="410">
        <v>3675</v>
      </c>
      <c r="D933" s="93" t="s">
        <v>9</v>
      </c>
      <c r="E933" s="93" t="s">
        <v>9</v>
      </c>
      <c r="F933" s="93" t="s">
        <v>1648</v>
      </c>
      <c r="G933" s="93" t="s">
        <v>9117</v>
      </c>
      <c r="H933" s="93" t="s">
        <v>1690</v>
      </c>
      <c r="I933" s="93" t="s">
        <v>111</v>
      </c>
      <c r="J933" s="93" t="s">
        <v>2013</v>
      </c>
      <c r="K933" s="93">
        <v>50</v>
      </c>
      <c r="L933" s="93" t="s">
        <v>111</v>
      </c>
      <c r="M933" s="93">
        <v>6.3</v>
      </c>
      <c r="N933" s="93" t="s">
        <v>113</v>
      </c>
      <c r="O933" s="93">
        <v>18.5</v>
      </c>
      <c r="P933" s="93">
        <v>29.5</v>
      </c>
      <c r="Q933" s="93">
        <v>37.5</v>
      </c>
      <c r="R933" s="93" t="s">
        <v>123</v>
      </c>
      <c r="S933" s="93" t="s">
        <v>659</v>
      </c>
      <c r="T933" s="93" t="s">
        <v>1659</v>
      </c>
      <c r="U933" s="93" t="s">
        <v>116</v>
      </c>
      <c r="V933" s="94">
        <v>44628.477083333331</v>
      </c>
      <c r="W933" s="93" t="s">
        <v>1170</v>
      </c>
      <c r="X933" s="93" t="s">
        <v>24</v>
      </c>
    </row>
    <row r="934" spans="1:24" hidden="1" x14ac:dyDescent="0.15">
      <c r="A934" s="93" t="s">
        <v>2827</v>
      </c>
      <c r="B934" s="93" t="s">
        <v>2828</v>
      </c>
      <c r="C934" s="410">
        <v>3675</v>
      </c>
      <c r="D934" s="93" t="s">
        <v>9</v>
      </c>
      <c r="E934" s="93" t="s">
        <v>9</v>
      </c>
      <c r="F934" s="93" t="s">
        <v>1648</v>
      </c>
      <c r="G934" s="93" t="s">
        <v>9117</v>
      </c>
      <c r="H934" s="93" t="s">
        <v>1690</v>
      </c>
      <c r="I934" s="93" t="s">
        <v>111</v>
      </c>
      <c r="J934" s="93" t="s">
        <v>2013</v>
      </c>
      <c r="K934" s="93">
        <v>50</v>
      </c>
      <c r="L934" s="93" t="s">
        <v>111</v>
      </c>
      <c r="M934" s="93">
        <v>6.3</v>
      </c>
      <c r="N934" s="93" t="s">
        <v>113</v>
      </c>
      <c r="O934" s="93">
        <v>18.5</v>
      </c>
      <c r="P934" s="93">
        <v>29.5</v>
      </c>
      <c r="Q934" s="93">
        <v>37.5</v>
      </c>
      <c r="R934" s="93" t="s">
        <v>123</v>
      </c>
      <c r="S934" s="93" t="s">
        <v>659</v>
      </c>
      <c r="T934" s="93" t="s">
        <v>1659</v>
      </c>
      <c r="U934" s="93" t="s">
        <v>116</v>
      </c>
      <c r="V934" s="94">
        <v>44628.520138888889</v>
      </c>
      <c r="W934" s="93" t="s">
        <v>1170</v>
      </c>
      <c r="X934" s="93" t="s">
        <v>24</v>
      </c>
    </row>
    <row r="935" spans="1:24" hidden="1" x14ac:dyDescent="0.15">
      <c r="A935" s="93" t="s">
        <v>2829</v>
      </c>
      <c r="B935" s="93" t="s">
        <v>2830</v>
      </c>
      <c r="C935" s="410">
        <v>3675</v>
      </c>
      <c r="D935" s="93" t="s">
        <v>9</v>
      </c>
      <c r="E935" s="93" t="s">
        <v>9</v>
      </c>
      <c r="F935" s="93" t="s">
        <v>1648</v>
      </c>
      <c r="G935" s="93" t="s">
        <v>9117</v>
      </c>
      <c r="H935" s="93" t="s">
        <v>1690</v>
      </c>
      <c r="I935" s="93" t="s">
        <v>111</v>
      </c>
      <c r="J935" s="93" t="s">
        <v>2013</v>
      </c>
      <c r="K935" s="93">
        <v>50</v>
      </c>
      <c r="L935" s="93" t="s">
        <v>111</v>
      </c>
      <c r="M935" s="93">
        <v>6.3</v>
      </c>
      <c r="N935" s="93" t="s">
        <v>113</v>
      </c>
      <c r="O935" s="93">
        <v>18.5</v>
      </c>
      <c r="P935" s="93">
        <v>29.5</v>
      </c>
      <c r="Q935" s="93">
        <v>37.5</v>
      </c>
      <c r="R935" s="93" t="s">
        <v>123</v>
      </c>
      <c r="S935" s="93" t="s">
        <v>659</v>
      </c>
      <c r="T935" s="93" t="s">
        <v>1659</v>
      </c>
      <c r="U935" s="93" t="s">
        <v>116</v>
      </c>
      <c r="V935" s="94">
        <v>44628.520138888889</v>
      </c>
      <c r="W935" s="93" t="s">
        <v>1170</v>
      </c>
      <c r="X935" s="93" t="s">
        <v>24</v>
      </c>
    </row>
    <row r="936" spans="1:24" hidden="1" x14ac:dyDescent="0.15">
      <c r="A936" s="93" t="s">
        <v>2831</v>
      </c>
      <c r="B936" s="93" t="s">
        <v>2832</v>
      </c>
      <c r="C936" s="410">
        <v>4620</v>
      </c>
      <c r="D936" s="93" t="s">
        <v>9</v>
      </c>
      <c r="E936" s="93" t="s">
        <v>9</v>
      </c>
      <c r="F936" s="93" t="s">
        <v>1648</v>
      </c>
      <c r="G936" s="93" t="s">
        <v>9117</v>
      </c>
      <c r="H936" s="93" t="s">
        <v>1690</v>
      </c>
      <c r="I936" s="93" t="s">
        <v>111</v>
      </c>
      <c r="J936" s="93" t="s">
        <v>2086</v>
      </c>
      <c r="K936" s="93">
        <v>50</v>
      </c>
      <c r="L936" s="93" t="s">
        <v>111</v>
      </c>
      <c r="M936" s="93">
        <v>6.6</v>
      </c>
      <c r="N936" s="93" t="s">
        <v>113</v>
      </c>
      <c r="O936" s="93">
        <v>18.5</v>
      </c>
      <c r="P936" s="93">
        <v>29.5</v>
      </c>
      <c r="Q936" s="93">
        <v>37.5</v>
      </c>
      <c r="R936" s="93" t="s">
        <v>123</v>
      </c>
      <c r="S936" s="93" t="s">
        <v>659</v>
      </c>
      <c r="T936" s="93" t="s">
        <v>1659</v>
      </c>
      <c r="U936" s="93" t="s">
        <v>116</v>
      </c>
      <c r="V936" s="94">
        <v>44628.585416666669</v>
      </c>
      <c r="W936" s="93" t="s">
        <v>1170</v>
      </c>
      <c r="X936" s="93" t="s">
        <v>24</v>
      </c>
    </row>
    <row r="937" spans="1:24" hidden="1" x14ac:dyDescent="0.15">
      <c r="A937" s="93" t="s">
        <v>2833</v>
      </c>
      <c r="B937" s="93" t="s">
        <v>2834</v>
      </c>
      <c r="C937" s="410">
        <v>4620</v>
      </c>
      <c r="D937" s="93" t="s">
        <v>9</v>
      </c>
      <c r="E937" s="93" t="s">
        <v>9</v>
      </c>
      <c r="F937" s="93" t="s">
        <v>1648</v>
      </c>
      <c r="G937" s="93" t="s">
        <v>9117</v>
      </c>
      <c r="H937" s="93" t="s">
        <v>1690</v>
      </c>
      <c r="I937" s="93" t="s">
        <v>111</v>
      </c>
      <c r="J937" s="93" t="s">
        <v>2086</v>
      </c>
      <c r="K937" s="93">
        <v>50</v>
      </c>
      <c r="L937" s="93" t="s">
        <v>111</v>
      </c>
      <c r="M937" s="93">
        <v>6.6</v>
      </c>
      <c r="N937" s="93" t="s">
        <v>113</v>
      </c>
      <c r="O937" s="93">
        <v>18.5</v>
      </c>
      <c r="P937" s="93">
        <v>29.5</v>
      </c>
      <c r="Q937" s="93">
        <v>37.5</v>
      </c>
      <c r="R937" s="93" t="s">
        <v>123</v>
      </c>
      <c r="S937" s="93" t="s">
        <v>659</v>
      </c>
      <c r="T937" s="93" t="s">
        <v>1659</v>
      </c>
      <c r="U937" s="93" t="s">
        <v>116</v>
      </c>
      <c r="V937" s="94">
        <v>44628.477083333331</v>
      </c>
      <c r="W937" s="93" t="s">
        <v>1170</v>
      </c>
      <c r="X937" s="93" t="s">
        <v>24</v>
      </c>
    </row>
    <row r="938" spans="1:24" hidden="1" x14ac:dyDescent="0.15">
      <c r="A938" s="93" t="s">
        <v>2835</v>
      </c>
      <c r="B938" s="93" t="s">
        <v>2836</v>
      </c>
      <c r="C938" s="410">
        <v>4620</v>
      </c>
      <c r="D938" s="93" t="s">
        <v>9</v>
      </c>
      <c r="E938" s="93" t="s">
        <v>9</v>
      </c>
      <c r="F938" s="93" t="s">
        <v>1648</v>
      </c>
      <c r="G938" s="93" t="s">
        <v>9117</v>
      </c>
      <c r="H938" s="93" t="s">
        <v>1690</v>
      </c>
      <c r="I938" s="93" t="s">
        <v>111</v>
      </c>
      <c r="J938" s="93" t="s">
        <v>2086</v>
      </c>
      <c r="K938" s="93">
        <v>50</v>
      </c>
      <c r="L938" s="93" t="s">
        <v>111</v>
      </c>
      <c r="M938" s="93">
        <v>6.6</v>
      </c>
      <c r="N938" s="93" t="s">
        <v>113</v>
      </c>
      <c r="O938" s="93">
        <v>18.5</v>
      </c>
      <c r="P938" s="93">
        <v>29.5</v>
      </c>
      <c r="Q938" s="93">
        <v>37.5</v>
      </c>
      <c r="R938" s="93" t="s">
        <v>123</v>
      </c>
      <c r="S938" s="93" t="s">
        <v>659</v>
      </c>
      <c r="T938" s="93" t="s">
        <v>1659</v>
      </c>
      <c r="U938" s="93" t="s">
        <v>116</v>
      </c>
      <c r="V938" s="94">
        <v>44628.563194444447</v>
      </c>
      <c r="W938" s="93" t="s">
        <v>1170</v>
      </c>
      <c r="X938" s="93" t="s">
        <v>24</v>
      </c>
    </row>
    <row r="939" spans="1:24" hidden="1" x14ac:dyDescent="0.15">
      <c r="A939" s="93" t="s">
        <v>2837</v>
      </c>
      <c r="B939" s="93" t="s">
        <v>2838</v>
      </c>
      <c r="C939" s="410">
        <v>4620</v>
      </c>
      <c r="D939" s="93" t="s">
        <v>9</v>
      </c>
      <c r="E939" s="93" t="s">
        <v>9</v>
      </c>
      <c r="F939" s="93" t="s">
        <v>1648</v>
      </c>
      <c r="G939" s="93" t="s">
        <v>9117</v>
      </c>
      <c r="H939" s="93" t="s">
        <v>1690</v>
      </c>
      <c r="I939" s="93" t="s">
        <v>111</v>
      </c>
      <c r="J939" s="93" t="s">
        <v>2086</v>
      </c>
      <c r="K939" s="93">
        <v>50</v>
      </c>
      <c r="L939" s="93" t="s">
        <v>111</v>
      </c>
      <c r="M939" s="93">
        <v>6.6</v>
      </c>
      <c r="N939" s="93" t="s">
        <v>113</v>
      </c>
      <c r="O939" s="93">
        <v>18.5</v>
      </c>
      <c r="P939" s="93">
        <v>29.5</v>
      </c>
      <c r="Q939" s="93">
        <v>37.5</v>
      </c>
      <c r="R939" s="93" t="s">
        <v>123</v>
      </c>
      <c r="S939" s="93" t="s">
        <v>659</v>
      </c>
      <c r="T939" s="93" t="s">
        <v>1659</v>
      </c>
      <c r="U939" s="93" t="s">
        <v>116</v>
      </c>
      <c r="V939" s="94">
        <v>44628.642361111109</v>
      </c>
      <c r="W939" s="93" t="s">
        <v>1170</v>
      </c>
      <c r="X939" s="93" t="s">
        <v>24</v>
      </c>
    </row>
    <row r="940" spans="1:24" hidden="1" x14ac:dyDescent="0.15">
      <c r="A940" s="93" t="s">
        <v>2839</v>
      </c>
      <c r="B940" s="93" t="s">
        <v>2840</v>
      </c>
      <c r="C940" s="410">
        <v>4620</v>
      </c>
      <c r="D940" s="93" t="s">
        <v>9</v>
      </c>
      <c r="E940" s="93" t="s">
        <v>9</v>
      </c>
      <c r="F940" s="93" t="s">
        <v>1648</v>
      </c>
      <c r="G940" s="93" t="s">
        <v>9117</v>
      </c>
      <c r="H940" s="93" t="s">
        <v>1690</v>
      </c>
      <c r="I940" s="93" t="s">
        <v>111</v>
      </c>
      <c r="J940" s="93" t="s">
        <v>2086</v>
      </c>
      <c r="K940" s="93">
        <v>50</v>
      </c>
      <c r="L940" s="93" t="s">
        <v>111</v>
      </c>
      <c r="M940" s="93">
        <v>6.6</v>
      </c>
      <c r="N940" s="93" t="s">
        <v>113</v>
      </c>
      <c r="O940" s="93">
        <v>18.5</v>
      </c>
      <c r="P940" s="93">
        <v>29.5</v>
      </c>
      <c r="Q940" s="93">
        <v>37.5</v>
      </c>
      <c r="R940" s="93" t="s">
        <v>123</v>
      </c>
      <c r="S940" s="93" t="s">
        <v>659</v>
      </c>
      <c r="T940" s="93" t="s">
        <v>1659</v>
      </c>
      <c r="U940" s="93" t="s">
        <v>116</v>
      </c>
      <c r="V940" s="94">
        <v>44628.542361111111</v>
      </c>
      <c r="W940" s="93" t="s">
        <v>1170</v>
      </c>
      <c r="X940" s="93" t="s">
        <v>24</v>
      </c>
    </row>
    <row r="941" spans="1:24" hidden="1" x14ac:dyDescent="0.15">
      <c r="A941" s="93" t="s">
        <v>2841</v>
      </c>
      <c r="B941" s="93" t="s">
        <v>2842</v>
      </c>
      <c r="C941" s="410">
        <v>4620</v>
      </c>
      <c r="D941" s="93" t="s">
        <v>9</v>
      </c>
      <c r="E941" s="93" t="s">
        <v>9</v>
      </c>
      <c r="F941" s="93" t="s">
        <v>1648</v>
      </c>
      <c r="G941" s="93" t="s">
        <v>9117</v>
      </c>
      <c r="H941" s="93" t="s">
        <v>1690</v>
      </c>
      <c r="I941" s="93" t="s">
        <v>111</v>
      </c>
      <c r="J941" s="93" t="s">
        <v>2086</v>
      </c>
      <c r="K941" s="93">
        <v>50</v>
      </c>
      <c r="L941" s="93" t="s">
        <v>111</v>
      </c>
      <c r="M941" s="93">
        <v>6.6</v>
      </c>
      <c r="N941" s="93" t="s">
        <v>113</v>
      </c>
      <c r="O941" s="93">
        <v>18.5</v>
      </c>
      <c r="P941" s="93">
        <v>29.5</v>
      </c>
      <c r="Q941" s="93">
        <v>37.5</v>
      </c>
      <c r="R941" s="93" t="s">
        <v>123</v>
      </c>
      <c r="S941" s="93" t="s">
        <v>659</v>
      </c>
      <c r="T941" s="93" t="s">
        <v>1659</v>
      </c>
      <c r="U941" s="93" t="s">
        <v>116</v>
      </c>
      <c r="V941" s="94">
        <v>44628.642361111109</v>
      </c>
      <c r="W941" s="93" t="s">
        <v>1170</v>
      </c>
      <c r="X941" s="93" t="s">
        <v>24</v>
      </c>
    </row>
    <row r="942" spans="1:24" hidden="1" x14ac:dyDescent="0.15">
      <c r="A942" s="93" t="s">
        <v>2843</v>
      </c>
      <c r="B942" s="93" t="s">
        <v>2844</v>
      </c>
      <c r="C942" s="410">
        <v>4620</v>
      </c>
      <c r="D942" s="93" t="s">
        <v>9</v>
      </c>
      <c r="E942" s="93" t="s">
        <v>9</v>
      </c>
      <c r="F942" s="93" t="s">
        <v>1648</v>
      </c>
      <c r="G942" s="93" t="s">
        <v>9117</v>
      </c>
      <c r="H942" s="93" t="s">
        <v>1690</v>
      </c>
      <c r="I942" s="93" t="s">
        <v>111</v>
      </c>
      <c r="J942" s="93" t="s">
        <v>2086</v>
      </c>
      <c r="K942" s="93">
        <v>50</v>
      </c>
      <c r="L942" s="93" t="s">
        <v>111</v>
      </c>
      <c r="M942" s="93">
        <v>6.6</v>
      </c>
      <c r="N942" s="93" t="s">
        <v>113</v>
      </c>
      <c r="O942" s="93">
        <v>18.5</v>
      </c>
      <c r="P942" s="93">
        <v>29.5</v>
      </c>
      <c r="Q942" s="93">
        <v>37.5</v>
      </c>
      <c r="R942" s="93" t="s">
        <v>123</v>
      </c>
      <c r="S942" s="93" t="s">
        <v>659</v>
      </c>
      <c r="T942" s="93" t="s">
        <v>1659</v>
      </c>
      <c r="U942" s="93" t="s">
        <v>116</v>
      </c>
      <c r="V942" s="94">
        <v>44628.542361111111</v>
      </c>
      <c r="W942" s="93" t="s">
        <v>1170</v>
      </c>
      <c r="X942" s="93" t="s">
        <v>24</v>
      </c>
    </row>
    <row r="943" spans="1:24" hidden="1" x14ac:dyDescent="0.15">
      <c r="A943" s="93" t="s">
        <v>2845</v>
      </c>
      <c r="B943" s="93" t="s">
        <v>2846</v>
      </c>
      <c r="C943" s="410">
        <v>4620</v>
      </c>
      <c r="D943" s="93" t="s">
        <v>9</v>
      </c>
      <c r="E943" s="93" t="s">
        <v>9</v>
      </c>
      <c r="F943" s="93" t="s">
        <v>1648</v>
      </c>
      <c r="G943" s="93" t="s">
        <v>9117</v>
      </c>
      <c r="H943" s="93" t="s">
        <v>1690</v>
      </c>
      <c r="I943" s="93" t="s">
        <v>111</v>
      </c>
      <c r="J943" s="93" t="s">
        <v>2086</v>
      </c>
      <c r="K943" s="93">
        <v>50</v>
      </c>
      <c r="L943" s="93" t="s">
        <v>111</v>
      </c>
      <c r="M943" s="93">
        <v>6.6</v>
      </c>
      <c r="N943" s="93" t="s">
        <v>113</v>
      </c>
      <c r="O943" s="93">
        <v>18.5</v>
      </c>
      <c r="P943" s="93">
        <v>29.5</v>
      </c>
      <c r="Q943" s="93">
        <v>37.5</v>
      </c>
      <c r="R943" s="93" t="s">
        <v>123</v>
      </c>
      <c r="S943" s="93" t="s">
        <v>659</v>
      </c>
      <c r="T943" s="93" t="s">
        <v>1659</v>
      </c>
      <c r="U943" s="93" t="s">
        <v>116</v>
      </c>
      <c r="V943" s="94">
        <v>44628.477083333331</v>
      </c>
      <c r="W943" s="93" t="s">
        <v>1170</v>
      </c>
      <c r="X943" s="93" t="s">
        <v>24</v>
      </c>
    </row>
    <row r="944" spans="1:24" hidden="1" x14ac:dyDescent="0.15">
      <c r="A944" s="93" t="s">
        <v>2847</v>
      </c>
      <c r="B944" s="93" t="s">
        <v>2848</v>
      </c>
      <c r="C944" s="410">
        <v>4620</v>
      </c>
      <c r="D944" s="93" t="s">
        <v>9</v>
      </c>
      <c r="E944" s="93" t="s">
        <v>9</v>
      </c>
      <c r="F944" s="93" t="s">
        <v>1648</v>
      </c>
      <c r="G944" s="93" t="s">
        <v>9117</v>
      </c>
      <c r="H944" s="93" t="s">
        <v>1690</v>
      </c>
      <c r="I944" s="93" t="s">
        <v>111</v>
      </c>
      <c r="J944" s="93" t="s">
        <v>2086</v>
      </c>
      <c r="K944" s="93">
        <v>50</v>
      </c>
      <c r="L944" s="93" t="s">
        <v>111</v>
      </c>
      <c r="M944" s="93">
        <v>6.6</v>
      </c>
      <c r="N944" s="93" t="s">
        <v>113</v>
      </c>
      <c r="O944" s="93">
        <v>18.5</v>
      </c>
      <c r="P944" s="93">
        <v>29.5</v>
      </c>
      <c r="Q944" s="93">
        <v>37.5</v>
      </c>
      <c r="R944" s="93" t="s">
        <v>123</v>
      </c>
      <c r="S944" s="93" t="s">
        <v>659</v>
      </c>
      <c r="T944" s="93" t="s">
        <v>1659</v>
      </c>
      <c r="U944" s="93" t="s">
        <v>116</v>
      </c>
      <c r="V944" s="94">
        <v>44628.542361111111</v>
      </c>
      <c r="W944" s="93" t="s">
        <v>1170</v>
      </c>
      <c r="X944" s="93" t="s">
        <v>24</v>
      </c>
    </row>
    <row r="945" spans="1:24" hidden="1" x14ac:dyDescent="0.15">
      <c r="A945" s="93" t="s">
        <v>2849</v>
      </c>
      <c r="B945" s="93" t="s">
        <v>2850</v>
      </c>
      <c r="C945" s="410">
        <v>4620</v>
      </c>
      <c r="D945" s="93" t="s">
        <v>9</v>
      </c>
      <c r="E945" s="93" t="s">
        <v>9</v>
      </c>
      <c r="F945" s="93" t="s">
        <v>1648</v>
      </c>
      <c r="G945" s="93" t="s">
        <v>9117</v>
      </c>
      <c r="H945" s="93" t="s">
        <v>1690</v>
      </c>
      <c r="I945" s="93" t="s">
        <v>111</v>
      </c>
      <c r="J945" s="93" t="s">
        <v>2086</v>
      </c>
      <c r="K945" s="93">
        <v>50</v>
      </c>
      <c r="L945" s="93" t="s">
        <v>111</v>
      </c>
      <c r="M945" s="93">
        <v>6.6</v>
      </c>
      <c r="N945" s="93" t="s">
        <v>113</v>
      </c>
      <c r="O945" s="93">
        <v>18.5</v>
      </c>
      <c r="P945" s="93">
        <v>29.5</v>
      </c>
      <c r="Q945" s="93">
        <v>37.5</v>
      </c>
      <c r="R945" s="93" t="s">
        <v>123</v>
      </c>
      <c r="S945" s="93" t="s">
        <v>659</v>
      </c>
      <c r="T945" s="93" t="s">
        <v>1659</v>
      </c>
      <c r="U945" s="93" t="s">
        <v>116</v>
      </c>
      <c r="V945" s="94">
        <v>44628.542361111111</v>
      </c>
      <c r="W945" s="93" t="s">
        <v>1170</v>
      </c>
      <c r="X945" s="93" t="s">
        <v>24</v>
      </c>
    </row>
    <row r="946" spans="1:24" hidden="1" x14ac:dyDescent="0.15">
      <c r="A946" s="93" t="s">
        <v>2851</v>
      </c>
      <c r="B946" s="93" t="s">
        <v>2852</v>
      </c>
      <c r="C946" s="410">
        <v>4620</v>
      </c>
      <c r="D946" s="93" t="s">
        <v>9</v>
      </c>
      <c r="E946" s="93" t="s">
        <v>9</v>
      </c>
      <c r="F946" s="93" t="s">
        <v>1648</v>
      </c>
      <c r="G946" s="93" t="s">
        <v>9117</v>
      </c>
      <c r="H946" s="93" t="s">
        <v>1690</v>
      </c>
      <c r="I946" s="93" t="s">
        <v>111</v>
      </c>
      <c r="J946" s="93" t="s">
        <v>2086</v>
      </c>
      <c r="K946" s="93">
        <v>50</v>
      </c>
      <c r="L946" s="93" t="s">
        <v>111</v>
      </c>
      <c r="M946" s="93">
        <v>6.6</v>
      </c>
      <c r="N946" s="93" t="s">
        <v>113</v>
      </c>
      <c r="O946" s="93">
        <v>18.5</v>
      </c>
      <c r="P946" s="93">
        <v>29.5</v>
      </c>
      <c r="Q946" s="93">
        <v>37.5</v>
      </c>
      <c r="R946" s="93" t="s">
        <v>123</v>
      </c>
      <c r="S946" s="93" t="s">
        <v>659</v>
      </c>
      <c r="T946" s="93" t="s">
        <v>1659</v>
      </c>
      <c r="U946" s="93" t="s">
        <v>116</v>
      </c>
      <c r="V946" s="94">
        <v>44628.606944444444</v>
      </c>
      <c r="W946" s="93" t="s">
        <v>1170</v>
      </c>
      <c r="X946" s="93" t="s">
        <v>24</v>
      </c>
    </row>
    <row r="947" spans="1:24" hidden="1" x14ac:dyDescent="0.15">
      <c r="A947" s="93" t="s">
        <v>2853</v>
      </c>
      <c r="B947" s="93" t="s">
        <v>2854</v>
      </c>
      <c r="C947" s="410">
        <v>4620</v>
      </c>
      <c r="D947" s="93" t="s">
        <v>9</v>
      </c>
      <c r="E947" s="93" t="s">
        <v>9</v>
      </c>
      <c r="F947" s="93" t="s">
        <v>1648</v>
      </c>
      <c r="G947" s="93" t="s">
        <v>9117</v>
      </c>
      <c r="H947" s="93" t="s">
        <v>1690</v>
      </c>
      <c r="I947" s="93" t="s">
        <v>111</v>
      </c>
      <c r="J947" s="93" t="s">
        <v>2086</v>
      </c>
      <c r="K947" s="93">
        <v>50</v>
      </c>
      <c r="L947" s="93" t="s">
        <v>111</v>
      </c>
      <c r="M947" s="93">
        <v>6.6</v>
      </c>
      <c r="N947" s="93" t="s">
        <v>113</v>
      </c>
      <c r="O947" s="93">
        <v>18.5</v>
      </c>
      <c r="P947" s="93">
        <v>29.5</v>
      </c>
      <c r="Q947" s="93">
        <v>37.5</v>
      </c>
      <c r="R947" s="93" t="s">
        <v>123</v>
      </c>
      <c r="S947" s="93" t="s">
        <v>659</v>
      </c>
      <c r="T947" s="93" t="s">
        <v>1659</v>
      </c>
      <c r="U947" s="93" t="s">
        <v>116</v>
      </c>
      <c r="V947" s="94">
        <v>44628.606944444444</v>
      </c>
      <c r="W947" s="93" t="s">
        <v>1170</v>
      </c>
      <c r="X947" s="93" t="s">
        <v>24</v>
      </c>
    </row>
    <row r="948" spans="1:24" hidden="1" x14ac:dyDescent="0.15">
      <c r="A948" s="93" t="s">
        <v>2855</v>
      </c>
      <c r="B948" s="93" t="s">
        <v>2856</v>
      </c>
      <c r="C948" s="410">
        <v>4620</v>
      </c>
      <c r="D948" s="93" t="s">
        <v>9</v>
      </c>
      <c r="E948" s="93" t="s">
        <v>9</v>
      </c>
      <c r="F948" s="93" t="s">
        <v>1648</v>
      </c>
      <c r="G948" s="93" t="s">
        <v>9117</v>
      </c>
      <c r="H948" s="93" t="s">
        <v>1690</v>
      </c>
      <c r="I948" s="93" t="s">
        <v>111</v>
      </c>
      <c r="J948" s="93" t="s">
        <v>2086</v>
      </c>
      <c r="K948" s="93">
        <v>50</v>
      </c>
      <c r="L948" s="93" t="s">
        <v>111</v>
      </c>
      <c r="M948" s="93">
        <v>6.6</v>
      </c>
      <c r="N948" s="93" t="s">
        <v>113</v>
      </c>
      <c r="O948" s="93">
        <v>18.5</v>
      </c>
      <c r="P948" s="93">
        <v>29.5</v>
      </c>
      <c r="Q948" s="93">
        <v>37.5</v>
      </c>
      <c r="R948" s="93" t="s">
        <v>123</v>
      </c>
      <c r="S948" s="93" t="s">
        <v>659</v>
      </c>
      <c r="T948" s="93" t="s">
        <v>1659</v>
      </c>
      <c r="U948" s="93" t="s">
        <v>116</v>
      </c>
      <c r="V948" s="94">
        <v>44628.585416666669</v>
      </c>
      <c r="W948" s="93" t="s">
        <v>1170</v>
      </c>
      <c r="X948" s="93" t="s">
        <v>24</v>
      </c>
    </row>
    <row r="949" spans="1:24" hidden="1" x14ac:dyDescent="0.15">
      <c r="A949" s="93" t="s">
        <v>2857</v>
      </c>
      <c r="B949" s="93" t="s">
        <v>2858</v>
      </c>
      <c r="C949" s="410">
        <v>4620</v>
      </c>
      <c r="D949" s="93" t="s">
        <v>9</v>
      </c>
      <c r="E949" s="93" t="s">
        <v>9</v>
      </c>
      <c r="F949" s="93" t="s">
        <v>1648</v>
      </c>
      <c r="G949" s="93" t="s">
        <v>9117</v>
      </c>
      <c r="H949" s="93" t="s">
        <v>1690</v>
      </c>
      <c r="I949" s="93" t="s">
        <v>111</v>
      </c>
      <c r="J949" s="93" t="s">
        <v>2086</v>
      </c>
      <c r="K949" s="93">
        <v>50</v>
      </c>
      <c r="L949" s="93" t="s">
        <v>111</v>
      </c>
      <c r="M949" s="93">
        <v>6.6</v>
      </c>
      <c r="N949" s="93" t="s">
        <v>113</v>
      </c>
      <c r="O949" s="93">
        <v>18.5</v>
      </c>
      <c r="P949" s="93">
        <v>29.5</v>
      </c>
      <c r="Q949" s="93">
        <v>37.5</v>
      </c>
      <c r="R949" s="93" t="s">
        <v>123</v>
      </c>
      <c r="S949" s="93" t="s">
        <v>659</v>
      </c>
      <c r="T949" s="93" t="s">
        <v>1659</v>
      </c>
      <c r="U949" s="93" t="s">
        <v>116</v>
      </c>
      <c r="V949" s="94">
        <v>44628.606944444444</v>
      </c>
      <c r="W949" s="93" t="s">
        <v>1170</v>
      </c>
      <c r="X949" s="93" t="s">
        <v>24</v>
      </c>
    </row>
    <row r="950" spans="1:24" hidden="1" x14ac:dyDescent="0.15">
      <c r="A950" s="93" t="s">
        <v>2859</v>
      </c>
      <c r="B950" s="93" t="s">
        <v>2860</v>
      </c>
      <c r="C950" s="410">
        <v>4620</v>
      </c>
      <c r="D950" s="93" t="s">
        <v>9</v>
      </c>
      <c r="E950" s="93" t="s">
        <v>9</v>
      </c>
      <c r="F950" s="93" t="s">
        <v>1648</v>
      </c>
      <c r="G950" s="93" t="s">
        <v>9117</v>
      </c>
      <c r="H950" s="93" t="s">
        <v>1690</v>
      </c>
      <c r="I950" s="93" t="s">
        <v>111</v>
      </c>
      <c r="J950" s="93" t="s">
        <v>2086</v>
      </c>
      <c r="K950" s="93">
        <v>50</v>
      </c>
      <c r="L950" s="93" t="s">
        <v>111</v>
      </c>
      <c r="M950" s="93">
        <v>6.6</v>
      </c>
      <c r="N950" s="93" t="s">
        <v>113</v>
      </c>
      <c r="O950" s="93">
        <v>18.5</v>
      </c>
      <c r="P950" s="93">
        <v>29.5</v>
      </c>
      <c r="Q950" s="93">
        <v>37.5</v>
      </c>
      <c r="R950" s="93" t="s">
        <v>123</v>
      </c>
      <c r="S950" s="93" t="s">
        <v>659</v>
      </c>
      <c r="T950" s="93" t="s">
        <v>1659</v>
      </c>
      <c r="U950" s="93" t="s">
        <v>116</v>
      </c>
      <c r="V950" s="94">
        <v>44628.477083333331</v>
      </c>
      <c r="W950" s="93" t="s">
        <v>1170</v>
      </c>
      <c r="X950" s="93" t="s">
        <v>24</v>
      </c>
    </row>
    <row r="951" spans="1:24" hidden="1" x14ac:dyDescent="0.15">
      <c r="A951" s="93" t="s">
        <v>2861</v>
      </c>
      <c r="B951" s="93" t="s">
        <v>2862</v>
      </c>
      <c r="C951" s="410">
        <v>4620</v>
      </c>
      <c r="D951" s="93" t="s">
        <v>9</v>
      </c>
      <c r="E951" s="93" t="s">
        <v>9</v>
      </c>
      <c r="F951" s="93" t="s">
        <v>1648</v>
      </c>
      <c r="G951" s="93" t="s">
        <v>9117</v>
      </c>
      <c r="H951" s="93" t="s">
        <v>1690</v>
      </c>
      <c r="I951" s="93" t="s">
        <v>111</v>
      </c>
      <c r="J951" s="93" t="s">
        <v>2086</v>
      </c>
      <c r="K951" s="93">
        <v>50</v>
      </c>
      <c r="L951" s="93" t="s">
        <v>111</v>
      </c>
      <c r="M951" s="93">
        <v>6.6</v>
      </c>
      <c r="N951" s="93" t="s">
        <v>113</v>
      </c>
      <c r="O951" s="93">
        <v>18.5</v>
      </c>
      <c r="P951" s="93">
        <v>29.5</v>
      </c>
      <c r="Q951" s="93">
        <v>37.5</v>
      </c>
      <c r="R951" s="93" t="s">
        <v>123</v>
      </c>
      <c r="S951" s="93" t="s">
        <v>659</v>
      </c>
      <c r="T951" s="93" t="s">
        <v>1659</v>
      </c>
      <c r="U951" s="93" t="s">
        <v>116</v>
      </c>
      <c r="V951" s="94">
        <v>44628.542361111111</v>
      </c>
      <c r="W951" s="93" t="s">
        <v>1170</v>
      </c>
      <c r="X951" s="93" t="s">
        <v>24</v>
      </c>
    </row>
    <row r="952" spans="1:24" hidden="1" x14ac:dyDescent="0.15">
      <c r="A952" s="93" t="s">
        <v>2863</v>
      </c>
      <c r="B952" s="93" t="s">
        <v>2864</v>
      </c>
      <c r="C952" s="410">
        <v>4620</v>
      </c>
      <c r="D952" s="93" t="s">
        <v>9</v>
      </c>
      <c r="E952" s="93" t="s">
        <v>9</v>
      </c>
      <c r="F952" s="93" t="s">
        <v>1648</v>
      </c>
      <c r="G952" s="93" t="s">
        <v>9117</v>
      </c>
      <c r="H952" s="93" t="s">
        <v>1690</v>
      </c>
      <c r="I952" s="93" t="s">
        <v>111</v>
      </c>
      <c r="J952" s="93" t="s">
        <v>2086</v>
      </c>
      <c r="K952" s="93">
        <v>50</v>
      </c>
      <c r="L952" s="93" t="s">
        <v>111</v>
      </c>
      <c r="M952" s="93">
        <v>6.6</v>
      </c>
      <c r="N952" s="93" t="s">
        <v>113</v>
      </c>
      <c r="O952" s="93">
        <v>18.5</v>
      </c>
      <c r="P952" s="93">
        <v>29.5</v>
      </c>
      <c r="Q952" s="93">
        <v>37.5</v>
      </c>
      <c r="R952" s="93" t="s">
        <v>123</v>
      </c>
      <c r="S952" s="93" t="s">
        <v>659</v>
      </c>
      <c r="T952" s="93" t="s">
        <v>1659</v>
      </c>
      <c r="U952" s="93" t="s">
        <v>116</v>
      </c>
      <c r="V952" s="94">
        <v>44628.477083333331</v>
      </c>
      <c r="W952" s="93" t="s">
        <v>1170</v>
      </c>
      <c r="X952" s="93" t="s">
        <v>24</v>
      </c>
    </row>
    <row r="953" spans="1:24" hidden="1" x14ac:dyDescent="0.15">
      <c r="A953" s="93" t="s">
        <v>2865</v>
      </c>
      <c r="B953" s="93" t="s">
        <v>2866</v>
      </c>
      <c r="C953" s="410">
        <v>4620</v>
      </c>
      <c r="D953" s="93" t="s">
        <v>9</v>
      </c>
      <c r="E953" s="93" t="s">
        <v>9</v>
      </c>
      <c r="F953" s="93" t="s">
        <v>1648</v>
      </c>
      <c r="G953" s="93" t="s">
        <v>9117</v>
      </c>
      <c r="H953" s="93" t="s">
        <v>1690</v>
      </c>
      <c r="I953" s="93" t="s">
        <v>111</v>
      </c>
      <c r="J953" s="93" t="s">
        <v>2086</v>
      </c>
      <c r="K953" s="93">
        <v>50</v>
      </c>
      <c r="L953" s="93" t="s">
        <v>111</v>
      </c>
      <c r="M953" s="93">
        <v>6.6</v>
      </c>
      <c r="N953" s="93" t="s">
        <v>113</v>
      </c>
      <c r="O953" s="93">
        <v>18.5</v>
      </c>
      <c r="P953" s="93">
        <v>29.5</v>
      </c>
      <c r="Q953" s="93">
        <v>37.5</v>
      </c>
      <c r="R953" s="93" t="s">
        <v>123</v>
      </c>
      <c r="S953" s="93" t="s">
        <v>659</v>
      </c>
      <c r="T953" s="93" t="s">
        <v>1659</v>
      </c>
      <c r="U953" s="93" t="s">
        <v>116</v>
      </c>
      <c r="V953" s="94">
        <v>44628.520138888889</v>
      </c>
      <c r="W953" s="93" t="s">
        <v>1170</v>
      </c>
      <c r="X953" s="93" t="s">
        <v>24</v>
      </c>
    </row>
    <row r="954" spans="1:24" hidden="1" x14ac:dyDescent="0.15">
      <c r="A954" s="93" t="s">
        <v>2867</v>
      </c>
      <c r="B954" s="93" t="s">
        <v>2868</v>
      </c>
      <c r="C954" s="410">
        <v>4620</v>
      </c>
      <c r="D954" s="93" t="s">
        <v>9</v>
      </c>
      <c r="E954" s="93" t="s">
        <v>9</v>
      </c>
      <c r="F954" s="93" t="s">
        <v>1648</v>
      </c>
      <c r="G954" s="93" t="s">
        <v>9117</v>
      </c>
      <c r="H954" s="93" t="s">
        <v>1690</v>
      </c>
      <c r="I954" s="93" t="s">
        <v>111</v>
      </c>
      <c r="J954" s="93" t="s">
        <v>2086</v>
      </c>
      <c r="K954" s="93">
        <v>50</v>
      </c>
      <c r="L954" s="93" t="s">
        <v>111</v>
      </c>
      <c r="M954" s="93">
        <v>6.6</v>
      </c>
      <c r="N954" s="93" t="s">
        <v>113</v>
      </c>
      <c r="O954" s="93">
        <v>18.5</v>
      </c>
      <c r="P954" s="93">
        <v>29.5</v>
      </c>
      <c r="Q954" s="93">
        <v>37.5</v>
      </c>
      <c r="R954" s="93" t="s">
        <v>123</v>
      </c>
      <c r="S954" s="93" t="s">
        <v>659</v>
      </c>
      <c r="T954" s="93" t="s">
        <v>1659</v>
      </c>
      <c r="U954" s="93" t="s">
        <v>116</v>
      </c>
      <c r="V954" s="94">
        <v>44628.542361111111</v>
      </c>
      <c r="W954" s="93" t="s">
        <v>1170</v>
      </c>
      <c r="X954" s="93" t="s">
        <v>24</v>
      </c>
    </row>
    <row r="955" spans="1:24" hidden="1" x14ac:dyDescent="0.15">
      <c r="A955" s="93" t="s">
        <v>2869</v>
      </c>
      <c r="B955" s="93" t="s">
        <v>2870</v>
      </c>
      <c r="C955" s="410">
        <v>4620</v>
      </c>
      <c r="D955" s="93" t="s">
        <v>9</v>
      </c>
      <c r="E955" s="93" t="s">
        <v>9</v>
      </c>
      <c r="F955" s="93" t="s">
        <v>1648</v>
      </c>
      <c r="G955" s="93" t="s">
        <v>9117</v>
      </c>
      <c r="H955" s="93" t="s">
        <v>1690</v>
      </c>
      <c r="I955" s="93" t="s">
        <v>111</v>
      </c>
      <c r="J955" s="93" t="s">
        <v>2086</v>
      </c>
      <c r="K955" s="93">
        <v>50</v>
      </c>
      <c r="L955" s="93" t="s">
        <v>111</v>
      </c>
      <c r="M955" s="93">
        <v>6.6</v>
      </c>
      <c r="N955" s="93" t="s">
        <v>113</v>
      </c>
      <c r="O955" s="93">
        <v>18.5</v>
      </c>
      <c r="P955" s="93">
        <v>29.5</v>
      </c>
      <c r="Q955" s="93">
        <v>37.5</v>
      </c>
      <c r="R955" s="93" t="s">
        <v>123</v>
      </c>
      <c r="S955" s="93" t="s">
        <v>659</v>
      </c>
      <c r="T955" s="93" t="s">
        <v>1659</v>
      </c>
      <c r="U955" s="93" t="s">
        <v>116</v>
      </c>
      <c r="V955" s="94">
        <v>44628.497916666667</v>
      </c>
      <c r="W955" s="93" t="s">
        <v>1170</v>
      </c>
      <c r="X955" s="93" t="s">
        <v>24</v>
      </c>
    </row>
    <row r="956" spans="1:24" hidden="1" x14ac:dyDescent="0.15">
      <c r="A956" s="93" t="s">
        <v>2871</v>
      </c>
      <c r="B956" s="93" t="s">
        <v>2872</v>
      </c>
      <c r="C956" s="410">
        <v>8032.5</v>
      </c>
      <c r="D956" s="93" t="s">
        <v>9</v>
      </c>
      <c r="E956" s="93" t="s">
        <v>9</v>
      </c>
      <c r="F956" s="93" t="s">
        <v>1648</v>
      </c>
      <c r="G956" s="93" t="s">
        <v>9117</v>
      </c>
      <c r="H956" s="93" t="s">
        <v>1690</v>
      </c>
      <c r="I956" s="93" t="s">
        <v>111</v>
      </c>
      <c r="J956" s="93" t="s">
        <v>963</v>
      </c>
      <c r="K956" s="93">
        <v>60</v>
      </c>
      <c r="L956" s="93" t="s">
        <v>111</v>
      </c>
      <c r="M956" s="93">
        <v>5</v>
      </c>
      <c r="N956" s="93" t="s">
        <v>113</v>
      </c>
      <c r="O956" s="93">
        <v>15</v>
      </c>
      <c r="P956" s="93">
        <v>25</v>
      </c>
      <c r="Q956" s="93">
        <v>42</v>
      </c>
      <c r="R956" s="93" t="s">
        <v>123</v>
      </c>
      <c r="S956" s="93" t="s">
        <v>659</v>
      </c>
      <c r="T956" s="93" t="s">
        <v>1659</v>
      </c>
      <c r="U956" s="93" t="s">
        <v>116</v>
      </c>
      <c r="V956" s="94">
        <v>44628.554861111108</v>
      </c>
      <c r="W956" s="93" t="s">
        <v>1555</v>
      </c>
      <c r="X956" s="93" t="s">
        <v>24</v>
      </c>
    </row>
    <row r="957" spans="1:24" hidden="1" x14ac:dyDescent="0.15">
      <c r="A957" s="93" t="s">
        <v>2873</v>
      </c>
      <c r="B957" s="93" t="s">
        <v>2874</v>
      </c>
      <c r="C957" s="410">
        <v>8032.5</v>
      </c>
      <c r="D957" s="93" t="s">
        <v>9</v>
      </c>
      <c r="E957" s="93" t="s">
        <v>9</v>
      </c>
      <c r="F957" s="93" t="s">
        <v>1648</v>
      </c>
      <c r="G957" s="93" t="s">
        <v>9117</v>
      </c>
      <c r="H957" s="93" t="s">
        <v>1690</v>
      </c>
      <c r="I957" s="93" t="s">
        <v>111</v>
      </c>
      <c r="J957" s="93" t="s">
        <v>963</v>
      </c>
      <c r="K957" s="93">
        <v>60</v>
      </c>
      <c r="L957" s="93" t="s">
        <v>111</v>
      </c>
      <c r="M957" s="93">
        <v>5</v>
      </c>
      <c r="N957" s="93" t="s">
        <v>113</v>
      </c>
      <c r="O957" s="93">
        <v>15</v>
      </c>
      <c r="P957" s="93">
        <v>25</v>
      </c>
      <c r="Q957" s="93">
        <v>42</v>
      </c>
      <c r="R957" s="93" t="s">
        <v>123</v>
      </c>
      <c r="S957" s="93" t="s">
        <v>659</v>
      </c>
      <c r="T957" s="93" t="s">
        <v>1659</v>
      </c>
      <c r="U957" s="93" t="s">
        <v>116</v>
      </c>
      <c r="V957" s="94">
        <v>44628.554861111108</v>
      </c>
      <c r="W957" s="93" t="s">
        <v>1555</v>
      </c>
      <c r="X957" s="93" t="s">
        <v>24</v>
      </c>
    </row>
    <row r="958" spans="1:24" hidden="1" x14ac:dyDescent="0.15">
      <c r="A958" s="93" t="s">
        <v>2875</v>
      </c>
      <c r="B958" s="93" t="s">
        <v>2876</v>
      </c>
      <c r="C958" s="410">
        <v>3465</v>
      </c>
      <c r="D958" s="93" t="s">
        <v>9</v>
      </c>
      <c r="E958" s="93" t="s">
        <v>9</v>
      </c>
      <c r="F958" s="93" t="s">
        <v>1648</v>
      </c>
      <c r="G958" s="93" t="s">
        <v>9117</v>
      </c>
      <c r="H958" s="93" t="s">
        <v>1943</v>
      </c>
      <c r="I958" s="93" t="s">
        <v>111</v>
      </c>
      <c r="J958" s="93" t="s">
        <v>963</v>
      </c>
      <c r="K958" s="93">
        <v>60</v>
      </c>
      <c r="L958" s="93" t="s">
        <v>111</v>
      </c>
      <c r="M958" s="93">
        <v>4.7</v>
      </c>
      <c r="N958" s="93" t="s">
        <v>113</v>
      </c>
      <c r="O958" s="93">
        <v>18.5</v>
      </c>
      <c r="P958" s="93">
        <v>29.5</v>
      </c>
      <c r="Q958" s="93">
        <v>32.5</v>
      </c>
      <c r="R958" s="93" t="s">
        <v>123</v>
      </c>
      <c r="S958" s="93" t="s">
        <v>111</v>
      </c>
      <c r="T958" s="93" t="s">
        <v>1659</v>
      </c>
      <c r="U958" s="93" t="s">
        <v>116</v>
      </c>
      <c r="V958" s="94">
        <v>44628.476388888892</v>
      </c>
      <c r="W958" s="93" t="s">
        <v>1170</v>
      </c>
      <c r="X958" s="93" t="s">
        <v>24</v>
      </c>
    </row>
    <row r="959" spans="1:24" hidden="1" x14ac:dyDescent="0.15">
      <c r="A959" s="93" t="s">
        <v>2877</v>
      </c>
      <c r="B959" s="93" t="s">
        <v>2878</v>
      </c>
      <c r="C959" s="410">
        <v>3465</v>
      </c>
      <c r="D959" s="93" t="s">
        <v>9</v>
      </c>
      <c r="E959" s="93" t="s">
        <v>9</v>
      </c>
      <c r="F959" s="93" t="s">
        <v>1648</v>
      </c>
      <c r="G959" s="93" t="s">
        <v>9117</v>
      </c>
      <c r="H959" s="93" t="s">
        <v>1943</v>
      </c>
      <c r="I959" s="93" t="s">
        <v>111</v>
      </c>
      <c r="J959" s="93" t="s">
        <v>963</v>
      </c>
      <c r="K959" s="93">
        <v>60</v>
      </c>
      <c r="L959" s="93" t="s">
        <v>111</v>
      </c>
      <c r="M959" s="93">
        <v>4.7</v>
      </c>
      <c r="N959" s="93" t="s">
        <v>113</v>
      </c>
      <c r="O959" s="93">
        <v>18.5</v>
      </c>
      <c r="P959" s="93">
        <v>29.5</v>
      </c>
      <c r="Q959" s="93">
        <v>32.5</v>
      </c>
      <c r="R959" s="93" t="s">
        <v>123</v>
      </c>
      <c r="S959" s="93" t="s">
        <v>111</v>
      </c>
      <c r="T959" s="93" t="s">
        <v>1659</v>
      </c>
      <c r="U959" s="93" t="s">
        <v>116</v>
      </c>
      <c r="V959" s="94">
        <v>44628.476388888892</v>
      </c>
      <c r="W959" s="93" t="s">
        <v>1170</v>
      </c>
      <c r="X959" s="93" t="s">
        <v>24</v>
      </c>
    </row>
    <row r="960" spans="1:24" hidden="1" x14ac:dyDescent="0.15">
      <c r="A960" s="93" t="s">
        <v>2879</v>
      </c>
      <c r="B960" s="93" t="s">
        <v>2880</v>
      </c>
      <c r="C960" s="410">
        <v>3465</v>
      </c>
      <c r="D960" s="93" t="s">
        <v>9</v>
      </c>
      <c r="E960" s="93" t="s">
        <v>9</v>
      </c>
      <c r="F960" s="93" t="s">
        <v>1648</v>
      </c>
      <c r="G960" s="93" t="s">
        <v>9117</v>
      </c>
      <c r="H960" s="93" t="s">
        <v>1943</v>
      </c>
      <c r="I960" s="93" t="s">
        <v>111</v>
      </c>
      <c r="J960" s="93" t="s">
        <v>963</v>
      </c>
      <c r="K960" s="93">
        <v>60</v>
      </c>
      <c r="L960" s="93" t="s">
        <v>111</v>
      </c>
      <c r="M960" s="93">
        <v>4.7</v>
      </c>
      <c r="N960" s="93" t="s">
        <v>113</v>
      </c>
      <c r="O960" s="93">
        <v>18.5</v>
      </c>
      <c r="P960" s="93">
        <v>29.5</v>
      </c>
      <c r="Q960" s="93">
        <v>32.5</v>
      </c>
      <c r="R960" s="93" t="s">
        <v>123</v>
      </c>
      <c r="S960" s="93" t="s">
        <v>111</v>
      </c>
      <c r="T960" s="93" t="s">
        <v>1659</v>
      </c>
      <c r="U960" s="93" t="s">
        <v>116</v>
      </c>
      <c r="V960" s="94">
        <v>44628.519444444442</v>
      </c>
      <c r="W960" s="93" t="s">
        <v>1170</v>
      </c>
      <c r="X960" s="93" t="s">
        <v>24</v>
      </c>
    </row>
    <row r="961" spans="1:24" hidden="1" x14ac:dyDescent="0.15">
      <c r="A961" s="93" t="s">
        <v>2881</v>
      </c>
      <c r="B961" s="93" t="s">
        <v>2882</v>
      </c>
      <c r="C961" s="410">
        <v>3465</v>
      </c>
      <c r="D961" s="93" t="s">
        <v>9</v>
      </c>
      <c r="E961" s="93" t="s">
        <v>9</v>
      </c>
      <c r="F961" s="93" t="s">
        <v>1648</v>
      </c>
      <c r="G961" s="93" t="s">
        <v>9117</v>
      </c>
      <c r="H961" s="93" t="s">
        <v>1943</v>
      </c>
      <c r="I961" s="93" t="s">
        <v>111</v>
      </c>
      <c r="J961" s="93" t="s">
        <v>963</v>
      </c>
      <c r="K961" s="93">
        <v>60</v>
      </c>
      <c r="L961" s="93" t="s">
        <v>111</v>
      </c>
      <c r="M961" s="93">
        <v>4.7</v>
      </c>
      <c r="N961" s="93" t="s">
        <v>113</v>
      </c>
      <c r="O961" s="93">
        <v>18.5</v>
      </c>
      <c r="P961" s="93">
        <v>29.5</v>
      </c>
      <c r="Q961" s="93">
        <v>32.5</v>
      </c>
      <c r="R961" s="93" t="s">
        <v>123</v>
      </c>
      <c r="S961" s="93" t="s">
        <v>111</v>
      </c>
      <c r="T961" s="93" t="s">
        <v>1659</v>
      </c>
      <c r="U961" s="93" t="s">
        <v>116</v>
      </c>
      <c r="V961" s="94">
        <v>44628.563194444447</v>
      </c>
      <c r="W961" s="93" t="s">
        <v>1170</v>
      </c>
      <c r="X961" s="93" t="s">
        <v>24</v>
      </c>
    </row>
    <row r="962" spans="1:24" hidden="1" x14ac:dyDescent="0.15">
      <c r="A962" s="93" t="s">
        <v>2883</v>
      </c>
      <c r="B962" s="93" t="s">
        <v>2884</v>
      </c>
      <c r="C962" s="410">
        <v>3465</v>
      </c>
      <c r="D962" s="93" t="s">
        <v>9</v>
      </c>
      <c r="E962" s="93" t="s">
        <v>9</v>
      </c>
      <c r="F962" s="93" t="s">
        <v>1648</v>
      </c>
      <c r="G962" s="93" t="s">
        <v>9117</v>
      </c>
      <c r="H962" s="93" t="s">
        <v>1943</v>
      </c>
      <c r="I962" s="93" t="s">
        <v>111</v>
      </c>
      <c r="J962" s="93" t="s">
        <v>963</v>
      </c>
      <c r="K962" s="93">
        <v>60</v>
      </c>
      <c r="L962" s="93" t="s">
        <v>111</v>
      </c>
      <c r="M962" s="93">
        <v>4.7</v>
      </c>
      <c r="N962" s="93" t="s">
        <v>113</v>
      </c>
      <c r="O962" s="93">
        <v>18.5</v>
      </c>
      <c r="P962" s="93">
        <v>29.5</v>
      </c>
      <c r="Q962" s="93">
        <v>32.5</v>
      </c>
      <c r="R962" s="93" t="s">
        <v>123</v>
      </c>
      <c r="S962" s="93" t="s">
        <v>111</v>
      </c>
      <c r="T962" s="93" t="s">
        <v>1659</v>
      </c>
      <c r="U962" s="93" t="s">
        <v>116</v>
      </c>
      <c r="V962" s="94">
        <v>44628.519444444442</v>
      </c>
      <c r="W962" s="93" t="s">
        <v>1170</v>
      </c>
      <c r="X962" s="93" t="s">
        <v>24</v>
      </c>
    </row>
    <row r="963" spans="1:24" hidden="1" x14ac:dyDescent="0.15">
      <c r="A963" s="93" t="s">
        <v>2885</v>
      </c>
      <c r="B963" s="93" t="s">
        <v>2886</v>
      </c>
      <c r="C963" s="410">
        <v>3465</v>
      </c>
      <c r="D963" s="93" t="s">
        <v>9</v>
      </c>
      <c r="E963" s="93" t="s">
        <v>9</v>
      </c>
      <c r="F963" s="93" t="s">
        <v>1648</v>
      </c>
      <c r="G963" s="93" t="s">
        <v>9117</v>
      </c>
      <c r="H963" s="93" t="s">
        <v>1943</v>
      </c>
      <c r="I963" s="93" t="s">
        <v>111</v>
      </c>
      <c r="J963" s="93" t="s">
        <v>963</v>
      </c>
      <c r="K963" s="93">
        <v>60</v>
      </c>
      <c r="L963" s="93" t="s">
        <v>111</v>
      </c>
      <c r="M963" s="93">
        <v>4.7</v>
      </c>
      <c r="N963" s="93" t="s">
        <v>113</v>
      </c>
      <c r="O963" s="93">
        <v>18.5</v>
      </c>
      <c r="P963" s="93">
        <v>29.5</v>
      </c>
      <c r="Q963" s="93">
        <v>32.5</v>
      </c>
      <c r="R963" s="93" t="s">
        <v>123</v>
      </c>
      <c r="S963" s="93" t="s">
        <v>111</v>
      </c>
      <c r="T963" s="93" t="s">
        <v>1659</v>
      </c>
      <c r="U963" s="93" t="s">
        <v>116</v>
      </c>
      <c r="V963" s="94">
        <v>44628.606944444444</v>
      </c>
      <c r="W963" s="93" t="s">
        <v>1170</v>
      </c>
      <c r="X963" s="93" t="s">
        <v>24</v>
      </c>
    </row>
    <row r="964" spans="1:24" hidden="1" x14ac:dyDescent="0.15">
      <c r="A964" s="93" t="s">
        <v>2887</v>
      </c>
      <c r="B964" s="93" t="s">
        <v>2888</v>
      </c>
      <c r="C964" s="410">
        <v>3465</v>
      </c>
      <c r="D964" s="93" t="s">
        <v>9</v>
      </c>
      <c r="E964" s="93" t="s">
        <v>9</v>
      </c>
      <c r="F964" s="93" t="s">
        <v>1648</v>
      </c>
      <c r="G964" s="93" t="s">
        <v>9117</v>
      </c>
      <c r="H964" s="93" t="s">
        <v>1943</v>
      </c>
      <c r="I964" s="93" t="s">
        <v>111</v>
      </c>
      <c r="J964" s="93" t="s">
        <v>963</v>
      </c>
      <c r="K964" s="93">
        <v>60</v>
      </c>
      <c r="L964" s="93" t="s">
        <v>111</v>
      </c>
      <c r="M964" s="93">
        <v>4.7</v>
      </c>
      <c r="N964" s="93" t="s">
        <v>113</v>
      </c>
      <c r="O964" s="93">
        <v>18.5</v>
      </c>
      <c r="P964" s="93">
        <v>29.5</v>
      </c>
      <c r="Q964" s="93">
        <v>32.5</v>
      </c>
      <c r="R964" s="93" t="s">
        <v>123</v>
      </c>
      <c r="S964" s="93" t="s">
        <v>111</v>
      </c>
      <c r="T964" s="93" t="s">
        <v>1659</v>
      </c>
      <c r="U964" s="93" t="s">
        <v>116</v>
      </c>
      <c r="V964" s="94">
        <v>44628.541666666664</v>
      </c>
      <c r="W964" s="93" t="s">
        <v>1170</v>
      </c>
      <c r="X964" s="93" t="s">
        <v>24</v>
      </c>
    </row>
    <row r="965" spans="1:24" hidden="1" x14ac:dyDescent="0.15">
      <c r="A965" s="93" t="s">
        <v>2889</v>
      </c>
      <c r="B965" s="93" t="s">
        <v>2890</v>
      </c>
      <c r="C965" s="410">
        <v>3465</v>
      </c>
      <c r="D965" s="93" t="s">
        <v>9</v>
      </c>
      <c r="E965" s="93" t="s">
        <v>9</v>
      </c>
      <c r="F965" s="93" t="s">
        <v>1648</v>
      </c>
      <c r="G965" s="93" t="s">
        <v>9117</v>
      </c>
      <c r="H965" s="93" t="s">
        <v>1943</v>
      </c>
      <c r="I965" s="93" t="s">
        <v>111</v>
      </c>
      <c r="J965" s="93" t="s">
        <v>963</v>
      </c>
      <c r="K965" s="93">
        <v>60</v>
      </c>
      <c r="L965" s="93" t="s">
        <v>111</v>
      </c>
      <c r="M965" s="93">
        <v>4.7</v>
      </c>
      <c r="N965" s="93" t="s">
        <v>113</v>
      </c>
      <c r="O965" s="93">
        <v>18.5</v>
      </c>
      <c r="P965" s="93">
        <v>29.5</v>
      </c>
      <c r="Q965" s="93">
        <v>32.5</v>
      </c>
      <c r="R965" s="93" t="s">
        <v>123</v>
      </c>
      <c r="S965" s="93" t="s">
        <v>111</v>
      </c>
      <c r="T965" s="93" t="s">
        <v>1659</v>
      </c>
      <c r="U965" s="93" t="s">
        <v>116</v>
      </c>
      <c r="V965" s="94">
        <v>44628.519444444442</v>
      </c>
      <c r="W965" s="93" t="s">
        <v>1170</v>
      </c>
      <c r="X965" s="93" t="s">
        <v>24</v>
      </c>
    </row>
    <row r="966" spans="1:24" hidden="1" x14ac:dyDescent="0.15">
      <c r="A966" s="93" t="s">
        <v>2891</v>
      </c>
      <c r="B966" s="93" t="s">
        <v>2892</v>
      </c>
      <c r="C966" s="410">
        <v>3465</v>
      </c>
      <c r="D966" s="93" t="s">
        <v>9</v>
      </c>
      <c r="E966" s="93" t="s">
        <v>9</v>
      </c>
      <c r="F966" s="93" t="s">
        <v>1648</v>
      </c>
      <c r="G966" s="93" t="s">
        <v>9117</v>
      </c>
      <c r="H966" s="93" t="s">
        <v>1943</v>
      </c>
      <c r="I966" s="93" t="s">
        <v>111</v>
      </c>
      <c r="J966" s="93" t="s">
        <v>963</v>
      </c>
      <c r="K966" s="93">
        <v>60</v>
      </c>
      <c r="L966" s="93" t="s">
        <v>111</v>
      </c>
      <c r="M966" s="93">
        <v>4.7</v>
      </c>
      <c r="N966" s="93" t="s">
        <v>113</v>
      </c>
      <c r="O966" s="93">
        <v>18.5</v>
      </c>
      <c r="P966" s="93">
        <v>29.5</v>
      </c>
      <c r="Q966" s="93">
        <v>32.5</v>
      </c>
      <c r="R966" s="93" t="s">
        <v>123</v>
      </c>
      <c r="S966" s="93" t="s">
        <v>111</v>
      </c>
      <c r="T966" s="93" t="s">
        <v>1659</v>
      </c>
      <c r="U966" s="93" t="s">
        <v>116</v>
      </c>
      <c r="V966" s="94">
        <v>44628.64166666667</v>
      </c>
      <c r="W966" s="93" t="s">
        <v>1170</v>
      </c>
      <c r="X966" s="93" t="s">
        <v>24</v>
      </c>
    </row>
    <row r="967" spans="1:24" hidden="1" x14ac:dyDescent="0.15">
      <c r="A967" s="93" t="s">
        <v>2893</v>
      </c>
      <c r="B967" s="93" t="s">
        <v>2894</v>
      </c>
      <c r="C967" s="410">
        <v>3465</v>
      </c>
      <c r="D967" s="93" t="s">
        <v>9</v>
      </c>
      <c r="E967" s="93" t="s">
        <v>9</v>
      </c>
      <c r="F967" s="93" t="s">
        <v>1648</v>
      </c>
      <c r="G967" s="93" t="s">
        <v>9117</v>
      </c>
      <c r="H967" s="93" t="s">
        <v>1943</v>
      </c>
      <c r="I967" s="93" t="s">
        <v>111</v>
      </c>
      <c r="J967" s="93" t="s">
        <v>963</v>
      </c>
      <c r="K967" s="93">
        <v>60</v>
      </c>
      <c r="L967" s="93" t="s">
        <v>111</v>
      </c>
      <c r="M967" s="93">
        <v>4.7</v>
      </c>
      <c r="N967" s="93" t="s">
        <v>113</v>
      </c>
      <c r="O967" s="93">
        <v>18.5</v>
      </c>
      <c r="P967" s="93">
        <v>29.5</v>
      </c>
      <c r="Q967" s="93">
        <v>32.5</v>
      </c>
      <c r="R967" s="93" t="s">
        <v>123</v>
      </c>
      <c r="S967" s="93" t="s">
        <v>111</v>
      </c>
      <c r="T967" s="93" t="s">
        <v>1659</v>
      </c>
      <c r="U967" s="93" t="s">
        <v>116</v>
      </c>
      <c r="V967" s="94">
        <v>44628.585416666669</v>
      </c>
      <c r="W967" s="93" t="s">
        <v>1170</v>
      </c>
      <c r="X967" s="93" t="s">
        <v>24</v>
      </c>
    </row>
    <row r="968" spans="1:24" hidden="1" x14ac:dyDescent="0.15">
      <c r="A968" s="93" t="s">
        <v>2895</v>
      </c>
      <c r="B968" s="93" t="s">
        <v>2896</v>
      </c>
      <c r="C968" s="410">
        <v>3465</v>
      </c>
      <c r="D968" s="93" t="s">
        <v>9</v>
      </c>
      <c r="E968" s="93" t="s">
        <v>9</v>
      </c>
      <c r="F968" s="93" t="s">
        <v>1648</v>
      </c>
      <c r="G968" s="93" t="s">
        <v>9117</v>
      </c>
      <c r="H968" s="93" t="s">
        <v>1943</v>
      </c>
      <c r="I968" s="93" t="s">
        <v>111</v>
      </c>
      <c r="J968" s="93" t="s">
        <v>963</v>
      </c>
      <c r="K968" s="93">
        <v>60</v>
      </c>
      <c r="L968" s="93" t="s">
        <v>111</v>
      </c>
      <c r="M968" s="93">
        <v>4.7</v>
      </c>
      <c r="N968" s="93" t="s">
        <v>113</v>
      </c>
      <c r="O968" s="93">
        <v>18.5</v>
      </c>
      <c r="P968" s="93">
        <v>29.5</v>
      </c>
      <c r="Q968" s="93">
        <v>32.5</v>
      </c>
      <c r="R968" s="93" t="s">
        <v>123</v>
      </c>
      <c r="S968" s="93" t="s">
        <v>111</v>
      </c>
      <c r="T968" s="93" t="s">
        <v>1659</v>
      </c>
      <c r="U968" s="93" t="s">
        <v>116</v>
      </c>
      <c r="V968" s="94">
        <v>44628.585416666669</v>
      </c>
      <c r="W968" s="93" t="s">
        <v>1170</v>
      </c>
      <c r="X968" s="93" t="s">
        <v>24</v>
      </c>
    </row>
    <row r="969" spans="1:24" hidden="1" x14ac:dyDescent="0.15">
      <c r="A969" s="93" t="s">
        <v>2897</v>
      </c>
      <c r="B969" s="93" t="s">
        <v>2898</v>
      </c>
      <c r="C969" s="410">
        <v>3465</v>
      </c>
      <c r="D969" s="93" t="s">
        <v>9</v>
      </c>
      <c r="E969" s="93" t="s">
        <v>9</v>
      </c>
      <c r="F969" s="93" t="s">
        <v>1648</v>
      </c>
      <c r="G969" s="93" t="s">
        <v>9117</v>
      </c>
      <c r="H969" s="93" t="s">
        <v>1943</v>
      </c>
      <c r="I969" s="93" t="s">
        <v>111</v>
      </c>
      <c r="J969" s="93" t="s">
        <v>963</v>
      </c>
      <c r="K969" s="93">
        <v>60</v>
      </c>
      <c r="L969" s="93" t="s">
        <v>111</v>
      </c>
      <c r="M969" s="93">
        <v>4.7</v>
      </c>
      <c r="N969" s="93" t="s">
        <v>113</v>
      </c>
      <c r="O969" s="93">
        <v>18.5</v>
      </c>
      <c r="P969" s="93">
        <v>29.5</v>
      </c>
      <c r="Q969" s="93">
        <v>32.5</v>
      </c>
      <c r="R969" s="93" t="s">
        <v>123</v>
      </c>
      <c r="S969" s="93" t="s">
        <v>111</v>
      </c>
      <c r="T969" s="93" t="s">
        <v>1659</v>
      </c>
      <c r="U969" s="93" t="s">
        <v>116</v>
      </c>
      <c r="V969" s="94">
        <v>44628.64166666667</v>
      </c>
      <c r="W969" s="93" t="s">
        <v>1170</v>
      </c>
      <c r="X969" s="93" t="s">
        <v>24</v>
      </c>
    </row>
    <row r="970" spans="1:24" hidden="1" x14ac:dyDescent="0.15">
      <c r="A970" s="93" t="s">
        <v>2899</v>
      </c>
      <c r="B970" s="93" t="s">
        <v>2900</v>
      </c>
      <c r="C970" s="410">
        <v>3465</v>
      </c>
      <c r="D970" s="93" t="s">
        <v>9</v>
      </c>
      <c r="E970" s="93" t="s">
        <v>9</v>
      </c>
      <c r="F970" s="93" t="s">
        <v>1648</v>
      </c>
      <c r="G970" s="93" t="s">
        <v>9117</v>
      </c>
      <c r="H970" s="93" t="s">
        <v>1943</v>
      </c>
      <c r="I970" s="93" t="s">
        <v>111</v>
      </c>
      <c r="J970" s="93" t="s">
        <v>963</v>
      </c>
      <c r="K970" s="93">
        <v>60</v>
      </c>
      <c r="L970" s="93" t="s">
        <v>111</v>
      </c>
      <c r="M970" s="93">
        <v>4.7</v>
      </c>
      <c r="N970" s="93" t="s">
        <v>113</v>
      </c>
      <c r="O970" s="93">
        <v>18.5</v>
      </c>
      <c r="P970" s="93">
        <v>29.5</v>
      </c>
      <c r="Q970" s="93">
        <v>32.5</v>
      </c>
      <c r="R970" s="93" t="s">
        <v>123</v>
      </c>
      <c r="S970" s="93" t="s">
        <v>111</v>
      </c>
      <c r="T970" s="93" t="s">
        <v>1659</v>
      </c>
      <c r="U970" s="93" t="s">
        <v>116</v>
      </c>
      <c r="V970" s="94">
        <v>44628.541666666664</v>
      </c>
      <c r="W970" s="93" t="s">
        <v>1170</v>
      </c>
      <c r="X970" s="93" t="s">
        <v>24</v>
      </c>
    </row>
    <row r="971" spans="1:24" hidden="1" x14ac:dyDescent="0.15">
      <c r="A971" s="93" t="s">
        <v>2901</v>
      </c>
      <c r="B971" s="93" t="s">
        <v>2902</v>
      </c>
      <c r="C971" s="410">
        <v>3465</v>
      </c>
      <c r="D971" s="93" t="s">
        <v>9</v>
      </c>
      <c r="E971" s="93" t="s">
        <v>9</v>
      </c>
      <c r="F971" s="93" t="s">
        <v>1648</v>
      </c>
      <c r="G971" s="93" t="s">
        <v>9117</v>
      </c>
      <c r="H971" s="93" t="s">
        <v>1943</v>
      </c>
      <c r="I971" s="93" t="s">
        <v>111</v>
      </c>
      <c r="J971" s="93" t="s">
        <v>963</v>
      </c>
      <c r="K971" s="93">
        <v>60</v>
      </c>
      <c r="L971" s="93" t="s">
        <v>111</v>
      </c>
      <c r="M971" s="93">
        <v>4.7</v>
      </c>
      <c r="N971" s="93" t="s">
        <v>113</v>
      </c>
      <c r="O971" s="93">
        <v>18.5</v>
      </c>
      <c r="P971" s="93">
        <v>29.5</v>
      </c>
      <c r="Q971" s="93">
        <v>32.5</v>
      </c>
      <c r="R971" s="93" t="s">
        <v>123</v>
      </c>
      <c r="S971" s="93" t="s">
        <v>111</v>
      </c>
      <c r="T971" s="93" t="s">
        <v>1659</v>
      </c>
      <c r="U971" s="93" t="s">
        <v>116</v>
      </c>
      <c r="V971" s="94">
        <v>44628.64166666667</v>
      </c>
      <c r="W971" s="93" t="s">
        <v>1170</v>
      </c>
      <c r="X971" s="93" t="s">
        <v>24</v>
      </c>
    </row>
    <row r="972" spans="1:24" hidden="1" x14ac:dyDescent="0.15">
      <c r="A972" s="93" t="s">
        <v>2903</v>
      </c>
      <c r="B972" s="93" t="s">
        <v>2904</v>
      </c>
      <c r="C972" s="410">
        <v>3465</v>
      </c>
      <c r="D972" s="93" t="s">
        <v>9</v>
      </c>
      <c r="E972" s="93" t="s">
        <v>9</v>
      </c>
      <c r="F972" s="93" t="s">
        <v>1648</v>
      </c>
      <c r="G972" s="93" t="s">
        <v>9117</v>
      </c>
      <c r="H972" s="93" t="s">
        <v>1943</v>
      </c>
      <c r="I972" s="93" t="s">
        <v>111</v>
      </c>
      <c r="J972" s="93" t="s">
        <v>963</v>
      </c>
      <c r="K972" s="93">
        <v>60</v>
      </c>
      <c r="L972" s="93" t="s">
        <v>111</v>
      </c>
      <c r="M972" s="93">
        <v>4.7</v>
      </c>
      <c r="N972" s="93" t="s">
        <v>113</v>
      </c>
      <c r="O972" s="93">
        <v>18.5</v>
      </c>
      <c r="P972" s="93">
        <v>29.5</v>
      </c>
      <c r="Q972" s="93">
        <v>32.5</v>
      </c>
      <c r="R972" s="93" t="s">
        <v>123</v>
      </c>
      <c r="S972" s="93" t="s">
        <v>111</v>
      </c>
      <c r="T972" s="93" t="s">
        <v>1659</v>
      </c>
      <c r="U972" s="93" t="s">
        <v>116</v>
      </c>
      <c r="V972" s="94">
        <v>44628.606944444444</v>
      </c>
      <c r="W972" s="93" t="s">
        <v>1170</v>
      </c>
      <c r="X972" s="93" t="s">
        <v>24</v>
      </c>
    </row>
    <row r="973" spans="1:24" hidden="1" x14ac:dyDescent="0.15">
      <c r="A973" s="93" t="s">
        <v>2905</v>
      </c>
      <c r="B973" s="93" t="s">
        <v>2906</v>
      </c>
      <c r="C973" s="410">
        <v>3465</v>
      </c>
      <c r="D973" s="93" t="s">
        <v>9</v>
      </c>
      <c r="E973" s="93" t="s">
        <v>9</v>
      </c>
      <c r="F973" s="93" t="s">
        <v>1648</v>
      </c>
      <c r="G973" s="93" t="s">
        <v>9117</v>
      </c>
      <c r="H973" s="93" t="s">
        <v>1943</v>
      </c>
      <c r="I973" s="93" t="s">
        <v>111</v>
      </c>
      <c r="J973" s="93" t="s">
        <v>963</v>
      </c>
      <c r="K973" s="93">
        <v>60</v>
      </c>
      <c r="L973" s="93" t="s">
        <v>111</v>
      </c>
      <c r="M973" s="93">
        <v>4.7</v>
      </c>
      <c r="N973" s="93" t="s">
        <v>113</v>
      </c>
      <c r="O973" s="93">
        <v>18.5</v>
      </c>
      <c r="P973" s="93">
        <v>29.5</v>
      </c>
      <c r="Q973" s="93">
        <v>32.5</v>
      </c>
      <c r="R973" s="93" t="s">
        <v>123</v>
      </c>
      <c r="S973" s="93" t="s">
        <v>111</v>
      </c>
      <c r="T973" s="93" t="s">
        <v>1659</v>
      </c>
      <c r="U973" s="93" t="s">
        <v>116</v>
      </c>
      <c r="V973" s="94">
        <v>44628.497916666667</v>
      </c>
      <c r="W973" s="93" t="s">
        <v>1170</v>
      </c>
      <c r="X973" s="93" t="s">
        <v>24</v>
      </c>
    </row>
    <row r="974" spans="1:24" hidden="1" x14ac:dyDescent="0.15">
      <c r="A974" s="93" t="s">
        <v>2907</v>
      </c>
      <c r="B974" s="93" t="s">
        <v>2908</v>
      </c>
      <c r="C974" s="410">
        <v>3465</v>
      </c>
      <c r="D974" s="93" t="s">
        <v>9</v>
      </c>
      <c r="E974" s="93" t="s">
        <v>9</v>
      </c>
      <c r="F974" s="93" t="s">
        <v>1648</v>
      </c>
      <c r="G974" s="93" t="s">
        <v>9117</v>
      </c>
      <c r="H974" s="93" t="s">
        <v>1943</v>
      </c>
      <c r="I974" s="93" t="s">
        <v>111</v>
      </c>
      <c r="J974" s="93" t="s">
        <v>963</v>
      </c>
      <c r="K974" s="93">
        <v>60</v>
      </c>
      <c r="L974" s="93" t="s">
        <v>111</v>
      </c>
      <c r="M974" s="93">
        <v>4.7</v>
      </c>
      <c r="N974" s="93" t="s">
        <v>113</v>
      </c>
      <c r="O974" s="93">
        <v>18.5</v>
      </c>
      <c r="P974" s="93">
        <v>29.5</v>
      </c>
      <c r="Q974" s="93">
        <v>32.5</v>
      </c>
      <c r="R974" s="93" t="s">
        <v>123</v>
      </c>
      <c r="S974" s="93" t="s">
        <v>111</v>
      </c>
      <c r="T974" s="93" t="s">
        <v>1659</v>
      </c>
      <c r="U974" s="93" t="s">
        <v>116</v>
      </c>
      <c r="V974" s="94">
        <v>44628.519444444442</v>
      </c>
      <c r="W974" s="93" t="s">
        <v>1170</v>
      </c>
      <c r="X974" s="93" t="s">
        <v>24</v>
      </c>
    </row>
    <row r="975" spans="1:24" hidden="1" x14ac:dyDescent="0.15">
      <c r="A975" s="93" t="s">
        <v>2909</v>
      </c>
      <c r="B975" s="93" t="s">
        <v>2910</v>
      </c>
      <c r="C975" s="410">
        <v>3465</v>
      </c>
      <c r="D975" s="93" t="s">
        <v>9</v>
      </c>
      <c r="E975" s="93" t="s">
        <v>9</v>
      </c>
      <c r="F975" s="93" t="s">
        <v>1648</v>
      </c>
      <c r="G975" s="93" t="s">
        <v>9117</v>
      </c>
      <c r="H975" s="93" t="s">
        <v>1943</v>
      </c>
      <c r="I975" s="93" t="s">
        <v>111</v>
      </c>
      <c r="J975" s="93" t="s">
        <v>963</v>
      </c>
      <c r="K975" s="93">
        <v>60</v>
      </c>
      <c r="L975" s="93" t="s">
        <v>111</v>
      </c>
      <c r="M975" s="93">
        <v>4.7</v>
      </c>
      <c r="N975" s="93" t="s">
        <v>113</v>
      </c>
      <c r="O975" s="93">
        <v>18.5</v>
      </c>
      <c r="P975" s="93">
        <v>29.5</v>
      </c>
      <c r="Q975" s="93">
        <v>32.5</v>
      </c>
      <c r="R975" s="93" t="s">
        <v>123</v>
      </c>
      <c r="S975" s="93" t="s">
        <v>111</v>
      </c>
      <c r="T975" s="93" t="s">
        <v>1659</v>
      </c>
      <c r="U975" s="93" t="s">
        <v>116</v>
      </c>
      <c r="V975" s="94">
        <v>44628.541666666664</v>
      </c>
      <c r="W975" s="93" t="s">
        <v>1170</v>
      </c>
      <c r="X975" s="93" t="s">
        <v>24</v>
      </c>
    </row>
    <row r="976" spans="1:24" hidden="1" x14ac:dyDescent="0.15">
      <c r="A976" s="93" t="s">
        <v>2911</v>
      </c>
      <c r="B976" s="93" t="s">
        <v>2912</v>
      </c>
      <c r="C976" s="410">
        <v>3465</v>
      </c>
      <c r="D976" s="93" t="s">
        <v>9</v>
      </c>
      <c r="E976" s="93" t="s">
        <v>9</v>
      </c>
      <c r="F976" s="93" t="s">
        <v>1648</v>
      </c>
      <c r="G976" s="93" t="s">
        <v>9117</v>
      </c>
      <c r="H976" s="93" t="s">
        <v>1943</v>
      </c>
      <c r="I976" s="93" t="s">
        <v>111</v>
      </c>
      <c r="J976" s="93" t="s">
        <v>963</v>
      </c>
      <c r="K976" s="93">
        <v>60</v>
      </c>
      <c r="L976" s="93" t="s">
        <v>111</v>
      </c>
      <c r="M976" s="93">
        <v>4.7</v>
      </c>
      <c r="N976" s="93" t="s">
        <v>113</v>
      </c>
      <c r="O976" s="93">
        <v>18.5</v>
      </c>
      <c r="P976" s="93">
        <v>29.5</v>
      </c>
      <c r="Q976" s="93">
        <v>32.5</v>
      </c>
      <c r="R976" s="93" t="s">
        <v>123</v>
      </c>
      <c r="S976" s="93" t="s">
        <v>111</v>
      </c>
      <c r="T976" s="93" t="s">
        <v>1659</v>
      </c>
      <c r="U976" s="93" t="s">
        <v>116</v>
      </c>
      <c r="V976" s="94">
        <v>44628.606944444444</v>
      </c>
      <c r="W976" s="93" t="s">
        <v>1170</v>
      </c>
      <c r="X976" s="93" t="s">
        <v>24</v>
      </c>
    </row>
    <row r="977" spans="1:24" hidden="1" x14ac:dyDescent="0.15">
      <c r="A977" s="93" t="s">
        <v>2913</v>
      </c>
      <c r="B977" s="93" t="s">
        <v>2914</v>
      </c>
      <c r="C977" s="410">
        <v>3465</v>
      </c>
      <c r="D977" s="93" t="s">
        <v>9</v>
      </c>
      <c r="E977" s="93" t="s">
        <v>9</v>
      </c>
      <c r="F977" s="93" t="s">
        <v>1648</v>
      </c>
      <c r="G977" s="93" t="s">
        <v>9117</v>
      </c>
      <c r="H977" s="93" t="s">
        <v>1943</v>
      </c>
      <c r="I977" s="93" t="s">
        <v>111</v>
      </c>
      <c r="J977" s="93" t="s">
        <v>963</v>
      </c>
      <c r="K977" s="93">
        <v>60</v>
      </c>
      <c r="L977" s="93" t="s">
        <v>111</v>
      </c>
      <c r="M977" s="93">
        <v>4.7</v>
      </c>
      <c r="N977" s="93" t="s">
        <v>113</v>
      </c>
      <c r="O977" s="93">
        <v>18.5</v>
      </c>
      <c r="P977" s="93">
        <v>29.5</v>
      </c>
      <c r="Q977" s="93">
        <v>32.5</v>
      </c>
      <c r="R977" s="93" t="s">
        <v>123</v>
      </c>
      <c r="S977" s="93" t="s">
        <v>111</v>
      </c>
      <c r="T977" s="93" t="s">
        <v>1659</v>
      </c>
      <c r="U977" s="93" t="s">
        <v>116</v>
      </c>
      <c r="V977" s="94">
        <v>44628.541666666664</v>
      </c>
      <c r="W977" s="93" t="s">
        <v>1170</v>
      </c>
      <c r="X977" s="93" t="s">
        <v>24</v>
      </c>
    </row>
    <row r="978" spans="1:24" hidden="1" x14ac:dyDescent="0.15">
      <c r="A978" s="93" t="s">
        <v>2915</v>
      </c>
      <c r="B978" s="93" t="s">
        <v>2916</v>
      </c>
      <c r="C978" s="410">
        <v>3465</v>
      </c>
      <c r="D978" s="93" t="s">
        <v>9</v>
      </c>
      <c r="E978" s="93" t="s">
        <v>9</v>
      </c>
      <c r="F978" s="93" t="s">
        <v>1648</v>
      </c>
      <c r="G978" s="93" t="s">
        <v>9117</v>
      </c>
      <c r="H978" s="93" t="s">
        <v>1943</v>
      </c>
      <c r="I978" s="93" t="s">
        <v>111</v>
      </c>
      <c r="J978" s="93" t="s">
        <v>963</v>
      </c>
      <c r="K978" s="93">
        <v>60</v>
      </c>
      <c r="L978" s="93" t="s">
        <v>111</v>
      </c>
      <c r="M978" s="93">
        <v>4.7</v>
      </c>
      <c r="N978" s="93" t="s">
        <v>113</v>
      </c>
      <c r="O978" s="93">
        <v>18.5</v>
      </c>
      <c r="P978" s="93">
        <v>29.5</v>
      </c>
      <c r="Q978" s="93">
        <v>32.5</v>
      </c>
      <c r="R978" s="93" t="s">
        <v>123</v>
      </c>
      <c r="S978" s="93" t="s">
        <v>111</v>
      </c>
      <c r="T978" s="93" t="s">
        <v>1659</v>
      </c>
      <c r="U978" s="93" t="s">
        <v>116</v>
      </c>
      <c r="V978" s="94">
        <v>44628.497916666667</v>
      </c>
      <c r="W978" s="93" t="s">
        <v>1170</v>
      </c>
      <c r="X978" s="93" t="s">
        <v>24</v>
      </c>
    </row>
    <row r="979" spans="1:24" hidden="1" x14ac:dyDescent="0.15">
      <c r="A979" s="93" t="s">
        <v>2917</v>
      </c>
      <c r="B979" s="93" t="s">
        <v>2918</v>
      </c>
      <c r="C979" s="410">
        <v>3465</v>
      </c>
      <c r="D979" s="93" t="s">
        <v>9</v>
      </c>
      <c r="E979" s="93" t="s">
        <v>9</v>
      </c>
      <c r="F979" s="93" t="s">
        <v>1648</v>
      </c>
      <c r="G979" s="93" t="s">
        <v>9117</v>
      </c>
      <c r="H979" s="93" t="s">
        <v>1943</v>
      </c>
      <c r="I979" s="93" t="s">
        <v>111</v>
      </c>
      <c r="J979" s="93" t="s">
        <v>963</v>
      </c>
      <c r="K979" s="93">
        <v>60</v>
      </c>
      <c r="L979" s="93" t="s">
        <v>111</v>
      </c>
      <c r="M979" s="93">
        <v>4.7</v>
      </c>
      <c r="N979" s="93" t="s">
        <v>113</v>
      </c>
      <c r="O979" s="93">
        <v>18.5</v>
      </c>
      <c r="P979" s="93">
        <v>29.5</v>
      </c>
      <c r="Q979" s="93">
        <v>32.5</v>
      </c>
      <c r="R979" s="93" t="s">
        <v>123</v>
      </c>
      <c r="S979" s="93" t="s">
        <v>111</v>
      </c>
      <c r="T979" s="93" t="s">
        <v>1659</v>
      </c>
      <c r="U979" s="93" t="s">
        <v>116</v>
      </c>
      <c r="V979" s="94">
        <v>44628.585416666669</v>
      </c>
      <c r="W979" s="93" t="s">
        <v>1170</v>
      </c>
      <c r="X979" s="93" t="s">
        <v>24</v>
      </c>
    </row>
    <row r="980" spans="1:24" hidden="1" x14ac:dyDescent="0.15">
      <c r="A980" s="93" t="s">
        <v>2919</v>
      </c>
      <c r="B980" s="93" t="s">
        <v>2920</v>
      </c>
      <c r="C980" s="410">
        <v>3465</v>
      </c>
      <c r="D980" s="93" t="s">
        <v>9</v>
      </c>
      <c r="E980" s="93" t="s">
        <v>9</v>
      </c>
      <c r="F980" s="93" t="s">
        <v>1648</v>
      </c>
      <c r="G980" s="93" t="s">
        <v>9117</v>
      </c>
      <c r="H980" s="93" t="s">
        <v>1943</v>
      </c>
      <c r="I980" s="93" t="s">
        <v>111</v>
      </c>
      <c r="J980" s="93" t="s">
        <v>963</v>
      </c>
      <c r="K980" s="93">
        <v>60</v>
      </c>
      <c r="L980" s="93" t="s">
        <v>111</v>
      </c>
      <c r="M980" s="93">
        <v>4.7</v>
      </c>
      <c r="N980" s="93" t="s">
        <v>113</v>
      </c>
      <c r="O980" s="93">
        <v>18.5</v>
      </c>
      <c r="P980" s="93">
        <v>29.5</v>
      </c>
      <c r="Q980" s="93">
        <v>32.5</v>
      </c>
      <c r="R980" s="93" t="s">
        <v>123</v>
      </c>
      <c r="S980" s="93" t="s">
        <v>111</v>
      </c>
      <c r="T980" s="93" t="s">
        <v>1659</v>
      </c>
      <c r="U980" s="93" t="s">
        <v>116</v>
      </c>
      <c r="V980" s="94">
        <v>44628.606944444444</v>
      </c>
      <c r="W980" s="93" t="s">
        <v>1170</v>
      </c>
      <c r="X980" s="93" t="s">
        <v>24</v>
      </c>
    </row>
    <row r="981" spans="1:24" hidden="1" x14ac:dyDescent="0.15">
      <c r="A981" s="93" t="s">
        <v>2921</v>
      </c>
      <c r="B981" s="93" t="s">
        <v>2922</v>
      </c>
      <c r="C981" s="410">
        <v>3465</v>
      </c>
      <c r="D981" s="93" t="s">
        <v>9</v>
      </c>
      <c r="E981" s="93" t="s">
        <v>9</v>
      </c>
      <c r="F981" s="93" t="s">
        <v>1648</v>
      </c>
      <c r="G981" s="93" t="s">
        <v>9117</v>
      </c>
      <c r="H981" s="93" t="s">
        <v>1943</v>
      </c>
      <c r="I981" s="93" t="s">
        <v>111</v>
      </c>
      <c r="J981" s="93" t="s">
        <v>963</v>
      </c>
      <c r="K981" s="93">
        <v>60</v>
      </c>
      <c r="L981" s="93" t="s">
        <v>111</v>
      </c>
      <c r="M981" s="93">
        <v>4.7</v>
      </c>
      <c r="N981" s="93" t="s">
        <v>113</v>
      </c>
      <c r="O981" s="93">
        <v>18.5</v>
      </c>
      <c r="P981" s="93">
        <v>29.5</v>
      </c>
      <c r="Q981" s="93">
        <v>32.5</v>
      </c>
      <c r="R981" s="93" t="s">
        <v>123</v>
      </c>
      <c r="S981" s="93" t="s">
        <v>111</v>
      </c>
      <c r="T981" s="93" t="s">
        <v>1659</v>
      </c>
      <c r="U981" s="93" t="s">
        <v>116</v>
      </c>
      <c r="V981" s="94">
        <v>44628.476388888892</v>
      </c>
      <c r="W981" s="93" t="s">
        <v>1170</v>
      </c>
      <c r="X981" s="93" t="s">
        <v>24</v>
      </c>
    </row>
    <row r="982" spans="1:24" hidden="1" x14ac:dyDescent="0.15">
      <c r="A982" s="93" t="s">
        <v>2923</v>
      </c>
      <c r="B982" s="93" t="s">
        <v>2924</v>
      </c>
      <c r="C982" s="410">
        <v>3465</v>
      </c>
      <c r="D982" s="93" t="s">
        <v>9</v>
      </c>
      <c r="E982" s="93" t="s">
        <v>9</v>
      </c>
      <c r="F982" s="93" t="s">
        <v>1648</v>
      </c>
      <c r="G982" s="93" t="s">
        <v>9117</v>
      </c>
      <c r="H982" s="93" t="s">
        <v>1943</v>
      </c>
      <c r="I982" s="93" t="s">
        <v>111</v>
      </c>
      <c r="J982" s="93" t="s">
        <v>963</v>
      </c>
      <c r="K982" s="93">
        <v>60</v>
      </c>
      <c r="L982" s="93" t="s">
        <v>111</v>
      </c>
      <c r="M982" s="93">
        <v>4.7</v>
      </c>
      <c r="N982" s="93" t="s">
        <v>113</v>
      </c>
      <c r="O982" s="93">
        <v>18.5</v>
      </c>
      <c r="P982" s="93">
        <v>29.5</v>
      </c>
      <c r="Q982" s="93">
        <v>32.5</v>
      </c>
      <c r="R982" s="93" t="s">
        <v>123</v>
      </c>
      <c r="S982" s="93" t="s">
        <v>111</v>
      </c>
      <c r="T982" s="93" t="s">
        <v>1659</v>
      </c>
      <c r="U982" s="93" t="s">
        <v>116</v>
      </c>
      <c r="V982" s="94">
        <v>44628.585416666669</v>
      </c>
      <c r="W982" s="93" t="s">
        <v>1170</v>
      </c>
      <c r="X982" s="93" t="s">
        <v>24</v>
      </c>
    </row>
    <row r="983" spans="1:24" hidden="1" x14ac:dyDescent="0.15">
      <c r="A983" s="93" t="s">
        <v>2925</v>
      </c>
      <c r="B983" s="93" t="s">
        <v>2926</v>
      </c>
      <c r="C983" s="410">
        <v>3465</v>
      </c>
      <c r="D983" s="93" t="s">
        <v>9</v>
      </c>
      <c r="E983" s="93" t="s">
        <v>9</v>
      </c>
      <c r="F983" s="93" t="s">
        <v>1648</v>
      </c>
      <c r="G983" s="93" t="s">
        <v>9117</v>
      </c>
      <c r="H983" s="93" t="s">
        <v>1943</v>
      </c>
      <c r="I983" s="93" t="s">
        <v>111</v>
      </c>
      <c r="J983" s="93" t="s">
        <v>963</v>
      </c>
      <c r="K983" s="93">
        <v>60</v>
      </c>
      <c r="L983" s="93" t="s">
        <v>111</v>
      </c>
      <c r="M983" s="93">
        <v>4.7</v>
      </c>
      <c r="N983" s="93" t="s">
        <v>113</v>
      </c>
      <c r="O983" s="93">
        <v>18.5</v>
      </c>
      <c r="P983" s="93">
        <v>29.5</v>
      </c>
      <c r="Q983" s="93">
        <v>32.5</v>
      </c>
      <c r="R983" s="93" t="s">
        <v>123</v>
      </c>
      <c r="S983" s="93" t="s">
        <v>111</v>
      </c>
      <c r="T983" s="93" t="s">
        <v>1659</v>
      </c>
      <c r="U983" s="93" t="s">
        <v>116</v>
      </c>
      <c r="V983" s="94">
        <v>44628.497916666667</v>
      </c>
      <c r="W983" s="93" t="s">
        <v>1170</v>
      </c>
      <c r="X983" s="93" t="s">
        <v>24</v>
      </c>
    </row>
    <row r="984" spans="1:24" hidden="1" x14ac:dyDescent="0.15">
      <c r="A984" s="93" t="s">
        <v>2927</v>
      </c>
      <c r="B984" s="93" t="s">
        <v>2928</v>
      </c>
      <c r="C984" s="410">
        <v>3465</v>
      </c>
      <c r="D984" s="93" t="s">
        <v>9</v>
      </c>
      <c r="E984" s="93" t="s">
        <v>9</v>
      </c>
      <c r="F984" s="93" t="s">
        <v>1648</v>
      </c>
      <c r="G984" s="93" t="s">
        <v>9117</v>
      </c>
      <c r="H984" s="93" t="s">
        <v>1943</v>
      </c>
      <c r="I984" s="93" t="s">
        <v>111</v>
      </c>
      <c r="J984" s="93" t="s">
        <v>963</v>
      </c>
      <c r="K984" s="93">
        <v>60</v>
      </c>
      <c r="L984" s="93" t="s">
        <v>111</v>
      </c>
      <c r="M984" s="93">
        <v>4.7</v>
      </c>
      <c r="N984" s="93" t="s">
        <v>113</v>
      </c>
      <c r="O984" s="93">
        <v>18.5</v>
      </c>
      <c r="P984" s="93">
        <v>29.5</v>
      </c>
      <c r="Q984" s="93">
        <v>32.5</v>
      </c>
      <c r="R984" s="93" t="s">
        <v>123</v>
      </c>
      <c r="S984" s="93" t="s">
        <v>111</v>
      </c>
      <c r="T984" s="93" t="s">
        <v>1659</v>
      </c>
      <c r="U984" s="93" t="s">
        <v>116</v>
      </c>
      <c r="V984" s="94">
        <v>44628.563194444447</v>
      </c>
      <c r="W984" s="93" t="s">
        <v>1170</v>
      </c>
      <c r="X984" s="93" t="s">
        <v>24</v>
      </c>
    </row>
    <row r="985" spans="1:24" hidden="1" x14ac:dyDescent="0.15">
      <c r="A985" s="93" t="s">
        <v>2929</v>
      </c>
      <c r="B985" s="93" t="s">
        <v>2930</v>
      </c>
      <c r="C985" s="410">
        <v>3465</v>
      </c>
      <c r="D985" s="93" t="s">
        <v>9</v>
      </c>
      <c r="E985" s="93" t="s">
        <v>9</v>
      </c>
      <c r="F985" s="93" t="s">
        <v>1648</v>
      </c>
      <c r="G985" s="93" t="s">
        <v>9117</v>
      </c>
      <c r="H985" s="93" t="s">
        <v>1943</v>
      </c>
      <c r="I985" s="93" t="s">
        <v>111</v>
      </c>
      <c r="J985" s="93" t="s">
        <v>963</v>
      </c>
      <c r="K985" s="93">
        <v>60</v>
      </c>
      <c r="L985" s="93" t="s">
        <v>111</v>
      </c>
      <c r="M985" s="93">
        <v>4.7</v>
      </c>
      <c r="N985" s="93" t="s">
        <v>113</v>
      </c>
      <c r="O985" s="93">
        <v>18.5</v>
      </c>
      <c r="P985" s="93">
        <v>29.5</v>
      </c>
      <c r="Q985" s="93">
        <v>32.5</v>
      </c>
      <c r="R985" s="93" t="s">
        <v>123</v>
      </c>
      <c r="S985" s="93" t="s">
        <v>111</v>
      </c>
      <c r="T985" s="93" t="s">
        <v>1659</v>
      </c>
      <c r="U985" s="93" t="s">
        <v>116</v>
      </c>
      <c r="V985" s="94">
        <v>44628.585416666669</v>
      </c>
      <c r="W985" s="93" t="s">
        <v>1170</v>
      </c>
      <c r="X985" s="93" t="s">
        <v>24</v>
      </c>
    </row>
    <row r="986" spans="1:24" hidden="1" x14ac:dyDescent="0.15">
      <c r="A986" s="93" t="s">
        <v>2931</v>
      </c>
      <c r="B986" s="93" t="s">
        <v>2932</v>
      </c>
      <c r="C986" s="410">
        <v>3465</v>
      </c>
      <c r="D986" s="93" t="s">
        <v>9</v>
      </c>
      <c r="E986" s="93" t="s">
        <v>9</v>
      </c>
      <c r="F986" s="93" t="s">
        <v>1648</v>
      </c>
      <c r="G986" s="93" t="s">
        <v>9117</v>
      </c>
      <c r="H986" s="93" t="s">
        <v>1943</v>
      </c>
      <c r="I986" s="93" t="s">
        <v>111</v>
      </c>
      <c r="J986" s="93" t="s">
        <v>963</v>
      </c>
      <c r="K986" s="93">
        <v>60</v>
      </c>
      <c r="L986" s="93" t="s">
        <v>111</v>
      </c>
      <c r="M986" s="93">
        <v>4.7</v>
      </c>
      <c r="N986" s="93" t="s">
        <v>113</v>
      </c>
      <c r="O986" s="93">
        <v>18.5</v>
      </c>
      <c r="P986" s="93">
        <v>29.5</v>
      </c>
      <c r="Q986" s="93">
        <v>32.5</v>
      </c>
      <c r="R986" s="93" t="s">
        <v>123</v>
      </c>
      <c r="S986" s="93" t="s">
        <v>111</v>
      </c>
      <c r="T986" s="93" t="s">
        <v>1659</v>
      </c>
      <c r="U986" s="93" t="s">
        <v>116</v>
      </c>
      <c r="V986" s="94">
        <v>44628.519444444442</v>
      </c>
      <c r="W986" s="93" t="s">
        <v>1170</v>
      </c>
      <c r="X986" s="93" t="s">
        <v>24</v>
      </c>
    </row>
    <row r="987" spans="1:24" hidden="1" x14ac:dyDescent="0.15">
      <c r="A987" s="93" t="s">
        <v>2933</v>
      </c>
      <c r="B987" s="93" t="s">
        <v>2934</v>
      </c>
      <c r="C987" s="410">
        <v>3465</v>
      </c>
      <c r="D987" s="93" t="s">
        <v>9</v>
      </c>
      <c r="E987" s="93" t="s">
        <v>9</v>
      </c>
      <c r="F987" s="93" t="s">
        <v>1648</v>
      </c>
      <c r="G987" s="93" t="s">
        <v>9117</v>
      </c>
      <c r="H987" s="93" t="s">
        <v>1943</v>
      </c>
      <c r="I987" s="93" t="s">
        <v>111</v>
      </c>
      <c r="J987" s="93" t="s">
        <v>963</v>
      </c>
      <c r="K987" s="93">
        <v>60</v>
      </c>
      <c r="L987" s="93" t="s">
        <v>111</v>
      </c>
      <c r="M987" s="93">
        <v>4.7</v>
      </c>
      <c r="N987" s="93" t="s">
        <v>113</v>
      </c>
      <c r="O987" s="93">
        <v>18.5</v>
      </c>
      <c r="P987" s="93">
        <v>29.5</v>
      </c>
      <c r="Q987" s="93">
        <v>32.5</v>
      </c>
      <c r="R987" s="93" t="s">
        <v>123</v>
      </c>
      <c r="S987" s="93" t="s">
        <v>111</v>
      </c>
      <c r="T987" s="93" t="s">
        <v>1659</v>
      </c>
      <c r="U987" s="93" t="s">
        <v>116</v>
      </c>
      <c r="V987" s="94">
        <v>44628.584722222222</v>
      </c>
      <c r="W987" s="93" t="s">
        <v>1170</v>
      </c>
      <c r="X987" s="93" t="s">
        <v>24</v>
      </c>
    </row>
    <row r="988" spans="1:24" hidden="1" x14ac:dyDescent="0.15">
      <c r="A988" s="93" t="s">
        <v>2935</v>
      </c>
      <c r="B988" s="93" t="s">
        <v>2936</v>
      </c>
      <c r="C988" s="410">
        <v>3465</v>
      </c>
      <c r="D988" s="93" t="s">
        <v>9</v>
      </c>
      <c r="E988" s="93" t="s">
        <v>9</v>
      </c>
      <c r="F988" s="93" t="s">
        <v>1648</v>
      </c>
      <c r="G988" s="93" t="s">
        <v>9117</v>
      </c>
      <c r="H988" s="93" t="s">
        <v>1943</v>
      </c>
      <c r="I988" s="93" t="s">
        <v>111</v>
      </c>
      <c r="J988" s="93" t="s">
        <v>963</v>
      </c>
      <c r="K988" s="93">
        <v>60</v>
      </c>
      <c r="L988" s="93" t="s">
        <v>111</v>
      </c>
      <c r="M988" s="93">
        <v>4.7</v>
      </c>
      <c r="N988" s="93" t="s">
        <v>113</v>
      </c>
      <c r="O988" s="93">
        <v>18.5</v>
      </c>
      <c r="P988" s="93">
        <v>29.5</v>
      </c>
      <c r="Q988" s="93">
        <v>32.5</v>
      </c>
      <c r="R988" s="93" t="s">
        <v>123</v>
      </c>
      <c r="S988" s="93" t="s">
        <v>111</v>
      </c>
      <c r="T988" s="93" t="s">
        <v>1659</v>
      </c>
      <c r="U988" s="93" t="s">
        <v>116</v>
      </c>
      <c r="V988" s="94">
        <v>44628.606249999997</v>
      </c>
      <c r="W988" s="93" t="s">
        <v>1170</v>
      </c>
      <c r="X988" s="93" t="s">
        <v>24</v>
      </c>
    </row>
    <row r="989" spans="1:24" hidden="1" x14ac:dyDescent="0.15">
      <c r="A989" s="93" t="s">
        <v>2937</v>
      </c>
      <c r="B989" s="93" t="s">
        <v>2938</v>
      </c>
      <c r="C989" s="410">
        <v>3465</v>
      </c>
      <c r="D989" s="93" t="s">
        <v>9</v>
      </c>
      <c r="E989" s="93" t="s">
        <v>9</v>
      </c>
      <c r="F989" s="93" t="s">
        <v>1648</v>
      </c>
      <c r="G989" s="93" t="s">
        <v>9117</v>
      </c>
      <c r="H989" s="93" t="s">
        <v>1943</v>
      </c>
      <c r="I989" s="93" t="s">
        <v>111</v>
      </c>
      <c r="J989" s="93" t="s">
        <v>963</v>
      </c>
      <c r="K989" s="93">
        <v>60</v>
      </c>
      <c r="L989" s="93" t="s">
        <v>111</v>
      </c>
      <c r="M989" s="93">
        <v>4.7</v>
      </c>
      <c r="N989" s="93" t="s">
        <v>113</v>
      </c>
      <c r="O989" s="93">
        <v>18.5</v>
      </c>
      <c r="P989" s="93">
        <v>29.5</v>
      </c>
      <c r="Q989" s="93">
        <v>32.5</v>
      </c>
      <c r="R989" s="93" t="s">
        <v>123</v>
      </c>
      <c r="S989" s="93" t="s">
        <v>111</v>
      </c>
      <c r="T989" s="93" t="s">
        <v>1659</v>
      </c>
      <c r="U989" s="93" t="s">
        <v>116</v>
      </c>
      <c r="V989" s="94">
        <v>44628.497916666667</v>
      </c>
      <c r="W989" s="93" t="s">
        <v>1170</v>
      </c>
      <c r="X989" s="93" t="s">
        <v>24</v>
      </c>
    </row>
    <row r="990" spans="1:24" hidden="1" x14ac:dyDescent="0.15">
      <c r="A990" s="93" t="s">
        <v>2939</v>
      </c>
      <c r="B990" s="93" t="s">
        <v>2940</v>
      </c>
      <c r="C990" s="410">
        <v>3465</v>
      </c>
      <c r="D990" s="93" t="s">
        <v>9</v>
      </c>
      <c r="E990" s="93" t="s">
        <v>9</v>
      </c>
      <c r="F990" s="93" t="s">
        <v>1648</v>
      </c>
      <c r="G990" s="93" t="s">
        <v>9117</v>
      </c>
      <c r="H990" s="93" t="s">
        <v>1943</v>
      </c>
      <c r="I990" s="93" t="s">
        <v>111</v>
      </c>
      <c r="J990" s="93" t="s">
        <v>963</v>
      </c>
      <c r="K990" s="93">
        <v>60</v>
      </c>
      <c r="L990" s="93" t="s">
        <v>111</v>
      </c>
      <c r="M990" s="93">
        <v>4.7</v>
      </c>
      <c r="N990" s="93" t="s">
        <v>113</v>
      </c>
      <c r="O990" s="93">
        <v>18.5</v>
      </c>
      <c r="P990" s="93">
        <v>29.5</v>
      </c>
      <c r="Q990" s="93">
        <v>32.5</v>
      </c>
      <c r="R990" s="93" t="s">
        <v>123</v>
      </c>
      <c r="S990" s="93" t="s">
        <v>111</v>
      </c>
      <c r="T990" s="93" t="s">
        <v>1659</v>
      </c>
      <c r="U990" s="93" t="s">
        <v>116</v>
      </c>
      <c r="V990" s="94">
        <v>44628.563194444447</v>
      </c>
      <c r="W990" s="93" t="s">
        <v>1170</v>
      </c>
      <c r="X990" s="93" t="s">
        <v>24</v>
      </c>
    </row>
    <row r="991" spans="1:24" hidden="1" x14ac:dyDescent="0.15">
      <c r="A991" s="93" t="s">
        <v>2941</v>
      </c>
      <c r="B991" s="93" t="s">
        <v>2942</v>
      </c>
      <c r="C991" s="410">
        <v>3465</v>
      </c>
      <c r="D991" s="93" t="s">
        <v>9</v>
      </c>
      <c r="E991" s="93" t="s">
        <v>9</v>
      </c>
      <c r="F991" s="93" t="s">
        <v>1648</v>
      </c>
      <c r="G991" s="93" t="s">
        <v>9117</v>
      </c>
      <c r="H991" s="93" t="s">
        <v>1943</v>
      </c>
      <c r="I991" s="93" t="s">
        <v>111</v>
      </c>
      <c r="J991" s="93" t="s">
        <v>963</v>
      </c>
      <c r="K991" s="93">
        <v>60</v>
      </c>
      <c r="L991" s="93" t="s">
        <v>111</v>
      </c>
      <c r="M991" s="93">
        <v>4.7</v>
      </c>
      <c r="N991" s="93" t="s">
        <v>113</v>
      </c>
      <c r="O991" s="93">
        <v>18.5</v>
      </c>
      <c r="P991" s="93">
        <v>29.5</v>
      </c>
      <c r="Q991" s="93">
        <v>32.5</v>
      </c>
      <c r="R991" s="93" t="s">
        <v>123</v>
      </c>
      <c r="S991" s="93" t="s">
        <v>111</v>
      </c>
      <c r="T991" s="93" t="s">
        <v>1659</v>
      </c>
      <c r="U991" s="93" t="s">
        <v>116</v>
      </c>
      <c r="V991" s="94">
        <v>44628.476388888892</v>
      </c>
      <c r="W991" s="93" t="s">
        <v>1170</v>
      </c>
      <c r="X991" s="93" t="s">
        <v>24</v>
      </c>
    </row>
    <row r="992" spans="1:24" hidden="1" x14ac:dyDescent="0.15">
      <c r="A992" s="93" t="s">
        <v>2943</v>
      </c>
      <c r="B992" s="93" t="s">
        <v>2944</v>
      </c>
      <c r="C992" s="410">
        <v>3465</v>
      </c>
      <c r="D992" s="93" t="s">
        <v>9</v>
      </c>
      <c r="E992" s="93" t="s">
        <v>9</v>
      </c>
      <c r="F992" s="93" t="s">
        <v>1648</v>
      </c>
      <c r="G992" s="93" t="s">
        <v>9117</v>
      </c>
      <c r="H992" s="93" t="s">
        <v>1943</v>
      </c>
      <c r="I992" s="93" t="s">
        <v>111</v>
      </c>
      <c r="J992" s="93" t="s">
        <v>963</v>
      </c>
      <c r="K992" s="93">
        <v>60</v>
      </c>
      <c r="L992" s="93" t="s">
        <v>111</v>
      </c>
      <c r="M992" s="93">
        <v>4.7</v>
      </c>
      <c r="N992" s="93" t="s">
        <v>113</v>
      </c>
      <c r="O992" s="93">
        <v>18.5</v>
      </c>
      <c r="P992" s="93">
        <v>29.5</v>
      </c>
      <c r="Q992" s="93">
        <v>32.5</v>
      </c>
      <c r="R992" s="93" t="s">
        <v>123</v>
      </c>
      <c r="S992" s="93" t="s">
        <v>111</v>
      </c>
      <c r="T992" s="93" t="s">
        <v>1659</v>
      </c>
      <c r="U992" s="93" t="s">
        <v>116</v>
      </c>
      <c r="V992" s="94">
        <v>44628.476388888892</v>
      </c>
      <c r="W992" s="93" t="s">
        <v>1170</v>
      </c>
      <c r="X992" s="93" t="s">
        <v>24</v>
      </c>
    </row>
    <row r="993" spans="1:24" hidden="1" x14ac:dyDescent="0.15">
      <c r="A993" s="93" t="s">
        <v>2945</v>
      </c>
      <c r="B993" s="93" t="s">
        <v>2946</v>
      </c>
      <c r="C993" s="410">
        <v>3465</v>
      </c>
      <c r="D993" s="93" t="s">
        <v>9</v>
      </c>
      <c r="E993" s="93" t="s">
        <v>9</v>
      </c>
      <c r="F993" s="93" t="s">
        <v>1648</v>
      </c>
      <c r="G993" s="93" t="s">
        <v>9117</v>
      </c>
      <c r="H993" s="93" t="s">
        <v>1943</v>
      </c>
      <c r="I993" s="93" t="s">
        <v>111</v>
      </c>
      <c r="J993" s="93" t="s">
        <v>963</v>
      </c>
      <c r="K993" s="93">
        <v>60</v>
      </c>
      <c r="L993" s="93" t="s">
        <v>111</v>
      </c>
      <c r="M993" s="93">
        <v>4.7</v>
      </c>
      <c r="N993" s="93" t="s">
        <v>113</v>
      </c>
      <c r="O993" s="93">
        <v>18.5</v>
      </c>
      <c r="P993" s="93">
        <v>29.5</v>
      </c>
      <c r="Q993" s="93">
        <v>32.5</v>
      </c>
      <c r="R993" s="93" t="s">
        <v>123</v>
      </c>
      <c r="S993" s="93" t="s">
        <v>111</v>
      </c>
      <c r="T993" s="93" t="s">
        <v>1659</v>
      </c>
      <c r="U993" s="93" t="s">
        <v>116</v>
      </c>
      <c r="V993" s="94">
        <v>44628.497916666667</v>
      </c>
      <c r="W993" s="93" t="s">
        <v>1170</v>
      </c>
      <c r="X993" s="93" t="s">
        <v>24</v>
      </c>
    </row>
    <row r="994" spans="1:24" hidden="1" x14ac:dyDescent="0.15">
      <c r="A994" s="93" t="s">
        <v>2947</v>
      </c>
      <c r="B994" s="93" t="s">
        <v>2948</v>
      </c>
      <c r="C994" s="410">
        <v>3465</v>
      </c>
      <c r="D994" s="93" t="s">
        <v>9</v>
      </c>
      <c r="E994" s="93" t="s">
        <v>9</v>
      </c>
      <c r="F994" s="93" t="s">
        <v>1648</v>
      </c>
      <c r="G994" s="93" t="s">
        <v>9117</v>
      </c>
      <c r="H994" s="93" t="s">
        <v>1943</v>
      </c>
      <c r="I994" s="93" t="s">
        <v>111</v>
      </c>
      <c r="J994" s="93" t="s">
        <v>963</v>
      </c>
      <c r="K994" s="93">
        <v>60</v>
      </c>
      <c r="L994" s="93" t="s">
        <v>111</v>
      </c>
      <c r="M994" s="93">
        <v>4.7</v>
      </c>
      <c r="N994" s="93" t="s">
        <v>113</v>
      </c>
      <c r="O994" s="93">
        <v>18.5</v>
      </c>
      <c r="P994" s="93">
        <v>29.5</v>
      </c>
      <c r="Q994" s="93">
        <v>32.5</v>
      </c>
      <c r="R994" s="93" t="s">
        <v>123</v>
      </c>
      <c r="S994" s="93" t="s">
        <v>111</v>
      </c>
      <c r="T994" s="93" t="s">
        <v>1659</v>
      </c>
      <c r="U994" s="93" t="s">
        <v>116</v>
      </c>
      <c r="V994" s="94">
        <v>44628.5625</v>
      </c>
      <c r="W994" s="93" t="s">
        <v>1170</v>
      </c>
      <c r="X994" s="93" t="s">
        <v>24</v>
      </c>
    </row>
    <row r="995" spans="1:24" hidden="1" x14ac:dyDescent="0.15">
      <c r="A995" s="93" t="s">
        <v>2949</v>
      </c>
      <c r="B995" s="93" t="s">
        <v>2950</v>
      </c>
      <c r="C995" s="410">
        <v>3465</v>
      </c>
      <c r="D995" s="93" t="s">
        <v>9</v>
      </c>
      <c r="E995" s="93" t="s">
        <v>9</v>
      </c>
      <c r="F995" s="93" t="s">
        <v>1648</v>
      </c>
      <c r="G995" s="93" t="s">
        <v>9117</v>
      </c>
      <c r="H995" s="93" t="s">
        <v>1943</v>
      </c>
      <c r="I995" s="93" t="s">
        <v>111</v>
      </c>
      <c r="J995" s="93" t="s">
        <v>963</v>
      </c>
      <c r="K995" s="93">
        <v>60</v>
      </c>
      <c r="L995" s="93" t="s">
        <v>111</v>
      </c>
      <c r="M995" s="93">
        <v>4.7</v>
      </c>
      <c r="N995" s="93" t="s">
        <v>113</v>
      </c>
      <c r="O995" s="93">
        <v>18.5</v>
      </c>
      <c r="P995" s="93">
        <v>29.5</v>
      </c>
      <c r="Q995" s="93">
        <v>32.5</v>
      </c>
      <c r="R995" s="93" t="s">
        <v>123</v>
      </c>
      <c r="S995" s="93" t="s">
        <v>111</v>
      </c>
      <c r="T995" s="93" t="s">
        <v>1659</v>
      </c>
      <c r="U995" s="93" t="s">
        <v>116</v>
      </c>
      <c r="V995" s="94">
        <v>44628.497916666667</v>
      </c>
      <c r="W995" s="93" t="s">
        <v>1170</v>
      </c>
      <c r="X995" s="93" t="s">
        <v>24</v>
      </c>
    </row>
    <row r="996" spans="1:24" hidden="1" x14ac:dyDescent="0.15">
      <c r="A996" s="93" t="s">
        <v>2951</v>
      </c>
      <c r="B996" s="93" t="s">
        <v>2952</v>
      </c>
      <c r="C996" s="410">
        <v>3465</v>
      </c>
      <c r="D996" s="93" t="s">
        <v>9</v>
      </c>
      <c r="E996" s="93" t="s">
        <v>9</v>
      </c>
      <c r="F996" s="93" t="s">
        <v>1648</v>
      </c>
      <c r="G996" s="93" t="s">
        <v>9117</v>
      </c>
      <c r="H996" s="93" t="s">
        <v>1943</v>
      </c>
      <c r="I996" s="93" t="s">
        <v>111</v>
      </c>
      <c r="J996" s="93" t="s">
        <v>963</v>
      </c>
      <c r="K996" s="93">
        <v>60</v>
      </c>
      <c r="L996" s="93" t="s">
        <v>111</v>
      </c>
      <c r="M996" s="93">
        <v>4.7</v>
      </c>
      <c r="N996" s="93" t="s">
        <v>113</v>
      </c>
      <c r="O996" s="93">
        <v>18.5</v>
      </c>
      <c r="P996" s="93">
        <v>29.5</v>
      </c>
      <c r="Q996" s="93">
        <v>32.5</v>
      </c>
      <c r="R996" s="93" t="s">
        <v>123</v>
      </c>
      <c r="S996" s="93" t="s">
        <v>111</v>
      </c>
      <c r="T996" s="93" t="s">
        <v>1659</v>
      </c>
      <c r="U996" s="93" t="s">
        <v>116</v>
      </c>
      <c r="V996" s="94">
        <v>44628.519444444442</v>
      </c>
      <c r="W996" s="93" t="s">
        <v>1170</v>
      </c>
      <c r="X996" s="93" t="s">
        <v>24</v>
      </c>
    </row>
    <row r="997" spans="1:24" hidden="1" x14ac:dyDescent="0.15">
      <c r="A997" s="93" t="s">
        <v>2953</v>
      </c>
      <c r="B997" s="93" t="s">
        <v>2954</v>
      </c>
      <c r="C997" s="410">
        <v>3465</v>
      </c>
      <c r="D997" s="93" t="s">
        <v>9</v>
      </c>
      <c r="E997" s="93" t="s">
        <v>9</v>
      </c>
      <c r="F997" s="93" t="s">
        <v>1648</v>
      </c>
      <c r="G997" s="93" t="s">
        <v>9117</v>
      </c>
      <c r="H997" s="93" t="s">
        <v>1943</v>
      </c>
      <c r="I997" s="93" t="s">
        <v>111</v>
      </c>
      <c r="J997" s="93" t="s">
        <v>963</v>
      </c>
      <c r="K997" s="93">
        <v>60</v>
      </c>
      <c r="L997" s="93" t="s">
        <v>111</v>
      </c>
      <c r="M997" s="93">
        <v>4.7</v>
      </c>
      <c r="N997" s="93" t="s">
        <v>113</v>
      </c>
      <c r="O997" s="93">
        <v>18.5</v>
      </c>
      <c r="P997" s="93">
        <v>29.5</v>
      </c>
      <c r="Q997" s="93">
        <v>32.5</v>
      </c>
      <c r="R997" s="93" t="s">
        <v>123</v>
      </c>
      <c r="S997" s="93" t="s">
        <v>111</v>
      </c>
      <c r="T997" s="93" t="s">
        <v>1659</v>
      </c>
      <c r="U997" s="93" t="s">
        <v>116</v>
      </c>
      <c r="V997" s="94">
        <v>44628.606249999997</v>
      </c>
      <c r="W997" s="93" t="s">
        <v>1170</v>
      </c>
      <c r="X997" s="93" t="s">
        <v>24</v>
      </c>
    </row>
    <row r="998" spans="1:24" hidden="1" x14ac:dyDescent="0.15">
      <c r="A998" s="93" t="s">
        <v>2955</v>
      </c>
      <c r="B998" s="93" t="s">
        <v>2956</v>
      </c>
      <c r="C998" s="410">
        <v>3465</v>
      </c>
      <c r="D998" s="93" t="s">
        <v>9</v>
      </c>
      <c r="E998" s="93" t="s">
        <v>9</v>
      </c>
      <c r="F998" s="93" t="s">
        <v>1648</v>
      </c>
      <c r="G998" s="93" t="s">
        <v>9117</v>
      </c>
      <c r="H998" s="93" t="s">
        <v>1943</v>
      </c>
      <c r="I998" s="93" t="s">
        <v>111</v>
      </c>
      <c r="J998" s="93" t="s">
        <v>963</v>
      </c>
      <c r="K998" s="93">
        <v>60</v>
      </c>
      <c r="L998" s="93" t="s">
        <v>111</v>
      </c>
      <c r="M998" s="93">
        <v>4.7</v>
      </c>
      <c r="N998" s="93" t="s">
        <v>113</v>
      </c>
      <c r="O998" s="93">
        <v>18.5</v>
      </c>
      <c r="P998" s="93">
        <v>29.5</v>
      </c>
      <c r="Q998" s="93">
        <v>32.5</v>
      </c>
      <c r="R998" s="93" t="s">
        <v>123</v>
      </c>
      <c r="S998" s="93" t="s">
        <v>111</v>
      </c>
      <c r="T998" s="93" t="s">
        <v>1659</v>
      </c>
      <c r="U998" s="93" t="s">
        <v>116</v>
      </c>
      <c r="V998" s="94">
        <v>44628.497916666667</v>
      </c>
      <c r="W998" s="93" t="s">
        <v>1170</v>
      </c>
      <c r="X998" s="93" t="s">
        <v>24</v>
      </c>
    </row>
    <row r="999" spans="1:24" hidden="1" x14ac:dyDescent="0.15">
      <c r="A999" s="93" t="s">
        <v>2957</v>
      </c>
      <c r="B999" s="93" t="s">
        <v>2958</v>
      </c>
      <c r="C999" s="410">
        <v>3465</v>
      </c>
      <c r="D999" s="93" t="s">
        <v>9</v>
      </c>
      <c r="E999" s="93" t="s">
        <v>9</v>
      </c>
      <c r="F999" s="93" t="s">
        <v>1648</v>
      </c>
      <c r="G999" s="93" t="s">
        <v>9117</v>
      </c>
      <c r="H999" s="93" t="s">
        <v>1943</v>
      </c>
      <c r="I999" s="93" t="s">
        <v>111</v>
      </c>
      <c r="J999" s="93" t="s">
        <v>963</v>
      </c>
      <c r="K999" s="93">
        <v>60</v>
      </c>
      <c r="L999" s="93" t="s">
        <v>111</v>
      </c>
      <c r="M999" s="93">
        <v>4.7</v>
      </c>
      <c r="N999" s="93" t="s">
        <v>113</v>
      </c>
      <c r="O999" s="93">
        <v>18.5</v>
      </c>
      <c r="P999" s="93">
        <v>29.5</v>
      </c>
      <c r="Q999" s="93">
        <v>32.5</v>
      </c>
      <c r="R999" s="93" t="s">
        <v>123</v>
      </c>
      <c r="S999" s="93" t="s">
        <v>111</v>
      </c>
      <c r="T999" s="93" t="s">
        <v>1659</v>
      </c>
      <c r="U999" s="93" t="s">
        <v>116</v>
      </c>
      <c r="V999" s="94">
        <v>44628.497916666667</v>
      </c>
      <c r="W999" s="93" t="s">
        <v>1170</v>
      </c>
      <c r="X999" s="93" t="s">
        <v>24</v>
      </c>
    </row>
    <row r="1000" spans="1:24" hidden="1" x14ac:dyDescent="0.15">
      <c r="A1000" s="93" t="s">
        <v>2959</v>
      </c>
      <c r="B1000" s="93" t="s">
        <v>2960</v>
      </c>
      <c r="C1000" s="410">
        <v>3465</v>
      </c>
      <c r="D1000" s="93" t="s">
        <v>9</v>
      </c>
      <c r="E1000" s="93" t="s">
        <v>9</v>
      </c>
      <c r="F1000" s="93" t="s">
        <v>1648</v>
      </c>
      <c r="G1000" s="93" t="s">
        <v>9117</v>
      </c>
      <c r="H1000" s="93" t="s">
        <v>1943</v>
      </c>
      <c r="I1000" s="93" t="s">
        <v>111</v>
      </c>
      <c r="J1000" s="93" t="s">
        <v>963</v>
      </c>
      <c r="K1000" s="93">
        <v>60</v>
      </c>
      <c r="L1000" s="93" t="s">
        <v>111</v>
      </c>
      <c r="M1000" s="93">
        <v>4.7</v>
      </c>
      <c r="N1000" s="93" t="s">
        <v>113</v>
      </c>
      <c r="O1000" s="93">
        <v>18.5</v>
      </c>
      <c r="P1000" s="93">
        <v>29.5</v>
      </c>
      <c r="Q1000" s="93">
        <v>32.5</v>
      </c>
      <c r="R1000" s="93" t="s">
        <v>123</v>
      </c>
      <c r="S1000" s="93" t="s">
        <v>111</v>
      </c>
      <c r="T1000" s="93" t="s">
        <v>1659</v>
      </c>
      <c r="U1000" s="93" t="s">
        <v>116</v>
      </c>
      <c r="V1000" s="94">
        <v>44628.541666666664</v>
      </c>
      <c r="W1000" s="93" t="s">
        <v>1170</v>
      </c>
      <c r="X1000" s="93" t="s">
        <v>24</v>
      </c>
    </row>
    <row r="1001" spans="1:24" hidden="1" x14ac:dyDescent="0.15">
      <c r="A1001" s="93" t="s">
        <v>2961</v>
      </c>
      <c r="B1001" s="93" t="s">
        <v>2962</v>
      </c>
      <c r="C1001" s="410">
        <v>3465</v>
      </c>
      <c r="D1001" s="93" t="s">
        <v>9</v>
      </c>
      <c r="E1001" s="93" t="s">
        <v>9</v>
      </c>
      <c r="F1001" s="93" t="s">
        <v>1648</v>
      </c>
      <c r="G1001" s="93" t="s">
        <v>9117</v>
      </c>
      <c r="H1001" s="93" t="s">
        <v>1943</v>
      </c>
      <c r="I1001" s="93" t="s">
        <v>111</v>
      </c>
      <c r="J1001" s="93" t="s">
        <v>963</v>
      </c>
      <c r="K1001" s="93">
        <v>60</v>
      </c>
      <c r="L1001" s="93" t="s">
        <v>111</v>
      </c>
      <c r="M1001" s="93">
        <v>4.7</v>
      </c>
      <c r="N1001" s="93" t="s">
        <v>113</v>
      </c>
      <c r="O1001" s="93">
        <v>18.5</v>
      </c>
      <c r="P1001" s="93">
        <v>29.5</v>
      </c>
      <c r="Q1001" s="93">
        <v>32.5</v>
      </c>
      <c r="R1001" s="93" t="s">
        <v>123</v>
      </c>
      <c r="S1001" s="93" t="s">
        <v>111</v>
      </c>
      <c r="T1001" s="93" t="s">
        <v>1659</v>
      </c>
      <c r="U1001" s="93" t="s">
        <v>116</v>
      </c>
      <c r="V1001" s="94">
        <v>44628.497916666667</v>
      </c>
      <c r="W1001" s="93" t="s">
        <v>1170</v>
      </c>
      <c r="X1001" s="93" t="s">
        <v>24</v>
      </c>
    </row>
    <row r="1002" spans="1:24" hidden="1" x14ac:dyDescent="0.15">
      <c r="A1002" s="93" t="s">
        <v>2963</v>
      </c>
      <c r="B1002" s="93" t="s">
        <v>2964</v>
      </c>
      <c r="C1002" s="410">
        <v>3465</v>
      </c>
      <c r="D1002" s="93" t="s">
        <v>9</v>
      </c>
      <c r="E1002" s="93" t="s">
        <v>9</v>
      </c>
      <c r="F1002" s="93" t="s">
        <v>1648</v>
      </c>
      <c r="G1002" s="93" t="s">
        <v>9117</v>
      </c>
      <c r="H1002" s="93" t="s">
        <v>1943</v>
      </c>
      <c r="I1002" s="93" t="s">
        <v>111</v>
      </c>
      <c r="J1002" s="93" t="s">
        <v>963</v>
      </c>
      <c r="K1002" s="93">
        <v>60</v>
      </c>
      <c r="L1002" s="93" t="s">
        <v>111</v>
      </c>
      <c r="M1002" s="93">
        <v>4.7</v>
      </c>
      <c r="N1002" s="93" t="s">
        <v>113</v>
      </c>
      <c r="O1002" s="93">
        <v>18.5</v>
      </c>
      <c r="P1002" s="93">
        <v>29.5</v>
      </c>
      <c r="Q1002" s="93">
        <v>32.5</v>
      </c>
      <c r="R1002" s="93" t="s">
        <v>123</v>
      </c>
      <c r="S1002" s="93" t="s">
        <v>111</v>
      </c>
      <c r="T1002" s="93" t="s">
        <v>1659</v>
      </c>
      <c r="U1002" s="93" t="s">
        <v>116</v>
      </c>
      <c r="V1002" s="94">
        <v>44628.5625</v>
      </c>
      <c r="W1002" s="93" t="s">
        <v>1170</v>
      </c>
      <c r="X1002" s="93" t="s">
        <v>24</v>
      </c>
    </row>
    <row r="1003" spans="1:24" hidden="1" x14ac:dyDescent="0.15">
      <c r="A1003" s="93" t="s">
        <v>2965</v>
      </c>
      <c r="B1003" s="93" t="s">
        <v>2966</v>
      </c>
      <c r="C1003" s="410">
        <v>3465</v>
      </c>
      <c r="D1003" s="93" t="s">
        <v>9</v>
      </c>
      <c r="E1003" s="93" t="s">
        <v>9</v>
      </c>
      <c r="F1003" s="93" t="s">
        <v>1648</v>
      </c>
      <c r="G1003" s="93" t="s">
        <v>9117</v>
      </c>
      <c r="H1003" s="93" t="s">
        <v>1943</v>
      </c>
      <c r="I1003" s="93" t="s">
        <v>111</v>
      </c>
      <c r="J1003" s="93" t="s">
        <v>963</v>
      </c>
      <c r="K1003" s="93">
        <v>60</v>
      </c>
      <c r="L1003" s="93" t="s">
        <v>111</v>
      </c>
      <c r="M1003" s="93">
        <v>4.7</v>
      </c>
      <c r="N1003" s="93" t="s">
        <v>113</v>
      </c>
      <c r="O1003" s="93">
        <v>18.5</v>
      </c>
      <c r="P1003" s="93">
        <v>29.5</v>
      </c>
      <c r="Q1003" s="93">
        <v>32.5</v>
      </c>
      <c r="R1003" s="93" t="s">
        <v>123</v>
      </c>
      <c r="S1003" s="93" t="s">
        <v>111</v>
      </c>
      <c r="T1003" s="93" t="s">
        <v>1659</v>
      </c>
      <c r="U1003" s="93" t="s">
        <v>116</v>
      </c>
      <c r="V1003" s="94">
        <v>44628.64166666667</v>
      </c>
      <c r="W1003" s="93" t="s">
        <v>1170</v>
      </c>
      <c r="X1003" s="93" t="s">
        <v>24</v>
      </c>
    </row>
    <row r="1004" spans="1:24" hidden="1" x14ac:dyDescent="0.15">
      <c r="A1004" s="93" t="s">
        <v>2967</v>
      </c>
      <c r="B1004" s="93" t="s">
        <v>2968</v>
      </c>
      <c r="C1004" s="410">
        <v>3465</v>
      </c>
      <c r="D1004" s="93" t="s">
        <v>9</v>
      </c>
      <c r="E1004" s="93" t="s">
        <v>9</v>
      </c>
      <c r="F1004" s="93" t="s">
        <v>1648</v>
      </c>
      <c r="G1004" s="93" t="s">
        <v>9117</v>
      </c>
      <c r="H1004" s="93" t="s">
        <v>1943</v>
      </c>
      <c r="I1004" s="93" t="s">
        <v>111</v>
      </c>
      <c r="J1004" s="93" t="s">
        <v>963</v>
      </c>
      <c r="K1004" s="93">
        <v>60</v>
      </c>
      <c r="L1004" s="93" t="s">
        <v>111</v>
      </c>
      <c r="M1004" s="93">
        <v>4.7</v>
      </c>
      <c r="N1004" s="93" t="s">
        <v>113</v>
      </c>
      <c r="O1004" s="93">
        <v>18.5</v>
      </c>
      <c r="P1004" s="93">
        <v>29.5</v>
      </c>
      <c r="Q1004" s="93">
        <v>32.5</v>
      </c>
      <c r="R1004" s="93" t="s">
        <v>123</v>
      </c>
      <c r="S1004" s="93" t="s">
        <v>111</v>
      </c>
      <c r="T1004" s="93" t="s">
        <v>1659</v>
      </c>
      <c r="U1004" s="93" t="s">
        <v>116</v>
      </c>
      <c r="V1004" s="94">
        <v>44628.519444444442</v>
      </c>
      <c r="W1004" s="93" t="s">
        <v>1170</v>
      </c>
      <c r="X1004" s="93" t="s">
        <v>24</v>
      </c>
    </row>
    <row r="1005" spans="1:24" hidden="1" x14ac:dyDescent="0.15">
      <c r="A1005" s="93" t="s">
        <v>2969</v>
      </c>
      <c r="B1005" s="93" t="s">
        <v>2970</v>
      </c>
      <c r="C1005" s="410">
        <v>3465</v>
      </c>
      <c r="D1005" s="93" t="s">
        <v>9</v>
      </c>
      <c r="E1005" s="93" t="s">
        <v>9</v>
      </c>
      <c r="F1005" s="93" t="s">
        <v>1648</v>
      </c>
      <c r="G1005" s="93" t="s">
        <v>9117</v>
      </c>
      <c r="H1005" s="93" t="s">
        <v>1943</v>
      </c>
      <c r="I1005" s="93" t="s">
        <v>111</v>
      </c>
      <c r="J1005" s="93" t="s">
        <v>963</v>
      </c>
      <c r="K1005" s="93">
        <v>60</v>
      </c>
      <c r="L1005" s="93" t="s">
        <v>111</v>
      </c>
      <c r="M1005" s="93">
        <v>4.7</v>
      </c>
      <c r="N1005" s="93" t="s">
        <v>113</v>
      </c>
      <c r="O1005" s="93">
        <v>18.5</v>
      </c>
      <c r="P1005" s="93">
        <v>29.5</v>
      </c>
      <c r="Q1005" s="93">
        <v>32.5</v>
      </c>
      <c r="R1005" s="93" t="s">
        <v>123</v>
      </c>
      <c r="S1005" s="93" t="s">
        <v>111</v>
      </c>
      <c r="T1005" s="93" t="s">
        <v>1659</v>
      </c>
      <c r="U1005" s="93" t="s">
        <v>116</v>
      </c>
      <c r="V1005" s="94">
        <v>44628.64166666667</v>
      </c>
      <c r="W1005" s="93" t="s">
        <v>1170</v>
      </c>
      <c r="X1005" s="93" t="s">
        <v>24</v>
      </c>
    </row>
    <row r="1006" spans="1:24" hidden="1" x14ac:dyDescent="0.15">
      <c r="A1006" s="93" t="s">
        <v>2971</v>
      </c>
      <c r="B1006" s="93" t="s">
        <v>2972</v>
      </c>
      <c r="C1006" s="410">
        <v>3465</v>
      </c>
      <c r="D1006" s="93" t="s">
        <v>9</v>
      </c>
      <c r="E1006" s="93" t="s">
        <v>9</v>
      </c>
      <c r="F1006" s="93" t="s">
        <v>1648</v>
      </c>
      <c r="G1006" s="93" t="s">
        <v>9117</v>
      </c>
      <c r="H1006" s="93" t="s">
        <v>1943</v>
      </c>
      <c r="I1006" s="93" t="s">
        <v>111</v>
      </c>
      <c r="J1006" s="93" t="s">
        <v>963</v>
      </c>
      <c r="K1006" s="93">
        <v>60</v>
      </c>
      <c r="L1006" s="93" t="s">
        <v>111</v>
      </c>
      <c r="M1006" s="93">
        <v>4.7</v>
      </c>
      <c r="N1006" s="93" t="s">
        <v>113</v>
      </c>
      <c r="O1006" s="93">
        <v>18.5</v>
      </c>
      <c r="P1006" s="93">
        <v>29.5</v>
      </c>
      <c r="Q1006" s="93">
        <v>32.5</v>
      </c>
      <c r="R1006" s="93" t="s">
        <v>123</v>
      </c>
      <c r="S1006" s="93" t="s">
        <v>111</v>
      </c>
      <c r="T1006" s="93" t="s">
        <v>1659</v>
      </c>
      <c r="U1006" s="93" t="s">
        <v>116</v>
      </c>
      <c r="V1006" s="94">
        <v>44628.541666666664</v>
      </c>
      <c r="W1006" s="93" t="s">
        <v>1170</v>
      </c>
      <c r="X1006" s="93" t="s">
        <v>24</v>
      </c>
    </row>
    <row r="1007" spans="1:24" hidden="1" x14ac:dyDescent="0.15">
      <c r="A1007" s="93" t="s">
        <v>2973</v>
      </c>
      <c r="B1007" s="93" t="s">
        <v>2974</v>
      </c>
      <c r="C1007" s="410">
        <v>3465</v>
      </c>
      <c r="D1007" s="93" t="s">
        <v>9</v>
      </c>
      <c r="E1007" s="93" t="s">
        <v>9</v>
      </c>
      <c r="F1007" s="93" t="s">
        <v>1648</v>
      </c>
      <c r="G1007" s="93" t="s">
        <v>9117</v>
      </c>
      <c r="H1007" s="93" t="s">
        <v>1943</v>
      </c>
      <c r="I1007" s="93" t="s">
        <v>111</v>
      </c>
      <c r="J1007" s="93" t="s">
        <v>963</v>
      </c>
      <c r="K1007" s="93">
        <v>60</v>
      </c>
      <c r="L1007" s="93" t="s">
        <v>111</v>
      </c>
      <c r="M1007" s="93">
        <v>4.7</v>
      </c>
      <c r="N1007" s="93" t="s">
        <v>113</v>
      </c>
      <c r="O1007" s="93">
        <v>18.5</v>
      </c>
      <c r="P1007" s="93">
        <v>29.5</v>
      </c>
      <c r="Q1007" s="93">
        <v>32.5</v>
      </c>
      <c r="R1007" s="93" t="s">
        <v>123</v>
      </c>
      <c r="S1007" s="93" t="s">
        <v>111</v>
      </c>
      <c r="T1007" s="93" t="s">
        <v>1659</v>
      </c>
      <c r="U1007" s="93" t="s">
        <v>116</v>
      </c>
      <c r="V1007" s="94">
        <v>44628.584722222222</v>
      </c>
      <c r="W1007" s="93" t="s">
        <v>1170</v>
      </c>
      <c r="X1007" s="93" t="s">
        <v>24</v>
      </c>
    </row>
    <row r="1008" spans="1:24" hidden="1" x14ac:dyDescent="0.15">
      <c r="A1008" s="93" t="s">
        <v>2975</v>
      </c>
      <c r="B1008" s="93" t="s">
        <v>2976</v>
      </c>
      <c r="C1008" s="410">
        <v>3465</v>
      </c>
      <c r="D1008" s="93" t="s">
        <v>9</v>
      </c>
      <c r="E1008" s="93" t="s">
        <v>9</v>
      </c>
      <c r="F1008" s="93" t="s">
        <v>1648</v>
      </c>
      <c r="G1008" s="93" t="s">
        <v>9117</v>
      </c>
      <c r="H1008" s="93" t="s">
        <v>1943</v>
      </c>
      <c r="I1008" s="93" t="s">
        <v>111</v>
      </c>
      <c r="J1008" s="93" t="s">
        <v>963</v>
      </c>
      <c r="K1008" s="93">
        <v>60</v>
      </c>
      <c r="L1008" s="93" t="s">
        <v>111</v>
      </c>
      <c r="M1008" s="93">
        <v>4.7</v>
      </c>
      <c r="N1008" s="93" t="s">
        <v>113</v>
      </c>
      <c r="O1008" s="93">
        <v>18.5</v>
      </c>
      <c r="P1008" s="93">
        <v>29.5</v>
      </c>
      <c r="Q1008" s="93">
        <v>32.5</v>
      </c>
      <c r="R1008" s="93" t="s">
        <v>123</v>
      </c>
      <c r="S1008" s="93" t="s">
        <v>111</v>
      </c>
      <c r="T1008" s="93" t="s">
        <v>1659</v>
      </c>
      <c r="U1008" s="93" t="s">
        <v>116</v>
      </c>
      <c r="V1008" s="94">
        <v>44628.49722222222</v>
      </c>
      <c r="W1008" s="93" t="s">
        <v>1170</v>
      </c>
      <c r="X1008" s="93" t="s">
        <v>24</v>
      </c>
    </row>
    <row r="1009" spans="1:24" hidden="1" x14ac:dyDescent="0.15">
      <c r="A1009" s="93" t="s">
        <v>2977</v>
      </c>
      <c r="B1009" s="93" t="s">
        <v>2978</v>
      </c>
      <c r="C1009" s="410">
        <v>3465</v>
      </c>
      <c r="D1009" s="93" t="s">
        <v>9</v>
      </c>
      <c r="E1009" s="93" t="s">
        <v>9</v>
      </c>
      <c r="F1009" s="93" t="s">
        <v>1648</v>
      </c>
      <c r="G1009" s="93" t="s">
        <v>9117</v>
      </c>
      <c r="H1009" s="93" t="s">
        <v>1943</v>
      </c>
      <c r="I1009" s="93" t="s">
        <v>111</v>
      </c>
      <c r="J1009" s="93" t="s">
        <v>963</v>
      </c>
      <c r="K1009" s="93">
        <v>60</v>
      </c>
      <c r="L1009" s="93" t="s">
        <v>111</v>
      </c>
      <c r="M1009" s="93">
        <v>4.7</v>
      </c>
      <c r="N1009" s="93" t="s">
        <v>113</v>
      </c>
      <c r="O1009" s="93">
        <v>18.5</v>
      </c>
      <c r="P1009" s="93">
        <v>29.5</v>
      </c>
      <c r="Q1009" s="93">
        <v>32.5</v>
      </c>
      <c r="R1009" s="93" t="s">
        <v>123</v>
      </c>
      <c r="S1009" s="93" t="s">
        <v>111</v>
      </c>
      <c r="T1009" s="93" t="s">
        <v>1659</v>
      </c>
      <c r="U1009" s="93" t="s">
        <v>116</v>
      </c>
      <c r="V1009" s="94">
        <v>44628.476388888892</v>
      </c>
      <c r="W1009" s="93" t="s">
        <v>1170</v>
      </c>
      <c r="X1009" s="93" t="s">
        <v>24</v>
      </c>
    </row>
    <row r="1010" spans="1:24" hidden="1" x14ac:dyDescent="0.15">
      <c r="A1010" s="93" t="s">
        <v>2979</v>
      </c>
      <c r="B1010" s="93" t="s">
        <v>2980</v>
      </c>
      <c r="C1010" s="410">
        <v>3465</v>
      </c>
      <c r="D1010" s="93" t="s">
        <v>9</v>
      </c>
      <c r="E1010" s="93" t="s">
        <v>9</v>
      </c>
      <c r="F1010" s="93" t="s">
        <v>1648</v>
      </c>
      <c r="G1010" s="93" t="s">
        <v>9117</v>
      </c>
      <c r="H1010" s="93" t="s">
        <v>1943</v>
      </c>
      <c r="I1010" s="93" t="s">
        <v>111</v>
      </c>
      <c r="J1010" s="93" t="s">
        <v>963</v>
      </c>
      <c r="K1010" s="93">
        <v>60</v>
      </c>
      <c r="L1010" s="93" t="s">
        <v>111</v>
      </c>
      <c r="M1010" s="93">
        <v>4.7</v>
      </c>
      <c r="N1010" s="93" t="s">
        <v>113</v>
      </c>
      <c r="O1010" s="93">
        <v>18.5</v>
      </c>
      <c r="P1010" s="93">
        <v>29.5</v>
      </c>
      <c r="Q1010" s="93">
        <v>32.5</v>
      </c>
      <c r="R1010" s="93" t="s">
        <v>123</v>
      </c>
      <c r="S1010" s="93" t="s">
        <v>111</v>
      </c>
      <c r="T1010" s="93" t="s">
        <v>1659</v>
      </c>
      <c r="U1010" s="93" t="s">
        <v>116</v>
      </c>
      <c r="V1010" s="94">
        <v>44628.584722222222</v>
      </c>
      <c r="W1010" s="93" t="s">
        <v>1170</v>
      </c>
      <c r="X1010" s="93" t="s">
        <v>24</v>
      </c>
    </row>
    <row r="1011" spans="1:24" hidden="1" x14ac:dyDescent="0.15">
      <c r="A1011" s="93" t="s">
        <v>2981</v>
      </c>
      <c r="B1011" s="93" t="s">
        <v>2982</v>
      </c>
      <c r="C1011" s="410">
        <v>3465</v>
      </c>
      <c r="D1011" s="93" t="s">
        <v>9</v>
      </c>
      <c r="E1011" s="93" t="s">
        <v>9</v>
      </c>
      <c r="F1011" s="93" t="s">
        <v>1648</v>
      </c>
      <c r="G1011" s="93" t="s">
        <v>9117</v>
      </c>
      <c r="H1011" s="93" t="s">
        <v>1943</v>
      </c>
      <c r="I1011" s="93" t="s">
        <v>111</v>
      </c>
      <c r="J1011" s="93" t="s">
        <v>963</v>
      </c>
      <c r="K1011" s="93">
        <v>60</v>
      </c>
      <c r="L1011" s="93" t="s">
        <v>111</v>
      </c>
      <c r="M1011" s="93">
        <v>4.7</v>
      </c>
      <c r="N1011" s="93" t="s">
        <v>113</v>
      </c>
      <c r="O1011" s="93">
        <v>18.5</v>
      </c>
      <c r="P1011" s="93">
        <v>29.5</v>
      </c>
      <c r="Q1011" s="93">
        <v>32.5</v>
      </c>
      <c r="R1011" s="93" t="s">
        <v>123</v>
      </c>
      <c r="S1011" s="93" t="s">
        <v>111</v>
      </c>
      <c r="T1011" s="93" t="s">
        <v>1659</v>
      </c>
      <c r="U1011" s="93" t="s">
        <v>116</v>
      </c>
      <c r="V1011" s="94">
        <v>44628.64166666667</v>
      </c>
      <c r="W1011" s="93" t="s">
        <v>1170</v>
      </c>
      <c r="X1011" s="93" t="s">
        <v>24</v>
      </c>
    </row>
    <row r="1012" spans="1:24" hidden="1" x14ac:dyDescent="0.15">
      <c r="A1012" s="93" t="s">
        <v>2983</v>
      </c>
      <c r="B1012" s="93" t="s">
        <v>2984</v>
      </c>
      <c r="C1012" s="410">
        <v>3465</v>
      </c>
      <c r="D1012" s="93" t="s">
        <v>9</v>
      </c>
      <c r="E1012" s="93" t="s">
        <v>9</v>
      </c>
      <c r="F1012" s="93" t="s">
        <v>1648</v>
      </c>
      <c r="G1012" s="93" t="s">
        <v>9117</v>
      </c>
      <c r="H1012" s="93" t="s">
        <v>1943</v>
      </c>
      <c r="I1012" s="93" t="s">
        <v>111</v>
      </c>
      <c r="J1012" s="93" t="s">
        <v>963</v>
      </c>
      <c r="K1012" s="93">
        <v>60</v>
      </c>
      <c r="L1012" s="93" t="s">
        <v>111</v>
      </c>
      <c r="M1012" s="93">
        <v>4.7</v>
      </c>
      <c r="N1012" s="93" t="s">
        <v>113</v>
      </c>
      <c r="O1012" s="93">
        <v>18.5</v>
      </c>
      <c r="P1012" s="93">
        <v>29.5</v>
      </c>
      <c r="Q1012" s="93">
        <v>32.5</v>
      </c>
      <c r="R1012" s="93" t="s">
        <v>123</v>
      </c>
      <c r="S1012" s="93" t="s">
        <v>111</v>
      </c>
      <c r="T1012" s="93" t="s">
        <v>1659</v>
      </c>
      <c r="U1012" s="93" t="s">
        <v>116</v>
      </c>
      <c r="V1012" s="94">
        <v>44628.606249999997</v>
      </c>
      <c r="W1012" s="93" t="s">
        <v>1170</v>
      </c>
      <c r="X1012" s="93" t="s">
        <v>24</v>
      </c>
    </row>
    <row r="1013" spans="1:24" hidden="1" x14ac:dyDescent="0.15">
      <c r="A1013" s="93" t="s">
        <v>2985</v>
      </c>
      <c r="B1013" s="93" t="s">
        <v>2986</v>
      </c>
      <c r="C1013" s="410">
        <v>3465</v>
      </c>
      <c r="D1013" s="93" t="s">
        <v>9</v>
      </c>
      <c r="E1013" s="93" t="s">
        <v>9</v>
      </c>
      <c r="F1013" s="93" t="s">
        <v>1648</v>
      </c>
      <c r="G1013" s="93" t="s">
        <v>9117</v>
      </c>
      <c r="H1013" s="93" t="s">
        <v>1943</v>
      </c>
      <c r="I1013" s="93" t="s">
        <v>111</v>
      </c>
      <c r="J1013" s="93" t="s">
        <v>963</v>
      </c>
      <c r="K1013" s="93">
        <v>60</v>
      </c>
      <c r="L1013" s="93" t="s">
        <v>111</v>
      </c>
      <c r="M1013" s="93">
        <v>4.7</v>
      </c>
      <c r="N1013" s="93" t="s">
        <v>113</v>
      </c>
      <c r="O1013" s="93">
        <v>18.5</v>
      </c>
      <c r="P1013" s="93">
        <v>29.5</v>
      </c>
      <c r="Q1013" s="93">
        <v>32.5</v>
      </c>
      <c r="R1013" s="93" t="s">
        <v>123</v>
      </c>
      <c r="S1013" s="93" t="s">
        <v>111</v>
      </c>
      <c r="T1013" s="93" t="s">
        <v>1659</v>
      </c>
      <c r="U1013" s="93" t="s">
        <v>116</v>
      </c>
      <c r="V1013" s="94">
        <v>44628.64166666667</v>
      </c>
      <c r="W1013" s="93" t="s">
        <v>1170</v>
      </c>
      <c r="X1013" s="93" t="s">
        <v>24</v>
      </c>
    </row>
    <row r="1014" spans="1:24" hidden="1" x14ac:dyDescent="0.15">
      <c r="A1014" s="93" t="s">
        <v>2987</v>
      </c>
      <c r="B1014" s="93" t="s">
        <v>2988</v>
      </c>
      <c r="C1014" s="410">
        <v>3465</v>
      </c>
      <c r="D1014" s="93" t="s">
        <v>9</v>
      </c>
      <c r="E1014" s="93" t="s">
        <v>9</v>
      </c>
      <c r="F1014" s="93" t="s">
        <v>1648</v>
      </c>
      <c r="G1014" s="93" t="s">
        <v>9117</v>
      </c>
      <c r="H1014" s="93" t="s">
        <v>1943</v>
      </c>
      <c r="I1014" s="93" t="s">
        <v>111</v>
      </c>
      <c r="J1014" s="93" t="s">
        <v>963</v>
      </c>
      <c r="K1014" s="93">
        <v>60</v>
      </c>
      <c r="L1014" s="93" t="s">
        <v>111</v>
      </c>
      <c r="M1014" s="93">
        <v>4.7</v>
      </c>
      <c r="N1014" s="93" t="s">
        <v>113</v>
      </c>
      <c r="O1014" s="93">
        <v>18.5</v>
      </c>
      <c r="P1014" s="93">
        <v>29.5</v>
      </c>
      <c r="Q1014" s="93">
        <v>32.5</v>
      </c>
      <c r="R1014" s="93" t="s">
        <v>123</v>
      </c>
      <c r="S1014" s="93" t="s">
        <v>111</v>
      </c>
      <c r="T1014" s="93" t="s">
        <v>1659</v>
      </c>
      <c r="U1014" s="93" t="s">
        <v>116</v>
      </c>
      <c r="V1014" s="94">
        <v>44628.64166666667</v>
      </c>
      <c r="W1014" s="93" t="s">
        <v>1170</v>
      </c>
      <c r="X1014" s="93" t="s">
        <v>24</v>
      </c>
    </row>
    <row r="1015" spans="1:24" hidden="1" x14ac:dyDescent="0.15">
      <c r="A1015" s="93" t="s">
        <v>2989</v>
      </c>
      <c r="B1015" s="93" t="s">
        <v>2990</v>
      </c>
      <c r="C1015" s="410">
        <v>3465</v>
      </c>
      <c r="D1015" s="93" t="s">
        <v>9</v>
      </c>
      <c r="E1015" s="93" t="s">
        <v>9</v>
      </c>
      <c r="F1015" s="93" t="s">
        <v>1648</v>
      </c>
      <c r="G1015" s="93" t="s">
        <v>9117</v>
      </c>
      <c r="H1015" s="93" t="s">
        <v>1943</v>
      </c>
      <c r="I1015" s="93" t="s">
        <v>111</v>
      </c>
      <c r="J1015" s="93" t="s">
        <v>963</v>
      </c>
      <c r="K1015" s="93">
        <v>60</v>
      </c>
      <c r="L1015" s="93" t="s">
        <v>111</v>
      </c>
      <c r="M1015" s="93">
        <v>4.7</v>
      </c>
      <c r="N1015" s="93" t="s">
        <v>113</v>
      </c>
      <c r="O1015" s="93">
        <v>18.5</v>
      </c>
      <c r="P1015" s="93">
        <v>29.5</v>
      </c>
      <c r="Q1015" s="93">
        <v>32.5</v>
      </c>
      <c r="R1015" s="93" t="s">
        <v>123</v>
      </c>
      <c r="S1015" s="93" t="s">
        <v>111</v>
      </c>
      <c r="T1015" s="93" t="s">
        <v>1659</v>
      </c>
      <c r="U1015" s="93" t="s">
        <v>116</v>
      </c>
      <c r="V1015" s="94">
        <v>44628.476388888892</v>
      </c>
      <c r="W1015" s="93" t="s">
        <v>1170</v>
      </c>
      <c r="X1015" s="93" t="s">
        <v>24</v>
      </c>
    </row>
    <row r="1016" spans="1:24" hidden="1" x14ac:dyDescent="0.15">
      <c r="A1016" s="93" t="s">
        <v>2991</v>
      </c>
      <c r="B1016" s="93" t="s">
        <v>2992</v>
      </c>
      <c r="C1016" s="410">
        <v>3465</v>
      </c>
      <c r="D1016" s="93" t="s">
        <v>9</v>
      </c>
      <c r="E1016" s="93" t="s">
        <v>9</v>
      </c>
      <c r="F1016" s="93" t="s">
        <v>1648</v>
      </c>
      <c r="G1016" s="93" t="s">
        <v>9117</v>
      </c>
      <c r="H1016" s="93" t="s">
        <v>1943</v>
      </c>
      <c r="I1016" s="93" t="s">
        <v>111</v>
      </c>
      <c r="J1016" s="93" t="s">
        <v>963</v>
      </c>
      <c r="K1016" s="93">
        <v>60</v>
      </c>
      <c r="L1016" s="93" t="s">
        <v>111</v>
      </c>
      <c r="M1016" s="93">
        <v>4.7</v>
      </c>
      <c r="N1016" s="93" t="s">
        <v>113</v>
      </c>
      <c r="O1016" s="93">
        <v>18.5</v>
      </c>
      <c r="P1016" s="93">
        <v>29.5</v>
      </c>
      <c r="Q1016" s="93">
        <v>32.5</v>
      </c>
      <c r="R1016" s="93" t="s">
        <v>123</v>
      </c>
      <c r="S1016" s="93" t="s">
        <v>111</v>
      </c>
      <c r="T1016" s="93" t="s">
        <v>1659</v>
      </c>
      <c r="U1016" s="93" t="s">
        <v>116</v>
      </c>
      <c r="V1016" s="94">
        <v>44628.541666666664</v>
      </c>
      <c r="W1016" s="93" t="s">
        <v>1170</v>
      </c>
      <c r="X1016" s="93" t="s">
        <v>24</v>
      </c>
    </row>
    <row r="1017" spans="1:24" hidden="1" x14ac:dyDescent="0.15">
      <c r="A1017" s="93" t="s">
        <v>2993</v>
      </c>
      <c r="B1017" s="93" t="s">
        <v>2994</v>
      </c>
      <c r="C1017" s="410">
        <v>3465</v>
      </c>
      <c r="D1017" s="93" t="s">
        <v>9</v>
      </c>
      <c r="E1017" s="93" t="s">
        <v>9</v>
      </c>
      <c r="F1017" s="93" t="s">
        <v>1648</v>
      </c>
      <c r="G1017" s="93" t="s">
        <v>9117</v>
      </c>
      <c r="H1017" s="93" t="s">
        <v>1943</v>
      </c>
      <c r="I1017" s="93" t="s">
        <v>111</v>
      </c>
      <c r="J1017" s="93" t="s">
        <v>963</v>
      </c>
      <c r="K1017" s="93">
        <v>60</v>
      </c>
      <c r="L1017" s="93" t="s">
        <v>111</v>
      </c>
      <c r="M1017" s="93">
        <v>4.7</v>
      </c>
      <c r="N1017" s="93" t="s">
        <v>113</v>
      </c>
      <c r="O1017" s="93">
        <v>18.5</v>
      </c>
      <c r="P1017" s="93">
        <v>29.5</v>
      </c>
      <c r="Q1017" s="93">
        <v>32.5</v>
      </c>
      <c r="R1017" s="93" t="s">
        <v>123</v>
      </c>
      <c r="S1017" s="93" t="s">
        <v>111</v>
      </c>
      <c r="T1017" s="93" t="s">
        <v>1659</v>
      </c>
      <c r="U1017" s="93" t="s">
        <v>116</v>
      </c>
      <c r="V1017" s="94">
        <v>44628.5625</v>
      </c>
      <c r="W1017" s="93" t="s">
        <v>1170</v>
      </c>
      <c r="X1017" s="93" t="s">
        <v>24</v>
      </c>
    </row>
    <row r="1018" spans="1:24" hidden="1" x14ac:dyDescent="0.15">
      <c r="A1018" s="93" t="s">
        <v>2995</v>
      </c>
      <c r="B1018" s="93" t="s">
        <v>2996</v>
      </c>
      <c r="C1018" s="410">
        <v>3465</v>
      </c>
      <c r="D1018" s="93" t="s">
        <v>9</v>
      </c>
      <c r="E1018" s="93" t="s">
        <v>9</v>
      </c>
      <c r="F1018" s="93" t="s">
        <v>1648</v>
      </c>
      <c r="G1018" s="93" t="s">
        <v>9117</v>
      </c>
      <c r="H1018" s="93" t="s">
        <v>1943</v>
      </c>
      <c r="I1018" s="93" t="s">
        <v>111</v>
      </c>
      <c r="J1018" s="93" t="s">
        <v>963</v>
      </c>
      <c r="K1018" s="93">
        <v>60</v>
      </c>
      <c r="L1018" s="93" t="s">
        <v>111</v>
      </c>
      <c r="M1018" s="93">
        <v>4.7</v>
      </c>
      <c r="N1018" s="93" t="s">
        <v>113</v>
      </c>
      <c r="O1018" s="93">
        <v>18.5</v>
      </c>
      <c r="P1018" s="93">
        <v>29.5</v>
      </c>
      <c r="Q1018" s="93">
        <v>32.5</v>
      </c>
      <c r="R1018" s="93" t="s">
        <v>123</v>
      </c>
      <c r="S1018" s="93" t="s">
        <v>111</v>
      </c>
      <c r="T1018" s="93" t="s">
        <v>1659</v>
      </c>
      <c r="U1018" s="93" t="s">
        <v>116</v>
      </c>
      <c r="V1018" s="94">
        <v>44628.541666666664</v>
      </c>
      <c r="W1018" s="93" t="s">
        <v>1170</v>
      </c>
      <c r="X1018" s="93" t="s">
        <v>24</v>
      </c>
    </row>
    <row r="1019" spans="1:24" hidden="1" x14ac:dyDescent="0.15">
      <c r="A1019" s="93" t="s">
        <v>2997</v>
      </c>
      <c r="B1019" s="93" t="s">
        <v>2998</v>
      </c>
      <c r="C1019" s="410">
        <v>3465</v>
      </c>
      <c r="D1019" s="93" t="s">
        <v>9</v>
      </c>
      <c r="E1019" s="93" t="s">
        <v>9</v>
      </c>
      <c r="F1019" s="93" t="s">
        <v>1648</v>
      </c>
      <c r="G1019" s="93" t="s">
        <v>9117</v>
      </c>
      <c r="H1019" s="93" t="s">
        <v>1943</v>
      </c>
      <c r="I1019" s="93" t="s">
        <v>111</v>
      </c>
      <c r="J1019" s="93" t="s">
        <v>963</v>
      </c>
      <c r="K1019" s="93">
        <v>60</v>
      </c>
      <c r="L1019" s="93" t="s">
        <v>111</v>
      </c>
      <c r="M1019" s="93">
        <v>4.7</v>
      </c>
      <c r="N1019" s="93" t="s">
        <v>113</v>
      </c>
      <c r="O1019" s="93">
        <v>18.5</v>
      </c>
      <c r="P1019" s="93">
        <v>29.5</v>
      </c>
      <c r="Q1019" s="93">
        <v>32.5</v>
      </c>
      <c r="R1019" s="93" t="s">
        <v>123</v>
      </c>
      <c r="S1019" s="93" t="s">
        <v>111</v>
      </c>
      <c r="T1019" s="93" t="s">
        <v>1659</v>
      </c>
      <c r="U1019" s="93" t="s">
        <v>116</v>
      </c>
      <c r="V1019" s="94">
        <v>44628.476388888892</v>
      </c>
      <c r="W1019" s="93" t="s">
        <v>1170</v>
      </c>
      <c r="X1019" s="93" t="s">
        <v>24</v>
      </c>
    </row>
    <row r="1020" spans="1:24" hidden="1" x14ac:dyDescent="0.15">
      <c r="A1020" s="93" t="s">
        <v>2999</v>
      </c>
      <c r="B1020" s="93" t="s">
        <v>3000</v>
      </c>
      <c r="C1020" s="410">
        <v>3465</v>
      </c>
      <c r="D1020" s="93" t="s">
        <v>9</v>
      </c>
      <c r="E1020" s="93" t="s">
        <v>9</v>
      </c>
      <c r="F1020" s="93" t="s">
        <v>1648</v>
      </c>
      <c r="G1020" s="93" t="s">
        <v>9117</v>
      </c>
      <c r="H1020" s="93" t="s">
        <v>1943</v>
      </c>
      <c r="I1020" s="93" t="s">
        <v>111</v>
      </c>
      <c r="J1020" s="93" t="s">
        <v>963</v>
      </c>
      <c r="K1020" s="93">
        <v>60</v>
      </c>
      <c r="L1020" s="93" t="s">
        <v>111</v>
      </c>
      <c r="M1020" s="93">
        <v>4.7</v>
      </c>
      <c r="N1020" s="93" t="s">
        <v>113</v>
      </c>
      <c r="O1020" s="93">
        <v>18.5</v>
      </c>
      <c r="P1020" s="93">
        <v>29.5</v>
      </c>
      <c r="Q1020" s="93">
        <v>32.5</v>
      </c>
      <c r="R1020" s="93" t="s">
        <v>123</v>
      </c>
      <c r="S1020" s="93" t="s">
        <v>111</v>
      </c>
      <c r="T1020" s="93" t="s">
        <v>1659</v>
      </c>
      <c r="U1020" s="93" t="s">
        <v>116</v>
      </c>
      <c r="V1020" s="94">
        <v>44628.5625</v>
      </c>
      <c r="W1020" s="93" t="s">
        <v>1170</v>
      </c>
      <c r="X1020" s="93" t="s">
        <v>24</v>
      </c>
    </row>
    <row r="1021" spans="1:24" hidden="1" x14ac:dyDescent="0.15">
      <c r="A1021" s="93" t="s">
        <v>3001</v>
      </c>
      <c r="B1021" s="93" t="s">
        <v>3002</v>
      </c>
      <c r="C1021" s="410">
        <v>3465</v>
      </c>
      <c r="D1021" s="93" t="s">
        <v>9</v>
      </c>
      <c r="E1021" s="93" t="s">
        <v>9</v>
      </c>
      <c r="F1021" s="93" t="s">
        <v>1648</v>
      </c>
      <c r="G1021" s="93" t="s">
        <v>9117</v>
      </c>
      <c r="H1021" s="93" t="s">
        <v>1943</v>
      </c>
      <c r="I1021" s="93" t="s">
        <v>111</v>
      </c>
      <c r="J1021" s="93" t="s">
        <v>963</v>
      </c>
      <c r="K1021" s="93">
        <v>60</v>
      </c>
      <c r="L1021" s="93" t="s">
        <v>111</v>
      </c>
      <c r="M1021" s="93">
        <v>4.7</v>
      </c>
      <c r="N1021" s="93" t="s">
        <v>113</v>
      </c>
      <c r="O1021" s="93">
        <v>18.5</v>
      </c>
      <c r="P1021" s="93">
        <v>29.5</v>
      </c>
      <c r="Q1021" s="93">
        <v>32.5</v>
      </c>
      <c r="R1021" s="93" t="s">
        <v>123</v>
      </c>
      <c r="S1021" s="93" t="s">
        <v>111</v>
      </c>
      <c r="T1021" s="93" t="s">
        <v>1659</v>
      </c>
      <c r="U1021" s="93" t="s">
        <v>116</v>
      </c>
      <c r="V1021" s="94">
        <v>44628.606249999997</v>
      </c>
      <c r="W1021" s="93" t="s">
        <v>1170</v>
      </c>
      <c r="X1021" s="93" t="s">
        <v>24</v>
      </c>
    </row>
    <row r="1022" spans="1:24" hidden="1" x14ac:dyDescent="0.15">
      <c r="A1022" s="93" t="s">
        <v>3003</v>
      </c>
      <c r="B1022" s="93" t="s">
        <v>3004</v>
      </c>
      <c r="C1022" s="410">
        <v>3465</v>
      </c>
      <c r="D1022" s="93" t="s">
        <v>9</v>
      </c>
      <c r="E1022" s="93" t="s">
        <v>9</v>
      </c>
      <c r="F1022" s="93" t="s">
        <v>1648</v>
      </c>
      <c r="G1022" s="93" t="s">
        <v>9117</v>
      </c>
      <c r="H1022" s="93" t="s">
        <v>1943</v>
      </c>
      <c r="I1022" s="93" t="s">
        <v>111</v>
      </c>
      <c r="J1022" s="93" t="s">
        <v>963</v>
      </c>
      <c r="K1022" s="93">
        <v>60</v>
      </c>
      <c r="L1022" s="93" t="s">
        <v>111</v>
      </c>
      <c r="M1022" s="93">
        <v>4.7</v>
      </c>
      <c r="N1022" s="93" t="s">
        <v>113</v>
      </c>
      <c r="O1022" s="93">
        <v>18.5</v>
      </c>
      <c r="P1022" s="93">
        <v>29.5</v>
      </c>
      <c r="Q1022" s="93">
        <v>32.5</v>
      </c>
      <c r="R1022" s="93" t="s">
        <v>123</v>
      </c>
      <c r="S1022" s="93" t="s">
        <v>111</v>
      </c>
      <c r="T1022" s="93" t="s">
        <v>1659</v>
      </c>
      <c r="U1022" s="93" t="s">
        <v>116</v>
      </c>
      <c r="V1022" s="94">
        <v>44628.476388888892</v>
      </c>
      <c r="W1022" s="93" t="s">
        <v>1170</v>
      </c>
      <c r="X1022" s="93" t="s">
        <v>24</v>
      </c>
    </row>
    <row r="1023" spans="1:24" hidden="1" x14ac:dyDescent="0.15">
      <c r="A1023" s="93" t="s">
        <v>3005</v>
      </c>
      <c r="B1023" s="93" t="s">
        <v>3006</v>
      </c>
      <c r="C1023" s="410">
        <v>3465</v>
      </c>
      <c r="D1023" s="93" t="s">
        <v>9</v>
      </c>
      <c r="E1023" s="93" t="s">
        <v>9</v>
      </c>
      <c r="F1023" s="93" t="s">
        <v>1648</v>
      </c>
      <c r="G1023" s="93" t="s">
        <v>9117</v>
      </c>
      <c r="H1023" s="93" t="s">
        <v>1943</v>
      </c>
      <c r="I1023" s="93" t="s">
        <v>111</v>
      </c>
      <c r="J1023" s="93" t="s">
        <v>963</v>
      </c>
      <c r="K1023" s="93">
        <v>60</v>
      </c>
      <c r="L1023" s="93" t="s">
        <v>111</v>
      </c>
      <c r="M1023" s="93">
        <v>4.7</v>
      </c>
      <c r="N1023" s="93" t="s">
        <v>113</v>
      </c>
      <c r="O1023" s="93">
        <v>18.5</v>
      </c>
      <c r="P1023" s="93">
        <v>29.5</v>
      </c>
      <c r="Q1023" s="93">
        <v>32.5</v>
      </c>
      <c r="R1023" s="93" t="s">
        <v>123</v>
      </c>
      <c r="S1023" s="93" t="s">
        <v>111</v>
      </c>
      <c r="T1023" s="93" t="s">
        <v>1659</v>
      </c>
      <c r="U1023" s="93" t="s">
        <v>116</v>
      </c>
      <c r="V1023" s="94">
        <v>44628.476388888892</v>
      </c>
      <c r="W1023" s="93" t="s">
        <v>1170</v>
      </c>
      <c r="X1023" s="93" t="s">
        <v>24</v>
      </c>
    </row>
    <row r="1024" spans="1:24" hidden="1" x14ac:dyDescent="0.15">
      <c r="A1024" s="93" t="s">
        <v>3007</v>
      </c>
      <c r="B1024" s="93" t="s">
        <v>3008</v>
      </c>
      <c r="C1024" s="410">
        <v>3465</v>
      </c>
      <c r="D1024" s="93" t="s">
        <v>9</v>
      </c>
      <c r="E1024" s="93" t="s">
        <v>9</v>
      </c>
      <c r="F1024" s="93" t="s">
        <v>1648</v>
      </c>
      <c r="G1024" s="93" t="s">
        <v>9117</v>
      </c>
      <c r="H1024" s="93" t="s">
        <v>1943</v>
      </c>
      <c r="I1024" s="93" t="s">
        <v>111</v>
      </c>
      <c r="J1024" s="93" t="s">
        <v>963</v>
      </c>
      <c r="K1024" s="93">
        <v>60</v>
      </c>
      <c r="L1024" s="93" t="s">
        <v>111</v>
      </c>
      <c r="M1024" s="93">
        <v>4.7</v>
      </c>
      <c r="N1024" s="93" t="s">
        <v>113</v>
      </c>
      <c r="O1024" s="93">
        <v>18.5</v>
      </c>
      <c r="P1024" s="93">
        <v>29.5</v>
      </c>
      <c r="Q1024" s="93">
        <v>32.5</v>
      </c>
      <c r="R1024" s="93" t="s">
        <v>123</v>
      </c>
      <c r="S1024" s="93" t="s">
        <v>111</v>
      </c>
      <c r="T1024" s="93" t="s">
        <v>1659</v>
      </c>
      <c r="U1024" s="93" t="s">
        <v>116</v>
      </c>
      <c r="V1024" s="94">
        <v>44628.584722222222</v>
      </c>
      <c r="W1024" s="93" t="s">
        <v>1170</v>
      </c>
      <c r="X1024" s="93" t="s">
        <v>24</v>
      </c>
    </row>
    <row r="1025" spans="1:24" hidden="1" x14ac:dyDescent="0.15">
      <c r="A1025" s="93" t="s">
        <v>3009</v>
      </c>
      <c r="B1025" s="93" t="s">
        <v>3010</v>
      </c>
      <c r="C1025" s="410">
        <v>3465</v>
      </c>
      <c r="D1025" s="93" t="s">
        <v>9</v>
      </c>
      <c r="E1025" s="93" t="s">
        <v>9</v>
      </c>
      <c r="F1025" s="93" t="s">
        <v>1648</v>
      </c>
      <c r="G1025" s="93" t="s">
        <v>9117</v>
      </c>
      <c r="H1025" s="93" t="s">
        <v>1943</v>
      </c>
      <c r="I1025" s="93" t="s">
        <v>111</v>
      </c>
      <c r="J1025" s="93" t="s">
        <v>963</v>
      </c>
      <c r="K1025" s="93">
        <v>60</v>
      </c>
      <c r="L1025" s="93" t="s">
        <v>111</v>
      </c>
      <c r="M1025" s="93">
        <v>4.7</v>
      </c>
      <c r="N1025" s="93" t="s">
        <v>113</v>
      </c>
      <c r="O1025" s="93">
        <v>18.5</v>
      </c>
      <c r="P1025" s="93">
        <v>29.5</v>
      </c>
      <c r="Q1025" s="93">
        <v>32.5</v>
      </c>
      <c r="R1025" s="93" t="s">
        <v>123</v>
      </c>
      <c r="S1025" s="93" t="s">
        <v>659</v>
      </c>
      <c r="T1025" s="93" t="s">
        <v>1659</v>
      </c>
      <c r="U1025" s="93" t="s">
        <v>116</v>
      </c>
      <c r="V1025" s="94">
        <v>44628.606249999997</v>
      </c>
      <c r="W1025" s="93" t="s">
        <v>1170</v>
      </c>
      <c r="X1025" s="93" t="s">
        <v>24</v>
      </c>
    </row>
    <row r="1026" spans="1:24" hidden="1" x14ac:dyDescent="0.15">
      <c r="A1026" s="93" t="s">
        <v>3011</v>
      </c>
      <c r="B1026" s="93" t="s">
        <v>3012</v>
      </c>
      <c r="C1026" s="410">
        <v>3465</v>
      </c>
      <c r="D1026" s="93" t="s">
        <v>9</v>
      </c>
      <c r="E1026" s="93" t="s">
        <v>9</v>
      </c>
      <c r="F1026" s="93" t="s">
        <v>1648</v>
      </c>
      <c r="G1026" s="93" t="s">
        <v>9117</v>
      </c>
      <c r="H1026" s="93" t="s">
        <v>1943</v>
      </c>
      <c r="I1026" s="93" t="s">
        <v>111</v>
      </c>
      <c r="J1026" s="93" t="s">
        <v>963</v>
      </c>
      <c r="K1026" s="93">
        <v>60</v>
      </c>
      <c r="L1026" s="93" t="s">
        <v>111</v>
      </c>
      <c r="M1026" s="93">
        <v>4.7</v>
      </c>
      <c r="N1026" s="93" t="s">
        <v>113</v>
      </c>
      <c r="O1026" s="93">
        <v>18.5</v>
      </c>
      <c r="P1026" s="93">
        <v>29.5</v>
      </c>
      <c r="Q1026" s="93">
        <v>32.5</v>
      </c>
      <c r="R1026" s="93" t="s">
        <v>123</v>
      </c>
      <c r="S1026" s="93" t="s">
        <v>111</v>
      </c>
      <c r="T1026" s="93" t="s">
        <v>1659</v>
      </c>
      <c r="U1026" s="93" t="s">
        <v>116</v>
      </c>
      <c r="V1026" s="94">
        <v>44628.519444444442</v>
      </c>
      <c r="W1026" s="93" t="s">
        <v>1170</v>
      </c>
      <c r="X1026" s="93" t="s">
        <v>24</v>
      </c>
    </row>
    <row r="1027" spans="1:24" hidden="1" x14ac:dyDescent="0.15">
      <c r="A1027" s="93" t="s">
        <v>3013</v>
      </c>
      <c r="B1027" s="93" t="s">
        <v>3014</v>
      </c>
      <c r="C1027" s="410">
        <v>3465</v>
      </c>
      <c r="D1027" s="93" t="s">
        <v>9</v>
      </c>
      <c r="E1027" s="93" t="s">
        <v>9</v>
      </c>
      <c r="F1027" s="93" t="s">
        <v>1648</v>
      </c>
      <c r="G1027" s="93" t="s">
        <v>9117</v>
      </c>
      <c r="H1027" s="93" t="s">
        <v>1943</v>
      </c>
      <c r="I1027" s="93" t="s">
        <v>111</v>
      </c>
      <c r="J1027" s="93" t="s">
        <v>963</v>
      </c>
      <c r="K1027" s="93">
        <v>60</v>
      </c>
      <c r="L1027" s="93" t="s">
        <v>111</v>
      </c>
      <c r="M1027" s="93">
        <v>4.7</v>
      </c>
      <c r="N1027" s="93" t="s">
        <v>113</v>
      </c>
      <c r="O1027" s="93">
        <v>18.5</v>
      </c>
      <c r="P1027" s="93">
        <v>29.5</v>
      </c>
      <c r="Q1027" s="93">
        <v>32.5</v>
      </c>
      <c r="R1027" s="93" t="s">
        <v>123</v>
      </c>
      <c r="S1027" s="93" t="s">
        <v>111</v>
      </c>
      <c r="T1027" s="93" t="s">
        <v>1659</v>
      </c>
      <c r="U1027" s="93" t="s">
        <v>116</v>
      </c>
      <c r="V1027" s="94">
        <v>44628.541666666664</v>
      </c>
      <c r="W1027" s="93" t="s">
        <v>1170</v>
      </c>
      <c r="X1027" s="93" t="s">
        <v>24</v>
      </c>
    </row>
    <row r="1028" spans="1:24" hidden="1" x14ac:dyDescent="0.15">
      <c r="A1028" s="93" t="s">
        <v>3015</v>
      </c>
      <c r="B1028" s="93" t="s">
        <v>3016</v>
      </c>
      <c r="C1028" s="410">
        <v>3465</v>
      </c>
      <c r="D1028" s="93" t="s">
        <v>9</v>
      </c>
      <c r="E1028" s="93" t="s">
        <v>9</v>
      </c>
      <c r="F1028" s="93" t="s">
        <v>1648</v>
      </c>
      <c r="G1028" s="93" t="s">
        <v>9117</v>
      </c>
      <c r="H1028" s="93" t="s">
        <v>1943</v>
      </c>
      <c r="I1028" s="93" t="s">
        <v>111</v>
      </c>
      <c r="J1028" s="93" t="s">
        <v>963</v>
      </c>
      <c r="K1028" s="93">
        <v>60</v>
      </c>
      <c r="L1028" s="93" t="s">
        <v>111</v>
      </c>
      <c r="M1028" s="93">
        <v>4.7</v>
      </c>
      <c r="N1028" s="93" t="s">
        <v>113</v>
      </c>
      <c r="O1028" s="93">
        <v>18.5</v>
      </c>
      <c r="P1028" s="93">
        <v>29.5</v>
      </c>
      <c r="Q1028" s="93">
        <v>32.5</v>
      </c>
      <c r="R1028" s="93" t="s">
        <v>123</v>
      </c>
      <c r="S1028" s="93" t="s">
        <v>111</v>
      </c>
      <c r="T1028" s="93" t="s">
        <v>1659</v>
      </c>
      <c r="U1028" s="93" t="s">
        <v>116</v>
      </c>
      <c r="V1028" s="94">
        <v>44628.519444444442</v>
      </c>
      <c r="W1028" s="93" t="s">
        <v>1170</v>
      </c>
      <c r="X1028" s="93" t="s">
        <v>24</v>
      </c>
    </row>
    <row r="1029" spans="1:24" hidden="1" x14ac:dyDescent="0.15">
      <c r="A1029" s="93" t="s">
        <v>3017</v>
      </c>
      <c r="B1029" s="93" t="s">
        <v>3018</v>
      </c>
      <c r="C1029" s="410">
        <v>3465</v>
      </c>
      <c r="D1029" s="93" t="s">
        <v>9</v>
      </c>
      <c r="E1029" s="93" t="s">
        <v>9</v>
      </c>
      <c r="F1029" s="93" t="s">
        <v>1648</v>
      </c>
      <c r="G1029" s="93" t="s">
        <v>9117</v>
      </c>
      <c r="H1029" s="93" t="s">
        <v>1943</v>
      </c>
      <c r="I1029" s="93" t="s">
        <v>111</v>
      </c>
      <c r="J1029" s="93" t="s">
        <v>963</v>
      </c>
      <c r="K1029" s="93">
        <v>60</v>
      </c>
      <c r="L1029" s="93" t="s">
        <v>111</v>
      </c>
      <c r="M1029" s="93">
        <v>4.7</v>
      </c>
      <c r="N1029" s="93" t="s">
        <v>113</v>
      </c>
      <c r="O1029" s="93">
        <v>18.5</v>
      </c>
      <c r="P1029" s="93">
        <v>29.5</v>
      </c>
      <c r="Q1029" s="93">
        <v>32.5</v>
      </c>
      <c r="R1029" s="93" t="s">
        <v>123</v>
      </c>
      <c r="S1029" s="93" t="s">
        <v>111</v>
      </c>
      <c r="T1029" s="93" t="s">
        <v>1659</v>
      </c>
      <c r="U1029" s="93" t="s">
        <v>116</v>
      </c>
      <c r="V1029" s="94">
        <v>44628.476388888892</v>
      </c>
      <c r="W1029" s="93" t="s">
        <v>1170</v>
      </c>
      <c r="X1029" s="93" t="s">
        <v>24</v>
      </c>
    </row>
    <row r="1030" spans="1:24" hidden="1" x14ac:dyDescent="0.15">
      <c r="A1030" s="93" t="s">
        <v>3019</v>
      </c>
      <c r="B1030" s="93" t="s">
        <v>3020</v>
      </c>
      <c r="C1030" s="410">
        <v>13230</v>
      </c>
      <c r="D1030" s="93" t="s">
        <v>9</v>
      </c>
      <c r="E1030" s="93" t="s">
        <v>9</v>
      </c>
      <c r="F1030" s="93" t="s">
        <v>1648</v>
      </c>
      <c r="G1030" s="93" t="s">
        <v>9117</v>
      </c>
      <c r="H1030" s="93" t="s">
        <v>1690</v>
      </c>
      <c r="I1030" s="93" t="s">
        <v>111</v>
      </c>
      <c r="J1030" s="93" t="s">
        <v>1675</v>
      </c>
      <c r="K1030" s="93">
        <v>60</v>
      </c>
      <c r="L1030" s="93" t="s">
        <v>111</v>
      </c>
      <c r="M1030" s="93">
        <v>5</v>
      </c>
      <c r="N1030" s="93" t="s">
        <v>113</v>
      </c>
      <c r="O1030" s="93">
        <v>16</v>
      </c>
      <c r="P1030" s="93">
        <v>35</v>
      </c>
      <c r="Q1030" s="93">
        <v>44</v>
      </c>
      <c r="R1030" s="93" t="s">
        <v>123</v>
      </c>
      <c r="S1030" s="93" t="s">
        <v>659</v>
      </c>
      <c r="T1030" s="93" t="s">
        <v>1659</v>
      </c>
      <c r="U1030" s="93" t="s">
        <v>116</v>
      </c>
      <c r="V1030" s="94">
        <v>44628.554861111108</v>
      </c>
      <c r="W1030" s="93" t="s">
        <v>1555</v>
      </c>
      <c r="X1030" s="93" t="s">
        <v>24</v>
      </c>
    </row>
    <row r="1031" spans="1:24" hidden="1" x14ac:dyDescent="0.15">
      <c r="A1031" s="93" t="s">
        <v>3021</v>
      </c>
      <c r="B1031" s="93" t="s">
        <v>3022</v>
      </c>
      <c r="C1031" s="410">
        <v>4919.25</v>
      </c>
      <c r="D1031" s="93" t="s">
        <v>9</v>
      </c>
      <c r="E1031" s="93" t="s">
        <v>9</v>
      </c>
      <c r="F1031" s="93" t="s">
        <v>1648</v>
      </c>
      <c r="G1031" s="93" t="s">
        <v>9117</v>
      </c>
      <c r="H1031" s="93" t="s">
        <v>1690</v>
      </c>
      <c r="I1031" s="93" t="s">
        <v>111</v>
      </c>
      <c r="J1031" s="93" t="s">
        <v>1675</v>
      </c>
      <c r="K1031" s="93">
        <v>60</v>
      </c>
      <c r="L1031" s="93" t="s">
        <v>111</v>
      </c>
      <c r="M1031" s="93">
        <v>5</v>
      </c>
      <c r="N1031" s="93" t="s">
        <v>113</v>
      </c>
      <c r="O1031" s="93">
        <v>16</v>
      </c>
      <c r="P1031" s="93">
        <v>35</v>
      </c>
      <c r="Q1031" s="93">
        <v>44</v>
      </c>
      <c r="R1031" s="93" t="s">
        <v>123</v>
      </c>
      <c r="S1031" s="93" t="s">
        <v>659</v>
      </c>
      <c r="T1031" s="93" t="s">
        <v>1659</v>
      </c>
      <c r="U1031" s="93" t="s">
        <v>116</v>
      </c>
      <c r="V1031" s="94">
        <v>44628.489583333336</v>
      </c>
      <c r="W1031" s="93" t="s">
        <v>1555</v>
      </c>
      <c r="X1031" s="93" t="s">
        <v>24</v>
      </c>
    </row>
    <row r="1032" spans="1:24" hidden="1" x14ac:dyDescent="0.15">
      <c r="A1032" s="93" t="s">
        <v>9189</v>
      </c>
      <c r="B1032" s="93" t="s">
        <v>9190</v>
      </c>
      <c r="C1032" s="410">
        <v>3465</v>
      </c>
      <c r="D1032" s="93" t="s">
        <v>9</v>
      </c>
      <c r="E1032" s="93" t="s">
        <v>9</v>
      </c>
      <c r="F1032" s="93" t="s">
        <v>1648</v>
      </c>
      <c r="G1032" s="93" t="s">
        <v>9117</v>
      </c>
      <c r="H1032" s="93" t="s">
        <v>1943</v>
      </c>
      <c r="I1032" s="93" t="s">
        <v>9191</v>
      </c>
      <c r="J1032" s="93" t="s">
        <v>1675</v>
      </c>
      <c r="K1032" s="93">
        <v>60</v>
      </c>
      <c r="L1032" s="93" t="s">
        <v>111</v>
      </c>
      <c r="M1032" s="93" t="s">
        <v>111</v>
      </c>
      <c r="N1032" s="93" t="s">
        <v>111</v>
      </c>
      <c r="O1032" s="93" t="s">
        <v>111</v>
      </c>
      <c r="P1032" s="93" t="s">
        <v>111</v>
      </c>
      <c r="Q1032" s="93" t="s">
        <v>111</v>
      </c>
      <c r="R1032" s="93" t="s">
        <v>117</v>
      </c>
      <c r="S1032" s="93" t="s">
        <v>659</v>
      </c>
      <c r="T1032" s="93" t="s">
        <v>115</v>
      </c>
      <c r="U1032" s="93" t="s">
        <v>116</v>
      </c>
      <c r="V1032" s="94">
        <v>44628.628472222219</v>
      </c>
      <c r="W1032" s="93" t="s">
        <v>1170</v>
      </c>
      <c r="X1032" s="93" t="s">
        <v>24</v>
      </c>
    </row>
    <row r="1033" spans="1:24" hidden="1" x14ac:dyDescent="0.15">
      <c r="A1033" s="93" t="s">
        <v>9192</v>
      </c>
      <c r="B1033" s="93" t="s">
        <v>9193</v>
      </c>
      <c r="C1033" s="410">
        <v>3465</v>
      </c>
      <c r="D1033" s="93" t="s">
        <v>9</v>
      </c>
      <c r="E1033" s="93" t="s">
        <v>9</v>
      </c>
      <c r="F1033" s="93" t="s">
        <v>1648</v>
      </c>
      <c r="G1033" s="93" t="s">
        <v>9117</v>
      </c>
      <c r="H1033" s="93" t="s">
        <v>1943</v>
      </c>
      <c r="I1033" s="93" t="s">
        <v>9191</v>
      </c>
      <c r="J1033" s="93" t="s">
        <v>1675</v>
      </c>
      <c r="K1033" s="93">
        <v>60</v>
      </c>
      <c r="L1033" s="93" t="s">
        <v>111</v>
      </c>
      <c r="M1033" s="93" t="s">
        <v>111</v>
      </c>
      <c r="N1033" s="93" t="s">
        <v>111</v>
      </c>
      <c r="O1033" s="93" t="s">
        <v>111</v>
      </c>
      <c r="P1033" s="93" t="s">
        <v>111</v>
      </c>
      <c r="Q1033" s="93" t="s">
        <v>111</v>
      </c>
      <c r="R1033" s="93" t="s">
        <v>117</v>
      </c>
      <c r="S1033" s="93" t="s">
        <v>2</v>
      </c>
      <c r="T1033" s="93" t="s">
        <v>115</v>
      </c>
      <c r="U1033" s="93" t="s">
        <v>116</v>
      </c>
      <c r="V1033" s="94">
        <v>44628.628472222219</v>
      </c>
      <c r="W1033" s="93" t="s">
        <v>1170</v>
      </c>
      <c r="X1033" s="93" t="s">
        <v>24</v>
      </c>
    </row>
    <row r="1034" spans="1:24" hidden="1" x14ac:dyDescent="0.15">
      <c r="A1034" s="93" t="s">
        <v>9194</v>
      </c>
      <c r="B1034" s="93" t="s">
        <v>9195</v>
      </c>
      <c r="C1034" s="410">
        <v>3465</v>
      </c>
      <c r="D1034" s="93" t="s">
        <v>9</v>
      </c>
      <c r="E1034" s="93" t="s">
        <v>9</v>
      </c>
      <c r="F1034" s="93" t="s">
        <v>1648</v>
      </c>
      <c r="G1034" s="93" t="s">
        <v>9117</v>
      </c>
      <c r="H1034" s="93" t="s">
        <v>1943</v>
      </c>
      <c r="I1034" s="93" t="s">
        <v>9191</v>
      </c>
      <c r="J1034" s="93" t="s">
        <v>1675</v>
      </c>
      <c r="K1034" s="93">
        <v>60</v>
      </c>
      <c r="L1034" s="93" t="s">
        <v>111</v>
      </c>
      <c r="M1034" s="93" t="s">
        <v>111</v>
      </c>
      <c r="N1034" s="93" t="s">
        <v>111</v>
      </c>
      <c r="O1034" s="93" t="s">
        <v>111</v>
      </c>
      <c r="P1034" s="93" t="s">
        <v>111</v>
      </c>
      <c r="Q1034" s="93" t="s">
        <v>111</v>
      </c>
      <c r="R1034" s="93" t="s">
        <v>117</v>
      </c>
      <c r="S1034" s="93" t="s">
        <v>659</v>
      </c>
      <c r="T1034" s="93" t="s">
        <v>115</v>
      </c>
      <c r="U1034" s="93" t="s">
        <v>116</v>
      </c>
      <c r="V1034" s="94">
        <v>44628.59375</v>
      </c>
      <c r="W1034" s="93" t="s">
        <v>1170</v>
      </c>
      <c r="X1034" s="93" t="s">
        <v>24</v>
      </c>
    </row>
    <row r="1035" spans="1:24" hidden="1" x14ac:dyDescent="0.15">
      <c r="A1035" s="93" t="s">
        <v>9196</v>
      </c>
      <c r="B1035" s="93" t="s">
        <v>9197</v>
      </c>
      <c r="C1035" s="410">
        <v>3465</v>
      </c>
      <c r="D1035" s="93" t="s">
        <v>9</v>
      </c>
      <c r="E1035" s="93" t="s">
        <v>9</v>
      </c>
      <c r="F1035" s="93" t="s">
        <v>1648</v>
      </c>
      <c r="G1035" s="93" t="s">
        <v>9117</v>
      </c>
      <c r="H1035" s="93" t="s">
        <v>1943</v>
      </c>
      <c r="I1035" s="93" t="s">
        <v>9191</v>
      </c>
      <c r="J1035" s="93" t="s">
        <v>1675</v>
      </c>
      <c r="K1035" s="93">
        <v>60</v>
      </c>
      <c r="L1035" s="93" t="s">
        <v>111</v>
      </c>
      <c r="M1035" s="93" t="s">
        <v>111</v>
      </c>
      <c r="N1035" s="93" t="s">
        <v>111</v>
      </c>
      <c r="O1035" s="93" t="s">
        <v>111</v>
      </c>
      <c r="P1035" s="93" t="s">
        <v>111</v>
      </c>
      <c r="Q1035" s="93" t="s">
        <v>111</v>
      </c>
      <c r="R1035" s="93" t="s">
        <v>117</v>
      </c>
      <c r="S1035" s="93" t="s">
        <v>659</v>
      </c>
      <c r="T1035" s="93" t="s">
        <v>115</v>
      </c>
      <c r="U1035" s="93" t="s">
        <v>116</v>
      </c>
      <c r="V1035" s="94">
        <v>44628.550694444442</v>
      </c>
      <c r="W1035" s="93" t="s">
        <v>1170</v>
      </c>
      <c r="X1035" s="93" t="s">
        <v>24</v>
      </c>
    </row>
    <row r="1036" spans="1:24" hidden="1" x14ac:dyDescent="0.15">
      <c r="A1036" s="93" t="s">
        <v>9198</v>
      </c>
      <c r="B1036" s="93" t="s">
        <v>9199</v>
      </c>
      <c r="C1036" s="410">
        <v>3465</v>
      </c>
      <c r="D1036" s="93" t="s">
        <v>9</v>
      </c>
      <c r="E1036" s="93" t="s">
        <v>9</v>
      </c>
      <c r="F1036" s="93" t="s">
        <v>1648</v>
      </c>
      <c r="G1036" s="93" t="s">
        <v>9117</v>
      </c>
      <c r="H1036" s="93" t="s">
        <v>1943</v>
      </c>
      <c r="I1036" s="93" t="s">
        <v>9191</v>
      </c>
      <c r="J1036" s="93" t="s">
        <v>1675</v>
      </c>
      <c r="K1036" s="93">
        <v>60</v>
      </c>
      <c r="L1036" s="93" t="s">
        <v>111</v>
      </c>
      <c r="M1036" s="93" t="s">
        <v>111</v>
      </c>
      <c r="N1036" s="93" t="s">
        <v>111</v>
      </c>
      <c r="O1036" s="93" t="s">
        <v>111</v>
      </c>
      <c r="P1036" s="93" t="s">
        <v>111</v>
      </c>
      <c r="Q1036" s="93" t="s">
        <v>111</v>
      </c>
      <c r="R1036" s="93" t="s">
        <v>117</v>
      </c>
      <c r="S1036" s="93" t="s">
        <v>2</v>
      </c>
      <c r="T1036" s="93" t="s">
        <v>115</v>
      </c>
      <c r="U1036" s="93" t="s">
        <v>116</v>
      </c>
      <c r="V1036" s="94">
        <v>44628.52847222222</v>
      </c>
      <c r="W1036" s="93" t="s">
        <v>1170</v>
      </c>
      <c r="X1036" s="93" t="s">
        <v>24</v>
      </c>
    </row>
    <row r="1037" spans="1:24" hidden="1" x14ac:dyDescent="0.15">
      <c r="A1037" s="93" t="s">
        <v>9200</v>
      </c>
      <c r="B1037" s="93" t="s">
        <v>9201</v>
      </c>
      <c r="C1037" s="410">
        <v>3465</v>
      </c>
      <c r="D1037" s="93" t="s">
        <v>9</v>
      </c>
      <c r="E1037" s="93" t="s">
        <v>9</v>
      </c>
      <c r="F1037" s="93" t="s">
        <v>1648</v>
      </c>
      <c r="G1037" s="93" t="s">
        <v>9117</v>
      </c>
      <c r="H1037" s="93" t="s">
        <v>1943</v>
      </c>
      <c r="I1037" s="93" t="s">
        <v>9191</v>
      </c>
      <c r="J1037" s="93" t="s">
        <v>1675</v>
      </c>
      <c r="K1037" s="93">
        <v>60</v>
      </c>
      <c r="L1037" s="93" t="s">
        <v>111</v>
      </c>
      <c r="M1037" s="93" t="s">
        <v>111</v>
      </c>
      <c r="N1037" s="93" t="s">
        <v>111</v>
      </c>
      <c r="O1037" s="93" t="s">
        <v>111</v>
      </c>
      <c r="P1037" s="93" t="s">
        <v>111</v>
      </c>
      <c r="Q1037" s="93" t="s">
        <v>111</v>
      </c>
      <c r="R1037" s="93" t="s">
        <v>117</v>
      </c>
      <c r="S1037" s="93" t="s">
        <v>659</v>
      </c>
      <c r="T1037" s="93" t="s">
        <v>115</v>
      </c>
      <c r="U1037" s="93" t="s">
        <v>116</v>
      </c>
      <c r="V1037" s="94">
        <v>44628.463888888888</v>
      </c>
      <c r="W1037" s="93" t="s">
        <v>1170</v>
      </c>
      <c r="X1037" s="93" t="s">
        <v>24</v>
      </c>
    </row>
    <row r="1038" spans="1:24" hidden="1" x14ac:dyDescent="0.15">
      <c r="A1038" s="93" t="s">
        <v>3023</v>
      </c>
      <c r="B1038" s="93" t="s">
        <v>3024</v>
      </c>
      <c r="C1038" s="410">
        <v>3675</v>
      </c>
      <c r="D1038" s="93" t="s">
        <v>9</v>
      </c>
      <c r="E1038" s="93" t="s">
        <v>9</v>
      </c>
      <c r="F1038" s="93" t="s">
        <v>1648</v>
      </c>
      <c r="G1038" s="93" t="s">
        <v>9117</v>
      </c>
      <c r="H1038" s="93" t="s">
        <v>1690</v>
      </c>
      <c r="I1038" s="93" t="s">
        <v>111</v>
      </c>
      <c r="J1038" s="93" t="s">
        <v>2013</v>
      </c>
      <c r="K1038" s="93">
        <v>50</v>
      </c>
      <c r="L1038" s="93" t="s">
        <v>111</v>
      </c>
      <c r="M1038" s="93">
        <v>5.35</v>
      </c>
      <c r="N1038" s="93" t="s">
        <v>113</v>
      </c>
      <c r="O1038" s="93">
        <v>18.5</v>
      </c>
      <c r="P1038" s="93">
        <v>29.5</v>
      </c>
      <c r="Q1038" s="93">
        <v>37.5</v>
      </c>
      <c r="R1038" s="93" t="s">
        <v>123</v>
      </c>
      <c r="S1038" s="93" t="s">
        <v>659</v>
      </c>
      <c r="T1038" s="93" t="s">
        <v>1659</v>
      </c>
      <c r="U1038" s="93" t="s">
        <v>116</v>
      </c>
      <c r="V1038" s="94">
        <v>44628.519444444442</v>
      </c>
      <c r="W1038" s="93" t="s">
        <v>1170</v>
      </c>
      <c r="X1038" s="93" t="s">
        <v>24</v>
      </c>
    </row>
    <row r="1039" spans="1:24" hidden="1" x14ac:dyDescent="0.15">
      <c r="A1039" s="93" t="s">
        <v>3025</v>
      </c>
      <c r="B1039" s="93" t="s">
        <v>3026</v>
      </c>
      <c r="C1039" s="410">
        <v>3675</v>
      </c>
      <c r="D1039" s="93" t="s">
        <v>9</v>
      </c>
      <c r="E1039" s="93" t="s">
        <v>9</v>
      </c>
      <c r="F1039" s="93" t="s">
        <v>1648</v>
      </c>
      <c r="G1039" s="93" t="s">
        <v>9117</v>
      </c>
      <c r="H1039" s="93" t="s">
        <v>1690</v>
      </c>
      <c r="I1039" s="93" t="s">
        <v>111</v>
      </c>
      <c r="J1039" s="93" t="s">
        <v>2013</v>
      </c>
      <c r="K1039" s="93">
        <v>50</v>
      </c>
      <c r="L1039" s="93" t="s">
        <v>111</v>
      </c>
      <c r="M1039" s="93">
        <v>5.35</v>
      </c>
      <c r="N1039" s="93" t="s">
        <v>113</v>
      </c>
      <c r="O1039" s="93">
        <v>18.5</v>
      </c>
      <c r="P1039" s="93">
        <v>29.5</v>
      </c>
      <c r="Q1039" s="93">
        <v>37.5</v>
      </c>
      <c r="R1039" s="93" t="s">
        <v>123</v>
      </c>
      <c r="S1039" s="93" t="s">
        <v>659</v>
      </c>
      <c r="T1039" s="93" t="s">
        <v>1659</v>
      </c>
      <c r="U1039" s="93" t="s">
        <v>116</v>
      </c>
      <c r="V1039" s="94">
        <v>44628.584722222222</v>
      </c>
      <c r="W1039" s="93" t="s">
        <v>1170</v>
      </c>
      <c r="X1039" s="93" t="s">
        <v>24</v>
      </c>
    </row>
    <row r="1040" spans="1:24" hidden="1" x14ac:dyDescent="0.15">
      <c r="A1040" s="93" t="s">
        <v>3027</v>
      </c>
      <c r="B1040" s="93" t="s">
        <v>3028</v>
      </c>
      <c r="C1040" s="410">
        <v>3675</v>
      </c>
      <c r="D1040" s="93" t="s">
        <v>9</v>
      </c>
      <c r="E1040" s="93" t="s">
        <v>9</v>
      </c>
      <c r="F1040" s="93" t="s">
        <v>1648</v>
      </c>
      <c r="G1040" s="93" t="s">
        <v>9117</v>
      </c>
      <c r="H1040" s="93" t="s">
        <v>1690</v>
      </c>
      <c r="I1040" s="93" t="s">
        <v>111</v>
      </c>
      <c r="J1040" s="93" t="s">
        <v>2013</v>
      </c>
      <c r="K1040" s="93">
        <v>50</v>
      </c>
      <c r="L1040" s="93" t="s">
        <v>111</v>
      </c>
      <c r="M1040" s="93">
        <v>5.35</v>
      </c>
      <c r="N1040" s="93" t="s">
        <v>113</v>
      </c>
      <c r="O1040" s="93">
        <v>18.5</v>
      </c>
      <c r="P1040" s="93">
        <v>29.5</v>
      </c>
      <c r="Q1040" s="93">
        <v>37.5</v>
      </c>
      <c r="R1040" s="93" t="s">
        <v>123</v>
      </c>
      <c r="S1040" s="93" t="s">
        <v>659</v>
      </c>
      <c r="T1040" s="93" t="s">
        <v>1659</v>
      </c>
      <c r="U1040" s="93" t="s">
        <v>116</v>
      </c>
      <c r="V1040" s="94">
        <v>44628.476388888892</v>
      </c>
      <c r="W1040" s="93" t="s">
        <v>1170</v>
      </c>
      <c r="X1040" s="93" t="s">
        <v>24</v>
      </c>
    </row>
    <row r="1041" spans="1:24" hidden="1" x14ac:dyDescent="0.15">
      <c r="A1041" s="93" t="s">
        <v>3029</v>
      </c>
      <c r="B1041" s="93" t="s">
        <v>3030</v>
      </c>
      <c r="C1041" s="410">
        <v>3675</v>
      </c>
      <c r="D1041" s="93" t="s">
        <v>9</v>
      </c>
      <c r="E1041" s="93" t="s">
        <v>9</v>
      </c>
      <c r="F1041" s="93" t="s">
        <v>1648</v>
      </c>
      <c r="G1041" s="93" t="s">
        <v>9117</v>
      </c>
      <c r="H1041" s="93" t="s">
        <v>1690</v>
      </c>
      <c r="I1041" s="93" t="s">
        <v>111</v>
      </c>
      <c r="J1041" s="93" t="s">
        <v>2013</v>
      </c>
      <c r="K1041" s="93">
        <v>50</v>
      </c>
      <c r="L1041" s="93" t="s">
        <v>111</v>
      </c>
      <c r="M1041" s="93">
        <v>5.35</v>
      </c>
      <c r="N1041" s="93" t="s">
        <v>113</v>
      </c>
      <c r="O1041" s="93">
        <v>18.5</v>
      </c>
      <c r="P1041" s="93">
        <v>29.5</v>
      </c>
      <c r="Q1041" s="93">
        <v>37.5</v>
      </c>
      <c r="R1041" s="93" t="s">
        <v>123</v>
      </c>
      <c r="S1041" s="93" t="s">
        <v>659</v>
      </c>
      <c r="T1041" s="93" t="s">
        <v>1659</v>
      </c>
      <c r="U1041" s="93" t="s">
        <v>116</v>
      </c>
      <c r="V1041" s="94">
        <v>44628.476388888892</v>
      </c>
      <c r="W1041" s="93" t="s">
        <v>1170</v>
      </c>
      <c r="X1041" s="93" t="s">
        <v>24</v>
      </c>
    </row>
    <row r="1042" spans="1:24" hidden="1" x14ac:dyDescent="0.15">
      <c r="A1042" s="93" t="s">
        <v>3031</v>
      </c>
      <c r="B1042" s="93" t="s">
        <v>3032</v>
      </c>
      <c r="C1042" s="410">
        <v>3675</v>
      </c>
      <c r="D1042" s="93" t="s">
        <v>9</v>
      </c>
      <c r="E1042" s="93" t="s">
        <v>9</v>
      </c>
      <c r="F1042" s="93" t="s">
        <v>1648</v>
      </c>
      <c r="G1042" s="93" t="s">
        <v>9117</v>
      </c>
      <c r="H1042" s="93" t="s">
        <v>1690</v>
      </c>
      <c r="I1042" s="93" t="s">
        <v>111</v>
      </c>
      <c r="J1042" s="93" t="s">
        <v>2013</v>
      </c>
      <c r="K1042" s="93">
        <v>50</v>
      </c>
      <c r="L1042" s="93" t="s">
        <v>111</v>
      </c>
      <c r="M1042" s="93">
        <v>5.35</v>
      </c>
      <c r="N1042" s="93" t="s">
        <v>113</v>
      </c>
      <c r="O1042" s="93">
        <v>18.5</v>
      </c>
      <c r="P1042" s="93">
        <v>29.5</v>
      </c>
      <c r="Q1042" s="93">
        <v>37.5</v>
      </c>
      <c r="R1042" s="93" t="s">
        <v>123</v>
      </c>
      <c r="S1042" s="93" t="s">
        <v>659</v>
      </c>
      <c r="T1042" s="93" t="s">
        <v>1659</v>
      </c>
      <c r="U1042" s="93" t="s">
        <v>116</v>
      </c>
      <c r="V1042" s="94">
        <v>44628.541666666664</v>
      </c>
      <c r="W1042" s="93" t="s">
        <v>1170</v>
      </c>
      <c r="X1042" s="93" t="s">
        <v>24</v>
      </c>
    </row>
    <row r="1043" spans="1:24" hidden="1" x14ac:dyDescent="0.15">
      <c r="A1043" s="93" t="s">
        <v>3033</v>
      </c>
      <c r="B1043" s="93" t="s">
        <v>3034</v>
      </c>
      <c r="C1043" s="410">
        <v>3675</v>
      </c>
      <c r="D1043" s="93" t="s">
        <v>9</v>
      </c>
      <c r="E1043" s="93" t="s">
        <v>9</v>
      </c>
      <c r="F1043" s="93" t="s">
        <v>1648</v>
      </c>
      <c r="G1043" s="93" t="s">
        <v>9117</v>
      </c>
      <c r="H1043" s="93" t="s">
        <v>1690</v>
      </c>
      <c r="I1043" s="93" t="s">
        <v>111</v>
      </c>
      <c r="J1043" s="93" t="s">
        <v>2013</v>
      </c>
      <c r="K1043" s="93">
        <v>50</v>
      </c>
      <c r="L1043" s="93" t="s">
        <v>111</v>
      </c>
      <c r="M1043" s="93">
        <v>5.35</v>
      </c>
      <c r="N1043" s="93" t="s">
        <v>113</v>
      </c>
      <c r="O1043" s="93">
        <v>18.5</v>
      </c>
      <c r="P1043" s="93">
        <v>29.5</v>
      </c>
      <c r="Q1043" s="93">
        <v>37.5</v>
      </c>
      <c r="R1043" s="93" t="s">
        <v>123</v>
      </c>
      <c r="S1043" s="93" t="s">
        <v>659</v>
      </c>
      <c r="T1043" s="93" t="s">
        <v>1659</v>
      </c>
      <c r="U1043" s="93" t="s">
        <v>116</v>
      </c>
      <c r="V1043" s="94">
        <v>44628.64166666667</v>
      </c>
      <c r="W1043" s="93" t="s">
        <v>1170</v>
      </c>
      <c r="X1043" s="93" t="s">
        <v>24</v>
      </c>
    </row>
    <row r="1044" spans="1:24" hidden="1" x14ac:dyDescent="0.15">
      <c r="A1044" s="93" t="s">
        <v>3035</v>
      </c>
      <c r="B1044" s="93" t="s">
        <v>3036</v>
      </c>
      <c r="C1044" s="410">
        <v>4620</v>
      </c>
      <c r="D1044" s="93" t="s">
        <v>9</v>
      </c>
      <c r="E1044" s="93" t="s">
        <v>9</v>
      </c>
      <c r="F1044" s="93" t="s">
        <v>1648</v>
      </c>
      <c r="G1044" s="93" t="s">
        <v>9117</v>
      </c>
      <c r="H1044" s="93" t="s">
        <v>1690</v>
      </c>
      <c r="I1044" s="93" t="s">
        <v>111</v>
      </c>
      <c r="J1044" s="93" t="s">
        <v>2086</v>
      </c>
      <c r="K1044" s="93">
        <v>50</v>
      </c>
      <c r="L1044" s="93" t="s">
        <v>111</v>
      </c>
      <c r="M1044" s="93">
        <v>6.1</v>
      </c>
      <c r="N1044" s="93" t="s">
        <v>113</v>
      </c>
      <c r="O1044" s="93">
        <v>18.5</v>
      </c>
      <c r="P1044" s="93">
        <v>29.5</v>
      </c>
      <c r="Q1044" s="93">
        <v>37.5</v>
      </c>
      <c r="R1044" s="93" t="s">
        <v>123</v>
      </c>
      <c r="S1044" s="93" t="s">
        <v>659</v>
      </c>
      <c r="T1044" s="93" t="s">
        <v>1659</v>
      </c>
      <c r="U1044" s="93" t="s">
        <v>116</v>
      </c>
      <c r="V1044" s="94">
        <v>44628.5625</v>
      </c>
      <c r="W1044" s="93" t="s">
        <v>1170</v>
      </c>
      <c r="X1044" s="93" t="s">
        <v>24</v>
      </c>
    </row>
    <row r="1045" spans="1:24" hidden="1" x14ac:dyDescent="0.15">
      <c r="A1045" s="93" t="s">
        <v>3037</v>
      </c>
      <c r="B1045" s="93" t="s">
        <v>3038</v>
      </c>
      <c r="C1045" s="410">
        <v>4620</v>
      </c>
      <c r="D1045" s="93" t="s">
        <v>9</v>
      </c>
      <c r="E1045" s="93" t="s">
        <v>9</v>
      </c>
      <c r="F1045" s="93" t="s">
        <v>1648</v>
      </c>
      <c r="G1045" s="93" t="s">
        <v>9117</v>
      </c>
      <c r="H1045" s="93" t="s">
        <v>1690</v>
      </c>
      <c r="I1045" s="93" t="s">
        <v>111</v>
      </c>
      <c r="J1045" s="93" t="s">
        <v>2086</v>
      </c>
      <c r="K1045" s="93">
        <v>50</v>
      </c>
      <c r="L1045" s="93" t="s">
        <v>111</v>
      </c>
      <c r="M1045" s="93">
        <v>6.1</v>
      </c>
      <c r="N1045" s="93" t="s">
        <v>113</v>
      </c>
      <c r="O1045" s="93">
        <v>18.5</v>
      </c>
      <c r="P1045" s="93">
        <v>29.5</v>
      </c>
      <c r="Q1045" s="93">
        <v>37.5</v>
      </c>
      <c r="R1045" s="93" t="s">
        <v>123</v>
      </c>
      <c r="S1045" s="93" t="s">
        <v>659</v>
      </c>
      <c r="T1045" s="93" t="s">
        <v>1659</v>
      </c>
      <c r="U1045" s="93" t="s">
        <v>116</v>
      </c>
      <c r="V1045" s="94">
        <v>44628.541666666664</v>
      </c>
      <c r="W1045" s="93" t="s">
        <v>1170</v>
      </c>
      <c r="X1045" s="93" t="s">
        <v>24</v>
      </c>
    </row>
    <row r="1046" spans="1:24" hidden="1" x14ac:dyDescent="0.15">
      <c r="A1046" s="93" t="s">
        <v>3039</v>
      </c>
      <c r="B1046" s="93" t="s">
        <v>3040</v>
      </c>
      <c r="C1046" s="410">
        <v>4620</v>
      </c>
      <c r="D1046" s="93" t="s">
        <v>9</v>
      </c>
      <c r="E1046" s="93" t="s">
        <v>9</v>
      </c>
      <c r="F1046" s="93" t="s">
        <v>1648</v>
      </c>
      <c r="G1046" s="93" t="s">
        <v>9117</v>
      </c>
      <c r="H1046" s="93" t="s">
        <v>1690</v>
      </c>
      <c r="I1046" s="93" t="s">
        <v>111</v>
      </c>
      <c r="J1046" s="93" t="s">
        <v>2086</v>
      </c>
      <c r="K1046" s="93">
        <v>50</v>
      </c>
      <c r="L1046" s="93" t="s">
        <v>111</v>
      </c>
      <c r="M1046" s="93">
        <v>6.1</v>
      </c>
      <c r="N1046" s="93" t="s">
        <v>113</v>
      </c>
      <c r="O1046" s="93">
        <v>18.5</v>
      </c>
      <c r="P1046" s="93">
        <v>29.5</v>
      </c>
      <c r="Q1046" s="93">
        <v>37.5</v>
      </c>
      <c r="R1046" s="93" t="s">
        <v>123</v>
      </c>
      <c r="S1046" s="93" t="s">
        <v>659</v>
      </c>
      <c r="T1046" s="93" t="s">
        <v>1659</v>
      </c>
      <c r="U1046" s="93" t="s">
        <v>116</v>
      </c>
      <c r="V1046" s="94">
        <v>44628.541666666664</v>
      </c>
      <c r="W1046" s="93" t="s">
        <v>1170</v>
      </c>
      <c r="X1046" s="93" t="s">
        <v>24</v>
      </c>
    </row>
    <row r="1047" spans="1:24" hidden="1" x14ac:dyDescent="0.15">
      <c r="A1047" s="93" t="s">
        <v>3041</v>
      </c>
      <c r="B1047" s="93" t="s">
        <v>3042</v>
      </c>
      <c r="C1047" s="410">
        <v>4620</v>
      </c>
      <c r="D1047" s="93" t="s">
        <v>9</v>
      </c>
      <c r="E1047" s="93" t="s">
        <v>9</v>
      </c>
      <c r="F1047" s="93" t="s">
        <v>1648</v>
      </c>
      <c r="G1047" s="93" t="s">
        <v>9117</v>
      </c>
      <c r="H1047" s="93" t="s">
        <v>1690</v>
      </c>
      <c r="I1047" s="93" t="s">
        <v>111</v>
      </c>
      <c r="J1047" s="93" t="s">
        <v>2086</v>
      </c>
      <c r="K1047" s="93">
        <v>50</v>
      </c>
      <c r="L1047" s="93" t="s">
        <v>111</v>
      </c>
      <c r="M1047" s="93">
        <v>6.1</v>
      </c>
      <c r="N1047" s="93" t="s">
        <v>113</v>
      </c>
      <c r="O1047" s="93">
        <v>18.5</v>
      </c>
      <c r="P1047" s="93">
        <v>29.5</v>
      </c>
      <c r="Q1047" s="93">
        <v>37.5</v>
      </c>
      <c r="R1047" s="93" t="s">
        <v>123</v>
      </c>
      <c r="S1047" s="93" t="s">
        <v>659</v>
      </c>
      <c r="T1047" s="93" t="s">
        <v>1659</v>
      </c>
      <c r="U1047" s="93" t="s">
        <v>116</v>
      </c>
      <c r="V1047" s="94">
        <v>44628.49722222222</v>
      </c>
      <c r="W1047" s="93" t="s">
        <v>1170</v>
      </c>
      <c r="X1047" s="93" t="s">
        <v>24</v>
      </c>
    </row>
    <row r="1048" spans="1:24" hidden="1" x14ac:dyDescent="0.15">
      <c r="A1048" s="93" t="s">
        <v>3043</v>
      </c>
      <c r="B1048" s="93" t="s">
        <v>3044</v>
      </c>
      <c r="C1048" s="410">
        <v>4620</v>
      </c>
      <c r="D1048" s="93" t="s">
        <v>9</v>
      </c>
      <c r="E1048" s="93" t="s">
        <v>9</v>
      </c>
      <c r="F1048" s="93" t="s">
        <v>1648</v>
      </c>
      <c r="G1048" s="93" t="s">
        <v>9117</v>
      </c>
      <c r="H1048" s="93" t="s">
        <v>1690</v>
      </c>
      <c r="I1048" s="93" t="s">
        <v>111</v>
      </c>
      <c r="J1048" s="93" t="s">
        <v>2086</v>
      </c>
      <c r="K1048" s="93">
        <v>50</v>
      </c>
      <c r="L1048" s="93" t="s">
        <v>111</v>
      </c>
      <c r="M1048" s="93">
        <v>6.1</v>
      </c>
      <c r="N1048" s="93" t="s">
        <v>113</v>
      </c>
      <c r="O1048" s="93">
        <v>18.5</v>
      </c>
      <c r="P1048" s="93">
        <v>29.5</v>
      </c>
      <c r="Q1048" s="93">
        <v>37.5</v>
      </c>
      <c r="R1048" s="93" t="s">
        <v>123</v>
      </c>
      <c r="S1048" s="93" t="s">
        <v>659</v>
      </c>
      <c r="T1048" s="93" t="s">
        <v>1659</v>
      </c>
      <c r="U1048" s="93" t="s">
        <v>116</v>
      </c>
      <c r="V1048" s="94">
        <v>44628.606249999997</v>
      </c>
      <c r="W1048" s="93" t="s">
        <v>1170</v>
      </c>
      <c r="X1048" s="93" t="s">
        <v>24</v>
      </c>
    </row>
    <row r="1049" spans="1:24" hidden="1" x14ac:dyDescent="0.15">
      <c r="A1049" s="93" t="s">
        <v>3045</v>
      </c>
      <c r="B1049" s="93" t="s">
        <v>3046</v>
      </c>
      <c r="C1049" s="410">
        <v>4620</v>
      </c>
      <c r="D1049" s="93" t="s">
        <v>9</v>
      </c>
      <c r="E1049" s="93" t="s">
        <v>9</v>
      </c>
      <c r="F1049" s="93" t="s">
        <v>1648</v>
      </c>
      <c r="G1049" s="93" t="s">
        <v>9117</v>
      </c>
      <c r="H1049" s="93" t="s">
        <v>1690</v>
      </c>
      <c r="I1049" s="93" t="s">
        <v>111</v>
      </c>
      <c r="J1049" s="93" t="s">
        <v>2086</v>
      </c>
      <c r="K1049" s="93">
        <v>50</v>
      </c>
      <c r="L1049" s="93" t="s">
        <v>111</v>
      </c>
      <c r="M1049" s="93">
        <v>6.1</v>
      </c>
      <c r="N1049" s="93" t="s">
        <v>113</v>
      </c>
      <c r="O1049" s="93">
        <v>18.5</v>
      </c>
      <c r="P1049" s="93">
        <v>29.5</v>
      </c>
      <c r="Q1049" s="93">
        <v>37.5</v>
      </c>
      <c r="R1049" s="93" t="s">
        <v>123</v>
      </c>
      <c r="S1049" s="93" t="s">
        <v>659</v>
      </c>
      <c r="T1049" s="93" t="s">
        <v>1659</v>
      </c>
      <c r="U1049" s="93" t="s">
        <v>116</v>
      </c>
      <c r="V1049" s="94">
        <v>44628.541666666664</v>
      </c>
      <c r="W1049" s="93" t="s">
        <v>1170</v>
      </c>
      <c r="X1049" s="93" t="s">
        <v>24</v>
      </c>
    </row>
    <row r="1050" spans="1:24" hidden="1" x14ac:dyDescent="0.15">
      <c r="A1050" s="93" t="s">
        <v>3047</v>
      </c>
      <c r="B1050" s="93" t="s">
        <v>3048</v>
      </c>
      <c r="C1050" s="410">
        <v>3675</v>
      </c>
      <c r="D1050" s="93" t="s">
        <v>9</v>
      </c>
      <c r="E1050" s="93" t="s">
        <v>9</v>
      </c>
      <c r="F1050" s="93" t="s">
        <v>1648</v>
      </c>
      <c r="G1050" s="93" t="s">
        <v>9117</v>
      </c>
      <c r="H1050" s="93" t="s">
        <v>1690</v>
      </c>
      <c r="I1050" s="93" t="s">
        <v>111</v>
      </c>
      <c r="J1050" s="93" t="s">
        <v>2013</v>
      </c>
      <c r="K1050" s="93">
        <v>50</v>
      </c>
      <c r="L1050" s="93" t="s">
        <v>111</v>
      </c>
      <c r="M1050" s="93">
        <v>5.35</v>
      </c>
      <c r="N1050" s="93" t="s">
        <v>113</v>
      </c>
      <c r="O1050" s="93">
        <v>29.5</v>
      </c>
      <c r="P1050" s="93">
        <v>37.5</v>
      </c>
      <c r="Q1050" s="93">
        <v>18.5</v>
      </c>
      <c r="R1050" s="93" t="s">
        <v>123</v>
      </c>
      <c r="S1050" s="93" t="s">
        <v>659</v>
      </c>
      <c r="T1050" s="93" t="s">
        <v>1659</v>
      </c>
      <c r="U1050" s="93" t="s">
        <v>116</v>
      </c>
      <c r="V1050" s="94">
        <v>44628.493055555555</v>
      </c>
      <c r="W1050" s="93" t="s">
        <v>1170</v>
      </c>
      <c r="X1050" s="93" t="s">
        <v>24</v>
      </c>
    </row>
    <row r="1051" spans="1:24" hidden="1" x14ac:dyDescent="0.15">
      <c r="A1051" s="93" t="s">
        <v>3049</v>
      </c>
      <c r="B1051" s="93" t="s">
        <v>3050</v>
      </c>
      <c r="C1051" s="410">
        <v>3675</v>
      </c>
      <c r="D1051" s="93" t="s">
        <v>9</v>
      </c>
      <c r="E1051" s="93" t="s">
        <v>9</v>
      </c>
      <c r="F1051" s="93" t="s">
        <v>1648</v>
      </c>
      <c r="G1051" s="93" t="s">
        <v>9117</v>
      </c>
      <c r="H1051" s="93" t="s">
        <v>1690</v>
      </c>
      <c r="I1051" s="93" t="s">
        <v>111</v>
      </c>
      <c r="J1051" s="93" t="s">
        <v>2013</v>
      </c>
      <c r="K1051" s="93">
        <v>50</v>
      </c>
      <c r="L1051" s="93" t="s">
        <v>111</v>
      </c>
      <c r="M1051" s="93">
        <v>5.35</v>
      </c>
      <c r="N1051" s="93" t="s">
        <v>113</v>
      </c>
      <c r="O1051" s="93">
        <v>29.5</v>
      </c>
      <c r="P1051" s="93">
        <v>37.5</v>
      </c>
      <c r="Q1051" s="93">
        <v>18.5</v>
      </c>
      <c r="R1051" s="93" t="s">
        <v>123</v>
      </c>
      <c r="S1051" s="93" t="s">
        <v>659</v>
      </c>
      <c r="T1051" s="93" t="s">
        <v>1659</v>
      </c>
      <c r="U1051" s="93" t="s">
        <v>116</v>
      </c>
      <c r="V1051" s="94">
        <v>44628.472222222219</v>
      </c>
      <c r="W1051" s="93" t="s">
        <v>1170</v>
      </c>
      <c r="X1051" s="93" t="s">
        <v>24</v>
      </c>
    </row>
    <row r="1052" spans="1:24" hidden="1" x14ac:dyDescent="0.15">
      <c r="A1052" s="93" t="s">
        <v>3051</v>
      </c>
      <c r="B1052" s="93" t="s">
        <v>3052</v>
      </c>
      <c r="C1052" s="410">
        <v>5512.5</v>
      </c>
      <c r="D1052" s="93" t="s">
        <v>24</v>
      </c>
      <c r="E1052" s="93" t="s">
        <v>24</v>
      </c>
      <c r="F1052" s="93" t="s">
        <v>7070</v>
      </c>
      <c r="G1052" s="93" t="s">
        <v>8237</v>
      </c>
      <c r="H1052" s="93" t="s">
        <v>1198</v>
      </c>
      <c r="I1052" s="93" t="s">
        <v>111</v>
      </c>
      <c r="J1052" s="93" t="s">
        <v>1759</v>
      </c>
      <c r="K1052" s="93">
        <v>70</v>
      </c>
      <c r="L1052" s="93">
        <v>1</v>
      </c>
      <c r="M1052" s="93" t="s">
        <v>111</v>
      </c>
      <c r="N1052" s="93" t="s">
        <v>111</v>
      </c>
      <c r="O1052" s="93" t="s">
        <v>111</v>
      </c>
      <c r="P1052" s="93" t="s">
        <v>111</v>
      </c>
      <c r="Q1052" s="93" t="s">
        <v>111</v>
      </c>
      <c r="R1052" s="93" t="s">
        <v>1199</v>
      </c>
      <c r="S1052" s="93" t="s">
        <v>1174</v>
      </c>
      <c r="T1052" s="93" t="s">
        <v>115</v>
      </c>
      <c r="U1052" s="93" t="s">
        <v>116</v>
      </c>
      <c r="V1052" s="94">
        <v>44628.574999999997</v>
      </c>
      <c r="W1052" s="93" t="s">
        <v>1170</v>
      </c>
      <c r="X1052" s="93" t="s">
        <v>24</v>
      </c>
    </row>
    <row r="1053" spans="1:24" hidden="1" x14ac:dyDescent="0.15">
      <c r="A1053" s="93" t="s">
        <v>3053</v>
      </c>
      <c r="B1053" s="93" t="s">
        <v>3054</v>
      </c>
      <c r="C1053" s="410">
        <v>12075</v>
      </c>
      <c r="D1053" s="93" t="s">
        <v>24</v>
      </c>
      <c r="E1053" s="93" t="s">
        <v>24</v>
      </c>
      <c r="F1053" s="93" t="s">
        <v>7070</v>
      </c>
      <c r="G1053" s="93" t="s">
        <v>8237</v>
      </c>
      <c r="H1053" s="93" t="s">
        <v>1198</v>
      </c>
      <c r="I1053" s="93" t="s">
        <v>111</v>
      </c>
      <c r="J1053" s="93" t="s">
        <v>1759</v>
      </c>
      <c r="K1053" s="93">
        <v>70</v>
      </c>
      <c r="L1053" s="93">
        <v>1</v>
      </c>
      <c r="M1053" s="93" t="s">
        <v>111</v>
      </c>
      <c r="N1053" s="93" t="s">
        <v>111</v>
      </c>
      <c r="O1053" s="93" t="s">
        <v>111</v>
      </c>
      <c r="P1053" s="93" t="s">
        <v>111</v>
      </c>
      <c r="Q1053" s="93" t="s">
        <v>111</v>
      </c>
      <c r="R1053" s="93" t="s">
        <v>1199</v>
      </c>
      <c r="S1053" s="93" t="s">
        <v>1174</v>
      </c>
      <c r="T1053" s="93" t="s">
        <v>115</v>
      </c>
      <c r="U1053" s="93" t="s">
        <v>116</v>
      </c>
      <c r="V1053" s="94">
        <v>44628.597222222219</v>
      </c>
      <c r="W1053" s="93" t="s">
        <v>1170</v>
      </c>
      <c r="X1053" s="93" t="s">
        <v>24</v>
      </c>
    </row>
    <row r="1054" spans="1:24" hidden="1" x14ac:dyDescent="0.15">
      <c r="A1054" s="93" t="s">
        <v>3055</v>
      </c>
      <c r="B1054" s="93" t="s">
        <v>3056</v>
      </c>
      <c r="C1054" s="410">
        <v>3465</v>
      </c>
      <c r="D1054" s="93" t="s">
        <v>9</v>
      </c>
      <c r="E1054" s="93" t="s">
        <v>9</v>
      </c>
      <c r="F1054" s="93" t="s">
        <v>1648</v>
      </c>
      <c r="G1054" s="93" t="s">
        <v>9117</v>
      </c>
      <c r="H1054" s="93" t="s">
        <v>1943</v>
      </c>
      <c r="I1054" s="93" t="s">
        <v>111</v>
      </c>
      <c r="J1054" s="93" t="s">
        <v>963</v>
      </c>
      <c r="K1054" s="93">
        <v>60</v>
      </c>
      <c r="L1054" s="93" t="s">
        <v>111</v>
      </c>
      <c r="M1054" s="93">
        <v>4.5</v>
      </c>
      <c r="N1054" s="93" t="s">
        <v>113</v>
      </c>
      <c r="O1054" s="93">
        <v>18.5</v>
      </c>
      <c r="P1054" s="93">
        <v>29.5</v>
      </c>
      <c r="Q1054" s="93">
        <v>32.5</v>
      </c>
      <c r="R1054" s="93" t="s">
        <v>123</v>
      </c>
      <c r="S1054" s="93" t="s">
        <v>659</v>
      </c>
      <c r="T1054" s="93" t="s">
        <v>1659</v>
      </c>
      <c r="U1054" s="93" t="s">
        <v>116</v>
      </c>
      <c r="V1054" s="94">
        <v>44628.606249999997</v>
      </c>
      <c r="W1054" s="93" t="s">
        <v>1170</v>
      </c>
      <c r="X1054" s="93" t="s">
        <v>24</v>
      </c>
    </row>
    <row r="1055" spans="1:24" hidden="1" x14ac:dyDescent="0.15">
      <c r="A1055" s="93" t="s">
        <v>3057</v>
      </c>
      <c r="B1055" s="93" t="s">
        <v>3058</v>
      </c>
      <c r="C1055" s="410">
        <v>3465</v>
      </c>
      <c r="D1055" s="93" t="s">
        <v>9</v>
      </c>
      <c r="E1055" s="93" t="s">
        <v>9</v>
      </c>
      <c r="F1055" s="93" t="s">
        <v>1648</v>
      </c>
      <c r="G1055" s="93" t="s">
        <v>9117</v>
      </c>
      <c r="H1055" s="93" t="s">
        <v>1943</v>
      </c>
      <c r="I1055" s="93" t="s">
        <v>111</v>
      </c>
      <c r="J1055" s="93" t="s">
        <v>963</v>
      </c>
      <c r="K1055" s="93">
        <v>60</v>
      </c>
      <c r="L1055" s="93" t="s">
        <v>111</v>
      </c>
      <c r="M1055" s="93">
        <v>4.5</v>
      </c>
      <c r="N1055" s="93" t="s">
        <v>113</v>
      </c>
      <c r="O1055" s="93">
        <v>18.5</v>
      </c>
      <c r="P1055" s="93">
        <v>29.5</v>
      </c>
      <c r="Q1055" s="93">
        <v>32.5</v>
      </c>
      <c r="R1055" s="93" t="s">
        <v>123</v>
      </c>
      <c r="S1055" s="93" t="s">
        <v>659</v>
      </c>
      <c r="T1055" s="93" t="s">
        <v>1659</v>
      </c>
      <c r="U1055" s="93" t="s">
        <v>116</v>
      </c>
      <c r="V1055" s="94">
        <v>44628.5625</v>
      </c>
      <c r="W1055" s="93" t="s">
        <v>1170</v>
      </c>
      <c r="X1055" s="93" t="s">
        <v>24</v>
      </c>
    </row>
    <row r="1056" spans="1:24" hidden="1" x14ac:dyDescent="0.15">
      <c r="A1056" s="93" t="s">
        <v>3059</v>
      </c>
      <c r="B1056" s="93" t="s">
        <v>3060</v>
      </c>
      <c r="C1056" s="410">
        <v>3465</v>
      </c>
      <c r="D1056" s="93" t="s">
        <v>9</v>
      </c>
      <c r="E1056" s="93" t="s">
        <v>9</v>
      </c>
      <c r="F1056" s="93" t="s">
        <v>1648</v>
      </c>
      <c r="G1056" s="93" t="s">
        <v>9117</v>
      </c>
      <c r="H1056" s="93" t="s">
        <v>1943</v>
      </c>
      <c r="I1056" s="93" t="s">
        <v>111</v>
      </c>
      <c r="J1056" s="93" t="s">
        <v>963</v>
      </c>
      <c r="K1056" s="93">
        <v>60</v>
      </c>
      <c r="L1056" s="93" t="s">
        <v>111</v>
      </c>
      <c r="M1056" s="93">
        <v>4.5</v>
      </c>
      <c r="N1056" s="93" t="s">
        <v>113</v>
      </c>
      <c r="O1056" s="93">
        <v>18.5</v>
      </c>
      <c r="P1056" s="93">
        <v>29.5</v>
      </c>
      <c r="Q1056" s="93">
        <v>32.5</v>
      </c>
      <c r="R1056" s="93" t="s">
        <v>123</v>
      </c>
      <c r="S1056" s="93" t="s">
        <v>659</v>
      </c>
      <c r="T1056" s="93" t="s">
        <v>1659</v>
      </c>
      <c r="U1056" s="93" t="s">
        <v>116</v>
      </c>
      <c r="V1056" s="94">
        <v>44628.541666666664</v>
      </c>
      <c r="W1056" s="93" t="s">
        <v>1170</v>
      </c>
      <c r="X1056" s="93" t="s">
        <v>24</v>
      </c>
    </row>
    <row r="1057" spans="1:24" hidden="1" x14ac:dyDescent="0.15">
      <c r="A1057" s="93" t="s">
        <v>3061</v>
      </c>
      <c r="B1057" s="93" t="s">
        <v>3062</v>
      </c>
      <c r="C1057" s="410">
        <v>3465</v>
      </c>
      <c r="D1057" s="93" t="s">
        <v>9</v>
      </c>
      <c r="E1057" s="93" t="s">
        <v>9</v>
      </c>
      <c r="F1057" s="93" t="s">
        <v>1648</v>
      </c>
      <c r="G1057" s="93" t="s">
        <v>9117</v>
      </c>
      <c r="H1057" s="93" t="s">
        <v>1943</v>
      </c>
      <c r="I1057" s="93" t="s">
        <v>111</v>
      </c>
      <c r="J1057" s="93" t="s">
        <v>963</v>
      </c>
      <c r="K1057" s="93">
        <v>60</v>
      </c>
      <c r="L1057" s="93" t="s">
        <v>111</v>
      </c>
      <c r="M1057" s="93">
        <v>4.5</v>
      </c>
      <c r="N1057" s="93" t="s">
        <v>113</v>
      </c>
      <c r="O1057" s="93">
        <v>18.5</v>
      </c>
      <c r="P1057" s="93">
        <v>29.5</v>
      </c>
      <c r="Q1057" s="93">
        <v>32.5</v>
      </c>
      <c r="R1057" s="93" t="s">
        <v>123</v>
      </c>
      <c r="S1057" s="93" t="s">
        <v>659</v>
      </c>
      <c r="T1057" s="93" t="s">
        <v>1659</v>
      </c>
      <c r="U1057" s="93" t="s">
        <v>116</v>
      </c>
      <c r="V1057" s="94">
        <v>44628.49722222222</v>
      </c>
      <c r="W1057" s="93" t="s">
        <v>1170</v>
      </c>
      <c r="X1057" s="93" t="s">
        <v>24</v>
      </c>
    </row>
    <row r="1058" spans="1:24" hidden="1" x14ac:dyDescent="0.15">
      <c r="A1058" s="93" t="s">
        <v>3063</v>
      </c>
      <c r="B1058" s="93" t="s">
        <v>3064</v>
      </c>
      <c r="C1058" s="410">
        <v>3465</v>
      </c>
      <c r="D1058" s="93" t="s">
        <v>9</v>
      </c>
      <c r="E1058" s="93" t="s">
        <v>9</v>
      </c>
      <c r="F1058" s="93" t="s">
        <v>1648</v>
      </c>
      <c r="G1058" s="93" t="s">
        <v>9117</v>
      </c>
      <c r="H1058" s="93" t="s">
        <v>1943</v>
      </c>
      <c r="I1058" s="93" t="s">
        <v>111</v>
      </c>
      <c r="J1058" s="93" t="s">
        <v>963</v>
      </c>
      <c r="K1058" s="93">
        <v>60</v>
      </c>
      <c r="L1058" s="93" t="s">
        <v>111</v>
      </c>
      <c r="M1058" s="93">
        <v>4.5</v>
      </c>
      <c r="N1058" s="93" t="s">
        <v>113</v>
      </c>
      <c r="O1058" s="93">
        <v>18.5</v>
      </c>
      <c r="P1058" s="93">
        <v>29.5</v>
      </c>
      <c r="Q1058" s="93">
        <v>32.5</v>
      </c>
      <c r="R1058" s="93" t="s">
        <v>123</v>
      </c>
      <c r="S1058" s="93" t="s">
        <v>659</v>
      </c>
      <c r="T1058" s="93" t="s">
        <v>1659</v>
      </c>
      <c r="U1058" s="93" t="s">
        <v>116</v>
      </c>
      <c r="V1058" s="94">
        <v>44628.584722222222</v>
      </c>
      <c r="W1058" s="93" t="s">
        <v>1170</v>
      </c>
      <c r="X1058" s="93" t="s">
        <v>24</v>
      </c>
    </row>
    <row r="1059" spans="1:24" hidden="1" x14ac:dyDescent="0.15">
      <c r="A1059" s="93" t="s">
        <v>3065</v>
      </c>
      <c r="B1059" s="93" t="s">
        <v>3066</v>
      </c>
      <c r="C1059" s="410">
        <v>3465</v>
      </c>
      <c r="D1059" s="93" t="s">
        <v>9</v>
      </c>
      <c r="E1059" s="93" t="s">
        <v>9</v>
      </c>
      <c r="F1059" s="93" t="s">
        <v>1648</v>
      </c>
      <c r="G1059" s="93" t="s">
        <v>9117</v>
      </c>
      <c r="H1059" s="93" t="s">
        <v>1943</v>
      </c>
      <c r="I1059" s="93" t="s">
        <v>111</v>
      </c>
      <c r="J1059" s="93" t="s">
        <v>963</v>
      </c>
      <c r="K1059" s="93">
        <v>60</v>
      </c>
      <c r="L1059" s="93" t="s">
        <v>111</v>
      </c>
      <c r="M1059" s="93">
        <v>4.5</v>
      </c>
      <c r="N1059" s="93" t="s">
        <v>113</v>
      </c>
      <c r="O1059" s="93">
        <v>18.5</v>
      </c>
      <c r="P1059" s="93">
        <v>29.5</v>
      </c>
      <c r="Q1059" s="93">
        <v>32.5</v>
      </c>
      <c r="R1059" s="93" t="s">
        <v>123</v>
      </c>
      <c r="S1059" s="93" t="s">
        <v>659</v>
      </c>
      <c r="T1059" s="93" t="s">
        <v>1659</v>
      </c>
      <c r="U1059" s="93" t="s">
        <v>116</v>
      </c>
      <c r="V1059" s="94">
        <v>44628.606249999997</v>
      </c>
      <c r="W1059" s="93" t="s">
        <v>1170</v>
      </c>
      <c r="X1059" s="93" t="s">
        <v>24</v>
      </c>
    </row>
    <row r="1060" spans="1:24" hidden="1" x14ac:dyDescent="0.15">
      <c r="A1060" s="93" t="s">
        <v>3067</v>
      </c>
      <c r="B1060" s="93" t="s">
        <v>3068</v>
      </c>
      <c r="C1060" s="410">
        <v>3465</v>
      </c>
      <c r="D1060" s="93" t="s">
        <v>9</v>
      </c>
      <c r="E1060" s="93" t="s">
        <v>9</v>
      </c>
      <c r="F1060" s="93" t="s">
        <v>1648</v>
      </c>
      <c r="G1060" s="93" t="s">
        <v>9117</v>
      </c>
      <c r="H1060" s="93" t="s">
        <v>1943</v>
      </c>
      <c r="I1060" s="93" t="s">
        <v>111</v>
      </c>
      <c r="J1060" s="93" t="s">
        <v>963</v>
      </c>
      <c r="K1060" s="93">
        <v>60</v>
      </c>
      <c r="L1060" s="93" t="s">
        <v>111</v>
      </c>
      <c r="M1060" s="93">
        <v>4.5</v>
      </c>
      <c r="N1060" s="93" t="s">
        <v>113</v>
      </c>
      <c r="O1060" s="93">
        <v>18.5</v>
      </c>
      <c r="P1060" s="93">
        <v>29.5</v>
      </c>
      <c r="Q1060" s="93">
        <v>32.5</v>
      </c>
      <c r="R1060" s="93" t="s">
        <v>123</v>
      </c>
      <c r="S1060" s="93" t="s">
        <v>659</v>
      </c>
      <c r="T1060" s="93" t="s">
        <v>1659</v>
      </c>
      <c r="U1060" s="93" t="s">
        <v>116</v>
      </c>
      <c r="V1060" s="94">
        <v>44628.541666666664</v>
      </c>
      <c r="W1060" s="93" t="s">
        <v>1170</v>
      </c>
      <c r="X1060" s="93" t="s">
        <v>24</v>
      </c>
    </row>
    <row r="1061" spans="1:24" hidden="1" x14ac:dyDescent="0.15">
      <c r="A1061" s="93" t="s">
        <v>3069</v>
      </c>
      <c r="B1061" s="93" t="s">
        <v>3070</v>
      </c>
      <c r="C1061" s="410">
        <v>3465</v>
      </c>
      <c r="D1061" s="93" t="s">
        <v>9</v>
      </c>
      <c r="E1061" s="93" t="s">
        <v>9</v>
      </c>
      <c r="F1061" s="93" t="s">
        <v>1648</v>
      </c>
      <c r="G1061" s="93" t="s">
        <v>9117</v>
      </c>
      <c r="H1061" s="93" t="s">
        <v>1943</v>
      </c>
      <c r="I1061" s="93" t="s">
        <v>111</v>
      </c>
      <c r="J1061" s="93" t="s">
        <v>963</v>
      </c>
      <c r="K1061" s="93">
        <v>60</v>
      </c>
      <c r="L1061" s="93" t="s">
        <v>111</v>
      </c>
      <c r="M1061" s="93">
        <v>4.5</v>
      </c>
      <c r="N1061" s="93" t="s">
        <v>113</v>
      </c>
      <c r="O1061" s="93">
        <v>18.5</v>
      </c>
      <c r="P1061" s="93">
        <v>29.5</v>
      </c>
      <c r="Q1061" s="93">
        <v>32.5</v>
      </c>
      <c r="R1061" s="93" t="s">
        <v>123</v>
      </c>
      <c r="S1061" s="93" t="s">
        <v>659</v>
      </c>
      <c r="T1061" s="93" t="s">
        <v>1659</v>
      </c>
      <c r="U1061" s="93" t="s">
        <v>116</v>
      </c>
      <c r="V1061" s="94">
        <v>44628.476388888892</v>
      </c>
      <c r="W1061" s="93" t="s">
        <v>1170</v>
      </c>
      <c r="X1061" s="93" t="s">
        <v>24</v>
      </c>
    </row>
    <row r="1062" spans="1:24" hidden="1" x14ac:dyDescent="0.15">
      <c r="A1062" s="93" t="s">
        <v>3071</v>
      </c>
      <c r="B1062" s="93" t="s">
        <v>3072</v>
      </c>
      <c r="C1062" s="410">
        <v>3465</v>
      </c>
      <c r="D1062" s="93" t="s">
        <v>9</v>
      </c>
      <c r="E1062" s="93" t="s">
        <v>9</v>
      </c>
      <c r="F1062" s="93" t="s">
        <v>1648</v>
      </c>
      <c r="G1062" s="93" t="s">
        <v>9117</v>
      </c>
      <c r="H1062" s="93" t="s">
        <v>1943</v>
      </c>
      <c r="I1062" s="93" t="s">
        <v>111</v>
      </c>
      <c r="J1062" s="93" t="s">
        <v>963</v>
      </c>
      <c r="K1062" s="93">
        <v>60</v>
      </c>
      <c r="L1062" s="93" t="s">
        <v>111</v>
      </c>
      <c r="M1062" s="93">
        <v>4.5</v>
      </c>
      <c r="N1062" s="93" t="s">
        <v>113</v>
      </c>
      <c r="O1062" s="93">
        <v>18.5</v>
      </c>
      <c r="P1062" s="93">
        <v>29.5</v>
      </c>
      <c r="Q1062" s="93">
        <v>32.5</v>
      </c>
      <c r="R1062" s="93" t="s">
        <v>123</v>
      </c>
      <c r="S1062" s="93" t="s">
        <v>659</v>
      </c>
      <c r="T1062" s="93" t="s">
        <v>1659</v>
      </c>
      <c r="U1062" s="93" t="s">
        <v>116</v>
      </c>
      <c r="V1062" s="94">
        <v>44628.584722222222</v>
      </c>
      <c r="W1062" s="93" t="s">
        <v>1170</v>
      </c>
      <c r="X1062" s="93" t="s">
        <v>24</v>
      </c>
    </row>
    <row r="1063" spans="1:24" hidden="1" x14ac:dyDescent="0.15">
      <c r="A1063" s="93" t="s">
        <v>3073</v>
      </c>
      <c r="B1063" s="93" t="s">
        <v>3074</v>
      </c>
      <c r="C1063" s="410">
        <v>3465</v>
      </c>
      <c r="D1063" s="93" t="s">
        <v>9</v>
      </c>
      <c r="E1063" s="93" t="s">
        <v>9</v>
      </c>
      <c r="F1063" s="93" t="s">
        <v>1648</v>
      </c>
      <c r="G1063" s="93" t="s">
        <v>9117</v>
      </c>
      <c r="H1063" s="93" t="s">
        <v>1943</v>
      </c>
      <c r="I1063" s="93" t="s">
        <v>111</v>
      </c>
      <c r="J1063" s="93" t="s">
        <v>963</v>
      </c>
      <c r="K1063" s="93">
        <v>60</v>
      </c>
      <c r="L1063" s="93" t="s">
        <v>111</v>
      </c>
      <c r="M1063" s="93">
        <v>4.5</v>
      </c>
      <c r="N1063" s="93" t="s">
        <v>113</v>
      </c>
      <c r="O1063" s="93">
        <v>18.5</v>
      </c>
      <c r="P1063" s="93">
        <v>29.5</v>
      </c>
      <c r="Q1063" s="93">
        <v>32.5</v>
      </c>
      <c r="R1063" s="93" t="s">
        <v>123</v>
      </c>
      <c r="S1063" s="93" t="s">
        <v>659</v>
      </c>
      <c r="T1063" s="93" t="s">
        <v>1659</v>
      </c>
      <c r="U1063" s="93" t="s">
        <v>116</v>
      </c>
      <c r="V1063" s="94">
        <v>44628.5625</v>
      </c>
      <c r="W1063" s="93" t="s">
        <v>1170</v>
      </c>
      <c r="X1063" s="93" t="s">
        <v>24</v>
      </c>
    </row>
    <row r="1064" spans="1:24" hidden="1" x14ac:dyDescent="0.15">
      <c r="A1064" s="93" t="s">
        <v>3075</v>
      </c>
      <c r="B1064" s="93" t="s">
        <v>3076</v>
      </c>
      <c r="C1064" s="410">
        <v>3465</v>
      </c>
      <c r="D1064" s="93" t="s">
        <v>9</v>
      </c>
      <c r="E1064" s="93" t="s">
        <v>9</v>
      </c>
      <c r="F1064" s="93" t="s">
        <v>1648</v>
      </c>
      <c r="G1064" s="93" t="s">
        <v>9117</v>
      </c>
      <c r="H1064" s="93" t="s">
        <v>1943</v>
      </c>
      <c r="I1064" s="93" t="s">
        <v>111</v>
      </c>
      <c r="J1064" s="93" t="s">
        <v>963</v>
      </c>
      <c r="K1064" s="93">
        <v>60</v>
      </c>
      <c r="L1064" s="93" t="s">
        <v>111</v>
      </c>
      <c r="M1064" s="93">
        <v>4.5</v>
      </c>
      <c r="N1064" s="93" t="s">
        <v>113</v>
      </c>
      <c r="O1064" s="93">
        <v>18.5</v>
      </c>
      <c r="P1064" s="93">
        <v>29.5</v>
      </c>
      <c r="Q1064" s="93">
        <v>32.5</v>
      </c>
      <c r="R1064" s="93" t="s">
        <v>123</v>
      </c>
      <c r="S1064" s="93" t="s">
        <v>659</v>
      </c>
      <c r="T1064" s="93" t="s">
        <v>1659</v>
      </c>
      <c r="U1064" s="93" t="s">
        <v>116</v>
      </c>
      <c r="V1064" s="94">
        <v>44628.541666666664</v>
      </c>
      <c r="W1064" s="93" t="s">
        <v>1170</v>
      </c>
      <c r="X1064" s="93" t="s">
        <v>24</v>
      </c>
    </row>
    <row r="1065" spans="1:24" hidden="1" x14ac:dyDescent="0.15">
      <c r="A1065" s="93" t="s">
        <v>3077</v>
      </c>
      <c r="B1065" s="93" t="s">
        <v>3078</v>
      </c>
      <c r="C1065" s="410">
        <v>3465</v>
      </c>
      <c r="D1065" s="93" t="s">
        <v>9</v>
      </c>
      <c r="E1065" s="93" t="s">
        <v>9</v>
      </c>
      <c r="F1065" s="93" t="s">
        <v>1648</v>
      </c>
      <c r="G1065" s="93" t="s">
        <v>9117</v>
      </c>
      <c r="H1065" s="93" t="s">
        <v>1943</v>
      </c>
      <c r="I1065" s="93" t="s">
        <v>111</v>
      </c>
      <c r="J1065" s="93" t="s">
        <v>963</v>
      </c>
      <c r="K1065" s="93">
        <v>60</v>
      </c>
      <c r="L1065" s="93" t="s">
        <v>111</v>
      </c>
      <c r="M1065" s="93">
        <v>4.5</v>
      </c>
      <c r="N1065" s="93" t="s">
        <v>113</v>
      </c>
      <c r="O1065" s="93">
        <v>18.5</v>
      </c>
      <c r="P1065" s="93">
        <v>29.5</v>
      </c>
      <c r="Q1065" s="93">
        <v>32.5</v>
      </c>
      <c r="R1065" s="93" t="s">
        <v>123</v>
      </c>
      <c r="S1065" s="93" t="s">
        <v>659</v>
      </c>
      <c r="T1065" s="93" t="s">
        <v>1659</v>
      </c>
      <c r="U1065" s="93" t="s">
        <v>116</v>
      </c>
      <c r="V1065" s="94">
        <v>44628.584722222222</v>
      </c>
      <c r="W1065" s="93" t="s">
        <v>1170</v>
      </c>
      <c r="X1065" s="93" t="s">
        <v>24</v>
      </c>
    </row>
    <row r="1066" spans="1:24" hidden="1" x14ac:dyDescent="0.15">
      <c r="A1066" s="93" t="s">
        <v>3079</v>
      </c>
      <c r="B1066" s="93" t="s">
        <v>3080</v>
      </c>
      <c r="C1066" s="410">
        <v>3465</v>
      </c>
      <c r="D1066" s="93" t="s">
        <v>9</v>
      </c>
      <c r="E1066" s="93" t="s">
        <v>9</v>
      </c>
      <c r="F1066" s="93" t="s">
        <v>1648</v>
      </c>
      <c r="G1066" s="93" t="s">
        <v>9117</v>
      </c>
      <c r="H1066" s="93" t="s">
        <v>1943</v>
      </c>
      <c r="I1066" s="93" t="s">
        <v>111</v>
      </c>
      <c r="J1066" s="93" t="s">
        <v>963</v>
      </c>
      <c r="K1066" s="93">
        <v>60</v>
      </c>
      <c r="L1066" s="93" t="s">
        <v>111</v>
      </c>
      <c r="M1066" s="93">
        <v>4.5</v>
      </c>
      <c r="N1066" s="93" t="s">
        <v>113</v>
      </c>
      <c r="O1066" s="93">
        <v>18.5</v>
      </c>
      <c r="P1066" s="93">
        <v>29.5</v>
      </c>
      <c r="Q1066" s="93">
        <v>32.5</v>
      </c>
      <c r="R1066" s="93" t="s">
        <v>123</v>
      </c>
      <c r="S1066" s="93" t="s">
        <v>659</v>
      </c>
      <c r="T1066" s="93" t="s">
        <v>1659</v>
      </c>
      <c r="U1066" s="93" t="s">
        <v>116</v>
      </c>
      <c r="V1066" s="94">
        <v>44628.64166666667</v>
      </c>
      <c r="W1066" s="93" t="s">
        <v>1170</v>
      </c>
      <c r="X1066" s="93" t="s">
        <v>24</v>
      </c>
    </row>
    <row r="1067" spans="1:24" hidden="1" x14ac:dyDescent="0.15">
      <c r="A1067" s="93" t="s">
        <v>3081</v>
      </c>
      <c r="B1067" s="93" t="s">
        <v>3082</v>
      </c>
      <c r="C1067" s="410">
        <v>3465</v>
      </c>
      <c r="D1067" s="93" t="s">
        <v>9</v>
      </c>
      <c r="E1067" s="93" t="s">
        <v>9</v>
      </c>
      <c r="F1067" s="93" t="s">
        <v>1648</v>
      </c>
      <c r="G1067" s="93" t="s">
        <v>9117</v>
      </c>
      <c r="H1067" s="93" t="s">
        <v>1943</v>
      </c>
      <c r="I1067" s="93" t="s">
        <v>111</v>
      </c>
      <c r="J1067" s="93" t="s">
        <v>963</v>
      </c>
      <c r="K1067" s="93">
        <v>60</v>
      </c>
      <c r="L1067" s="93" t="s">
        <v>111</v>
      </c>
      <c r="M1067" s="93">
        <v>4.5</v>
      </c>
      <c r="N1067" s="93" t="s">
        <v>113</v>
      </c>
      <c r="O1067" s="93">
        <v>18.5</v>
      </c>
      <c r="P1067" s="93">
        <v>29.5</v>
      </c>
      <c r="Q1067" s="93">
        <v>32.5</v>
      </c>
      <c r="R1067" s="93" t="s">
        <v>123</v>
      </c>
      <c r="S1067" s="93" t="s">
        <v>659</v>
      </c>
      <c r="T1067" s="93" t="s">
        <v>1659</v>
      </c>
      <c r="U1067" s="93" t="s">
        <v>116</v>
      </c>
      <c r="V1067" s="94">
        <v>44628.606249999997</v>
      </c>
      <c r="W1067" s="93" t="s">
        <v>1170</v>
      </c>
      <c r="X1067" s="93" t="s">
        <v>24</v>
      </c>
    </row>
    <row r="1068" spans="1:24" hidden="1" x14ac:dyDescent="0.15">
      <c r="A1068" s="93" t="s">
        <v>3083</v>
      </c>
      <c r="B1068" s="93" t="s">
        <v>3084</v>
      </c>
      <c r="C1068" s="410">
        <v>3465</v>
      </c>
      <c r="D1068" s="93" t="s">
        <v>9</v>
      </c>
      <c r="E1068" s="93" t="s">
        <v>9</v>
      </c>
      <c r="F1068" s="93" t="s">
        <v>1648</v>
      </c>
      <c r="G1068" s="93" t="s">
        <v>9117</v>
      </c>
      <c r="H1068" s="93" t="s">
        <v>1943</v>
      </c>
      <c r="I1068" s="93" t="s">
        <v>111</v>
      </c>
      <c r="J1068" s="93" t="s">
        <v>963</v>
      </c>
      <c r="K1068" s="93">
        <v>60</v>
      </c>
      <c r="L1068" s="93" t="s">
        <v>111</v>
      </c>
      <c r="M1068" s="93">
        <v>4.5</v>
      </c>
      <c r="N1068" s="93" t="s">
        <v>113</v>
      </c>
      <c r="O1068" s="93">
        <v>18.5</v>
      </c>
      <c r="P1068" s="93">
        <v>29.5</v>
      </c>
      <c r="Q1068" s="93">
        <v>32.5</v>
      </c>
      <c r="R1068" s="93" t="s">
        <v>123</v>
      </c>
      <c r="S1068" s="93" t="s">
        <v>659</v>
      </c>
      <c r="T1068" s="93" t="s">
        <v>1659</v>
      </c>
      <c r="U1068" s="93" t="s">
        <v>116</v>
      </c>
      <c r="V1068" s="94">
        <v>44628.584722222222</v>
      </c>
      <c r="W1068" s="93" t="s">
        <v>1170</v>
      </c>
      <c r="X1068" s="93" t="s">
        <v>24</v>
      </c>
    </row>
    <row r="1069" spans="1:24" hidden="1" x14ac:dyDescent="0.15">
      <c r="A1069" s="93" t="s">
        <v>3085</v>
      </c>
      <c r="B1069" s="93" t="s">
        <v>3086</v>
      </c>
      <c r="C1069" s="410">
        <v>3465</v>
      </c>
      <c r="D1069" s="93" t="s">
        <v>9</v>
      </c>
      <c r="E1069" s="93" t="s">
        <v>9</v>
      </c>
      <c r="F1069" s="93" t="s">
        <v>1648</v>
      </c>
      <c r="G1069" s="93" t="s">
        <v>9117</v>
      </c>
      <c r="H1069" s="93" t="s">
        <v>1943</v>
      </c>
      <c r="I1069" s="93" t="s">
        <v>111</v>
      </c>
      <c r="J1069" s="93" t="s">
        <v>963</v>
      </c>
      <c r="K1069" s="93">
        <v>60</v>
      </c>
      <c r="L1069" s="93" t="s">
        <v>111</v>
      </c>
      <c r="M1069" s="93">
        <v>4.5</v>
      </c>
      <c r="N1069" s="93" t="s">
        <v>113</v>
      </c>
      <c r="O1069" s="93">
        <v>18.5</v>
      </c>
      <c r="P1069" s="93">
        <v>29.5</v>
      </c>
      <c r="Q1069" s="93">
        <v>32.5</v>
      </c>
      <c r="R1069" s="93" t="s">
        <v>123</v>
      </c>
      <c r="S1069" s="93" t="s">
        <v>659</v>
      </c>
      <c r="T1069" s="93" t="s">
        <v>1659</v>
      </c>
      <c r="U1069" s="93" t="s">
        <v>116</v>
      </c>
      <c r="V1069" s="94">
        <v>44628.541666666664</v>
      </c>
      <c r="W1069" s="93" t="s">
        <v>1170</v>
      </c>
      <c r="X1069" s="93" t="s">
        <v>24</v>
      </c>
    </row>
    <row r="1070" spans="1:24" hidden="1" x14ac:dyDescent="0.15">
      <c r="A1070" s="93" t="s">
        <v>3087</v>
      </c>
      <c r="B1070" s="93" t="s">
        <v>3088</v>
      </c>
      <c r="C1070" s="410">
        <v>3465</v>
      </c>
      <c r="D1070" s="93" t="s">
        <v>9</v>
      </c>
      <c r="E1070" s="93" t="s">
        <v>9</v>
      </c>
      <c r="F1070" s="93" t="s">
        <v>1648</v>
      </c>
      <c r="G1070" s="93" t="s">
        <v>9117</v>
      </c>
      <c r="H1070" s="93" t="s">
        <v>1943</v>
      </c>
      <c r="I1070" s="93" t="s">
        <v>111</v>
      </c>
      <c r="J1070" s="93" t="s">
        <v>963</v>
      </c>
      <c r="K1070" s="93">
        <v>60</v>
      </c>
      <c r="L1070" s="93" t="s">
        <v>111</v>
      </c>
      <c r="M1070" s="93">
        <v>4.5</v>
      </c>
      <c r="N1070" s="93" t="s">
        <v>113</v>
      </c>
      <c r="O1070" s="93">
        <v>18.5</v>
      </c>
      <c r="P1070" s="93">
        <v>29.5</v>
      </c>
      <c r="Q1070" s="93">
        <v>32.5</v>
      </c>
      <c r="R1070" s="93" t="s">
        <v>123</v>
      </c>
      <c r="S1070" s="93" t="s">
        <v>659</v>
      </c>
      <c r="T1070" s="93" t="s">
        <v>1659</v>
      </c>
      <c r="U1070" s="93" t="s">
        <v>116</v>
      </c>
      <c r="V1070" s="94">
        <v>44628.519444444442</v>
      </c>
      <c r="W1070" s="93" t="s">
        <v>1170</v>
      </c>
      <c r="X1070" s="93" t="s">
        <v>24</v>
      </c>
    </row>
    <row r="1071" spans="1:24" hidden="1" x14ac:dyDescent="0.15">
      <c r="A1071" s="93" t="s">
        <v>3089</v>
      </c>
      <c r="B1071" s="93" t="s">
        <v>3090</v>
      </c>
      <c r="C1071" s="410">
        <v>3465</v>
      </c>
      <c r="D1071" s="93" t="s">
        <v>9</v>
      </c>
      <c r="E1071" s="93" t="s">
        <v>9</v>
      </c>
      <c r="F1071" s="93" t="s">
        <v>1648</v>
      </c>
      <c r="G1071" s="93" t="s">
        <v>9117</v>
      </c>
      <c r="H1071" s="93" t="s">
        <v>1943</v>
      </c>
      <c r="I1071" s="93" t="s">
        <v>111</v>
      </c>
      <c r="J1071" s="93" t="s">
        <v>963</v>
      </c>
      <c r="K1071" s="93">
        <v>60</v>
      </c>
      <c r="L1071" s="93" t="s">
        <v>111</v>
      </c>
      <c r="M1071" s="93">
        <v>4.5</v>
      </c>
      <c r="N1071" s="93" t="s">
        <v>113</v>
      </c>
      <c r="O1071" s="93">
        <v>18.5</v>
      </c>
      <c r="P1071" s="93">
        <v>29.5</v>
      </c>
      <c r="Q1071" s="93">
        <v>32.5</v>
      </c>
      <c r="R1071" s="93" t="s">
        <v>123</v>
      </c>
      <c r="S1071" s="93" t="s">
        <v>659</v>
      </c>
      <c r="T1071" s="93" t="s">
        <v>1659</v>
      </c>
      <c r="U1071" s="93" t="s">
        <v>116</v>
      </c>
      <c r="V1071" s="94">
        <v>44628.64166666667</v>
      </c>
      <c r="W1071" s="93" t="s">
        <v>1170</v>
      </c>
      <c r="X1071" s="93" t="s">
        <v>24</v>
      </c>
    </row>
    <row r="1072" spans="1:24" hidden="1" x14ac:dyDescent="0.15">
      <c r="A1072" s="93" t="s">
        <v>3091</v>
      </c>
      <c r="B1072" s="93" t="s">
        <v>3092</v>
      </c>
      <c r="C1072" s="410">
        <v>3465</v>
      </c>
      <c r="D1072" s="93" t="s">
        <v>9</v>
      </c>
      <c r="E1072" s="93" t="s">
        <v>9</v>
      </c>
      <c r="F1072" s="93" t="s">
        <v>1648</v>
      </c>
      <c r="G1072" s="93" t="s">
        <v>9117</v>
      </c>
      <c r="H1072" s="93" t="s">
        <v>1943</v>
      </c>
      <c r="I1072" s="93" t="s">
        <v>111</v>
      </c>
      <c r="J1072" s="93" t="s">
        <v>963</v>
      </c>
      <c r="K1072" s="93">
        <v>60</v>
      </c>
      <c r="L1072" s="93" t="s">
        <v>111</v>
      </c>
      <c r="M1072" s="93">
        <v>4.5</v>
      </c>
      <c r="N1072" s="93" t="s">
        <v>113</v>
      </c>
      <c r="O1072" s="93">
        <v>18.5</v>
      </c>
      <c r="P1072" s="93">
        <v>29.5</v>
      </c>
      <c r="Q1072" s="93">
        <v>32.5</v>
      </c>
      <c r="R1072" s="93" t="s">
        <v>123</v>
      </c>
      <c r="S1072" s="93" t="s">
        <v>659</v>
      </c>
      <c r="T1072" s="93" t="s">
        <v>1659</v>
      </c>
      <c r="U1072" s="93" t="s">
        <v>116</v>
      </c>
      <c r="V1072" s="94">
        <v>44628.584722222222</v>
      </c>
      <c r="W1072" s="93" t="s">
        <v>1170</v>
      </c>
      <c r="X1072" s="93" t="s">
        <v>24</v>
      </c>
    </row>
    <row r="1073" spans="1:24" hidden="1" x14ac:dyDescent="0.15">
      <c r="A1073" s="93" t="s">
        <v>3093</v>
      </c>
      <c r="B1073" s="93" t="s">
        <v>3094</v>
      </c>
      <c r="C1073" s="410">
        <v>3465</v>
      </c>
      <c r="D1073" s="93" t="s">
        <v>9</v>
      </c>
      <c r="E1073" s="93" t="s">
        <v>9</v>
      </c>
      <c r="F1073" s="93" t="s">
        <v>1648</v>
      </c>
      <c r="G1073" s="93" t="s">
        <v>9117</v>
      </c>
      <c r="H1073" s="93" t="s">
        <v>1943</v>
      </c>
      <c r="I1073" s="93" t="s">
        <v>111</v>
      </c>
      <c r="J1073" s="93" t="s">
        <v>963</v>
      </c>
      <c r="K1073" s="93">
        <v>60</v>
      </c>
      <c r="L1073" s="93" t="s">
        <v>111</v>
      </c>
      <c r="M1073" s="93">
        <v>4.5</v>
      </c>
      <c r="N1073" s="93" t="s">
        <v>113</v>
      </c>
      <c r="O1073" s="93">
        <v>18.5</v>
      </c>
      <c r="P1073" s="93">
        <v>29.5</v>
      </c>
      <c r="Q1073" s="93">
        <v>32.5</v>
      </c>
      <c r="R1073" s="93" t="s">
        <v>123</v>
      </c>
      <c r="S1073" s="93" t="s">
        <v>659</v>
      </c>
      <c r="T1073" s="93" t="s">
        <v>1659</v>
      </c>
      <c r="U1073" s="93" t="s">
        <v>116</v>
      </c>
      <c r="V1073" s="94">
        <v>44628.519444444442</v>
      </c>
      <c r="W1073" s="93" t="s">
        <v>1170</v>
      </c>
      <c r="X1073" s="93" t="s">
        <v>24</v>
      </c>
    </row>
    <row r="1074" spans="1:24" hidden="1" x14ac:dyDescent="0.15">
      <c r="A1074" s="93" t="s">
        <v>3095</v>
      </c>
      <c r="B1074" s="93" t="s">
        <v>3096</v>
      </c>
      <c r="C1074" s="410">
        <v>3465</v>
      </c>
      <c r="D1074" s="93" t="s">
        <v>9</v>
      </c>
      <c r="E1074" s="93" t="s">
        <v>9</v>
      </c>
      <c r="F1074" s="93" t="s">
        <v>1648</v>
      </c>
      <c r="G1074" s="93" t="s">
        <v>9117</v>
      </c>
      <c r="H1074" s="93" t="s">
        <v>1943</v>
      </c>
      <c r="I1074" s="93" t="s">
        <v>111</v>
      </c>
      <c r="J1074" s="93" t="s">
        <v>963</v>
      </c>
      <c r="K1074" s="93">
        <v>60</v>
      </c>
      <c r="L1074" s="93" t="s">
        <v>111</v>
      </c>
      <c r="M1074" s="93">
        <v>4.5</v>
      </c>
      <c r="N1074" s="93" t="s">
        <v>113</v>
      </c>
      <c r="O1074" s="93">
        <v>18.5</v>
      </c>
      <c r="P1074" s="93">
        <v>29.5</v>
      </c>
      <c r="Q1074" s="93">
        <v>32.5</v>
      </c>
      <c r="R1074" s="93" t="s">
        <v>123</v>
      </c>
      <c r="S1074" s="93" t="s">
        <v>659</v>
      </c>
      <c r="T1074" s="93" t="s">
        <v>1659</v>
      </c>
      <c r="U1074" s="93" t="s">
        <v>116</v>
      </c>
      <c r="V1074" s="94">
        <v>44628.476388888892</v>
      </c>
      <c r="W1074" s="93" t="s">
        <v>1170</v>
      </c>
      <c r="X1074" s="93" t="s">
        <v>24</v>
      </c>
    </row>
    <row r="1075" spans="1:24" hidden="1" x14ac:dyDescent="0.15">
      <c r="A1075" s="93" t="s">
        <v>3097</v>
      </c>
      <c r="B1075" s="93" t="s">
        <v>3098</v>
      </c>
      <c r="C1075" s="410">
        <v>3465</v>
      </c>
      <c r="D1075" s="93" t="s">
        <v>9</v>
      </c>
      <c r="E1075" s="93" t="s">
        <v>9</v>
      </c>
      <c r="F1075" s="93" t="s">
        <v>1648</v>
      </c>
      <c r="G1075" s="93" t="s">
        <v>9117</v>
      </c>
      <c r="H1075" s="93" t="s">
        <v>1943</v>
      </c>
      <c r="I1075" s="93" t="s">
        <v>111</v>
      </c>
      <c r="J1075" s="93" t="s">
        <v>963</v>
      </c>
      <c r="K1075" s="93">
        <v>60</v>
      </c>
      <c r="L1075" s="93" t="s">
        <v>111</v>
      </c>
      <c r="M1075" s="93">
        <v>4.5</v>
      </c>
      <c r="N1075" s="93" t="s">
        <v>113</v>
      </c>
      <c r="O1075" s="93">
        <v>18.5</v>
      </c>
      <c r="P1075" s="93">
        <v>29.5</v>
      </c>
      <c r="Q1075" s="93">
        <v>32.5</v>
      </c>
      <c r="R1075" s="93" t="s">
        <v>123</v>
      </c>
      <c r="S1075" s="93" t="s">
        <v>659</v>
      </c>
      <c r="T1075" s="93" t="s">
        <v>1659</v>
      </c>
      <c r="U1075" s="93" t="s">
        <v>116</v>
      </c>
      <c r="V1075" s="94">
        <v>44628.64166666667</v>
      </c>
      <c r="W1075" s="93" t="s">
        <v>1170</v>
      </c>
      <c r="X1075" s="93" t="s">
        <v>24</v>
      </c>
    </row>
    <row r="1076" spans="1:24" hidden="1" x14ac:dyDescent="0.15">
      <c r="A1076" s="93" t="s">
        <v>3099</v>
      </c>
      <c r="B1076" s="93" t="s">
        <v>3100</v>
      </c>
      <c r="C1076" s="410">
        <v>3465</v>
      </c>
      <c r="D1076" s="93" t="s">
        <v>9</v>
      </c>
      <c r="E1076" s="93" t="s">
        <v>9</v>
      </c>
      <c r="F1076" s="93" t="s">
        <v>1648</v>
      </c>
      <c r="G1076" s="93" t="s">
        <v>9117</v>
      </c>
      <c r="H1076" s="93" t="s">
        <v>1943</v>
      </c>
      <c r="I1076" s="93" t="s">
        <v>111</v>
      </c>
      <c r="J1076" s="93" t="s">
        <v>963</v>
      </c>
      <c r="K1076" s="93">
        <v>60</v>
      </c>
      <c r="L1076" s="93" t="s">
        <v>111</v>
      </c>
      <c r="M1076" s="93">
        <v>4.5</v>
      </c>
      <c r="N1076" s="93" t="s">
        <v>113</v>
      </c>
      <c r="O1076" s="93">
        <v>18.5</v>
      </c>
      <c r="P1076" s="93">
        <v>29.5</v>
      </c>
      <c r="Q1076" s="93">
        <v>32.5</v>
      </c>
      <c r="R1076" s="93" t="s">
        <v>123</v>
      </c>
      <c r="S1076" s="93" t="s">
        <v>659</v>
      </c>
      <c r="T1076" s="93" t="s">
        <v>1659</v>
      </c>
      <c r="U1076" s="93" t="s">
        <v>116</v>
      </c>
      <c r="V1076" s="94">
        <v>44628.540972222225</v>
      </c>
      <c r="W1076" s="93" t="s">
        <v>1170</v>
      </c>
      <c r="X1076" s="93" t="s">
        <v>24</v>
      </c>
    </row>
    <row r="1077" spans="1:24" hidden="1" x14ac:dyDescent="0.15">
      <c r="A1077" s="93" t="s">
        <v>3101</v>
      </c>
      <c r="B1077" s="93" t="s">
        <v>3102</v>
      </c>
      <c r="C1077" s="410">
        <v>3465</v>
      </c>
      <c r="D1077" s="93" t="s">
        <v>9</v>
      </c>
      <c r="E1077" s="93" t="s">
        <v>9</v>
      </c>
      <c r="F1077" s="93" t="s">
        <v>1648</v>
      </c>
      <c r="G1077" s="93" t="s">
        <v>9117</v>
      </c>
      <c r="H1077" s="93" t="s">
        <v>1943</v>
      </c>
      <c r="I1077" s="93" t="s">
        <v>111</v>
      </c>
      <c r="J1077" s="93" t="s">
        <v>963</v>
      </c>
      <c r="K1077" s="93">
        <v>60</v>
      </c>
      <c r="L1077" s="93" t="s">
        <v>111</v>
      </c>
      <c r="M1077" s="93">
        <v>4.5</v>
      </c>
      <c r="N1077" s="93" t="s">
        <v>113</v>
      </c>
      <c r="O1077" s="93">
        <v>18.5</v>
      </c>
      <c r="P1077" s="93">
        <v>29.5</v>
      </c>
      <c r="Q1077" s="93">
        <v>32.5</v>
      </c>
      <c r="R1077" s="93" t="s">
        <v>123</v>
      </c>
      <c r="S1077" s="93" t="s">
        <v>659</v>
      </c>
      <c r="T1077" s="93" t="s">
        <v>1659</v>
      </c>
      <c r="U1077" s="93" t="s">
        <v>116</v>
      </c>
      <c r="V1077" s="94">
        <v>44628.606249999997</v>
      </c>
      <c r="W1077" s="93" t="s">
        <v>1170</v>
      </c>
      <c r="X1077" s="93" t="s">
        <v>24</v>
      </c>
    </row>
    <row r="1078" spans="1:24" hidden="1" x14ac:dyDescent="0.15">
      <c r="A1078" s="93" t="s">
        <v>3103</v>
      </c>
      <c r="B1078" s="93" t="s">
        <v>3104</v>
      </c>
      <c r="C1078" s="410">
        <v>3465</v>
      </c>
      <c r="D1078" s="93" t="s">
        <v>9</v>
      </c>
      <c r="E1078" s="93" t="s">
        <v>9</v>
      </c>
      <c r="F1078" s="93" t="s">
        <v>1648</v>
      </c>
      <c r="G1078" s="93" t="s">
        <v>9117</v>
      </c>
      <c r="H1078" s="93" t="s">
        <v>1943</v>
      </c>
      <c r="I1078" s="93" t="s">
        <v>111</v>
      </c>
      <c r="J1078" s="93" t="s">
        <v>963</v>
      </c>
      <c r="K1078" s="93">
        <v>60</v>
      </c>
      <c r="L1078" s="93" t="s">
        <v>111</v>
      </c>
      <c r="M1078" s="93">
        <v>4.5</v>
      </c>
      <c r="N1078" s="93" t="s">
        <v>113</v>
      </c>
      <c r="O1078" s="93">
        <v>18.5</v>
      </c>
      <c r="P1078" s="93">
        <v>29.5</v>
      </c>
      <c r="Q1078" s="93">
        <v>32.5</v>
      </c>
      <c r="R1078" s="93" t="s">
        <v>123</v>
      </c>
      <c r="S1078" s="93" t="s">
        <v>659</v>
      </c>
      <c r="T1078" s="93" t="s">
        <v>1659</v>
      </c>
      <c r="U1078" s="93" t="s">
        <v>116</v>
      </c>
      <c r="V1078" s="94">
        <v>44628.640972222223</v>
      </c>
      <c r="W1078" s="93" t="s">
        <v>1170</v>
      </c>
      <c r="X1078" s="93" t="s">
        <v>24</v>
      </c>
    </row>
    <row r="1079" spans="1:24" hidden="1" x14ac:dyDescent="0.15">
      <c r="A1079" s="93" t="s">
        <v>3105</v>
      </c>
      <c r="B1079" s="93" t="s">
        <v>3106</v>
      </c>
      <c r="C1079" s="410">
        <v>3465</v>
      </c>
      <c r="D1079" s="93" t="s">
        <v>9</v>
      </c>
      <c r="E1079" s="93" t="s">
        <v>9</v>
      </c>
      <c r="F1079" s="93" t="s">
        <v>1648</v>
      </c>
      <c r="G1079" s="93" t="s">
        <v>9117</v>
      </c>
      <c r="H1079" s="93" t="s">
        <v>1943</v>
      </c>
      <c r="I1079" s="93" t="s">
        <v>111</v>
      </c>
      <c r="J1079" s="93" t="s">
        <v>963</v>
      </c>
      <c r="K1079" s="93">
        <v>60</v>
      </c>
      <c r="L1079" s="93" t="s">
        <v>111</v>
      </c>
      <c r="M1079" s="93">
        <v>4.5</v>
      </c>
      <c r="N1079" s="93" t="s">
        <v>113</v>
      </c>
      <c r="O1079" s="93">
        <v>18.5</v>
      </c>
      <c r="P1079" s="93">
        <v>29.5</v>
      </c>
      <c r="Q1079" s="93">
        <v>32.5</v>
      </c>
      <c r="R1079" s="93" t="s">
        <v>123</v>
      </c>
      <c r="S1079" s="93" t="s">
        <v>659</v>
      </c>
      <c r="T1079" s="93" t="s">
        <v>1659</v>
      </c>
      <c r="U1079" s="93" t="s">
        <v>116</v>
      </c>
      <c r="V1079" s="94">
        <v>44628.584722222222</v>
      </c>
      <c r="W1079" s="93" t="s">
        <v>1170</v>
      </c>
      <c r="X1079" s="93" t="s">
        <v>24</v>
      </c>
    </row>
    <row r="1080" spans="1:24" hidden="1" x14ac:dyDescent="0.15">
      <c r="A1080" s="93" t="s">
        <v>3107</v>
      </c>
      <c r="B1080" s="93" t="s">
        <v>3108</v>
      </c>
      <c r="C1080" s="410">
        <v>3465</v>
      </c>
      <c r="D1080" s="93" t="s">
        <v>9</v>
      </c>
      <c r="E1080" s="93" t="s">
        <v>9</v>
      </c>
      <c r="F1080" s="93" t="s">
        <v>1648</v>
      </c>
      <c r="G1080" s="93" t="s">
        <v>9117</v>
      </c>
      <c r="H1080" s="93" t="s">
        <v>1943</v>
      </c>
      <c r="I1080" s="93" t="s">
        <v>111</v>
      </c>
      <c r="J1080" s="93" t="s">
        <v>963</v>
      </c>
      <c r="K1080" s="93">
        <v>60</v>
      </c>
      <c r="L1080" s="93" t="s">
        <v>111</v>
      </c>
      <c r="M1080" s="93">
        <v>4.5</v>
      </c>
      <c r="N1080" s="93" t="s">
        <v>113</v>
      </c>
      <c r="O1080" s="93">
        <v>18.5</v>
      </c>
      <c r="P1080" s="93">
        <v>29.5</v>
      </c>
      <c r="Q1080" s="93">
        <v>32.5</v>
      </c>
      <c r="R1080" s="93" t="s">
        <v>123</v>
      </c>
      <c r="S1080" s="93" t="s">
        <v>659</v>
      </c>
      <c r="T1080" s="93" t="s">
        <v>1659</v>
      </c>
      <c r="U1080" s="93" t="s">
        <v>116</v>
      </c>
      <c r="V1080" s="94">
        <v>44628.476388888892</v>
      </c>
      <c r="W1080" s="93" t="s">
        <v>1170</v>
      </c>
      <c r="X1080" s="93" t="s">
        <v>24</v>
      </c>
    </row>
    <row r="1081" spans="1:24" hidden="1" x14ac:dyDescent="0.15">
      <c r="A1081" s="93" t="s">
        <v>3109</v>
      </c>
      <c r="B1081" s="93" t="s">
        <v>3110</v>
      </c>
      <c r="C1081" s="410">
        <v>3465</v>
      </c>
      <c r="D1081" s="93" t="s">
        <v>9</v>
      </c>
      <c r="E1081" s="93" t="s">
        <v>9</v>
      </c>
      <c r="F1081" s="93" t="s">
        <v>1648</v>
      </c>
      <c r="G1081" s="93" t="s">
        <v>9117</v>
      </c>
      <c r="H1081" s="93" t="s">
        <v>1943</v>
      </c>
      <c r="I1081" s="93" t="s">
        <v>111</v>
      </c>
      <c r="J1081" s="93" t="s">
        <v>963</v>
      </c>
      <c r="K1081" s="93">
        <v>60</v>
      </c>
      <c r="L1081" s="93" t="s">
        <v>111</v>
      </c>
      <c r="M1081" s="93">
        <v>4.5</v>
      </c>
      <c r="N1081" s="93" t="s">
        <v>113</v>
      </c>
      <c r="O1081" s="93">
        <v>18.5</v>
      </c>
      <c r="P1081" s="93">
        <v>29.5</v>
      </c>
      <c r="Q1081" s="93">
        <v>32.5</v>
      </c>
      <c r="R1081" s="93" t="s">
        <v>123</v>
      </c>
      <c r="S1081" s="93" t="s">
        <v>659</v>
      </c>
      <c r="T1081" s="93" t="s">
        <v>1659</v>
      </c>
      <c r="U1081" s="93" t="s">
        <v>116</v>
      </c>
      <c r="V1081" s="94">
        <v>44628.519444444442</v>
      </c>
      <c r="W1081" s="93" t="s">
        <v>1170</v>
      </c>
      <c r="X1081" s="93" t="s">
        <v>24</v>
      </c>
    </row>
    <row r="1082" spans="1:24" hidden="1" x14ac:dyDescent="0.15">
      <c r="A1082" s="93" t="s">
        <v>3111</v>
      </c>
      <c r="B1082" s="93" t="s">
        <v>3112</v>
      </c>
      <c r="C1082" s="410">
        <v>3465</v>
      </c>
      <c r="D1082" s="93" t="s">
        <v>9</v>
      </c>
      <c r="E1082" s="93" t="s">
        <v>9</v>
      </c>
      <c r="F1082" s="93" t="s">
        <v>1648</v>
      </c>
      <c r="G1082" s="93" t="s">
        <v>9117</v>
      </c>
      <c r="H1082" s="93" t="s">
        <v>1943</v>
      </c>
      <c r="I1082" s="93" t="s">
        <v>111</v>
      </c>
      <c r="J1082" s="93" t="s">
        <v>963</v>
      </c>
      <c r="K1082" s="93">
        <v>60</v>
      </c>
      <c r="L1082" s="93" t="s">
        <v>111</v>
      </c>
      <c r="M1082" s="93">
        <v>4.5</v>
      </c>
      <c r="N1082" s="93" t="s">
        <v>113</v>
      </c>
      <c r="O1082" s="93">
        <v>18.5</v>
      </c>
      <c r="P1082" s="93">
        <v>29.5</v>
      </c>
      <c r="Q1082" s="93">
        <v>32.5</v>
      </c>
      <c r="R1082" s="93" t="s">
        <v>123</v>
      </c>
      <c r="S1082" s="93" t="s">
        <v>659</v>
      </c>
      <c r="T1082" s="93" t="s">
        <v>1659</v>
      </c>
      <c r="U1082" s="93" t="s">
        <v>116</v>
      </c>
      <c r="V1082" s="94">
        <v>44628.606249999997</v>
      </c>
      <c r="W1082" s="93" t="s">
        <v>1170</v>
      </c>
      <c r="X1082" s="93" t="s">
        <v>24</v>
      </c>
    </row>
    <row r="1083" spans="1:24" hidden="1" x14ac:dyDescent="0.15">
      <c r="A1083" s="93" t="s">
        <v>3113</v>
      </c>
      <c r="B1083" s="93" t="s">
        <v>3114</v>
      </c>
      <c r="C1083" s="410">
        <v>3465</v>
      </c>
      <c r="D1083" s="93" t="s">
        <v>9</v>
      </c>
      <c r="E1083" s="93" t="s">
        <v>9</v>
      </c>
      <c r="F1083" s="93" t="s">
        <v>1648</v>
      </c>
      <c r="G1083" s="93" t="s">
        <v>9117</v>
      </c>
      <c r="H1083" s="93" t="s">
        <v>1943</v>
      </c>
      <c r="I1083" s="93" t="s">
        <v>111</v>
      </c>
      <c r="J1083" s="93" t="s">
        <v>963</v>
      </c>
      <c r="K1083" s="93">
        <v>60</v>
      </c>
      <c r="L1083" s="93" t="s">
        <v>111</v>
      </c>
      <c r="M1083" s="93">
        <v>4.5</v>
      </c>
      <c r="N1083" s="93" t="s">
        <v>113</v>
      </c>
      <c r="O1083" s="93">
        <v>18.5</v>
      </c>
      <c r="P1083" s="93">
        <v>29.5</v>
      </c>
      <c r="Q1083" s="93">
        <v>32.5</v>
      </c>
      <c r="R1083" s="93" t="s">
        <v>123</v>
      </c>
      <c r="S1083" s="93" t="s">
        <v>659</v>
      </c>
      <c r="T1083" s="93" t="s">
        <v>1659</v>
      </c>
      <c r="U1083" s="93" t="s">
        <v>116</v>
      </c>
      <c r="V1083" s="94">
        <v>44628.640972222223</v>
      </c>
      <c r="W1083" s="93" t="s">
        <v>1170</v>
      </c>
      <c r="X1083" s="93" t="s">
        <v>24</v>
      </c>
    </row>
    <row r="1084" spans="1:24" hidden="1" x14ac:dyDescent="0.15">
      <c r="A1084" s="93" t="s">
        <v>3115</v>
      </c>
      <c r="B1084" s="93" t="s">
        <v>3116</v>
      </c>
      <c r="C1084" s="410">
        <v>3675</v>
      </c>
      <c r="D1084" s="93" t="s">
        <v>9</v>
      </c>
      <c r="E1084" s="93" t="s">
        <v>9</v>
      </c>
      <c r="F1084" s="93" t="s">
        <v>1648</v>
      </c>
      <c r="G1084" s="93" t="s">
        <v>9117</v>
      </c>
      <c r="H1084" s="93" t="s">
        <v>1690</v>
      </c>
      <c r="I1084" s="93" t="s">
        <v>111</v>
      </c>
      <c r="J1084" s="93" t="s">
        <v>2013</v>
      </c>
      <c r="K1084" s="93">
        <v>50</v>
      </c>
      <c r="L1084" s="93" t="s">
        <v>111</v>
      </c>
      <c r="M1084" s="93">
        <v>5.35</v>
      </c>
      <c r="N1084" s="93" t="s">
        <v>113</v>
      </c>
      <c r="O1084" s="93">
        <v>18.5</v>
      </c>
      <c r="P1084" s="93">
        <v>29.5</v>
      </c>
      <c r="Q1084" s="93">
        <v>37.5</v>
      </c>
      <c r="R1084" s="93" t="s">
        <v>123</v>
      </c>
      <c r="S1084" s="93" t="s">
        <v>659</v>
      </c>
      <c r="T1084" s="93" t="s">
        <v>1659</v>
      </c>
      <c r="U1084" s="93" t="s">
        <v>116</v>
      </c>
      <c r="V1084" s="94">
        <v>44628.477777777778</v>
      </c>
      <c r="W1084" s="93" t="s">
        <v>1170</v>
      </c>
      <c r="X1084" s="93" t="s">
        <v>24</v>
      </c>
    </row>
    <row r="1085" spans="1:24" hidden="1" x14ac:dyDescent="0.15">
      <c r="A1085" s="93" t="s">
        <v>3117</v>
      </c>
      <c r="B1085" s="93" t="s">
        <v>3118</v>
      </c>
      <c r="C1085" s="410">
        <v>3675</v>
      </c>
      <c r="D1085" s="93" t="s">
        <v>9</v>
      </c>
      <c r="E1085" s="93" t="s">
        <v>9</v>
      </c>
      <c r="F1085" s="93" t="s">
        <v>1648</v>
      </c>
      <c r="G1085" s="93" t="s">
        <v>9117</v>
      </c>
      <c r="H1085" s="93" t="s">
        <v>1690</v>
      </c>
      <c r="I1085" s="93" t="s">
        <v>111</v>
      </c>
      <c r="J1085" s="93" t="s">
        <v>2013</v>
      </c>
      <c r="K1085" s="93">
        <v>50</v>
      </c>
      <c r="L1085" s="93" t="s">
        <v>111</v>
      </c>
      <c r="M1085" s="93">
        <v>5.35</v>
      </c>
      <c r="N1085" s="93" t="s">
        <v>113</v>
      </c>
      <c r="O1085" s="93">
        <v>18.5</v>
      </c>
      <c r="P1085" s="93">
        <v>29.5</v>
      </c>
      <c r="Q1085" s="93">
        <v>37.5</v>
      </c>
      <c r="R1085" s="93" t="s">
        <v>123</v>
      </c>
      <c r="S1085" s="93" t="s">
        <v>659</v>
      </c>
      <c r="T1085" s="93" t="s">
        <v>1659</v>
      </c>
      <c r="U1085" s="93" t="s">
        <v>116</v>
      </c>
      <c r="V1085" s="94">
        <v>44628.520833333336</v>
      </c>
      <c r="W1085" s="93" t="s">
        <v>1170</v>
      </c>
      <c r="X1085" s="93" t="s">
        <v>24</v>
      </c>
    </row>
    <row r="1086" spans="1:24" hidden="1" x14ac:dyDescent="0.15">
      <c r="A1086" s="93" t="s">
        <v>3119</v>
      </c>
      <c r="B1086" s="93" t="s">
        <v>3120</v>
      </c>
      <c r="C1086" s="410">
        <v>3675</v>
      </c>
      <c r="D1086" s="93" t="s">
        <v>9</v>
      </c>
      <c r="E1086" s="93" t="s">
        <v>9</v>
      </c>
      <c r="F1086" s="93" t="s">
        <v>1648</v>
      </c>
      <c r="G1086" s="93" t="s">
        <v>9117</v>
      </c>
      <c r="H1086" s="93" t="s">
        <v>1690</v>
      </c>
      <c r="I1086" s="93" t="s">
        <v>111</v>
      </c>
      <c r="J1086" s="93" t="s">
        <v>2013</v>
      </c>
      <c r="K1086" s="93">
        <v>50</v>
      </c>
      <c r="L1086" s="93" t="s">
        <v>111</v>
      </c>
      <c r="M1086" s="93">
        <v>5.35</v>
      </c>
      <c r="N1086" s="93" t="s">
        <v>113</v>
      </c>
      <c r="O1086" s="93">
        <v>18.5</v>
      </c>
      <c r="P1086" s="93">
        <v>29.5</v>
      </c>
      <c r="Q1086" s="93">
        <v>37.5</v>
      </c>
      <c r="R1086" s="93" t="s">
        <v>123</v>
      </c>
      <c r="S1086" s="93" t="s">
        <v>659</v>
      </c>
      <c r="T1086" s="93" t="s">
        <v>1659</v>
      </c>
      <c r="U1086" s="93" t="s">
        <v>116</v>
      </c>
      <c r="V1086" s="94">
        <v>44628.563888888886</v>
      </c>
      <c r="W1086" s="93" t="s">
        <v>1170</v>
      </c>
      <c r="X1086" s="93" t="s">
        <v>24</v>
      </c>
    </row>
    <row r="1087" spans="1:24" hidden="1" x14ac:dyDescent="0.15">
      <c r="A1087" s="93" t="s">
        <v>3121</v>
      </c>
      <c r="B1087" s="93" t="s">
        <v>3122</v>
      </c>
      <c r="C1087" s="410">
        <v>3675</v>
      </c>
      <c r="D1087" s="93" t="s">
        <v>9</v>
      </c>
      <c r="E1087" s="93" t="s">
        <v>9</v>
      </c>
      <c r="F1087" s="93" t="s">
        <v>1648</v>
      </c>
      <c r="G1087" s="93" t="s">
        <v>9117</v>
      </c>
      <c r="H1087" s="93" t="s">
        <v>1690</v>
      </c>
      <c r="I1087" s="93" t="s">
        <v>111</v>
      </c>
      <c r="J1087" s="93" t="s">
        <v>2013</v>
      </c>
      <c r="K1087" s="93">
        <v>50</v>
      </c>
      <c r="L1087" s="93" t="s">
        <v>111</v>
      </c>
      <c r="M1087" s="93">
        <v>5.35</v>
      </c>
      <c r="N1087" s="93" t="s">
        <v>113</v>
      </c>
      <c r="O1087" s="93">
        <v>18.5</v>
      </c>
      <c r="P1087" s="93">
        <v>29.5</v>
      </c>
      <c r="Q1087" s="93">
        <v>37.5</v>
      </c>
      <c r="R1087" s="93" t="s">
        <v>123</v>
      </c>
      <c r="S1087" s="93" t="s">
        <v>659</v>
      </c>
      <c r="T1087" s="93" t="s">
        <v>1659</v>
      </c>
      <c r="U1087" s="93" t="s">
        <v>116</v>
      </c>
      <c r="V1087" s="94">
        <v>44628.543055555558</v>
      </c>
      <c r="W1087" s="93" t="s">
        <v>1170</v>
      </c>
      <c r="X1087" s="93" t="s">
        <v>24</v>
      </c>
    </row>
    <row r="1088" spans="1:24" hidden="1" x14ac:dyDescent="0.15">
      <c r="A1088" s="93" t="s">
        <v>3123</v>
      </c>
      <c r="B1088" s="93" t="s">
        <v>3124</v>
      </c>
      <c r="C1088" s="410">
        <v>3675</v>
      </c>
      <c r="D1088" s="93" t="s">
        <v>9</v>
      </c>
      <c r="E1088" s="93" t="s">
        <v>9</v>
      </c>
      <c r="F1088" s="93" t="s">
        <v>1648</v>
      </c>
      <c r="G1088" s="93" t="s">
        <v>9117</v>
      </c>
      <c r="H1088" s="93" t="s">
        <v>1690</v>
      </c>
      <c r="I1088" s="93" t="s">
        <v>111</v>
      </c>
      <c r="J1088" s="93" t="s">
        <v>2013</v>
      </c>
      <c r="K1088" s="93">
        <v>50</v>
      </c>
      <c r="L1088" s="93" t="s">
        <v>111</v>
      </c>
      <c r="M1088" s="93">
        <v>5.35</v>
      </c>
      <c r="N1088" s="93" t="s">
        <v>113</v>
      </c>
      <c r="O1088" s="93">
        <v>18.5</v>
      </c>
      <c r="P1088" s="93">
        <v>29.5</v>
      </c>
      <c r="Q1088" s="93">
        <v>37.5</v>
      </c>
      <c r="R1088" s="93" t="s">
        <v>123</v>
      </c>
      <c r="S1088" s="93" t="s">
        <v>659</v>
      </c>
      <c r="T1088" s="93" t="s">
        <v>1659</v>
      </c>
      <c r="U1088" s="93" t="s">
        <v>116</v>
      </c>
      <c r="V1088" s="94">
        <v>44628.642361111109</v>
      </c>
      <c r="W1088" s="93" t="s">
        <v>1170</v>
      </c>
      <c r="X1088" s="93" t="s">
        <v>24</v>
      </c>
    </row>
    <row r="1089" spans="1:24" hidden="1" x14ac:dyDescent="0.15">
      <c r="A1089" s="93" t="s">
        <v>3125</v>
      </c>
      <c r="B1089" s="93" t="s">
        <v>3126</v>
      </c>
      <c r="C1089" s="410">
        <v>3675</v>
      </c>
      <c r="D1089" s="93" t="s">
        <v>9</v>
      </c>
      <c r="E1089" s="93" t="s">
        <v>9</v>
      </c>
      <c r="F1089" s="93" t="s">
        <v>1648</v>
      </c>
      <c r="G1089" s="93" t="s">
        <v>9117</v>
      </c>
      <c r="H1089" s="93" t="s">
        <v>1690</v>
      </c>
      <c r="I1089" s="93" t="s">
        <v>111</v>
      </c>
      <c r="J1089" s="93" t="s">
        <v>2013</v>
      </c>
      <c r="K1089" s="93">
        <v>50</v>
      </c>
      <c r="L1089" s="93" t="s">
        <v>111</v>
      </c>
      <c r="M1089" s="93">
        <v>5.35</v>
      </c>
      <c r="N1089" s="93" t="s">
        <v>113</v>
      </c>
      <c r="O1089" s="93">
        <v>18.5</v>
      </c>
      <c r="P1089" s="93">
        <v>29.5</v>
      </c>
      <c r="Q1089" s="93">
        <v>37.5</v>
      </c>
      <c r="R1089" s="93" t="s">
        <v>123</v>
      </c>
      <c r="S1089" s="93" t="s">
        <v>659</v>
      </c>
      <c r="T1089" s="93" t="s">
        <v>1659</v>
      </c>
      <c r="U1089" s="93" t="s">
        <v>116</v>
      </c>
      <c r="V1089" s="94">
        <v>44628.520833333336</v>
      </c>
      <c r="W1089" s="93" t="s">
        <v>1170</v>
      </c>
      <c r="X1089" s="93" t="s">
        <v>24</v>
      </c>
    </row>
    <row r="1090" spans="1:24" hidden="1" x14ac:dyDescent="0.15">
      <c r="A1090" s="93" t="s">
        <v>3127</v>
      </c>
      <c r="B1090" s="93" t="s">
        <v>3128</v>
      </c>
      <c r="C1090" s="410">
        <v>3675</v>
      </c>
      <c r="D1090" s="93" t="s">
        <v>9</v>
      </c>
      <c r="E1090" s="93" t="s">
        <v>9</v>
      </c>
      <c r="F1090" s="93" t="s">
        <v>1648</v>
      </c>
      <c r="G1090" s="93" t="s">
        <v>9117</v>
      </c>
      <c r="H1090" s="93" t="s">
        <v>1690</v>
      </c>
      <c r="I1090" s="93" t="s">
        <v>111</v>
      </c>
      <c r="J1090" s="93" t="s">
        <v>2013</v>
      </c>
      <c r="K1090" s="93">
        <v>50</v>
      </c>
      <c r="L1090" s="93" t="s">
        <v>111</v>
      </c>
      <c r="M1090" s="93">
        <v>5.35</v>
      </c>
      <c r="N1090" s="93" t="s">
        <v>113</v>
      </c>
      <c r="O1090" s="93">
        <v>18.5</v>
      </c>
      <c r="P1090" s="93">
        <v>29.5</v>
      </c>
      <c r="Q1090" s="93">
        <v>37.5</v>
      </c>
      <c r="R1090" s="93" t="s">
        <v>123</v>
      </c>
      <c r="S1090" s="93" t="s">
        <v>659</v>
      </c>
      <c r="T1090" s="93" t="s">
        <v>1659</v>
      </c>
      <c r="U1090" s="93" t="s">
        <v>116</v>
      </c>
      <c r="V1090" s="94">
        <v>44628.476388888892</v>
      </c>
      <c r="W1090" s="93" t="s">
        <v>1170</v>
      </c>
      <c r="X1090" s="93" t="s">
        <v>9</v>
      </c>
    </row>
    <row r="1091" spans="1:24" hidden="1" x14ac:dyDescent="0.15">
      <c r="A1091" s="93" t="s">
        <v>3129</v>
      </c>
      <c r="B1091" s="93" t="s">
        <v>3130</v>
      </c>
      <c r="C1091" s="410">
        <v>3675</v>
      </c>
      <c r="D1091" s="93" t="s">
        <v>9</v>
      </c>
      <c r="E1091" s="93" t="s">
        <v>9</v>
      </c>
      <c r="F1091" s="93" t="s">
        <v>1648</v>
      </c>
      <c r="G1091" s="93" t="s">
        <v>9117</v>
      </c>
      <c r="H1091" s="93" t="s">
        <v>1690</v>
      </c>
      <c r="I1091" s="93" t="s">
        <v>111</v>
      </c>
      <c r="J1091" s="93" t="s">
        <v>2013</v>
      </c>
      <c r="K1091" s="93">
        <v>50</v>
      </c>
      <c r="L1091" s="93" t="s">
        <v>111</v>
      </c>
      <c r="M1091" s="93">
        <v>5.35</v>
      </c>
      <c r="N1091" s="93" t="s">
        <v>113</v>
      </c>
      <c r="O1091" s="93">
        <v>18.5</v>
      </c>
      <c r="P1091" s="93">
        <v>29.5</v>
      </c>
      <c r="Q1091" s="93">
        <v>37.5</v>
      </c>
      <c r="R1091" s="93" t="s">
        <v>123</v>
      </c>
      <c r="S1091" s="93" t="s">
        <v>659</v>
      </c>
      <c r="T1091" s="93" t="s">
        <v>1659</v>
      </c>
      <c r="U1091" s="93" t="s">
        <v>116</v>
      </c>
      <c r="V1091" s="94">
        <v>44628.584722222222</v>
      </c>
      <c r="W1091" s="93" t="s">
        <v>1170</v>
      </c>
      <c r="X1091" s="93" t="s">
        <v>9</v>
      </c>
    </row>
    <row r="1092" spans="1:24" hidden="1" x14ac:dyDescent="0.15">
      <c r="A1092" s="93" t="s">
        <v>3131</v>
      </c>
      <c r="B1092" s="93" t="s">
        <v>3132</v>
      </c>
      <c r="C1092" s="410">
        <v>3675</v>
      </c>
      <c r="D1092" s="93" t="s">
        <v>9</v>
      </c>
      <c r="E1092" s="93" t="s">
        <v>9</v>
      </c>
      <c r="F1092" s="93" t="s">
        <v>1648</v>
      </c>
      <c r="G1092" s="93" t="s">
        <v>9117</v>
      </c>
      <c r="H1092" s="93" t="s">
        <v>1690</v>
      </c>
      <c r="I1092" s="93" t="s">
        <v>111</v>
      </c>
      <c r="J1092" s="93" t="s">
        <v>2013</v>
      </c>
      <c r="K1092" s="93">
        <v>50</v>
      </c>
      <c r="L1092" s="93" t="s">
        <v>111</v>
      </c>
      <c r="M1092" s="93">
        <v>5.35</v>
      </c>
      <c r="N1092" s="93" t="s">
        <v>113</v>
      </c>
      <c r="O1092" s="93">
        <v>18.5</v>
      </c>
      <c r="P1092" s="93">
        <v>29.5</v>
      </c>
      <c r="Q1092" s="93">
        <v>37.5</v>
      </c>
      <c r="R1092" s="93" t="s">
        <v>123</v>
      </c>
      <c r="S1092" s="93" t="s">
        <v>659</v>
      </c>
      <c r="T1092" s="93" t="s">
        <v>1659</v>
      </c>
      <c r="U1092" s="93" t="s">
        <v>116</v>
      </c>
      <c r="V1092" s="94">
        <v>44628.5625</v>
      </c>
      <c r="W1092" s="93" t="s">
        <v>1170</v>
      </c>
      <c r="X1092" s="93" t="s">
        <v>24</v>
      </c>
    </row>
    <row r="1093" spans="1:24" hidden="1" x14ac:dyDescent="0.15">
      <c r="A1093" s="93" t="s">
        <v>3133</v>
      </c>
      <c r="B1093" s="93" t="s">
        <v>3134</v>
      </c>
      <c r="C1093" s="410">
        <v>3675</v>
      </c>
      <c r="D1093" s="93" t="s">
        <v>9</v>
      </c>
      <c r="E1093" s="93" t="s">
        <v>9</v>
      </c>
      <c r="F1093" s="93" t="s">
        <v>1648</v>
      </c>
      <c r="G1093" s="93" t="s">
        <v>9117</v>
      </c>
      <c r="H1093" s="93" t="s">
        <v>1690</v>
      </c>
      <c r="I1093" s="93" t="s">
        <v>111</v>
      </c>
      <c r="J1093" s="93" t="s">
        <v>2013</v>
      </c>
      <c r="K1093" s="93">
        <v>50</v>
      </c>
      <c r="L1093" s="93" t="s">
        <v>111</v>
      </c>
      <c r="M1093" s="93">
        <v>5.35</v>
      </c>
      <c r="N1093" s="93" t="s">
        <v>113</v>
      </c>
      <c r="O1093" s="93">
        <v>18.5</v>
      </c>
      <c r="P1093" s="93">
        <v>29.5</v>
      </c>
      <c r="Q1093" s="93">
        <v>37.5</v>
      </c>
      <c r="R1093" s="93" t="s">
        <v>123</v>
      </c>
      <c r="S1093" s="93" t="s">
        <v>659</v>
      </c>
      <c r="T1093" s="93" t="s">
        <v>1659</v>
      </c>
      <c r="U1093" s="93" t="s">
        <v>116</v>
      </c>
      <c r="V1093" s="94">
        <v>44628.540972222225</v>
      </c>
      <c r="W1093" s="93" t="s">
        <v>1170</v>
      </c>
      <c r="X1093" s="93" t="s">
        <v>24</v>
      </c>
    </row>
    <row r="1094" spans="1:24" hidden="1" x14ac:dyDescent="0.15">
      <c r="A1094" s="93" t="s">
        <v>3135</v>
      </c>
      <c r="B1094" s="93" t="s">
        <v>3136</v>
      </c>
      <c r="C1094" s="410">
        <v>3675</v>
      </c>
      <c r="D1094" s="93" t="s">
        <v>9</v>
      </c>
      <c r="E1094" s="93" t="s">
        <v>9</v>
      </c>
      <c r="F1094" s="93" t="s">
        <v>1648</v>
      </c>
      <c r="G1094" s="93" t="s">
        <v>9117</v>
      </c>
      <c r="H1094" s="93" t="s">
        <v>1690</v>
      </c>
      <c r="I1094" s="93" t="s">
        <v>111</v>
      </c>
      <c r="J1094" s="93" t="s">
        <v>2013</v>
      </c>
      <c r="K1094" s="93">
        <v>50</v>
      </c>
      <c r="L1094" s="93" t="s">
        <v>111</v>
      </c>
      <c r="M1094" s="93">
        <v>5.35</v>
      </c>
      <c r="N1094" s="93" t="s">
        <v>113</v>
      </c>
      <c r="O1094" s="93">
        <v>18.5</v>
      </c>
      <c r="P1094" s="93">
        <v>29.5</v>
      </c>
      <c r="Q1094" s="93">
        <v>37.5</v>
      </c>
      <c r="R1094" s="93" t="s">
        <v>123</v>
      </c>
      <c r="S1094" s="93" t="s">
        <v>659</v>
      </c>
      <c r="T1094" s="93" t="s">
        <v>1659</v>
      </c>
      <c r="U1094" s="93" t="s">
        <v>116</v>
      </c>
      <c r="V1094" s="94">
        <v>44628.540972222225</v>
      </c>
      <c r="W1094" s="93" t="s">
        <v>1170</v>
      </c>
      <c r="X1094" s="93" t="s">
        <v>9</v>
      </c>
    </row>
    <row r="1095" spans="1:24" hidden="1" x14ac:dyDescent="0.15">
      <c r="A1095" s="93" t="s">
        <v>3137</v>
      </c>
      <c r="B1095" s="93" t="s">
        <v>3138</v>
      </c>
      <c r="C1095" s="410">
        <v>3675</v>
      </c>
      <c r="D1095" s="93" t="s">
        <v>9</v>
      </c>
      <c r="E1095" s="93" t="s">
        <v>9</v>
      </c>
      <c r="F1095" s="93" t="s">
        <v>1648</v>
      </c>
      <c r="G1095" s="93" t="s">
        <v>9117</v>
      </c>
      <c r="H1095" s="93" t="s">
        <v>1690</v>
      </c>
      <c r="I1095" s="93" t="s">
        <v>111</v>
      </c>
      <c r="J1095" s="93" t="s">
        <v>2013</v>
      </c>
      <c r="K1095" s="93">
        <v>50</v>
      </c>
      <c r="L1095" s="93" t="s">
        <v>111</v>
      </c>
      <c r="M1095" s="93">
        <v>5.35</v>
      </c>
      <c r="N1095" s="93" t="s">
        <v>113</v>
      </c>
      <c r="O1095" s="93">
        <v>18.5</v>
      </c>
      <c r="P1095" s="93">
        <v>29.5</v>
      </c>
      <c r="Q1095" s="93">
        <v>37.5</v>
      </c>
      <c r="R1095" s="93" t="s">
        <v>123</v>
      </c>
      <c r="S1095" s="93" t="s">
        <v>659</v>
      </c>
      <c r="T1095" s="93" t="s">
        <v>1659</v>
      </c>
      <c r="U1095" s="93" t="s">
        <v>116</v>
      </c>
      <c r="V1095" s="94">
        <v>44628.640972222223</v>
      </c>
      <c r="W1095" s="93" t="s">
        <v>1170</v>
      </c>
      <c r="X1095" s="93" t="s">
        <v>9</v>
      </c>
    </row>
    <row r="1096" spans="1:24" hidden="1" x14ac:dyDescent="0.15">
      <c r="A1096" s="93" t="s">
        <v>3139</v>
      </c>
      <c r="B1096" s="93" t="s">
        <v>3140</v>
      </c>
      <c r="C1096" s="410">
        <v>4620</v>
      </c>
      <c r="D1096" s="93" t="s">
        <v>9</v>
      </c>
      <c r="E1096" s="93" t="s">
        <v>9</v>
      </c>
      <c r="F1096" s="93" t="s">
        <v>1648</v>
      </c>
      <c r="G1096" s="93" t="s">
        <v>9117</v>
      </c>
      <c r="H1096" s="93" t="s">
        <v>1690</v>
      </c>
      <c r="I1096" s="93" t="s">
        <v>111</v>
      </c>
      <c r="J1096" s="93" t="s">
        <v>2086</v>
      </c>
      <c r="K1096" s="93">
        <v>50</v>
      </c>
      <c r="L1096" s="93" t="s">
        <v>111</v>
      </c>
      <c r="M1096" s="93">
        <v>6.1</v>
      </c>
      <c r="N1096" s="93" t="s">
        <v>113</v>
      </c>
      <c r="O1096" s="93">
        <v>18.5</v>
      </c>
      <c r="P1096" s="93">
        <v>29.5</v>
      </c>
      <c r="Q1096" s="93">
        <v>37.5</v>
      </c>
      <c r="R1096" s="93" t="s">
        <v>123</v>
      </c>
      <c r="S1096" s="93" t="s">
        <v>659</v>
      </c>
      <c r="T1096" s="93" t="s">
        <v>1659</v>
      </c>
      <c r="U1096" s="93" t="s">
        <v>116</v>
      </c>
      <c r="V1096" s="94">
        <v>44628.642361111109</v>
      </c>
      <c r="W1096" s="93" t="s">
        <v>1170</v>
      </c>
      <c r="X1096" s="93" t="s">
        <v>24</v>
      </c>
    </row>
    <row r="1097" spans="1:24" hidden="1" x14ac:dyDescent="0.15">
      <c r="A1097" s="93" t="s">
        <v>3141</v>
      </c>
      <c r="B1097" s="93" t="s">
        <v>3142</v>
      </c>
      <c r="C1097" s="410">
        <v>4620</v>
      </c>
      <c r="D1097" s="93" t="s">
        <v>9</v>
      </c>
      <c r="E1097" s="93" t="s">
        <v>9</v>
      </c>
      <c r="F1097" s="93" t="s">
        <v>1648</v>
      </c>
      <c r="G1097" s="93" t="s">
        <v>9117</v>
      </c>
      <c r="H1097" s="93" t="s">
        <v>1690</v>
      </c>
      <c r="I1097" s="93" t="s">
        <v>111</v>
      </c>
      <c r="J1097" s="93" t="s">
        <v>2086</v>
      </c>
      <c r="K1097" s="93">
        <v>50</v>
      </c>
      <c r="L1097" s="93" t="s">
        <v>111</v>
      </c>
      <c r="M1097" s="93">
        <v>6.1</v>
      </c>
      <c r="N1097" s="93" t="s">
        <v>113</v>
      </c>
      <c r="O1097" s="93">
        <v>18.5</v>
      </c>
      <c r="P1097" s="93">
        <v>29.5</v>
      </c>
      <c r="Q1097" s="93">
        <v>37.5</v>
      </c>
      <c r="R1097" s="93" t="s">
        <v>123</v>
      </c>
      <c r="S1097" s="93" t="s">
        <v>659</v>
      </c>
      <c r="T1097" s="93" t="s">
        <v>1659</v>
      </c>
      <c r="U1097" s="93" t="s">
        <v>116</v>
      </c>
      <c r="V1097" s="94">
        <v>44628.606944444444</v>
      </c>
      <c r="W1097" s="93" t="s">
        <v>1170</v>
      </c>
      <c r="X1097" s="93" t="s">
        <v>24</v>
      </c>
    </row>
    <row r="1098" spans="1:24" hidden="1" x14ac:dyDescent="0.15">
      <c r="A1098" s="93" t="s">
        <v>3143</v>
      </c>
      <c r="B1098" s="93" t="s">
        <v>3144</v>
      </c>
      <c r="C1098" s="410">
        <v>4620</v>
      </c>
      <c r="D1098" s="93" t="s">
        <v>9</v>
      </c>
      <c r="E1098" s="93" t="s">
        <v>9</v>
      </c>
      <c r="F1098" s="93" t="s">
        <v>1648</v>
      </c>
      <c r="G1098" s="93" t="s">
        <v>9117</v>
      </c>
      <c r="H1098" s="93" t="s">
        <v>1690</v>
      </c>
      <c r="I1098" s="93" t="s">
        <v>111</v>
      </c>
      <c r="J1098" s="93" t="s">
        <v>2086</v>
      </c>
      <c r="K1098" s="93">
        <v>50</v>
      </c>
      <c r="L1098" s="93" t="s">
        <v>111</v>
      </c>
      <c r="M1098" s="93">
        <v>6.1</v>
      </c>
      <c r="N1098" s="93" t="s">
        <v>113</v>
      </c>
      <c r="O1098" s="93">
        <v>18.5</v>
      </c>
      <c r="P1098" s="93">
        <v>29.5</v>
      </c>
      <c r="Q1098" s="93">
        <v>37.5</v>
      </c>
      <c r="R1098" s="93" t="s">
        <v>123</v>
      </c>
      <c r="S1098" s="93" t="s">
        <v>659</v>
      </c>
      <c r="T1098" s="93" t="s">
        <v>1659</v>
      </c>
      <c r="U1098" s="93" t="s">
        <v>116</v>
      </c>
      <c r="V1098" s="94">
        <v>44628.563888888886</v>
      </c>
      <c r="W1098" s="93" t="s">
        <v>1170</v>
      </c>
      <c r="X1098" s="93" t="s">
        <v>24</v>
      </c>
    </row>
    <row r="1099" spans="1:24" hidden="1" x14ac:dyDescent="0.15">
      <c r="A1099" s="93" t="s">
        <v>3145</v>
      </c>
      <c r="B1099" s="93" t="s">
        <v>3146</v>
      </c>
      <c r="C1099" s="410">
        <v>4620</v>
      </c>
      <c r="D1099" s="93" t="s">
        <v>9</v>
      </c>
      <c r="E1099" s="93" t="s">
        <v>9</v>
      </c>
      <c r="F1099" s="93" t="s">
        <v>1648</v>
      </c>
      <c r="G1099" s="93" t="s">
        <v>9117</v>
      </c>
      <c r="H1099" s="93" t="s">
        <v>1690</v>
      </c>
      <c r="I1099" s="93" t="s">
        <v>111</v>
      </c>
      <c r="J1099" s="93" t="s">
        <v>2086</v>
      </c>
      <c r="K1099" s="93">
        <v>50</v>
      </c>
      <c r="L1099" s="93" t="s">
        <v>111</v>
      </c>
      <c r="M1099" s="93">
        <v>6.1</v>
      </c>
      <c r="N1099" s="93" t="s">
        <v>113</v>
      </c>
      <c r="O1099" s="93">
        <v>18.5</v>
      </c>
      <c r="P1099" s="93">
        <v>29.5</v>
      </c>
      <c r="Q1099" s="93">
        <v>37.5</v>
      </c>
      <c r="R1099" s="93" t="s">
        <v>123</v>
      </c>
      <c r="S1099" s="93" t="s">
        <v>659</v>
      </c>
      <c r="T1099" s="93" t="s">
        <v>1659</v>
      </c>
      <c r="U1099" s="93" t="s">
        <v>116</v>
      </c>
      <c r="V1099" s="94">
        <v>44628.498611111114</v>
      </c>
      <c r="W1099" s="93" t="s">
        <v>1170</v>
      </c>
      <c r="X1099" s="93" t="s">
        <v>24</v>
      </c>
    </row>
    <row r="1100" spans="1:24" hidden="1" x14ac:dyDescent="0.15">
      <c r="A1100" s="93" t="s">
        <v>3147</v>
      </c>
      <c r="B1100" s="93" t="s">
        <v>3148</v>
      </c>
      <c r="C1100" s="410">
        <v>4620</v>
      </c>
      <c r="D1100" s="93" t="s">
        <v>9</v>
      </c>
      <c r="E1100" s="93" t="s">
        <v>9</v>
      </c>
      <c r="F1100" s="93" t="s">
        <v>1648</v>
      </c>
      <c r="G1100" s="93" t="s">
        <v>9117</v>
      </c>
      <c r="H1100" s="93" t="s">
        <v>1690</v>
      </c>
      <c r="I1100" s="93" t="s">
        <v>111</v>
      </c>
      <c r="J1100" s="93" t="s">
        <v>2086</v>
      </c>
      <c r="K1100" s="93">
        <v>50</v>
      </c>
      <c r="L1100" s="93" t="s">
        <v>111</v>
      </c>
      <c r="M1100" s="93">
        <v>6.1</v>
      </c>
      <c r="N1100" s="93" t="s">
        <v>113</v>
      </c>
      <c r="O1100" s="93">
        <v>18.5</v>
      </c>
      <c r="P1100" s="93">
        <v>29.5</v>
      </c>
      <c r="Q1100" s="93">
        <v>37.5</v>
      </c>
      <c r="R1100" s="93" t="s">
        <v>123</v>
      </c>
      <c r="S1100" s="93" t="s">
        <v>659</v>
      </c>
      <c r="T1100" s="93" t="s">
        <v>1659</v>
      </c>
      <c r="U1100" s="93" t="s">
        <v>116</v>
      </c>
      <c r="V1100" s="94">
        <v>44628.563888888886</v>
      </c>
      <c r="W1100" s="93" t="s">
        <v>1170</v>
      </c>
      <c r="X1100" s="93" t="s">
        <v>24</v>
      </c>
    </row>
    <row r="1101" spans="1:24" hidden="1" x14ac:dyDescent="0.15">
      <c r="A1101" s="93" t="s">
        <v>3149</v>
      </c>
      <c r="B1101" s="93" t="s">
        <v>3150</v>
      </c>
      <c r="C1101" s="410">
        <v>4620</v>
      </c>
      <c r="D1101" s="93" t="s">
        <v>9</v>
      </c>
      <c r="E1101" s="93" t="s">
        <v>9</v>
      </c>
      <c r="F1101" s="93" t="s">
        <v>1648</v>
      </c>
      <c r="G1101" s="93" t="s">
        <v>9117</v>
      </c>
      <c r="H1101" s="93" t="s">
        <v>1690</v>
      </c>
      <c r="I1101" s="93" t="s">
        <v>111</v>
      </c>
      <c r="J1101" s="93" t="s">
        <v>2086</v>
      </c>
      <c r="K1101" s="93">
        <v>50</v>
      </c>
      <c r="L1101" s="93" t="s">
        <v>111</v>
      </c>
      <c r="M1101" s="93">
        <v>6.1</v>
      </c>
      <c r="N1101" s="93" t="s">
        <v>113</v>
      </c>
      <c r="O1101" s="93">
        <v>18.5</v>
      </c>
      <c r="P1101" s="93">
        <v>29.5</v>
      </c>
      <c r="Q1101" s="93">
        <v>37.5</v>
      </c>
      <c r="R1101" s="93" t="s">
        <v>123</v>
      </c>
      <c r="S1101" s="93" t="s">
        <v>659</v>
      </c>
      <c r="T1101" s="93" t="s">
        <v>1659</v>
      </c>
      <c r="U1101" s="93" t="s">
        <v>116</v>
      </c>
      <c r="V1101" s="94">
        <v>44628.498611111114</v>
      </c>
      <c r="W1101" s="93" t="s">
        <v>1170</v>
      </c>
      <c r="X1101" s="93" t="s">
        <v>24</v>
      </c>
    </row>
    <row r="1102" spans="1:24" hidden="1" x14ac:dyDescent="0.15">
      <c r="A1102" s="93" t="s">
        <v>3151</v>
      </c>
      <c r="B1102" s="93" t="s">
        <v>3152</v>
      </c>
      <c r="C1102" s="410">
        <v>4620</v>
      </c>
      <c r="D1102" s="93" t="s">
        <v>9</v>
      </c>
      <c r="E1102" s="93" t="s">
        <v>9</v>
      </c>
      <c r="F1102" s="93" t="s">
        <v>1648</v>
      </c>
      <c r="G1102" s="93" t="s">
        <v>9117</v>
      </c>
      <c r="H1102" s="93" t="s">
        <v>1690</v>
      </c>
      <c r="I1102" s="93" t="s">
        <v>111</v>
      </c>
      <c r="J1102" s="93" t="s">
        <v>2086</v>
      </c>
      <c r="K1102" s="93">
        <v>50</v>
      </c>
      <c r="L1102" s="93" t="s">
        <v>111</v>
      </c>
      <c r="M1102" s="93">
        <v>6.1</v>
      </c>
      <c r="N1102" s="93" t="s">
        <v>113</v>
      </c>
      <c r="O1102" s="93">
        <v>18.5</v>
      </c>
      <c r="P1102" s="93">
        <v>29.5</v>
      </c>
      <c r="Q1102" s="93">
        <v>37.5</v>
      </c>
      <c r="R1102" s="93" t="s">
        <v>123</v>
      </c>
      <c r="S1102" s="93" t="s">
        <v>659</v>
      </c>
      <c r="T1102" s="93" t="s">
        <v>1659</v>
      </c>
      <c r="U1102" s="93" t="s">
        <v>116</v>
      </c>
      <c r="V1102" s="94">
        <v>44628.498611111114</v>
      </c>
      <c r="W1102" s="93" t="s">
        <v>1170</v>
      </c>
      <c r="X1102" s="93" t="s">
        <v>24</v>
      </c>
    </row>
    <row r="1103" spans="1:24" hidden="1" x14ac:dyDescent="0.15">
      <c r="A1103" s="93" t="s">
        <v>3153</v>
      </c>
      <c r="B1103" s="93" t="s">
        <v>3154</v>
      </c>
      <c r="C1103" s="410">
        <v>4620</v>
      </c>
      <c r="D1103" s="93" t="s">
        <v>9</v>
      </c>
      <c r="E1103" s="93" t="s">
        <v>9</v>
      </c>
      <c r="F1103" s="93" t="s">
        <v>1648</v>
      </c>
      <c r="G1103" s="93" t="s">
        <v>9117</v>
      </c>
      <c r="H1103" s="93" t="s">
        <v>1690</v>
      </c>
      <c r="I1103" s="93" t="s">
        <v>111</v>
      </c>
      <c r="J1103" s="93" t="s">
        <v>2086</v>
      </c>
      <c r="K1103" s="93">
        <v>50</v>
      </c>
      <c r="L1103" s="93" t="s">
        <v>111</v>
      </c>
      <c r="M1103" s="93">
        <v>6.1</v>
      </c>
      <c r="N1103" s="93" t="s">
        <v>113</v>
      </c>
      <c r="O1103" s="93">
        <v>18.5</v>
      </c>
      <c r="P1103" s="93">
        <v>29.5</v>
      </c>
      <c r="Q1103" s="93">
        <v>37.5</v>
      </c>
      <c r="R1103" s="93" t="s">
        <v>123</v>
      </c>
      <c r="S1103" s="93" t="s">
        <v>659</v>
      </c>
      <c r="T1103" s="93" t="s">
        <v>1659</v>
      </c>
      <c r="U1103" s="93" t="s">
        <v>116</v>
      </c>
      <c r="V1103" s="94">
        <v>44628.606944444444</v>
      </c>
      <c r="W1103" s="93" t="s">
        <v>1170</v>
      </c>
      <c r="X1103" s="93" t="s">
        <v>24</v>
      </c>
    </row>
    <row r="1104" spans="1:24" hidden="1" x14ac:dyDescent="0.15">
      <c r="A1104" s="93" t="s">
        <v>9202</v>
      </c>
      <c r="B1104" s="93" t="s">
        <v>9203</v>
      </c>
      <c r="C1104" s="410">
        <v>4620</v>
      </c>
      <c r="D1104" s="93" t="s">
        <v>9</v>
      </c>
      <c r="E1104" s="93" t="s">
        <v>24</v>
      </c>
      <c r="F1104" s="93" t="s">
        <v>1648</v>
      </c>
      <c r="G1104" s="93" t="s">
        <v>9117</v>
      </c>
      <c r="H1104" s="93" t="s">
        <v>1690</v>
      </c>
      <c r="I1104" s="93" t="s">
        <v>111</v>
      </c>
      <c r="J1104" s="93" t="s">
        <v>2086</v>
      </c>
      <c r="K1104" s="93">
        <v>50</v>
      </c>
      <c r="L1104" s="93" t="s">
        <v>111</v>
      </c>
      <c r="M1104" s="93">
        <v>6.1</v>
      </c>
      <c r="N1104" s="93" t="s">
        <v>113</v>
      </c>
      <c r="O1104" s="93">
        <v>18.5</v>
      </c>
      <c r="P1104" s="93">
        <v>29.5</v>
      </c>
      <c r="Q1104" s="93">
        <v>37.5</v>
      </c>
      <c r="R1104" s="93" t="s">
        <v>123</v>
      </c>
      <c r="S1104" s="93" t="s">
        <v>659</v>
      </c>
      <c r="T1104" s="93" t="s">
        <v>1659</v>
      </c>
      <c r="U1104" s="93" t="s">
        <v>116</v>
      </c>
      <c r="V1104" s="94">
        <v>44628.584027777775</v>
      </c>
      <c r="W1104" s="93" t="s">
        <v>1170</v>
      </c>
      <c r="X1104" s="93" t="s">
        <v>24</v>
      </c>
    </row>
    <row r="1105" spans="1:24" hidden="1" x14ac:dyDescent="0.15">
      <c r="A1105" s="93" t="s">
        <v>9204</v>
      </c>
      <c r="B1105" s="93" t="s">
        <v>9205</v>
      </c>
      <c r="C1105" s="410">
        <v>4620</v>
      </c>
      <c r="D1105" s="93" t="s">
        <v>9</v>
      </c>
      <c r="E1105" s="93" t="s">
        <v>24</v>
      </c>
      <c r="F1105" s="93" t="s">
        <v>1648</v>
      </c>
      <c r="G1105" s="93" t="s">
        <v>9117</v>
      </c>
      <c r="H1105" s="93" t="s">
        <v>1690</v>
      </c>
      <c r="I1105" s="93" t="s">
        <v>111</v>
      </c>
      <c r="J1105" s="93" t="s">
        <v>2086</v>
      </c>
      <c r="K1105" s="93">
        <v>50</v>
      </c>
      <c r="L1105" s="93" t="s">
        <v>111</v>
      </c>
      <c r="M1105" s="93">
        <v>6.1</v>
      </c>
      <c r="N1105" s="93" t="s">
        <v>113</v>
      </c>
      <c r="O1105" s="93">
        <v>18.5</v>
      </c>
      <c r="P1105" s="93">
        <v>29.5</v>
      </c>
      <c r="Q1105" s="93">
        <v>37.5</v>
      </c>
      <c r="R1105" s="93" t="s">
        <v>123</v>
      </c>
      <c r="S1105" s="93" t="s">
        <v>659</v>
      </c>
      <c r="T1105" s="93" t="s">
        <v>1659</v>
      </c>
      <c r="U1105" s="93" t="s">
        <v>116</v>
      </c>
      <c r="V1105" s="94">
        <v>44628.640972222223</v>
      </c>
      <c r="W1105" s="93" t="s">
        <v>1170</v>
      </c>
      <c r="X1105" s="93" t="s">
        <v>24</v>
      </c>
    </row>
    <row r="1106" spans="1:24" hidden="1" x14ac:dyDescent="0.15">
      <c r="A1106" s="93" t="s">
        <v>3155</v>
      </c>
      <c r="B1106" s="93" t="s">
        <v>3156</v>
      </c>
      <c r="C1106" s="410">
        <v>4620</v>
      </c>
      <c r="D1106" s="93" t="s">
        <v>9</v>
      </c>
      <c r="E1106" s="93" t="s">
        <v>9</v>
      </c>
      <c r="F1106" s="93" t="s">
        <v>1648</v>
      </c>
      <c r="G1106" s="93" t="s">
        <v>9117</v>
      </c>
      <c r="H1106" s="93" t="s">
        <v>1690</v>
      </c>
      <c r="I1106" s="93" t="s">
        <v>111</v>
      </c>
      <c r="J1106" s="93" t="s">
        <v>2086</v>
      </c>
      <c r="K1106" s="93">
        <v>50</v>
      </c>
      <c r="L1106" s="93" t="s">
        <v>111</v>
      </c>
      <c r="M1106" s="93">
        <v>6.1</v>
      </c>
      <c r="N1106" s="93" t="s">
        <v>113</v>
      </c>
      <c r="O1106" s="93">
        <v>18.5</v>
      </c>
      <c r="P1106" s="93">
        <v>29.5</v>
      </c>
      <c r="Q1106" s="93">
        <v>37.5</v>
      </c>
      <c r="R1106" s="93" t="s">
        <v>123</v>
      </c>
      <c r="S1106" s="93" t="s">
        <v>659</v>
      </c>
      <c r="T1106" s="93" t="s">
        <v>1659</v>
      </c>
      <c r="U1106" s="93" t="s">
        <v>116</v>
      </c>
      <c r="V1106" s="94">
        <v>44628.540972222225</v>
      </c>
      <c r="W1106" s="93" t="s">
        <v>1170</v>
      </c>
      <c r="X1106" s="93" t="s">
        <v>24</v>
      </c>
    </row>
    <row r="1107" spans="1:24" hidden="1" x14ac:dyDescent="0.15">
      <c r="A1107" s="93" t="s">
        <v>3157</v>
      </c>
      <c r="B1107" s="93" t="s">
        <v>3158</v>
      </c>
      <c r="C1107" s="410">
        <v>4620</v>
      </c>
      <c r="D1107" s="93" t="s">
        <v>9</v>
      </c>
      <c r="E1107" s="93" t="s">
        <v>9</v>
      </c>
      <c r="F1107" s="93" t="s">
        <v>1648</v>
      </c>
      <c r="G1107" s="93" t="s">
        <v>9117</v>
      </c>
      <c r="H1107" s="93" t="s">
        <v>1690</v>
      </c>
      <c r="I1107" s="93" t="s">
        <v>111</v>
      </c>
      <c r="J1107" s="93" t="s">
        <v>2086</v>
      </c>
      <c r="K1107" s="93">
        <v>50</v>
      </c>
      <c r="L1107" s="93" t="s">
        <v>111</v>
      </c>
      <c r="M1107" s="93">
        <v>6.1</v>
      </c>
      <c r="N1107" s="93" t="s">
        <v>113</v>
      </c>
      <c r="O1107" s="93">
        <v>18.5</v>
      </c>
      <c r="P1107" s="93">
        <v>29.5</v>
      </c>
      <c r="Q1107" s="93">
        <v>37.5</v>
      </c>
      <c r="R1107" s="93" t="s">
        <v>123</v>
      </c>
      <c r="S1107" s="93" t="s">
        <v>659</v>
      </c>
      <c r="T1107" s="93" t="s">
        <v>1659</v>
      </c>
      <c r="U1107" s="93" t="s">
        <v>116</v>
      </c>
      <c r="V1107" s="94">
        <v>44628.49722222222</v>
      </c>
      <c r="W1107" s="93" t="s">
        <v>1170</v>
      </c>
      <c r="X1107" s="93" t="s">
        <v>24</v>
      </c>
    </row>
    <row r="1108" spans="1:24" hidden="1" x14ac:dyDescent="0.15">
      <c r="A1108" s="93" t="s">
        <v>3159</v>
      </c>
      <c r="B1108" s="93" t="s">
        <v>3160</v>
      </c>
      <c r="C1108" s="410">
        <v>4620</v>
      </c>
      <c r="D1108" s="93" t="s">
        <v>9</v>
      </c>
      <c r="E1108" s="93" t="s">
        <v>9</v>
      </c>
      <c r="F1108" s="93" t="s">
        <v>1648</v>
      </c>
      <c r="G1108" s="93" t="s">
        <v>9117</v>
      </c>
      <c r="H1108" s="93" t="s">
        <v>1690</v>
      </c>
      <c r="I1108" s="93" t="s">
        <v>111</v>
      </c>
      <c r="J1108" s="93" t="s">
        <v>2086</v>
      </c>
      <c r="K1108" s="93">
        <v>50</v>
      </c>
      <c r="L1108" s="93" t="s">
        <v>111</v>
      </c>
      <c r="M1108" s="93">
        <v>6.1</v>
      </c>
      <c r="N1108" s="93" t="s">
        <v>113</v>
      </c>
      <c r="O1108" s="93">
        <v>18.5</v>
      </c>
      <c r="P1108" s="93">
        <v>29.5</v>
      </c>
      <c r="Q1108" s="93">
        <v>37.5</v>
      </c>
      <c r="R1108" s="93" t="s">
        <v>123</v>
      </c>
      <c r="S1108" s="93" t="s">
        <v>659</v>
      </c>
      <c r="T1108" s="93" t="s">
        <v>1659</v>
      </c>
      <c r="U1108" s="93" t="s">
        <v>116</v>
      </c>
      <c r="V1108" s="94">
        <v>44628.520833333336</v>
      </c>
      <c r="W1108" s="93" t="s">
        <v>1170</v>
      </c>
      <c r="X1108" s="93" t="s">
        <v>24</v>
      </c>
    </row>
    <row r="1109" spans="1:24" hidden="1" x14ac:dyDescent="0.15">
      <c r="A1109" s="93" t="s">
        <v>3161</v>
      </c>
      <c r="B1109" s="93" t="s">
        <v>3162</v>
      </c>
      <c r="C1109" s="410">
        <v>4620</v>
      </c>
      <c r="D1109" s="93" t="s">
        <v>9</v>
      </c>
      <c r="E1109" s="93" t="s">
        <v>9</v>
      </c>
      <c r="F1109" s="93" t="s">
        <v>1648</v>
      </c>
      <c r="G1109" s="93" t="s">
        <v>9117</v>
      </c>
      <c r="H1109" s="93" t="s">
        <v>1690</v>
      </c>
      <c r="I1109" s="93" t="s">
        <v>111</v>
      </c>
      <c r="J1109" s="93" t="s">
        <v>2086</v>
      </c>
      <c r="K1109" s="93">
        <v>50</v>
      </c>
      <c r="L1109" s="93" t="s">
        <v>111</v>
      </c>
      <c r="M1109" s="93">
        <v>6.1</v>
      </c>
      <c r="N1109" s="93" t="s">
        <v>113</v>
      </c>
      <c r="O1109" s="93">
        <v>18.5</v>
      </c>
      <c r="P1109" s="93">
        <v>29.5</v>
      </c>
      <c r="Q1109" s="93">
        <v>37.5</v>
      </c>
      <c r="R1109" s="93" t="s">
        <v>123</v>
      </c>
      <c r="S1109" s="93" t="s">
        <v>659</v>
      </c>
      <c r="T1109" s="93" t="s">
        <v>1659</v>
      </c>
      <c r="U1109" s="93" t="s">
        <v>116</v>
      </c>
      <c r="V1109" s="94">
        <v>44628.586111111108</v>
      </c>
      <c r="W1109" s="93" t="s">
        <v>1170</v>
      </c>
      <c r="X1109" s="93" t="s">
        <v>24</v>
      </c>
    </row>
    <row r="1110" spans="1:24" hidden="1" x14ac:dyDescent="0.15">
      <c r="A1110" s="93" t="s">
        <v>3163</v>
      </c>
      <c r="B1110" s="93" t="s">
        <v>3164</v>
      </c>
      <c r="C1110" s="410">
        <v>8032.5</v>
      </c>
      <c r="D1110" s="93" t="s">
        <v>9</v>
      </c>
      <c r="E1110" s="93" t="s">
        <v>9</v>
      </c>
      <c r="F1110" s="93" t="s">
        <v>1648</v>
      </c>
      <c r="G1110" s="93" t="s">
        <v>9117</v>
      </c>
      <c r="H1110" s="93" t="s">
        <v>1690</v>
      </c>
      <c r="I1110" s="93" t="s">
        <v>111</v>
      </c>
      <c r="J1110" s="93" t="s">
        <v>963</v>
      </c>
      <c r="K1110" s="93">
        <v>60</v>
      </c>
      <c r="L1110" s="93" t="s">
        <v>111</v>
      </c>
      <c r="M1110" s="93">
        <v>5</v>
      </c>
      <c r="N1110" s="93" t="s">
        <v>113</v>
      </c>
      <c r="O1110" s="93">
        <v>15</v>
      </c>
      <c r="P1110" s="93">
        <v>25</v>
      </c>
      <c r="Q1110" s="93">
        <v>42</v>
      </c>
      <c r="R1110" s="93" t="s">
        <v>123</v>
      </c>
      <c r="S1110" s="93" t="s">
        <v>659</v>
      </c>
      <c r="T1110" s="93" t="s">
        <v>1659</v>
      </c>
      <c r="U1110" s="93" t="s">
        <v>116</v>
      </c>
      <c r="V1110" s="94">
        <v>44628.635416666664</v>
      </c>
      <c r="W1110" s="93" t="s">
        <v>1170</v>
      </c>
      <c r="X1110" s="93" t="s">
        <v>24</v>
      </c>
    </row>
    <row r="1111" spans="1:24" hidden="1" x14ac:dyDescent="0.15">
      <c r="A1111" s="93" t="s">
        <v>3165</v>
      </c>
      <c r="B1111" s="93" t="s">
        <v>3166</v>
      </c>
      <c r="C1111" s="410">
        <v>8032.5</v>
      </c>
      <c r="D1111" s="93" t="s">
        <v>9</v>
      </c>
      <c r="E1111" s="93" t="s">
        <v>9</v>
      </c>
      <c r="F1111" s="93" t="s">
        <v>1648</v>
      </c>
      <c r="G1111" s="93" t="s">
        <v>9117</v>
      </c>
      <c r="H1111" s="93" t="s">
        <v>1690</v>
      </c>
      <c r="I1111" s="93" t="s">
        <v>111</v>
      </c>
      <c r="J1111" s="93" t="s">
        <v>963</v>
      </c>
      <c r="K1111" s="93">
        <v>60</v>
      </c>
      <c r="L1111" s="93" t="s">
        <v>111</v>
      </c>
      <c r="M1111" s="93">
        <v>5</v>
      </c>
      <c r="N1111" s="93" t="s">
        <v>113</v>
      </c>
      <c r="O1111" s="93">
        <v>15</v>
      </c>
      <c r="P1111" s="93">
        <v>25</v>
      </c>
      <c r="Q1111" s="93">
        <v>42</v>
      </c>
      <c r="R1111" s="93" t="s">
        <v>123</v>
      </c>
      <c r="S1111" s="93" t="s">
        <v>659</v>
      </c>
      <c r="T1111" s="93" t="s">
        <v>1659</v>
      </c>
      <c r="U1111" s="93" t="s">
        <v>116</v>
      </c>
      <c r="V1111" s="94">
        <v>44628.491666666669</v>
      </c>
      <c r="W1111" s="93" t="s">
        <v>1170</v>
      </c>
      <c r="X1111" s="93" t="s">
        <v>9</v>
      </c>
    </row>
    <row r="1112" spans="1:24" hidden="1" x14ac:dyDescent="0.15">
      <c r="A1112" s="93" t="s">
        <v>3167</v>
      </c>
      <c r="B1112" s="93" t="s">
        <v>3168</v>
      </c>
      <c r="C1112" s="410">
        <v>4620</v>
      </c>
      <c r="D1112" s="93" t="s">
        <v>9</v>
      </c>
      <c r="E1112" s="93" t="s">
        <v>9</v>
      </c>
      <c r="F1112" s="93" t="s">
        <v>1648</v>
      </c>
      <c r="G1112" s="93" t="s">
        <v>9117</v>
      </c>
      <c r="H1112" s="93" t="s">
        <v>1690</v>
      </c>
      <c r="I1112" s="93" t="s">
        <v>111</v>
      </c>
      <c r="J1112" s="93" t="s">
        <v>2086</v>
      </c>
      <c r="K1112" s="93">
        <v>50</v>
      </c>
      <c r="L1112" s="93" t="s">
        <v>111</v>
      </c>
      <c r="M1112" s="93">
        <v>6.1</v>
      </c>
      <c r="N1112" s="93" t="s">
        <v>113</v>
      </c>
      <c r="O1112" s="93">
        <v>18.5</v>
      </c>
      <c r="P1112" s="93">
        <v>29.5</v>
      </c>
      <c r="Q1112" s="93">
        <v>37.5</v>
      </c>
      <c r="R1112" s="93" t="s">
        <v>123</v>
      </c>
      <c r="S1112" s="93" t="s">
        <v>659</v>
      </c>
      <c r="T1112" s="93" t="s">
        <v>1659</v>
      </c>
      <c r="U1112" s="93" t="s">
        <v>116</v>
      </c>
      <c r="V1112" s="94">
        <v>44628.638194444444</v>
      </c>
      <c r="W1112" s="93" t="s">
        <v>1170</v>
      </c>
      <c r="X1112" s="93" t="s">
        <v>24</v>
      </c>
    </row>
    <row r="1113" spans="1:24" hidden="1" x14ac:dyDescent="0.15">
      <c r="A1113" s="93" t="s">
        <v>9206</v>
      </c>
      <c r="B1113" s="93" t="s">
        <v>9207</v>
      </c>
      <c r="C1113" s="410">
        <v>4620</v>
      </c>
      <c r="D1113" s="93" t="s">
        <v>9</v>
      </c>
      <c r="E1113" s="93" t="s">
        <v>9</v>
      </c>
      <c r="F1113" s="93" t="s">
        <v>1648</v>
      </c>
      <c r="G1113" s="93" t="s">
        <v>9117</v>
      </c>
      <c r="H1113" s="93" t="s">
        <v>1690</v>
      </c>
      <c r="I1113" s="93" t="s">
        <v>1229</v>
      </c>
      <c r="J1113" s="93" t="s">
        <v>963</v>
      </c>
      <c r="K1113" s="93">
        <v>60</v>
      </c>
      <c r="L1113" s="93" t="s">
        <v>111</v>
      </c>
      <c r="M1113" s="93" t="s">
        <v>111</v>
      </c>
      <c r="N1113" s="93" t="s">
        <v>111</v>
      </c>
      <c r="O1113" s="93" t="s">
        <v>111</v>
      </c>
      <c r="P1113" s="93" t="s">
        <v>111</v>
      </c>
      <c r="Q1113" s="93" t="s">
        <v>111</v>
      </c>
      <c r="R1113" s="93" t="s">
        <v>398</v>
      </c>
      <c r="S1113" s="93" t="s">
        <v>659</v>
      </c>
      <c r="T1113" s="93" t="s">
        <v>1659</v>
      </c>
      <c r="U1113" s="93" t="s">
        <v>116</v>
      </c>
      <c r="V1113" s="94">
        <v>44628.577777777777</v>
      </c>
      <c r="W1113" s="93" t="s">
        <v>1170</v>
      </c>
      <c r="X1113" s="93" t="s">
        <v>24</v>
      </c>
    </row>
    <row r="1114" spans="1:24" hidden="1" x14ac:dyDescent="0.15">
      <c r="A1114" s="93" t="s">
        <v>9208</v>
      </c>
      <c r="B1114" s="93" t="s">
        <v>9209</v>
      </c>
      <c r="C1114" s="410">
        <v>4620</v>
      </c>
      <c r="D1114" s="93" t="s">
        <v>9</v>
      </c>
      <c r="E1114" s="93" t="s">
        <v>9</v>
      </c>
      <c r="F1114" s="93" t="s">
        <v>1648</v>
      </c>
      <c r="G1114" s="93" t="s">
        <v>9117</v>
      </c>
      <c r="H1114" s="93" t="s">
        <v>1690</v>
      </c>
      <c r="I1114" s="93" t="s">
        <v>1229</v>
      </c>
      <c r="J1114" s="93" t="s">
        <v>963</v>
      </c>
      <c r="K1114" s="93">
        <v>60</v>
      </c>
      <c r="L1114" s="93" t="s">
        <v>111</v>
      </c>
      <c r="M1114" s="93" t="s">
        <v>111</v>
      </c>
      <c r="N1114" s="93" t="s">
        <v>111</v>
      </c>
      <c r="O1114" s="93" t="s">
        <v>111</v>
      </c>
      <c r="P1114" s="93" t="s">
        <v>111</v>
      </c>
      <c r="Q1114" s="93" t="s">
        <v>111</v>
      </c>
      <c r="R1114" s="93" t="s">
        <v>398</v>
      </c>
      <c r="S1114" s="93" t="s">
        <v>659</v>
      </c>
      <c r="T1114" s="93" t="s">
        <v>111</v>
      </c>
      <c r="U1114" s="93" t="s">
        <v>116</v>
      </c>
      <c r="V1114" s="94">
        <v>44628.512499999997</v>
      </c>
      <c r="W1114" s="93" t="s">
        <v>1170</v>
      </c>
      <c r="X1114" s="93" t="s">
        <v>24</v>
      </c>
    </row>
    <row r="1115" spans="1:24" hidden="1" x14ac:dyDescent="0.15">
      <c r="A1115" s="93" t="s">
        <v>3169</v>
      </c>
      <c r="B1115" s="93" t="s">
        <v>3170</v>
      </c>
      <c r="C1115" s="410">
        <v>4620</v>
      </c>
      <c r="D1115" s="93" t="s">
        <v>9</v>
      </c>
      <c r="E1115" s="93" t="s">
        <v>9</v>
      </c>
      <c r="F1115" s="93" t="s">
        <v>1648</v>
      </c>
      <c r="G1115" s="93" t="s">
        <v>9117</v>
      </c>
      <c r="H1115" s="93" t="s">
        <v>1690</v>
      </c>
      <c r="I1115" s="93" t="s">
        <v>111</v>
      </c>
      <c r="J1115" s="93" t="s">
        <v>2086</v>
      </c>
      <c r="K1115" s="93">
        <v>50</v>
      </c>
      <c r="L1115" s="93" t="s">
        <v>111</v>
      </c>
      <c r="M1115" s="93">
        <v>6.1</v>
      </c>
      <c r="N1115" s="93" t="s">
        <v>113</v>
      </c>
      <c r="O1115" s="93">
        <v>18.5</v>
      </c>
      <c r="P1115" s="93">
        <v>29.5</v>
      </c>
      <c r="Q1115" s="93">
        <v>37.5</v>
      </c>
      <c r="R1115" s="93" t="s">
        <v>123</v>
      </c>
      <c r="S1115" s="93" t="s">
        <v>659</v>
      </c>
      <c r="T1115" s="93" t="s">
        <v>1659</v>
      </c>
      <c r="U1115" s="93" t="s">
        <v>116</v>
      </c>
      <c r="V1115" s="94">
        <v>44628.494444444441</v>
      </c>
      <c r="W1115" s="93" t="s">
        <v>1207</v>
      </c>
      <c r="X1115" s="93" t="s">
        <v>9</v>
      </c>
    </row>
    <row r="1116" spans="1:24" hidden="1" x14ac:dyDescent="0.15">
      <c r="A1116" s="93" t="s">
        <v>3171</v>
      </c>
      <c r="B1116" s="93" t="s">
        <v>3172</v>
      </c>
      <c r="C1116" s="410">
        <v>4620</v>
      </c>
      <c r="D1116" s="93" t="s">
        <v>9</v>
      </c>
      <c r="E1116" s="93" t="s">
        <v>9</v>
      </c>
      <c r="F1116" s="93" t="s">
        <v>1648</v>
      </c>
      <c r="G1116" s="93" t="s">
        <v>9117</v>
      </c>
      <c r="H1116" s="93" t="s">
        <v>1690</v>
      </c>
      <c r="I1116" s="93" t="s">
        <v>111</v>
      </c>
      <c r="J1116" s="93" t="s">
        <v>2086</v>
      </c>
      <c r="K1116" s="93">
        <v>50</v>
      </c>
      <c r="L1116" s="93" t="s">
        <v>111</v>
      </c>
      <c r="M1116" s="93">
        <v>6.1</v>
      </c>
      <c r="N1116" s="93" t="s">
        <v>113</v>
      </c>
      <c r="O1116" s="93">
        <v>18.5</v>
      </c>
      <c r="P1116" s="93">
        <v>29.5</v>
      </c>
      <c r="Q1116" s="93">
        <v>37.5</v>
      </c>
      <c r="R1116" s="93" t="s">
        <v>123</v>
      </c>
      <c r="S1116" s="93" t="s">
        <v>659</v>
      </c>
      <c r="T1116" s="93" t="s">
        <v>1659</v>
      </c>
      <c r="U1116" s="93" t="s">
        <v>116</v>
      </c>
      <c r="V1116" s="94">
        <v>44628.51666666667</v>
      </c>
      <c r="W1116" s="93" t="s">
        <v>1207</v>
      </c>
      <c r="X1116" s="93" t="s">
        <v>9</v>
      </c>
    </row>
    <row r="1117" spans="1:24" hidden="1" x14ac:dyDescent="0.15">
      <c r="A1117" s="93" t="s">
        <v>9210</v>
      </c>
      <c r="B1117" s="93" t="s">
        <v>9211</v>
      </c>
      <c r="C1117" s="410">
        <v>4620</v>
      </c>
      <c r="D1117" s="93" t="s">
        <v>9</v>
      </c>
      <c r="E1117" s="93" t="s">
        <v>9</v>
      </c>
      <c r="F1117" s="93" t="s">
        <v>1648</v>
      </c>
      <c r="G1117" s="93" t="s">
        <v>9117</v>
      </c>
      <c r="H1117" s="93" t="s">
        <v>1690</v>
      </c>
      <c r="I1117" s="93" t="s">
        <v>111</v>
      </c>
      <c r="J1117" s="93" t="s">
        <v>2086</v>
      </c>
      <c r="K1117" s="93">
        <v>50</v>
      </c>
      <c r="L1117" s="93" t="s">
        <v>111</v>
      </c>
      <c r="M1117" s="93">
        <v>6.1</v>
      </c>
      <c r="N1117" s="93" t="s">
        <v>113</v>
      </c>
      <c r="O1117" s="93">
        <v>18.5</v>
      </c>
      <c r="P1117" s="93">
        <v>29.5</v>
      </c>
      <c r="Q1117" s="93">
        <v>37.5</v>
      </c>
      <c r="R1117" s="93" t="s">
        <v>123</v>
      </c>
      <c r="S1117" s="93" t="s">
        <v>659</v>
      </c>
      <c r="T1117" s="93" t="s">
        <v>1659</v>
      </c>
      <c r="U1117" s="93" t="s">
        <v>116</v>
      </c>
      <c r="V1117" s="94">
        <v>44628.581944444442</v>
      </c>
      <c r="W1117" s="93" t="s">
        <v>1170</v>
      </c>
      <c r="X1117" s="93" t="s">
        <v>24</v>
      </c>
    </row>
    <row r="1118" spans="1:24" hidden="1" x14ac:dyDescent="0.15">
      <c r="A1118" s="93" t="s">
        <v>9212</v>
      </c>
      <c r="B1118" s="93" t="s">
        <v>9213</v>
      </c>
      <c r="C1118" s="410">
        <v>4620</v>
      </c>
      <c r="D1118" s="93" t="s">
        <v>9</v>
      </c>
      <c r="E1118" s="93" t="s">
        <v>9</v>
      </c>
      <c r="F1118" s="93" t="s">
        <v>1648</v>
      </c>
      <c r="G1118" s="93" t="s">
        <v>9117</v>
      </c>
      <c r="H1118" s="93" t="s">
        <v>1690</v>
      </c>
      <c r="I1118" s="93" t="s">
        <v>111</v>
      </c>
      <c r="J1118" s="93" t="s">
        <v>2086</v>
      </c>
      <c r="K1118" s="93">
        <v>50</v>
      </c>
      <c r="L1118" s="93" t="s">
        <v>111</v>
      </c>
      <c r="M1118" s="93">
        <v>6.1</v>
      </c>
      <c r="N1118" s="93" t="s">
        <v>113</v>
      </c>
      <c r="O1118" s="93">
        <v>18.5</v>
      </c>
      <c r="P1118" s="93">
        <v>29.5</v>
      </c>
      <c r="Q1118" s="93">
        <v>37.5</v>
      </c>
      <c r="R1118" s="93" t="s">
        <v>123</v>
      </c>
      <c r="S1118" s="93" t="s">
        <v>659</v>
      </c>
      <c r="T1118" s="93" t="s">
        <v>1659</v>
      </c>
      <c r="U1118" s="93" t="s">
        <v>116</v>
      </c>
      <c r="V1118" s="94">
        <v>44628.494444444441</v>
      </c>
      <c r="W1118" s="93" t="s">
        <v>1170</v>
      </c>
      <c r="X1118" s="93" t="s">
        <v>24</v>
      </c>
    </row>
    <row r="1119" spans="1:24" hidden="1" x14ac:dyDescent="0.15">
      <c r="A1119" s="93" t="s">
        <v>3173</v>
      </c>
      <c r="B1119" s="93" t="s">
        <v>3174</v>
      </c>
      <c r="C1119" s="410">
        <v>4620</v>
      </c>
      <c r="D1119" s="93" t="s">
        <v>9</v>
      </c>
      <c r="E1119" s="93" t="s">
        <v>9</v>
      </c>
      <c r="F1119" s="93" t="s">
        <v>1648</v>
      </c>
      <c r="G1119" s="93" t="s">
        <v>9117</v>
      </c>
      <c r="H1119" s="93" t="s">
        <v>1690</v>
      </c>
      <c r="I1119" s="93" t="s">
        <v>111</v>
      </c>
      <c r="J1119" s="93" t="s">
        <v>2086</v>
      </c>
      <c r="K1119" s="93">
        <v>50</v>
      </c>
      <c r="L1119" s="93" t="s">
        <v>111</v>
      </c>
      <c r="M1119" s="93">
        <v>6.1</v>
      </c>
      <c r="N1119" s="93" t="s">
        <v>113</v>
      </c>
      <c r="O1119" s="93">
        <v>18.5</v>
      </c>
      <c r="P1119" s="93">
        <v>29.5</v>
      </c>
      <c r="Q1119" s="93">
        <v>37.5</v>
      </c>
      <c r="R1119" s="93" t="s">
        <v>123</v>
      </c>
      <c r="S1119" s="93" t="s">
        <v>659</v>
      </c>
      <c r="T1119" s="93" t="s">
        <v>1659</v>
      </c>
      <c r="U1119" s="93" t="s">
        <v>116</v>
      </c>
      <c r="V1119" s="94">
        <v>44628.638194444444</v>
      </c>
      <c r="W1119" s="93" t="s">
        <v>1170</v>
      </c>
      <c r="X1119" s="93" t="s">
        <v>24</v>
      </c>
    </row>
    <row r="1120" spans="1:24" hidden="1" x14ac:dyDescent="0.15">
      <c r="A1120" s="93" t="s">
        <v>3175</v>
      </c>
      <c r="B1120" s="93" t="s">
        <v>3176</v>
      </c>
      <c r="C1120" s="410">
        <v>4620</v>
      </c>
      <c r="D1120" s="93" t="s">
        <v>9</v>
      </c>
      <c r="E1120" s="93" t="s">
        <v>9</v>
      </c>
      <c r="F1120" s="93" t="s">
        <v>1648</v>
      </c>
      <c r="G1120" s="93" t="s">
        <v>9117</v>
      </c>
      <c r="H1120" s="93" t="s">
        <v>1690</v>
      </c>
      <c r="I1120" s="93" t="s">
        <v>111</v>
      </c>
      <c r="J1120" s="93" t="s">
        <v>2086</v>
      </c>
      <c r="K1120" s="93">
        <v>50</v>
      </c>
      <c r="L1120" s="93" t="s">
        <v>111</v>
      </c>
      <c r="M1120" s="93">
        <v>6.1</v>
      </c>
      <c r="N1120" s="93" t="s">
        <v>113</v>
      </c>
      <c r="O1120" s="93">
        <v>18.5</v>
      </c>
      <c r="P1120" s="93">
        <v>29.5</v>
      </c>
      <c r="Q1120" s="93">
        <v>37.5</v>
      </c>
      <c r="R1120" s="93" t="s">
        <v>123</v>
      </c>
      <c r="S1120" s="93" t="s">
        <v>659</v>
      </c>
      <c r="T1120" s="93" t="s">
        <v>1659</v>
      </c>
      <c r="U1120" s="93" t="s">
        <v>116</v>
      </c>
      <c r="V1120" s="94">
        <v>44628.55972222222</v>
      </c>
      <c r="W1120" s="93" t="s">
        <v>1170</v>
      </c>
      <c r="X1120" s="93" t="s">
        <v>24</v>
      </c>
    </row>
    <row r="1121" spans="1:24" hidden="1" x14ac:dyDescent="0.15">
      <c r="A1121" s="93" t="s">
        <v>3177</v>
      </c>
      <c r="B1121" s="93" t="s">
        <v>3178</v>
      </c>
      <c r="C1121" s="410">
        <v>4620</v>
      </c>
      <c r="D1121" s="93" t="s">
        <v>9</v>
      </c>
      <c r="E1121" s="93" t="s">
        <v>9</v>
      </c>
      <c r="F1121" s="93" t="s">
        <v>1648</v>
      </c>
      <c r="G1121" s="93" t="s">
        <v>9117</v>
      </c>
      <c r="H1121" s="93" t="s">
        <v>1690</v>
      </c>
      <c r="I1121" s="93" t="s">
        <v>111</v>
      </c>
      <c r="J1121" s="93" t="s">
        <v>2086</v>
      </c>
      <c r="K1121" s="93">
        <v>50</v>
      </c>
      <c r="L1121" s="93" t="s">
        <v>111</v>
      </c>
      <c r="M1121" s="93">
        <v>6.1</v>
      </c>
      <c r="N1121" s="93" t="s">
        <v>113</v>
      </c>
      <c r="O1121" s="93">
        <v>18.5</v>
      </c>
      <c r="P1121" s="93">
        <v>29.5</v>
      </c>
      <c r="Q1121" s="93">
        <v>37.5</v>
      </c>
      <c r="R1121" s="93" t="s">
        <v>123</v>
      </c>
      <c r="S1121" s="93" t="s">
        <v>659</v>
      </c>
      <c r="T1121" s="93" t="s">
        <v>1659</v>
      </c>
      <c r="U1121" s="93" t="s">
        <v>116</v>
      </c>
      <c r="V1121" s="94">
        <v>44628.473611111112</v>
      </c>
      <c r="W1121" s="93" t="s">
        <v>1170</v>
      </c>
      <c r="X1121" s="93" t="s">
        <v>9</v>
      </c>
    </row>
    <row r="1122" spans="1:24" hidden="1" x14ac:dyDescent="0.15">
      <c r="A1122" s="93" t="s">
        <v>3179</v>
      </c>
      <c r="B1122" s="93" t="s">
        <v>3180</v>
      </c>
      <c r="C1122" s="410">
        <v>4620</v>
      </c>
      <c r="D1122" s="93" t="s">
        <v>9</v>
      </c>
      <c r="E1122" s="93" t="s">
        <v>9</v>
      </c>
      <c r="F1122" s="93" t="s">
        <v>1648</v>
      </c>
      <c r="G1122" s="93" t="s">
        <v>9117</v>
      </c>
      <c r="H1122" s="93" t="s">
        <v>1690</v>
      </c>
      <c r="I1122" s="93" t="s">
        <v>111</v>
      </c>
      <c r="J1122" s="93" t="s">
        <v>2086</v>
      </c>
      <c r="K1122" s="93">
        <v>50</v>
      </c>
      <c r="L1122" s="93" t="s">
        <v>111</v>
      </c>
      <c r="M1122" s="93">
        <v>6.1</v>
      </c>
      <c r="N1122" s="93" t="s">
        <v>113</v>
      </c>
      <c r="O1122" s="93">
        <v>18.5</v>
      </c>
      <c r="P1122" s="93">
        <v>29.5</v>
      </c>
      <c r="Q1122" s="93">
        <v>37.5</v>
      </c>
      <c r="R1122" s="93" t="s">
        <v>123</v>
      </c>
      <c r="S1122" s="93" t="s">
        <v>659</v>
      </c>
      <c r="T1122" s="93" t="s">
        <v>1659</v>
      </c>
      <c r="U1122" s="93" t="s">
        <v>116</v>
      </c>
      <c r="V1122" s="94">
        <v>44628.538888888892</v>
      </c>
      <c r="W1122" s="93" t="s">
        <v>1170</v>
      </c>
      <c r="X1122" s="93" t="s">
        <v>9</v>
      </c>
    </row>
    <row r="1123" spans="1:24" hidden="1" x14ac:dyDescent="0.15">
      <c r="A1123" s="93" t="s">
        <v>3181</v>
      </c>
      <c r="B1123" s="93" t="s">
        <v>3182</v>
      </c>
      <c r="C1123" s="410">
        <v>12337.5</v>
      </c>
      <c r="D1123" s="93" t="s">
        <v>9</v>
      </c>
      <c r="E1123" s="93" t="s">
        <v>9</v>
      </c>
      <c r="F1123" s="93" t="s">
        <v>1648</v>
      </c>
      <c r="G1123" s="93" t="s">
        <v>9117</v>
      </c>
      <c r="H1123" s="93" t="s">
        <v>1943</v>
      </c>
      <c r="I1123" s="93" t="s">
        <v>111</v>
      </c>
      <c r="J1123" s="93" t="s">
        <v>1675</v>
      </c>
      <c r="K1123" s="93">
        <v>60</v>
      </c>
      <c r="L1123" s="93" t="s">
        <v>111</v>
      </c>
      <c r="M1123" s="93">
        <v>7.2</v>
      </c>
      <c r="N1123" s="93" t="s">
        <v>113</v>
      </c>
      <c r="O1123" s="93">
        <v>44</v>
      </c>
      <c r="P1123" s="93">
        <v>17</v>
      </c>
      <c r="Q1123" s="93">
        <v>38</v>
      </c>
      <c r="R1123" s="93" t="s">
        <v>123</v>
      </c>
      <c r="S1123" s="93" t="s">
        <v>16</v>
      </c>
      <c r="T1123" s="93" t="s">
        <v>1659</v>
      </c>
      <c r="U1123" s="93" t="s">
        <v>116</v>
      </c>
      <c r="V1123" s="94">
        <v>44628.519444444442</v>
      </c>
      <c r="W1123" s="93" t="s">
        <v>1170</v>
      </c>
      <c r="X1123" s="93" t="s">
        <v>24</v>
      </c>
    </row>
    <row r="1124" spans="1:24" hidden="1" x14ac:dyDescent="0.15">
      <c r="A1124" s="93" t="s">
        <v>3183</v>
      </c>
      <c r="B1124" s="93" t="s">
        <v>3184</v>
      </c>
      <c r="C1124" s="410">
        <v>3465</v>
      </c>
      <c r="D1124" s="93" t="s">
        <v>9</v>
      </c>
      <c r="E1124" s="93" t="s">
        <v>9</v>
      </c>
      <c r="F1124" s="93" t="s">
        <v>1648</v>
      </c>
      <c r="G1124" s="93" t="s">
        <v>9117</v>
      </c>
      <c r="H1124" s="93" t="s">
        <v>1943</v>
      </c>
      <c r="I1124" s="93" t="s">
        <v>111</v>
      </c>
      <c r="J1124" s="93" t="s">
        <v>963</v>
      </c>
      <c r="K1124" s="93">
        <v>60</v>
      </c>
      <c r="L1124" s="93" t="s">
        <v>111</v>
      </c>
      <c r="M1124" s="93">
        <v>4.5</v>
      </c>
      <c r="N1124" s="93" t="s">
        <v>113</v>
      </c>
      <c r="O1124" s="93">
        <v>18.5</v>
      </c>
      <c r="P1124" s="93">
        <v>29.5</v>
      </c>
      <c r="Q1124" s="93">
        <v>32.5</v>
      </c>
      <c r="R1124" s="93" t="s">
        <v>123</v>
      </c>
      <c r="S1124" s="93" t="s">
        <v>111</v>
      </c>
      <c r="T1124" s="93" t="s">
        <v>1659</v>
      </c>
      <c r="U1124" s="93" t="s">
        <v>116</v>
      </c>
      <c r="V1124" s="94">
        <v>44628.520833333336</v>
      </c>
      <c r="W1124" s="93" t="s">
        <v>1170</v>
      </c>
      <c r="X1124" s="93" t="s">
        <v>9</v>
      </c>
    </row>
    <row r="1125" spans="1:24" hidden="1" x14ac:dyDescent="0.15">
      <c r="A1125" s="93" t="s">
        <v>3185</v>
      </c>
      <c r="B1125" s="93" t="s">
        <v>3186</v>
      </c>
      <c r="C1125" s="410">
        <v>3465</v>
      </c>
      <c r="D1125" s="93" t="s">
        <v>9</v>
      </c>
      <c r="E1125" s="93" t="s">
        <v>9</v>
      </c>
      <c r="F1125" s="93" t="s">
        <v>1648</v>
      </c>
      <c r="G1125" s="93" t="s">
        <v>9117</v>
      </c>
      <c r="H1125" s="93" t="s">
        <v>1943</v>
      </c>
      <c r="I1125" s="93" t="s">
        <v>111</v>
      </c>
      <c r="J1125" s="93" t="s">
        <v>963</v>
      </c>
      <c r="K1125" s="93">
        <v>60</v>
      </c>
      <c r="L1125" s="93" t="s">
        <v>111</v>
      </c>
      <c r="M1125" s="93">
        <v>4.5</v>
      </c>
      <c r="N1125" s="93" t="s">
        <v>113</v>
      </c>
      <c r="O1125" s="93">
        <v>18.5</v>
      </c>
      <c r="P1125" s="93">
        <v>29.5</v>
      </c>
      <c r="Q1125" s="93">
        <v>32.5</v>
      </c>
      <c r="R1125" s="93" t="s">
        <v>123</v>
      </c>
      <c r="S1125" s="93" t="s">
        <v>111</v>
      </c>
      <c r="T1125" s="93" t="s">
        <v>1659</v>
      </c>
      <c r="U1125" s="93" t="s">
        <v>116</v>
      </c>
      <c r="V1125" s="94">
        <v>44628.543055555558</v>
      </c>
      <c r="W1125" s="93" t="s">
        <v>1170</v>
      </c>
      <c r="X1125" s="93" t="s">
        <v>9</v>
      </c>
    </row>
    <row r="1126" spans="1:24" hidden="1" x14ac:dyDescent="0.15">
      <c r="A1126" s="93" t="s">
        <v>3187</v>
      </c>
      <c r="B1126" s="93" t="s">
        <v>3188</v>
      </c>
      <c r="C1126" s="410">
        <v>3465</v>
      </c>
      <c r="D1126" s="93" t="s">
        <v>9</v>
      </c>
      <c r="E1126" s="93" t="s">
        <v>9</v>
      </c>
      <c r="F1126" s="93" t="s">
        <v>1648</v>
      </c>
      <c r="G1126" s="93" t="s">
        <v>9117</v>
      </c>
      <c r="H1126" s="93" t="s">
        <v>1943</v>
      </c>
      <c r="I1126" s="93" t="s">
        <v>111</v>
      </c>
      <c r="J1126" s="93" t="s">
        <v>963</v>
      </c>
      <c r="K1126" s="93">
        <v>60</v>
      </c>
      <c r="L1126" s="93" t="s">
        <v>111</v>
      </c>
      <c r="M1126" s="93">
        <v>4.5</v>
      </c>
      <c r="N1126" s="93" t="s">
        <v>113</v>
      </c>
      <c r="O1126" s="93">
        <v>18.5</v>
      </c>
      <c r="P1126" s="93">
        <v>29.5</v>
      </c>
      <c r="Q1126" s="93">
        <v>32.5</v>
      </c>
      <c r="R1126" s="93" t="s">
        <v>123</v>
      </c>
      <c r="S1126" s="93" t="s">
        <v>111</v>
      </c>
      <c r="T1126" s="93" t="s">
        <v>1659</v>
      </c>
      <c r="U1126" s="93" t="s">
        <v>116</v>
      </c>
      <c r="V1126" s="94">
        <v>44628.642361111109</v>
      </c>
      <c r="W1126" s="93" t="s">
        <v>1170</v>
      </c>
      <c r="X1126" s="93" t="s">
        <v>24</v>
      </c>
    </row>
    <row r="1127" spans="1:24" hidden="1" x14ac:dyDescent="0.15">
      <c r="A1127" s="93" t="s">
        <v>3189</v>
      </c>
      <c r="B1127" s="93" t="s">
        <v>3190</v>
      </c>
      <c r="C1127" s="410">
        <v>3465</v>
      </c>
      <c r="D1127" s="93" t="s">
        <v>9</v>
      </c>
      <c r="E1127" s="93" t="s">
        <v>9</v>
      </c>
      <c r="F1127" s="93" t="s">
        <v>1648</v>
      </c>
      <c r="G1127" s="93" t="s">
        <v>9117</v>
      </c>
      <c r="H1127" s="93" t="s">
        <v>1943</v>
      </c>
      <c r="I1127" s="93" t="s">
        <v>111</v>
      </c>
      <c r="J1127" s="93" t="s">
        <v>963</v>
      </c>
      <c r="K1127" s="93">
        <v>60</v>
      </c>
      <c r="L1127" s="93" t="s">
        <v>111</v>
      </c>
      <c r="M1127" s="93">
        <v>4.5</v>
      </c>
      <c r="N1127" s="93" t="s">
        <v>113</v>
      </c>
      <c r="O1127" s="93">
        <v>18.5</v>
      </c>
      <c r="P1127" s="93">
        <v>29.5</v>
      </c>
      <c r="Q1127" s="93">
        <v>32.5</v>
      </c>
      <c r="R1127" s="93" t="s">
        <v>123</v>
      </c>
      <c r="S1127" s="93" t="s">
        <v>111</v>
      </c>
      <c r="T1127" s="93" t="s">
        <v>1659</v>
      </c>
      <c r="U1127" s="93" t="s">
        <v>116</v>
      </c>
      <c r="V1127" s="94">
        <v>44628.498611111114</v>
      </c>
      <c r="W1127" s="93" t="s">
        <v>1170</v>
      </c>
      <c r="X1127" s="93" t="s">
        <v>24</v>
      </c>
    </row>
    <row r="1128" spans="1:24" hidden="1" x14ac:dyDescent="0.15">
      <c r="A1128" s="93" t="s">
        <v>3191</v>
      </c>
      <c r="B1128" s="93" t="s">
        <v>3192</v>
      </c>
      <c r="C1128" s="410">
        <v>3465</v>
      </c>
      <c r="D1128" s="93" t="s">
        <v>9</v>
      </c>
      <c r="E1128" s="93" t="s">
        <v>9</v>
      </c>
      <c r="F1128" s="93" t="s">
        <v>1648</v>
      </c>
      <c r="G1128" s="93" t="s">
        <v>9117</v>
      </c>
      <c r="H1128" s="93" t="s">
        <v>1943</v>
      </c>
      <c r="I1128" s="93" t="s">
        <v>111</v>
      </c>
      <c r="J1128" s="93" t="s">
        <v>963</v>
      </c>
      <c r="K1128" s="93">
        <v>60</v>
      </c>
      <c r="L1128" s="93" t="s">
        <v>111</v>
      </c>
      <c r="M1128" s="93">
        <v>4.5</v>
      </c>
      <c r="N1128" s="93" t="s">
        <v>113</v>
      </c>
      <c r="O1128" s="93">
        <v>18.5</v>
      </c>
      <c r="P1128" s="93">
        <v>29.5</v>
      </c>
      <c r="Q1128" s="93">
        <v>32.5</v>
      </c>
      <c r="R1128" s="93" t="s">
        <v>123</v>
      </c>
      <c r="S1128" s="93" t="s">
        <v>659</v>
      </c>
      <c r="T1128" s="93" t="s">
        <v>1659</v>
      </c>
      <c r="U1128" s="93" t="s">
        <v>116</v>
      </c>
      <c r="V1128" s="94">
        <v>44628.519444444442</v>
      </c>
      <c r="W1128" s="93" t="s">
        <v>1170</v>
      </c>
      <c r="X1128" s="93" t="s">
        <v>24</v>
      </c>
    </row>
    <row r="1129" spans="1:24" hidden="1" x14ac:dyDescent="0.15">
      <c r="A1129" s="93" t="s">
        <v>3193</v>
      </c>
      <c r="B1129" s="93" t="s">
        <v>3194</v>
      </c>
      <c r="C1129" s="410">
        <v>3465</v>
      </c>
      <c r="D1129" s="93" t="s">
        <v>9</v>
      </c>
      <c r="E1129" s="93" t="s">
        <v>9</v>
      </c>
      <c r="F1129" s="93" t="s">
        <v>1648</v>
      </c>
      <c r="G1129" s="93" t="s">
        <v>9117</v>
      </c>
      <c r="H1129" s="93" t="s">
        <v>1943</v>
      </c>
      <c r="I1129" s="93" t="s">
        <v>111</v>
      </c>
      <c r="J1129" s="93" t="s">
        <v>963</v>
      </c>
      <c r="K1129" s="93">
        <v>60</v>
      </c>
      <c r="L1129" s="93" t="s">
        <v>111</v>
      </c>
      <c r="M1129" s="93">
        <v>4.5</v>
      </c>
      <c r="N1129" s="93" t="s">
        <v>113</v>
      </c>
      <c r="O1129" s="93">
        <v>18.5</v>
      </c>
      <c r="P1129" s="93">
        <v>29.5</v>
      </c>
      <c r="Q1129" s="93">
        <v>32.5</v>
      </c>
      <c r="R1129" s="93" t="s">
        <v>123</v>
      </c>
      <c r="S1129" s="93" t="s">
        <v>659</v>
      </c>
      <c r="T1129" s="93" t="s">
        <v>1659</v>
      </c>
      <c r="U1129" s="93" t="s">
        <v>116</v>
      </c>
      <c r="V1129" s="94">
        <v>44628.584027777775</v>
      </c>
      <c r="W1129" s="93" t="s">
        <v>1170</v>
      </c>
      <c r="X1129" s="93" t="s">
        <v>24</v>
      </c>
    </row>
    <row r="1130" spans="1:24" hidden="1" x14ac:dyDescent="0.15">
      <c r="A1130" s="93" t="s">
        <v>3195</v>
      </c>
      <c r="B1130" s="93" t="s">
        <v>3196</v>
      </c>
      <c r="C1130" s="410">
        <v>3465</v>
      </c>
      <c r="D1130" s="93" t="s">
        <v>9</v>
      </c>
      <c r="E1130" s="93" t="s">
        <v>9</v>
      </c>
      <c r="F1130" s="93" t="s">
        <v>1648</v>
      </c>
      <c r="G1130" s="93" t="s">
        <v>9117</v>
      </c>
      <c r="H1130" s="93" t="s">
        <v>1943</v>
      </c>
      <c r="I1130" s="93" t="s">
        <v>111</v>
      </c>
      <c r="J1130" s="93" t="s">
        <v>963</v>
      </c>
      <c r="K1130" s="93">
        <v>60</v>
      </c>
      <c r="L1130" s="93" t="s">
        <v>111</v>
      </c>
      <c r="M1130" s="93">
        <v>4.9000000000000004</v>
      </c>
      <c r="N1130" s="93" t="s">
        <v>113</v>
      </c>
      <c r="O1130" s="93">
        <v>18.5</v>
      </c>
      <c r="P1130" s="93">
        <v>29.5</v>
      </c>
      <c r="Q1130" s="93">
        <v>32.5</v>
      </c>
      <c r="R1130" s="93" t="s">
        <v>123</v>
      </c>
      <c r="S1130" s="93" t="s">
        <v>659</v>
      </c>
      <c r="T1130" s="93" t="s">
        <v>1659</v>
      </c>
      <c r="U1130" s="93" t="s">
        <v>116</v>
      </c>
      <c r="V1130" s="94">
        <v>44628.605555555558</v>
      </c>
      <c r="W1130" s="93" t="s">
        <v>1170</v>
      </c>
      <c r="X1130" s="93" t="s">
        <v>24</v>
      </c>
    </row>
    <row r="1131" spans="1:24" hidden="1" x14ac:dyDescent="0.15">
      <c r="A1131" s="93" t="s">
        <v>3197</v>
      </c>
      <c r="B1131" s="93" t="s">
        <v>3198</v>
      </c>
      <c r="C1131" s="410">
        <v>3465</v>
      </c>
      <c r="D1131" s="93" t="s">
        <v>9</v>
      </c>
      <c r="E1131" s="93" t="s">
        <v>9</v>
      </c>
      <c r="F1131" s="93" t="s">
        <v>1648</v>
      </c>
      <c r="G1131" s="93" t="s">
        <v>9117</v>
      </c>
      <c r="H1131" s="93" t="s">
        <v>1943</v>
      </c>
      <c r="I1131" s="93" t="s">
        <v>111</v>
      </c>
      <c r="J1131" s="93" t="s">
        <v>963</v>
      </c>
      <c r="K1131" s="93">
        <v>60</v>
      </c>
      <c r="L1131" s="93" t="s">
        <v>111</v>
      </c>
      <c r="M1131" s="93">
        <v>4.9000000000000004</v>
      </c>
      <c r="N1131" s="93" t="s">
        <v>113</v>
      </c>
      <c r="O1131" s="93">
        <v>18.5</v>
      </c>
      <c r="P1131" s="93">
        <v>29.5</v>
      </c>
      <c r="Q1131" s="93">
        <v>32.5</v>
      </c>
      <c r="R1131" s="93" t="s">
        <v>123</v>
      </c>
      <c r="S1131" s="93" t="s">
        <v>659</v>
      </c>
      <c r="T1131" s="93" t="s">
        <v>1659</v>
      </c>
      <c r="U1131" s="93" t="s">
        <v>116</v>
      </c>
      <c r="V1131" s="94">
        <v>44628.640972222223</v>
      </c>
      <c r="W1131" s="93" t="s">
        <v>1170</v>
      </c>
      <c r="X1131" s="93" t="s">
        <v>24</v>
      </c>
    </row>
    <row r="1132" spans="1:24" hidden="1" x14ac:dyDescent="0.15">
      <c r="A1132" s="93" t="s">
        <v>3199</v>
      </c>
      <c r="B1132" s="93" t="s">
        <v>3200</v>
      </c>
      <c r="C1132" s="410">
        <v>3465</v>
      </c>
      <c r="D1132" s="93" t="s">
        <v>9</v>
      </c>
      <c r="E1132" s="93" t="s">
        <v>9</v>
      </c>
      <c r="F1132" s="93" t="s">
        <v>1648</v>
      </c>
      <c r="G1132" s="93" t="s">
        <v>9117</v>
      </c>
      <c r="H1132" s="93" t="s">
        <v>1943</v>
      </c>
      <c r="I1132" s="93" t="s">
        <v>111</v>
      </c>
      <c r="J1132" s="93" t="s">
        <v>963</v>
      </c>
      <c r="K1132" s="93">
        <v>60</v>
      </c>
      <c r="L1132" s="93" t="s">
        <v>111</v>
      </c>
      <c r="M1132" s="93">
        <v>4.5</v>
      </c>
      <c r="N1132" s="93" t="s">
        <v>113</v>
      </c>
      <c r="O1132" s="93">
        <v>18.5</v>
      </c>
      <c r="P1132" s="93">
        <v>29.5</v>
      </c>
      <c r="Q1132" s="93">
        <v>32.5</v>
      </c>
      <c r="R1132" s="93" t="s">
        <v>123</v>
      </c>
      <c r="S1132" s="93" t="s">
        <v>659</v>
      </c>
      <c r="T1132" s="93" t="s">
        <v>1659</v>
      </c>
      <c r="U1132" s="93" t="s">
        <v>116</v>
      </c>
      <c r="V1132" s="94">
        <v>44628.584027777775</v>
      </c>
      <c r="W1132" s="93" t="s">
        <v>1170</v>
      </c>
      <c r="X1132" s="93" t="s">
        <v>24</v>
      </c>
    </row>
    <row r="1133" spans="1:24" hidden="1" x14ac:dyDescent="0.15">
      <c r="A1133" s="93" t="s">
        <v>3201</v>
      </c>
      <c r="B1133" s="93" t="s">
        <v>3202</v>
      </c>
      <c r="C1133" s="410">
        <v>3465</v>
      </c>
      <c r="D1133" s="93" t="s">
        <v>9</v>
      </c>
      <c r="E1133" s="93" t="s">
        <v>9</v>
      </c>
      <c r="F1133" s="93" t="s">
        <v>1648</v>
      </c>
      <c r="G1133" s="93" t="s">
        <v>9117</v>
      </c>
      <c r="H1133" s="93" t="s">
        <v>1943</v>
      </c>
      <c r="I1133" s="93" t="s">
        <v>111</v>
      </c>
      <c r="J1133" s="93" t="s">
        <v>963</v>
      </c>
      <c r="K1133" s="93">
        <v>60</v>
      </c>
      <c r="L1133" s="93" t="s">
        <v>111</v>
      </c>
      <c r="M1133" s="93">
        <v>4.5</v>
      </c>
      <c r="N1133" s="93" t="s">
        <v>113</v>
      </c>
      <c r="O1133" s="93">
        <v>18.5</v>
      </c>
      <c r="P1133" s="93">
        <v>29.5</v>
      </c>
      <c r="Q1133" s="93">
        <v>32.5</v>
      </c>
      <c r="R1133" s="93" t="s">
        <v>123</v>
      </c>
      <c r="S1133" s="93" t="s">
        <v>659</v>
      </c>
      <c r="T1133" s="93" t="s">
        <v>1659</v>
      </c>
      <c r="U1133" s="93" t="s">
        <v>116</v>
      </c>
      <c r="V1133" s="94">
        <v>44628.49722222222</v>
      </c>
      <c r="W1133" s="93" t="s">
        <v>1170</v>
      </c>
      <c r="X1133" s="93" t="s">
        <v>24</v>
      </c>
    </row>
    <row r="1134" spans="1:24" hidden="1" x14ac:dyDescent="0.15">
      <c r="A1134" s="93" t="s">
        <v>3203</v>
      </c>
      <c r="B1134" s="93" t="s">
        <v>3204</v>
      </c>
      <c r="C1134" s="410">
        <v>3465</v>
      </c>
      <c r="D1134" s="93" t="s">
        <v>9</v>
      </c>
      <c r="E1134" s="93" t="s">
        <v>9</v>
      </c>
      <c r="F1134" s="93" t="s">
        <v>1648</v>
      </c>
      <c r="G1134" s="93" t="s">
        <v>9117</v>
      </c>
      <c r="H1134" s="93" t="s">
        <v>1943</v>
      </c>
      <c r="I1134" s="93" t="s">
        <v>111</v>
      </c>
      <c r="J1134" s="93" t="s">
        <v>963</v>
      </c>
      <c r="K1134" s="93">
        <v>60</v>
      </c>
      <c r="L1134" s="93" t="s">
        <v>111</v>
      </c>
      <c r="M1134" s="93">
        <v>4.5</v>
      </c>
      <c r="N1134" s="93" t="s">
        <v>113</v>
      </c>
      <c r="O1134" s="93">
        <v>18.5</v>
      </c>
      <c r="P1134" s="93">
        <v>29.5</v>
      </c>
      <c r="Q1134" s="93">
        <v>32.5</v>
      </c>
      <c r="R1134" s="93" t="s">
        <v>123</v>
      </c>
      <c r="S1134" s="93" t="s">
        <v>659</v>
      </c>
      <c r="T1134" s="93" t="s">
        <v>1659</v>
      </c>
      <c r="U1134" s="93" t="s">
        <v>116</v>
      </c>
      <c r="V1134" s="94">
        <v>44628.640972222223</v>
      </c>
      <c r="W1134" s="93" t="s">
        <v>1170</v>
      </c>
      <c r="X1134" s="93" t="s">
        <v>24</v>
      </c>
    </row>
    <row r="1135" spans="1:24" hidden="1" x14ac:dyDescent="0.15">
      <c r="A1135" s="93" t="s">
        <v>3205</v>
      </c>
      <c r="B1135" s="93" t="s">
        <v>3206</v>
      </c>
      <c r="C1135" s="410">
        <v>3465</v>
      </c>
      <c r="D1135" s="93" t="s">
        <v>9</v>
      </c>
      <c r="E1135" s="93" t="s">
        <v>9</v>
      </c>
      <c r="F1135" s="93" t="s">
        <v>1648</v>
      </c>
      <c r="G1135" s="93" t="s">
        <v>9117</v>
      </c>
      <c r="H1135" s="93" t="s">
        <v>1943</v>
      </c>
      <c r="I1135" s="93" t="s">
        <v>111</v>
      </c>
      <c r="J1135" s="93" t="s">
        <v>963</v>
      </c>
      <c r="K1135" s="93">
        <v>60</v>
      </c>
      <c r="L1135" s="93" t="s">
        <v>111</v>
      </c>
      <c r="M1135" s="93">
        <v>4.5</v>
      </c>
      <c r="N1135" s="93" t="s">
        <v>113</v>
      </c>
      <c r="O1135" s="93">
        <v>18.5</v>
      </c>
      <c r="P1135" s="93">
        <v>29.5</v>
      </c>
      <c r="Q1135" s="93">
        <v>32.5</v>
      </c>
      <c r="R1135" s="93" t="s">
        <v>123</v>
      </c>
      <c r="S1135" s="93" t="s">
        <v>659</v>
      </c>
      <c r="T1135" s="93" t="s">
        <v>1659</v>
      </c>
      <c r="U1135" s="93" t="s">
        <v>116</v>
      </c>
      <c r="V1135" s="94">
        <v>44628.540972222225</v>
      </c>
      <c r="W1135" s="93" t="s">
        <v>1170</v>
      </c>
      <c r="X1135" s="93" t="s">
        <v>24</v>
      </c>
    </row>
    <row r="1136" spans="1:24" hidden="1" x14ac:dyDescent="0.15">
      <c r="A1136" s="93" t="s">
        <v>3207</v>
      </c>
      <c r="B1136" s="93" t="s">
        <v>3208</v>
      </c>
      <c r="C1136" s="410">
        <v>13230</v>
      </c>
      <c r="D1136" s="93" t="s">
        <v>9</v>
      </c>
      <c r="E1136" s="93" t="s">
        <v>9</v>
      </c>
      <c r="F1136" s="93" t="s">
        <v>1648</v>
      </c>
      <c r="G1136" s="93" t="s">
        <v>9117</v>
      </c>
      <c r="H1136" s="93" t="s">
        <v>1690</v>
      </c>
      <c r="I1136" s="93" t="s">
        <v>111</v>
      </c>
      <c r="J1136" s="93" t="s">
        <v>1675</v>
      </c>
      <c r="K1136" s="93">
        <v>60</v>
      </c>
      <c r="L1136" s="93" t="s">
        <v>111</v>
      </c>
      <c r="M1136" s="93">
        <v>5</v>
      </c>
      <c r="N1136" s="93" t="s">
        <v>113</v>
      </c>
      <c r="O1136" s="93">
        <v>16</v>
      </c>
      <c r="P1136" s="93">
        <v>35</v>
      </c>
      <c r="Q1136" s="93">
        <v>44</v>
      </c>
      <c r="R1136" s="93" t="s">
        <v>123</v>
      </c>
      <c r="S1136" s="93" t="s">
        <v>659</v>
      </c>
      <c r="T1136" s="93" t="s">
        <v>1659</v>
      </c>
      <c r="U1136" s="93" t="s">
        <v>116</v>
      </c>
      <c r="V1136" s="94">
        <v>44628.597916666666</v>
      </c>
      <c r="W1136" s="93" t="s">
        <v>1555</v>
      </c>
      <c r="X1136" s="93" t="s">
        <v>24</v>
      </c>
    </row>
    <row r="1137" spans="1:24" hidden="1" x14ac:dyDescent="0.15">
      <c r="A1137" s="93" t="s">
        <v>3209</v>
      </c>
      <c r="B1137" s="93" t="s">
        <v>3210</v>
      </c>
      <c r="C1137" s="410">
        <v>4919.25</v>
      </c>
      <c r="D1137" s="93" t="s">
        <v>9</v>
      </c>
      <c r="E1137" s="93" t="s">
        <v>9</v>
      </c>
      <c r="F1137" s="93" t="s">
        <v>1648</v>
      </c>
      <c r="G1137" s="93" t="s">
        <v>9117</v>
      </c>
      <c r="H1137" s="93" t="s">
        <v>1690</v>
      </c>
      <c r="I1137" s="93" t="s">
        <v>111</v>
      </c>
      <c r="J1137" s="93" t="s">
        <v>1675</v>
      </c>
      <c r="K1137" s="93">
        <v>60</v>
      </c>
      <c r="L1137" s="93" t="s">
        <v>111</v>
      </c>
      <c r="M1137" s="93">
        <v>5</v>
      </c>
      <c r="N1137" s="93" t="s">
        <v>113</v>
      </c>
      <c r="O1137" s="93">
        <v>16</v>
      </c>
      <c r="P1137" s="93">
        <v>35</v>
      </c>
      <c r="Q1137" s="93">
        <v>44</v>
      </c>
      <c r="R1137" s="93" t="s">
        <v>123</v>
      </c>
      <c r="S1137" s="93" t="s">
        <v>659</v>
      </c>
      <c r="T1137" s="93" t="s">
        <v>1659</v>
      </c>
      <c r="U1137" s="93" t="s">
        <v>116</v>
      </c>
      <c r="V1137" s="94">
        <v>44628.576388888891</v>
      </c>
      <c r="W1137" s="93" t="s">
        <v>1555</v>
      </c>
      <c r="X1137" s="93" t="s">
        <v>24</v>
      </c>
    </row>
    <row r="1138" spans="1:24" hidden="1" x14ac:dyDescent="0.15">
      <c r="A1138" s="93" t="s">
        <v>3211</v>
      </c>
      <c r="B1138" s="93" t="s">
        <v>3212</v>
      </c>
      <c r="C1138" s="410">
        <v>3150</v>
      </c>
      <c r="D1138" s="93" t="s">
        <v>9</v>
      </c>
      <c r="E1138" s="93" t="s">
        <v>9</v>
      </c>
      <c r="F1138" s="93" t="s">
        <v>1648</v>
      </c>
      <c r="G1138" s="93" t="s">
        <v>9183</v>
      </c>
      <c r="H1138" s="93" t="s">
        <v>1690</v>
      </c>
      <c r="I1138" s="93" t="s">
        <v>1229</v>
      </c>
      <c r="J1138" s="93" t="s">
        <v>2013</v>
      </c>
      <c r="K1138" s="93">
        <v>50</v>
      </c>
      <c r="L1138" s="93" t="s">
        <v>111</v>
      </c>
      <c r="M1138" s="93">
        <v>4</v>
      </c>
      <c r="N1138" s="93" t="s">
        <v>111</v>
      </c>
      <c r="O1138" s="93">
        <v>21.7</v>
      </c>
      <c r="P1138" s="93">
        <v>21</v>
      </c>
      <c r="Q1138" s="93">
        <v>8.5</v>
      </c>
      <c r="R1138" s="93" t="s">
        <v>123</v>
      </c>
      <c r="S1138" s="93" t="s">
        <v>659</v>
      </c>
      <c r="T1138" s="93" t="s">
        <v>1659</v>
      </c>
      <c r="U1138" s="93" t="s">
        <v>116</v>
      </c>
      <c r="V1138" s="94">
        <v>44628.509027777778</v>
      </c>
      <c r="W1138" s="93" t="s">
        <v>1170</v>
      </c>
      <c r="X1138" s="93" t="s">
        <v>9</v>
      </c>
    </row>
    <row r="1139" spans="1:24" hidden="1" x14ac:dyDescent="0.15">
      <c r="A1139" s="93" t="s">
        <v>3213</v>
      </c>
      <c r="B1139" s="93" t="s">
        <v>3214</v>
      </c>
      <c r="C1139" s="410">
        <v>4200</v>
      </c>
      <c r="D1139" s="93" t="s">
        <v>9</v>
      </c>
      <c r="E1139" s="93" t="s">
        <v>9</v>
      </c>
      <c r="F1139" s="93" t="s">
        <v>1648</v>
      </c>
      <c r="G1139" s="93" t="s">
        <v>9183</v>
      </c>
      <c r="H1139" s="93" t="s">
        <v>1690</v>
      </c>
      <c r="I1139" s="93" t="s">
        <v>111</v>
      </c>
      <c r="J1139" s="93" t="s">
        <v>963</v>
      </c>
      <c r="K1139" s="93">
        <v>60</v>
      </c>
      <c r="L1139" s="93" t="s">
        <v>111</v>
      </c>
      <c r="M1139" s="93">
        <v>6</v>
      </c>
      <c r="N1139" s="93" t="s">
        <v>111</v>
      </c>
      <c r="O1139" s="93">
        <v>32.200000000000003</v>
      </c>
      <c r="P1139" s="93">
        <v>27</v>
      </c>
      <c r="Q1139" s="93">
        <v>8.6</v>
      </c>
      <c r="R1139" s="93" t="s">
        <v>123</v>
      </c>
      <c r="S1139" s="93" t="s">
        <v>659</v>
      </c>
      <c r="T1139" s="93" t="s">
        <v>1659</v>
      </c>
      <c r="U1139" s="93" t="s">
        <v>116</v>
      </c>
      <c r="V1139" s="94">
        <v>44628.487500000003</v>
      </c>
      <c r="W1139" s="93" t="s">
        <v>1170</v>
      </c>
      <c r="X1139" s="93" t="s">
        <v>9</v>
      </c>
    </row>
    <row r="1140" spans="1:24" hidden="1" x14ac:dyDescent="0.15">
      <c r="A1140" s="93" t="s">
        <v>3215</v>
      </c>
      <c r="B1140" s="93" t="s">
        <v>3216</v>
      </c>
      <c r="C1140" s="410">
        <v>3675</v>
      </c>
      <c r="D1140" s="93" t="s">
        <v>9</v>
      </c>
      <c r="E1140" s="93" t="s">
        <v>9</v>
      </c>
      <c r="F1140" s="93" t="s">
        <v>1648</v>
      </c>
      <c r="G1140" s="93" t="s">
        <v>9117</v>
      </c>
      <c r="H1140" s="93" t="s">
        <v>1690</v>
      </c>
      <c r="I1140" s="93" t="s">
        <v>111</v>
      </c>
      <c r="J1140" s="93" t="s">
        <v>2013</v>
      </c>
      <c r="K1140" s="93">
        <v>50</v>
      </c>
      <c r="L1140" s="93" t="s">
        <v>111</v>
      </c>
      <c r="M1140" s="93">
        <v>5.35</v>
      </c>
      <c r="N1140" s="93" t="s">
        <v>113</v>
      </c>
      <c r="O1140" s="93">
        <v>18.5</v>
      </c>
      <c r="P1140" s="93">
        <v>29.5</v>
      </c>
      <c r="Q1140" s="93">
        <v>37.5</v>
      </c>
      <c r="R1140" s="93" t="s">
        <v>123</v>
      </c>
      <c r="S1140" s="93" t="s">
        <v>659</v>
      </c>
      <c r="T1140" s="93" t="s">
        <v>1659</v>
      </c>
      <c r="U1140" s="93" t="s">
        <v>116</v>
      </c>
      <c r="V1140" s="94">
        <v>44628.540972222225</v>
      </c>
      <c r="W1140" s="93" t="s">
        <v>1170</v>
      </c>
      <c r="X1140" s="93" t="s">
        <v>24</v>
      </c>
    </row>
    <row r="1141" spans="1:24" hidden="1" x14ac:dyDescent="0.15">
      <c r="A1141" s="93" t="s">
        <v>3217</v>
      </c>
      <c r="B1141" s="93" t="s">
        <v>3218</v>
      </c>
      <c r="C1141" s="410">
        <v>3675</v>
      </c>
      <c r="D1141" s="93" t="s">
        <v>9</v>
      </c>
      <c r="E1141" s="93" t="s">
        <v>9</v>
      </c>
      <c r="F1141" s="93" t="s">
        <v>1648</v>
      </c>
      <c r="G1141" s="93" t="s">
        <v>9117</v>
      </c>
      <c r="H1141" s="93" t="s">
        <v>1690</v>
      </c>
      <c r="I1141" s="93" t="s">
        <v>111</v>
      </c>
      <c r="J1141" s="93" t="s">
        <v>2013</v>
      </c>
      <c r="K1141" s="93">
        <v>50</v>
      </c>
      <c r="L1141" s="93" t="s">
        <v>111</v>
      </c>
      <c r="M1141" s="93">
        <v>5.35</v>
      </c>
      <c r="N1141" s="93" t="s">
        <v>113</v>
      </c>
      <c r="O1141" s="93">
        <v>18.5</v>
      </c>
      <c r="P1141" s="93">
        <v>29.5</v>
      </c>
      <c r="Q1141" s="93">
        <v>37.5</v>
      </c>
      <c r="R1141" s="93" t="s">
        <v>123</v>
      </c>
      <c r="S1141" s="93" t="s">
        <v>659</v>
      </c>
      <c r="T1141" s="93" t="s">
        <v>1659</v>
      </c>
      <c r="U1141" s="93" t="s">
        <v>116</v>
      </c>
      <c r="V1141" s="94">
        <v>44628.540972222225</v>
      </c>
      <c r="W1141" s="93" t="s">
        <v>1170</v>
      </c>
      <c r="X1141" s="93" t="s">
        <v>24</v>
      </c>
    </row>
    <row r="1142" spans="1:24" hidden="1" x14ac:dyDescent="0.15">
      <c r="A1142" s="93" t="s">
        <v>3219</v>
      </c>
      <c r="B1142" s="93" t="s">
        <v>3220</v>
      </c>
      <c r="C1142" s="410">
        <v>3675</v>
      </c>
      <c r="D1142" s="93" t="s">
        <v>9</v>
      </c>
      <c r="E1142" s="93" t="s">
        <v>9</v>
      </c>
      <c r="F1142" s="93" t="s">
        <v>1648</v>
      </c>
      <c r="G1142" s="93" t="s">
        <v>9117</v>
      </c>
      <c r="H1142" s="93" t="s">
        <v>1690</v>
      </c>
      <c r="I1142" s="93" t="s">
        <v>111</v>
      </c>
      <c r="J1142" s="93" t="s">
        <v>2013</v>
      </c>
      <c r="K1142" s="93">
        <v>50</v>
      </c>
      <c r="L1142" s="93" t="s">
        <v>111</v>
      </c>
      <c r="M1142" s="93">
        <v>5.35</v>
      </c>
      <c r="N1142" s="93" t="s">
        <v>113</v>
      </c>
      <c r="O1142" s="93">
        <v>18.5</v>
      </c>
      <c r="P1142" s="93">
        <v>29.5</v>
      </c>
      <c r="Q1142" s="93">
        <v>37.5</v>
      </c>
      <c r="R1142" s="93" t="s">
        <v>123</v>
      </c>
      <c r="S1142" s="93" t="s">
        <v>659</v>
      </c>
      <c r="T1142" s="93" t="s">
        <v>1659</v>
      </c>
      <c r="U1142" s="93" t="s">
        <v>116</v>
      </c>
      <c r="V1142" s="94">
        <v>44628.540972222225</v>
      </c>
      <c r="W1142" s="93" t="s">
        <v>1170</v>
      </c>
      <c r="X1142" s="93" t="s">
        <v>24</v>
      </c>
    </row>
    <row r="1143" spans="1:24" hidden="1" x14ac:dyDescent="0.15">
      <c r="A1143" s="93" t="s">
        <v>3221</v>
      </c>
      <c r="B1143" s="93" t="s">
        <v>3222</v>
      </c>
      <c r="C1143" s="410">
        <v>3675</v>
      </c>
      <c r="D1143" s="93" t="s">
        <v>9</v>
      </c>
      <c r="E1143" s="93" t="s">
        <v>9</v>
      </c>
      <c r="F1143" s="93" t="s">
        <v>1648</v>
      </c>
      <c r="G1143" s="93" t="s">
        <v>9117</v>
      </c>
      <c r="H1143" s="93" t="s">
        <v>1690</v>
      </c>
      <c r="I1143" s="93" t="s">
        <v>111</v>
      </c>
      <c r="J1143" s="93" t="s">
        <v>2013</v>
      </c>
      <c r="K1143" s="93">
        <v>50</v>
      </c>
      <c r="L1143" s="93" t="s">
        <v>111</v>
      </c>
      <c r="M1143" s="93">
        <v>5.35</v>
      </c>
      <c r="N1143" s="93" t="s">
        <v>113</v>
      </c>
      <c r="O1143" s="93">
        <v>18.5</v>
      </c>
      <c r="P1143" s="93">
        <v>29.5</v>
      </c>
      <c r="Q1143" s="93">
        <v>37.5</v>
      </c>
      <c r="R1143" s="93" t="s">
        <v>123</v>
      </c>
      <c r="S1143" s="93" t="s">
        <v>659</v>
      </c>
      <c r="T1143" s="93" t="s">
        <v>1659</v>
      </c>
      <c r="U1143" s="93" t="s">
        <v>116</v>
      </c>
      <c r="V1143" s="94">
        <v>44628.584027777775</v>
      </c>
      <c r="W1143" s="93" t="s">
        <v>1170</v>
      </c>
      <c r="X1143" s="93" t="s">
        <v>24</v>
      </c>
    </row>
    <row r="1144" spans="1:24" hidden="1" x14ac:dyDescent="0.15">
      <c r="A1144" s="93" t="s">
        <v>3223</v>
      </c>
      <c r="B1144" s="93" t="s">
        <v>3224</v>
      </c>
      <c r="C1144" s="410">
        <v>3675</v>
      </c>
      <c r="D1144" s="93" t="s">
        <v>9</v>
      </c>
      <c r="E1144" s="93" t="s">
        <v>9</v>
      </c>
      <c r="F1144" s="93" t="s">
        <v>1648</v>
      </c>
      <c r="G1144" s="93" t="s">
        <v>9117</v>
      </c>
      <c r="H1144" s="93" t="s">
        <v>1690</v>
      </c>
      <c r="I1144" s="93" t="s">
        <v>111</v>
      </c>
      <c r="J1144" s="93" t="s">
        <v>2013</v>
      </c>
      <c r="K1144" s="93">
        <v>50</v>
      </c>
      <c r="L1144" s="93" t="s">
        <v>111</v>
      </c>
      <c r="M1144" s="93">
        <v>5.35</v>
      </c>
      <c r="N1144" s="93" t="s">
        <v>113</v>
      </c>
      <c r="O1144" s="93">
        <v>18.5</v>
      </c>
      <c r="P1144" s="93">
        <v>29.5</v>
      </c>
      <c r="Q1144" s="93">
        <v>37.5</v>
      </c>
      <c r="R1144" s="93" t="s">
        <v>123</v>
      </c>
      <c r="S1144" s="93" t="s">
        <v>659</v>
      </c>
      <c r="T1144" s="93" t="s">
        <v>1659</v>
      </c>
      <c r="U1144" s="93" t="s">
        <v>116</v>
      </c>
      <c r="V1144" s="94">
        <v>44628.605555555558</v>
      </c>
      <c r="W1144" s="93" t="s">
        <v>1170</v>
      </c>
      <c r="X1144" s="93" t="s">
        <v>24</v>
      </c>
    </row>
    <row r="1145" spans="1:24" hidden="1" x14ac:dyDescent="0.15">
      <c r="A1145" s="93" t="s">
        <v>3225</v>
      </c>
      <c r="B1145" s="93" t="s">
        <v>3226</v>
      </c>
      <c r="C1145" s="410">
        <v>3675</v>
      </c>
      <c r="D1145" s="93" t="s">
        <v>9</v>
      </c>
      <c r="E1145" s="93" t="s">
        <v>9</v>
      </c>
      <c r="F1145" s="93" t="s">
        <v>1648</v>
      </c>
      <c r="G1145" s="93" t="s">
        <v>9117</v>
      </c>
      <c r="H1145" s="93" t="s">
        <v>1690</v>
      </c>
      <c r="I1145" s="93" t="s">
        <v>111</v>
      </c>
      <c r="J1145" s="93" t="s">
        <v>2013</v>
      </c>
      <c r="K1145" s="93">
        <v>50</v>
      </c>
      <c r="L1145" s="93" t="s">
        <v>111</v>
      </c>
      <c r="M1145" s="93">
        <v>5.35</v>
      </c>
      <c r="N1145" s="93" t="s">
        <v>113</v>
      </c>
      <c r="O1145" s="93">
        <v>18.5</v>
      </c>
      <c r="P1145" s="93">
        <v>29.5</v>
      </c>
      <c r="Q1145" s="93">
        <v>37.5</v>
      </c>
      <c r="R1145" s="93" t="s">
        <v>123</v>
      </c>
      <c r="S1145" s="93" t="s">
        <v>659</v>
      </c>
      <c r="T1145" s="93" t="s">
        <v>1659</v>
      </c>
      <c r="U1145" s="93" t="s">
        <v>116</v>
      </c>
      <c r="V1145" s="94">
        <v>44628.605555555558</v>
      </c>
      <c r="W1145" s="93" t="s">
        <v>1170</v>
      </c>
      <c r="X1145" s="93" t="s">
        <v>24</v>
      </c>
    </row>
    <row r="1146" spans="1:24" hidden="1" x14ac:dyDescent="0.15">
      <c r="A1146" s="93" t="s">
        <v>3227</v>
      </c>
      <c r="B1146" s="93" t="s">
        <v>3228</v>
      </c>
      <c r="C1146" s="410">
        <v>3675</v>
      </c>
      <c r="D1146" s="93" t="s">
        <v>9</v>
      </c>
      <c r="E1146" s="93" t="s">
        <v>9</v>
      </c>
      <c r="F1146" s="93" t="s">
        <v>1648</v>
      </c>
      <c r="G1146" s="93" t="s">
        <v>9117</v>
      </c>
      <c r="H1146" s="93" t="s">
        <v>1690</v>
      </c>
      <c r="I1146" s="93" t="s">
        <v>111</v>
      </c>
      <c r="J1146" s="93" t="s">
        <v>2013</v>
      </c>
      <c r="K1146" s="93">
        <v>50</v>
      </c>
      <c r="L1146" s="93" t="s">
        <v>111</v>
      </c>
      <c r="M1146" s="93">
        <v>5.35</v>
      </c>
      <c r="N1146" s="93" t="s">
        <v>113</v>
      </c>
      <c r="O1146" s="93">
        <v>18.5</v>
      </c>
      <c r="P1146" s="93">
        <v>29.5</v>
      </c>
      <c r="Q1146" s="93">
        <v>37.5</v>
      </c>
      <c r="R1146" s="93" t="s">
        <v>123</v>
      </c>
      <c r="S1146" s="93" t="s">
        <v>659</v>
      </c>
      <c r="T1146" s="93" t="s">
        <v>1659</v>
      </c>
      <c r="U1146" s="93" t="s">
        <v>116</v>
      </c>
      <c r="V1146" s="94">
        <v>44628.5625</v>
      </c>
      <c r="W1146" s="93" t="s">
        <v>1170</v>
      </c>
      <c r="X1146" s="93" t="s">
        <v>24</v>
      </c>
    </row>
    <row r="1147" spans="1:24" hidden="1" x14ac:dyDescent="0.15">
      <c r="A1147" s="93" t="s">
        <v>3229</v>
      </c>
      <c r="B1147" s="93" t="s">
        <v>3230</v>
      </c>
      <c r="C1147" s="410">
        <v>3675</v>
      </c>
      <c r="D1147" s="93" t="s">
        <v>9</v>
      </c>
      <c r="E1147" s="93" t="s">
        <v>9</v>
      </c>
      <c r="F1147" s="93" t="s">
        <v>1648</v>
      </c>
      <c r="G1147" s="93" t="s">
        <v>9117</v>
      </c>
      <c r="H1147" s="93" t="s">
        <v>1690</v>
      </c>
      <c r="I1147" s="93" t="s">
        <v>111</v>
      </c>
      <c r="J1147" s="93" t="s">
        <v>2013</v>
      </c>
      <c r="K1147" s="93">
        <v>50</v>
      </c>
      <c r="L1147" s="93" t="s">
        <v>111</v>
      </c>
      <c r="M1147" s="93">
        <v>5.35</v>
      </c>
      <c r="N1147" s="93" t="s">
        <v>113</v>
      </c>
      <c r="O1147" s="93">
        <v>18.5</v>
      </c>
      <c r="P1147" s="93">
        <v>29.5</v>
      </c>
      <c r="Q1147" s="93">
        <v>37.5</v>
      </c>
      <c r="R1147" s="93" t="s">
        <v>123</v>
      </c>
      <c r="S1147" s="93" t="s">
        <v>659</v>
      </c>
      <c r="T1147" s="93" t="s">
        <v>1659</v>
      </c>
      <c r="U1147" s="93" t="s">
        <v>116</v>
      </c>
      <c r="V1147" s="94">
        <v>44628.519444444442</v>
      </c>
      <c r="W1147" s="93" t="s">
        <v>1170</v>
      </c>
      <c r="X1147" s="93" t="s">
        <v>24</v>
      </c>
    </row>
    <row r="1148" spans="1:24" hidden="1" x14ac:dyDescent="0.15">
      <c r="A1148" s="93" t="s">
        <v>3231</v>
      </c>
      <c r="B1148" s="93" t="s">
        <v>3232</v>
      </c>
      <c r="C1148" s="410">
        <v>3675</v>
      </c>
      <c r="D1148" s="93" t="s">
        <v>9</v>
      </c>
      <c r="E1148" s="93" t="s">
        <v>9</v>
      </c>
      <c r="F1148" s="93" t="s">
        <v>1648</v>
      </c>
      <c r="G1148" s="93" t="s">
        <v>9117</v>
      </c>
      <c r="H1148" s="93" t="s">
        <v>1690</v>
      </c>
      <c r="I1148" s="93" t="s">
        <v>111</v>
      </c>
      <c r="J1148" s="93" t="s">
        <v>2013</v>
      </c>
      <c r="K1148" s="93">
        <v>50</v>
      </c>
      <c r="L1148" s="93" t="s">
        <v>111</v>
      </c>
      <c r="M1148" s="93">
        <v>5.35</v>
      </c>
      <c r="N1148" s="93" t="s">
        <v>113</v>
      </c>
      <c r="O1148" s="93">
        <v>18.5</v>
      </c>
      <c r="P1148" s="93">
        <v>29.5</v>
      </c>
      <c r="Q1148" s="93">
        <v>37.5</v>
      </c>
      <c r="R1148" s="93" t="s">
        <v>123</v>
      </c>
      <c r="S1148" s="93" t="s">
        <v>659</v>
      </c>
      <c r="T1148" s="93" t="s">
        <v>1659</v>
      </c>
      <c r="U1148" s="93" t="s">
        <v>116</v>
      </c>
      <c r="V1148" s="94">
        <v>44628.584027777775</v>
      </c>
      <c r="W1148" s="93" t="s">
        <v>1170</v>
      </c>
      <c r="X1148" s="93" t="s">
        <v>24</v>
      </c>
    </row>
    <row r="1149" spans="1:24" hidden="1" x14ac:dyDescent="0.15">
      <c r="A1149" s="93" t="s">
        <v>3233</v>
      </c>
      <c r="B1149" s="93" t="s">
        <v>3234</v>
      </c>
      <c r="C1149" s="410">
        <v>3675</v>
      </c>
      <c r="D1149" s="93" t="s">
        <v>9</v>
      </c>
      <c r="E1149" s="93" t="s">
        <v>9</v>
      </c>
      <c r="F1149" s="93" t="s">
        <v>1648</v>
      </c>
      <c r="G1149" s="93" t="s">
        <v>9117</v>
      </c>
      <c r="H1149" s="93" t="s">
        <v>1690</v>
      </c>
      <c r="I1149" s="93" t="s">
        <v>111</v>
      </c>
      <c r="J1149" s="93" t="s">
        <v>2013</v>
      </c>
      <c r="K1149" s="93">
        <v>50</v>
      </c>
      <c r="L1149" s="93" t="s">
        <v>111</v>
      </c>
      <c r="M1149" s="93">
        <v>5.35</v>
      </c>
      <c r="N1149" s="93" t="s">
        <v>113</v>
      </c>
      <c r="O1149" s="93">
        <v>18.5</v>
      </c>
      <c r="P1149" s="93">
        <v>29.5</v>
      </c>
      <c r="Q1149" s="93">
        <v>37.5</v>
      </c>
      <c r="R1149" s="93" t="s">
        <v>123</v>
      </c>
      <c r="S1149" s="93" t="s">
        <v>659</v>
      </c>
      <c r="T1149" s="93" t="s">
        <v>1659</v>
      </c>
      <c r="U1149" s="93" t="s">
        <v>116</v>
      </c>
      <c r="V1149" s="94">
        <v>44628.584027777775</v>
      </c>
      <c r="W1149" s="93" t="s">
        <v>1170</v>
      </c>
      <c r="X1149" s="93" t="s">
        <v>24</v>
      </c>
    </row>
    <row r="1150" spans="1:24" hidden="1" x14ac:dyDescent="0.15">
      <c r="A1150" s="93" t="s">
        <v>3235</v>
      </c>
      <c r="B1150" s="93" t="s">
        <v>3236</v>
      </c>
      <c r="C1150" s="410">
        <v>3675</v>
      </c>
      <c r="D1150" s="93" t="s">
        <v>9</v>
      </c>
      <c r="E1150" s="93" t="s">
        <v>9</v>
      </c>
      <c r="F1150" s="93" t="s">
        <v>1648</v>
      </c>
      <c r="G1150" s="93" t="s">
        <v>9117</v>
      </c>
      <c r="H1150" s="93" t="s">
        <v>1690</v>
      </c>
      <c r="I1150" s="93" t="s">
        <v>111</v>
      </c>
      <c r="J1150" s="93" t="s">
        <v>2013</v>
      </c>
      <c r="K1150" s="93">
        <v>50</v>
      </c>
      <c r="L1150" s="93" t="s">
        <v>111</v>
      </c>
      <c r="M1150" s="93">
        <v>5.35</v>
      </c>
      <c r="N1150" s="93" t="s">
        <v>113</v>
      </c>
      <c r="O1150" s="93">
        <v>18.5</v>
      </c>
      <c r="P1150" s="93">
        <v>29.5</v>
      </c>
      <c r="Q1150" s="93">
        <v>37.5</v>
      </c>
      <c r="R1150" s="93" t="s">
        <v>123</v>
      </c>
      <c r="S1150" s="93" t="s">
        <v>659</v>
      </c>
      <c r="T1150" s="93" t="s">
        <v>1659</v>
      </c>
      <c r="U1150" s="93" t="s">
        <v>116</v>
      </c>
      <c r="V1150" s="94">
        <v>44628.475694444445</v>
      </c>
      <c r="W1150" s="93" t="s">
        <v>1170</v>
      </c>
      <c r="X1150" s="93" t="s">
        <v>24</v>
      </c>
    </row>
    <row r="1151" spans="1:24" hidden="1" x14ac:dyDescent="0.15">
      <c r="A1151" s="93" t="s">
        <v>3237</v>
      </c>
      <c r="B1151" s="93" t="s">
        <v>3238</v>
      </c>
      <c r="C1151" s="410">
        <v>3675</v>
      </c>
      <c r="D1151" s="93" t="s">
        <v>9</v>
      </c>
      <c r="E1151" s="93" t="s">
        <v>9</v>
      </c>
      <c r="F1151" s="93" t="s">
        <v>1648</v>
      </c>
      <c r="G1151" s="93" t="s">
        <v>9117</v>
      </c>
      <c r="H1151" s="93" t="s">
        <v>1690</v>
      </c>
      <c r="I1151" s="93" t="s">
        <v>111</v>
      </c>
      <c r="J1151" s="93" t="s">
        <v>2013</v>
      </c>
      <c r="K1151" s="93">
        <v>50</v>
      </c>
      <c r="L1151" s="93" t="s">
        <v>111</v>
      </c>
      <c r="M1151" s="93">
        <v>5.35</v>
      </c>
      <c r="N1151" s="93" t="s">
        <v>113</v>
      </c>
      <c r="O1151" s="93">
        <v>18.5</v>
      </c>
      <c r="P1151" s="93">
        <v>29.5</v>
      </c>
      <c r="Q1151" s="93">
        <v>37.5</v>
      </c>
      <c r="R1151" s="93" t="s">
        <v>123</v>
      </c>
      <c r="S1151" s="93" t="s">
        <v>659</v>
      </c>
      <c r="T1151" s="93" t="s">
        <v>1659</v>
      </c>
      <c r="U1151" s="93" t="s">
        <v>116</v>
      </c>
      <c r="V1151" s="94">
        <v>44628.540972222225</v>
      </c>
      <c r="W1151" s="93" t="s">
        <v>1170</v>
      </c>
      <c r="X1151" s="93" t="s">
        <v>24</v>
      </c>
    </row>
    <row r="1152" spans="1:24" hidden="1" x14ac:dyDescent="0.15">
      <c r="A1152" s="93" t="s">
        <v>3239</v>
      </c>
      <c r="B1152" s="93" t="s">
        <v>3240</v>
      </c>
      <c r="C1152" s="410">
        <v>3675</v>
      </c>
      <c r="D1152" s="93" t="s">
        <v>9</v>
      </c>
      <c r="E1152" s="93" t="s">
        <v>9</v>
      </c>
      <c r="F1152" s="93" t="s">
        <v>1648</v>
      </c>
      <c r="G1152" s="93" t="s">
        <v>9117</v>
      </c>
      <c r="H1152" s="93" t="s">
        <v>1690</v>
      </c>
      <c r="I1152" s="93" t="s">
        <v>111</v>
      </c>
      <c r="J1152" s="93" t="s">
        <v>2013</v>
      </c>
      <c r="K1152" s="93">
        <v>50</v>
      </c>
      <c r="L1152" s="93" t="s">
        <v>111</v>
      </c>
      <c r="M1152" s="93">
        <v>5.35</v>
      </c>
      <c r="N1152" s="93" t="s">
        <v>113</v>
      </c>
      <c r="O1152" s="93">
        <v>18.5</v>
      </c>
      <c r="P1152" s="93">
        <v>29.5</v>
      </c>
      <c r="Q1152" s="93">
        <v>37.5</v>
      </c>
      <c r="R1152" s="93" t="s">
        <v>123</v>
      </c>
      <c r="S1152" s="93" t="s">
        <v>659</v>
      </c>
      <c r="T1152" s="93" t="s">
        <v>1659</v>
      </c>
      <c r="U1152" s="93" t="s">
        <v>116</v>
      </c>
      <c r="V1152" s="94">
        <v>44628.49722222222</v>
      </c>
      <c r="W1152" s="93" t="s">
        <v>1170</v>
      </c>
      <c r="X1152" s="93" t="s">
        <v>24</v>
      </c>
    </row>
    <row r="1153" spans="1:24" hidden="1" x14ac:dyDescent="0.15">
      <c r="A1153" s="93" t="s">
        <v>3241</v>
      </c>
      <c r="B1153" s="93" t="s">
        <v>3242</v>
      </c>
      <c r="C1153" s="410">
        <v>3675</v>
      </c>
      <c r="D1153" s="93" t="s">
        <v>9</v>
      </c>
      <c r="E1153" s="93" t="s">
        <v>9</v>
      </c>
      <c r="F1153" s="93" t="s">
        <v>1648</v>
      </c>
      <c r="G1153" s="93" t="s">
        <v>9117</v>
      </c>
      <c r="H1153" s="93" t="s">
        <v>1690</v>
      </c>
      <c r="I1153" s="93" t="s">
        <v>111</v>
      </c>
      <c r="J1153" s="93" t="s">
        <v>2013</v>
      </c>
      <c r="K1153" s="93">
        <v>50</v>
      </c>
      <c r="L1153" s="93" t="s">
        <v>111</v>
      </c>
      <c r="M1153" s="93">
        <v>5.35</v>
      </c>
      <c r="N1153" s="93" t="s">
        <v>113</v>
      </c>
      <c r="O1153" s="93">
        <v>18.5</v>
      </c>
      <c r="P1153" s="93">
        <v>29.5</v>
      </c>
      <c r="Q1153" s="93">
        <v>37.5</v>
      </c>
      <c r="R1153" s="93" t="s">
        <v>123</v>
      </c>
      <c r="S1153" s="93" t="s">
        <v>659</v>
      </c>
      <c r="T1153" s="93" t="s">
        <v>1659</v>
      </c>
      <c r="U1153" s="93" t="s">
        <v>116</v>
      </c>
      <c r="V1153" s="94">
        <v>44628.605555555558</v>
      </c>
      <c r="W1153" s="93" t="s">
        <v>1170</v>
      </c>
      <c r="X1153" s="93" t="s">
        <v>24</v>
      </c>
    </row>
    <row r="1154" spans="1:24" hidden="1" x14ac:dyDescent="0.15">
      <c r="A1154" s="93" t="s">
        <v>3243</v>
      </c>
      <c r="B1154" s="93" t="s">
        <v>3244</v>
      </c>
      <c r="C1154" s="410">
        <v>4620</v>
      </c>
      <c r="D1154" s="93" t="s">
        <v>9</v>
      </c>
      <c r="E1154" s="93" t="s">
        <v>9</v>
      </c>
      <c r="F1154" s="93" t="s">
        <v>1648</v>
      </c>
      <c r="G1154" s="93" t="s">
        <v>9117</v>
      </c>
      <c r="H1154" s="93" t="s">
        <v>1690</v>
      </c>
      <c r="I1154" s="93" t="s">
        <v>111</v>
      </c>
      <c r="J1154" s="93" t="s">
        <v>2086</v>
      </c>
      <c r="K1154" s="93">
        <v>50</v>
      </c>
      <c r="L1154" s="93" t="s">
        <v>111</v>
      </c>
      <c r="M1154" s="93">
        <v>6</v>
      </c>
      <c r="N1154" s="93" t="s">
        <v>113</v>
      </c>
      <c r="O1154" s="93">
        <v>18.5</v>
      </c>
      <c r="P1154" s="93">
        <v>29.5</v>
      </c>
      <c r="Q1154" s="93">
        <v>37.5</v>
      </c>
      <c r="R1154" s="93" t="s">
        <v>123</v>
      </c>
      <c r="S1154" s="93" t="s">
        <v>659</v>
      </c>
      <c r="T1154" s="93" t="s">
        <v>1659</v>
      </c>
      <c r="U1154" s="93" t="s">
        <v>116</v>
      </c>
      <c r="V1154" s="94">
        <v>44628.605555555558</v>
      </c>
      <c r="W1154" s="93" t="s">
        <v>1170</v>
      </c>
      <c r="X1154" s="93" t="s">
        <v>24</v>
      </c>
    </row>
    <row r="1155" spans="1:24" hidden="1" x14ac:dyDescent="0.15">
      <c r="A1155" s="93" t="s">
        <v>3245</v>
      </c>
      <c r="B1155" s="93" t="s">
        <v>3246</v>
      </c>
      <c r="C1155" s="410">
        <v>4620</v>
      </c>
      <c r="D1155" s="93" t="s">
        <v>9</v>
      </c>
      <c r="E1155" s="93" t="s">
        <v>9</v>
      </c>
      <c r="F1155" s="93" t="s">
        <v>1648</v>
      </c>
      <c r="G1155" s="93" t="s">
        <v>9117</v>
      </c>
      <c r="H1155" s="93" t="s">
        <v>1690</v>
      </c>
      <c r="I1155" s="93" t="s">
        <v>111</v>
      </c>
      <c r="J1155" s="93" t="s">
        <v>2086</v>
      </c>
      <c r="K1155" s="93">
        <v>50</v>
      </c>
      <c r="L1155" s="93" t="s">
        <v>111</v>
      </c>
      <c r="M1155" s="93">
        <v>6</v>
      </c>
      <c r="N1155" s="93" t="s">
        <v>113</v>
      </c>
      <c r="O1155" s="93">
        <v>18.5</v>
      </c>
      <c r="P1155" s="93">
        <v>29.5</v>
      </c>
      <c r="Q1155" s="93">
        <v>37.5</v>
      </c>
      <c r="R1155" s="93" t="s">
        <v>123</v>
      </c>
      <c r="S1155" s="93" t="s">
        <v>659</v>
      </c>
      <c r="T1155" s="93" t="s">
        <v>1659</v>
      </c>
      <c r="U1155" s="93" t="s">
        <v>116</v>
      </c>
      <c r="V1155" s="94">
        <v>44628.540972222225</v>
      </c>
      <c r="W1155" s="93" t="s">
        <v>1170</v>
      </c>
      <c r="X1155" s="93" t="s">
        <v>24</v>
      </c>
    </row>
    <row r="1156" spans="1:24" hidden="1" x14ac:dyDescent="0.15">
      <c r="A1156" s="93" t="s">
        <v>3247</v>
      </c>
      <c r="B1156" s="93" t="s">
        <v>3248</v>
      </c>
      <c r="C1156" s="410">
        <v>4620</v>
      </c>
      <c r="D1156" s="93" t="s">
        <v>9</v>
      </c>
      <c r="E1156" s="93" t="s">
        <v>9</v>
      </c>
      <c r="F1156" s="93" t="s">
        <v>1648</v>
      </c>
      <c r="G1156" s="93" t="s">
        <v>9117</v>
      </c>
      <c r="H1156" s="93" t="s">
        <v>1690</v>
      </c>
      <c r="I1156" s="93" t="s">
        <v>111</v>
      </c>
      <c r="J1156" s="93" t="s">
        <v>2086</v>
      </c>
      <c r="K1156" s="93">
        <v>50</v>
      </c>
      <c r="L1156" s="93" t="s">
        <v>111</v>
      </c>
      <c r="M1156" s="93">
        <v>6</v>
      </c>
      <c r="N1156" s="93" t="s">
        <v>113</v>
      </c>
      <c r="O1156" s="93">
        <v>18.5</v>
      </c>
      <c r="P1156" s="93">
        <v>29.5</v>
      </c>
      <c r="Q1156" s="93">
        <v>37.5</v>
      </c>
      <c r="R1156" s="93" t="s">
        <v>123</v>
      </c>
      <c r="S1156" s="93" t="s">
        <v>659</v>
      </c>
      <c r="T1156" s="93" t="s">
        <v>1659</v>
      </c>
      <c r="U1156" s="93" t="s">
        <v>116</v>
      </c>
      <c r="V1156" s="94">
        <v>44628.584027777775</v>
      </c>
      <c r="W1156" s="93" t="s">
        <v>1170</v>
      </c>
      <c r="X1156" s="93" t="s">
        <v>24</v>
      </c>
    </row>
    <row r="1157" spans="1:24" hidden="1" x14ac:dyDescent="0.15">
      <c r="A1157" s="93" t="s">
        <v>3249</v>
      </c>
      <c r="B1157" s="93" t="s">
        <v>3250</v>
      </c>
      <c r="C1157" s="410">
        <v>4620</v>
      </c>
      <c r="D1157" s="93" t="s">
        <v>9</v>
      </c>
      <c r="E1157" s="93" t="s">
        <v>9</v>
      </c>
      <c r="F1157" s="93" t="s">
        <v>1648</v>
      </c>
      <c r="G1157" s="93" t="s">
        <v>9117</v>
      </c>
      <c r="H1157" s="93" t="s">
        <v>1690</v>
      </c>
      <c r="I1157" s="93" t="s">
        <v>111</v>
      </c>
      <c r="J1157" s="93" t="s">
        <v>2086</v>
      </c>
      <c r="K1157" s="93">
        <v>50</v>
      </c>
      <c r="L1157" s="93" t="s">
        <v>111</v>
      </c>
      <c r="M1157" s="93">
        <v>6</v>
      </c>
      <c r="N1157" s="93" t="s">
        <v>113</v>
      </c>
      <c r="O1157" s="93">
        <v>18.5</v>
      </c>
      <c r="P1157" s="93">
        <v>29.5</v>
      </c>
      <c r="Q1157" s="93">
        <v>37.5</v>
      </c>
      <c r="R1157" s="93" t="s">
        <v>123</v>
      </c>
      <c r="S1157" s="93" t="s">
        <v>659</v>
      </c>
      <c r="T1157" s="93" t="s">
        <v>1659</v>
      </c>
      <c r="U1157" s="93" t="s">
        <v>116</v>
      </c>
      <c r="V1157" s="94">
        <v>44628.5625</v>
      </c>
      <c r="W1157" s="93" t="s">
        <v>1170</v>
      </c>
      <c r="X1157" s="93" t="s">
        <v>24</v>
      </c>
    </row>
    <row r="1158" spans="1:24" hidden="1" x14ac:dyDescent="0.15">
      <c r="A1158" s="93" t="s">
        <v>3251</v>
      </c>
      <c r="B1158" s="93" t="s">
        <v>3252</v>
      </c>
      <c r="C1158" s="410">
        <v>4620</v>
      </c>
      <c r="D1158" s="93" t="s">
        <v>9</v>
      </c>
      <c r="E1158" s="93" t="s">
        <v>9</v>
      </c>
      <c r="F1158" s="93" t="s">
        <v>1648</v>
      </c>
      <c r="G1158" s="93" t="s">
        <v>9117</v>
      </c>
      <c r="H1158" s="93" t="s">
        <v>1690</v>
      </c>
      <c r="I1158" s="93" t="s">
        <v>111</v>
      </c>
      <c r="J1158" s="93" t="s">
        <v>2086</v>
      </c>
      <c r="K1158" s="93">
        <v>50</v>
      </c>
      <c r="L1158" s="93" t="s">
        <v>111</v>
      </c>
      <c r="M1158" s="93">
        <v>6</v>
      </c>
      <c r="N1158" s="93" t="s">
        <v>113</v>
      </c>
      <c r="O1158" s="93">
        <v>18.5</v>
      </c>
      <c r="P1158" s="93">
        <v>29.5</v>
      </c>
      <c r="Q1158" s="93">
        <v>37.5</v>
      </c>
      <c r="R1158" s="93" t="s">
        <v>123</v>
      </c>
      <c r="S1158" s="93" t="s">
        <v>659</v>
      </c>
      <c r="T1158" s="93" t="s">
        <v>1659</v>
      </c>
      <c r="U1158" s="93" t="s">
        <v>116</v>
      </c>
      <c r="V1158" s="94">
        <v>44628.640972222223</v>
      </c>
      <c r="W1158" s="93" t="s">
        <v>1170</v>
      </c>
      <c r="X1158" s="93" t="s">
        <v>24</v>
      </c>
    </row>
    <row r="1159" spans="1:24" hidden="1" x14ac:dyDescent="0.15">
      <c r="A1159" s="93" t="s">
        <v>3253</v>
      </c>
      <c r="B1159" s="93" t="s">
        <v>3254</v>
      </c>
      <c r="C1159" s="410">
        <v>4620</v>
      </c>
      <c r="D1159" s="93" t="s">
        <v>9</v>
      </c>
      <c r="E1159" s="93" t="s">
        <v>9</v>
      </c>
      <c r="F1159" s="93" t="s">
        <v>1648</v>
      </c>
      <c r="G1159" s="93" t="s">
        <v>9117</v>
      </c>
      <c r="H1159" s="93" t="s">
        <v>1690</v>
      </c>
      <c r="I1159" s="93" t="s">
        <v>111</v>
      </c>
      <c r="J1159" s="93" t="s">
        <v>2086</v>
      </c>
      <c r="K1159" s="93">
        <v>50</v>
      </c>
      <c r="L1159" s="93" t="s">
        <v>111</v>
      </c>
      <c r="M1159" s="93">
        <v>6</v>
      </c>
      <c r="N1159" s="93" t="s">
        <v>113</v>
      </c>
      <c r="O1159" s="93">
        <v>18.5</v>
      </c>
      <c r="P1159" s="93">
        <v>29.5</v>
      </c>
      <c r="Q1159" s="93">
        <v>37.5</v>
      </c>
      <c r="R1159" s="93" t="s">
        <v>123</v>
      </c>
      <c r="S1159" s="93" t="s">
        <v>659</v>
      </c>
      <c r="T1159" s="93" t="s">
        <v>1659</v>
      </c>
      <c r="U1159" s="93" t="s">
        <v>116</v>
      </c>
      <c r="V1159" s="94">
        <v>44628.49722222222</v>
      </c>
      <c r="W1159" s="93" t="s">
        <v>1170</v>
      </c>
      <c r="X1159" s="93" t="s">
        <v>24</v>
      </c>
    </row>
    <row r="1160" spans="1:24" hidden="1" x14ac:dyDescent="0.15">
      <c r="A1160" s="93" t="s">
        <v>3255</v>
      </c>
      <c r="B1160" s="93" t="s">
        <v>3256</v>
      </c>
      <c r="C1160" s="410">
        <v>4620</v>
      </c>
      <c r="D1160" s="93" t="s">
        <v>9</v>
      </c>
      <c r="E1160" s="93" t="s">
        <v>9</v>
      </c>
      <c r="F1160" s="93" t="s">
        <v>1648</v>
      </c>
      <c r="G1160" s="93" t="s">
        <v>9117</v>
      </c>
      <c r="H1160" s="93" t="s">
        <v>1690</v>
      </c>
      <c r="I1160" s="93" t="s">
        <v>111</v>
      </c>
      <c r="J1160" s="93" t="s">
        <v>2086</v>
      </c>
      <c r="K1160" s="93">
        <v>50</v>
      </c>
      <c r="L1160" s="93" t="s">
        <v>111</v>
      </c>
      <c r="M1160" s="93">
        <v>6</v>
      </c>
      <c r="N1160" s="93" t="s">
        <v>113</v>
      </c>
      <c r="O1160" s="93">
        <v>18.5</v>
      </c>
      <c r="P1160" s="93">
        <v>29.5</v>
      </c>
      <c r="Q1160" s="93">
        <v>37.5</v>
      </c>
      <c r="R1160" s="93" t="s">
        <v>123</v>
      </c>
      <c r="S1160" s="93" t="s">
        <v>659</v>
      </c>
      <c r="T1160" s="93" t="s">
        <v>1659</v>
      </c>
      <c r="U1160" s="93" t="s">
        <v>116</v>
      </c>
      <c r="V1160" s="94">
        <v>44628.475694444445</v>
      </c>
      <c r="W1160" s="93" t="s">
        <v>1170</v>
      </c>
      <c r="X1160" s="93" t="s">
        <v>24</v>
      </c>
    </row>
    <row r="1161" spans="1:24" hidden="1" x14ac:dyDescent="0.15">
      <c r="A1161" s="93" t="s">
        <v>3257</v>
      </c>
      <c r="B1161" s="93" t="s">
        <v>3258</v>
      </c>
      <c r="C1161" s="410">
        <v>4620</v>
      </c>
      <c r="D1161" s="93" t="s">
        <v>9</v>
      </c>
      <c r="E1161" s="93" t="s">
        <v>9</v>
      </c>
      <c r="F1161" s="93" t="s">
        <v>1648</v>
      </c>
      <c r="G1161" s="93" t="s">
        <v>9117</v>
      </c>
      <c r="H1161" s="93" t="s">
        <v>1690</v>
      </c>
      <c r="I1161" s="93" t="s">
        <v>111</v>
      </c>
      <c r="J1161" s="93" t="s">
        <v>2086</v>
      </c>
      <c r="K1161" s="93">
        <v>50</v>
      </c>
      <c r="L1161" s="93" t="s">
        <v>111</v>
      </c>
      <c r="M1161" s="93">
        <v>6</v>
      </c>
      <c r="N1161" s="93" t="s">
        <v>113</v>
      </c>
      <c r="O1161" s="93">
        <v>18.5</v>
      </c>
      <c r="P1161" s="93">
        <v>29.5</v>
      </c>
      <c r="Q1161" s="93">
        <v>37.5</v>
      </c>
      <c r="R1161" s="93" t="s">
        <v>123</v>
      </c>
      <c r="S1161" s="93" t="s">
        <v>659</v>
      </c>
      <c r="T1161" s="93" t="s">
        <v>1659</v>
      </c>
      <c r="U1161" s="93" t="s">
        <v>116</v>
      </c>
      <c r="V1161" s="94">
        <v>44628.49722222222</v>
      </c>
      <c r="W1161" s="93" t="s">
        <v>1170</v>
      </c>
      <c r="X1161" s="93" t="s">
        <v>24</v>
      </c>
    </row>
    <row r="1162" spans="1:24" hidden="1" x14ac:dyDescent="0.15">
      <c r="A1162" s="93" t="s">
        <v>3259</v>
      </c>
      <c r="B1162" s="93" t="s">
        <v>3260</v>
      </c>
      <c r="C1162" s="410">
        <v>4620</v>
      </c>
      <c r="D1162" s="93" t="s">
        <v>9</v>
      </c>
      <c r="E1162" s="93" t="s">
        <v>9</v>
      </c>
      <c r="F1162" s="93" t="s">
        <v>1648</v>
      </c>
      <c r="G1162" s="93" t="s">
        <v>9117</v>
      </c>
      <c r="H1162" s="93" t="s">
        <v>1690</v>
      </c>
      <c r="I1162" s="93" t="s">
        <v>111</v>
      </c>
      <c r="J1162" s="93" t="s">
        <v>2086</v>
      </c>
      <c r="K1162" s="93">
        <v>50</v>
      </c>
      <c r="L1162" s="93" t="s">
        <v>111</v>
      </c>
      <c r="M1162" s="93">
        <v>6</v>
      </c>
      <c r="N1162" s="93" t="s">
        <v>113</v>
      </c>
      <c r="O1162" s="93">
        <v>18.5</v>
      </c>
      <c r="P1162" s="93">
        <v>29.5</v>
      </c>
      <c r="Q1162" s="93">
        <v>37.5</v>
      </c>
      <c r="R1162" s="93" t="s">
        <v>123</v>
      </c>
      <c r="S1162" s="93" t="s">
        <v>659</v>
      </c>
      <c r="T1162" s="93" t="s">
        <v>1659</v>
      </c>
      <c r="U1162" s="93" t="s">
        <v>116</v>
      </c>
      <c r="V1162" s="94">
        <v>44628.49722222222</v>
      </c>
      <c r="W1162" s="93" t="s">
        <v>1170</v>
      </c>
      <c r="X1162" s="93" t="s">
        <v>24</v>
      </c>
    </row>
    <row r="1163" spans="1:24" hidden="1" x14ac:dyDescent="0.15">
      <c r="A1163" s="93" t="s">
        <v>3261</v>
      </c>
      <c r="B1163" s="93" t="s">
        <v>3262</v>
      </c>
      <c r="C1163" s="410">
        <v>4620</v>
      </c>
      <c r="D1163" s="93" t="s">
        <v>9</v>
      </c>
      <c r="E1163" s="93" t="s">
        <v>9</v>
      </c>
      <c r="F1163" s="93" t="s">
        <v>1648</v>
      </c>
      <c r="G1163" s="93" t="s">
        <v>9117</v>
      </c>
      <c r="H1163" s="93" t="s">
        <v>1690</v>
      </c>
      <c r="I1163" s="93" t="s">
        <v>111</v>
      </c>
      <c r="J1163" s="93" t="s">
        <v>2086</v>
      </c>
      <c r="K1163" s="93">
        <v>50</v>
      </c>
      <c r="L1163" s="93" t="s">
        <v>111</v>
      </c>
      <c r="M1163" s="93">
        <v>6</v>
      </c>
      <c r="N1163" s="93" t="s">
        <v>113</v>
      </c>
      <c r="O1163" s="93">
        <v>18.5</v>
      </c>
      <c r="P1163" s="93">
        <v>29.5</v>
      </c>
      <c r="Q1163" s="93">
        <v>37.5</v>
      </c>
      <c r="R1163" s="93" t="s">
        <v>123</v>
      </c>
      <c r="S1163" s="93" t="s">
        <v>659</v>
      </c>
      <c r="T1163" s="93" t="s">
        <v>1659</v>
      </c>
      <c r="U1163" s="93" t="s">
        <v>116</v>
      </c>
      <c r="V1163" s="94">
        <v>44628.640972222223</v>
      </c>
      <c r="W1163" s="93" t="s">
        <v>1170</v>
      </c>
      <c r="X1163" s="93" t="s">
        <v>24</v>
      </c>
    </row>
    <row r="1164" spans="1:24" hidden="1" x14ac:dyDescent="0.15">
      <c r="A1164" s="93" t="s">
        <v>3263</v>
      </c>
      <c r="B1164" s="93" t="s">
        <v>3264</v>
      </c>
      <c r="C1164" s="410">
        <v>4620</v>
      </c>
      <c r="D1164" s="93" t="s">
        <v>9</v>
      </c>
      <c r="E1164" s="93" t="s">
        <v>9</v>
      </c>
      <c r="F1164" s="93" t="s">
        <v>1648</v>
      </c>
      <c r="G1164" s="93" t="s">
        <v>9117</v>
      </c>
      <c r="H1164" s="93" t="s">
        <v>1690</v>
      </c>
      <c r="I1164" s="93" t="s">
        <v>111</v>
      </c>
      <c r="J1164" s="93" t="s">
        <v>2086</v>
      </c>
      <c r="K1164" s="93">
        <v>50</v>
      </c>
      <c r="L1164" s="93" t="s">
        <v>111</v>
      </c>
      <c r="M1164" s="93">
        <v>6</v>
      </c>
      <c r="N1164" s="93" t="s">
        <v>113</v>
      </c>
      <c r="O1164" s="93">
        <v>18.5</v>
      </c>
      <c r="P1164" s="93">
        <v>29.5</v>
      </c>
      <c r="Q1164" s="93">
        <v>37.5</v>
      </c>
      <c r="R1164" s="93" t="s">
        <v>123</v>
      </c>
      <c r="S1164" s="93" t="s">
        <v>659</v>
      </c>
      <c r="T1164" s="93" t="s">
        <v>1659</v>
      </c>
      <c r="U1164" s="93" t="s">
        <v>116</v>
      </c>
      <c r="V1164" s="94">
        <v>44628.640972222223</v>
      </c>
      <c r="W1164" s="93" t="s">
        <v>1170</v>
      </c>
      <c r="X1164" s="93" t="s">
        <v>24</v>
      </c>
    </row>
    <row r="1165" spans="1:24" hidden="1" x14ac:dyDescent="0.15">
      <c r="A1165" s="93" t="s">
        <v>3265</v>
      </c>
      <c r="B1165" s="93" t="s">
        <v>3266</v>
      </c>
      <c r="C1165" s="410">
        <v>4620</v>
      </c>
      <c r="D1165" s="93" t="s">
        <v>9</v>
      </c>
      <c r="E1165" s="93" t="s">
        <v>9</v>
      </c>
      <c r="F1165" s="93" t="s">
        <v>1648</v>
      </c>
      <c r="G1165" s="93" t="s">
        <v>9117</v>
      </c>
      <c r="H1165" s="93" t="s">
        <v>1690</v>
      </c>
      <c r="I1165" s="93" t="s">
        <v>111</v>
      </c>
      <c r="J1165" s="93" t="s">
        <v>2086</v>
      </c>
      <c r="K1165" s="93">
        <v>50</v>
      </c>
      <c r="L1165" s="93" t="s">
        <v>111</v>
      </c>
      <c r="M1165" s="93">
        <v>6</v>
      </c>
      <c r="N1165" s="93" t="s">
        <v>113</v>
      </c>
      <c r="O1165" s="93">
        <v>18.5</v>
      </c>
      <c r="P1165" s="93">
        <v>29.5</v>
      </c>
      <c r="Q1165" s="93">
        <v>37.5</v>
      </c>
      <c r="R1165" s="93" t="s">
        <v>123</v>
      </c>
      <c r="S1165" s="93" t="s">
        <v>659</v>
      </c>
      <c r="T1165" s="93" t="s">
        <v>1659</v>
      </c>
      <c r="U1165" s="93" t="s">
        <v>116</v>
      </c>
      <c r="V1165" s="94">
        <v>44628.519444444442</v>
      </c>
      <c r="W1165" s="93" t="s">
        <v>1170</v>
      </c>
      <c r="X1165" s="93" t="s">
        <v>24</v>
      </c>
    </row>
    <row r="1166" spans="1:24" hidden="1" x14ac:dyDescent="0.15">
      <c r="A1166" s="93" t="s">
        <v>3267</v>
      </c>
      <c r="B1166" s="93" t="s">
        <v>3268</v>
      </c>
      <c r="C1166" s="410">
        <v>4620</v>
      </c>
      <c r="D1166" s="93" t="s">
        <v>9</v>
      </c>
      <c r="E1166" s="93" t="s">
        <v>9</v>
      </c>
      <c r="F1166" s="93" t="s">
        <v>1648</v>
      </c>
      <c r="G1166" s="93" t="s">
        <v>9117</v>
      </c>
      <c r="H1166" s="93" t="s">
        <v>1690</v>
      </c>
      <c r="I1166" s="93" t="s">
        <v>111</v>
      </c>
      <c r="J1166" s="93" t="s">
        <v>2086</v>
      </c>
      <c r="K1166" s="93">
        <v>50</v>
      </c>
      <c r="L1166" s="93" t="s">
        <v>111</v>
      </c>
      <c r="M1166" s="93">
        <v>6</v>
      </c>
      <c r="N1166" s="93" t="s">
        <v>113</v>
      </c>
      <c r="O1166" s="93">
        <v>18.5</v>
      </c>
      <c r="P1166" s="93">
        <v>29.5</v>
      </c>
      <c r="Q1166" s="93">
        <v>37.5</v>
      </c>
      <c r="R1166" s="93" t="s">
        <v>123</v>
      </c>
      <c r="S1166" s="93" t="s">
        <v>659</v>
      </c>
      <c r="T1166" s="93" t="s">
        <v>1659</v>
      </c>
      <c r="U1166" s="93" t="s">
        <v>116</v>
      </c>
      <c r="V1166" s="94">
        <v>44628.605555555558</v>
      </c>
      <c r="W1166" s="93" t="s">
        <v>1170</v>
      </c>
      <c r="X1166" s="93" t="s">
        <v>24</v>
      </c>
    </row>
    <row r="1167" spans="1:24" hidden="1" x14ac:dyDescent="0.15">
      <c r="A1167" s="93" t="s">
        <v>3269</v>
      </c>
      <c r="B1167" s="93" t="s">
        <v>3270</v>
      </c>
      <c r="C1167" s="410">
        <v>4620</v>
      </c>
      <c r="D1167" s="93" t="s">
        <v>9</v>
      </c>
      <c r="E1167" s="93" t="s">
        <v>9</v>
      </c>
      <c r="F1167" s="93" t="s">
        <v>1648</v>
      </c>
      <c r="G1167" s="93" t="s">
        <v>9117</v>
      </c>
      <c r="H1167" s="93" t="s">
        <v>1690</v>
      </c>
      <c r="I1167" s="93" t="s">
        <v>111</v>
      </c>
      <c r="J1167" s="93" t="s">
        <v>2086</v>
      </c>
      <c r="K1167" s="93">
        <v>50</v>
      </c>
      <c r="L1167" s="93" t="s">
        <v>111</v>
      </c>
      <c r="M1167" s="93">
        <v>6</v>
      </c>
      <c r="N1167" s="93" t="s">
        <v>113</v>
      </c>
      <c r="O1167" s="93">
        <v>18.5</v>
      </c>
      <c r="P1167" s="93">
        <v>29.5</v>
      </c>
      <c r="Q1167" s="93">
        <v>37.5</v>
      </c>
      <c r="R1167" s="93" t="s">
        <v>123</v>
      </c>
      <c r="S1167" s="93" t="s">
        <v>659</v>
      </c>
      <c r="T1167" s="93" t="s">
        <v>1659</v>
      </c>
      <c r="U1167" s="93" t="s">
        <v>116</v>
      </c>
      <c r="V1167" s="94">
        <v>44628.584027777775</v>
      </c>
      <c r="W1167" s="93" t="s">
        <v>1170</v>
      </c>
      <c r="X1167" s="93" t="s">
        <v>24</v>
      </c>
    </row>
    <row r="1168" spans="1:24" hidden="1" x14ac:dyDescent="0.15">
      <c r="A1168" s="93" t="s">
        <v>3271</v>
      </c>
      <c r="B1168" s="93" t="s">
        <v>3272</v>
      </c>
      <c r="C1168" s="410">
        <v>3465</v>
      </c>
      <c r="D1168" s="93" t="s">
        <v>9</v>
      </c>
      <c r="E1168" s="93" t="s">
        <v>9</v>
      </c>
      <c r="F1168" s="93" t="s">
        <v>1648</v>
      </c>
      <c r="G1168" s="93" t="s">
        <v>9117</v>
      </c>
      <c r="H1168" s="93" t="s">
        <v>1943</v>
      </c>
      <c r="I1168" s="93" t="s">
        <v>111</v>
      </c>
      <c r="J1168" s="93" t="s">
        <v>963</v>
      </c>
      <c r="K1168" s="93">
        <v>60</v>
      </c>
      <c r="L1168" s="93" t="s">
        <v>111</v>
      </c>
      <c r="M1168" s="93">
        <v>4.25</v>
      </c>
      <c r="N1168" s="93" t="s">
        <v>113</v>
      </c>
      <c r="O1168" s="93">
        <v>18.5</v>
      </c>
      <c r="P1168" s="93">
        <v>29.5</v>
      </c>
      <c r="Q1168" s="93">
        <v>32.5</v>
      </c>
      <c r="R1168" s="93" t="s">
        <v>123</v>
      </c>
      <c r="S1168" s="93" t="s">
        <v>111</v>
      </c>
      <c r="T1168" s="93" t="s">
        <v>1659</v>
      </c>
      <c r="U1168" s="93" t="s">
        <v>116</v>
      </c>
      <c r="V1168" s="94">
        <v>44628.605555555558</v>
      </c>
      <c r="W1168" s="93" t="s">
        <v>1170</v>
      </c>
      <c r="X1168" s="93" t="s">
        <v>24</v>
      </c>
    </row>
    <row r="1169" spans="1:24" hidden="1" x14ac:dyDescent="0.15">
      <c r="A1169" s="93" t="s">
        <v>3273</v>
      </c>
      <c r="B1169" s="93" t="s">
        <v>3274</v>
      </c>
      <c r="C1169" s="410">
        <v>3465</v>
      </c>
      <c r="D1169" s="93" t="s">
        <v>9</v>
      </c>
      <c r="E1169" s="93" t="s">
        <v>9</v>
      </c>
      <c r="F1169" s="93" t="s">
        <v>1648</v>
      </c>
      <c r="G1169" s="93" t="s">
        <v>9117</v>
      </c>
      <c r="H1169" s="93" t="s">
        <v>1943</v>
      </c>
      <c r="I1169" s="93" t="s">
        <v>111</v>
      </c>
      <c r="J1169" s="93" t="s">
        <v>963</v>
      </c>
      <c r="K1169" s="93">
        <v>60</v>
      </c>
      <c r="L1169" s="93" t="s">
        <v>111</v>
      </c>
      <c r="M1169" s="93">
        <v>4.25</v>
      </c>
      <c r="N1169" s="93" t="s">
        <v>113</v>
      </c>
      <c r="O1169" s="93">
        <v>18.5</v>
      </c>
      <c r="P1169" s="93">
        <v>29.5</v>
      </c>
      <c r="Q1169" s="93">
        <v>32.5</v>
      </c>
      <c r="R1169" s="93" t="s">
        <v>123</v>
      </c>
      <c r="S1169" s="93" t="s">
        <v>111</v>
      </c>
      <c r="T1169" s="93" t="s">
        <v>1659</v>
      </c>
      <c r="U1169" s="93" t="s">
        <v>116</v>
      </c>
      <c r="V1169" s="94">
        <v>44628.5625</v>
      </c>
      <c r="W1169" s="93" t="s">
        <v>1170</v>
      </c>
      <c r="X1169" s="93" t="s">
        <v>24</v>
      </c>
    </row>
    <row r="1170" spans="1:24" hidden="1" x14ac:dyDescent="0.15">
      <c r="A1170" s="93" t="s">
        <v>3275</v>
      </c>
      <c r="B1170" s="93" t="s">
        <v>3276</v>
      </c>
      <c r="C1170" s="410">
        <v>3465</v>
      </c>
      <c r="D1170" s="93" t="s">
        <v>9</v>
      </c>
      <c r="E1170" s="93" t="s">
        <v>9</v>
      </c>
      <c r="F1170" s="93" t="s">
        <v>1648</v>
      </c>
      <c r="G1170" s="93" t="s">
        <v>9117</v>
      </c>
      <c r="H1170" s="93" t="s">
        <v>1943</v>
      </c>
      <c r="I1170" s="93" t="s">
        <v>111</v>
      </c>
      <c r="J1170" s="93" t="s">
        <v>963</v>
      </c>
      <c r="K1170" s="93">
        <v>60</v>
      </c>
      <c r="L1170" s="93" t="s">
        <v>111</v>
      </c>
      <c r="M1170" s="93">
        <v>4.25</v>
      </c>
      <c r="N1170" s="93" t="s">
        <v>113</v>
      </c>
      <c r="O1170" s="93">
        <v>18.5</v>
      </c>
      <c r="P1170" s="93">
        <v>29.5</v>
      </c>
      <c r="Q1170" s="93">
        <v>32.5</v>
      </c>
      <c r="R1170" s="93" t="s">
        <v>123</v>
      </c>
      <c r="S1170" s="93" t="s">
        <v>111</v>
      </c>
      <c r="T1170" s="93" t="s">
        <v>1659</v>
      </c>
      <c r="U1170" s="93" t="s">
        <v>116</v>
      </c>
      <c r="V1170" s="94">
        <v>44628.49722222222</v>
      </c>
      <c r="W1170" s="93" t="s">
        <v>1170</v>
      </c>
      <c r="X1170" s="93" t="s">
        <v>24</v>
      </c>
    </row>
    <row r="1171" spans="1:24" hidden="1" x14ac:dyDescent="0.15">
      <c r="A1171" s="93" t="s">
        <v>3277</v>
      </c>
      <c r="B1171" s="93" t="s">
        <v>3278</v>
      </c>
      <c r="C1171" s="410">
        <v>3465</v>
      </c>
      <c r="D1171" s="93" t="s">
        <v>9</v>
      </c>
      <c r="E1171" s="93" t="s">
        <v>9</v>
      </c>
      <c r="F1171" s="93" t="s">
        <v>1648</v>
      </c>
      <c r="G1171" s="93" t="s">
        <v>9117</v>
      </c>
      <c r="H1171" s="93" t="s">
        <v>1943</v>
      </c>
      <c r="I1171" s="93" t="s">
        <v>111</v>
      </c>
      <c r="J1171" s="93" t="s">
        <v>963</v>
      </c>
      <c r="K1171" s="93">
        <v>60</v>
      </c>
      <c r="L1171" s="93" t="s">
        <v>111</v>
      </c>
      <c r="M1171" s="93">
        <v>4.25</v>
      </c>
      <c r="N1171" s="93" t="s">
        <v>113</v>
      </c>
      <c r="O1171" s="93">
        <v>18.5</v>
      </c>
      <c r="P1171" s="93">
        <v>29.5</v>
      </c>
      <c r="Q1171" s="93">
        <v>32.5</v>
      </c>
      <c r="R1171" s="93" t="s">
        <v>123</v>
      </c>
      <c r="S1171" s="93" t="s">
        <v>111</v>
      </c>
      <c r="T1171" s="93" t="s">
        <v>1659</v>
      </c>
      <c r="U1171" s="93" t="s">
        <v>116</v>
      </c>
      <c r="V1171" s="94">
        <v>44628.540972222225</v>
      </c>
      <c r="W1171" s="93" t="s">
        <v>1170</v>
      </c>
      <c r="X1171" s="93" t="s">
        <v>24</v>
      </c>
    </row>
    <row r="1172" spans="1:24" hidden="1" x14ac:dyDescent="0.15">
      <c r="A1172" s="93" t="s">
        <v>3279</v>
      </c>
      <c r="B1172" s="93" t="s">
        <v>3280</v>
      </c>
      <c r="C1172" s="410">
        <v>3465</v>
      </c>
      <c r="D1172" s="93" t="s">
        <v>9</v>
      </c>
      <c r="E1172" s="93" t="s">
        <v>9</v>
      </c>
      <c r="F1172" s="93" t="s">
        <v>1648</v>
      </c>
      <c r="G1172" s="93" t="s">
        <v>9117</v>
      </c>
      <c r="H1172" s="93" t="s">
        <v>1943</v>
      </c>
      <c r="I1172" s="93" t="s">
        <v>111</v>
      </c>
      <c r="J1172" s="93" t="s">
        <v>963</v>
      </c>
      <c r="K1172" s="93">
        <v>60</v>
      </c>
      <c r="L1172" s="93" t="s">
        <v>111</v>
      </c>
      <c r="M1172" s="93">
        <v>4.25</v>
      </c>
      <c r="N1172" s="93" t="s">
        <v>113</v>
      </c>
      <c r="O1172" s="93">
        <v>18.5</v>
      </c>
      <c r="P1172" s="93">
        <v>29.5</v>
      </c>
      <c r="Q1172" s="93">
        <v>32.5</v>
      </c>
      <c r="R1172" s="93" t="s">
        <v>123</v>
      </c>
      <c r="S1172" s="93" t="s">
        <v>111</v>
      </c>
      <c r="T1172" s="93" t="s">
        <v>1659</v>
      </c>
      <c r="U1172" s="93" t="s">
        <v>116</v>
      </c>
      <c r="V1172" s="94">
        <v>44628.519444444442</v>
      </c>
      <c r="W1172" s="93" t="s">
        <v>1170</v>
      </c>
      <c r="X1172" s="93" t="s">
        <v>24</v>
      </c>
    </row>
    <row r="1173" spans="1:24" hidden="1" x14ac:dyDescent="0.15">
      <c r="A1173" s="93" t="s">
        <v>3281</v>
      </c>
      <c r="B1173" s="93" t="s">
        <v>3282</v>
      </c>
      <c r="C1173" s="410">
        <v>3465</v>
      </c>
      <c r="D1173" s="93" t="s">
        <v>9</v>
      </c>
      <c r="E1173" s="93" t="s">
        <v>9</v>
      </c>
      <c r="F1173" s="93" t="s">
        <v>1648</v>
      </c>
      <c r="G1173" s="93" t="s">
        <v>9117</v>
      </c>
      <c r="H1173" s="93" t="s">
        <v>1943</v>
      </c>
      <c r="I1173" s="93" t="s">
        <v>111</v>
      </c>
      <c r="J1173" s="93" t="s">
        <v>963</v>
      </c>
      <c r="K1173" s="93">
        <v>60</v>
      </c>
      <c r="L1173" s="93" t="s">
        <v>111</v>
      </c>
      <c r="M1173" s="93">
        <v>4.25</v>
      </c>
      <c r="N1173" s="93" t="s">
        <v>113</v>
      </c>
      <c r="O1173" s="93">
        <v>18.5</v>
      </c>
      <c r="P1173" s="93">
        <v>29.5</v>
      </c>
      <c r="Q1173" s="93">
        <v>32.5</v>
      </c>
      <c r="R1173" s="93" t="s">
        <v>123</v>
      </c>
      <c r="S1173" s="93" t="s">
        <v>111</v>
      </c>
      <c r="T1173" s="93" t="s">
        <v>1659</v>
      </c>
      <c r="U1173" s="93" t="s">
        <v>116</v>
      </c>
      <c r="V1173" s="94">
        <v>44628.584027777775</v>
      </c>
      <c r="W1173" s="93" t="s">
        <v>1170</v>
      </c>
      <c r="X1173" s="93" t="s">
        <v>24</v>
      </c>
    </row>
    <row r="1174" spans="1:24" hidden="1" x14ac:dyDescent="0.15">
      <c r="A1174" s="93" t="s">
        <v>3283</v>
      </c>
      <c r="B1174" s="93" t="s">
        <v>3284</v>
      </c>
      <c r="C1174" s="410">
        <v>3465</v>
      </c>
      <c r="D1174" s="93" t="s">
        <v>9</v>
      </c>
      <c r="E1174" s="93" t="s">
        <v>9</v>
      </c>
      <c r="F1174" s="93" t="s">
        <v>1648</v>
      </c>
      <c r="G1174" s="93" t="s">
        <v>9117</v>
      </c>
      <c r="H1174" s="93" t="s">
        <v>1943</v>
      </c>
      <c r="I1174" s="93" t="s">
        <v>111</v>
      </c>
      <c r="J1174" s="93" t="s">
        <v>963</v>
      </c>
      <c r="K1174" s="93">
        <v>60</v>
      </c>
      <c r="L1174" s="93" t="s">
        <v>111</v>
      </c>
      <c r="M1174" s="93">
        <v>4.25</v>
      </c>
      <c r="N1174" s="93" t="s">
        <v>113</v>
      </c>
      <c r="O1174" s="93">
        <v>18.5</v>
      </c>
      <c r="P1174" s="93">
        <v>29.5</v>
      </c>
      <c r="Q1174" s="93">
        <v>32.5</v>
      </c>
      <c r="R1174" s="93" t="s">
        <v>123</v>
      </c>
      <c r="S1174" s="93" t="s">
        <v>111</v>
      </c>
      <c r="T1174" s="93" t="s">
        <v>1659</v>
      </c>
      <c r="U1174" s="93" t="s">
        <v>116</v>
      </c>
      <c r="V1174" s="94">
        <v>44628.49722222222</v>
      </c>
      <c r="W1174" s="93" t="s">
        <v>1170</v>
      </c>
      <c r="X1174" s="93" t="s">
        <v>24</v>
      </c>
    </row>
    <row r="1175" spans="1:24" hidden="1" x14ac:dyDescent="0.15">
      <c r="A1175" s="93" t="s">
        <v>3285</v>
      </c>
      <c r="B1175" s="93" t="s">
        <v>3286</v>
      </c>
      <c r="C1175" s="410">
        <v>3465</v>
      </c>
      <c r="D1175" s="93" t="s">
        <v>9</v>
      </c>
      <c r="E1175" s="93" t="s">
        <v>9</v>
      </c>
      <c r="F1175" s="93" t="s">
        <v>1648</v>
      </c>
      <c r="G1175" s="93" t="s">
        <v>9117</v>
      </c>
      <c r="H1175" s="93" t="s">
        <v>1943</v>
      </c>
      <c r="I1175" s="93" t="s">
        <v>111</v>
      </c>
      <c r="J1175" s="93" t="s">
        <v>963</v>
      </c>
      <c r="K1175" s="93">
        <v>60</v>
      </c>
      <c r="L1175" s="93" t="s">
        <v>111</v>
      </c>
      <c r="M1175" s="93">
        <v>4.25</v>
      </c>
      <c r="N1175" s="93" t="s">
        <v>113</v>
      </c>
      <c r="O1175" s="93">
        <v>18.5</v>
      </c>
      <c r="P1175" s="93">
        <v>29.5</v>
      </c>
      <c r="Q1175" s="93">
        <v>32.5</v>
      </c>
      <c r="R1175" s="93" t="s">
        <v>123</v>
      </c>
      <c r="S1175" s="93" t="s">
        <v>111</v>
      </c>
      <c r="T1175" s="93" t="s">
        <v>1659</v>
      </c>
      <c r="U1175" s="93" t="s">
        <v>116</v>
      </c>
      <c r="V1175" s="94">
        <v>44628.49722222222</v>
      </c>
      <c r="W1175" s="93" t="s">
        <v>1170</v>
      </c>
      <c r="X1175" s="93" t="s">
        <v>24</v>
      </c>
    </row>
    <row r="1176" spans="1:24" hidden="1" x14ac:dyDescent="0.15">
      <c r="A1176" s="93" t="s">
        <v>3287</v>
      </c>
      <c r="B1176" s="93" t="s">
        <v>3288</v>
      </c>
      <c r="C1176" s="410">
        <v>3465</v>
      </c>
      <c r="D1176" s="93" t="s">
        <v>9</v>
      </c>
      <c r="E1176" s="93" t="s">
        <v>9</v>
      </c>
      <c r="F1176" s="93" t="s">
        <v>1648</v>
      </c>
      <c r="G1176" s="93" t="s">
        <v>9117</v>
      </c>
      <c r="H1176" s="93" t="s">
        <v>1943</v>
      </c>
      <c r="I1176" s="93" t="s">
        <v>111</v>
      </c>
      <c r="J1176" s="93" t="s">
        <v>963</v>
      </c>
      <c r="K1176" s="93">
        <v>60</v>
      </c>
      <c r="L1176" s="93" t="s">
        <v>111</v>
      </c>
      <c r="M1176" s="93">
        <v>4.25</v>
      </c>
      <c r="N1176" s="93" t="s">
        <v>113</v>
      </c>
      <c r="O1176" s="93">
        <v>18.5</v>
      </c>
      <c r="P1176" s="93">
        <v>29.5</v>
      </c>
      <c r="Q1176" s="93">
        <v>32.5</v>
      </c>
      <c r="R1176" s="93" t="s">
        <v>123</v>
      </c>
      <c r="S1176" s="93" t="s">
        <v>111</v>
      </c>
      <c r="T1176" s="93" t="s">
        <v>1659</v>
      </c>
      <c r="U1176" s="93" t="s">
        <v>116</v>
      </c>
      <c r="V1176" s="94">
        <v>44628.584027777775</v>
      </c>
      <c r="W1176" s="93" t="s">
        <v>1170</v>
      </c>
      <c r="X1176" s="93" t="s">
        <v>24</v>
      </c>
    </row>
    <row r="1177" spans="1:24" hidden="1" x14ac:dyDescent="0.15">
      <c r="A1177" s="93" t="s">
        <v>3289</v>
      </c>
      <c r="B1177" s="93" t="s">
        <v>3290</v>
      </c>
      <c r="C1177" s="410">
        <v>3465</v>
      </c>
      <c r="D1177" s="93" t="s">
        <v>9</v>
      </c>
      <c r="E1177" s="93" t="s">
        <v>9</v>
      </c>
      <c r="F1177" s="93" t="s">
        <v>1648</v>
      </c>
      <c r="G1177" s="93" t="s">
        <v>9117</v>
      </c>
      <c r="H1177" s="93" t="s">
        <v>1943</v>
      </c>
      <c r="I1177" s="93" t="s">
        <v>111</v>
      </c>
      <c r="J1177" s="93" t="s">
        <v>963</v>
      </c>
      <c r="K1177" s="93">
        <v>60</v>
      </c>
      <c r="L1177" s="93" t="s">
        <v>111</v>
      </c>
      <c r="M1177" s="93">
        <v>4.25</v>
      </c>
      <c r="N1177" s="93" t="s">
        <v>113</v>
      </c>
      <c r="O1177" s="93">
        <v>18.5</v>
      </c>
      <c r="P1177" s="93">
        <v>29.5</v>
      </c>
      <c r="Q1177" s="93">
        <v>32.5</v>
      </c>
      <c r="R1177" s="93" t="s">
        <v>123</v>
      </c>
      <c r="S1177" s="93" t="s">
        <v>111</v>
      </c>
      <c r="T1177" s="93" t="s">
        <v>1659</v>
      </c>
      <c r="U1177" s="93" t="s">
        <v>116</v>
      </c>
      <c r="V1177" s="94">
        <v>44628.540972222225</v>
      </c>
      <c r="W1177" s="93" t="s">
        <v>1170</v>
      </c>
      <c r="X1177" s="93" t="s">
        <v>24</v>
      </c>
    </row>
    <row r="1178" spans="1:24" hidden="1" x14ac:dyDescent="0.15">
      <c r="A1178" s="93" t="s">
        <v>3291</v>
      </c>
      <c r="B1178" s="93" t="s">
        <v>3292</v>
      </c>
      <c r="C1178" s="410">
        <v>3465</v>
      </c>
      <c r="D1178" s="93" t="s">
        <v>9</v>
      </c>
      <c r="E1178" s="93" t="s">
        <v>9</v>
      </c>
      <c r="F1178" s="93" t="s">
        <v>1648</v>
      </c>
      <c r="G1178" s="93" t="s">
        <v>9117</v>
      </c>
      <c r="H1178" s="93" t="s">
        <v>1943</v>
      </c>
      <c r="I1178" s="93" t="s">
        <v>111</v>
      </c>
      <c r="J1178" s="93" t="s">
        <v>963</v>
      </c>
      <c r="K1178" s="93">
        <v>60</v>
      </c>
      <c r="L1178" s="93" t="s">
        <v>111</v>
      </c>
      <c r="M1178" s="93">
        <v>4.25</v>
      </c>
      <c r="N1178" s="93" t="s">
        <v>113</v>
      </c>
      <c r="O1178" s="93">
        <v>18.5</v>
      </c>
      <c r="P1178" s="93">
        <v>29.5</v>
      </c>
      <c r="Q1178" s="93">
        <v>32.5</v>
      </c>
      <c r="R1178" s="93" t="s">
        <v>123</v>
      </c>
      <c r="S1178" s="93" t="s">
        <v>111</v>
      </c>
      <c r="T1178" s="93" t="s">
        <v>1659</v>
      </c>
      <c r="U1178" s="93" t="s">
        <v>116</v>
      </c>
      <c r="V1178" s="94">
        <v>44628.584027777775</v>
      </c>
      <c r="W1178" s="93" t="s">
        <v>1170</v>
      </c>
      <c r="X1178" s="93" t="s">
        <v>24</v>
      </c>
    </row>
    <row r="1179" spans="1:24" hidden="1" x14ac:dyDescent="0.15">
      <c r="A1179" s="93" t="s">
        <v>3293</v>
      </c>
      <c r="B1179" s="93" t="s">
        <v>3294</v>
      </c>
      <c r="C1179" s="410">
        <v>3465</v>
      </c>
      <c r="D1179" s="93" t="s">
        <v>9</v>
      </c>
      <c r="E1179" s="93" t="s">
        <v>9</v>
      </c>
      <c r="F1179" s="93" t="s">
        <v>1648</v>
      </c>
      <c r="G1179" s="93" t="s">
        <v>9117</v>
      </c>
      <c r="H1179" s="93" t="s">
        <v>1943</v>
      </c>
      <c r="I1179" s="93" t="s">
        <v>111</v>
      </c>
      <c r="J1179" s="93" t="s">
        <v>963</v>
      </c>
      <c r="K1179" s="93">
        <v>60</v>
      </c>
      <c r="L1179" s="93" t="s">
        <v>111</v>
      </c>
      <c r="M1179" s="93">
        <v>4.25</v>
      </c>
      <c r="N1179" s="93" t="s">
        <v>113</v>
      </c>
      <c r="O1179" s="93">
        <v>18.5</v>
      </c>
      <c r="P1179" s="93">
        <v>29.5</v>
      </c>
      <c r="Q1179" s="93">
        <v>32.5</v>
      </c>
      <c r="R1179" s="93" t="s">
        <v>123</v>
      </c>
      <c r="S1179" s="93" t="s">
        <v>111</v>
      </c>
      <c r="T1179" s="93" t="s">
        <v>1659</v>
      </c>
      <c r="U1179" s="93" t="s">
        <v>116</v>
      </c>
      <c r="V1179" s="94">
        <v>44628.640972222223</v>
      </c>
      <c r="W1179" s="93" t="s">
        <v>1170</v>
      </c>
      <c r="X1179" s="93" t="s">
        <v>24</v>
      </c>
    </row>
    <row r="1180" spans="1:24" hidden="1" x14ac:dyDescent="0.15">
      <c r="A1180" s="93" t="s">
        <v>3295</v>
      </c>
      <c r="B1180" s="93" t="s">
        <v>3296</v>
      </c>
      <c r="C1180" s="410">
        <v>3465</v>
      </c>
      <c r="D1180" s="93" t="s">
        <v>9</v>
      </c>
      <c r="E1180" s="93" t="s">
        <v>9</v>
      </c>
      <c r="F1180" s="93" t="s">
        <v>1648</v>
      </c>
      <c r="G1180" s="93" t="s">
        <v>9117</v>
      </c>
      <c r="H1180" s="93" t="s">
        <v>1943</v>
      </c>
      <c r="I1180" s="93" t="s">
        <v>111</v>
      </c>
      <c r="J1180" s="93" t="s">
        <v>963</v>
      </c>
      <c r="K1180" s="93">
        <v>60</v>
      </c>
      <c r="L1180" s="93" t="s">
        <v>111</v>
      </c>
      <c r="M1180" s="93">
        <v>4.25</v>
      </c>
      <c r="N1180" s="93" t="s">
        <v>113</v>
      </c>
      <c r="O1180" s="93">
        <v>18.5</v>
      </c>
      <c r="P1180" s="93">
        <v>29.5</v>
      </c>
      <c r="Q1180" s="93">
        <v>32.5</v>
      </c>
      <c r="R1180" s="93" t="s">
        <v>123</v>
      </c>
      <c r="S1180" s="93" t="s">
        <v>111</v>
      </c>
      <c r="T1180" s="93" t="s">
        <v>1659</v>
      </c>
      <c r="U1180" s="93" t="s">
        <v>116</v>
      </c>
      <c r="V1180" s="94">
        <v>44628.49722222222</v>
      </c>
      <c r="W1180" s="93" t="s">
        <v>1170</v>
      </c>
      <c r="X1180" s="93" t="s">
        <v>24</v>
      </c>
    </row>
    <row r="1181" spans="1:24" hidden="1" x14ac:dyDescent="0.15">
      <c r="A1181" s="93" t="s">
        <v>3297</v>
      </c>
      <c r="B1181" s="93" t="s">
        <v>3298</v>
      </c>
      <c r="C1181" s="410">
        <v>3465</v>
      </c>
      <c r="D1181" s="93" t="s">
        <v>9</v>
      </c>
      <c r="E1181" s="93" t="s">
        <v>9</v>
      </c>
      <c r="F1181" s="93" t="s">
        <v>1648</v>
      </c>
      <c r="G1181" s="93" t="s">
        <v>9117</v>
      </c>
      <c r="H1181" s="93" t="s">
        <v>1943</v>
      </c>
      <c r="I1181" s="93" t="s">
        <v>111</v>
      </c>
      <c r="J1181" s="93" t="s">
        <v>963</v>
      </c>
      <c r="K1181" s="93">
        <v>60</v>
      </c>
      <c r="L1181" s="93" t="s">
        <v>111</v>
      </c>
      <c r="M1181" s="93">
        <v>4.25</v>
      </c>
      <c r="N1181" s="93" t="s">
        <v>113</v>
      </c>
      <c r="O1181" s="93">
        <v>18.5</v>
      </c>
      <c r="P1181" s="93">
        <v>29.5</v>
      </c>
      <c r="Q1181" s="93">
        <v>32.5</v>
      </c>
      <c r="R1181" s="93" t="s">
        <v>123</v>
      </c>
      <c r="S1181" s="93" t="s">
        <v>111</v>
      </c>
      <c r="T1181" s="93" t="s">
        <v>1659</v>
      </c>
      <c r="U1181" s="93" t="s">
        <v>116</v>
      </c>
      <c r="V1181" s="94">
        <v>44628.605555555558</v>
      </c>
      <c r="W1181" s="93" t="s">
        <v>1170</v>
      </c>
      <c r="X1181" s="93" t="s">
        <v>24</v>
      </c>
    </row>
    <row r="1182" spans="1:24" hidden="1" x14ac:dyDescent="0.15">
      <c r="A1182" s="93" t="s">
        <v>3299</v>
      </c>
      <c r="B1182" s="93" t="s">
        <v>3300</v>
      </c>
      <c r="C1182" s="410">
        <v>4919.25</v>
      </c>
      <c r="D1182" s="93" t="s">
        <v>9</v>
      </c>
      <c r="E1182" s="93" t="s">
        <v>9</v>
      </c>
      <c r="F1182" s="93" t="s">
        <v>1648</v>
      </c>
      <c r="G1182" s="93" t="s">
        <v>9117</v>
      </c>
      <c r="H1182" s="93" t="s">
        <v>1690</v>
      </c>
      <c r="I1182" s="93" t="s">
        <v>111</v>
      </c>
      <c r="J1182" s="93" t="s">
        <v>1675</v>
      </c>
      <c r="K1182" s="93">
        <v>60</v>
      </c>
      <c r="L1182" s="93" t="s">
        <v>111</v>
      </c>
      <c r="M1182" s="93">
        <v>5</v>
      </c>
      <c r="N1182" s="93" t="s">
        <v>113</v>
      </c>
      <c r="O1182" s="93">
        <v>16</v>
      </c>
      <c r="P1182" s="93">
        <v>35</v>
      </c>
      <c r="Q1182" s="93">
        <v>44</v>
      </c>
      <c r="R1182" s="93" t="s">
        <v>123</v>
      </c>
      <c r="S1182" s="93" t="s">
        <v>659</v>
      </c>
      <c r="T1182" s="93" t="s">
        <v>1659</v>
      </c>
      <c r="U1182" s="93" t="s">
        <v>116</v>
      </c>
      <c r="V1182" s="94">
        <v>44628.511111111111</v>
      </c>
      <c r="W1182" s="93" t="s">
        <v>1555</v>
      </c>
      <c r="X1182" s="93" t="s">
        <v>24</v>
      </c>
    </row>
    <row r="1183" spans="1:24" hidden="1" x14ac:dyDescent="0.15">
      <c r="A1183" s="93" t="s">
        <v>3301</v>
      </c>
      <c r="B1183" s="93" t="s">
        <v>3302</v>
      </c>
      <c r="C1183" s="410">
        <v>3675</v>
      </c>
      <c r="D1183" s="93" t="s">
        <v>9</v>
      </c>
      <c r="E1183" s="93" t="s">
        <v>9</v>
      </c>
      <c r="F1183" s="93" t="s">
        <v>1648</v>
      </c>
      <c r="G1183" s="93" t="s">
        <v>9117</v>
      </c>
      <c r="H1183" s="93" t="s">
        <v>1690</v>
      </c>
      <c r="I1183" s="93" t="s">
        <v>111</v>
      </c>
      <c r="J1183" s="93" t="s">
        <v>2013</v>
      </c>
      <c r="K1183" s="93">
        <v>50</v>
      </c>
      <c r="L1183" s="93" t="s">
        <v>111</v>
      </c>
      <c r="M1183" s="93">
        <v>5.35</v>
      </c>
      <c r="N1183" s="93" t="s">
        <v>113</v>
      </c>
      <c r="O1183" s="93">
        <v>18.5</v>
      </c>
      <c r="P1183" s="93">
        <v>29.5</v>
      </c>
      <c r="Q1183" s="93">
        <v>37.5</v>
      </c>
      <c r="R1183" s="93" t="s">
        <v>123</v>
      </c>
      <c r="S1183" s="93" t="s">
        <v>659</v>
      </c>
      <c r="T1183" s="93" t="s">
        <v>1659</v>
      </c>
      <c r="U1183" s="93" t="s">
        <v>116</v>
      </c>
      <c r="V1183" s="94">
        <v>44628.475694444445</v>
      </c>
      <c r="W1183" s="93" t="s">
        <v>1170</v>
      </c>
      <c r="X1183" s="93" t="s">
        <v>24</v>
      </c>
    </row>
    <row r="1184" spans="1:24" hidden="1" x14ac:dyDescent="0.15">
      <c r="A1184" s="93" t="s">
        <v>3303</v>
      </c>
      <c r="B1184" s="93" t="s">
        <v>3304</v>
      </c>
      <c r="C1184" s="410">
        <v>3675</v>
      </c>
      <c r="D1184" s="93" t="s">
        <v>9</v>
      </c>
      <c r="E1184" s="93" t="s">
        <v>9</v>
      </c>
      <c r="F1184" s="93" t="s">
        <v>1648</v>
      </c>
      <c r="G1184" s="93" t="s">
        <v>9117</v>
      </c>
      <c r="H1184" s="93" t="s">
        <v>1690</v>
      </c>
      <c r="I1184" s="93" t="s">
        <v>111</v>
      </c>
      <c r="J1184" s="93" t="s">
        <v>2013</v>
      </c>
      <c r="K1184" s="93">
        <v>50</v>
      </c>
      <c r="L1184" s="93" t="s">
        <v>111</v>
      </c>
      <c r="M1184" s="93">
        <v>5.35</v>
      </c>
      <c r="N1184" s="93" t="s">
        <v>113</v>
      </c>
      <c r="O1184" s="93">
        <v>18.5</v>
      </c>
      <c r="P1184" s="93">
        <v>29.5</v>
      </c>
      <c r="Q1184" s="93">
        <v>37.5</v>
      </c>
      <c r="R1184" s="93" t="s">
        <v>123</v>
      </c>
      <c r="S1184" s="93" t="s">
        <v>659</v>
      </c>
      <c r="T1184" s="93" t="s">
        <v>1659</v>
      </c>
      <c r="U1184" s="93" t="s">
        <v>116</v>
      </c>
      <c r="V1184" s="94">
        <v>44628.49722222222</v>
      </c>
      <c r="W1184" s="93" t="s">
        <v>1170</v>
      </c>
      <c r="X1184" s="93" t="s">
        <v>24</v>
      </c>
    </row>
    <row r="1185" spans="1:24" hidden="1" x14ac:dyDescent="0.15">
      <c r="A1185" s="93" t="s">
        <v>3305</v>
      </c>
      <c r="B1185" s="93" t="s">
        <v>3306</v>
      </c>
      <c r="C1185" s="410">
        <v>3675</v>
      </c>
      <c r="D1185" s="93" t="s">
        <v>9</v>
      </c>
      <c r="E1185" s="93" t="s">
        <v>9</v>
      </c>
      <c r="F1185" s="93" t="s">
        <v>1648</v>
      </c>
      <c r="G1185" s="93" t="s">
        <v>9117</v>
      </c>
      <c r="H1185" s="93" t="s">
        <v>1690</v>
      </c>
      <c r="I1185" s="93" t="s">
        <v>111</v>
      </c>
      <c r="J1185" s="93" t="s">
        <v>2013</v>
      </c>
      <c r="K1185" s="93">
        <v>50</v>
      </c>
      <c r="L1185" s="93" t="s">
        <v>111</v>
      </c>
      <c r="M1185" s="93">
        <v>5.35</v>
      </c>
      <c r="N1185" s="93" t="s">
        <v>113</v>
      </c>
      <c r="O1185" s="93">
        <v>18.5</v>
      </c>
      <c r="P1185" s="93">
        <v>29.5</v>
      </c>
      <c r="Q1185" s="93">
        <v>37.5</v>
      </c>
      <c r="R1185" s="93" t="s">
        <v>123</v>
      </c>
      <c r="S1185" s="93" t="s">
        <v>659</v>
      </c>
      <c r="T1185" s="93" t="s">
        <v>1659</v>
      </c>
      <c r="U1185" s="93" t="s">
        <v>116</v>
      </c>
      <c r="V1185" s="94">
        <v>44628.5625</v>
      </c>
      <c r="W1185" s="93" t="s">
        <v>1170</v>
      </c>
      <c r="X1185" s="93" t="s">
        <v>24</v>
      </c>
    </row>
    <row r="1186" spans="1:24" hidden="1" x14ac:dyDescent="0.15">
      <c r="A1186" s="93" t="s">
        <v>3307</v>
      </c>
      <c r="B1186" s="93" t="s">
        <v>3308</v>
      </c>
      <c r="C1186" s="410">
        <v>3675</v>
      </c>
      <c r="D1186" s="93" t="s">
        <v>9</v>
      </c>
      <c r="E1186" s="93" t="s">
        <v>9</v>
      </c>
      <c r="F1186" s="93" t="s">
        <v>1648</v>
      </c>
      <c r="G1186" s="93" t="s">
        <v>9117</v>
      </c>
      <c r="H1186" s="93" t="s">
        <v>1690</v>
      </c>
      <c r="I1186" s="93" t="s">
        <v>111</v>
      </c>
      <c r="J1186" s="93" t="s">
        <v>2013</v>
      </c>
      <c r="K1186" s="93">
        <v>50</v>
      </c>
      <c r="L1186" s="93" t="s">
        <v>111</v>
      </c>
      <c r="M1186" s="93">
        <v>5.35</v>
      </c>
      <c r="N1186" s="93" t="s">
        <v>113</v>
      </c>
      <c r="O1186" s="93">
        <v>18.5</v>
      </c>
      <c r="P1186" s="93">
        <v>29.5</v>
      </c>
      <c r="Q1186" s="93">
        <v>37.5</v>
      </c>
      <c r="R1186" s="93" t="s">
        <v>123</v>
      </c>
      <c r="S1186" s="93" t="s">
        <v>659</v>
      </c>
      <c r="T1186" s="93" t="s">
        <v>1659</v>
      </c>
      <c r="U1186" s="93" t="s">
        <v>116</v>
      </c>
      <c r="V1186" s="94">
        <v>44628.640972222223</v>
      </c>
      <c r="W1186" s="93" t="s">
        <v>1170</v>
      </c>
      <c r="X1186" s="93" t="s">
        <v>24</v>
      </c>
    </row>
    <row r="1187" spans="1:24" hidden="1" x14ac:dyDescent="0.15">
      <c r="A1187" s="93" t="s">
        <v>3309</v>
      </c>
      <c r="B1187" s="93" t="s">
        <v>3310</v>
      </c>
      <c r="C1187" s="410">
        <v>3675</v>
      </c>
      <c r="D1187" s="93" t="s">
        <v>9</v>
      </c>
      <c r="E1187" s="93" t="s">
        <v>9</v>
      </c>
      <c r="F1187" s="93" t="s">
        <v>1648</v>
      </c>
      <c r="G1187" s="93" t="s">
        <v>9117</v>
      </c>
      <c r="H1187" s="93" t="s">
        <v>1690</v>
      </c>
      <c r="I1187" s="93" t="s">
        <v>111</v>
      </c>
      <c r="J1187" s="93" t="s">
        <v>2013</v>
      </c>
      <c r="K1187" s="93">
        <v>50</v>
      </c>
      <c r="L1187" s="93" t="s">
        <v>111</v>
      </c>
      <c r="M1187" s="93">
        <v>5.35</v>
      </c>
      <c r="N1187" s="93" t="s">
        <v>113</v>
      </c>
      <c r="O1187" s="93">
        <v>18.5</v>
      </c>
      <c r="P1187" s="93">
        <v>29.5</v>
      </c>
      <c r="Q1187" s="93">
        <v>37.5</v>
      </c>
      <c r="R1187" s="93" t="s">
        <v>123</v>
      </c>
      <c r="S1187" s="93" t="s">
        <v>659</v>
      </c>
      <c r="T1187" s="93" t="s">
        <v>1659</v>
      </c>
      <c r="U1187" s="93" t="s">
        <v>116</v>
      </c>
      <c r="V1187" s="94">
        <v>44628.540972222225</v>
      </c>
      <c r="W1187" s="93" t="s">
        <v>1170</v>
      </c>
      <c r="X1187" s="93" t="s">
        <v>24</v>
      </c>
    </row>
    <row r="1188" spans="1:24" hidden="1" x14ac:dyDescent="0.15">
      <c r="A1188" s="93" t="s">
        <v>3311</v>
      </c>
      <c r="B1188" s="93" t="s">
        <v>3312</v>
      </c>
      <c r="C1188" s="410">
        <v>3675</v>
      </c>
      <c r="D1188" s="93" t="s">
        <v>9</v>
      </c>
      <c r="E1188" s="93" t="s">
        <v>9</v>
      </c>
      <c r="F1188" s="93" t="s">
        <v>1648</v>
      </c>
      <c r="G1188" s="93" t="s">
        <v>9117</v>
      </c>
      <c r="H1188" s="93" t="s">
        <v>1690</v>
      </c>
      <c r="I1188" s="93" t="s">
        <v>111</v>
      </c>
      <c r="J1188" s="93" t="s">
        <v>2013</v>
      </c>
      <c r="K1188" s="93">
        <v>50</v>
      </c>
      <c r="L1188" s="93" t="s">
        <v>111</v>
      </c>
      <c r="M1188" s="93">
        <v>5.35</v>
      </c>
      <c r="N1188" s="93" t="s">
        <v>113</v>
      </c>
      <c r="O1188" s="93">
        <v>18.5</v>
      </c>
      <c r="P1188" s="93">
        <v>29.5</v>
      </c>
      <c r="Q1188" s="93">
        <v>37.5</v>
      </c>
      <c r="R1188" s="93" t="s">
        <v>123</v>
      </c>
      <c r="S1188" s="93" t="s">
        <v>659</v>
      </c>
      <c r="T1188" s="93" t="s">
        <v>1659</v>
      </c>
      <c r="U1188" s="93" t="s">
        <v>116</v>
      </c>
      <c r="V1188" s="94">
        <v>44628.605555555558</v>
      </c>
      <c r="W1188" s="93" t="s">
        <v>1170</v>
      </c>
      <c r="X1188" s="93" t="s">
        <v>24</v>
      </c>
    </row>
    <row r="1189" spans="1:24" hidden="1" x14ac:dyDescent="0.15">
      <c r="A1189" s="93" t="s">
        <v>3313</v>
      </c>
      <c r="B1189" s="93" t="s">
        <v>3314</v>
      </c>
      <c r="C1189" s="410">
        <v>3675</v>
      </c>
      <c r="D1189" s="93" t="s">
        <v>9</v>
      </c>
      <c r="E1189" s="93" t="s">
        <v>9</v>
      </c>
      <c r="F1189" s="93" t="s">
        <v>1648</v>
      </c>
      <c r="G1189" s="93" t="s">
        <v>9117</v>
      </c>
      <c r="H1189" s="93" t="s">
        <v>1690</v>
      </c>
      <c r="I1189" s="93" t="s">
        <v>111</v>
      </c>
      <c r="J1189" s="93" t="s">
        <v>2013</v>
      </c>
      <c r="K1189" s="93">
        <v>50</v>
      </c>
      <c r="L1189" s="93" t="s">
        <v>111</v>
      </c>
      <c r="M1189" s="93">
        <v>5.35</v>
      </c>
      <c r="N1189" s="93" t="s">
        <v>113</v>
      </c>
      <c r="O1189" s="93">
        <v>18.5</v>
      </c>
      <c r="P1189" s="93">
        <v>29.5</v>
      </c>
      <c r="Q1189" s="93">
        <v>37.5</v>
      </c>
      <c r="R1189" s="93" t="s">
        <v>123</v>
      </c>
      <c r="S1189" s="93" t="s">
        <v>659</v>
      </c>
      <c r="T1189" s="93" t="s">
        <v>1659</v>
      </c>
      <c r="U1189" s="93" t="s">
        <v>116</v>
      </c>
      <c r="V1189" s="94">
        <v>44628.5625</v>
      </c>
      <c r="W1189" s="93" t="s">
        <v>1170</v>
      </c>
      <c r="X1189" s="93" t="s">
        <v>24</v>
      </c>
    </row>
    <row r="1190" spans="1:24" hidden="1" x14ac:dyDescent="0.15">
      <c r="A1190" s="93" t="s">
        <v>3315</v>
      </c>
      <c r="B1190" s="93" t="s">
        <v>3316</v>
      </c>
      <c r="C1190" s="410">
        <v>3675</v>
      </c>
      <c r="D1190" s="93" t="s">
        <v>9</v>
      </c>
      <c r="E1190" s="93" t="s">
        <v>9</v>
      </c>
      <c r="F1190" s="93" t="s">
        <v>1648</v>
      </c>
      <c r="G1190" s="93" t="s">
        <v>9117</v>
      </c>
      <c r="H1190" s="93" t="s">
        <v>1690</v>
      </c>
      <c r="I1190" s="93" t="s">
        <v>111</v>
      </c>
      <c r="J1190" s="93" t="s">
        <v>2013</v>
      </c>
      <c r="K1190" s="93">
        <v>50</v>
      </c>
      <c r="L1190" s="93" t="s">
        <v>111</v>
      </c>
      <c r="M1190" s="93">
        <v>5.35</v>
      </c>
      <c r="N1190" s="93" t="s">
        <v>113</v>
      </c>
      <c r="O1190" s="93">
        <v>18.5</v>
      </c>
      <c r="P1190" s="93">
        <v>29.5</v>
      </c>
      <c r="Q1190" s="93">
        <v>37.5</v>
      </c>
      <c r="R1190" s="93" t="s">
        <v>123</v>
      </c>
      <c r="S1190" s="93" t="s">
        <v>659</v>
      </c>
      <c r="T1190" s="93" t="s">
        <v>1659</v>
      </c>
      <c r="U1190" s="93" t="s">
        <v>116</v>
      </c>
      <c r="V1190" s="94">
        <v>44628.640972222223</v>
      </c>
      <c r="W1190" s="93" t="s">
        <v>1170</v>
      </c>
      <c r="X1190" s="93" t="s">
        <v>24</v>
      </c>
    </row>
    <row r="1191" spans="1:24" hidden="1" x14ac:dyDescent="0.15">
      <c r="A1191" s="93" t="s">
        <v>3317</v>
      </c>
      <c r="B1191" s="93" t="s">
        <v>3318</v>
      </c>
      <c r="C1191" s="410">
        <v>3675</v>
      </c>
      <c r="D1191" s="93" t="s">
        <v>9</v>
      </c>
      <c r="E1191" s="93" t="s">
        <v>9</v>
      </c>
      <c r="F1191" s="93" t="s">
        <v>1648</v>
      </c>
      <c r="G1191" s="93" t="s">
        <v>9117</v>
      </c>
      <c r="H1191" s="93" t="s">
        <v>1690</v>
      </c>
      <c r="I1191" s="93" t="s">
        <v>111</v>
      </c>
      <c r="J1191" s="93" t="s">
        <v>2013</v>
      </c>
      <c r="K1191" s="93">
        <v>50</v>
      </c>
      <c r="L1191" s="93" t="s">
        <v>111</v>
      </c>
      <c r="M1191" s="93">
        <v>5.35</v>
      </c>
      <c r="N1191" s="93" t="s">
        <v>113</v>
      </c>
      <c r="O1191" s="93">
        <v>18.5</v>
      </c>
      <c r="P1191" s="93">
        <v>29.5</v>
      </c>
      <c r="Q1191" s="93">
        <v>37.5</v>
      </c>
      <c r="R1191" s="93" t="s">
        <v>123</v>
      </c>
      <c r="S1191" s="93" t="s">
        <v>659</v>
      </c>
      <c r="T1191" s="93" t="s">
        <v>1659</v>
      </c>
      <c r="U1191" s="93" t="s">
        <v>116</v>
      </c>
      <c r="V1191" s="94">
        <v>44628.640972222223</v>
      </c>
      <c r="W1191" s="93" t="s">
        <v>1170</v>
      </c>
      <c r="X1191" s="93" t="s">
        <v>24</v>
      </c>
    </row>
    <row r="1192" spans="1:24" hidden="1" x14ac:dyDescent="0.15">
      <c r="A1192" s="93" t="s">
        <v>3319</v>
      </c>
      <c r="B1192" s="93" t="s">
        <v>3320</v>
      </c>
      <c r="C1192" s="410">
        <v>3675</v>
      </c>
      <c r="D1192" s="93" t="s">
        <v>9</v>
      </c>
      <c r="E1192" s="93" t="s">
        <v>9</v>
      </c>
      <c r="F1192" s="93" t="s">
        <v>1648</v>
      </c>
      <c r="G1192" s="93" t="s">
        <v>9117</v>
      </c>
      <c r="H1192" s="93" t="s">
        <v>1690</v>
      </c>
      <c r="I1192" s="93" t="s">
        <v>111</v>
      </c>
      <c r="J1192" s="93" t="s">
        <v>2013</v>
      </c>
      <c r="K1192" s="93">
        <v>50</v>
      </c>
      <c r="L1192" s="93" t="s">
        <v>111</v>
      </c>
      <c r="M1192" s="93">
        <v>5.35</v>
      </c>
      <c r="N1192" s="93" t="s">
        <v>113</v>
      </c>
      <c r="O1192" s="93">
        <v>18.5</v>
      </c>
      <c r="P1192" s="93">
        <v>29.5</v>
      </c>
      <c r="Q1192" s="93">
        <v>37.5</v>
      </c>
      <c r="R1192" s="93" t="s">
        <v>123</v>
      </c>
      <c r="S1192" s="93" t="s">
        <v>659</v>
      </c>
      <c r="T1192" s="93" t="s">
        <v>1659</v>
      </c>
      <c r="U1192" s="93" t="s">
        <v>116</v>
      </c>
      <c r="V1192" s="94">
        <v>44628.605555555558</v>
      </c>
      <c r="W1192" s="93" t="s">
        <v>1170</v>
      </c>
      <c r="X1192" s="93" t="s">
        <v>24</v>
      </c>
    </row>
    <row r="1193" spans="1:24" hidden="1" x14ac:dyDescent="0.15">
      <c r="A1193" s="93" t="s">
        <v>3321</v>
      </c>
      <c r="B1193" s="93" t="s">
        <v>3322</v>
      </c>
      <c r="C1193" s="410">
        <v>3675</v>
      </c>
      <c r="D1193" s="93" t="s">
        <v>9</v>
      </c>
      <c r="E1193" s="93" t="s">
        <v>9</v>
      </c>
      <c r="F1193" s="93" t="s">
        <v>1648</v>
      </c>
      <c r="G1193" s="93" t="s">
        <v>9117</v>
      </c>
      <c r="H1193" s="93" t="s">
        <v>1690</v>
      </c>
      <c r="I1193" s="93" t="s">
        <v>111</v>
      </c>
      <c r="J1193" s="93" t="s">
        <v>2013</v>
      </c>
      <c r="K1193" s="93">
        <v>50</v>
      </c>
      <c r="L1193" s="93" t="s">
        <v>111</v>
      </c>
      <c r="M1193" s="93">
        <v>5.35</v>
      </c>
      <c r="N1193" s="93" t="s">
        <v>113</v>
      </c>
      <c r="O1193" s="93">
        <v>18.5</v>
      </c>
      <c r="P1193" s="93">
        <v>29.5</v>
      </c>
      <c r="Q1193" s="93">
        <v>37.5</v>
      </c>
      <c r="R1193" s="93" t="s">
        <v>123</v>
      </c>
      <c r="S1193" s="93" t="s">
        <v>659</v>
      </c>
      <c r="T1193" s="93" t="s">
        <v>1659</v>
      </c>
      <c r="U1193" s="93" t="s">
        <v>116</v>
      </c>
      <c r="V1193" s="94">
        <v>44628.605555555558</v>
      </c>
      <c r="W1193" s="93" t="s">
        <v>1170</v>
      </c>
      <c r="X1193" s="93" t="s">
        <v>24</v>
      </c>
    </row>
    <row r="1194" spans="1:24" hidden="1" x14ac:dyDescent="0.15">
      <c r="A1194" s="93" t="s">
        <v>3323</v>
      </c>
      <c r="B1194" s="93" t="s">
        <v>3324</v>
      </c>
      <c r="C1194" s="410">
        <v>3675</v>
      </c>
      <c r="D1194" s="93" t="s">
        <v>9</v>
      </c>
      <c r="E1194" s="93" t="s">
        <v>9</v>
      </c>
      <c r="F1194" s="93" t="s">
        <v>1648</v>
      </c>
      <c r="G1194" s="93" t="s">
        <v>9117</v>
      </c>
      <c r="H1194" s="93" t="s">
        <v>1690</v>
      </c>
      <c r="I1194" s="93" t="s">
        <v>111</v>
      </c>
      <c r="J1194" s="93" t="s">
        <v>2013</v>
      </c>
      <c r="K1194" s="93">
        <v>50</v>
      </c>
      <c r="L1194" s="93" t="s">
        <v>111</v>
      </c>
      <c r="M1194" s="93">
        <v>5.35</v>
      </c>
      <c r="N1194" s="93" t="s">
        <v>113</v>
      </c>
      <c r="O1194" s="93">
        <v>18.5</v>
      </c>
      <c r="P1194" s="93">
        <v>29.5</v>
      </c>
      <c r="Q1194" s="93">
        <v>37.5</v>
      </c>
      <c r="R1194" s="93" t="s">
        <v>123</v>
      </c>
      <c r="S1194" s="93" t="s">
        <v>659</v>
      </c>
      <c r="T1194" s="93" t="s">
        <v>1659</v>
      </c>
      <c r="U1194" s="93" t="s">
        <v>116</v>
      </c>
      <c r="V1194" s="94">
        <v>44628.475694444445</v>
      </c>
      <c r="W1194" s="93" t="s">
        <v>1170</v>
      </c>
      <c r="X1194" s="93" t="s">
        <v>24</v>
      </c>
    </row>
    <row r="1195" spans="1:24" hidden="1" x14ac:dyDescent="0.15">
      <c r="A1195" s="93" t="s">
        <v>3325</v>
      </c>
      <c r="B1195" s="93" t="s">
        <v>3326</v>
      </c>
      <c r="C1195" s="410">
        <v>3675</v>
      </c>
      <c r="D1195" s="93" t="s">
        <v>9</v>
      </c>
      <c r="E1195" s="93" t="s">
        <v>9</v>
      </c>
      <c r="F1195" s="93" t="s">
        <v>1648</v>
      </c>
      <c r="G1195" s="93" t="s">
        <v>9117</v>
      </c>
      <c r="H1195" s="93" t="s">
        <v>1690</v>
      </c>
      <c r="I1195" s="93" t="s">
        <v>111</v>
      </c>
      <c r="J1195" s="93" t="s">
        <v>2013</v>
      </c>
      <c r="K1195" s="93">
        <v>50</v>
      </c>
      <c r="L1195" s="93" t="s">
        <v>111</v>
      </c>
      <c r="M1195" s="93">
        <v>5.35</v>
      </c>
      <c r="N1195" s="93" t="s">
        <v>113</v>
      </c>
      <c r="O1195" s="93">
        <v>18.5</v>
      </c>
      <c r="P1195" s="93">
        <v>29.5</v>
      </c>
      <c r="Q1195" s="93">
        <v>37.5</v>
      </c>
      <c r="R1195" s="93" t="s">
        <v>123</v>
      </c>
      <c r="S1195" s="93" t="s">
        <v>659</v>
      </c>
      <c r="T1195" s="93" t="s">
        <v>1659</v>
      </c>
      <c r="U1195" s="93" t="s">
        <v>116</v>
      </c>
      <c r="V1195" s="94">
        <v>44628.519444444442</v>
      </c>
      <c r="W1195" s="93" t="s">
        <v>1170</v>
      </c>
      <c r="X1195" s="93" t="s">
        <v>24</v>
      </c>
    </row>
    <row r="1196" spans="1:24" hidden="1" x14ac:dyDescent="0.15">
      <c r="A1196" s="93" t="s">
        <v>3327</v>
      </c>
      <c r="B1196" s="93" t="s">
        <v>3328</v>
      </c>
      <c r="C1196" s="410">
        <v>3675</v>
      </c>
      <c r="D1196" s="93" t="s">
        <v>9</v>
      </c>
      <c r="E1196" s="93" t="s">
        <v>9</v>
      </c>
      <c r="F1196" s="93" t="s">
        <v>1648</v>
      </c>
      <c r="G1196" s="93" t="s">
        <v>9117</v>
      </c>
      <c r="H1196" s="93" t="s">
        <v>1690</v>
      </c>
      <c r="I1196" s="93" t="s">
        <v>111</v>
      </c>
      <c r="J1196" s="93" t="s">
        <v>2013</v>
      </c>
      <c r="K1196" s="93">
        <v>50</v>
      </c>
      <c r="L1196" s="93" t="s">
        <v>111</v>
      </c>
      <c r="M1196" s="93">
        <v>5.35</v>
      </c>
      <c r="N1196" s="93" t="s">
        <v>113</v>
      </c>
      <c r="O1196" s="93">
        <v>18.5</v>
      </c>
      <c r="P1196" s="93">
        <v>29.5</v>
      </c>
      <c r="Q1196" s="93">
        <v>37.5</v>
      </c>
      <c r="R1196" s="93" t="s">
        <v>123</v>
      </c>
      <c r="S1196" s="93" t="s">
        <v>659</v>
      </c>
      <c r="T1196" s="93" t="s">
        <v>1659</v>
      </c>
      <c r="U1196" s="93" t="s">
        <v>116</v>
      </c>
      <c r="V1196" s="94">
        <v>44628.640972222223</v>
      </c>
      <c r="W1196" s="93" t="s">
        <v>1170</v>
      </c>
      <c r="X1196" s="93" t="s">
        <v>24</v>
      </c>
    </row>
    <row r="1197" spans="1:24" hidden="1" x14ac:dyDescent="0.15">
      <c r="A1197" s="93" t="s">
        <v>3329</v>
      </c>
      <c r="B1197" s="93" t="s">
        <v>3330</v>
      </c>
      <c r="C1197" s="410">
        <v>3675</v>
      </c>
      <c r="D1197" s="93" t="s">
        <v>9</v>
      </c>
      <c r="E1197" s="93" t="s">
        <v>9</v>
      </c>
      <c r="F1197" s="93" t="s">
        <v>1648</v>
      </c>
      <c r="G1197" s="93" t="s">
        <v>9117</v>
      </c>
      <c r="H1197" s="93" t="s">
        <v>1690</v>
      </c>
      <c r="I1197" s="93" t="s">
        <v>111</v>
      </c>
      <c r="J1197" s="93" t="s">
        <v>2013</v>
      </c>
      <c r="K1197" s="93">
        <v>50</v>
      </c>
      <c r="L1197" s="93" t="s">
        <v>111</v>
      </c>
      <c r="M1197" s="93">
        <v>5.35</v>
      </c>
      <c r="N1197" s="93" t="s">
        <v>113</v>
      </c>
      <c r="O1197" s="93">
        <v>18.5</v>
      </c>
      <c r="P1197" s="93">
        <v>29.5</v>
      </c>
      <c r="Q1197" s="93">
        <v>37.5</v>
      </c>
      <c r="R1197" s="93" t="s">
        <v>123</v>
      </c>
      <c r="S1197" s="93" t="s">
        <v>659</v>
      </c>
      <c r="T1197" s="93" t="s">
        <v>1659</v>
      </c>
      <c r="U1197" s="93" t="s">
        <v>116</v>
      </c>
      <c r="V1197" s="94">
        <v>44628.584027777775</v>
      </c>
      <c r="W1197" s="93" t="s">
        <v>1170</v>
      </c>
      <c r="X1197" s="93" t="s">
        <v>24</v>
      </c>
    </row>
    <row r="1198" spans="1:24" hidden="1" x14ac:dyDescent="0.15">
      <c r="A1198" s="93" t="s">
        <v>3331</v>
      </c>
      <c r="B1198" s="93" t="s">
        <v>3332</v>
      </c>
      <c r="C1198" s="410">
        <v>3675</v>
      </c>
      <c r="D1198" s="93" t="s">
        <v>9</v>
      </c>
      <c r="E1198" s="93" t="s">
        <v>9</v>
      </c>
      <c r="F1198" s="93" t="s">
        <v>1648</v>
      </c>
      <c r="G1198" s="93" t="s">
        <v>9117</v>
      </c>
      <c r="H1198" s="93" t="s">
        <v>1690</v>
      </c>
      <c r="I1198" s="93" t="s">
        <v>111</v>
      </c>
      <c r="J1198" s="93" t="s">
        <v>2013</v>
      </c>
      <c r="K1198" s="93">
        <v>50</v>
      </c>
      <c r="L1198" s="93" t="s">
        <v>111</v>
      </c>
      <c r="M1198" s="93">
        <v>5.35</v>
      </c>
      <c r="N1198" s="93" t="s">
        <v>113</v>
      </c>
      <c r="O1198" s="93">
        <v>18.5</v>
      </c>
      <c r="P1198" s="93">
        <v>29.5</v>
      </c>
      <c r="Q1198" s="93">
        <v>37.5</v>
      </c>
      <c r="R1198" s="93" t="s">
        <v>123</v>
      </c>
      <c r="S1198" s="93" t="s">
        <v>659</v>
      </c>
      <c r="T1198" s="93" t="s">
        <v>1659</v>
      </c>
      <c r="U1198" s="93" t="s">
        <v>116</v>
      </c>
      <c r="V1198" s="94">
        <v>44628.540972222225</v>
      </c>
      <c r="W1198" s="93" t="s">
        <v>1170</v>
      </c>
      <c r="X1198" s="93" t="s">
        <v>24</v>
      </c>
    </row>
    <row r="1199" spans="1:24" hidden="1" x14ac:dyDescent="0.15">
      <c r="A1199" s="93" t="s">
        <v>3333</v>
      </c>
      <c r="B1199" s="93" t="s">
        <v>3334</v>
      </c>
      <c r="C1199" s="410">
        <v>3675</v>
      </c>
      <c r="D1199" s="93" t="s">
        <v>9</v>
      </c>
      <c r="E1199" s="93" t="s">
        <v>9</v>
      </c>
      <c r="F1199" s="93" t="s">
        <v>1648</v>
      </c>
      <c r="G1199" s="93" t="s">
        <v>9117</v>
      </c>
      <c r="H1199" s="93" t="s">
        <v>1690</v>
      </c>
      <c r="I1199" s="93" t="s">
        <v>111</v>
      </c>
      <c r="J1199" s="93" t="s">
        <v>2013</v>
      </c>
      <c r="K1199" s="93">
        <v>50</v>
      </c>
      <c r="L1199" s="93" t="s">
        <v>111</v>
      </c>
      <c r="M1199" s="93">
        <v>5.35</v>
      </c>
      <c r="N1199" s="93" t="s">
        <v>113</v>
      </c>
      <c r="O1199" s="93">
        <v>18.5</v>
      </c>
      <c r="P1199" s="93">
        <v>29.5</v>
      </c>
      <c r="Q1199" s="93">
        <v>37.5</v>
      </c>
      <c r="R1199" s="93" t="s">
        <v>123</v>
      </c>
      <c r="S1199" s="93" t="s">
        <v>659</v>
      </c>
      <c r="T1199" s="93" t="s">
        <v>1659</v>
      </c>
      <c r="U1199" s="93" t="s">
        <v>116</v>
      </c>
      <c r="V1199" s="94">
        <v>44628.49722222222</v>
      </c>
      <c r="W1199" s="93" t="s">
        <v>1170</v>
      </c>
      <c r="X1199" s="93" t="s">
        <v>24</v>
      </c>
    </row>
    <row r="1200" spans="1:24" hidden="1" x14ac:dyDescent="0.15">
      <c r="A1200" s="93" t="s">
        <v>3335</v>
      </c>
      <c r="B1200" s="93" t="s">
        <v>3336</v>
      </c>
      <c r="C1200" s="410">
        <v>3675</v>
      </c>
      <c r="D1200" s="93" t="s">
        <v>9</v>
      </c>
      <c r="E1200" s="93" t="s">
        <v>9</v>
      </c>
      <c r="F1200" s="93" t="s">
        <v>1648</v>
      </c>
      <c r="G1200" s="93" t="s">
        <v>9117</v>
      </c>
      <c r="H1200" s="93" t="s">
        <v>1690</v>
      </c>
      <c r="I1200" s="93" t="s">
        <v>111</v>
      </c>
      <c r="J1200" s="93" t="s">
        <v>2013</v>
      </c>
      <c r="K1200" s="93">
        <v>50</v>
      </c>
      <c r="L1200" s="93" t="s">
        <v>111</v>
      </c>
      <c r="M1200" s="93">
        <v>5.35</v>
      </c>
      <c r="N1200" s="93" t="s">
        <v>113</v>
      </c>
      <c r="O1200" s="93">
        <v>18.5</v>
      </c>
      <c r="P1200" s="93">
        <v>29.5</v>
      </c>
      <c r="Q1200" s="93">
        <v>37.5</v>
      </c>
      <c r="R1200" s="93" t="s">
        <v>123</v>
      </c>
      <c r="S1200" s="93" t="s">
        <v>659</v>
      </c>
      <c r="T1200" s="93" t="s">
        <v>1659</v>
      </c>
      <c r="U1200" s="93" t="s">
        <v>116</v>
      </c>
      <c r="V1200" s="94">
        <v>44628.5625</v>
      </c>
      <c r="W1200" s="93" t="s">
        <v>1170</v>
      </c>
      <c r="X1200" s="93" t="s">
        <v>24</v>
      </c>
    </row>
    <row r="1201" spans="1:24" hidden="1" x14ac:dyDescent="0.15">
      <c r="A1201" s="93" t="s">
        <v>3337</v>
      </c>
      <c r="B1201" s="93" t="s">
        <v>3338</v>
      </c>
      <c r="C1201" s="410">
        <v>3675</v>
      </c>
      <c r="D1201" s="93" t="s">
        <v>9</v>
      </c>
      <c r="E1201" s="93" t="s">
        <v>9</v>
      </c>
      <c r="F1201" s="93" t="s">
        <v>1648</v>
      </c>
      <c r="G1201" s="93" t="s">
        <v>9117</v>
      </c>
      <c r="H1201" s="93" t="s">
        <v>1690</v>
      </c>
      <c r="I1201" s="93" t="s">
        <v>111</v>
      </c>
      <c r="J1201" s="93" t="s">
        <v>2013</v>
      </c>
      <c r="K1201" s="93">
        <v>50</v>
      </c>
      <c r="L1201" s="93" t="s">
        <v>111</v>
      </c>
      <c r="M1201" s="93">
        <v>5.35</v>
      </c>
      <c r="N1201" s="93" t="s">
        <v>113</v>
      </c>
      <c r="O1201" s="93">
        <v>18.5</v>
      </c>
      <c r="P1201" s="93">
        <v>29.5</v>
      </c>
      <c r="Q1201" s="93">
        <v>37.5</v>
      </c>
      <c r="R1201" s="93" t="s">
        <v>123</v>
      </c>
      <c r="S1201" s="93" t="s">
        <v>659</v>
      </c>
      <c r="T1201" s="93" t="s">
        <v>1659</v>
      </c>
      <c r="U1201" s="93" t="s">
        <v>116</v>
      </c>
      <c r="V1201" s="94">
        <v>44628.584027777775</v>
      </c>
      <c r="W1201" s="93" t="s">
        <v>1170</v>
      </c>
      <c r="X1201" s="93" t="s">
        <v>24</v>
      </c>
    </row>
    <row r="1202" spans="1:24" hidden="1" x14ac:dyDescent="0.15">
      <c r="A1202" s="93" t="s">
        <v>3339</v>
      </c>
      <c r="B1202" s="93" t="s">
        <v>3340</v>
      </c>
      <c r="C1202" s="410">
        <v>3675</v>
      </c>
      <c r="D1202" s="93" t="s">
        <v>9</v>
      </c>
      <c r="E1202" s="93" t="s">
        <v>9</v>
      </c>
      <c r="F1202" s="93" t="s">
        <v>1648</v>
      </c>
      <c r="G1202" s="93" t="s">
        <v>9117</v>
      </c>
      <c r="H1202" s="93" t="s">
        <v>1690</v>
      </c>
      <c r="I1202" s="93" t="s">
        <v>111</v>
      </c>
      <c r="J1202" s="93" t="s">
        <v>2013</v>
      </c>
      <c r="K1202" s="93">
        <v>50</v>
      </c>
      <c r="L1202" s="93" t="s">
        <v>111</v>
      </c>
      <c r="M1202" s="93">
        <v>5.35</v>
      </c>
      <c r="N1202" s="93" t="s">
        <v>113</v>
      </c>
      <c r="O1202" s="93">
        <v>18.5</v>
      </c>
      <c r="P1202" s="93">
        <v>29.5</v>
      </c>
      <c r="Q1202" s="93">
        <v>37.5</v>
      </c>
      <c r="R1202" s="93" t="s">
        <v>123</v>
      </c>
      <c r="S1202" s="93" t="s">
        <v>659</v>
      </c>
      <c r="T1202" s="93" t="s">
        <v>1659</v>
      </c>
      <c r="U1202" s="93" t="s">
        <v>116</v>
      </c>
      <c r="V1202" s="94">
        <v>44628.640972222223</v>
      </c>
      <c r="W1202" s="93" t="s">
        <v>1170</v>
      </c>
      <c r="X1202" s="93" t="s">
        <v>24</v>
      </c>
    </row>
    <row r="1203" spans="1:24" hidden="1" x14ac:dyDescent="0.15">
      <c r="A1203" s="93" t="s">
        <v>3341</v>
      </c>
      <c r="B1203" s="93" t="s">
        <v>3342</v>
      </c>
      <c r="C1203" s="410">
        <v>3675</v>
      </c>
      <c r="D1203" s="93" t="s">
        <v>9</v>
      </c>
      <c r="E1203" s="93" t="s">
        <v>9</v>
      </c>
      <c r="F1203" s="93" t="s">
        <v>1648</v>
      </c>
      <c r="G1203" s="93" t="s">
        <v>9117</v>
      </c>
      <c r="H1203" s="93" t="s">
        <v>1690</v>
      </c>
      <c r="I1203" s="93" t="s">
        <v>111</v>
      </c>
      <c r="J1203" s="93" t="s">
        <v>2013</v>
      </c>
      <c r="K1203" s="93">
        <v>50</v>
      </c>
      <c r="L1203" s="93" t="s">
        <v>111</v>
      </c>
      <c r="M1203" s="93">
        <v>5.35</v>
      </c>
      <c r="N1203" s="93" t="s">
        <v>113</v>
      </c>
      <c r="O1203" s="93">
        <v>18.5</v>
      </c>
      <c r="P1203" s="93">
        <v>29.5</v>
      </c>
      <c r="Q1203" s="93">
        <v>37.5</v>
      </c>
      <c r="R1203" s="93" t="s">
        <v>123</v>
      </c>
      <c r="S1203" s="93" t="s">
        <v>659</v>
      </c>
      <c r="T1203" s="93" t="s">
        <v>1659</v>
      </c>
      <c r="U1203" s="93" t="s">
        <v>116</v>
      </c>
      <c r="V1203" s="94">
        <v>44628.605555555558</v>
      </c>
      <c r="W1203" s="93" t="s">
        <v>1170</v>
      </c>
      <c r="X1203" s="93" t="s">
        <v>24</v>
      </c>
    </row>
    <row r="1204" spans="1:24" hidden="1" x14ac:dyDescent="0.15">
      <c r="A1204" s="93" t="s">
        <v>3343</v>
      </c>
      <c r="B1204" s="93" t="s">
        <v>3344</v>
      </c>
      <c r="C1204" s="410">
        <v>3675</v>
      </c>
      <c r="D1204" s="93" t="s">
        <v>9</v>
      </c>
      <c r="E1204" s="93" t="s">
        <v>9</v>
      </c>
      <c r="F1204" s="93" t="s">
        <v>1648</v>
      </c>
      <c r="G1204" s="93" t="s">
        <v>9117</v>
      </c>
      <c r="H1204" s="93" t="s">
        <v>1690</v>
      </c>
      <c r="I1204" s="93" t="s">
        <v>111</v>
      </c>
      <c r="J1204" s="93" t="s">
        <v>2013</v>
      </c>
      <c r="K1204" s="93">
        <v>50</v>
      </c>
      <c r="L1204" s="93" t="s">
        <v>111</v>
      </c>
      <c r="M1204" s="93">
        <v>5.35</v>
      </c>
      <c r="N1204" s="93" t="s">
        <v>113</v>
      </c>
      <c r="O1204" s="93">
        <v>18.5</v>
      </c>
      <c r="P1204" s="93">
        <v>29.5</v>
      </c>
      <c r="Q1204" s="93">
        <v>37.5</v>
      </c>
      <c r="R1204" s="93" t="s">
        <v>123</v>
      </c>
      <c r="S1204" s="93" t="s">
        <v>659</v>
      </c>
      <c r="T1204" s="93" t="s">
        <v>1659</v>
      </c>
      <c r="U1204" s="93" t="s">
        <v>116</v>
      </c>
      <c r="V1204" s="94">
        <v>44628.49722222222</v>
      </c>
      <c r="W1204" s="93" t="s">
        <v>1170</v>
      </c>
      <c r="X1204" s="93" t="s">
        <v>24</v>
      </c>
    </row>
    <row r="1205" spans="1:24" hidden="1" x14ac:dyDescent="0.15">
      <c r="A1205" s="93" t="s">
        <v>3345</v>
      </c>
      <c r="B1205" s="93" t="s">
        <v>3346</v>
      </c>
      <c r="C1205" s="410">
        <v>4620</v>
      </c>
      <c r="D1205" s="93" t="s">
        <v>9</v>
      </c>
      <c r="E1205" s="93" t="s">
        <v>9</v>
      </c>
      <c r="F1205" s="93" t="s">
        <v>1648</v>
      </c>
      <c r="G1205" s="93" t="s">
        <v>9117</v>
      </c>
      <c r="H1205" s="93" t="s">
        <v>1690</v>
      </c>
      <c r="I1205" s="93" t="s">
        <v>111</v>
      </c>
      <c r="J1205" s="93" t="s">
        <v>2086</v>
      </c>
      <c r="K1205" s="93">
        <v>50</v>
      </c>
      <c r="L1205" s="93" t="s">
        <v>111</v>
      </c>
      <c r="M1205" s="93">
        <v>6.1</v>
      </c>
      <c r="N1205" s="93" t="s">
        <v>113</v>
      </c>
      <c r="O1205" s="93">
        <v>18.5</v>
      </c>
      <c r="P1205" s="93">
        <v>29.5</v>
      </c>
      <c r="Q1205" s="93">
        <v>37.5</v>
      </c>
      <c r="R1205" s="93" t="s">
        <v>123</v>
      </c>
      <c r="S1205" s="93" t="s">
        <v>659</v>
      </c>
      <c r="T1205" s="93" t="s">
        <v>1659</v>
      </c>
      <c r="U1205" s="93" t="s">
        <v>116</v>
      </c>
      <c r="V1205" s="94">
        <v>44628.496527777781</v>
      </c>
      <c r="W1205" s="93" t="s">
        <v>1170</v>
      </c>
      <c r="X1205" s="93" t="s">
        <v>24</v>
      </c>
    </row>
    <row r="1206" spans="1:24" hidden="1" x14ac:dyDescent="0.15">
      <c r="A1206" s="93" t="s">
        <v>3347</v>
      </c>
      <c r="B1206" s="93" t="s">
        <v>3348</v>
      </c>
      <c r="C1206" s="410">
        <v>4620</v>
      </c>
      <c r="D1206" s="93" t="s">
        <v>9</v>
      </c>
      <c r="E1206" s="93" t="s">
        <v>9</v>
      </c>
      <c r="F1206" s="93" t="s">
        <v>1648</v>
      </c>
      <c r="G1206" s="93" t="s">
        <v>9117</v>
      </c>
      <c r="H1206" s="93" t="s">
        <v>1690</v>
      </c>
      <c r="I1206" s="93" t="s">
        <v>111</v>
      </c>
      <c r="J1206" s="93" t="s">
        <v>2086</v>
      </c>
      <c r="K1206" s="93">
        <v>50</v>
      </c>
      <c r="L1206" s="93" t="s">
        <v>111</v>
      </c>
      <c r="M1206" s="93">
        <v>6.1</v>
      </c>
      <c r="N1206" s="93" t="s">
        <v>113</v>
      </c>
      <c r="O1206" s="93">
        <v>18.5</v>
      </c>
      <c r="P1206" s="93">
        <v>29.5</v>
      </c>
      <c r="Q1206" s="93">
        <v>37.5</v>
      </c>
      <c r="R1206" s="93" t="s">
        <v>123</v>
      </c>
      <c r="S1206" s="93" t="s">
        <v>659</v>
      </c>
      <c r="T1206" s="93" t="s">
        <v>1659</v>
      </c>
      <c r="U1206" s="93" t="s">
        <v>116</v>
      </c>
      <c r="V1206" s="94">
        <v>44628.540972222225</v>
      </c>
      <c r="W1206" s="93" t="s">
        <v>1170</v>
      </c>
      <c r="X1206" s="93" t="s">
        <v>24</v>
      </c>
    </row>
    <row r="1207" spans="1:24" hidden="1" x14ac:dyDescent="0.15">
      <c r="A1207" s="93" t="s">
        <v>3349</v>
      </c>
      <c r="B1207" s="93" t="s">
        <v>3350</v>
      </c>
      <c r="C1207" s="410">
        <v>4620</v>
      </c>
      <c r="D1207" s="93" t="s">
        <v>9</v>
      </c>
      <c r="E1207" s="93" t="s">
        <v>9</v>
      </c>
      <c r="F1207" s="93" t="s">
        <v>1648</v>
      </c>
      <c r="G1207" s="93" t="s">
        <v>9117</v>
      </c>
      <c r="H1207" s="93" t="s">
        <v>1690</v>
      </c>
      <c r="I1207" s="93" t="s">
        <v>111</v>
      </c>
      <c r="J1207" s="93" t="s">
        <v>2086</v>
      </c>
      <c r="K1207" s="93">
        <v>50</v>
      </c>
      <c r="L1207" s="93" t="s">
        <v>111</v>
      </c>
      <c r="M1207" s="93">
        <v>6.1</v>
      </c>
      <c r="N1207" s="93" t="s">
        <v>113</v>
      </c>
      <c r="O1207" s="93">
        <v>18.5</v>
      </c>
      <c r="P1207" s="93">
        <v>29.5</v>
      </c>
      <c r="Q1207" s="93">
        <v>37.5</v>
      </c>
      <c r="R1207" s="93" t="s">
        <v>123</v>
      </c>
      <c r="S1207" s="93" t="s">
        <v>659</v>
      </c>
      <c r="T1207" s="93" t="s">
        <v>1659</v>
      </c>
      <c r="U1207" s="93" t="s">
        <v>116</v>
      </c>
      <c r="V1207" s="94">
        <v>44628.584027777775</v>
      </c>
      <c r="W1207" s="93" t="s">
        <v>1170</v>
      </c>
      <c r="X1207" s="93" t="s">
        <v>24</v>
      </c>
    </row>
    <row r="1208" spans="1:24" hidden="1" x14ac:dyDescent="0.15">
      <c r="A1208" s="93" t="s">
        <v>3351</v>
      </c>
      <c r="B1208" s="93" t="s">
        <v>3352</v>
      </c>
      <c r="C1208" s="410">
        <v>4620</v>
      </c>
      <c r="D1208" s="93" t="s">
        <v>9</v>
      </c>
      <c r="E1208" s="93" t="s">
        <v>9</v>
      </c>
      <c r="F1208" s="93" t="s">
        <v>1648</v>
      </c>
      <c r="G1208" s="93" t="s">
        <v>9117</v>
      </c>
      <c r="H1208" s="93" t="s">
        <v>1690</v>
      </c>
      <c r="I1208" s="93" t="s">
        <v>111</v>
      </c>
      <c r="J1208" s="93" t="s">
        <v>2086</v>
      </c>
      <c r="K1208" s="93">
        <v>50</v>
      </c>
      <c r="L1208" s="93" t="s">
        <v>111</v>
      </c>
      <c r="M1208" s="93">
        <v>6.1</v>
      </c>
      <c r="N1208" s="93" t="s">
        <v>113</v>
      </c>
      <c r="O1208" s="93">
        <v>18.5</v>
      </c>
      <c r="P1208" s="93">
        <v>29.5</v>
      </c>
      <c r="Q1208" s="93">
        <v>37.5</v>
      </c>
      <c r="R1208" s="93" t="s">
        <v>123</v>
      </c>
      <c r="S1208" s="93" t="s">
        <v>659</v>
      </c>
      <c r="T1208" s="93" t="s">
        <v>1659</v>
      </c>
      <c r="U1208" s="93" t="s">
        <v>116</v>
      </c>
      <c r="V1208" s="94">
        <v>44628.496527777781</v>
      </c>
      <c r="W1208" s="93" t="s">
        <v>1170</v>
      </c>
      <c r="X1208" s="93" t="s">
        <v>24</v>
      </c>
    </row>
    <row r="1209" spans="1:24" hidden="1" x14ac:dyDescent="0.15">
      <c r="A1209" s="93" t="s">
        <v>3353</v>
      </c>
      <c r="B1209" s="93" t="s">
        <v>3354</v>
      </c>
      <c r="C1209" s="410">
        <v>4620</v>
      </c>
      <c r="D1209" s="93" t="s">
        <v>9</v>
      </c>
      <c r="E1209" s="93" t="s">
        <v>9</v>
      </c>
      <c r="F1209" s="93" t="s">
        <v>1648</v>
      </c>
      <c r="G1209" s="93" t="s">
        <v>9117</v>
      </c>
      <c r="H1209" s="93" t="s">
        <v>1690</v>
      </c>
      <c r="I1209" s="93" t="s">
        <v>111</v>
      </c>
      <c r="J1209" s="93" t="s">
        <v>2086</v>
      </c>
      <c r="K1209" s="93">
        <v>50</v>
      </c>
      <c r="L1209" s="93" t="s">
        <v>111</v>
      </c>
      <c r="M1209" s="93">
        <v>6.1</v>
      </c>
      <c r="N1209" s="93" t="s">
        <v>113</v>
      </c>
      <c r="O1209" s="93">
        <v>18.5</v>
      </c>
      <c r="P1209" s="93">
        <v>29.5</v>
      </c>
      <c r="Q1209" s="93">
        <v>37.5</v>
      </c>
      <c r="R1209" s="93" t="s">
        <v>123</v>
      </c>
      <c r="S1209" s="93" t="s">
        <v>659</v>
      </c>
      <c r="T1209" s="93" t="s">
        <v>1659</v>
      </c>
      <c r="U1209" s="93" t="s">
        <v>116</v>
      </c>
      <c r="V1209" s="94">
        <v>44628.540972222225</v>
      </c>
      <c r="W1209" s="93" t="s">
        <v>1170</v>
      </c>
      <c r="X1209" s="93" t="s">
        <v>24</v>
      </c>
    </row>
    <row r="1210" spans="1:24" hidden="1" x14ac:dyDescent="0.15">
      <c r="A1210" s="93" t="s">
        <v>3355</v>
      </c>
      <c r="B1210" s="93" t="s">
        <v>3356</v>
      </c>
      <c r="C1210" s="410">
        <v>4620</v>
      </c>
      <c r="D1210" s="93" t="s">
        <v>9</v>
      </c>
      <c r="E1210" s="93" t="s">
        <v>9</v>
      </c>
      <c r="F1210" s="93" t="s">
        <v>1648</v>
      </c>
      <c r="G1210" s="93" t="s">
        <v>9117</v>
      </c>
      <c r="H1210" s="93" t="s">
        <v>1690</v>
      </c>
      <c r="I1210" s="93" t="s">
        <v>111</v>
      </c>
      <c r="J1210" s="93" t="s">
        <v>2086</v>
      </c>
      <c r="K1210" s="93">
        <v>50</v>
      </c>
      <c r="L1210" s="93" t="s">
        <v>111</v>
      </c>
      <c r="M1210" s="93">
        <v>6.1</v>
      </c>
      <c r="N1210" s="93" t="s">
        <v>113</v>
      </c>
      <c r="O1210" s="93">
        <v>18.5</v>
      </c>
      <c r="P1210" s="93">
        <v>29.5</v>
      </c>
      <c r="Q1210" s="93">
        <v>37.5</v>
      </c>
      <c r="R1210" s="93" t="s">
        <v>123</v>
      </c>
      <c r="S1210" s="93" t="s">
        <v>659</v>
      </c>
      <c r="T1210" s="93" t="s">
        <v>1659</v>
      </c>
      <c r="U1210" s="93" t="s">
        <v>116</v>
      </c>
      <c r="V1210" s="94">
        <v>44628.496527777781</v>
      </c>
      <c r="W1210" s="93" t="s">
        <v>1170</v>
      </c>
      <c r="X1210" s="93" t="s">
        <v>24</v>
      </c>
    </row>
    <row r="1211" spans="1:24" hidden="1" x14ac:dyDescent="0.15">
      <c r="A1211" s="93" t="s">
        <v>3357</v>
      </c>
      <c r="B1211" s="93" t="s">
        <v>3358</v>
      </c>
      <c r="C1211" s="410">
        <v>4620</v>
      </c>
      <c r="D1211" s="93" t="s">
        <v>9</v>
      </c>
      <c r="E1211" s="93" t="s">
        <v>9</v>
      </c>
      <c r="F1211" s="93" t="s">
        <v>1648</v>
      </c>
      <c r="G1211" s="93" t="s">
        <v>9117</v>
      </c>
      <c r="H1211" s="93" t="s">
        <v>1690</v>
      </c>
      <c r="I1211" s="93" t="s">
        <v>111</v>
      </c>
      <c r="J1211" s="93" t="s">
        <v>2086</v>
      </c>
      <c r="K1211" s="93">
        <v>50</v>
      </c>
      <c r="L1211" s="93" t="s">
        <v>111</v>
      </c>
      <c r="M1211" s="93">
        <v>6.1</v>
      </c>
      <c r="N1211" s="93" t="s">
        <v>113</v>
      </c>
      <c r="O1211" s="93">
        <v>18.5</v>
      </c>
      <c r="P1211" s="93">
        <v>29.5</v>
      </c>
      <c r="Q1211" s="93">
        <v>37.5</v>
      </c>
      <c r="R1211" s="93" t="s">
        <v>123</v>
      </c>
      <c r="S1211" s="93" t="s">
        <v>659</v>
      </c>
      <c r="T1211" s="93" t="s">
        <v>1659</v>
      </c>
      <c r="U1211" s="93" t="s">
        <v>116</v>
      </c>
      <c r="V1211" s="94">
        <v>44628.518750000003</v>
      </c>
      <c r="W1211" s="93" t="s">
        <v>1170</v>
      </c>
      <c r="X1211" s="93" t="s">
        <v>24</v>
      </c>
    </row>
    <row r="1212" spans="1:24" hidden="1" x14ac:dyDescent="0.15">
      <c r="A1212" s="93" t="s">
        <v>3359</v>
      </c>
      <c r="B1212" s="93" t="s">
        <v>3360</v>
      </c>
      <c r="C1212" s="410">
        <v>4620</v>
      </c>
      <c r="D1212" s="93" t="s">
        <v>9</v>
      </c>
      <c r="E1212" s="93" t="s">
        <v>9</v>
      </c>
      <c r="F1212" s="93" t="s">
        <v>1648</v>
      </c>
      <c r="G1212" s="93" t="s">
        <v>9117</v>
      </c>
      <c r="H1212" s="93" t="s">
        <v>1690</v>
      </c>
      <c r="I1212" s="93" t="s">
        <v>111</v>
      </c>
      <c r="J1212" s="93" t="s">
        <v>2086</v>
      </c>
      <c r="K1212" s="93">
        <v>50</v>
      </c>
      <c r="L1212" s="93" t="s">
        <v>111</v>
      </c>
      <c r="M1212" s="93">
        <v>6.1</v>
      </c>
      <c r="N1212" s="93" t="s">
        <v>113</v>
      </c>
      <c r="O1212" s="93">
        <v>18.5</v>
      </c>
      <c r="P1212" s="93">
        <v>29.5</v>
      </c>
      <c r="Q1212" s="93">
        <v>37.5</v>
      </c>
      <c r="R1212" s="93" t="s">
        <v>123</v>
      </c>
      <c r="S1212" s="93" t="s">
        <v>659</v>
      </c>
      <c r="T1212" s="93" t="s">
        <v>1659</v>
      </c>
      <c r="U1212" s="93" t="s">
        <v>116</v>
      </c>
      <c r="V1212" s="94">
        <v>44628.605555555558</v>
      </c>
      <c r="W1212" s="93" t="s">
        <v>1170</v>
      </c>
      <c r="X1212" s="93" t="s">
        <v>24</v>
      </c>
    </row>
    <row r="1213" spans="1:24" hidden="1" x14ac:dyDescent="0.15">
      <c r="A1213" s="93" t="s">
        <v>3361</v>
      </c>
      <c r="B1213" s="93" t="s">
        <v>3362</v>
      </c>
      <c r="C1213" s="410">
        <v>4620</v>
      </c>
      <c r="D1213" s="93" t="s">
        <v>9</v>
      </c>
      <c r="E1213" s="93" t="s">
        <v>9</v>
      </c>
      <c r="F1213" s="93" t="s">
        <v>1648</v>
      </c>
      <c r="G1213" s="93" t="s">
        <v>9117</v>
      </c>
      <c r="H1213" s="93" t="s">
        <v>1690</v>
      </c>
      <c r="I1213" s="93" t="s">
        <v>111</v>
      </c>
      <c r="J1213" s="93" t="s">
        <v>2086</v>
      </c>
      <c r="K1213" s="93">
        <v>50</v>
      </c>
      <c r="L1213" s="93" t="s">
        <v>111</v>
      </c>
      <c r="M1213" s="93">
        <v>6.1</v>
      </c>
      <c r="N1213" s="93" t="s">
        <v>113</v>
      </c>
      <c r="O1213" s="93">
        <v>18.5</v>
      </c>
      <c r="P1213" s="93">
        <v>29.5</v>
      </c>
      <c r="Q1213" s="93">
        <v>37.5</v>
      </c>
      <c r="R1213" s="93" t="s">
        <v>123</v>
      </c>
      <c r="S1213" s="93" t="s">
        <v>659</v>
      </c>
      <c r="T1213" s="93" t="s">
        <v>1659</v>
      </c>
      <c r="U1213" s="93" t="s">
        <v>116</v>
      </c>
      <c r="V1213" s="94">
        <v>44628.584027777775</v>
      </c>
      <c r="W1213" s="93" t="s">
        <v>1170</v>
      </c>
      <c r="X1213" s="93" t="s">
        <v>24</v>
      </c>
    </row>
    <row r="1214" spans="1:24" hidden="1" x14ac:dyDescent="0.15">
      <c r="A1214" s="93" t="s">
        <v>3363</v>
      </c>
      <c r="B1214" s="93" t="s">
        <v>3364</v>
      </c>
      <c r="C1214" s="410">
        <v>4620</v>
      </c>
      <c r="D1214" s="93" t="s">
        <v>9</v>
      </c>
      <c r="E1214" s="93" t="s">
        <v>9</v>
      </c>
      <c r="F1214" s="93" t="s">
        <v>1648</v>
      </c>
      <c r="G1214" s="93" t="s">
        <v>9117</v>
      </c>
      <c r="H1214" s="93" t="s">
        <v>1690</v>
      </c>
      <c r="I1214" s="93" t="s">
        <v>111</v>
      </c>
      <c r="J1214" s="93" t="s">
        <v>2086</v>
      </c>
      <c r="K1214" s="93">
        <v>50</v>
      </c>
      <c r="L1214" s="93" t="s">
        <v>111</v>
      </c>
      <c r="M1214" s="93">
        <v>6.1</v>
      </c>
      <c r="N1214" s="93" t="s">
        <v>113</v>
      </c>
      <c r="O1214" s="93">
        <v>18.5</v>
      </c>
      <c r="P1214" s="93">
        <v>29.5</v>
      </c>
      <c r="Q1214" s="93">
        <v>37.5</v>
      </c>
      <c r="R1214" s="93" t="s">
        <v>123</v>
      </c>
      <c r="S1214" s="93" t="s">
        <v>659</v>
      </c>
      <c r="T1214" s="93" t="s">
        <v>1659</v>
      </c>
      <c r="U1214" s="93" t="s">
        <v>116</v>
      </c>
      <c r="V1214" s="94">
        <v>44628.518750000003</v>
      </c>
      <c r="W1214" s="93" t="s">
        <v>1170</v>
      </c>
      <c r="X1214" s="93" t="s">
        <v>24</v>
      </c>
    </row>
    <row r="1215" spans="1:24" hidden="1" x14ac:dyDescent="0.15">
      <c r="A1215" s="93" t="s">
        <v>3365</v>
      </c>
      <c r="B1215" s="93" t="s">
        <v>3366</v>
      </c>
      <c r="C1215" s="410">
        <v>4620</v>
      </c>
      <c r="D1215" s="93" t="s">
        <v>9</v>
      </c>
      <c r="E1215" s="93" t="s">
        <v>9</v>
      </c>
      <c r="F1215" s="93" t="s">
        <v>1648</v>
      </c>
      <c r="G1215" s="93" t="s">
        <v>9117</v>
      </c>
      <c r="H1215" s="93" t="s">
        <v>1690</v>
      </c>
      <c r="I1215" s="93" t="s">
        <v>111</v>
      </c>
      <c r="J1215" s="93" t="s">
        <v>2086</v>
      </c>
      <c r="K1215" s="93">
        <v>50</v>
      </c>
      <c r="L1215" s="93" t="s">
        <v>111</v>
      </c>
      <c r="M1215" s="93">
        <v>6.1</v>
      </c>
      <c r="N1215" s="93" t="s">
        <v>113</v>
      </c>
      <c r="O1215" s="93">
        <v>18.5</v>
      </c>
      <c r="P1215" s="93">
        <v>29.5</v>
      </c>
      <c r="Q1215" s="93">
        <v>37.5</v>
      </c>
      <c r="R1215" s="93" t="s">
        <v>123</v>
      </c>
      <c r="S1215" s="93" t="s">
        <v>659</v>
      </c>
      <c r="T1215" s="93" t="s">
        <v>1659</v>
      </c>
      <c r="U1215" s="93" t="s">
        <v>116</v>
      </c>
      <c r="V1215" s="94">
        <v>44628.496527777781</v>
      </c>
      <c r="W1215" s="93" t="s">
        <v>1170</v>
      </c>
      <c r="X1215" s="93" t="s">
        <v>24</v>
      </c>
    </row>
    <row r="1216" spans="1:24" hidden="1" x14ac:dyDescent="0.15">
      <c r="A1216" s="93" t="s">
        <v>3367</v>
      </c>
      <c r="B1216" s="93" t="s">
        <v>3368</v>
      </c>
      <c r="C1216" s="410">
        <v>4620</v>
      </c>
      <c r="D1216" s="93" t="s">
        <v>9</v>
      </c>
      <c r="E1216" s="93" t="s">
        <v>9</v>
      </c>
      <c r="F1216" s="93" t="s">
        <v>1648</v>
      </c>
      <c r="G1216" s="93" t="s">
        <v>9117</v>
      </c>
      <c r="H1216" s="93" t="s">
        <v>1690</v>
      </c>
      <c r="I1216" s="93" t="s">
        <v>111</v>
      </c>
      <c r="J1216" s="93" t="s">
        <v>2086</v>
      </c>
      <c r="K1216" s="93">
        <v>50</v>
      </c>
      <c r="L1216" s="93" t="s">
        <v>111</v>
      </c>
      <c r="M1216" s="93">
        <v>6.1</v>
      </c>
      <c r="N1216" s="93" t="s">
        <v>113</v>
      </c>
      <c r="O1216" s="93">
        <v>18.5</v>
      </c>
      <c r="P1216" s="93">
        <v>29.5</v>
      </c>
      <c r="Q1216" s="93">
        <v>37.5</v>
      </c>
      <c r="R1216" s="93" t="s">
        <v>123</v>
      </c>
      <c r="S1216" s="93" t="s">
        <v>659</v>
      </c>
      <c r="T1216" s="93" t="s">
        <v>1659</v>
      </c>
      <c r="U1216" s="93" t="s">
        <v>116</v>
      </c>
      <c r="V1216" s="94">
        <v>44628.518750000003</v>
      </c>
      <c r="W1216" s="93" t="s">
        <v>1170</v>
      </c>
      <c r="X1216" s="93" t="s">
        <v>24</v>
      </c>
    </row>
    <row r="1217" spans="1:24" hidden="1" x14ac:dyDescent="0.15">
      <c r="A1217" s="93" t="s">
        <v>3369</v>
      </c>
      <c r="B1217" s="93" t="s">
        <v>3370</v>
      </c>
      <c r="C1217" s="410">
        <v>4620</v>
      </c>
      <c r="D1217" s="93" t="s">
        <v>9</v>
      </c>
      <c r="E1217" s="93" t="s">
        <v>9</v>
      </c>
      <c r="F1217" s="93" t="s">
        <v>1648</v>
      </c>
      <c r="G1217" s="93" t="s">
        <v>9117</v>
      </c>
      <c r="H1217" s="93" t="s">
        <v>1690</v>
      </c>
      <c r="I1217" s="93" t="s">
        <v>111</v>
      </c>
      <c r="J1217" s="93" t="s">
        <v>2086</v>
      </c>
      <c r="K1217" s="93">
        <v>50</v>
      </c>
      <c r="L1217" s="93" t="s">
        <v>111</v>
      </c>
      <c r="M1217" s="93">
        <v>6.1</v>
      </c>
      <c r="N1217" s="93" t="s">
        <v>113</v>
      </c>
      <c r="O1217" s="93">
        <v>18.5</v>
      </c>
      <c r="P1217" s="93">
        <v>29.5</v>
      </c>
      <c r="Q1217" s="93">
        <v>37.5</v>
      </c>
      <c r="R1217" s="93" t="s">
        <v>123</v>
      </c>
      <c r="S1217" s="93" t="s">
        <v>659</v>
      </c>
      <c r="T1217" s="93" t="s">
        <v>1659</v>
      </c>
      <c r="U1217" s="93" t="s">
        <v>116</v>
      </c>
      <c r="V1217" s="94">
        <v>44628.496527777781</v>
      </c>
      <c r="W1217" s="93" t="s">
        <v>1170</v>
      </c>
      <c r="X1217" s="93" t="s">
        <v>24</v>
      </c>
    </row>
    <row r="1218" spans="1:24" hidden="1" x14ac:dyDescent="0.15">
      <c r="A1218" s="93" t="s">
        <v>3371</v>
      </c>
      <c r="B1218" s="93" t="s">
        <v>3372</v>
      </c>
      <c r="C1218" s="410">
        <v>4620</v>
      </c>
      <c r="D1218" s="93" t="s">
        <v>9</v>
      </c>
      <c r="E1218" s="93" t="s">
        <v>9</v>
      </c>
      <c r="F1218" s="93" t="s">
        <v>1648</v>
      </c>
      <c r="G1218" s="93" t="s">
        <v>9117</v>
      </c>
      <c r="H1218" s="93" t="s">
        <v>1690</v>
      </c>
      <c r="I1218" s="93" t="s">
        <v>111</v>
      </c>
      <c r="J1218" s="93" t="s">
        <v>2086</v>
      </c>
      <c r="K1218" s="93">
        <v>50</v>
      </c>
      <c r="L1218" s="93" t="s">
        <v>111</v>
      </c>
      <c r="M1218" s="93">
        <v>6.1</v>
      </c>
      <c r="N1218" s="93" t="s">
        <v>113</v>
      </c>
      <c r="O1218" s="93">
        <v>18.5</v>
      </c>
      <c r="P1218" s="93">
        <v>29.5</v>
      </c>
      <c r="Q1218" s="93">
        <v>37.5</v>
      </c>
      <c r="R1218" s="93" t="s">
        <v>123</v>
      </c>
      <c r="S1218" s="93" t="s">
        <v>659</v>
      </c>
      <c r="T1218" s="93" t="s">
        <v>1659</v>
      </c>
      <c r="U1218" s="93" t="s">
        <v>116</v>
      </c>
      <c r="V1218" s="94">
        <v>44628.518750000003</v>
      </c>
      <c r="W1218" s="93" t="s">
        <v>1170</v>
      </c>
      <c r="X1218" s="93" t="s">
        <v>24</v>
      </c>
    </row>
    <row r="1219" spans="1:24" hidden="1" x14ac:dyDescent="0.15">
      <c r="A1219" s="93" t="s">
        <v>3373</v>
      </c>
      <c r="B1219" s="93" t="s">
        <v>3374</v>
      </c>
      <c r="C1219" s="410">
        <v>4620</v>
      </c>
      <c r="D1219" s="93" t="s">
        <v>9</v>
      </c>
      <c r="E1219" s="93" t="s">
        <v>9</v>
      </c>
      <c r="F1219" s="93" t="s">
        <v>1648</v>
      </c>
      <c r="G1219" s="93" t="s">
        <v>9117</v>
      </c>
      <c r="H1219" s="93" t="s">
        <v>1690</v>
      </c>
      <c r="I1219" s="93" t="s">
        <v>111</v>
      </c>
      <c r="J1219" s="93" t="s">
        <v>2086</v>
      </c>
      <c r="K1219" s="93">
        <v>50</v>
      </c>
      <c r="L1219" s="93" t="s">
        <v>111</v>
      </c>
      <c r="M1219" s="93">
        <v>6.1</v>
      </c>
      <c r="N1219" s="93" t="s">
        <v>113</v>
      </c>
      <c r="O1219" s="93">
        <v>18.5</v>
      </c>
      <c r="P1219" s="93">
        <v>29.5</v>
      </c>
      <c r="Q1219" s="93">
        <v>37.5</v>
      </c>
      <c r="R1219" s="93" t="s">
        <v>123</v>
      </c>
      <c r="S1219" s="93" t="s">
        <v>659</v>
      </c>
      <c r="T1219" s="93" t="s">
        <v>1659</v>
      </c>
      <c r="U1219" s="93" t="s">
        <v>116</v>
      </c>
      <c r="V1219" s="94">
        <v>44628.518750000003</v>
      </c>
      <c r="W1219" s="93" t="s">
        <v>1170</v>
      </c>
      <c r="X1219" s="93" t="s">
        <v>24</v>
      </c>
    </row>
    <row r="1220" spans="1:24" hidden="1" x14ac:dyDescent="0.15">
      <c r="A1220" s="93" t="s">
        <v>3375</v>
      </c>
      <c r="B1220" s="93" t="s">
        <v>3376</v>
      </c>
      <c r="C1220" s="410">
        <v>4620</v>
      </c>
      <c r="D1220" s="93" t="s">
        <v>9</v>
      </c>
      <c r="E1220" s="93" t="s">
        <v>9</v>
      </c>
      <c r="F1220" s="93" t="s">
        <v>1648</v>
      </c>
      <c r="G1220" s="93" t="s">
        <v>9117</v>
      </c>
      <c r="H1220" s="93" t="s">
        <v>1690</v>
      </c>
      <c r="I1220" s="93" t="s">
        <v>111</v>
      </c>
      <c r="J1220" s="93" t="s">
        <v>2086</v>
      </c>
      <c r="K1220" s="93">
        <v>50</v>
      </c>
      <c r="L1220" s="93" t="s">
        <v>111</v>
      </c>
      <c r="M1220" s="93">
        <v>6.1</v>
      </c>
      <c r="N1220" s="93" t="s">
        <v>113</v>
      </c>
      <c r="O1220" s="93">
        <v>18.5</v>
      </c>
      <c r="P1220" s="93">
        <v>29.5</v>
      </c>
      <c r="Q1220" s="93">
        <v>37.5</v>
      </c>
      <c r="R1220" s="93" t="s">
        <v>123</v>
      </c>
      <c r="S1220" s="93" t="s">
        <v>659</v>
      </c>
      <c r="T1220" s="93" t="s">
        <v>1659</v>
      </c>
      <c r="U1220" s="93" t="s">
        <v>116</v>
      </c>
      <c r="V1220" s="94">
        <v>44628.496527777781</v>
      </c>
      <c r="W1220" s="93" t="s">
        <v>1170</v>
      </c>
      <c r="X1220" s="93" t="s">
        <v>24</v>
      </c>
    </row>
    <row r="1221" spans="1:24" hidden="1" x14ac:dyDescent="0.15">
      <c r="A1221" s="93" t="s">
        <v>3377</v>
      </c>
      <c r="B1221" s="93" t="s">
        <v>3378</v>
      </c>
      <c r="C1221" s="410">
        <v>4620</v>
      </c>
      <c r="D1221" s="93" t="s">
        <v>9</v>
      </c>
      <c r="E1221" s="93" t="s">
        <v>9</v>
      </c>
      <c r="F1221" s="93" t="s">
        <v>1648</v>
      </c>
      <c r="G1221" s="93" t="s">
        <v>9117</v>
      </c>
      <c r="H1221" s="93" t="s">
        <v>1690</v>
      </c>
      <c r="I1221" s="93" t="s">
        <v>111</v>
      </c>
      <c r="J1221" s="93" t="s">
        <v>2086</v>
      </c>
      <c r="K1221" s="93">
        <v>50</v>
      </c>
      <c r="L1221" s="93" t="s">
        <v>111</v>
      </c>
      <c r="M1221" s="93">
        <v>6.1</v>
      </c>
      <c r="N1221" s="93" t="s">
        <v>113</v>
      </c>
      <c r="O1221" s="93">
        <v>18.5</v>
      </c>
      <c r="P1221" s="93">
        <v>29.5</v>
      </c>
      <c r="Q1221" s="93">
        <v>37.5</v>
      </c>
      <c r="R1221" s="93" t="s">
        <v>123</v>
      </c>
      <c r="S1221" s="93" t="s">
        <v>659</v>
      </c>
      <c r="T1221" s="93" t="s">
        <v>1659</v>
      </c>
      <c r="U1221" s="93" t="s">
        <v>116</v>
      </c>
      <c r="V1221" s="94">
        <v>44628.584027777775</v>
      </c>
      <c r="W1221" s="93" t="s">
        <v>1170</v>
      </c>
      <c r="X1221" s="93" t="s">
        <v>24</v>
      </c>
    </row>
    <row r="1222" spans="1:24" hidden="1" x14ac:dyDescent="0.15">
      <c r="A1222" s="93" t="s">
        <v>3379</v>
      </c>
      <c r="B1222" s="93" t="s">
        <v>3380</v>
      </c>
      <c r="C1222" s="410">
        <v>4620</v>
      </c>
      <c r="D1222" s="93" t="s">
        <v>9</v>
      </c>
      <c r="E1222" s="93" t="s">
        <v>9</v>
      </c>
      <c r="F1222" s="93" t="s">
        <v>1648</v>
      </c>
      <c r="G1222" s="93" t="s">
        <v>9117</v>
      </c>
      <c r="H1222" s="93" t="s">
        <v>1690</v>
      </c>
      <c r="I1222" s="93" t="s">
        <v>111</v>
      </c>
      <c r="J1222" s="93" t="s">
        <v>2086</v>
      </c>
      <c r="K1222" s="93">
        <v>50</v>
      </c>
      <c r="L1222" s="93" t="s">
        <v>111</v>
      </c>
      <c r="M1222" s="93">
        <v>6.1</v>
      </c>
      <c r="N1222" s="93" t="s">
        <v>113</v>
      </c>
      <c r="O1222" s="93">
        <v>18.5</v>
      </c>
      <c r="P1222" s="93">
        <v>29.5</v>
      </c>
      <c r="Q1222" s="93">
        <v>37.5</v>
      </c>
      <c r="R1222" s="93" t="s">
        <v>123</v>
      </c>
      <c r="S1222" s="93" t="s">
        <v>659</v>
      </c>
      <c r="T1222" s="93" t="s">
        <v>1659</v>
      </c>
      <c r="U1222" s="93" t="s">
        <v>116</v>
      </c>
      <c r="V1222" s="94">
        <v>44628.605555555558</v>
      </c>
      <c r="W1222" s="93" t="s">
        <v>1170</v>
      </c>
      <c r="X1222" s="93" t="s">
        <v>24</v>
      </c>
    </row>
    <row r="1223" spans="1:24" hidden="1" x14ac:dyDescent="0.15">
      <c r="A1223" s="93" t="s">
        <v>3381</v>
      </c>
      <c r="B1223" s="93" t="s">
        <v>3382</v>
      </c>
      <c r="C1223" s="410">
        <v>4620</v>
      </c>
      <c r="D1223" s="93" t="s">
        <v>9</v>
      </c>
      <c r="E1223" s="93" t="s">
        <v>9</v>
      </c>
      <c r="F1223" s="93" t="s">
        <v>1648</v>
      </c>
      <c r="G1223" s="93" t="s">
        <v>9117</v>
      </c>
      <c r="H1223" s="93" t="s">
        <v>1690</v>
      </c>
      <c r="I1223" s="93" t="s">
        <v>111</v>
      </c>
      <c r="J1223" s="93" t="s">
        <v>2086</v>
      </c>
      <c r="K1223" s="93">
        <v>50</v>
      </c>
      <c r="L1223" s="93" t="s">
        <v>111</v>
      </c>
      <c r="M1223" s="93">
        <v>6.1</v>
      </c>
      <c r="N1223" s="93" t="s">
        <v>113</v>
      </c>
      <c r="O1223" s="93">
        <v>18.5</v>
      </c>
      <c r="P1223" s="93">
        <v>29.5</v>
      </c>
      <c r="Q1223" s="93">
        <v>37.5</v>
      </c>
      <c r="R1223" s="93" t="s">
        <v>123</v>
      </c>
      <c r="S1223" s="93" t="s">
        <v>659</v>
      </c>
      <c r="T1223" s="93" t="s">
        <v>1659</v>
      </c>
      <c r="U1223" s="93" t="s">
        <v>116</v>
      </c>
      <c r="V1223" s="94">
        <v>44628.640972222223</v>
      </c>
      <c r="W1223" s="93" t="s">
        <v>1170</v>
      </c>
      <c r="X1223" s="93" t="s">
        <v>24</v>
      </c>
    </row>
    <row r="1224" spans="1:24" hidden="1" x14ac:dyDescent="0.15">
      <c r="A1224" s="93" t="s">
        <v>3383</v>
      </c>
      <c r="B1224" s="93" t="s">
        <v>3384</v>
      </c>
      <c r="C1224" s="410">
        <v>4620</v>
      </c>
      <c r="D1224" s="93" t="s">
        <v>9</v>
      </c>
      <c r="E1224" s="93" t="s">
        <v>9</v>
      </c>
      <c r="F1224" s="93" t="s">
        <v>1648</v>
      </c>
      <c r="G1224" s="93" t="s">
        <v>9117</v>
      </c>
      <c r="H1224" s="93" t="s">
        <v>1690</v>
      </c>
      <c r="I1224" s="93" t="s">
        <v>111</v>
      </c>
      <c r="J1224" s="93" t="s">
        <v>2086</v>
      </c>
      <c r="K1224" s="93">
        <v>50</v>
      </c>
      <c r="L1224" s="93" t="s">
        <v>111</v>
      </c>
      <c r="M1224" s="93">
        <v>6.1</v>
      </c>
      <c r="N1224" s="93" t="s">
        <v>113</v>
      </c>
      <c r="O1224" s="93">
        <v>18.5</v>
      </c>
      <c r="P1224" s="93">
        <v>29.5</v>
      </c>
      <c r="Q1224" s="93">
        <v>37.5</v>
      </c>
      <c r="R1224" s="93" t="s">
        <v>123</v>
      </c>
      <c r="S1224" s="93" t="s">
        <v>659</v>
      </c>
      <c r="T1224" s="93" t="s">
        <v>1659</v>
      </c>
      <c r="U1224" s="93" t="s">
        <v>116</v>
      </c>
      <c r="V1224" s="94">
        <v>44628.496527777781</v>
      </c>
      <c r="W1224" s="93" t="s">
        <v>1170</v>
      </c>
      <c r="X1224" s="93" t="s">
        <v>24</v>
      </c>
    </row>
    <row r="1225" spans="1:24" hidden="1" x14ac:dyDescent="0.15">
      <c r="A1225" s="93" t="s">
        <v>3385</v>
      </c>
      <c r="B1225" s="93" t="s">
        <v>3386</v>
      </c>
      <c r="C1225" s="410">
        <v>4620</v>
      </c>
      <c r="D1225" s="93" t="s">
        <v>9</v>
      </c>
      <c r="E1225" s="93" t="s">
        <v>9</v>
      </c>
      <c r="F1225" s="93" t="s">
        <v>1648</v>
      </c>
      <c r="G1225" s="93" t="s">
        <v>9117</v>
      </c>
      <c r="H1225" s="93" t="s">
        <v>1690</v>
      </c>
      <c r="I1225" s="93" t="s">
        <v>111</v>
      </c>
      <c r="J1225" s="93" t="s">
        <v>2086</v>
      </c>
      <c r="K1225" s="93">
        <v>50</v>
      </c>
      <c r="L1225" s="93" t="s">
        <v>111</v>
      </c>
      <c r="M1225" s="93">
        <v>6.1</v>
      </c>
      <c r="N1225" s="93" t="s">
        <v>113</v>
      </c>
      <c r="O1225" s="93">
        <v>18.5</v>
      </c>
      <c r="P1225" s="93">
        <v>29.5</v>
      </c>
      <c r="Q1225" s="93">
        <v>37.5</v>
      </c>
      <c r="R1225" s="93" t="s">
        <v>123</v>
      </c>
      <c r="S1225" s="93" t="s">
        <v>659</v>
      </c>
      <c r="T1225" s="93" t="s">
        <v>1659</v>
      </c>
      <c r="U1225" s="93" t="s">
        <v>116</v>
      </c>
      <c r="V1225" s="94">
        <v>44628.475694444445</v>
      </c>
      <c r="W1225" s="93" t="s">
        <v>1170</v>
      </c>
      <c r="X1225" s="93" t="s">
        <v>24</v>
      </c>
    </row>
    <row r="1226" spans="1:24" hidden="1" x14ac:dyDescent="0.15">
      <c r="A1226" s="93" t="s">
        <v>3387</v>
      </c>
      <c r="B1226" s="93" t="s">
        <v>3388</v>
      </c>
      <c r="C1226" s="410">
        <v>4620</v>
      </c>
      <c r="D1226" s="93" t="s">
        <v>9</v>
      </c>
      <c r="E1226" s="93" t="s">
        <v>9</v>
      </c>
      <c r="F1226" s="93" t="s">
        <v>1648</v>
      </c>
      <c r="G1226" s="93" t="s">
        <v>9117</v>
      </c>
      <c r="H1226" s="93" t="s">
        <v>1690</v>
      </c>
      <c r="I1226" s="93" t="s">
        <v>111</v>
      </c>
      <c r="J1226" s="93" t="s">
        <v>2086</v>
      </c>
      <c r="K1226" s="93">
        <v>50</v>
      </c>
      <c r="L1226" s="93" t="s">
        <v>111</v>
      </c>
      <c r="M1226" s="93">
        <v>6.1</v>
      </c>
      <c r="N1226" s="93" t="s">
        <v>113</v>
      </c>
      <c r="O1226" s="93">
        <v>18.5</v>
      </c>
      <c r="P1226" s="93">
        <v>29.5</v>
      </c>
      <c r="Q1226" s="93">
        <v>37.5</v>
      </c>
      <c r="R1226" s="93" t="s">
        <v>123</v>
      </c>
      <c r="S1226" s="93" t="s">
        <v>659</v>
      </c>
      <c r="T1226" s="93" t="s">
        <v>1659</v>
      </c>
      <c r="U1226" s="93" t="s">
        <v>116</v>
      </c>
      <c r="V1226" s="94">
        <v>44628.518750000003</v>
      </c>
      <c r="W1226" s="93" t="s">
        <v>1170</v>
      </c>
      <c r="X1226" s="93" t="s">
        <v>24</v>
      </c>
    </row>
    <row r="1227" spans="1:24" hidden="1" x14ac:dyDescent="0.15">
      <c r="A1227" s="93" t="s">
        <v>3389</v>
      </c>
      <c r="B1227" s="93" t="s">
        <v>3390</v>
      </c>
      <c r="C1227" s="410">
        <v>3465</v>
      </c>
      <c r="D1227" s="93" t="s">
        <v>9</v>
      </c>
      <c r="E1227" s="93" t="s">
        <v>9</v>
      </c>
      <c r="F1227" s="93" t="s">
        <v>1648</v>
      </c>
      <c r="G1227" s="93" t="s">
        <v>9117</v>
      </c>
      <c r="H1227" s="93" t="s">
        <v>1943</v>
      </c>
      <c r="I1227" s="93" t="s">
        <v>111</v>
      </c>
      <c r="J1227" s="93" t="s">
        <v>963</v>
      </c>
      <c r="K1227" s="93">
        <v>60</v>
      </c>
      <c r="L1227" s="93" t="s">
        <v>111</v>
      </c>
      <c r="M1227" s="93">
        <v>4.25</v>
      </c>
      <c r="N1227" s="93" t="s">
        <v>113</v>
      </c>
      <c r="O1227" s="93">
        <v>18.5</v>
      </c>
      <c r="P1227" s="93">
        <v>29.5</v>
      </c>
      <c r="Q1227" s="93">
        <v>32.5</v>
      </c>
      <c r="R1227" s="93" t="s">
        <v>123</v>
      </c>
      <c r="S1227" s="93" t="s">
        <v>111</v>
      </c>
      <c r="T1227" s="93" t="s">
        <v>1659</v>
      </c>
      <c r="U1227" s="93" t="s">
        <v>116</v>
      </c>
      <c r="V1227" s="94">
        <v>44628.496527777781</v>
      </c>
      <c r="W1227" s="93" t="s">
        <v>1170</v>
      </c>
      <c r="X1227" s="93" t="s">
        <v>24</v>
      </c>
    </row>
    <row r="1228" spans="1:24" hidden="1" x14ac:dyDescent="0.15">
      <c r="A1228" s="93" t="s">
        <v>3391</v>
      </c>
      <c r="B1228" s="93" t="s">
        <v>3392</v>
      </c>
      <c r="C1228" s="410">
        <v>3465</v>
      </c>
      <c r="D1228" s="93" t="s">
        <v>9</v>
      </c>
      <c r="E1228" s="93" t="s">
        <v>9</v>
      </c>
      <c r="F1228" s="93" t="s">
        <v>1648</v>
      </c>
      <c r="G1228" s="93" t="s">
        <v>9117</v>
      </c>
      <c r="H1228" s="93" t="s">
        <v>1943</v>
      </c>
      <c r="I1228" s="93" t="s">
        <v>111</v>
      </c>
      <c r="J1228" s="93" t="s">
        <v>963</v>
      </c>
      <c r="K1228" s="93">
        <v>60</v>
      </c>
      <c r="L1228" s="93" t="s">
        <v>111</v>
      </c>
      <c r="M1228" s="93">
        <v>4.25</v>
      </c>
      <c r="N1228" s="93" t="s">
        <v>113</v>
      </c>
      <c r="O1228" s="93">
        <v>18.5</v>
      </c>
      <c r="P1228" s="93">
        <v>29.5</v>
      </c>
      <c r="Q1228" s="93">
        <v>32.5</v>
      </c>
      <c r="R1228" s="93" t="s">
        <v>123</v>
      </c>
      <c r="S1228" s="93" t="s">
        <v>111</v>
      </c>
      <c r="T1228" s="93" t="s">
        <v>1659</v>
      </c>
      <c r="U1228" s="93" t="s">
        <v>116</v>
      </c>
      <c r="V1228" s="94">
        <v>44628.540972222225</v>
      </c>
      <c r="W1228" s="93" t="s">
        <v>1170</v>
      </c>
      <c r="X1228" s="93" t="s">
        <v>24</v>
      </c>
    </row>
    <row r="1229" spans="1:24" hidden="1" x14ac:dyDescent="0.15">
      <c r="A1229" s="93" t="s">
        <v>3393</v>
      </c>
      <c r="B1229" s="93" t="s">
        <v>3394</v>
      </c>
      <c r="C1229" s="410">
        <v>3465</v>
      </c>
      <c r="D1229" s="93" t="s">
        <v>9</v>
      </c>
      <c r="E1229" s="93" t="s">
        <v>9</v>
      </c>
      <c r="F1229" s="93" t="s">
        <v>1648</v>
      </c>
      <c r="G1229" s="93" t="s">
        <v>9117</v>
      </c>
      <c r="H1229" s="93" t="s">
        <v>1943</v>
      </c>
      <c r="I1229" s="93" t="s">
        <v>111</v>
      </c>
      <c r="J1229" s="93" t="s">
        <v>963</v>
      </c>
      <c r="K1229" s="93">
        <v>60</v>
      </c>
      <c r="L1229" s="93" t="s">
        <v>111</v>
      </c>
      <c r="M1229" s="93">
        <v>4.25</v>
      </c>
      <c r="N1229" s="93" t="s">
        <v>113</v>
      </c>
      <c r="O1229" s="93">
        <v>18.5</v>
      </c>
      <c r="P1229" s="93">
        <v>29.5</v>
      </c>
      <c r="Q1229" s="93">
        <v>32.5</v>
      </c>
      <c r="R1229" s="93" t="s">
        <v>123</v>
      </c>
      <c r="S1229" s="93" t="s">
        <v>111</v>
      </c>
      <c r="T1229" s="93" t="s">
        <v>1659</v>
      </c>
      <c r="U1229" s="93" t="s">
        <v>116</v>
      </c>
      <c r="V1229" s="94">
        <v>44628.496527777781</v>
      </c>
      <c r="W1229" s="93" t="s">
        <v>1170</v>
      </c>
      <c r="X1229" s="93" t="s">
        <v>24</v>
      </c>
    </row>
    <row r="1230" spans="1:24" hidden="1" x14ac:dyDescent="0.15">
      <c r="A1230" s="93" t="s">
        <v>3395</v>
      </c>
      <c r="B1230" s="93" t="s">
        <v>3396</v>
      </c>
      <c r="C1230" s="410">
        <v>3465</v>
      </c>
      <c r="D1230" s="93" t="s">
        <v>9</v>
      </c>
      <c r="E1230" s="93" t="s">
        <v>9</v>
      </c>
      <c r="F1230" s="93" t="s">
        <v>1648</v>
      </c>
      <c r="G1230" s="93" t="s">
        <v>9117</v>
      </c>
      <c r="H1230" s="93" t="s">
        <v>1943</v>
      </c>
      <c r="I1230" s="93" t="s">
        <v>111</v>
      </c>
      <c r="J1230" s="93" t="s">
        <v>963</v>
      </c>
      <c r="K1230" s="93">
        <v>60</v>
      </c>
      <c r="L1230" s="93" t="s">
        <v>111</v>
      </c>
      <c r="M1230" s="93">
        <v>4.25</v>
      </c>
      <c r="N1230" s="93" t="s">
        <v>113</v>
      </c>
      <c r="O1230" s="93">
        <v>18.5</v>
      </c>
      <c r="P1230" s="93">
        <v>29.5</v>
      </c>
      <c r="Q1230" s="93">
        <v>32.5</v>
      </c>
      <c r="R1230" s="93" t="s">
        <v>123</v>
      </c>
      <c r="S1230" s="93" t="s">
        <v>111</v>
      </c>
      <c r="T1230" s="93" t="s">
        <v>1659</v>
      </c>
      <c r="U1230" s="93" t="s">
        <v>116</v>
      </c>
      <c r="V1230" s="94">
        <v>44628.640972222223</v>
      </c>
      <c r="W1230" s="93" t="s">
        <v>1170</v>
      </c>
      <c r="X1230" s="93" t="s">
        <v>24</v>
      </c>
    </row>
    <row r="1231" spans="1:24" hidden="1" x14ac:dyDescent="0.15">
      <c r="A1231" s="93" t="s">
        <v>3397</v>
      </c>
      <c r="B1231" s="93" t="s">
        <v>3398</v>
      </c>
      <c r="C1231" s="410">
        <v>3465</v>
      </c>
      <c r="D1231" s="93" t="s">
        <v>9</v>
      </c>
      <c r="E1231" s="93" t="s">
        <v>9</v>
      </c>
      <c r="F1231" s="93" t="s">
        <v>1648</v>
      </c>
      <c r="G1231" s="93" t="s">
        <v>9117</v>
      </c>
      <c r="H1231" s="93" t="s">
        <v>1943</v>
      </c>
      <c r="I1231" s="93" t="s">
        <v>111</v>
      </c>
      <c r="J1231" s="93" t="s">
        <v>963</v>
      </c>
      <c r="K1231" s="93">
        <v>60</v>
      </c>
      <c r="L1231" s="93" t="s">
        <v>111</v>
      </c>
      <c r="M1231" s="93">
        <v>4.25</v>
      </c>
      <c r="N1231" s="93" t="s">
        <v>113</v>
      </c>
      <c r="O1231" s="93">
        <v>18.5</v>
      </c>
      <c r="P1231" s="93">
        <v>29.5</v>
      </c>
      <c r="Q1231" s="93">
        <v>32.5</v>
      </c>
      <c r="R1231" s="93" t="s">
        <v>123</v>
      </c>
      <c r="S1231" s="93" t="s">
        <v>111</v>
      </c>
      <c r="T1231" s="93" t="s">
        <v>1659</v>
      </c>
      <c r="U1231" s="93" t="s">
        <v>116</v>
      </c>
      <c r="V1231" s="94">
        <v>44628.540972222225</v>
      </c>
      <c r="W1231" s="93" t="s">
        <v>1170</v>
      </c>
      <c r="X1231" s="93" t="s">
        <v>24</v>
      </c>
    </row>
    <row r="1232" spans="1:24" hidden="1" x14ac:dyDescent="0.15">
      <c r="A1232" s="93" t="s">
        <v>3399</v>
      </c>
      <c r="B1232" s="93" t="s">
        <v>3400</v>
      </c>
      <c r="C1232" s="410">
        <v>3465</v>
      </c>
      <c r="D1232" s="93" t="s">
        <v>9</v>
      </c>
      <c r="E1232" s="93" t="s">
        <v>9</v>
      </c>
      <c r="F1232" s="93" t="s">
        <v>1648</v>
      </c>
      <c r="G1232" s="93" t="s">
        <v>9117</v>
      </c>
      <c r="H1232" s="93" t="s">
        <v>1943</v>
      </c>
      <c r="I1232" s="93" t="s">
        <v>111</v>
      </c>
      <c r="J1232" s="93" t="s">
        <v>963</v>
      </c>
      <c r="K1232" s="93">
        <v>60</v>
      </c>
      <c r="L1232" s="93" t="s">
        <v>111</v>
      </c>
      <c r="M1232" s="93">
        <v>4.25</v>
      </c>
      <c r="N1232" s="93" t="s">
        <v>113</v>
      </c>
      <c r="O1232" s="93">
        <v>18.5</v>
      </c>
      <c r="P1232" s="93">
        <v>29.5</v>
      </c>
      <c r="Q1232" s="93">
        <v>32.5</v>
      </c>
      <c r="R1232" s="93" t="s">
        <v>123</v>
      </c>
      <c r="S1232" s="93" t="s">
        <v>111</v>
      </c>
      <c r="T1232" s="93" t="s">
        <v>1659</v>
      </c>
      <c r="U1232" s="93" t="s">
        <v>116</v>
      </c>
      <c r="V1232" s="94">
        <v>44628.605555555558</v>
      </c>
      <c r="W1232" s="93" t="s">
        <v>1170</v>
      </c>
      <c r="X1232" s="93" t="s">
        <v>24</v>
      </c>
    </row>
    <row r="1233" spans="1:24" hidden="1" x14ac:dyDescent="0.15">
      <c r="A1233" s="93" t="s">
        <v>3401</v>
      </c>
      <c r="B1233" s="93" t="s">
        <v>3402</v>
      </c>
      <c r="C1233" s="410">
        <v>3465</v>
      </c>
      <c r="D1233" s="93" t="s">
        <v>9</v>
      </c>
      <c r="E1233" s="93" t="s">
        <v>9</v>
      </c>
      <c r="F1233" s="93" t="s">
        <v>1648</v>
      </c>
      <c r="G1233" s="93" t="s">
        <v>9117</v>
      </c>
      <c r="H1233" s="93" t="s">
        <v>1943</v>
      </c>
      <c r="I1233" s="93" t="s">
        <v>111</v>
      </c>
      <c r="J1233" s="93" t="s">
        <v>963</v>
      </c>
      <c r="K1233" s="93">
        <v>60</v>
      </c>
      <c r="L1233" s="93" t="s">
        <v>111</v>
      </c>
      <c r="M1233" s="93">
        <v>4.25</v>
      </c>
      <c r="N1233" s="93" t="s">
        <v>113</v>
      </c>
      <c r="O1233" s="93">
        <v>18.5</v>
      </c>
      <c r="P1233" s="93">
        <v>29.5</v>
      </c>
      <c r="Q1233" s="93">
        <v>32.5</v>
      </c>
      <c r="R1233" s="93" t="s">
        <v>123</v>
      </c>
      <c r="S1233" s="93" t="s">
        <v>111</v>
      </c>
      <c r="T1233" s="93" t="s">
        <v>1659</v>
      </c>
      <c r="U1233" s="93" t="s">
        <v>116</v>
      </c>
      <c r="V1233" s="94">
        <v>44628.475694444445</v>
      </c>
      <c r="W1233" s="93" t="s">
        <v>1170</v>
      </c>
      <c r="X1233" s="93" t="s">
        <v>24</v>
      </c>
    </row>
    <row r="1234" spans="1:24" hidden="1" x14ac:dyDescent="0.15">
      <c r="A1234" s="93" t="s">
        <v>3403</v>
      </c>
      <c r="B1234" s="93" t="s">
        <v>3404</v>
      </c>
      <c r="C1234" s="410">
        <v>3465</v>
      </c>
      <c r="D1234" s="93" t="s">
        <v>9</v>
      </c>
      <c r="E1234" s="93" t="s">
        <v>9</v>
      </c>
      <c r="F1234" s="93" t="s">
        <v>1648</v>
      </c>
      <c r="G1234" s="93" t="s">
        <v>9117</v>
      </c>
      <c r="H1234" s="93" t="s">
        <v>1943</v>
      </c>
      <c r="I1234" s="93" t="s">
        <v>111</v>
      </c>
      <c r="J1234" s="93" t="s">
        <v>963</v>
      </c>
      <c r="K1234" s="93">
        <v>60</v>
      </c>
      <c r="L1234" s="93" t="s">
        <v>111</v>
      </c>
      <c r="M1234" s="93">
        <v>4.25</v>
      </c>
      <c r="N1234" s="93" t="s">
        <v>113</v>
      </c>
      <c r="O1234" s="93">
        <v>18.5</v>
      </c>
      <c r="P1234" s="93">
        <v>29.5</v>
      </c>
      <c r="Q1234" s="93">
        <v>32.5</v>
      </c>
      <c r="R1234" s="93" t="s">
        <v>123</v>
      </c>
      <c r="S1234" s="93" t="s">
        <v>111</v>
      </c>
      <c r="T1234" s="93" t="s">
        <v>1659</v>
      </c>
      <c r="U1234" s="93" t="s">
        <v>116</v>
      </c>
      <c r="V1234" s="94">
        <v>44628.475694444445</v>
      </c>
      <c r="W1234" s="93" t="s">
        <v>1170</v>
      </c>
      <c r="X1234" s="93" t="s">
        <v>24</v>
      </c>
    </row>
    <row r="1235" spans="1:24" hidden="1" x14ac:dyDescent="0.15">
      <c r="A1235" s="93" t="s">
        <v>3405</v>
      </c>
      <c r="B1235" s="93" t="s">
        <v>3406</v>
      </c>
      <c r="C1235" s="410">
        <v>3465</v>
      </c>
      <c r="D1235" s="93" t="s">
        <v>9</v>
      </c>
      <c r="E1235" s="93" t="s">
        <v>9</v>
      </c>
      <c r="F1235" s="93" t="s">
        <v>1648</v>
      </c>
      <c r="G1235" s="93" t="s">
        <v>9117</v>
      </c>
      <c r="H1235" s="93" t="s">
        <v>1943</v>
      </c>
      <c r="I1235" s="93" t="s">
        <v>111</v>
      </c>
      <c r="J1235" s="93" t="s">
        <v>963</v>
      </c>
      <c r="K1235" s="93">
        <v>60</v>
      </c>
      <c r="L1235" s="93" t="s">
        <v>111</v>
      </c>
      <c r="M1235" s="93">
        <v>4.25</v>
      </c>
      <c r="N1235" s="93" t="s">
        <v>113</v>
      </c>
      <c r="O1235" s="93">
        <v>18.5</v>
      </c>
      <c r="P1235" s="93">
        <v>29.5</v>
      </c>
      <c r="Q1235" s="93">
        <v>32.5</v>
      </c>
      <c r="R1235" s="93" t="s">
        <v>123</v>
      </c>
      <c r="S1235" s="93" t="s">
        <v>111</v>
      </c>
      <c r="T1235" s="93" t="s">
        <v>1659</v>
      </c>
      <c r="U1235" s="93" t="s">
        <v>116</v>
      </c>
      <c r="V1235" s="94">
        <v>44628.605555555558</v>
      </c>
      <c r="W1235" s="93" t="s">
        <v>1170</v>
      </c>
      <c r="X1235" s="93" t="s">
        <v>24</v>
      </c>
    </row>
    <row r="1236" spans="1:24" hidden="1" x14ac:dyDescent="0.15">
      <c r="A1236" s="93" t="s">
        <v>3407</v>
      </c>
      <c r="B1236" s="93" t="s">
        <v>3408</v>
      </c>
      <c r="C1236" s="410">
        <v>3465</v>
      </c>
      <c r="D1236" s="93" t="s">
        <v>9</v>
      </c>
      <c r="E1236" s="93" t="s">
        <v>9</v>
      </c>
      <c r="F1236" s="93" t="s">
        <v>1648</v>
      </c>
      <c r="G1236" s="93" t="s">
        <v>9117</v>
      </c>
      <c r="H1236" s="93" t="s">
        <v>1943</v>
      </c>
      <c r="I1236" s="93" t="s">
        <v>111</v>
      </c>
      <c r="J1236" s="93" t="s">
        <v>963</v>
      </c>
      <c r="K1236" s="93">
        <v>60</v>
      </c>
      <c r="L1236" s="93" t="s">
        <v>111</v>
      </c>
      <c r="M1236" s="93">
        <v>4.25</v>
      </c>
      <c r="N1236" s="93" t="s">
        <v>113</v>
      </c>
      <c r="O1236" s="93">
        <v>18.5</v>
      </c>
      <c r="P1236" s="93">
        <v>29.5</v>
      </c>
      <c r="Q1236" s="93">
        <v>32.5</v>
      </c>
      <c r="R1236" s="93" t="s">
        <v>123</v>
      </c>
      <c r="S1236" s="93" t="s">
        <v>111</v>
      </c>
      <c r="T1236" s="93" t="s">
        <v>1659</v>
      </c>
      <c r="U1236" s="93" t="s">
        <v>116</v>
      </c>
      <c r="V1236" s="94">
        <v>44628.640972222223</v>
      </c>
      <c r="W1236" s="93" t="s">
        <v>1170</v>
      </c>
      <c r="X1236" s="93" t="s">
        <v>24</v>
      </c>
    </row>
    <row r="1237" spans="1:24" hidden="1" x14ac:dyDescent="0.15">
      <c r="A1237" s="93" t="s">
        <v>3409</v>
      </c>
      <c r="B1237" s="93" t="s">
        <v>3410</v>
      </c>
      <c r="C1237" s="410">
        <v>3465</v>
      </c>
      <c r="D1237" s="93" t="s">
        <v>9</v>
      </c>
      <c r="E1237" s="93" t="s">
        <v>9</v>
      </c>
      <c r="F1237" s="93" t="s">
        <v>1648</v>
      </c>
      <c r="G1237" s="93" t="s">
        <v>9117</v>
      </c>
      <c r="H1237" s="93" t="s">
        <v>1943</v>
      </c>
      <c r="I1237" s="93" t="s">
        <v>111</v>
      </c>
      <c r="J1237" s="93" t="s">
        <v>963</v>
      </c>
      <c r="K1237" s="93">
        <v>60</v>
      </c>
      <c r="L1237" s="93" t="s">
        <v>111</v>
      </c>
      <c r="M1237" s="93">
        <v>4.25</v>
      </c>
      <c r="N1237" s="93" t="s">
        <v>113</v>
      </c>
      <c r="O1237" s="93">
        <v>18.5</v>
      </c>
      <c r="P1237" s="93">
        <v>29.5</v>
      </c>
      <c r="Q1237" s="93">
        <v>32.5</v>
      </c>
      <c r="R1237" s="93" t="s">
        <v>123</v>
      </c>
      <c r="S1237" s="93" t="s">
        <v>111</v>
      </c>
      <c r="T1237" s="93" t="s">
        <v>1659</v>
      </c>
      <c r="U1237" s="93" t="s">
        <v>116</v>
      </c>
      <c r="V1237" s="94">
        <v>44628.475694444445</v>
      </c>
      <c r="W1237" s="93" t="s">
        <v>1170</v>
      </c>
      <c r="X1237" s="93" t="s">
        <v>24</v>
      </c>
    </row>
    <row r="1238" spans="1:24" hidden="1" x14ac:dyDescent="0.15">
      <c r="A1238" s="93" t="s">
        <v>3411</v>
      </c>
      <c r="B1238" s="93" t="s">
        <v>3412</v>
      </c>
      <c r="C1238" s="410">
        <v>3465</v>
      </c>
      <c r="D1238" s="93" t="s">
        <v>9</v>
      </c>
      <c r="E1238" s="93" t="s">
        <v>9</v>
      </c>
      <c r="F1238" s="93" t="s">
        <v>1648</v>
      </c>
      <c r="G1238" s="93" t="s">
        <v>9117</v>
      </c>
      <c r="H1238" s="93" t="s">
        <v>1943</v>
      </c>
      <c r="I1238" s="93" t="s">
        <v>111</v>
      </c>
      <c r="J1238" s="93" t="s">
        <v>963</v>
      </c>
      <c r="K1238" s="93">
        <v>60</v>
      </c>
      <c r="L1238" s="93" t="s">
        <v>111</v>
      </c>
      <c r="M1238" s="93">
        <v>4.25</v>
      </c>
      <c r="N1238" s="93" t="s">
        <v>113</v>
      </c>
      <c r="O1238" s="93">
        <v>18.5</v>
      </c>
      <c r="P1238" s="93">
        <v>29.5</v>
      </c>
      <c r="Q1238" s="93">
        <v>32.5</v>
      </c>
      <c r="R1238" s="93" t="s">
        <v>123</v>
      </c>
      <c r="S1238" s="93" t="s">
        <v>111</v>
      </c>
      <c r="T1238" s="93" t="s">
        <v>1659</v>
      </c>
      <c r="U1238" s="93" t="s">
        <v>116</v>
      </c>
      <c r="V1238" s="94">
        <v>44628.5625</v>
      </c>
      <c r="W1238" s="93" t="s">
        <v>1170</v>
      </c>
      <c r="X1238" s="93" t="s">
        <v>24</v>
      </c>
    </row>
    <row r="1239" spans="1:24" hidden="1" x14ac:dyDescent="0.15">
      <c r="A1239" s="93" t="s">
        <v>3413</v>
      </c>
      <c r="B1239" s="93" t="s">
        <v>3414</v>
      </c>
      <c r="C1239" s="410">
        <v>3465</v>
      </c>
      <c r="D1239" s="93" t="s">
        <v>9</v>
      </c>
      <c r="E1239" s="93" t="s">
        <v>9</v>
      </c>
      <c r="F1239" s="93" t="s">
        <v>1648</v>
      </c>
      <c r="G1239" s="93" t="s">
        <v>9117</v>
      </c>
      <c r="H1239" s="93" t="s">
        <v>1943</v>
      </c>
      <c r="I1239" s="93" t="s">
        <v>111</v>
      </c>
      <c r="J1239" s="93" t="s">
        <v>963</v>
      </c>
      <c r="K1239" s="93">
        <v>60</v>
      </c>
      <c r="L1239" s="93" t="s">
        <v>111</v>
      </c>
      <c r="M1239" s="93">
        <v>4.25</v>
      </c>
      <c r="N1239" s="93" t="s">
        <v>113</v>
      </c>
      <c r="O1239" s="93">
        <v>18.5</v>
      </c>
      <c r="P1239" s="93">
        <v>29.5</v>
      </c>
      <c r="Q1239" s="93">
        <v>32.5</v>
      </c>
      <c r="R1239" s="93" t="s">
        <v>123</v>
      </c>
      <c r="S1239" s="93" t="s">
        <v>111</v>
      </c>
      <c r="T1239" s="93" t="s">
        <v>1659</v>
      </c>
      <c r="U1239" s="93" t="s">
        <v>116</v>
      </c>
      <c r="V1239" s="94">
        <v>44628.605555555558</v>
      </c>
      <c r="W1239" s="93" t="s">
        <v>1170</v>
      </c>
      <c r="X1239" s="93" t="s">
        <v>24</v>
      </c>
    </row>
    <row r="1240" spans="1:24" hidden="1" x14ac:dyDescent="0.15">
      <c r="A1240" s="93" t="s">
        <v>3415</v>
      </c>
      <c r="B1240" s="93" t="s">
        <v>3416</v>
      </c>
      <c r="C1240" s="410">
        <v>3465</v>
      </c>
      <c r="D1240" s="93" t="s">
        <v>9</v>
      </c>
      <c r="E1240" s="93" t="s">
        <v>9</v>
      </c>
      <c r="F1240" s="93" t="s">
        <v>1648</v>
      </c>
      <c r="G1240" s="93" t="s">
        <v>9117</v>
      </c>
      <c r="H1240" s="93" t="s">
        <v>1943</v>
      </c>
      <c r="I1240" s="93" t="s">
        <v>111</v>
      </c>
      <c r="J1240" s="93" t="s">
        <v>963</v>
      </c>
      <c r="K1240" s="93">
        <v>60</v>
      </c>
      <c r="L1240" s="93" t="s">
        <v>111</v>
      </c>
      <c r="M1240" s="93">
        <v>4.25</v>
      </c>
      <c r="N1240" s="93" t="s">
        <v>113</v>
      </c>
      <c r="O1240" s="93">
        <v>18.5</v>
      </c>
      <c r="P1240" s="93">
        <v>29.5</v>
      </c>
      <c r="Q1240" s="93">
        <v>32.5</v>
      </c>
      <c r="R1240" s="93" t="s">
        <v>123</v>
      </c>
      <c r="S1240" s="93" t="s">
        <v>111</v>
      </c>
      <c r="T1240" s="93" t="s">
        <v>1659</v>
      </c>
      <c r="U1240" s="93" t="s">
        <v>116</v>
      </c>
      <c r="V1240" s="94">
        <v>44628.540972222225</v>
      </c>
      <c r="W1240" s="93" t="s">
        <v>1170</v>
      </c>
      <c r="X1240" s="93" t="s">
        <v>24</v>
      </c>
    </row>
    <row r="1241" spans="1:24" hidden="1" x14ac:dyDescent="0.15">
      <c r="A1241" s="93" t="s">
        <v>3417</v>
      </c>
      <c r="B1241" s="93" t="s">
        <v>3418</v>
      </c>
      <c r="C1241" s="410">
        <v>3465</v>
      </c>
      <c r="D1241" s="93" t="s">
        <v>9</v>
      </c>
      <c r="E1241" s="93" t="s">
        <v>9</v>
      </c>
      <c r="F1241" s="93" t="s">
        <v>1648</v>
      </c>
      <c r="G1241" s="93" t="s">
        <v>9117</v>
      </c>
      <c r="H1241" s="93" t="s">
        <v>1943</v>
      </c>
      <c r="I1241" s="93" t="s">
        <v>111</v>
      </c>
      <c r="J1241" s="93" t="s">
        <v>963</v>
      </c>
      <c r="K1241" s="93">
        <v>60</v>
      </c>
      <c r="L1241" s="93" t="s">
        <v>111</v>
      </c>
      <c r="M1241" s="93">
        <v>4.25</v>
      </c>
      <c r="N1241" s="93" t="s">
        <v>113</v>
      </c>
      <c r="O1241" s="93">
        <v>18.5</v>
      </c>
      <c r="P1241" s="93">
        <v>29.5</v>
      </c>
      <c r="Q1241" s="93">
        <v>32.5</v>
      </c>
      <c r="R1241" s="93" t="s">
        <v>123</v>
      </c>
      <c r="S1241" s="93" t="s">
        <v>111</v>
      </c>
      <c r="T1241" s="93" t="s">
        <v>1659</v>
      </c>
      <c r="U1241" s="93" t="s">
        <v>116</v>
      </c>
      <c r="V1241" s="94">
        <v>44628.518750000003</v>
      </c>
      <c r="W1241" s="93" t="s">
        <v>1170</v>
      </c>
      <c r="X1241" s="93" t="s">
        <v>24</v>
      </c>
    </row>
    <row r="1242" spans="1:24" hidden="1" x14ac:dyDescent="0.15">
      <c r="A1242" s="93" t="s">
        <v>3419</v>
      </c>
      <c r="B1242" s="93" t="s">
        <v>3420</v>
      </c>
      <c r="C1242" s="410">
        <v>3465</v>
      </c>
      <c r="D1242" s="93" t="s">
        <v>9</v>
      </c>
      <c r="E1242" s="93" t="s">
        <v>9</v>
      </c>
      <c r="F1242" s="93" t="s">
        <v>1648</v>
      </c>
      <c r="G1242" s="93" t="s">
        <v>9117</v>
      </c>
      <c r="H1242" s="93" t="s">
        <v>1943</v>
      </c>
      <c r="I1242" s="93" t="s">
        <v>111</v>
      </c>
      <c r="J1242" s="93" t="s">
        <v>963</v>
      </c>
      <c r="K1242" s="93">
        <v>60</v>
      </c>
      <c r="L1242" s="93" t="s">
        <v>111</v>
      </c>
      <c r="M1242" s="93">
        <v>4.25</v>
      </c>
      <c r="N1242" s="93" t="s">
        <v>113</v>
      </c>
      <c r="O1242" s="93">
        <v>18.5</v>
      </c>
      <c r="P1242" s="93">
        <v>29.5</v>
      </c>
      <c r="Q1242" s="93">
        <v>32.5</v>
      </c>
      <c r="R1242" s="93" t="s">
        <v>123</v>
      </c>
      <c r="S1242" s="93" t="s">
        <v>111</v>
      </c>
      <c r="T1242" s="93" t="s">
        <v>1659</v>
      </c>
      <c r="U1242" s="93" t="s">
        <v>116</v>
      </c>
      <c r="V1242" s="94">
        <v>44628.5625</v>
      </c>
      <c r="W1242" s="93" t="s">
        <v>1170</v>
      </c>
      <c r="X1242" s="93" t="s">
        <v>24</v>
      </c>
    </row>
    <row r="1243" spans="1:24" hidden="1" x14ac:dyDescent="0.15">
      <c r="A1243" s="93" t="s">
        <v>3421</v>
      </c>
      <c r="B1243" s="93" t="s">
        <v>3422</v>
      </c>
      <c r="C1243" s="410">
        <v>3465</v>
      </c>
      <c r="D1243" s="93" t="s">
        <v>9</v>
      </c>
      <c r="E1243" s="93" t="s">
        <v>9</v>
      </c>
      <c r="F1243" s="93" t="s">
        <v>1648</v>
      </c>
      <c r="G1243" s="93" t="s">
        <v>9117</v>
      </c>
      <c r="H1243" s="93" t="s">
        <v>1943</v>
      </c>
      <c r="I1243" s="93" t="s">
        <v>111</v>
      </c>
      <c r="J1243" s="93" t="s">
        <v>963</v>
      </c>
      <c r="K1243" s="93">
        <v>60</v>
      </c>
      <c r="L1243" s="93" t="s">
        <v>111</v>
      </c>
      <c r="M1243" s="93">
        <v>4.25</v>
      </c>
      <c r="N1243" s="93" t="s">
        <v>113</v>
      </c>
      <c r="O1243" s="93">
        <v>18.5</v>
      </c>
      <c r="P1243" s="93">
        <v>29.5</v>
      </c>
      <c r="Q1243" s="93">
        <v>32.5</v>
      </c>
      <c r="R1243" s="93" t="s">
        <v>123</v>
      </c>
      <c r="S1243" s="93" t="s">
        <v>111</v>
      </c>
      <c r="T1243" s="93" t="s">
        <v>1659</v>
      </c>
      <c r="U1243" s="93" t="s">
        <v>116</v>
      </c>
      <c r="V1243" s="94">
        <v>44628.5625</v>
      </c>
      <c r="W1243" s="93" t="s">
        <v>1170</v>
      </c>
      <c r="X1243" s="93" t="s">
        <v>24</v>
      </c>
    </row>
    <row r="1244" spans="1:24" hidden="1" x14ac:dyDescent="0.15">
      <c r="A1244" s="93" t="s">
        <v>3423</v>
      </c>
      <c r="B1244" s="93" t="s">
        <v>3424</v>
      </c>
      <c r="C1244" s="410">
        <v>3465</v>
      </c>
      <c r="D1244" s="93" t="s">
        <v>9</v>
      </c>
      <c r="E1244" s="93" t="s">
        <v>9</v>
      </c>
      <c r="F1244" s="93" t="s">
        <v>1648</v>
      </c>
      <c r="G1244" s="93" t="s">
        <v>9117</v>
      </c>
      <c r="H1244" s="93" t="s">
        <v>1943</v>
      </c>
      <c r="I1244" s="93" t="s">
        <v>111</v>
      </c>
      <c r="J1244" s="93" t="s">
        <v>963</v>
      </c>
      <c r="K1244" s="93">
        <v>60</v>
      </c>
      <c r="L1244" s="93" t="s">
        <v>111</v>
      </c>
      <c r="M1244" s="93">
        <v>4.25</v>
      </c>
      <c r="N1244" s="93" t="s">
        <v>113</v>
      </c>
      <c r="O1244" s="93">
        <v>18.5</v>
      </c>
      <c r="P1244" s="93">
        <v>29.5</v>
      </c>
      <c r="Q1244" s="93">
        <v>32.5</v>
      </c>
      <c r="R1244" s="93" t="s">
        <v>123</v>
      </c>
      <c r="S1244" s="93" t="s">
        <v>111</v>
      </c>
      <c r="T1244" s="93" t="s">
        <v>1659</v>
      </c>
      <c r="U1244" s="93" t="s">
        <v>116</v>
      </c>
      <c r="V1244" s="94">
        <v>44628.584027777775</v>
      </c>
      <c r="W1244" s="93" t="s">
        <v>1170</v>
      </c>
      <c r="X1244" s="93" t="s">
        <v>24</v>
      </c>
    </row>
    <row r="1245" spans="1:24" hidden="1" x14ac:dyDescent="0.15">
      <c r="A1245" s="93" t="s">
        <v>3425</v>
      </c>
      <c r="B1245" s="93" t="s">
        <v>3426</v>
      </c>
      <c r="C1245" s="410">
        <v>3465</v>
      </c>
      <c r="D1245" s="93" t="s">
        <v>9</v>
      </c>
      <c r="E1245" s="93" t="s">
        <v>9</v>
      </c>
      <c r="F1245" s="93" t="s">
        <v>1648</v>
      </c>
      <c r="G1245" s="93" t="s">
        <v>9117</v>
      </c>
      <c r="H1245" s="93" t="s">
        <v>1943</v>
      </c>
      <c r="I1245" s="93" t="s">
        <v>111</v>
      </c>
      <c r="J1245" s="93" t="s">
        <v>963</v>
      </c>
      <c r="K1245" s="93">
        <v>60</v>
      </c>
      <c r="L1245" s="93" t="s">
        <v>111</v>
      </c>
      <c r="M1245" s="93">
        <v>4.25</v>
      </c>
      <c r="N1245" s="93" t="s">
        <v>113</v>
      </c>
      <c r="O1245" s="93">
        <v>18.5</v>
      </c>
      <c r="P1245" s="93">
        <v>29.5</v>
      </c>
      <c r="Q1245" s="93">
        <v>32.5</v>
      </c>
      <c r="R1245" s="93" t="s">
        <v>123</v>
      </c>
      <c r="S1245" s="93" t="s">
        <v>111</v>
      </c>
      <c r="T1245" s="93" t="s">
        <v>1659</v>
      </c>
      <c r="U1245" s="93" t="s">
        <v>116</v>
      </c>
      <c r="V1245" s="94">
        <v>44628.605555555558</v>
      </c>
      <c r="W1245" s="93" t="s">
        <v>1170</v>
      </c>
      <c r="X1245" s="93" t="s">
        <v>24</v>
      </c>
    </row>
    <row r="1246" spans="1:24" hidden="1" x14ac:dyDescent="0.15">
      <c r="A1246" s="93" t="s">
        <v>3427</v>
      </c>
      <c r="B1246" s="93" t="s">
        <v>3428</v>
      </c>
      <c r="C1246" s="410">
        <v>3465</v>
      </c>
      <c r="D1246" s="93" t="s">
        <v>9</v>
      </c>
      <c r="E1246" s="93" t="s">
        <v>9</v>
      </c>
      <c r="F1246" s="93" t="s">
        <v>1648</v>
      </c>
      <c r="G1246" s="93" t="s">
        <v>9117</v>
      </c>
      <c r="H1246" s="93" t="s">
        <v>1943</v>
      </c>
      <c r="I1246" s="93" t="s">
        <v>111</v>
      </c>
      <c r="J1246" s="93" t="s">
        <v>963</v>
      </c>
      <c r="K1246" s="93">
        <v>60</v>
      </c>
      <c r="L1246" s="93" t="s">
        <v>111</v>
      </c>
      <c r="M1246" s="93">
        <v>4.25</v>
      </c>
      <c r="N1246" s="93" t="s">
        <v>113</v>
      </c>
      <c r="O1246" s="93">
        <v>18.5</v>
      </c>
      <c r="P1246" s="93">
        <v>29.5</v>
      </c>
      <c r="Q1246" s="93">
        <v>32.5</v>
      </c>
      <c r="R1246" s="93" t="s">
        <v>123</v>
      </c>
      <c r="S1246" s="93" t="s">
        <v>111</v>
      </c>
      <c r="T1246" s="93" t="s">
        <v>1659</v>
      </c>
      <c r="U1246" s="93" t="s">
        <v>116</v>
      </c>
      <c r="V1246" s="94">
        <v>44628.518750000003</v>
      </c>
      <c r="W1246" s="93" t="s">
        <v>1170</v>
      </c>
      <c r="X1246" s="93" t="s">
        <v>24</v>
      </c>
    </row>
    <row r="1247" spans="1:24" hidden="1" x14ac:dyDescent="0.15">
      <c r="A1247" s="93" t="s">
        <v>3429</v>
      </c>
      <c r="B1247" s="93" t="s">
        <v>3430</v>
      </c>
      <c r="C1247" s="410">
        <v>4919.25</v>
      </c>
      <c r="D1247" s="93" t="s">
        <v>9</v>
      </c>
      <c r="E1247" s="93" t="s">
        <v>9</v>
      </c>
      <c r="F1247" s="93" t="s">
        <v>1648</v>
      </c>
      <c r="G1247" s="93" t="s">
        <v>9117</v>
      </c>
      <c r="H1247" s="93" t="s">
        <v>1690</v>
      </c>
      <c r="I1247" s="93" t="s">
        <v>111</v>
      </c>
      <c r="J1247" s="93" t="s">
        <v>1675</v>
      </c>
      <c r="K1247" s="93">
        <v>60</v>
      </c>
      <c r="L1247" s="93" t="s">
        <v>111</v>
      </c>
      <c r="M1247" s="93">
        <v>5</v>
      </c>
      <c r="N1247" s="93" t="s">
        <v>113</v>
      </c>
      <c r="O1247" s="93">
        <v>16</v>
      </c>
      <c r="P1247" s="93">
        <v>35</v>
      </c>
      <c r="Q1247" s="93">
        <v>44</v>
      </c>
      <c r="R1247" s="93" t="s">
        <v>123</v>
      </c>
      <c r="S1247" s="93" t="s">
        <v>659</v>
      </c>
      <c r="T1247" s="93" t="s">
        <v>1659</v>
      </c>
      <c r="U1247" s="93" t="s">
        <v>116</v>
      </c>
      <c r="V1247" s="94">
        <v>44628.634027777778</v>
      </c>
      <c r="W1247" s="93" t="s">
        <v>1555</v>
      </c>
      <c r="X1247" s="93" t="s">
        <v>24</v>
      </c>
    </row>
    <row r="1248" spans="1:24" hidden="1" x14ac:dyDescent="0.15">
      <c r="A1248" s="93" t="s">
        <v>3431</v>
      </c>
      <c r="B1248" s="93" t="s">
        <v>3432</v>
      </c>
      <c r="C1248" s="410">
        <v>3675</v>
      </c>
      <c r="D1248" s="93" t="s">
        <v>9</v>
      </c>
      <c r="E1248" s="93" t="s">
        <v>9</v>
      </c>
      <c r="F1248" s="93" t="s">
        <v>1648</v>
      </c>
      <c r="G1248" s="93" t="s">
        <v>9117</v>
      </c>
      <c r="H1248" s="93" t="s">
        <v>1690</v>
      </c>
      <c r="I1248" s="93" t="s">
        <v>111</v>
      </c>
      <c r="J1248" s="93" t="s">
        <v>2013</v>
      </c>
      <c r="K1248" s="93">
        <v>50</v>
      </c>
      <c r="L1248" s="93" t="s">
        <v>111</v>
      </c>
      <c r="M1248" s="93">
        <v>5.3</v>
      </c>
      <c r="N1248" s="93" t="s">
        <v>113</v>
      </c>
      <c r="O1248" s="93">
        <v>18.5</v>
      </c>
      <c r="P1248" s="93">
        <v>29.5</v>
      </c>
      <c r="Q1248" s="93">
        <v>37.5</v>
      </c>
      <c r="R1248" s="93" t="s">
        <v>123</v>
      </c>
      <c r="S1248" s="93" t="s">
        <v>659</v>
      </c>
      <c r="T1248" s="93" t="s">
        <v>1659</v>
      </c>
      <c r="U1248" s="93" t="s">
        <v>116</v>
      </c>
      <c r="V1248" s="94">
        <v>44628.496527777781</v>
      </c>
      <c r="W1248" s="93" t="s">
        <v>1170</v>
      </c>
      <c r="X1248" s="93" t="s">
        <v>24</v>
      </c>
    </row>
    <row r="1249" spans="1:24" hidden="1" x14ac:dyDescent="0.15">
      <c r="A1249" s="93" t="s">
        <v>3433</v>
      </c>
      <c r="B1249" s="93" t="s">
        <v>3434</v>
      </c>
      <c r="C1249" s="410">
        <v>3675</v>
      </c>
      <c r="D1249" s="93" t="s">
        <v>9</v>
      </c>
      <c r="E1249" s="93" t="s">
        <v>9</v>
      </c>
      <c r="F1249" s="93" t="s">
        <v>1648</v>
      </c>
      <c r="G1249" s="93" t="s">
        <v>9117</v>
      </c>
      <c r="H1249" s="93" t="s">
        <v>1690</v>
      </c>
      <c r="I1249" s="93" t="s">
        <v>111</v>
      </c>
      <c r="J1249" s="93" t="s">
        <v>2013</v>
      </c>
      <c r="K1249" s="93">
        <v>50</v>
      </c>
      <c r="L1249" s="93" t="s">
        <v>111</v>
      </c>
      <c r="M1249" s="93">
        <v>5.3</v>
      </c>
      <c r="N1249" s="93" t="s">
        <v>113</v>
      </c>
      <c r="O1249" s="93">
        <v>18.5</v>
      </c>
      <c r="P1249" s="93">
        <v>29.5</v>
      </c>
      <c r="Q1249" s="93">
        <v>37.5</v>
      </c>
      <c r="R1249" s="93" t="s">
        <v>123</v>
      </c>
      <c r="S1249" s="93" t="s">
        <v>659</v>
      </c>
      <c r="T1249" s="93" t="s">
        <v>1659</v>
      </c>
      <c r="U1249" s="93" t="s">
        <v>116</v>
      </c>
      <c r="V1249" s="94">
        <v>44628.584027777775</v>
      </c>
      <c r="W1249" s="93" t="s">
        <v>1170</v>
      </c>
      <c r="X1249" s="93" t="s">
        <v>24</v>
      </c>
    </row>
    <row r="1250" spans="1:24" hidden="1" x14ac:dyDescent="0.15">
      <c r="A1250" s="93" t="s">
        <v>3435</v>
      </c>
      <c r="B1250" s="93" t="s">
        <v>3436</v>
      </c>
      <c r="C1250" s="410">
        <v>3675</v>
      </c>
      <c r="D1250" s="93" t="s">
        <v>9</v>
      </c>
      <c r="E1250" s="93" t="s">
        <v>9</v>
      </c>
      <c r="F1250" s="93" t="s">
        <v>1648</v>
      </c>
      <c r="G1250" s="93" t="s">
        <v>9117</v>
      </c>
      <c r="H1250" s="93" t="s">
        <v>1690</v>
      </c>
      <c r="I1250" s="93" t="s">
        <v>111</v>
      </c>
      <c r="J1250" s="93" t="s">
        <v>2013</v>
      </c>
      <c r="K1250" s="93">
        <v>50</v>
      </c>
      <c r="L1250" s="93" t="s">
        <v>111</v>
      </c>
      <c r="M1250" s="93">
        <v>5.3</v>
      </c>
      <c r="N1250" s="93" t="s">
        <v>113</v>
      </c>
      <c r="O1250" s="93">
        <v>18.5</v>
      </c>
      <c r="P1250" s="93">
        <v>29.5</v>
      </c>
      <c r="Q1250" s="93">
        <v>37.5</v>
      </c>
      <c r="R1250" s="93" t="s">
        <v>123</v>
      </c>
      <c r="S1250" s="93" t="s">
        <v>659</v>
      </c>
      <c r="T1250" s="93" t="s">
        <v>1659</v>
      </c>
      <c r="U1250" s="93" t="s">
        <v>116</v>
      </c>
      <c r="V1250" s="94">
        <v>44628.496527777781</v>
      </c>
      <c r="W1250" s="93" t="s">
        <v>1170</v>
      </c>
      <c r="X1250" s="93" t="s">
        <v>24</v>
      </c>
    </row>
    <row r="1251" spans="1:24" hidden="1" x14ac:dyDescent="0.15">
      <c r="A1251" s="93" t="s">
        <v>3437</v>
      </c>
      <c r="B1251" s="93" t="s">
        <v>3438</v>
      </c>
      <c r="C1251" s="410">
        <v>3675</v>
      </c>
      <c r="D1251" s="93" t="s">
        <v>9</v>
      </c>
      <c r="E1251" s="93" t="s">
        <v>9</v>
      </c>
      <c r="F1251" s="93" t="s">
        <v>1648</v>
      </c>
      <c r="G1251" s="93" t="s">
        <v>9117</v>
      </c>
      <c r="H1251" s="93" t="s">
        <v>1690</v>
      </c>
      <c r="I1251" s="93" t="s">
        <v>111</v>
      </c>
      <c r="J1251" s="93" t="s">
        <v>2013</v>
      </c>
      <c r="K1251" s="93">
        <v>50</v>
      </c>
      <c r="L1251" s="93" t="s">
        <v>111</v>
      </c>
      <c r="M1251" s="93">
        <v>5.3</v>
      </c>
      <c r="N1251" s="93" t="s">
        <v>113</v>
      </c>
      <c r="O1251" s="93">
        <v>18.5</v>
      </c>
      <c r="P1251" s="93">
        <v>29.5</v>
      </c>
      <c r="Q1251" s="93">
        <v>37.5</v>
      </c>
      <c r="R1251" s="93" t="s">
        <v>123</v>
      </c>
      <c r="S1251" s="93" t="s">
        <v>659</v>
      </c>
      <c r="T1251" s="93" t="s">
        <v>1659</v>
      </c>
      <c r="U1251" s="93" t="s">
        <v>116</v>
      </c>
      <c r="V1251" s="94">
        <v>44628.475694444445</v>
      </c>
      <c r="W1251" s="93" t="s">
        <v>1170</v>
      </c>
      <c r="X1251" s="93" t="s">
        <v>24</v>
      </c>
    </row>
    <row r="1252" spans="1:24" hidden="1" x14ac:dyDescent="0.15">
      <c r="A1252" s="93" t="s">
        <v>3439</v>
      </c>
      <c r="B1252" s="93" t="s">
        <v>3440</v>
      </c>
      <c r="C1252" s="410">
        <v>3675</v>
      </c>
      <c r="D1252" s="93" t="s">
        <v>9</v>
      </c>
      <c r="E1252" s="93" t="s">
        <v>9</v>
      </c>
      <c r="F1252" s="93" t="s">
        <v>1648</v>
      </c>
      <c r="G1252" s="93" t="s">
        <v>9117</v>
      </c>
      <c r="H1252" s="93" t="s">
        <v>1690</v>
      </c>
      <c r="I1252" s="93" t="s">
        <v>111</v>
      </c>
      <c r="J1252" s="93" t="s">
        <v>2013</v>
      </c>
      <c r="K1252" s="93">
        <v>50</v>
      </c>
      <c r="L1252" s="93" t="s">
        <v>111</v>
      </c>
      <c r="M1252" s="93">
        <v>5.3</v>
      </c>
      <c r="N1252" s="93" t="s">
        <v>113</v>
      </c>
      <c r="O1252" s="93">
        <v>18.5</v>
      </c>
      <c r="P1252" s="93">
        <v>29.5</v>
      </c>
      <c r="Q1252" s="93">
        <v>37.5</v>
      </c>
      <c r="R1252" s="93" t="s">
        <v>123</v>
      </c>
      <c r="S1252" s="93" t="s">
        <v>659</v>
      </c>
      <c r="T1252" s="93" t="s">
        <v>1659</v>
      </c>
      <c r="U1252" s="93" t="s">
        <v>116</v>
      </c>
      <c r="V1252" s="94">
        <v>44628.586111111108</v>
      </c>
      <c r="W1252" s="93" t="s">
        <v>1170</v>
      </c>
      <c r="X1252" s="93" t="s">
        <v>24</v>
      </c>
    </row>
    <row r="1253" spans="1:24" hidden="1" x14ac:dyDescent="0.15">
      <c r="A1253" s="93" t="s">
        <v>3441</v>
      </c>
      <c r="B1253" s="93" t="s">
        <v>3442</v>
      </c>
      <c r="C1253" s="410">
        <v>3675</v>
      </c>
      <c r="D1253" s="93" t="s">
        <v>9</v>
      </c>
      <c r="E1253" s="93" t="s">
        <v>9</v>
      </c>
      <c r="F1253" s="93" t="s">
        <v>1648</v>
      </c>
      <c r="G1253" s="93" t="s">
        <v>9117</v>
      </c>
      <c r="H1253" s="93" t="s">
        <v>1690</v>
      </c>
      <c r="I1253" s="93" t="s">
        <v>111</v>
      </c>
      <c r="J1253" s="93" t="s">
        <v>2013</v>
      </c>
      <c r="K1253" s="93">
        <v>50</v>
      </c>
      <c r="L1253" s="93" t="s">
        <v>111</v>
      </c>
      <c r="M1253" s="93">
        <v>5.3</v>
      </c>
      <c r="N1253" s="93" t="s">
        <v>113</v>
      </c>
      <c r="O1253" s="93">
        <v>18.5</v>
      </c>
      <c r="P1253" s="93">
        <v>29.5</v>
      </c>
      <c r="Q1253" s="93">
        <v>37.5</v>
      </c>
      <c r="R1253" s="93" t="s">
        <v>123</v>
      </c>
      <c r="S1253" s="93" t="s">
        <v>659</v>
      </c>
      <c r="T1253" s="93" t="s">
        <v>1659</v>
      </c>
      <c r="U1253" s="93" t="s">
        <v>116</v>
      </c>
      <c r="V1253" s="94">
        <v>44628.520138888889</v>
      </c>
      <c r="W1253" s="93" t="s">
        <v>1170</v>
      </c>
      <c r="X1253" s="93" t="s">
        <v>24</v>
      </c>
    </row>
    <row r="1254" spans="1:24" hidden="1" x14ac:dyDescent="0.15">
      <c r="A1254" s="93" t="s">
        <v>3443</v>
      </c>
      <c r="B1254" s="93" t="s">
        <v>3444</v>
      </c>
      <c r="C1254" s="410">
        <v>3675</v>
      </c>
      <c r="D1254" s="93" t="s">
        <v>9</v>
      </c>
      <c r="E1254" s="93" t="s">
        <v>9</v>
      </c>
      <c r="F1254" s="93" t="s">
        <v>1648</v>
      </c>
      <c r="G1254" s="93" t="s">
        <v>9117</v>
      </c>
      <c r="H1254" s="93" t="s">
        <v>1690</v>
      </c>
      <c r="I1254" s="93" t="s">
        <v>111</v>
      </c>
      <c r="J1254" s="93" t="s">
        <v>2013</v>
      </c>
      <c r="K1254" s="93">
        <v>50</v>
      </c>
      <c r="L1254" s="93" t="s">
        <v>111</v>
      </c>
      <c r="M1254" s="93">
        <v>5.3</v>
      </c>
      <c r="N1254" s="93" t="s">
        <v>113</v>
      </c>
      <c r="O1254" s="93">
        <v>18.5</v>
      </c>
      <c r="P1254" s="93">
        <v>29.5</v>
      </c>
      <c r="Q1254" s="93">
        <v>37.5</v>
      </c>
      <c r="R1254" s="93" t="s">
        <v>123</v>
      </c>
      <c r="S1254" s="93" t="s">
        <v>659</v>
      </c>
      <c r="T1254" s="93" t="s">
        <v>1659</v>
      </c>
      <c r="U1254" s="93" t="s">
        <v>116</v>
      </c>
      <c r="V1254" s="94">
        <v>44628.518750000003</v>
      </c>
      <c r="W1254" s="93" t="s">
        <v>1170</v>
      </c>
      <c r="X1254" s="93" t="s">
        <v>9</v>
      </c>
    </row>
    <row r="1255" spans="1:24" hidden="1" x14ac:dyDescent="0.15">
      <c r="A1255" s="93" t="s">
        <v>3445</v>
      </c>
      <c r="B1255" s="93" t="s">
        <v>3446</v>
      </c>
      <c r="C1255" s="410">
        <v>3675</v>
      </c>
      <c r="D1255" s="93" t="s">
        <v>9</v>
      </c>
      <c r="E1255" s="93" t="s">
        <v>9</v>
      </c>
      <c r="F1255" s="93" t="s">
        <v>1648</v>
      </c>
      <c r="G1255" s="93" t="s">
        <v>9117</v>
      </c>
      <c r="H1255" s="93" t="s">
        <v>1690</v>
      </c>
      <c r="I1255" s="93" t="s">
        <v>111</v>
      </c>
      <c r="J1255" s="93" t="s">
        <v>2013</v>
      </c>
      <c r="K1255" s="93">
        <v>50</v>
      </c>
      <c r="L1255" s="93" t="s">
        <v>111</v>
      </c>
      <c r="M1255" s="93">
        <v>5.3</v>
      </c>
      <c r="N1255" s="93" t="s">
        <v>113</v>
      </c>
      <c r="O1255" s="93">
        <v>18.5</v>
      </c>
      <c r="P1255" s="93">
        <v>29.5</v>
      </c>
      <c r="Q1255" s="93">
        <v>37.5</v>
      </c>
      <c r="R1255" s="93" t="s">
        <v>123</v>
      </c>
      <c r="S1255" s="93" t="s">
        <v>659</v>
      </c>
      <c r="T1255" s="93" t="s">
        <v>1659</v>
      </c>
      <c r="U1255" s="93" t="s">
        <v>116</v>
      </c>
      <c r="V1255" s="94">
        <v>44628.5625</v>
      </c>
      <c r="W1255" s="93" t="s">
        <v>1170</v>
      </c>
      <c r="X1255" s="93" t="s">
        <v>9</v>
      </c>
    </row>
    <row r="1256" spans="1:24" hidden="1" x14ac:dyDescent="0.15">
      <c r="A1256" s="93" t="s">
        <v>3447</v>
      </c>
      <c r="B1256" s="93" t="s">
        <v>3448</v>
      </c>
      <c r="C1256" s="410">
        <v>4620</v>
      </c>
      <c r="D1256" s="93" t="s">
        <v>9</v>
      </c>
      <c r="E1256" s="93" t="s">
        <v>9</v>
      </c>
      <c r="F1256" s="93" t="s">
        <v>1648</v>
      </c>
      <c r="G1256" s="93" t="s">
        <v>9117</v>
      </c>
      <c r="H1256" s="93" t="s">
        <v>1690</v>
      </c>
      <c r="I1256" s="93" t="s">
        <v>111</v>
      </c>
      <c r="J1256" s="93" t="s">
        <v>2086</v>
      </c>
      <c r="K1256" s="93">
        <v>50</v>
      </c>
      <c r="L1256" s="93" t="s">
        <v>111</v>
      </c>
      <c r="M1256" s="93">
        <v>5.7</v>
      </c>
      <c r="N1256" s="93" t="s">
        <v>113</v>
      </c>
      <c r="O1256" s="93">
        <v>18.5</v>
      </c>
      <c r="P1256" s="93">
        <v>29.5</v>
      </c>
      <c r="Q1256" s="93">
        <v>37.5</v>
      </c>
      <c r="R1256" s="93" t="s">
        <v>123</v>
      </c>
      <c r="S1256" s="93" t="s">
        <v>659</v>
      </c>
      <c r="T1256" s="93" t="s">
        <v>1659</v>
      </c>
      <c r="U1256" s="93" t="s">
        <v>116</v>
      </c>
      <c r="V1256" s="94">
        <v>44628.640972222223</v>
      </c>
      <c r="W1256" s="93" t="s">
        <v>1170</v>
      </c>
      <c r="X1256" s="93" t="s">
        <v>24</v>
      </c>
    </row>
    <row r="1257" spans="1:24" hidden="1" x14ac:dyDescent="0.15">
      <c r="A1257" s="93" t="s">
        <v>3449</v>
      </c>
      <c r="B1257" s="93" t="s">
        <v>3450</v>
      </c>
      <c r="C1257" s="410">
        <v>4620</v>
      </c>
      <c r="D1257" s="93" t="s">
        <v>9</v>
      </c>
      <c r="E1257" s="93" t="s">
        <v>9</v>
      </c>
      <c r="F1257" s="93" t="s">
        <v>1648</v>
      </c>
      <c r="G1257" s="93" t="s">
        <v>9117</v>
      </c>
      <c r="H1257" s="93" t="s">
        <v>1690</v>
      </c>
      <c r="I1257" s="93" t="s">
        <v>111</v>
      </c>
      <c r="J1257" s="93" t="s">
        <v>2086</v>
      </c>
      <c r="K1257" s="93">
        <v>50</v>
      </c>
      <c r="L1257" s="93" t="s">
        <v>111</v>
      </c>
      <c r="M1257" s="93">
        <v>5.7</v>
      </c>
      <c r="N1257" s="93" t="s">
        <v>113</v>
      </c>
      <c r="O1257" s="93">
        <v>18.5</v>
      </c>
      <c r="P1257" s="93">
        <v>29.5</v>
      </c>
      <c r="Q1257" s="93">
        <v>37.5</v>
      </c>
      <c r="R1257" s="93" t="s">
        <v>123</v>
      </c>
      <c r="S1257" s="93" t="s">
        <v>659</v>
      </c>
      <c r="T1257" s="93" t="s">
        <v>1659</v>
      </c>
      <c r="U1257" s="93" t="s">
        <v>116</v>
      </c>
      <c r="V1257" s="94">
        <v>44628.496527777781</v>
      </c>
      <c r="W1257" s="93" t="s">
        <v>1170</v>
      </c>
      <c r="X1257" s="93" t="s">
        <v>24</v>
      </c>
    </row>
    <row r="1258" spans="1:24" hidden="1" x14ac:dyDescent="0.15">
      <c r="A1258" s="93" t="s">
        <v>3451</v>
      </c>
      <c r="B1258" s="93" t="s">
        <v>3452</v>
      </c>
      <c r="C1258" s="410">
        <v>4620</v>
      </c>
      <c r="D1258" s="93" t="s">
        <v>9</v>
      </c>
      <c r="E1258" s="93" t="s">
        <v>9</v>
      </c>
      <c r="F1258" s="93" t="s">
        <v>1648</v>
      </c>
      <c r="G1258" s="93" t="s">
        <v>9117</v>
      </c>
      <c r="H1258" s="93" t="s">
        <v>1690</v>
      </c>
      <c r="I1258" s="93" t="s">
        <v>111</v>
      </c>
      <c r="J1258" s="93" t="s">
        <v>2086</v>
      </c>
      <c r="K1258" s="93">
        <v>50</v>
      </c>
      <c r="L1258" s="93" t="s">
        <v>111</v>
      </c>
      <c r="M1258" s="93">
        <v>5.7</v>
      </c>
      <c r="N1258" s="93" t="s">
        <v>113</v>
      </c>
      <c r="O1258" s="93">
        <v>18.5</v>
      </c>
      <c r="P1258" s="93">
        <v>29.5</v>
      </c>
      <c r="Q1258" s="93">
        <v>37.5</v>
      </c>
      <c r="R1258" s="93" t="s">
        <v>123</v>
      </c>
      <c r="S1258" s="93" t="s">
        <v>659</v>
      </c>
      <c r="T1258" s="93" t="s">
        <v>1659</v>
      </c>
      <c r="U1258" s="93" t="s">
        <v>116</v>
      </c>
      <c r="V1258" s="94">
        <v>44628.475694444445</v>
      </c>
      <c r="W1258" s="93" t="s">
        <v>1170</v>
      </c>
      <c r="X1258" s="93" t="s">
        <v>24</v>
      </c>
    </row>
    <row r="1259" spans="1:24" hidden="1" x14ac:dyDescent="0.15">
      <c r="A1259" s="93" t="s">
        <v>3453</v>
      </c>
      <c r="B1259" s="93" t="s">
        <v>3454</v>
      </c>
      <c r="C1259" s="410">
        <v>4620</v>
      </c>
      <c r="D1259" s="93" t="s">
        <v>9</v>
      </c>
      <c r="E1259" s="93" t="s">
        <v>9</v>
      </c>
      <c r="F1259" s="93" t="s">
        <v>1648</v>
      </c>
      <c r="G1259" s="93" t="s">
        <v>9117</v>
      </c>
      <c r="H1259" s="93" t="s">
        <v>1690</v>
      </c>
      <c r="I1259" s="93" t="s">
        <v>111</v>
      </c>
      <c r="J1259" s="93" t="s">
        <v>2086</v>
      </c>
      <c r="K1259" s="93">
        <v>50</v>
      </c>
      <c r="L1259" s="93" t="s">
        <v>111</v>
      </c>
      <c r="M1259" s="93">
        <v>5.7</v>
      </c>
      <c r="N1259" s="93" t="s">
        <v>113</v>
      </c>
      <c r="O1259" s="93">
        <v>18.5</v>
      </c>
      <c r="P1259" s="93">
        <v>29.5</v>
      </c>
      <c r="Q1259" s="93">
        <v>37.5</v>
      </c>
      <c r="R1259" s="93" t="s">
        <v>123</v>
      </c>
      <c r="S1259" s="93" t="s">
        <v>659</v>
      </c>
      <c r="T1259" s="93" t="s">
        <v>1659</v>
      </c>
      <c r="U1259" s="93" t="s">
        <v>116</v>
      </c>
      <c r="V1259" s="94">
        <v>44628.540972222225</v>
      </c>
      <c r="W1259" s="93" t="s">
        <v>1170</v>
      </c>
      <c r="X1259" s="93" t="s">
        <v>24</v>
      </c>
    </row>
    <row r="1260" spans="1:24" hidden="1" x14ac:dyDescent="0.15">
      <c r="A1260" s="93" t="s">
        <v>3455</v>
      </c>
      <c r="B1260" s="93" t="s">
        <v>3456</v>
      </c>
      <c r="C1260" s="410">
        <v>4620</v>
      </c>
      <c r="D1260" s="93" t="s">
        <v>9</v>
      </c>
      <c r="E1260" s="93" t="s">
        <v>9</v>
      </c>
      <c r="F1260" s="93" t="s">
        <v>1648</v>
      </c>
      <c r="G1260" s="93" t="s">
        <v>9117</v>
      </c>
      <c r="H1260" s="93" t="s">
        <v>1690</v>
      </c>
      <c r="I1260" s="93" t="s">
        <v>111</v>
      </c>
      <c r="J1260" s="93" t="s">
        <v>2086</v>
      </c>
      <c r="K1260" s="93">
        <v>50</v>
      </c>
      <c r="L1260" s="93" t="s">
        <v>111</v>
      </c>
      <c r="M1260" s="93">
        <v>5.7</v>
      </c>
      <c r="N1260" s="93" t="s">
        <v>113</v>
      </c>
      <c r="O1260" s="93">
        <v>18.5</v>
      </c>
      <c r="P1260" s="93">
        <v>29.5</v>
      </c>
      <c r="Q1260" s="93">
        <v>37.5</v>
      </c>
      <c r="R1260" s="93" t="s">
        <v>123</v>
      </c>
      <c r="S1260" s="93" t="s">
        <v>659</v>
      </c>
      <c r="T1260" s="93" t="s">
        <v>1659</v>
      </c>
      <c r="U1260" s="93" t="s">
        <v>116</v>
      </c>
      <c r="V1260" s="94">
        <v>44628.606944444444</v>
      </c>
      <c r="W1260" s="93" t="s">
        <v>1170</v>
      </c>
      <c r="X1260" s="93" t="s">
        <v>24</v>
      </c>
    </row>
    <row r="1261" spans="1:24" hidden="1" x14ac:dyDescent="0.15">
      <c r="A1261" s="93" t="s">
        <v>3457</v>
      </c>
      <c r="B1261" s="93" t="s">
        <v>3458</v>
      </c>
      <c r="C1261" s="410">
        <v>4620</v>
      </c>
      <c r="D1261" s="93" t="s">
        <v>9</v>
      </c>
      <c r="E1261" s="93" t="s">
        <v>9</v>
      </c>
      <c r="F1261" s="93" t="s">
        <v>1648</v>
      </c>
      <c r="G1261" s="93" t="s">
        <v>9117</v>
      </c>
      <c r="H1261" s="93" t="s">
        <v>1690</v>
      </c>
      <c r="I1261" s="93" t="s">
        <v>111</v>
      </c>
      <c r="J1261" s="93" t="s">
        <v>2086</v>
      </c>
      <c r="K1261" s="93">
        <v>50</v>
      </c>
      <c r="L1261" s="93" t="s">
        <v>111</v>
      </c>
      <c r="M1261" s="93">
        <v>5.7</v>
      </c>
      <c r="N1261" s="93" t="s">
        <v>113</v>
      </c>
      <c r="O1261" s="93">
        <v>18.5</v>
      </c>
      <c r="P1261" s="93">
        <v>29.5</v>
      </c>
      <c r="Q1261" s="93">
        <v>37.5</v>
      </c>
      <c r="R1261" s="93" t="s">
        <v>123</v>
      </c>
      <c r="S1261" s="93" t="s">
        <v>659</v>
      </c>
      <c r="T1261" s="93" t="s">
        <v>1659</v>
      </c>
      <c r="U1261" s="93" t="s">
        <v>116</v>
      </c>
      <c r="V1261" s="94">
        <v>44628.520138888889</v>
      </c>
      <c r="W1261" s="93" t="s">
        <v>1170</v>
      </c>
      <c r="X1261" s="93" t="s">
        <v>24</v>
      </c>
    </row>
    <row r="1262" spans="1:24" hidden="1" x14ac:dyDescent="0.15">
      <c r="A1262" s="93" t="s">
        <v>3459</v>
      </c>
      <c r="B1262" s="93" t="s">
        <v>3460</v>
      </c>
      <c r="C1262" s="410">
        <v>4620</v>
      </c>
      <c r="D1262" s="93" t="s">
        <v>9</v>
      </c>
      <c r="E1262" s="93" t="s">
        <v>9</v>
      </c>
      <c r="F1262" s="93" t="s">
        <v>1648</v>
      </c>
      <c r="G1262" s="93" t="s">
        <v>9117</v>
      </c>
      <c r="H1262" s="93" t="s">
        <v>1690</v>
      </c>
      <c r="I1262" s="93" t="s">
        <v>111</v>
      </c>
      <c r="J1262" s="93" t="s">
        <v>2086</v>
      </c>
      <c r="K1262" s="93">
        <v>50</v>
      </c>
      <c r="L1262" s="93" t="s">
        <v>111</v>
      </c>
      <c r="M1262" s="93">
        <v>5.7</v>
      </c>
      <c r="N1262" s="93" t="s">
        <v>113</v>
      </c>
      <c r="O1262" s="93">
        <v>18.5</v>
      </c>
      <c r="P1262" s="93">
        <v>29.5</v>
      </c>
      <c r="Q1262" s="93">
        <v>37.5</v>
      </c>
      <c r="R1262" s="93" t="s">
        <v>123</v>
      </c>
      <c r="S1262" s="93" t="s">
        <v>659</v>
      </c>
      <c r="T1262" s="93" t="s">
        <v>1659</v>
      </c>
      <c r="U1262" s="93" t="s">
        <v>116</v>
      </c>
      <c r="V1262" s="94">
        <v>44628.520138888889</v>
      </c>
      <c r="W1262" s="93" t="s">
        <v>1170</v>
      </c>
      <c r="X1262" s="93" t="s">
        <v>24</v>
      </c>
    </row>
    <row r="1263" spans="1:24" hidden="1" x14ac:dyDescent="0.15">
      <c r="A1263" s="93" t="s">
        <v>3461</v>
      </c>
      <c r="B1263" s="93" t="s">
        <v>3462</v>
      </c>
      <c r="C1263" s="410">
        <v>4620</v>
      </c>
      <c r="D1263" s="93" t="s">
        <v>9</v>
      </c>
      <c r="E1263" s="93" t="s">
        <v>9</v>
      </c>
      <c r="F1263" s="93" t="s">
        <v>1648</v>
      </c>
      <c r="G1263" s="93" t="s">
        <v>9117</v>
      </c>
      <c r="H1263" s="93" t="s">
        <v>1690</v>
      </c>
      <c r="I1263" s="93" t="s">
        <v>111</v>
      </c>
      <c r="J1263" s="93" t="s">
        <v>2086</v>
      </c>
      <c r="K1263" s="93">
        <v>50</v>
      </c>
      <c r="L1263" s="93" t="s">
        <v>111</v>
      </c>
      <c r="M1263" s="93">
        <v>5.7</v>
      </c>
      <c r="N1263" s="93" t="s">
        <v>113</v>
      </c>
      <c r="O1263" s="93">
        <v>18.5</v>
      </c>
      <c r="P1263" s="93">
        <v>29.5</v>
      </c>
      <c r="Q1263" s="93">
        <v>37.5</v>
      </c>
      <c r="R1263" s="93" t="s">
        <v>123</v>
      </c>
      <c r="S1263" s="93" t="s">
        <v>659</v>
      </c>
      <c r="T1263" s="93" t="s">
        <v>1659</v>
      </c>
      <c r="U1263" s="93" t="s">
        <v>116</v>
      </c>
      <c r="V1263" s="94">
        <v>44628.477777777778</v>
      </c>
      <c r="W1263" s="93" t="s">
        <v>1170</v>
      </c>
      <c r="X1263" s="93" t="s">
        <v>24</v>
      </c>
    </row>
    <row r="1264" spans="1:24" hidden="1" x14ac:dyDescent="0.15">
      <c r="A1264" s="93" t="s">
        <v>9214</v>
      </c>
      <c r="B1264" s="93" t="s">
        <v>9215</v>
      </c>
      <c r="C1264" s="410">
        <v>4620</v>
      </c>
      <c r="D1264" s="93" t="s">
        <v>9</v>
      </c>
      <c r="E1264" s="93" t="s">
        <v>9</v>
      </c>
      <c r="F1264" s="93" t="s">
        <v>1648</v>
      </c>
      <c r="G1264" s="93" t="s">
        <v>9117</v>
      </c>
      <c r="H1264" s="93" t="s">
        <v>1690</v>
      </c>
      <c r="I1264" s="93" t="s">
        <v>9216</v>
      </c>
      <c r="J1264" s="93" t="s">
        <v>963</v>
      </c>
      <c r="K1264" s="93">
        <v>60</v>
      </c>
      <c r="L1264" s="93" t="s">
        <v>111</v>
      </c>
      <c r="M1264" s="93" t="s">
        <v>111</v>
      </c>
      <c r="N1264" s="93" t="s">
        <v>111</v>
      </c>
      <c r="O1264" s="93" t="s">
        <v>111</v>
      </c>
      <c r="P1264" s="93" t="s">
        <v>111</v>
      </c>
      <c r="Q1264" s="93" t="s">
        <v>111</v>
      </c>
      <c r="R1264" s="93" t="s">
        <v>398</v>
      </c>
      <c r="S1264" s="93" t="s">
        <v>659</v>
      </c>
      <c r="T1264" s="93" t="s">
        <v>1659</v>
      </c>
      <c r="U1264" s="93" t="s">
        <v>116</v>
      </c>
      <c r="V1264" s="94">
        <v>44628.634722222225</v>
      </c>
      <c r="W1264" s="93" t="s">
        <v>1170</v>
      </c>
      <c r="X1264" s="93" t="s">
        <v>24</v>
      </c>
    </row>
    <row r="1265" spans="1:24" hidden="1" x14ac:dyDescent="0.15">
      <c r="A1265" s="93" t="s">
        <v>9217</v>
      </c>
      <c r="B1265" s="93" t="s">
        <v>9218</v>
      </c>
      <c r="C1265" s="410">
        <v>4620</v>
      </c>
      <c r="D1265" s="93" t="s">
        <v>9</v>
      </c>
      <c r="E1265" s="93" t="s">
        <v>9</v>
      </c>
      <c r="F1265" s="93" t="s">
        <v>1648</v>
      </c>
      <c r="G1265" s="93" t="s">
        <v>9117</v>
      </c>
      <c r="H1265" s="93" t="s">
        <v>1690</v>
      </c>
      <c r="I1265" s="93" t="s">
        <v>9216</v>
      </c>
      <c r="J1265" s="93" t="s">
        <v>963</v>
      </c>
      <c r="K1265" s="93">
        <v>60</v>
      </c>
      <c r="L1265" s="93" t="s">
        <v>111</v>
      </c>
      <c r="M1265" s="93" t="s">
        <v>111</v>
      </c>
      <c r="N1265" s="93" t="s">
        <v>111</v>
      </c>
      <c r="O1265" s="93" t="s">
        <v>111</v>
      </c>
      <c r="P1265" s="93" t="s">
        <v>111</v>
      </c>
      <c r="Q1265" s="93" t="s">
        <v>111</v>
      </c>
      <c r="R1265" s="93" t="s">
        <v>398</v>
      </c>
      <c r="S1265" s="93" t="s">
        <v>659</v>
      </c>
      <c r="T1265" s="93" t="s">
        <v>1659</v>
      </c>
      <c r="U1265" s="93" t="s">
        <v>116</v>
      </c>
      <c r="V1265" s="94">
        <v>44628.512499999997</v>
      </c>
      <c r="W1265" s="93" t="s">
        <v>1170</v>
      </c>
      <c r="X1265" s="93" t="s">
        <v>24</v>
      </c>
    </row>
    <row r="1266" spans="1:24" hidden="1" x14ac:dyDescent="0.15">
      <c r="A1266" s="93" t="s">
        <v>3463</v>
      </c>
      <c r="B1266" s="93" t="s">
        <v>3464</v>
      </c>
      <c r="C1266" s="410">
        <v>4620</v>
      </c>
      <c r="D1266" s="93" t="s">
        <v>9</v>
      </c>
      <c r="E1266" s="93" t="s">
        <v>9</v>
      </c>
      <c r="F1266" s="93" t="s">
        <v>1648</v>
      </c>
      <c r="G1266" s="93" t="s">
        <v>9117</v>
      </c>
      <c r="H1266" s="93" t="s">
        <v>1690</v>
      </c>
      <c r="I1266" s="93" t="s">
        <v>111</v>
      </c>
      <c r="J1266" s="93" t="s">
        <v>2086</v>
      </c>
      <c r="K1266" s="93">
        <v>50</v>
      </c>
      <c r="L1266" s="93" t="s">
        <v>111</v>
      </c>
      <c r="M1266" s="93">
        <v>5.3</v>
      </c>
      <c r="N1266" s="93" t="s">
        <v>113</v>
      </c>
      <c r="O1266" s="93">
        <v>29.5</v>
      </c>
      <c r="P1266" s="93">
        <v>37.5</v>
      </c>
      <c r="Q1266" s="93">
        <v>18.5</v>
      </c>
      <c r="R1266" s="93" t="s">
        <v>123</v>
      </c>
      <c r="S1266" s="93" t="s">
        <v>659</v>
      </c>
      <c r="T1266" s="93" t="s">
        <v>1659</v>
      </c>
      <c r="U1266" s="93" t="s">
        <v>116</v>
      </c>
      <c r="V1266" s="94">
        <v>44628.534722222219</v>
      </c>
      <c r="W1266" s="93" t="s">
        <v>1170</v>
      </c>
      <c r="X1266" s="93" t="s">
        <v>9</v>
      </c>
    </row>
    <row r="1267" spans="1:24" hidden="1" x14ac:dyDescent="0.15">
      <c r="A1267" s="93" t="s">
        <v>3465</v>
      </c>
      <c r="B1267" s="93" t="s">
        <v>3466</v>
      </c>
      <c r="C1267" s="410">
        <v>4620</v>
      </c>
      <c r="D1267" s="93" t="s">
        <v>9</v>
      </c>
      <c r="E1267" s="93" t="s">
        <v>9</v>
      </c>
      <c r="F1267" s="93" t="s">
        <v>1648</v>
      </c>
      <c r="G1267" s="93" t="s">
        <v>9117</v>
      </c>
      <c r="H1267" s="93" t="s">
        <v>1690</v>
      </c>
      <c r="I1267" s="93" t="s">
        <v>111</v>
      </c>
      <c r="J1267" s="93" t="s">
        <v>2086</v>
      </c>
      <c r="K1267" s="93">
        <v>50</v>
      </c>
      <c r="L1267" s="93" t="s">
        <v>111</v>
      </c>
      <c r="M1267" s="93">
        <v>5.3</v>
      </c>
      <c r="N1267" s="93" t="s">
        <v>113</v>
      </c>
      <c r="O1267" s="93">
        <v>29.5</v>
      </c>
      <c r="P1267" s="93">
        <v>37.5</v>
      </c>
      <c r="Q1267" s="93">
        <v>18.5</v>
      </c>
      <c r="R1267" s="93" t="s">
        <v>123</v>
      </c>
      <c r="S1267" s="93" t="s">
        <v>659</v>
      </c>
      <c r="T1267" s="93" t="s">
        <v>1659</v>
      </c>
      <c r="U1267" s="93" t="s">
        <v>116</v>
      </c>
      <c r="V1267" s="94">
        <v>44628.534722222219</v>
      </c>
      <c r="W1267" s="93" t="s">
        <v>1170</v>
      </c>
      <c r="X1267" s="93" t="s">
        <v>9</v>
      </c>
    </row>
    <row r="1268" spans="1:24" hidden="1" x14ac:dyDescent="0.15">
      <c r="A1268" s="93" t="s">
        <v>3467</v>
      </c>
      <c r="B1268" s="93" t="s">
        <v>3468</v>
      </c>
      <c r="C1268" s="410">
        <v>3465</v>
      </c>
      <c r="D1268" s="93" t="s">
        <v>9</v>
      </c>
      <c r="E1268" s="93" t="s">
        <v>9</v>
      </c>
      <c r="F1268" s="93" t="s">
        <v>1648</v>
      </c>
      <c r="G1268" s="93" t="s">
        <v>9117</v>
      </c>
      <c r="H1268" s="93" t="s">
        <v>1943</v>
      </c>
      <c r="I1268" s="93" t="s">
        <v>111</v>
      </c>
      <c r="J1268" s="93" t="s">
        <v>963</v>
      </c>
      <c r="K1268" s="93">
        <v>60</v>
      </c>
      <c r="L1268" s="93" t="s">
        <v>111</v>
      </c>
      <c r="M1268" s="93">
        <v>4.2</v>
      </c>
      <c r="N1268" s="93" t="s">
        <v>113</v>
      </c>
      <c r="O1268" s="93">
        <v>18.5</v>
      </c>
      <c r="P1268" s="93">
        <v>29.5</v>
      </c>
      <c r="Q1268" s="93">
        <v>32.5</v>
      </c>
      <c r="R1268" s="93" t="s">
        <v>123</v>
      </c>
      <c r="S1268" s="93" t="s">
        <v>111</v>
      </c>
      <c r="T1268" s="93" t="s">
        <v>1659</v>
      </c>
      <c r="U1268" s="93" t="s">
        <v>116</v>
      </c>
      <c r="V1268" s="94">
        <v>44628.605555555558</v>
      </c>
      <c r="W1268" s="93" t="s">
        <v>1170</v>
      </c>
      <c r="X1268" s="93" t="s">
        <v>24</v>
      </c>
    </row>
    <row r="1269" spans="1:24" hidden="1" x14ac:dyDescent="0.15">
      <c r="A1269" s="93" t="s">
        <v>3469</v>
      </c>
      <c r="B1269" s="93" t="s">
        <v>3470</v>
      </c>
      <c r="C1269" s="410">
        <v>3465</v>
      </c>
      <c r="D1269" s="93" t="s">
        <v>9</v>
      </c>
      <c r="E1269" s="93" t="s">
        <v>9</v>
      </c>
      <c r="F1269" s="93" t="s">
        <v>1648</v>
      </c>
      <c r="G1269" s="93" t="s">
        <v>9117</v>
      </c>
      <c r="H1269" s="93" t="s">
        <v>1943</v>
      </c>
      <c r="I1269" s="93" t="s">
        <v>111</v>
      </c>
      <c r="J1269" s="93" t="s">
        <v>963</v>
      </c>
      <c r="K1269" s="93">
        <v>60</v>
      </c>
      <c r="L1269" s="93" t="s">
        <v>111</v>
      </c>
      <c r="M1269" s="93">
        <v>4.2</v>
      </c>
      <c r="N1269" s="93" t="s">
        <v>113</v>
      </c>
      <c r="O1269" s="93">
        <v>18.5</v>
      </c>
      <c r="P1269" s="93">
        <v>29.5</v>
      </c>
      <c r="Q1269" s="93">
        <v>32.5</v>
      </c>
      <c r="R1269" s="93" t="s">
        <v>123</v>
      </c>
      <c r="S1269" s="93" t="s">
        <v>111</v>
      </c>
      <c r="T1269" s="93" t="s">
        <v>1659</v>
      </c>
      <c r="U1269" s="93" t="s">
        <v>116</v>
      </c>
      <c r="V1269" s="94">
        <v>44628.640972222223</v>
      </c>
      <c r="W1269" s="93" t="s">
        <v>1170</v>
      </c>
      <c r="X1269" s="93" t="s">
        <v>24</v>
      </c>
    </row>
    <row r="1270" spans="1:24" hidden="1" x14ac:dyDescent="0.15">
      <c r="A1270" s="93" t="s">
        <v>3471</v>
      </c>
      <c r="B1270" s="93" t="s">
        <v>3472</v>
      </c>
      <c r="C1270" s="410">
        <v>3465</v>
      </c>
      <c r="D1270" s="93" t="s">
        <v>9</v>
      </c>
      <c r="E1270" s="93" t="s">
        <v>9</v>
      </c>
      <c r="F1270" s="93" t="s">
        <v>1648</v>
      </c>
      <c r="G1270" s="93" t="s">
        <v>9117</v>
      </c>
      <c r="H1270" s="93" t="s">
        <v>1943</v>
      </c>
      <c r="I1270" s="93" t="s">
        <v>111</v>
      </c>
      <c r="J1270" s="93" t="s">
        <v>963</v>
      </c>
      <c r="K1270" s="93">
        <v>60</v>
      </c>
      <c r="L1270" s="93" t="s">
        <v>111</v>
      </c>
      <c r="M1270" s="93">
        <v>4.2</v>
      </c>
      <c r="N1270" s="93" t="s">
        <v>113</v>
      </c>
      <c r="O1270" s="93">
        <v>18.5</v>
      </c>
      <c r="P1270" s="93">
        <v>29.5</v>
      </c>
      <c r="Q1270" s="93">
        <v>32.5</v>
      </c>
      <c r="R1270" s="93" t="s">
        <v>123</v>
      </c>
      <c r="S1270" s="93" t="s">
        <v>659</v>
      </c>
      <c r="T1270" s="93" t="s">
        <v>1659</v>
      </c>
      <c r="U1270" s="93" t="s">
        <v>116</v>
      </c>
      <c r="V1270" s="94">
        <v>44628.640972222223</v>
      </c>
      <c r="W1270" s="93" t="s">
        <v>1170</v>
      </c>
      <c r="X1270" s="93" t="s">
        <v>24</v>
      </c>
    </row>
    <row r="1271" spans="1:24" hidden="1" x14ac:dyDescent="0.15">
      <c r="A1271" s="93" t="s">
        <v>3473</v>
      </c>
      <c r="B1271" s="93" t="s">
        <v>3474</v>
      </c>
      <c r="C1271" s="410">
        <v>3465</v>
      </c>
      <c r="D1271" s="93" t="s">
        <v>9</v>
      </c>
      <c r="E1271" s="93" t="s">
        <v>9</v>
      </c>
      <c r="F1271" s="93" t="s">
        <v>1648</v>
      </c>
      <c r="G1271" s="93" t="s">
        <v>9117</v>
      </c>
      <c r="H1271" s="93" t="s">
        <v>1943</v>
      </c>
      <c r="I1271" s="93" t="s">
        <v>111</v>
      </c>
      <c r="J1271" s="93" t="s">
        <v>963</v>
      </c>
      <c r="K1271" s="93">
        <v>60</v>
      </c>
      <c r="L1271" s="93" t="s">
        <v>111</v>
      </c>
      <c r="M1271" s="93">
        <v>4.2</v>
      </c>
      <c r="N1271" s="93" t="s">
        <v>113</v>
      </c>
      <c r="O1271" s="93">
        <v>18.5</v>
      </c>
      <c r="P1271" s="93">
        <v>29.5</v>
      </c>
      <c r="Q1271" s="93">
        <v>32.5</v>
      </c>
      <c r="R1271" s="93" t="s">
        <v>123</v>
      </c>
      <c r="S1271" s="93" t="s">
        <v>659</v>
      </c>
      <c r="T1271" s="93" t="s">
        <v>1659</v>
      </c>
      <c r="U1271" s="93" t="s">
        <v>116</v>
      </c>
      <c r="V1271" s="94">
        <v>44628.496527777781</v>
      </c>
      <c r="W1271" s="93" t="s">
        <v>1170</v>
      </c>
      <c r="X1271" s="93" t="s">
        <v>24</v>
      </c>
    </row>
    <row r="1272" spans="1:24" hidden="1" x14ac:dyDescent="0.15">
      <c r="A1272" s="93" t="s">
        <v>3475</v>
      </c>
      <c r="B1272" s="93" t="s">
        <v>3476</v>
      </c>
      <c r="C1272" s="410">
        <v>3465</v>
      </c>
      <c r="D1272" s="93" t="s">
        <v>9</v>
      </c>
      <c r="E1272" s="93" t="s">
        <v>9</v>
      </c>
      <c r="F1272" s="93" t="s">
        <v>1648</v>
      </c>
      <c r="G1272" s="93" t="s">
        <v>9117</v>
      </c>
      <c r="H1272" s="93" t="s">
        <v>1943</v>
      </c>
      <c r="I1272" s="93" t="s">
        <v>111</v>
      </c>
      <c r="J1272" s="93" t="s">
        <v>963</v>
      </c>
      <c r="K1272" s="93">
        <v>60</v>
      </c>
      <c r="L1272" s="93" t="s">
        <v>111</v>
      </c>
      <c r="M1272" s="93">
        <v>4.2</v>
      </c>
      <c r="N1272" s="93" t="s">
        <v>113</v>
      </c>
      <c r="O1272" s="93">
        <v>18.5</v>
      </c>
      <c r="P1272" s="93">
        <v>29.5</v>
      </c>
      <c r="Q1272" s="93">
        <v>32.5</v>
      </c>
      <c r="R1272" s="93" t="s">
        <v>123</v>
      </c>
      <c r="S1272" s="93" t="s">
        <v>111</v>
      </c>
      <c r="T1272" s="93" t="s">
        <v>1659</v>
      </c>
      <c r="U1272" s="93" t="s">
        <v>116</v>
      </c>
      <c r="V1272" s="94">
        <v>44628.563888888886</v>
      </c>
      <c r="W1272" s="93" t="s">
        <v>1170</v>
      </c>
      <c r="X1272" s="93" t="s">
        <v>24</v>
      </c>
    </row>
    <row r="1273" spans="1:24" hidden="1" x14ac:dyDescent="0.15">
      <c r="A1273" s="93" t="s">
        <v>3477</v>
      </c>
      <c r="B1273" s="93" t="s">
        <v>3478</v>
      </c>
      <c r="C1273" s="410">
        <v>3465</v>
      </c>
      <c r="D1273" s="93" t="s">
        <v>9</v>
      </c>
      <c r="E1273" s="93" t="s">
        <v>9</v>
      </c>
      <c r="F1273" s="93" t="s">
        <v>1648</v>
      </c>
      <c r="G1273" s="93" t="s">
        <v>9117</v>
      </c>
      <c r="H1273" s="93" t="s">
        <v>1943</v>
      </c>
      <c r="I1273" s="93" t="s">
        <v>111</v>
      </c>
      <c r="J1273" s="93" t="s">
        <v>963</v>
      </c>
      <c r="K1273" s="93">
        <v>60</v>
      </c>
      <c r="L1273" s="93" t="s">
        <v>111</v>
      </c>
      <c r="M1273" s="93">
        <v>4.2</v>
      </c>
      <c r="N1273" s="93" t="s">
        <v>113</v>
      </c>
      <c r="O1273" s="93">
        <v>18.5</v>
      </c>
      <c r="P1273" s="93">
        <v>29.5</v>
      </c>
      <c r="Q1273" s="93">
        <v>32.5</v>
      </c>
      <c r="R1273" s="93" t="s">
        <v>123</v>
      </c>
      <c r="S1273" s="93" t="s">
        <v>111</v>
      </c>
      <c r="T1273" s="93" t="s">
        <v>1659</v>
      </c>
      <c r="U1273" s="93" t="s">
        <v>116</v>
      </c>
      <c r="V1273" s="94">
        <v>44628.642361111109</v>
      </c>
      <c r="W1273" s="93" t="s">
        <v>1170</v>
      </c>
      <c r="X1273" s="93" t="s">
        <v>24</v>
      </c>
    </row>
    <row r="1274" spans="1:24" hidden="1" x14ac:dyDescent="0.15">
      <c r="A1274" s="93" t="s">
        <v>3479</v>
      </c>
      <c r="B1274" s="93" t="s">
        <v>3480</v>
      </c>
      <c r="C1274" s="410">
        <v>5670</v>
      </c>
      <c r="D1274" s="93" t="s">
        <v>9</v>
      </c>
      <c r="E1274" s="93" t="s">
        <v>9</v>
      </c>
      <c r="F1274" s="93" t="s">
        <v>1648</v>
      </c>
      <c r="G1274" s="93" t="s">
        <v>9117</v>
      </c>
      <c r="H1274" s="93" t="s">
        <v>1690</v>
      </c>
      <c r="I1274" s="93" t="s">
        <v>111</v>
      </c>
      <c r="J1274" s="93" t="s">
        <v>1675</v>
      </c>
      <c r="K1274" s="93">
        <v>60</v>
      </c>
      <c r="L1274" s="93" t="s">
        <v>111</v>
      </c>
      <c r="M1274" s="93">
        <v>9</v>
      </c>
      <c r="N1274" s="93" t="s">
        <v>113</v>
      </c>
      <c r="O1274" s="93">
        <v>21.8</v>
      </c>
      <c r="P1274" s="93">
        <v>31.8</v>
      </c>
      <c r="Q1274" s="93">
        <v>46.3</v>
      </c>
      <c r="R1274" s="93" t="s">
        <v>123</v>
      </c>
      <c r="S1274" s="93" t="s">
        <v>659</v>
      </c>
      <c r="T1274" s="93" t="s">
        <v>1659</v>
      </c>
      <c r="U1274" s="93" t="s">
        <v>116</v>
      </c>
      <c r="V1274" s="94">
        <v>44628.53402777778</v>
      </c>
      <c r="W1274" s="93" t="s">
        <v>1555</v>
      </c>
      <c r="X1274" s="93" t="s">
        <v>24</v>
      </c>
    </row>
    <row r="1275" spans="1:24" hidden="1" x14ac:dyDescent="0.15">
      <c r="A1275" s="93" t="s">
        <v>3481</v>
      </c>
      <c r="B1275" s="93" t="s">
        <v>3482</v>
      </c>
      <c r="C1275" s="410">
        <v>5670</v>
      </c>
      <c r="D1275" s="93" t="s">
        <v>9</v>
      </c>
      <c r="E1275" s="93" t="s">
        <v>9</v>
      </c>
      <c r="F1275" s="93" t="s">
        <v>1648</v>
      </c>
      <c r="G1275" s="93" t="s">
        <v>9117</v>
      </c>
      <c r="H1275" s="93" t="s">
        <v>1690</v>
      </c>
      <c r="I1275" s="93" t="s">
        <v>111</v>
      </c>
      <c r="J1275" s="93" t="s">
        <v>1675</v>
      </c>
      <c r="K1275" s="93">
        <v>60</v>
      </c>
      <c r="L1275" s="93" t="s">
        <v>111</v>
      </c>
      <c r="M1275" s="93">
        <v>9</v>
      </c>
      <c r="N1275" s="93" t="s">
        <v>113</v>
      </c>
      <c r="O1275" s="93">
        <v>21.8</v>
      </c>
      <c r="P1275" s="93">
        <v>31.8</v>
      </c>
      <c r="Q1275" s="93">
        <v>46.3</v>
      </c>
      <c r="R1275" s="93" t="s">
        <v>123</v>
      </c>
      <c r="S1275" s="93" t="s">
        <v>659</v>
      </c>
      <c r="T1275" s="93" t="s">
        <v>1659</v>
      </c>
      <c r="U1275" s="93" t="s">
        <v>116</v>
      </c>
      <c r="V1275" s="94">
        <v>44628.554861111108</v>
      </c>
      <c r="W1275" s="93" t="s">
        <v>1555</v>
      </c>
      <c r="X1275" s="93" t="s">
        <v>24</v>
      </c>
    </row>
    <row r="1276" spans="1:24" hidden="1" x14ac:dyDescent="0.15">
      <c r="A1276" s="93" t="s">
        <v>3483</v>
      </c>
      <c r="B1276" s="93" t="s">
        <v>3484</v>
      </c>
      <c r="C1276" s="410">
        <v>5670</v>
      </c>
      <c r="D1276" s="93" t="s">
        <v>9</v>
      </c>
      <c r="E1276" s="93" t="s">
        <v>9</v>
      </c>
      <c r="F1276" s="93" t="s">
        <v>1648</v>
      </c>
      <c r="G1276" s="93" t="s">
        <v>9117</v>
      </c>
      <c r="H1276" s="93" t="s">
        <v>1690</v>
      </c>
      <c r="I1276" s="93" t="s">
        <v>111</v>
      </c>
      <c r="J1276" s="93" t="s">
        <v>1675</v>
      </c>
      <c r="K1276" s="93">
        <v>60</v>
      </c>
      <c r="L1276" s="93" t="s">
        <v>111</v>
      </c>
      <c r="M1276" s="93">
        <v>9</v>
      </c>
      <c r="N1276" s="93" t="s">
        <v>113</v>
      </c>
      <c r="O1276" s="93">
        <v>21.8</v>
      </c>
      <c r="P1276" s="93">
        <v>31.8</v>
      </c>
      <c r="Q1276" s="93">
        <v>46.3</v>
      </c>
      <c r="R1276" s="93" t="s">
        <v>123</v>
      </c>
      <c r="S1276" s="93" t="s">
        <v>659</v>
      </c>
      <c r="T1276" s="93" t="s">
        <v>1659</v>
      </c>
      <c r="U1276" s="93" t="s">
        <v>116</v>
      </c>
      <c r="V1276" s="94">
        <v>44628.511805555558</v>
      </c>
      <c r="W1276" s="93" t="s">
        <v>1555</v>
      </c>
      <c r="X1276" s="93" t="s">
        <v>24</v>
      </c>
    </row>
    <row r="1277" spans="1:24" hidden="1" x14ac:dyDescent="0.15">
      <c r="A1277" s="93" t="s">
        <v>3485</v>
      </c>
      <c r="B1277" s="93" t="s">
        <v>3486</v>
      </c>
      <c r="C1277" s="410">
        <v>5670</v>
      </c>
      <c r="D1277" s="93" t="s">
        <v>9</v>
      </c>
      <c r="E1277" s="93" t="s">
        <v>9</v>
      </c>
      <c r="F1277" s="93" t="s">
        <v>1648</v>
      </c>
      <c r="G1277" s="93" t="s">
        <v>9117</v>
      </c>
      <c r="H1277" s="93" t="s">
        <v>1690</v>
      </c>
      <c r="I1277" s="93" t="s">
        <v>111</v>
      </c>
      <c r="J1277" s="93" t="s">
        <v>1675</v>
      </c>
      <c r="K1277" s="93">
        <v>60</v>
      </c>
      <c r="L1277" s="93" t="s">
        <v>111</v>
      </c>
      <c r="M1277" s="93">
        <v>9</v>
      </c>
      <c r="N1277" s="93" t="s">
        <v>113</v>
      </c>
      <c r="O1277" s="93">
        <v>21.8</v>
      </c>
      <c r="P1277" s="93">
        <v>31.8</v>
      </c>
      <c r="Q1277" s="93">
        <v>46.3</v>
      </c>
      <c r="R1277" s="93" t="s">
        <v>123</v>
      </c>
      <c r="S1277" s="93" t="s">
        <v>659</v>
      </c>
      <c r="T1277" s="93" t="s">
        <v>1659</v>
      </c>
      <c r="U1277" s="93" t="s">
        <v>116</v>
      </c>
      <c r="V1277" s="94">
        <v>44628.46875</v>
      </c>
      <c r="W1277" s="93" t="s">
        <v>1555</v>
      </c>
      <c r="X1277" s="93" t="s">
        <v>24</v>
      </c>
    </row>
    <row r="1278" spans="1:24" hidden="1" x14ac:dyDescent="0.15">
      <c r="A1278" s="93" t="s">
        <v>3487</v>
      </c>
      <c r="B1278" s="93" t="s">
        <v>3488</v>
      </c>
      <c r="C1278" s="410">
        <v>5670</v>
      </c>
      <c r="D1278" s="93" t="s">
        <v>9</v>
      </c>
      <c r="E1278" s="93" t="s">
        <v>9</v>
      </c>
      <c r="F1278" s="93" t="s">
        <v>1648</v>
      </c>
      <c r="G1278" s="93" t="s">
        <v>9117</v>
      </c>
      <c r="H1278" s="93" t="s">
        <v>1690</v>
      </c>
      <c r="I1278" s="93" t="s">
        <v>111</v>
      </c>
      <c r="J1278" s="93" t="s">
        <v>1675</v>
      </c>
      <c r="K1278" s="93">
        <v>60</v>
      </c>
      <c r="L1278" s="93" t="s">
        <v>111</v>
      </c>
      <c r="M1278" s="93">
        <v>9</v>
      </c>
      <c r="N1278" s="93" t="s">
        <v>113</v>
      </c>
      <c r="O1278" s="93">
        <v>21.8</v>
      </c>
      <c r="P1278" s="93">
        <v>31.8</v>
      </c>
      <c r="Q1278" s="93">
        <v>46.3</v>
      </c>
      <c r="R1278" s="93" t="s">
        <v>123</v>
      </c>
      <c r="S1278" s="93" t="s">
        <v>659</v>
      </c>
      <c r="T1278" s="93" t="s">
        <v>1659</v>
      </c>
      <c r="U1278" s="93" t="s">
        <v>116</v>
      </c>
      <c r="V1278" s="94">
        <v>44628.554861111108</v>
      </c>
      <c r="W1278" s="93" t="s">
        <v>1555</v>
      </c>
      <c r="X1278" s="93" t="s">
        <v>24</v>
      </c>
    </row>
    <row r="1279" spans="1:24" hidden="1" x14ac:dyDescent="0.15">
      <c r="A1279" s="93" t="s">
        <v>3489</v>
      </c>
      <c r="B1279" s="93" t="s">
        <v>3490</v>
      </c>
      <c r="C1279" s="410">
        <v>5670</v>
      </c>
      <c r="D1279" s="93" t="s">
        <v>9</v>
      </c>
      <c r="E1279" s="93" t="s">
        <v>9</v>
      </c>
      <c r="F1279" s="93" t="s">
        <v>1648</v>
      </c>
      <c r="G1279" s="93" t="s">
        <v>9117</v>
      </c>
      <c r="H1279" s="93" t="s">
        <v>1690</v>
      </c>
      <c r="I1279" s="93" t="s">
        <v>111</v>
      </c>
      <c r="J1279" s="93" t="s">
        <v>1675</v>
      </c>
      <c r="K1279" s="93">
        <v>60</v>
      </c>
      <c r="L1279" s="93" t="s">
        <v>111</v>
      </c>
      <c r="M1279" s="93">
        <v>9</v>
      </c>
      <c r="N1279" s="93" t="s">
        <v>113</v>
      </c>
      <c r="O1279" s="93">
        <v>21.8</v>
      </c>
      <c r="P1279" s="93">
        <v>31.8</v>
      </c>
      <c r="Q1279" s="93">
        <v>46.3</v>
      </c>
      <c r="R1279" s="93" t="s">
        <v>123</v>
      </c>
      <c r="S1279" s="93" t="s">
        <v>659</v>
      </c>
      <c r="T1279" s="93" t="s">
        <v>1659</v>
      </c>
      <c r="U1279" s="93" t="s">
        <v>116</v>
      </c>
      <c r="V1279" s="94">
        <v>44628.533333333333</v>
      </c>
      <c r="W1279" s="93" t="s">
        <v>1555</v>
      </c>
      <c r="X1279" s="93" t="s">
        <v>24</v>
      </c>
    </row>
    <row r="1280" spans="1:24" hidden="1" x14ac:dyDescent="0.15">
      <c r="A1280" s="93" t="s">
        <v>3491</v>
      </c>
      <c r="B1280" s="93" t="s">
        <v>3492</v>
      </c>
      <c r="C1280" s="410">
        <v>3675</v>
      </c>
      <c r="D1280" s="93" t="s">
        <v>9</v>
      </c>
      <c r="E1280" s="93" t="s">
        <v>9</v>
      </c>
      <c r="F1280" s="93" t="s">
        <v>1648</v>
      </c>
      <c r="G1280" s="93" t="s">
        <v>9183</v>
      </c>
      <c r="H1280" s="93" t="s">
        <v>1943</v>
      </c>
      <c r="I1280" s="93" t="s">
        <v>111</v>
      </c>
      <c r="J1280" s="93" t="s">
        <v>2013</v>
      </c>
      <c r="K1280" s="93">
        <v>50</v>
      </c>
      <c r="L1280" s="93" t="s">
        <v>111</v>
      </c>
      <c r="M1280" s="93">
        <v>4</v>
      </c>
      <c r="N1280" s="93" t="s">
        <v>111</v>
      </c>
      <c r="O1280" s="93">
        <v>21.7</v>
      </c>
      <c r="P1280" s="93">
        <v>21</v>
      </c>
      <c r="Q1280" s="93">
        <v>8.5</v>
      </c>
      <c r="R1280" s="93" t="s">
        <v>123</v>
      </c>
      <c r="S1280" s="93" t="s">
        <v>659</v>
      </c>
      <c r="T1280" s="93" t="s">
        <v>1659</v>
      </c>
      <c r="U1280" s="93" t="s">
        <v>116</v>
      </c>
      <c r="V1280" s="94">
        <v>44628.574305555558</v>
      </c>
      <c r="W1280" s="93" t="s">
        <v>1170</v>
      </c>
      <c r="X1280" s="93" t="s">
        <v>24</v>
      </c>
    </row>
    <row r="1281" spans="1:24" hidden="1" x14ac:dyDescent="0.15">
      <c r="A1281" s="93" t="s">
        <v>3493</v>
      </c>
      <c r="B1281" s="93" t="s">
        <v>3494</v>
      </c>
      <c r="C1281" s="410">
        <v>3675</v>
      </c>
      <c r="D1281" s="93" t="s">
        <v>9</v>
      </c>
      <c r="E1281" s="93" t="s">
        <v>9</v>
      </c>
      <c r="F1281" s="93" t="s">
        <v>1648</v>
      </c>
      <c r="G1281" s="93" t="s">
        <v>9183</v>
      </c>
      <c r="H1281" s="93" t="s">
        <v>1943</v>
      </c>
      <c r="I1281" s="93" t="s">
        <v>111</v>
      </c>
      <c r="J1281" s="93" t="s">
        <v>2013</v>
      </c>
      <c r="K1281" s="93">
        <v>50</v>
      </c>
      <c r="L1281" s="93" t="s">
        <v>111</v>
      </c>
      <c r="M1281" s="93">
        <v>4</v>
      </c>
      <c r="N1281" s="93" t="s">
        <v>111</v>
      </c>
      <c r="O1281" s="93">
        <v>21.7</v>
      </c>
      <c r="P1281" s="93">
        <v>21</v>
      </c>
      <c r="Q1281" s="93">
        <v>8.5</v>
      </c>
      <c r="R1281" s="93" t="s">
        <v>123</v>
      </c>
      <c r="S1281" s="93" t="s">
        <v>659</v>
      </c>
      <c r="T1281" s="93" t="s">
        <v>1659</v>
      </c>
      <c r="U1281" s="93" t="s">
        <v>116</v>
      </c>
      <c r="V1281" s="94">
        <v>44628.46597222222</v>
      </c>
      <c r="W1281" s="93" t="s">
        <v>1170</v>
      </c>
      <c r="X1281" s="93" t="s">
        <v>24</v>
      </c>
    </row>
    <row r="1282" spans="1:24" hidden="1" x14ac:dyDescent="0.15">
      <c r="A1282" s="93" t="s">
        <v>3495</v>
      </c>
      <c r="B1282" s="93" t="s">
        <v>3496</v>
      </c>
      <c r="C1282" s="410">
        <v>3675</v>
      </c>
      <c r="D1282" s="93" t="s">
        <v>9</v>
      </c>
      <c r="E1282" s="93" t="s">
        <v>9</v>
      </c>
      <c r="F1282" s="93" t="s">
        <v>1648</v>
      </c>
      <c r="G1282" s="93" t="s">
        <v>9183</v>
      </c>
      <c r="H1282" s="93" t="s">
        <v>1943</v>
      </c>
      <c r="I1282" s="93" t="s">
        <v>111</v>
      </c>
      <c r="J1282" s="93" t="s">
        <v>2013</v>
      </c>
      <c r="K1282" s="93">
        <v>50</v>
      </c>
      <c r="L1282" s="93" t="s">
        <v>111</v>
      </c>
      <c r="M1282" s="93">
        <v>4</v>
      </c>
      <c r="N1282" s="93" t="s">
        <v>111</v>
      </c>
      <c r="O1282" s="93">
        <v>21.7</v>
      </c>
      <c r="P1282" s="93">
        <v>21</v>
      </c>
      <c r="Q1282" s="93">
        <v>8.5</v>
      </c>
      <c r="R1282" s="93" t="s">
        <v>123</v>
      </c>
      <c r="S1282" s="93" t="s">
        <v>659</v>
      </c>
      <c r="T1282" s="93" t="s">
        <v>1659</v>
      </c>
      <c r="U1282" s="93" t="s">
        <v>116</v>
      </c>
      <c r="V1282" s="94">
        <v>44628.595833333333</v>
      </c>
      <c r="W1282" s="93" t="s">
        <v>1170</v>
      </c>
      <c r="X1282" s="93" t="s">
        <v>24</v>
      </c>
    </row>
    <row r="1283" spans="1:24" hidden="1" x14ac:dyDescent="0.15">
      <c r="A1283" s="93" t="s">
        <v>3497</v>
      </c>
      <c r="B1283" s="93" t="s">
        <v>3498</v>
      </c>
      <c r="C1283" s="410">
        <v>3675</v>
      </c>
      <c r="D1283" s="93" t="s">
        <v>9</v>
      </c>
      <c r="E1283" s="93" t="s">
        <v>9</v>
      </c>
      <c r="F1283" s="93" t="s">
        <v>1648</v>
      </c>
      <c r="G1283" s="93" t="s">
        <v>9183</v>
      </c>
      <c r="H1283" s="93" t="s">
        <v>1943</v>
      </c>
      <c r="I1283" s="93" t="s">
        <v>111</v>
      </c>
      <c r="J1283" s="93" t="s">
        <v>2013</v>
      </c>
      <c r="K1283" s="93">
        <v>50</v>
      </c>
      <c r="L1283" s="93" t="s">
        <v>111</v>
      </c>
      <c r="M1283" s="93">
        <v>4</v>
      </c>
      <c r="N1283" s="93" t="s">
        <v>111</v>
      </c>
      <c r="O1283" s="93">
        <v>21.7</v>
      </c>
      <c r="P1283" s="93">
        <v>21</v>
      </c>
      <c r="Q1283" s="93">
        <v>8.5</v>
      </c>
      <c r="R1283" s="93" t="s">
        <v>123</v>
      </c>
      <c r="S1283" s="93" t="s">
        <v>659</v>
      </c>
      <c r="T1283" s="93" t="s">
        <v>1659</v>
      </c>
      <c r="U1283" s="93" t="s">
        <v>116</v>
      </c>
      <c r="V1283" s="94">
        <v>44628.509027777778</v>
      </c>
      <c r="W1283" s="93" t="s">
        <v>1170</v>
      </c>
      <c r="X1283" s="93" t="s">
        <v>24</v>
      </c>
    </row>
    <row r="1284" spans="1:24" hidden="1" x14ac:dyDescent="0.15">
      <c r="A1284" s="93" t="s">
        <v>3499</v>
      </c>
      <c r="B1284" s="93" t="s">
        <v>3500</v>
      </c>
      <c r="C1284" s="410">
        <v>4878.3</v>
      </c>
      <c r="D1284" s="93" t="s">
        <v>9</v>
      </c>
      <c r="E1284" s="93" t="s">
        <v>9</v>
      </c>
      <c r="F1284" s="93" t="s">
        <v>1648</v>
      </c>
      <c r="G1284" s="93" t="s">
        <v>9183</v>
      </c>
      <c r="H1284" s="93" t="s">
        <v>1690</v>
      </c>
      <c r="I1284" s="93" t="s">
        <v>111</v>
      </c>
      <c r="J1284" s="93" t="s">
        <v>963</v>
      </c>
      <c r="K1284" s="93">
        <v>60</v>
      </c>
      <c r="L1284" s="93" t="s">
        <v>111</v>
      </c>
      <c r="M1284" s="93">
        <v>6</v>
      </c>
      <c r="N1284" s="93" t="s">
        <v>111</v>
      </c>
      <c r="O1284" s="93">
        <v>32.200000000000003</v>
      </c>
      <c r="P1284" s="93">
        <v>27</v>
      </c>
      <c r="Q1284" s="93">
        <v>8.6</v>
      </c>
      <c r="R1284" s="93" t="s">
        <v>123</v>
      </c>
      <c r="S1284" s="93" t="s">
        <v>659</v>
      </c>
      <c r="T1284" s="93" t="s">
        <v>1659</v>
      </c>
      <c r="U1284" s="93" t="s">
        <v>116</v>
      </c>
      <c r="V1284" s="94">
        <v>44628.508333333331</v>
      </c>
      <c r="W1284" s="93" t="s">
        <v>1170</v>
      </c>
      <c r="X1284" s="93" t="s">
        <v>9</v>
      </c>
    </row>
    <row r="1285" spans="1:24" hidden="1" x14ac:dyDescent="0.15">
      <c r="A1285" s="93" t="s">
        <v>3501</v>
      </c>
      <c r="B1285" s="93" t="s">
        <v>3502</v>
      </c>
      <c r="C1285" s="410">
        <v>4878.3</v>
      </c>
      <c r="D1285" s="93" t="s">
        <v>9</v>
      </c>
      <c r="E1285" s="93" t="s">
        <v>9</v>
      </c>
      <c r="F1285" s="93" t="s">
        <v>1648</v>
      </c>
      <c r="G1285" s="93" t="s">
        <v>9183</v>
      </c>
      <c r="H1285" s="93" t="s">
        <v>1690</v>
      </c>
      <c r="I1285" s="93" t="s">
        <v>111</v>
      </c>
      <c r="J1285" s="93" t="s">
        <v>963</v>
      </c>
      <c r="K1285" s="93">
        <v>60</v>
      </c>
      <c r="L1285" s="93" t="s">
        <v>111</v>
      </c>
      <c r="M1285" s="93">
        <v>6</v>
      </c>
      <c r="N1285" s="93" t="s">
        <v>111</v>
      </c>
      <c r="O1285" s="93">
        <v>32.200000000000003</v>
      </c>
      <c r="P1285" s="93">
        <v>27</v>
      </c>
      <c r="Q1285" s="93">
        <v>8.6</v>
      </c>
      <c r="R1285" s="93" t="s">
        <v>123</v>
      </c>
      <c r="S1285" s="93" t="s">
        <v>659</v>
      </c>
      <c r="T1285" s="93" t="s">
        <v>1659</v>
      </c>
      <c r="U1285" s="93" t="s">
        <v>116</v>
      </c>
      <c r="V1285" s="94">
        <v>44628.552083333336</v>
      </c>
      <c r="W1285" s="93" t="s">
        <v>1170</v>
      </c>
      <c r="X1285" s="93" t="s">
        <v>9</v>
      </c>
    </row>
    <row r="1286" spans="1:24" hidden="1" x14ac:dyDescent="0.15">
      <c r="A1286" s="93" t="s">
        <v>3503</v>
      </c>
      <c r="B1286" s="93" t="s">
        <v>3504</v>
      </c>
      <c r="C1286" s="410">
        <v>4878.3</v>
      </c>
      <c r="D1286" s="93" t="s">
        <v>9</v>
      </c>
      <c r="E1286" s="93" t="s">
        <v>9</v>
      </c>
      <c r="F1286" s="93" t="s">
        <v>1648</v>
      </c>
      <c r="G1286" s="93" t="s">
        <v>9183</v>
      </c>
      <c r="H1286" s="93" t="s">
        <v>1690</v>
      </c>
      <c r="I1286" s="93" t="s">
        <v>111</v>
      </c>
      <c r="J1286" s="93" t="s">
        <v>963</v>
      </c>
      <c r="K1286" s="93">
        <v>60</v>
      </c>
      <c r="L1286" s="93" t="s">
        <v>111</v>
      </c>
      <c r="M1286" s="93" t="s">
        <v>111</v>
      </c>
      <c r="N1286" s="93" t="s">
        <v>111</v>
      </c>
      <c r="O1286" s="93" t="s">
        <v>111</v>
      </c>
      <c r="P1286" s="93" t="s">
        <v>111</v>
      </c>
      <c r="Q1286" s="93" t="s">
        <v>111</v>
      </c>
      <c r="R1286" s="93" t="s">
        <v>123</v>
      </c>
      <c r="S1286" s="93" t="s">
        <v>659</v>
      </c>
      <c r="T1286" s="93" t="s">
        <v>1659</v>
      </c>
      <c r="U1286" s="93" t="s">
        <v>116</v>
      </c>
      <c r="V1286" s="94">
        <v>44628.465277777781</v>
      </c>
      <c r="W1286" s="93" t="s">
        <v>1170</v>
      </c>
      <c r="X1286" s="93" t="s">
        <v>9</v>
      </c>
    </row>
    <row r="1287" spans="1:24" hidden="1" x14ac:dyDescent="0.15">
      <c r="A1287" s="93" t="s">
        <v>3505</v>
      </c>
      <c r="B1287" s="93" t="s">
        <v>3506</v>
      </c>
      <c r="C1287" s="410">
        <v>4878.3</v>
      </c>
      <c r="D1287" s="93" t="s">
        <v>9</v>
      </c>
      <c r="E1287" s="93" t="s">
        <v>9</v>
      </c>
      <c r="F1287" s="93" t="s">
        <v>1648</v>
      </c>
      <c r="G1287" s="93" t="s">
        <v>9183</v>
      </c>
      <c r="H1287" s="93" t="s">
        <v>1690</v>
      </c>
      <c r="I1287" s="93" t="s">
        <v>111</v>
      </c>
      <c r="J1287" s="93" t="s">
        <v>963</v>
      </c>
      <c r="K1287" s="93">
        <v>60</v>
      </c>
      <c r="L1287" s="93" t="s">
        <v>111</v>
      </c>
      <c r="M1287" s="93">
        <v>6</v>
      </c>
      <c r="N1287" s="93" t="s">
        <v>111</v>
      </c>
      <c r="O1287" s="93">
        <v>32.200000000000003</v>
      </c>
      <c r="P1287" s="93">
        <v>27</v>
      </c>
      <c r="Q1287" s="93">
        <v>8.6</v>
      </c>
      <c r="R1287" s="93" t="s">
        <v>123</v>
      </c>
      <c r="S1287" s="93" t="s">
        <v>659</v>
      </c>
      <c r="T1287" s="93" t="s">
        <v>1659</v>
      </c>
      <c r="U1287" s="93" t="s">
        <v>116</v>
      </c>
      <c r="V1287" s="94">
        <v>44628.508333333331</v>
      </c>
      <c r="W1287" s="93" t="s">
        <v>1170</v>
      </c>
      <c r="X1287" s="93" t="s">
        <v>24</v>
      </c>
    </row>
    <row r="1288" spans="1:24" hidden="1" x14ac:dyDescent="0.15">
      <c r="A1288" s="93" t="s">
        <v>3507</v>
      </c>
      <c r="B1288" s="93" t="s">
        <v>3508</v>
      </c>
      <c r="C1288" s="410">
        <v>4878.3</v>
      </c>
      <c r="D1288" s="93" t="s">
        <v>9</v>
      </c>
      <c r="E1288" s="93" t="s">
        <v>9</v>
      </c>
      <c r="F1288" s="93" t="s">
        <v>1648</v>
      </c>
      <c r="G1288" s="93" t="s">
        <v>9183</v>
      </c>
      <c r="H1288" s="93" t="s">
        <v>1690</v>
      </c>
      <c r="I1288" s="93" t="s">
        <v>111</v>
      </c>
      <c r="J1288" s="93" t="s">
        <v>963</v>
      </c>
      <c r="K1288" s="93">
        <v>60</v>
      </c>
      <c r="L1288" s="93" t="s">
        <v>111</v>
      </c>
      <c r="M1288" s="93">
        <v>6</v>
      </c>
      <c r="N1288" s="93" t="s">
        <v>111</v>
      </c>
      <c r="O1288" s="93">
        <v>32.200000000000003</v>
      </c>
      <c r="P1288" s="93">
        <v>27</v>
      </c>
      <c r="Q1288" s="93">
        <v>8.6</v>
      </c>
      <c r="R1288" s="93" t="s">
        <v>123</v>
      </c>
      <c r="S1288" s="93" t="s">
        <v>659</v>
      </c>
      <c r="T1288" s="93" t="s">
        <v>1659</v>
      </c>
      <c r="U1288" s="93" t="s">
        <v>116</v>
      </c>
      <c r="V1288" s="94">
        <v>44628.572916666664</v>
      </c>
      <c r="W1288" s="93" t="s">
        <v>1170</v>
      </c>
      <c r="X1288" s="93" t="s">
        <v>9</v>
      </c>
    </row>
    <row r="1289" spans="1:24" hidden="1" x14ac:dyDescent="0.15">
      <c r="A1289" s="93" t="s">
        <v>3509</v>
      </c>
      <c r="B1289" s="93" t="s">
        <v>3510</v>
      </c>
      <c r="C1289" s="410">
        <v>4878.3</v>
      </c>
      <c r="D1289" s="93" t="s">
        <v>9</v>
      </c>
      <c r="E1289" s="93" t="s">
        <v>9</v>
      </c>
      <c r="F1289" s="93" t="s">
        <v>1648</v>
      </c>
      <c r="G1289" s="93" t="s">
        <v>9183</v>
      </c>
      <c r="H1289" s="93" t="s">
        <v>1690</v>
      </c>
      <c r="I1289" s="93" t="s">
        <v>111</v>
      </c>
      <c r="J1289" s="93" t="s">
        <v>963</v>
      </c>
      <c r="K1289" s="93">
        <v>60</v>
      </c>
      <c r="L1289" s="93" t="s">
        <v>111</v>
      </c>
      <c r="M1289" s="93">
        <v>6</v>
      </c>
      <c r="N1289" s="93" t="s">
        <v>111</v>
      </c>
      <c r="O1289" s="93">
        <v>32.200000000000003</v>
      </c>
      <c r="P1289" s="93">
        <v>27</v>
      </c>
      <c r="Q1289" s="93">
        <v>8.6</v>
      </c>
      <c r="R1289" s="93" t="s">
        <v>123</v>
      </c>
      <c r="S1289" s="93" t="s">
        <v>659</v>
      </c>
      <c r="T1289" s="93" t="s">
        <v>1659</v>
      </c>
      <c r="U1289" s="93" t="s">
        <v>116</v>
      </c>
      <c r="V1289" s="94">
        <v>44628.552083333336</v>
      </c>
      <c r="W1289" s="93" t="s">
        <v>1170</v>
      </c>
      <c r="X1289" s="93" t="s">
        <v>9</v>
      </c>
    </row>
    <row r="1290" spans="1:24" hidden="1" x14ac:dyDescent="0.15">
      <c r="A1290" s="93" t="s">
        <v>9219</v>
      </c>
      <c r="B1290" s="93" t="s">
        <v>9220</v>
      </c>
      <c r="C1290" s="410">
        <v>4878.3</v>
      </c>
      <c r="D1290" s="93" t="s">
        <v>24</v>
      </c>
      <c r="E1290" s="93" t="s">
        <v>9</v>
      </c>
      <c r="F1290" s="93" t="s">
        <v>1648</v>
      </c>
      <c r="G1290" s="93" t="s">
        <v>9117</v>
      </c>
      <c r="H1290" s="93" t="s">
        <v>1943</v>
      </c>
      <c r="I1290" s="93" t="s">
        <v>9216</v>
      </c>
      <c r="J1290" s="93" t="s">
        <v>963</v>
      </c>
      <c r="K1290" s="93">
        <v>60</v>
      </c>
      <c r="L1290" s="93" t="s">
        <v>111</v>
      </c>
      <c r="M1290" s="93" t="s">
        <v>111</v>
      </c>
      <c r="N1290" s="93" t="s">
        <v>111</v>
      </c>
      <c r="O1290" s="93" t="s">
        <v>111</v>
      </c>
      <c r="P1290" s="93" t="s">
        <v>111</v>
      </c>
      <c r="Q1290" s="93" t="s">
        <v>111</v>
      </c>
      <c r="R1290" s="93" t="s">
        <v>123</v>
      </c>
      <c r="S1290" s="93" t="s">
        <v>659</v>
      </c>
      <c r="T1290" s="93" t="s">
        <v>1659</v>
      </c>
      <c r="U1290" s="93" t="s">
        <v>116</v>
      </c>
      <c r="V1290" s="94">
        <v>44628.550694444442</v>
      </c>
      <c r="W1290" s="93" t="s">
        <v>1170</v>
      </c>
      <c r="X1290" s="93" t="s">
        <v>9</v>
      </c>
    </row>
    <row r="1291" spans="1:24" hidden="1" x14ac:dyDescent="0.15">
      <c r="A1291" s="93" t="s">
        <v>9221</v>
      </c>
      <c r="B1291" s="93" t="s">
        <v>9222</v>
      </c>
      <c r="C1291" s="410">
        <v>4878.3</v>
      </c>
      <c r="D1291" s="93" t="s">
        <v>24</v>
      </c>
      <c r="E1291" s="93" t="s">
        <v>9</v>
      </c>
      <c r="F1291" s="93" t="s">
        <v>1648</v>
      </c>
      <c r="G1291" s="93" t="s">
        <v>9117</v>
      </c>
      <c r="H1291" s="93" t="s">
        <v>1943</v>
      </c>
      <c r="I1291" s="93" t="s">
        <v>9216</v>
      </c>
      <c r="J1291" s="93" t="s">
        <v>963</v>
      </c>
      <c r="K1291" s="93">
        <v>60</v>
      </c>
      <c r="L1291" s="93" t="s">
        <v>111</v>
      </c>
      <c r="M1291" s="93" t="s">
        <v>111</v>
      </c>
      <c r="N1291" s="93" t="s">
        <v>111</v>
      </c>
      <c r="O1291" s="93" t="s">
        <v>111</v>
      </c>
      <c r="P1291" s="93" t="s">
        <v>111</v>
      </c>
      <c r="Q1291" s="93" t="s">
        <v>111</v>
      </c>
      <c r="R1291" s="93" t="s">
        <v>123</v>
      </c>
      <c r="S1291" s="93" t="s">
        <v>659</v>
      </c>
      <c r="T1291" s="93" t="s">
        <v>111</v>
      </c>
      <c r="U1291" s="93" t="s">
        <v>116</v>
      </c>
      <c r="V1291" s="94">
        <v>44628.486111111109</v>
      </c>
      <c r="W1291" s="93" t="s">
        <v>1170</v>
      </c>
      <c r="X1291" s="93" t="s">
        <v>9</v>
      </c>
    </row>
    <row r="1292" spans="1:24" hidden="1" x14ac:dyDescent="0.15">
      <c r="A1292" s="93" t="s">
        <v>9223</v>
      </c>
      <c r="B1292" s="93" t="s">
        <v>9224</v>
      </c>
      <c r="C1292" s="410">
        <v>4878.3</v>
      </c>
      <c r="D1292" s="93" t="s">
        <v>24</v>
      </c>
      <c r="E1292" s="93" t="s">
        <v>9</v>
      </c>
      <c r="F1292" s="93" t="s">
        <v>1648</v>
      </c>
      <c r="G1292" s="93" t="s">
        <v>9117</v>
      </c>
      <c r="H1292" s="93" t="s">
        <v>1943</v>
      </c>
      <c r="I1292" s="93" t="s">
        <v>9216</v>
      </c>
      <c r="J1292" s="93" t="s">
        <v>2013</v>
      </c>
      <c r="K1292" s="93">
        <v>50</v>
      </c>
      <c r="L1292" s="93" t="s">
        <v>111</v>
      </c>
      <c r="M1292" s="93" t="s">
        <v>111</v>
      </c>
      <c r="N1292" s="93" t="s">
        <v>111</v>
      </c>
      <c r="O1292" s="93" t="s">
        <v>111</v>
      </c>
      <c r="P1292" s="93" t="s">
        <v>111</v>
      </c>
      <c r="Q1292" s="93" t="s">
        <v>111</v>
      </c>
      <c r="R1292" s="93" t="s">
        <v>123</v>
      </c>
      <c r="S1292" s="93" t="s">
        <v>659</v>
      </c>
      <c r="T1292" s="93" t="s">
        <v>1659</v>
      </c>
      <c r="U1292" s="93" t="s">
        <v>116</v>
      </c>
      <c r="V1292" s="94">
        <v>44628.550694444442</v>
      </c>
      <c r="W1292" s="93" t="s">
        <v>1170</v>
      </c>
      <c r="X1292" s="93" t="s">
        <v>9</v>
      </c>
    </row>
    <row r="1293" spans="1:24" hidden="1" x14ac:dyDescent="0.15">
      <c r="A1293" s="93" t="s">
        <v>9225</v>
      </c>
      <c r="B1293" s="93" t="s">
        <v>9226</v>
      </c>
      <c r="C1293" s="410">
        <v>4878.3</v>
      </c>
      <c r="D1293" s="93" t="s">
        <v>24</v>
      </c>
      <c r="E1293" s="93" t="s">
        <v>9</v>
      </c>
      <c r="F1293" s="93" t="s">
        <v>1648</v>
      </c>
      <c r="G1293" s="93" t="s">
        <v>9117</v>
      </c>
      <c r="H1293" s="93" t="s">
        <v>1943</v>
      </c>
      <c r="I1293" s="93" t="s">
        <v>9216</v>
      </c>
      <c r="J1293" s="93" t="s">
        <v>2013</v>
      </c>
      <c r="K1293" s="93">
        <v>50</v>
      </c>
      <c r="L1293" s="93" t="s">
        <v>111</v>
      </c>
      <c r="M1293" s="93" t="s">
        <v>111</v>
      </c>
      <c r="N1293" s="93" t="s">
        <v>111</v>
      </c>
      <c r="O1293" s="93" t="s">
        <v>111</v>
      </c>
      <c r="P1293" s="93" t="s">
        <v>111</v>
      </c>
      <c r="Q1293" s="93" t="s">
        <v>111</v>
      </c>
      <c r="R1293" s="93" t="s">
        <v>123</v>
      </c>
      <c r="S1293" s="93" t="s">
        <v>659</v>
      </c>
      <c r="T1293" s="93" t="s">
        <v>1659</v>
      </c>
      <c r="U1293" s="93" t="s">
        <v>116</v>
      </c>
      <c r="V1293" s="94">
        <v>44628.571527777778</v>
      </c>
      <c r="W1293" s="93" t="s">
        <v>1170</v>
      </c>
      <c r="X1293" s="93" t="s">
        <v>9</v>
      </c>
    </row>
    <row r="1294" spans="1:24" hidden="1" x14ac:dyDescent="0.15">
      <c r="A1294" s="93" t="s">
        <v>9227</v>
      </c>
      <c r="B1294" s="93" t="s">
        <v>9228</v>
      </c>
      <c r="C1294" s="410">
        <v>4878.3</v>
      </c>
      <c r="D1294" s="93" t="s">
        <v>24</v>
      </c>
      <c r="E1294" s="93" t="s">
        <v>9</v>
      </c>
      <c r="F1294" s="93" t="s">
        <v>1648</v>
      </c>
      <c r="G1294" s="93" t="s">
        <v>9117</v>
      </c>
      <c r="H1294" s="93" t="s">
        <v>1943</v>
      </c>
      <c r="I1294" s="93" t="s">
        <v>9216</v>
      </c>
      <c r="J1294" s="93" t="s">
        <v>2013</v>
      </c>
      <c r="K1294" s="93">
        <v>50</v>
      </c>
      <c r="L1294" s="93" t="s">
        <v>111</v>
      </c>
      <c r="M1294" s="93" t="s">
        <v>111</v>
      </c>
      <c r="N1294" s="93" t="s">
        <v>111</v>
      </c>
      <c r="O1294" s="93" t="s">
        <v>111</v>
      </c>
      <c r="P1294" s="93" t="s">
        <v>111</v>
      </c>
      <c r="Q1294" s="93" t="s">
        <v>111</v>
      </c>
      <c r="R1294" s="93" t="s">
        <v>123</v>
      </c>
      <c r="S1294" s="93" t="s">
        <v>2</v>
      </c>
      <c r="T1294" s="93" t="s">
        <v>1659</v>
      </c>
      <c r="U1294" s="93" t="s">
        <v>116</v>
      </c>
      <c r="V1294" s="94">
        <v>44628.550694444442</v>
      </c>
      <c r="W1294" s="93" t="s">
        <v>1170</v>
      </c>
      <c r="X1294" s="93" t="s">
        <v>9</v>
      </c>
    </row>
    <row r="1295" spans="1:24" hidden="1" x14ac:dyDescent="0.15">
      <c r="A1295" s="93" t="s">
        <v>9229</v>
      </c>
      <c r="B1295" s="93" t="s">
        <v>9230</v>
      </c>
      <c r="C1295" s="410">
        <v>4878.3</v>
      </c>
      <c r="D1295" s="93" t="s">
        <v>24</v>
      </c>
      <c r="E1295" s="93" t="s">
        <v>9</v>
      </c>
      <c r="F1295" s="93" t="s">
        <v>1648</v>
      </c>
      <c r="G1295" s="93" t="s">
        <v>9117</v>
      </c>
      <c r="H1295" s="93" t="s">
        <v>11</v>
      </c>
      <c r="I1295" s="93" t="s">
        <v>9216</v>
      </c>
      <c r="J1295" s="93" t="s">
        <v>2013</v>
      </c>
      <c r="K1295" s="93">
        <v>50</v>
      </c>
      <c r="L1295" s="93" t="s">
        <v>111</v>
      </c>
      <c r="M1295" s="93" t="s">
        <v>111</v>
      </c>
      <c r="N1295" s="93" t="s">
        <v>111</v>
      </c>
      <c r="O1295" s="93" t="s">
        <v>111</v>
      </c>
      <c r="P1295" s="93" t="s">
        <v>111</v>
      </c>
      <c r="Q1295" s="93" t="s">
        <v>111</v>
      </c>
      <c r="R1295" s="93" t="s">
        <v>123</v>
      </c>
      <c r="S1295" s="93" t="s">
        <v>2</v>
      </c>
      <c r="T1295" s="93" t="s">
        <v>1659</v>
      </c>
      <c r="U1295" s="93" t="s">
        <v>116</v>
      </c>
      <c r="V1295" s="94">
        <v>44628.593055555553</v>
      </c>
      <c r="W1295" s="93" t="s">
        <v>1170</v>
      </c>
      <c r="X1295" s="93" t="s">
        <v>9</v>
      </c>
    </row>
    <row r="1296" spans="1:24" hidden="1" x14ac:dyDescent="0.15">
      <c r="A1296" s="93" t="s">
        <v>3511</v>
      </c>
      <c r="B1296" s="93" t="s">
        <v>3512</v>
      </c>
      <c r="C1296" s="410">
        <v>3675</v>
      </c>
      <c r="D1296" s="93" t="s">
        <v>9</v>
      </c>
      <c r="E1296" s="93" t="s">
        <v>9</v>
      </c>
      <c r="F1296" s="93" t="s">
        <v>1648</v>
      </c>
      <c r="G1296" s="93" t="s">
        <v>9117</v>
      </c>
      <c r="H1296" s="93" t="s">
        <v>1690</v>
      </c>
      <c r="I1296" s="93" t="s">
        <v>111</v>
      </c>
      <c r="J1296" s="93" t="s">
        <v>2013</v>
      </c>
      <c r="K1296" s="93">
        <v>50</v>
      </c>
      <c r="L1296" s="93" t="s">
        <v>111</v>
      </c>
      <c r="M1296" s="93">
        <v>5.3</v>
      </c>
      <c r="N1296" s="93" t="s">
        <v>113</v>
      </c>
      <c r="O1296" s="93">
        <v>18.5</v>
      </c>
      <c r="P1296" s="93">
        <v>29.5</v>
      </c>
      <c r="Q1296" s="93">
        <v>37.5</v>
      </c>
      <c r="R1296" s="93" t="s">
        <v>123</v>
      </c>
      <c r="S1296" s="93" t="s">
        <v>659</v>
      </c>
      <c r="T1296" s="93" t="s">
        <v>1659</v>
      </c>
      <c r="U1296" s="93" t="s">
        <v>116</v>
      </c>
      <c r="V1296" s="94">
        <v>44628.540972222225</v>
      </c>
      <c r="W1296" s="93" t="s">
        <v>1170</v>
      </c>
      <c r="X1296" s="93" t="s">
        <v>24</v>
      </c>
    </row>
    <row r="1297" spans="1:24" hidden="1" x14ac:dyDescent="0.15">
      <c r="A1297" s="93" t="s">
        <v>3513</v>
      </c>
      <c r="B1297" s="93" t="s">
        <v>3514</v>
      </c>
      <c r="C1297" s="410">
        <v>3675</v>
      </c>
      <c r="D1297" s="93" t="s">
        <v>9</v>
      </c>
      <c r="E1297" s="93" t="s">
        <v>9</v>
      </c>
      <c r="F1297" s="93" t="s">
        <v>1648</v>
      </c>
      <c r="G1297" s="93" t="s">
        <v>9117</v>
      </c>
      <c r="H1297" s="93" t="s">
        <v>1690</v>
      </c>
      <c r="I1297" s="93" t="s">
        <v>111</v>
      </c>
      <c r="J1297" s="93" t="s">
        <v>2013</v>
      </c>
      <c r="K1297" s="93">
        <v>50</v>
      </c>
      <c r="L1297" s="93" t="s">
        <v>111</v>
      </c>
      <c r="M1297" s="93">
        <v>5.3</v>
      </c>
      <c r="N1297" s="93" t="s">
        <v>113</v>
      </c>
      <c r="O1297" s="93">
        <v>18.5</v>
      </c>
      <c r="P1297" s="93">
        <v>29.5</v>
      </c>
      <c r="Q1297" s="93">
        <v>37.5</v>
      </c>
      <c r="R1297" s="93" t="s">
        <v>123</v>
      </c>
      <c r="S1297" s="93" t="s">
        <v>659</v>
      </c>
      <c r="T1297" s="93" t="s">
        <v>1659</v>
      </c>
      <c r="U1297" s="93" t="s">
        <v>116</v>
      </c>
      <c r="V1297" s="94">
        <v>44628.496527777781</v>
      </c>
      <c r="W1297" s="93" t="s">
        <v>1170</v>
      </c>
      <c r="X1297" s="93" t="s">
        <v>24</v>
      </c>
    </row>
    <row r="1298" spans="1:24" hidden="1" x14ac:dyDescent="0.15">
      <c r="A1298" s="93" t="s">
        <v>3515</v>
      </c>
      <c r="B1298" s="93" t="s">
        <v>3516</v>
      </c>
      <c r="C1298" s="410">
        <v>3675</v>
      </c>
      <c r="D1298" s="93" t="s">
        <v>9</v>
      </c>
      <c r="E1298" s="93" t="s">
        <v>9</v>
      </c>
      <c r="F1298" s="93" t="s">
        <v>1648</v>
      </c>
      <c r="G1298" s="93" t="s">
        <v>9117</v>
      </c>
      <c r="H1298" s="93" t="s">
        <v>1690</v>
      </c>
      <c r="I1298" s="93" t="s">
        <v>111</v>
      </c>
      <c r="J1298" s="93" t="s">
        <v>2013</v>
      </c>
      <c r="K1298" s="93">
        <v>50</v>
      </c>
      <c r="L1298" s="93" t="s">
        <v>111</v>
      </c>
      <c r="M1298" s="93">
        <v>5.3</v>
      </c>
      <c r="N1298" s="93" t="s">
        <v>113</v>
      </c>
      <c r="O1298" s="93">
        <v>18.5</v>
      </c>
      <c r="P1298" s="93">
        <v>29.5</v>
      </c>
      <c r="Q1298" s="93">
        <v>37.5</v>
      </c>
      <c r="R1298" s="93" t="s">
        <v>123</v>
      </c>
      <c r="S1298" s="93" t="s">
        <v>659</v>
      </c>
      <c r="T1298" s="93" t="s">
        <v>1659</v>
      </c>
      <c r="U1298" s="93" t="s">
        <v>116</v>
      </c>
      <c r="V1298" s="94">
        <v>44628.518750000003</v>
      </c>
      <c r="W1298" s="93" t="s">
        <v>1170</v>
      </c>
      <c r="X1298" s="93" t="s">
        <v>24</v>
      </c>
    </row>
    <row r="1299" spans="1:24" hidden="1" x14ac:dyDescent="0.15">
      <c r="A1299" s="93" t="s">
        <v>3517</v>
      </c>
      <c r="B1299" s="93" t="s">
        <v>3518</v>
      </c>
      <c r="C1299" s="410">
        <v>3675</v>
      </c>
      <c r="D1299" s="93" t="s">
        <v>9</v>
      </c>
      <c r="E1299" s="93" t="s">
        <v>9</v>
      </c>
      <c r="F1299" s="93" t="s">
        <v>1648</v>
      </c>
      <c r="G1299" s="93" t="s">
        <v>9117</v>
      </c>
      <c r="H1299" s="93" t="s">
        <v>1690</v>
      </c>
      <c r="I1299" s="93" t="s">
        <v>111</v>
      </c>
      <c r="J1299" s="93" t="s">
        <v>2013</v>
      </c>
      <c r="K1299" s="93">
        <v>50</v>
      </c>
      <c r="L1299" s="93" t="s">
        <v>111</v>
      </c>
      <c r="M1299" s="93">
        <v>5.3</v>
      </c>
      <c r="N1299" s="93" t="s">
        <v>113</v>
      </c>
      <c r="O1299" s="93">
        <v>18.5</v>
      </c>
      <c r="P1299" s="93">
        <v>29.5</v>
      </c>
      <c r="Q1299" s="93">
        <v>37.5</v>
      </c>
      <c r="R1299" s="93" t="s">
        <v>123</v>
      </c>
      <c r="S1299" s="93" t="s">
        <v>659</v>
      </c>
      <c r="T1299" s="93" t="s">
        <v>1659</v>
      </c>
      <c r="U1299" s="93" t="s">
        <v>116</v>
      </c>
      <c r="V1299" s="94">
        <v>44628.640972222223</v>
      </c>
      <c r="W1299" s="93" t="s">
        <v>1170</v>
      </c>
      <c r="X1299" s="93" t="s">
        <v>24</v>
      </c>
    </row>
    <row r="1300" spans="1:24" hidden="1" x14ac:dyDescent="0.15">
      <c r="A1300" s="93" t="s">
        <v>3519</v>
      </c>
      <c r="B1300" s="93" t="s">
        <v>3520</v>
      </c>
      <c r="C1300" s="410">
        <v>3675</v>
      </c>
      <c r="D1300" s="93" t="s">
        <v>9</v>
      </c>
      <c r="E1300" s="93" t="s">
        <v>9</v>
      </c>
      <c r="F1300" s="93" t="s">
        <v>1648</v>
      </c>
      <c r="G1300" s="93" t="s">
        <v>9117</v>
      </c>
      <c r="H1300" s="93" t="s">
        <v>1690</v>
      </c>
      <c r="I1300" s="93" t="s">
        <v>111</v>
      </c>
      <c r="J1300" s="93" t="s">
        <v>2013</v>
      </c>
      <c r="K1300" s="93">
        <v>50</v>
      </c>
      <c r="L1300" s="93" t="s">
        <v>111</v>
      </c>
      <c r="M1300" s="93">
        <v>5.3</v>
      </c>
      <c r="N1300" s="93" t="s">
        <v>113</v>
      </c>
      <c r="O1300" s="93">
        <v>18.5</v>
      </c>
      <c r="P1300" s="93">
        <v>29.5</v>
      </c>
      <c r="Q1300" s="93">
        <v>37.5</v>
      </c>
      <c r="R1300" s="93" t="s">
        <v>123</v>
      </c>
      <c r="S1300" s="93" t="s">
        <v>659</v>
      </c>
      <c r="T1300" s="93" t="s">
        <v>1659</v>
      </c>
      <c r="U1300" s="93" t="s">
        <v>116</v>
      </c>
      <c r="V1300" s="94">
        <v>44628.640972222223</v>
      </c>
      <c r="W1300" s="93" t="s">
        <v>1170</v>
      </c>
      <c r="X1300" s="93" t="s">
        <v>24</v>
      </c>
    </row>
    <row r="1301" spans="1:24" hidden="1" x14ac:dyDescent="0.15">
      <c r="A1301" s="93" t="s">
        <v>3521</v>
      </c>
      <c r="B1301" s="93" t="s">
        <v>3522</v>
      </c>
      <c r="C1301" s="410">
        <v>3675</v>
      </c>
      <c r="D1301" s="93" t="s">
        <v>9</v>
      </c>
      <c r="E1301" s="93" t="s">
        <v>9</v>
      </c>
      <c r="F1301" s="93" t="s">
        <v>1648</v>
      </c>
      <c r="G1301" s="93" t="s">
        <v>9117</v>
      </c>
      <c r="H1301" s="93" t="s">
        <v>1690</v>
      </c>
      <c r="I1301" s="93" t="s">
        <v>111</v>
      </c>
      <c r="J1301" s="93" t="s">
        <v>2013</v>
      </c>
      <c r="K1301" s="93">
        <v>50</v>
      </c>
      <c r="L1301" s="93" t="s">
        <v>111</v>
      </c>
      <c r="M1301" s="93">
        <v>5.3</v>
      </c>
      <c r="N1301" s="93" t="s">
        <v>113</v>
      </c>
      <c r="O1301" s="93">
        <v>18.5</v>
      </c>
      <c r="P1301" s="93">
        <v>29.5</v>
      </c>
      <c r="Q1301" s="93">
        <v>37.5</v>
      </c>
      <c r="R1301" s="93" t="s">
        <v>123</v>
      </c>
      <c r="S1301" s="93" t="s">
        <v>659</v>
      </c>
      <c r="T1301" s="93" t="s">
        <v>1659</v>
      </c>
      <c r="U1301" s="93" t="s">
        <v>116</v>
      </c>
      <c r="V1301" s="94">
        <v>44628.496527777781</v>
      </c>
      <c r="W1301" s="93" t="s">
        <v>1170</v>
      </c>
      <c r="X1301" s="93" t="s">
        <v>24</v>
      </c>
    </row>
    <row r="1302" spans="1:24" hidden="1" x14ac:dyDescent="0.15">
      <c r="A1302" s="93" t="s">
        <v>3523</v>
      </c>
      <c r="B1302" s="93" t="s">
        <v>3524</v>
      </c>
      <c r="C1302" s="410">
        <v>4620</v>
      </c>
      <c r="D1302" s="93" t="s">
        <v>9</v>
      </c>
      <c r="E1302" s="93" t="s">
        <v>9</v>
      </c>
      <c r="F1302" s="93" t="s">
        <v>1648</v>
      </c>
      <c r="G1302" s="93" t="s">
        <v>9117</v>
      </c>
      <c r="H1302" s="93" t="s">
        <v>1690</v>
      </c>
      <c r="I1302" s="93" t="s">
        <v>111</v>
      </c>
      <c r="J1302" s="93" t="s">
        <v>2086</v>
      </c>
      <c r="K1302" s="93">
        <v>50</v>
      </c>
      <c r="L1302" s="93" t="s">
        <v>111</v>
      </c>
      <c r="M1302" s="93">
        <v>6.5</v>
      </c>
      <c r="N1302" s="93" t="s">
        <v>113</v>
      </c>
      <c r="O1302" s="93">
        <v>18.5</v>
      </c>
      <c r="P1302" s="93">
        <v>29.5</v>
      </c>
      <c r="Q1302" s="93">
        <v>37.5</v>
      </c>
      <c r="R1302" s="93" t="s">
        <v>123</v>
      </c>
      <c r="S1302" s="93" t="s">
        <v>659</v>
      </c>
      <c r="T1302" s="93" t="s">
        <v>1659</v>
      </c>
      <c r="U1302" s="93" t="s">
        <v>116</v>
      </c>
      <c r="V1302" s="94">
        <v>44628.496527777781</v>
      </c>
      <c r="W1302" s="93" t="s">
        <v>1170</v>
      </c>
      <c r="X1302" s="93" t="s">
        <v>24</v>
      </c>
    </row>
    <row r="1303" spans="1:24" hidden="1" x14ac:dyDescent="0.15">
      <c r="A1303" s="93" t="s">
        <v>3525</v>
      </c>
      <c r="B1303" s="93" t="s">
        <v>3526</v>
      </c>
      <c r="C1303" s="410">
        <v>4620</v>
      </c>
      <c r="D1303" s="93" t="s">
        <v>9</v>
      </c>
      <c r="E1303" s="93" t="s">
        <v>9</v>
      </c>
      <c r="F1303" s="93" t="s">
        <v>1648</v>
      </c>
      <c r="G1303" s="93" t="s">
        <v>9117</v>
      </c>
      <c r="H1303" s="93" t="s">
        <v>1690</v>
      </c>
      <c r="I1303" s="93" t="s">
        <v>111</v>
      </c>
      <c r="J1303" s="93" t="s">
        <v>2086</v>
      </c>
      <c r="K1303" s="93">
        <v>50</v>
      </c>
      <c r="L1303" s="93" t="s">
        <v>111</v>
      </c>
      <c r="M1303" s="93">
        <v>5.7</v>
      </c>
      <c r="N1303" s="93" t="s">
        <v>113</v>
      </c>
      <c r="O1303" s="93">
        <v>18.5</v>
      </c>
      <c r="P1303" s="93">
        <v>29.5</v>
      </c>
      <c r="Q1303" s="93">
        <v>37.5</v>
      </c>
      <c r="R1303" s="93" t="s">
        <v>123</v>
      </c>
      <c r="S1303" s="93" t="s">
        <v>659</v>
      </c>
      <c r="T1303" s="93" t="s">
        <v>1659</v>
      </c>
      <c r="U1303" s="93" t="s">
        <v>116</v>
      </c>
      <c r="V1303" s="94">
        <v>44628.605555555558</v>
      </c>
      <c r="W1303" s="93" t="s">
        <v>1170</v>
      </c>
      <c r="X1303" s="93" t="s">
        <v>24</v>
      </c>
    </row>
    <row r="1304" spans="1:24" hidden="1" x14ac:dyDescent="0.15">
      <c r="A1304" s="93" t="s">
        <v>3527</v>
      </c>
      <c r="B1304" s="93" t="s">
        <v>3528</v>
      </c>
      <c r="C1304" s="410">
        <v>4620</v>
      </c>
      <c r="D1304" s="93" t="s">
        <v>9</v>
      </c>
      <c r="E1304" s="93" t="s">
        <v>9</v>
      </c>
      <c r="F1304" s="93" t="s">
        <v>1648</v>
      </c>
      <c r="G1304" s="93" t="s">
        <v>9117</v>
      </c>
      <c r="H1304" s="93" t="s">
        <v>1690</v>
      </c>
      <c r="I1304" s="93" t="s">
        <v>111</v>
      </c>
      <c r="J1304" s="93" t="s">
        <v>2086</v>
      </c>
      <c r="K1304" s="93">
        <v>50</v>
      </c>
      <c r="L1304" s="93" t="s">
        <v>111</v>
      </c>
      <c r="M1304" s="93">
        <v>5.7</v>
      </c>
      <c r="N1304" s="93" t="s">
        <v>113</v>
      </c>
      <c r="O1304" s="93">
        <v>18.5</v>
      </c>
      <c r="P1304" s="93">
        <v>29.5</v>
      </c>
      <c r="Q1304" s="93">
        <v>37.5</v>
      </c>
      <c r="R1304" s="93" t="s">
        <v>123</v>
      </c>
      <c r="S1304" s="93" t="s">
        <v>659</v>
      </c>
      <c r="T1304" s="93" t="s">
        <v>1659</v>
      </c>
      <c r="U1304" s="93" t="s">
        <v>116</v>
      </c>
      <c r="V1304" s="94">
        <v>44628.563888888886</v>
      </c>
      <c r="W1304" s="93" t="s">
        <v>1170</v>
      </c>
      <c r="X1304" s="93" t="s">
        <v>24</v>
      </c>
    </row>
    <row r="1305" spans="1:24" hidden="1" x14ac:dyDescent="0.15">
      <c r="A1305" s="93" t="s">
        <v>3529</v>
      </c>
      <c r="B1305" s="93" t="s">
        <v>3530</v>
      </c>
      <c r="C1305" s="410">
        <v>4620</v>
      </c>
      <c r="D1305" s="93" t="s">
        <v>9</v>
      </c>
      <c r="E1305" s="93" t="s">
        <v>9</v>
      </c>
      <c r="F1305" s="93" t="s">
        <v>1648</v>
      </c>
      <c r="G1305" s="93" t="s">
        <v>9117</v>
      </c>
      <c r="H1305" s="93" t="s">
        <v>1690</v>
      </c>
      <c r="I1305" s="93" t="s">
        <v>111</v>
      </c>
      <c r="J1305" s="93" t="s">
        <v>2086</v>
      </c>
      <c r="K1305" s="93">
        <v>50</v>
      </c>
      <c r="L1305" s="93" t="s">
        <v>111</v>
      </c>
      <c r="M1305" s="93">
        <v>5.7</v>
      </c>
      <c r="N1305" s="93" t="s">
        <v>113</v>
      </c>
      <c r="O1305" s="93">
        <v>18.5</v>
      </c>
      <c r="P1305" s="93">
        <v>29.5</v>
      </c>
      <c r="Q1305" s="93">
        <v>37.5</v>
      </c>
      <c r="R1305" s="93" t="s">
        <v>123</v>
      </c>
      <c r="S1305" s="93" t="s">
        <v>659</v>
      </c>
      <c r="T1305" s="93" t="s">
        <v>1659</v>
      </c>
      <c r="U1305" s="93" t="s">
        <v>116</v>
      </c>
      <c r="V1305" s="94">
        <v>44628.498611111114</v>
      </c>
      <c r="W1305" s="93" t="s">
        <v>1170</v>
      </c>
      <c r="X1305" s="93" t="s">
        <v>24</v>
      </c>
    </row>
    <row r="1306" spans="1:24" hidden="1" x14ac:dyDescent="0.15">
      <c r="A1306" s="93" t="s">
        <v>3531</v>
      </c>
      <c r="B1306" s="93" t="s">
        <v>3532</v>
      </c>
      <c r="C1306" s="410">
        <v>4620</v>
      </c>
      <c r="D1306" s="93" t="s">
        <v>9</v>
      </c>
      <c r="E1306" s="93" t="s">
        <v>9</v>
      </c>
      <c r="F1306" s="93" t="s">
        <v>1648</v>
      </c>
      <c r="G1306" s="93" t="s">
        <v>9117</v>
      </c>
      <c r="H1306" s="93" t="s">
        <v>1690</v>
      </c>
      <c r="I1306" s="93" t="s">
        <v>111</v>
      </c>
      <c r="J1306" s="93" t="s">
        <v>2086</v>
      </c>
      <c r="K1306" s="93">
        <v>50</v>
      </c>
      <c r="L1306" s="93" t="s">
        <v>111</v>
      </c>
      <c r="M1306" s="93">
        <v>5.7</v>
      </c>
      <c r="N1306" s="93" t="s">
        <v>113</v>
      </c>
      <c r="O1306" s="93">
        <v>18.5</v>
      </c>
      <c r="P1306" s="93">
        <v>29.5</v>
      </c>
      <c r="Q1306" s="93">
        <v>37.5</v>
      </c>
      <c r="R1306" s="93" t="s">
        <v>123</v>
      </c>
      <c r="S1306" s="93" t="s">
        <v>659</v>
      </c>
      <c r="T1306" s="93" t="s">
        <v>1659</v>
      </c>
      <c r="U1306" s="93" t="s">
        <v>116</v>
      </c>
      <c r="V1306" s="94">
        <v>44628.586111111108</v>
      </c>
      <c r="W1306" s="93" t="s">
        <v>1170</v>
      </c>
      <c r="X1306" s="93" t="s">
        <v>24</v>
      </c>
    </row>
    <row r="1307" spans="1:24" hidden="1" x14ac:dyDescent="0.15">
      <c r="A1307" s="93" t="s">
        <v>3533</v>
      </c>
      <c r="B1307" s="93" t="s">
        <v>3534</v>
      </c>
      <c r="C1307" s="410">
        <v>4620</v>
      </c>
      <c r="D1307" s="93" t="s">
        <v>9</v>
      </c>
      <c r="E1307" s="93" t="s">
        <v>9</v>
      </c>
      <c r="F1307" s="93" t="s">
        <v>1648</v>
      </c>
      <c r="G1307" s="93" t="s">
        <v>9117</v>
      </c>
      <c r="H1307" s="93" t="s">
        <v>1690</v>
      </c>
      <c r="I1307" s="93" t="s">
        <v>111</v>
      </c>
      <c r="J1307" s="93" t="s">
        <v>2086</v>
      </c>
      <c r="K1307" s="93">
        <v>50</v>
      </c>
      <c r="L1307" s="93" t="s">
        <v>111</v>
      </c>
      <c r="M1307" s="93">
        <v>5.7</v>
      </c>
      <c r="N1307" s="93" t="s">
        <v>113</v>
      </c>
      <c r="O1307" s="93">
        <v>18.5</v>
      </c>
      <c r="P1307" s="93">
        <v>29.5</v>
      </c>
      <c r="Q1307" s="93">
        <v>37.5</v>
      </c>
      <c r="R1307" s="93" t="s">
        <v>123</v>
      </c>
      <c r="S1307" s="93" t="s">
        <v>659</v>
      </c>
      <c r="T1307" s="93" t="s">
        <v>1659</v>
      </c>
      <c r="U1307" s="93" t="s">
        <v>116</v>
      </c>
      <c r="V1307" s="94">
        <v>44628.606944444444</v>
      </c>
      <c r="W1307" s="93" t="s">
        <v>1170</v>
      </c>
      <c r="X1307" s="93" t="s">
        <v>24</v>
      </c>
    </row>
    <row r="1308" spans="1:24" hidden="1" x14ac:dyDescent="0.15">
      <c r="A1308" s="93" t="s">
        <v>9231</v>
      </c>
      <c r="B1308" s="93" t="s">
        <v>9232</v>
      </c>
      <c r="C1308" s="410">
        <v>4620</v>
      </c>
      <c r="D1308" s="93" t="s">
        <v>9</v>
      </c>
      <c r="E1308" s="93" t="s">
        <v>9</v>
      </c>
      <c r="F1308" s="93" t="s">
        <v>1648</v>
      </c>
      <c r="G1308" s="93" t="s">
        <v>9117</v>
      </c>
      <c r="H1308" s="93" t="s">
        <v>1690</v>
      </c>
      <c r="I1308" s="93" t="s">
        <v>111</v>
      </c>
      <c r="J1308" s="93" t="s">
        <v>963</v>
      </c>
      <c r="K1308" s="93">
        <v>60</v>
      </c>
      <c r="L1308" s="93" t="s">
        <v>111</v>
      </c>
      <c r="M1308" s="93">
        <v>5.7</v>
      </c>
      <c r="N1308" s="93" t="s">
        <v>113</v>
      </c>
      <c r="O1308" s="93">
        <v>29.5</v>
      </c>
      <c r="P1308" s="93">
        <v>37.5</v>
      </c>
      <c r="Q1308" s="93">
        <v>18.5</v>
      </c>
      <c r="R1308" s="93" t="s">
        <v>123</v>
      </c>
      <c r="S1308" s="93" t="s">
        <v>659</v>
      </c>
      <c r="T1308" s="93" t="s">
        <v>1659</v>
      </c>
      <c r="U1308" s="93" t="s">
        <v>116</v>
      </c>
      <c r="V1308" s="94">
        <v>44628.468055555553</v>
      </c>
      <c r="W1308" s="93" t="s">
        <v>1170</v>
      </c>
      <c r="X1308" s="93" t="s">
        <v>24</v>
      </c>
    </row>
    <row r="1309" spans="1:24" hidden="1" x14ac:dyDescent="0.15">
      <c r="A1309" s="93" t="s">
        <v>9233</v>
      </c>
      <c r="B1309" s="93" t="s">
        <v>9234</v>
      </c>
      <c r="C1309" s="410">
        <v>4620</v>
      </c>
      <c r="D1309" s="93" t="s">
        <v>9</v>
      </c>
      <c r="E1309" s="93" t="s">
        <v>9</v>
      </c>
      <c r="F1309" s="93" t="s">
        <v>1648</v>
      </c>
      <c r="G1309" s="93" t="s">
        <v>9117</v>
      </c>
      <c r="H1309" s="93" t="s">
        <v>1690</v>
      </c>
      <c r="I1309" s="93" t="s">
        <v>111</v>
      </c>
      <c r="J1309" s="93" t="s">
        <v>963</v>
      </c>
      <c r="K1309" s="93">
        <v>60</v>
      </c>
      <c r="L1309" s="93" t="s">
        <v>111</v>
      </c>
      <c r="M1309" s="93">
        <v>5.7</v>
      </c>
      <c r="N1309" s="93" t="s">
        <v>113</v>
      </c>
      <c r="O1309" s="93">
        <v>29.5</v>
      </c>
      <c r="P1309" s="93">
        <v>37.5</v>
      </c>
      <c r="Q1309" s="93">
        <v>18.5</v>
      </c>
      <c r="R1309" s="93" t="s">
        <v>123</v>
      </c>
      <c r="S1309" s="93" t="s">
        <v>659</v>
      </c>
      <c r="T1309" s="93" t="s">
        <v>1659</v>
      </c>
      <c r="U1309" s="93" t="s">
        <v>116</v>
      </c>
      <c r="V1309" s="94">
        <v>44628.633333333331</v>
      </c>
      <c r="W1309" s="93" t="s">
        <v>1170</v>
      </c>
      <c r="X1309" s="93" t="s">
        <v>24</v>
      </c>
    </row>
    <row r="1310" spans="1:24" hidden="1" x14ac:dyDescent="0.15">
      <c r="A1310" s="93" t="s">
        <v>3535</v>
      </c>
      <c r="B1310" s="93" t="s">
        <v>3536</v>
      </c>
      <c r="C1310" s="410">
        <v>4620</v>
      </c>
      <c r="D1310" s="93" t="s">
        <v>9</v>
      </c>
      <c r="E1310" s="93" t="s">
        <v>9</v>
      </c>
      <c r="F1310" s="93" t="s">
        <v>1648</v>
      </c>
      <c r="G1310" s="93" t="s">
        <v>9117</v>
      </c>
      <c r="H1310" s="93" t="s">
        <v>1690</v>
      </c>
      <c r="I1310" s="93" t="s">
        <v>111</v>
      </c>
      <c r="J1310" s="93" t="s">
        <v>963</v>
      </c>
      <c r="K1310" s="93">
        <v>60</v>
      </c>
      <c r="L1310" s="93" t="s">
        <v>111</v>
      </c>
      <c r="M1310" s="93">
        <v>5.7</v>
      </c>
      <c r="N1310" s="93" t="s">
        <v>113</v>
      </c>
      <c r="O1310" s="93">
        <v>29.5</v>
      </c>
      <c r="P1310" s="93">
        <v>37.5</v>
      </c>
      <c r="Q1310" s="93">
        <v>18.5</v>
      </c>
      <c r="R1310" s="93" t="s">
        <v>123</v>
      </c>
      <c r="S1310" s="93" t="s">
        <v>659</v>
      </c>
      <c r="T1310" s="93" t="s">
        <v>1659</v>
      </c>
      <c r="U1310" s="93" t="s">
        <v>116</v>
      </c>
      <c r="V1310" s="94">
        <v>44628.633333333331</v>
      </c>
      <c r="W1310" s="93" t="s">
        <v>1170</v>
      </c>
      <c r="X1310" s="93" t="s">
        <v>24</v>
      </c>
    </row>
    <row r="1311" spans="1:24" hidden="1" x14ac:dyDescent="0.15">
      <c r="A1311" s="93" t="s">
        <v>3537</v>
      </c>
      <c r="B1311" s="93" t="s">
        <v>3538</v>
      </c>
      <c r="C1311" s="410">
        <v>4620</v>
      </c>
      <c r="D1311" s="93" t="s">
        <v>9</v>
      </c>
      <c r="E1311" s="93" t="s">
        <v>9</v>
      </c>
      <c r="F1311" s="93" t="s">
        <v>1648</v>
      </c>
      <c r="G1311" s="93" t="s">
        <v>9117</v>
      </c>
      <c r="H1311" s="93" t="s">
        <v>1690</v>
      </c>
      <c r="I1311" s="93" t="s">
        <v>111</v>
      </c>
      <c r="J1311" s="93" t="s">
        <v>963</v>
      </c>
      <c r="K1311" s="93">
        <v>60</v>
      </c>
      <c r="L1311" s="93" t="s">
        <v>111</v>
      </c>
      <c r="M1311" s="93">
        <v>5.7</v>
      </c>
      <c r="N1311" s="93" t="s">
        <v>113</v>
      </c>
      <c r="O1311" s="93">
        <v>29.5</v>
      </c>
      <c r="P1311" s="93">
        <v>37.5</v>
      </c>
      <c r="Q1311" s="93">
        <v>18.5</v>
      </c>
      <c r="R1311" s="93" t="s">
        <v>123</v>
      </c>
      <c r="S1311" s="93" t="s">
        <v>659</v>
      </c>
      <c r="T1311" s="93" t="s">
        <v>1659</v>
      </c>
      <c r="U1311" s="93" t="s">
        <v>116</v>
      </c>
      <c r="V1311" s="94">
        <v>44628.597916666666</v>
      </c>
      <c r="W1311" s="93" t="s">
        <v>1170</v>
      </c>
      <c r="X1311" s="93" t="s">
        <v>24</v>
      </c>
    </row>
    <row r="1312" spans="1:24" hidden="1" x14ac:dyDescent="0.15">
      <c r="A1312" s="93" t="s">
        <v>3539</v>
      </c>
      <c r="B1312" s="93" t="s">
        <v>3540</v>
      </c>
      <c r="C1312" s="410">
        <v>4620</v>
      </c>
      <c r="D1312" s="93" t="s">
        <v>9</v>
      </c>
      <c r="E1312" s="93" t="s">
        <v>9</v>
      </c>
      <c r="F1312" s="93" t="s">
        <v>1648</v>
      </c>
      <c r="G1312" s="93" t="s">
        <v>9117</v>
      </c>
      <c r="H1312" s="93" t="s">
        <v>1690</v>
      </c>
      <c r="I1312" s="93" t="s">
        <v>111</v>
      </c>
      <c r="J1312" s="93" t="s">
        <v>963</v>
      </c>
      <c r="K1312" s="93">
        <v>60</v>
      </c>
      <c r="L1312" s="93" t="s">
        <v>111</v>
      </c>
      <c r="M1312" s="93">
        <v>5.7</v>
      </c>
      <c r="N1312" s="93" t="s">
        <v>113</v>
      </c>
      <c r="O1312" s="93">
        <v>29.5</v>
      </c>
      <c r="P1312" s="93">
        <v>37.5</v>
      </c>
      <c r="Q1312" s="93">
        <v>18.5</v>
      </c>
      <c r="R1312" s="93" t="s">
        <v>123</v>
      </c>
      <c r="S1312" s="93" t="s">
        <v>659</v>
      </c>
      <c r="T1312" s="93" t="s">
        <v>1659</v>
      </c>
      <c r="U1312" s="93" t="s">
        <v>116</v>
      </c>
      <c r="V1312" s="94">
        <v>44628.633333333331</v>
      </c>
      <c r="W1312" s="93" t="s">
        <v>1170</v>
      </c>
      <c r="X1312" s="93" t="s">
        <v>24</v>
      </c>
    </row>
    <row r="1313" spans="1:24" hidden="1" x14ac:dyDescent="0.15">
      <c r="A1313" s="93" t="s">
        <v>3541</v>
      </c>
      <c r="B1313" s="93" t="s">
        <v>3542</v>
      </c>
      <c r="C1313" s="410">
        <v>4620</v>
      </c>
      <c r="D1313" s="93" t="s">
        <v>9</v>
      </c>
      <c r="E1313" s="93" t="s">
        <v>9</v>
      </c>
      <c r="F1313" s="93" t="s">
        <v>1648</v>
      </c>
      <c r="G1313" s="93" t="s">
        <v>9117</v>
      </c>
      <c r="H1313" s="93" t="s">
        <v>1690</v>
      </c>
      <c r="I1313" s="93" t="s">
        <v>111</v>
      </c>
      <c r="J1313" s="93" t="s">
        <v>963</v>
      </c>
      <c r="K1313" s="93">
        <v>60</v>
      </c>
      <c r="L1313" s="93" t="s">
        <v>111</v>
      </c>
      <c r="M1313" s="93">
        <v>5.7</v>
      </c>
      <c r="N1313" s="93" t="s">
        <v>113</v>
      </c>
      <c r="O1313" s="93">
        <v>29.5</v>
      </c>
      <c r="P1313" s="93">
        <v>37.5</v>
      </c>
      <c r="Q1313" s="93">
        <v>18.5</v>
      </c>
      <c r="R1313" s="93" t="s">
        <v>123</v>
      </c>
      <c r="S1313" s="93" t="s">
        <v>659</v>
      </c>
      <c r="T1313" s="93" t="s">
        <v>1659</v>
      </c>
      <c r="U1313" s="93" t="s">
        <v>116</v>
      </c>
      <c r="V1313" s="94">
        <v>44628.597916666666</v>
      </c>
      <c r="W1313" s="93" t="s">
        <v>1170</v>
      </c>
      <c r="X1313" s="93" t="s">
        <v>24</v>
      </c>
    </row>
    <row r="1314" spans="1:24" hidden="1" x14ac:dyDescent="0.15">
      <c r="A1314" s="93" t="s">
        <v>3543</v>
      </c>
      <c r="B1314" s="93" t="s">
        <v>3544</v>
      </c>
      <c r="C1314" s="410">
        <v>3465</v>
      </c>
      <c r="D1314" s="93" t="s">
        <v>9</v>
      </c>
      <c r="E1314" s="93" t="s">
        <v>9</v>
      </c>
      <c r="F1314" s="93" t="s">
        <v>1648</v>
      </c>
      <c r="G1314" s="93" t="s">
        <v>9117</v>
      </c>
      <c r="H1314" s="93" t="s">
        <v>1943</v>
      </c>
      <c r="I1314" s="93" t="s">
        <v>111</v>
      </c>
      <c r="J1314" s="93" t="s">
        <v>963</v>
      </c>
      <c r="K1314" s="93">
        <v>60</v>
      </c>
      <c r="L1314" s="93" t="s">
        <v>111</v>
      </c>
      <c r="M1314" s="93">
        <v>4.2</v>
      </c>
      <c r="N1314" s="93" t="s">
        <v>113</v>
      </c>
      <c r="O1314" s="93">
        <v>18.5</v>
      </c>
      <c r="P1314" s="93">
        <v>29.5</v>
      </c>
      <c r="Q1314" s="93">
        <v>32.5</v>
      </c>
      <c r="R1314" s="93" t="s">
        <v>123</v>
      </c>
      <c r="S1314" s="93" t="s">
        <v>111</v>
      </c>
      <c r="T1314" s="93" t="s">
        <v>1659</v>
      </c>
      <c r="U1314" s="93" t="s">
        <v>116</v>
      </c>
      <c r="V1314" s="94">
        <v>44628.496527777781</v>
      </c>
      <c r="W1314" s="93" t="s">
        <v>1170</v>
      </c>
      <c r="X1314" s="93" t="s">
        <v>24</v>
      </c>
    </row>
    <row r="1315" spans="1:24" hidden="1" x14ac:dyDescent="0.15">
      <c r="A1315" s="93" t="s">
        <v>3545</v>
      </c>
      <c r="B1315" s="93" t="s">
        <v>3546</v>
      </c>
      <c r="C1315" s="410">
        <v>3465</v>
      </c>
      <c r="D1315" s="93" t="s">
        <v>9</v>
      </c>
      <c r="E1315" s="93" t="s">
        <v>9</v>
      </c>
      <c r="F1315" s="93" t="s">
        <v>1648</v>
      </c>
      <c r="G1315" s="93" t="s">
        <v>9117</v>
      </c>
      <c r="H1315" s="93" t="s">
        <v>1943</v>
      </c>
      <c r="I1315" s="93" t="s">
        <v>111</v>
      </c>
      <c r="J1315" s="93" t="s">
        <v>963</v>
      </c>
      <c r="K1315" s="93">
        <v>60</v>
      </c>
      <c r="L1315" s="93" t="s">
        <v>111</v>
      </c>
      <c r="M1315" s="93">
        <v>4.2</v>
      </c>
      <c r="N1315" s="93" t="s">
        <v>113</v>
      </c>
      <c r="O1315" s="93">
        <v>18.5</v>
      </c>
      <c r="P1315" s="93">
        <v>29.5</v>
      </c>
      <c r="Q1315" s="93">
        <v>32.5</v>
      </c>
      <c r="R1315" s="93" t="s">
        <v>123</v>
      </c>
      <c r="S1315" s="93" t="s">
        <v>111</v>
      </c>
      <c r="T1315" s="93" t="s">
        <v>1659</v>
      </c>
      <c r="U1315" s="93" t="s">
        <v>116</v>
      </c>
      <c r="V1315" s="94">
        <v>44628.518750000003</v>
      </c>
      <c r="W1315" s="93" t="s">
        <v>1170</v>
      </c>
      <c r="X1315" s="93" t="s">
        <v>24</v>
      </c>
    </row>
    <row r="1316" spans="1:24" hidden="1" x14ac:dyDescent="0.15">
      <c r="A1316" s="93" t="s">
        <v>3547</v>
      </c>
      <c r="B1316" s="93" t="s">
        <v>3548</v>
      </c>
      <c r="C1316" s="410">
        <v>3465</v>
      </c>
      <c r="D1316" s="93" t="s">
        <v>9</v>
      </c>
      <c r="E1316" s="93" t="s">
        <v>9</v>
      </c>
      <c r="F1316" s="93" t="s">
        <v>1648</v>
      </c>
      <c r="G1316" s="93" t="s">
        <v>9117</v>
      </c>
      <c r="H1316" s="93" t="s">
        <v>1943</v>
      </c>
      <c r="I1316" s="93" t="s">
        <v>111</v>
      </c>
      <c r="J1316" s="93" t="s">
        <v>963</v>
      </c>
      <c r="K1316" s="93">
        <v>60</v>
      </c>
      <c r="L1316" s="93" t="s">
        <v>111</v>
      </c>
      <c r="M1316" s="93">
        <v>4.2</v>
      </c>
      <c r="N1316" s="93" t="s">
        <v>113</v>
      </c>
      <c r="O1316" s="93">
        <v>18.5</v>
      </c>
      <c r="P1316" s="93">
        <v>29.5</v>
      </c>
      <c r="Q1316" s="93">
        <v>32.5</v>
      </c>
      <c r="R1316" s="93" t="s">
        <v>123</v>
      </c>
      <c r="S1316" s="93" t="s">
        <v>111</v>
      </c>
      <c r="T1316" s="93" t="s">
        <v>1659</v>
      </c>
      <c r="U1316" s="93" t="s">
        <v>116</v>
      </c>
      <c r="V1316" s="94">
        <v>44628.520138888889</v>
      </c>
      <c r="W1316" s="93" t="s">
        <v>1170</v>
      </c>
      <c r="X1316" s="93" t="s">
        <v>24</v>
      </c>
    </row>
    <row r="1317" spans="1:24" hidden="1" x14ac:dyDescent="0.15">
      <c r="A1317" s="93" t="s">
        <v>3549</v>
      </c>
      <c r="B1317" s="93" t="s">
        <v>3550</v>
      </c>
      <c r="C1317" s="410">
        <v>3465</v>
      </c>
      <c r="D1317" s="93" t="s">
        <v>9</v>
      </c>
      <c r="E1317" s="93" t="s">
        <v>9</v>
      </c>
      <c r="F1317" s="93" t="s">
        <v>1648</v>
      </c>
      <c r="G1317" s="93" t="s">
        <v>9117</v>
      </c>
      <c r="H1317" s="93" t="s">
        <v>1943</v>
      </c>
      <c r="I1317" s="93" t="s">
        <v>111</v>
      </c>
      <c r="J1317" s="93" t="s">
        <v>963</v>
      </c>
      <c r="K1317" s="93">
        <v>60</v>
      </c>
      <c r="L1317" s="93" t="s">
        <v>111</v>
      </c>
      <c r="M1317" s="93">
        <v>4.2</v>
      </c>
      <c r="N1317" s="93" t="s">
        <v>113</v>
      </c>
      <c r="O1317" s="93">
        <v>18.5</v>
      </c>
      <c r="P1317" s="93">
        <v>29.5</v>
      </c>
      <c r="Q1317" s="93">
        <v>32.5</v>
      </c>
      <c r="R1317" s="93" t="s">
        <v>123</v>
      </c>
      <c r="S1317" s="93" t="s">
        <v>111</v>
      </c>
      <c r="T1317" s="93" t="s">
        <v>1659</v>
      </c>
      <c r="U1317" s="93" t="s">
        <v>116</v>
      </c>
      <c r="V1317" s="94">
        <v>44628.586111111108</v>
      </c>
      <c r="W1317" s="93" t="s">
        <v>1170</v>
      </c>
      <c r="X1317" s="93" t="s">
        <v>24</v>
      </c>
    </row>
    <row r="1318" spans="1:24" hidden="1" x14ac:dyDescent="0.15">
      <c r="A1318" s="93" t="s">
        <v>3551</v>
      </c>
      <c r="B1318" s="93" t="s">
        <v>3552</v>
      </c>
      <c r="C1318" s="410">
        <v>3465</v>
      </c>
      <c r="D1318" s="93" t="s">
        <v>9</v>
      </c>
      <c r="E1318" s="93" t="s">
        <v>9</v>
      </c>
      <c r="F1318" s="93" t="s">
        <v>1648</v>
      </c>
      <c r="G1318" s="93" t="s">
        <v>9117</v>
      </c>
      <c r="H1318" s="93" t="s">
        <v>1943</v>
      </c>
      <c r="I1318" s="93" t="s">
        <v>111</v>
      </c>
      <c r="J1318" s="93" t="s">
        <v>963</v>
      </c>
      <c r="K1318" s="93">
        <v>60</v>
      </c>
      <c r="L1318" s="93" t="s">
        <v>111</v>
      </c>
      <c r="M1318" s="93">
        <v>4.2</v>
      </c>
      <c r="N1318" s="93" t="s">
        <v>113</v>
      </c>
      <c r="O1318" s="93">
        <v>18.5</v>
      </c>
      <c r="P1318" s="93">
        <v>29.5</v>
      </c>
      <c r="Q1318" s="93">
        <v>32.5</v>
      </c>
      <c r="R1318" s="93" t="s">
        <v>123</v>
      </c>
      <c r="S1318" s="93" t="s">
        <v>659</v>
      </c>
      <c r="T1318" s="93" t="s">
        <v>1659</v>
      </c>
      <c r="U1318" s="93" t="s">
        <v>116</v>
      </c>
      <c r="V1318" s="94">
        <v>44628.520138888889</v>
      </c>
      <c r="W1318" s="93" t="s">
        <v>1170</v>
      </c>
      <c r="X1318" s="93" t="s">
        <v>24</v>
      </c>
    </row>
    <row r="1319" spans="1:24" hidden="1" x14ac:dyDescent="0.15">
      <c r="A1319" s="93" t="s">
        <v>3553</v>
      </c>
      <c r="B1319" s="93" t="s">
        <v>3554</v>
      </c>
      <c r="C1319" s="410">
        <v>3465</v>
      </c>
      <c r="D1319" s="93" t="s">
        <v>9</v>
      </c>
      <c r="E1319" s="93" t="s">
        <v>9</v>
      </c>
      <c r="F1319" s="93" t="s">
        <v>1648</v>
      </c>
      <c r="G1319" s="93" t="s">
        <v>9117</v>
      </c>
      <c r="H1319" s="93" t="s">
        <v>1943</v>
      </c>
      <c r="I1319" s="93" t="s">
        <v>111</v>
      </c>
      <c r="J1319" s="93" t="s">
        <v>963</v>
      </c>
      <c r="K1319" s="93">
        <v>60</v>
      </c>
      <c r="L1319" s="93" t="s">
        <v>111</v>
      </c>
      <c r="M1319" s="93">
        <v>4.2</v>
      </c>
      <c r="N1319" s="93" t="s">
        <v>113</v>
      </c>
      <c r="O1319" s="93">
        <v>18.5</v>
      </c>
      <c r="P1319" s="93">
        <v>29.5</v>
      </c>
      <c r="Q1319" s="93">
        <v>32.5</v>
      </c>
      <c r="R1319" s="93" t="s">
        <v>123</v>
      </c>
      <c r="S1319" s="93" t="s">
        <v>659</v>
      </c>
      <c r="T1319" s="93" t="s">
        <v>1659</v>
      </c>
      <c r="U1319" s="93" t="s">
        <v>116</v>
      </c>
      <c r="V1319" s="94">
        <v>44628.477777777778</v>
      </c>
      <c r="W1319" s="93" t="s">
        <v>1170</v>
      </c>
      <c r="X1319" s="93" t="s">
        <v>24</v>
      </c>
    </row>
    <row r="1320" spans="1:24" hidden="1" x14ac:dyDescent="0.15">
      <c r="A1320" s="93" t="s">
        <v>3555</v>
      </c>
      <c r="B1320" s="93" t="s">
        <v>3556</v>
      </c>
      <c r="C1320" s="410">
        <v>5670</v>
      </c>
      <c r="D1320" s="93" t="s">
        <v>9</v>
      </c>
      <c r="E1320" s="93" t="s">
        <v>9</v>
      </c>
      <c r="F1320" s="93" t="s">
        <v>1648</v>
      </c>
      <c r="G1320" s="93" t="s">
        <v>9117</v>
      </c>
      <c r="H1320" s="93" t="s">
        <v>1690</v>
      </c>
      <c r="I1320" s="93" t="s">
        <v>111</v>
      </c>
      <c r="J1320" s="93" t="s">
        <v>1675</v>
      </c>
      <c r="K1320" s="93">
        <v>60</v>
      </c>
      <c r="L1320" s="93" t="s">
        <v>111</v>
      </c>
      <c r="M1320" s="93">
        <v>9</v>
      </c>
      <c r="N1320" s="93" t="s">
        <v>113</v>
      </c>
      <c r="O1320" s="93">
        <v>21.8</v>
      </c>
      <c r="P1320" s="93">
        <v>31.8</v>
      </c>
      <c r="Q1320" s="93">
        <v>46.3</v>
      </c>
      <c r="R1320" s="93" t="s">
        <v>123</v>
      </c>
      <c r="S1320" s="93" t="s">
        <v>659</v>
      </c>
      <c r="T1320" s="93" t="s">
        <v>1659</v>
      </c>
      <c r="U1320" s="93" t="s">
        <v>116</v>
      </c>
      <c r="V1320" s="94">
        <v>44628.489583333336</v>
      </c>
      <c r="W1320" s="93" t="s">
        <v>1555</v>
      </c>
      <c r="X1320" s="93" t="s">
        <v>24</v>
      </c>
    </row>
    <row r="1321" spans="1:24" hidden="1" x14ac:dyDescent="0.15">
      <c r="A1321" s="93" t="s">
        <v>3557</v>
      </c>
      <c r="B1321" s="93" t="s">
        <v>3558</v>
      </c>
      <c r="C1321" s="410">
        <v>5670</v>
      </c>
      <c r="D1321" s="93" t="s">
        <v>9</v>
      </c>
      <c r="E1321" s="93" t="s">
        <v>9</v>
      </c>
      <c r="F1321" s="93" t="s">
        <v>1648</v>
      </c>
      <c r="G1321" s="93" t="s">
        <v>9117</v>
      </c>
      <c r="H1321" s="93" t="s">
        <v>1690</v>
      </c>
      <c r="I1321" s="93" t="s">
        <v>111</v>
      </c>
      <c r="J1321" s="93" t="s">
        <v>1675</v>
      </c>
      <c r="K1321" s="93">
        <v>60</v>
      </c>
      <c r="L1321" s="93" t="s">
        <v>111</v>
      </c>
      <c r="M1321" s="93">
        <v>9</v>
      </c>
      <c r="N1321" s="93" t="s">
        <v>113</v>
      </c>
      <c r="O1321" s="93">
        <v>21.8</v>
      </c>
      <c r="P1321" s="93">
        <v>31.8</v>
      </c>
      <c r="Q1321" s="93">
        <v>46.3</v>
      </c>
      <c r="R1321" s="93" t="s">
        <v>123</v>
      </c>
      <c r="S1321" s="93" t="s">
        <v>659</v>
      </c>
      <c r="T1321" s="93" t="s">
        <v>1659</v>
      </c>
      <c r="U1321" s="93" t="s">
        <v>116</v>
      </c>
      <c r="V1321" s="94">
        <v>44628.511805555558</v>
      </c>
      <c r="W1321" s="93" t="s">
        <v>1555</v>
      </c>
      <c r="X1321" s="93" t="s">
        <v>24</v>
      </c>
    </row>
    <row r="1322" spans="1:24" hidden="1" x14ac:dyDescent="0.15">
      <c r="A1322" s="93" t="s">
        <v>3559</v>
      </c>
      <c r="B1322" s="93" t="s">
        <v>3560</v>
      </c>
      <c r="C1322" s="410">
        <v>5670</v>
      </c>
      <c r="D1322" s="93" t="s">
        <v>9</v>
      </c>
      <c r="E1322" s="93" t="s">
        <v>9</v>
      </c>
      <c r="F1322" s="93" t="s">
        <v>1648</v>
      </c>
      <c r="G1322" s="93" t="s">
        <v>9117</v>
      </c>
      <c r="H1322" s="93" t="s">
        <v>1690</v>
      </c>
      <c r="I1322" s="93" t="s">
        <v>111</v>
      </c>
      <c r="J1322" s="93" t="s">
        <v>1675</v>
      </c>
      <c r="K1322" s="93">
        <v>60</v>
      </c>
      <c r="L1322" s="93" t="s">
        <v>111</v>
      </c>
      <c r="M1322" s="93">
        <v>9</v>
      </c>
      <c r="N1322" s="93" t="s">
        <v>113</v>
      </c>
      <c r="O1322" s="93">
        <v>21.8</v>
      </c>
      <c r="P1322" s="93">
        <v>31.8</v>
      </c>
      <c r="Q1322" s="93">
        <v>46.3</v>
      </c>
      <c r="R1322" s="93" t="s">
        <v>123</v>
      </c>
      <c r="S1322" s="93" t="s">
        <v>659</v>
      </c>
      <c r="T1322" s="93" t="s">
        <v>1659</v>
      </c>
      <c r="U1322" s="93" t="s">
        <v>116</v>
      </c>
      <c r="V1322" s="94">
        <v>44628.576388888891</v>
      </c>
      <c r="W1322" s="93" t="s">
        <v>1555</v>
      </c>
      <c r="X1322" s="93" t="s">
        <v>24</v>
      </c>
    </row>
    <row r="1323" spans="1:24" hidden="1" x14ac:dyDescent="0.15">
      <c r="A1323" s="93" t="s">
        <v>3561</v>
      </c>
      <c r="B1323" s="93" t="s">
        <v>3562</v>
      </c>
      <c r="C1323" s="410">
        <v>5670</v>
      </c>
      <c r="D1323" s="93" t="s">
        <v>9</v>
      </c>
      <c r="E1323" s="93" t="s">
        <v>9</v>
      </c>
      <c r="F1323" s="93" t="s">
        <v>1648</v>
      </c>
      <c r="G1323" s="93" t="s">
        <v>9117</v>
      </c>
      <c r="H1323" s="93" t="s">
        <v>1690</v>
      </c>
      <c r="I1323" s="93" t="s">
        <v>111</v>
      </c>
      <c r="J1323" s="93" t="s">
        <v>1675</v>
      </c>
      <c r="K1323" s="93">
        <v>60</v>
      </c>
      <c r="L1323" s="93" t="s">
        <v>111</v>
      </c>
      <c r="M1323" s="93">
        <v>9</v>
      </c>
      <c r="N1323" s="93" t="s">
        <v>113</v>
      </c>
      <c r="O1323" s="93">
        <v>21.8</v>
      </c>
      <c r="P1323" s="93">
        <v>31.8</v>
      </c>
      <c r="Q1323" s="93">
        <v>46.3</v>
      </c>
      <c r="R1323" s="93" t="s">
        <v>123</v>
      </c>
      <c r="S1323" s="93" t="s">
        <v>659</v>
      </c>
      <c r="T1323" s="93" t="s">
        <v>1659</v>
      </c>
      <c r="U1323" s="93" t="s">
        <v>116</v>
      </c>
      <c r="V1323" s="94">
        <v>44628.533333333333</v>
      </c>
      <c r="W1323" s="93" t="s">
        <v>1555</v>
      </c>
      <c r="X1323" s="93" t="s">
        <v>24</v>
      </c>
    </row>
    <row r="1324" spans="1:24" hidden="1" x14ac:dyDescent="0.15">
      <c r="A1324" s="93" t="s">
        <v>3563</v>
      </c>
      <c r="B1324" s="93" t="s">
        <v>3564</v>
      </c>
      <c r="C1324" s="410">
        <v>5670</v>
      </c>
      <c r="D1324" s="93" t="s">
        <v>9</v>
      </c>
      <c r="E1324" s="93" t="s">
        <v>9</v>
      </c>
      <c r="F1324" s="93" t="s">
        <v>1648</v>
      </c>
      <c r="G1324" s="93" t="s">
        <v>9117</v>
      </c>
      <c r="H1324" s="93" t="s">
        <v>1690</v>
      </c>
      <c r="I1324" s="93" t="s">
        <v>111</v>
      </c>
      <c r="J1324" s="93" t="s">
        <v>1675</v>
      </c>
      <c r="K1324" s="93">
        <v>60</v>
      </c>
      <c r="L1324" s="93" t="s">
        <v>111</v>
      </c>
      <c r="M1324" s="93">
        <v>9</v>
      </c>
      <c r="N1324" s="93" t="s">
        <v>113</v>
      </c>
      <c r="O1324" s="93">
        <v>21.8</v>
      </c>
      <c r="P1324" s="93">
        <v>31.8</v>
      </c>
      <c r="Q1324" s="93">
        <v>46.3</v>
      </c>
      <c r="R1324" s="93" t="s">
        <v>123</v>
      </c>
      <c r="S1324" s="93" t="s">
        <v>659</v>
      </c>
      <c r="T1324" s="93" t="s">
        <v>1659</v>
      </c>
      <c r="U1324" s="93" t="s">
        <v>116</v>
      </c>
      <c r="V1324" s="94">
        <v>44628.597916666666</v>
      </c>
      <c r="W1324" s="93" t="s">
        <v>1555</v>
      </c>
      <c r="X1324" s="93" t="s">
        <v>24</v>
      </c>
    </row>
    <row r="1325" spans="1:24" hidden="1" x14ac:dyDescent="0.15">
      <c r="A1325" s="93" t="s">
        <v>3565</v>
      </c>
      <c r="B1325" s="93" t="s">
        <v>3566</v>
      </c>
      <c r="C1325" s="410">
        <v>5670</v>
      </c>
      <c r="D1325" s="93" t="s">
        <v>9</v>
      </c>
      <c r="E1325" s="93" t="s">
        <v>9</v>
      </c>
      <c r="F1325" s="93" t="s">
        <v>1648</v>
      </c>
      <c r="G1325" s="93" t="s">
        <v>9117</v>
      </c>
      <c r="H1325" s="93" t="s">
        <v>1690</v>
      </c>
      <c r="I1325" s="93" t="s">
        <v>111</v>
      </c>
      <c r="J1325" s="93" t="s">
        <v>1675</v>
      </c>
      <c r="K1325" s="93">
        <v>60</v>
      </c>
      <c r="L1325" s="93" t="s">
        <v>111</v>
      </c>
      <c r="M1325" s="93">
        <v>9</v>
      </c>
      <c r="N1325" s="93" t="s">
        <v>113</v>
      </c>
      <c r="O1325" s="93">
        <v>21.8</v>
      </c>
      <c r="P1325" s="93">
        <v>31.8</v>
      </c>
      <c r="Q1325" s="93">
        <v>46.3</v>
      </c>
      <c r="R1325" s="93" t="s">
        <v>123</v>
      </c>
      <c r="S1325" s="93" t="s">
        <v>659</v>
      </c>
      <c r="T1325" s="93" t="s">
        <v>1659</v>
      </c>
      <c r="U1325" s="93" t="s">
        <v>116</v>
      </c>
      <c r="V1325" s="94">
        <v>44628.633333333331</v>
      </c>
      <c r="W1325" s="93" t="s">
        <v>1555</v>
      </c>
      <c r="X1325" s="93" t="s">
        <v>24</v>
      </c>
    </row>
    <row r="1326" spans="1:24" hidden="1" x14ac:dyDescent="0.15">
      <c r="A1326" s="93" t="s">
        <v>9235</v>
      </c>
      <c r="B1326" s="93" t="s">
        <v>9236</v>
      </c>
      <c r="C1326" s="410">
        <v>4878.3</v>
      </c>
      <c r="D1326" s="93" t="s">
        <v>9</v>
      </c>
      <c r="E1326" s="93" t="s">
        <v>9</v>
      </c>
      <c r="F1326" s="93" t="s">
        <v>1648</v>
      </c>
      <c r="G1326" s="93" t="s">
        <v>9183</v>
      </c>
      <c r="H1326" s="93" t="s">
        <v>1690</v>
      </c>
      <c r="I1326" s="93" t="s">
        <v>111</v>
      </c>
      <c r="J1326" s="93" t="s">
        <v>963</v>
      </c>
      <c r="K1326" s="93">
        <v>60</v>
      </c>
      <c r="L1326" s="93" t="s">
        <v>111</v>
      </c>
      <c r="M1326" s="93">
        <v>6</v>
      </c>
      <c r="N1326" s="93" t="s">
        <v>111</v>
      </c>
      <c r="O1326" s="93">
        <v>32.200000000000003</v>
      </c>
      <c r="P1326" s="93">
        <v>27</v>
      </c>
      <c r="Q1326" s="93">
        <v>8.6</v>
      </c>
      <c r="R1326" s="93" t="s">
        <v>123</v>
      </c>
      <c r="S1326" s="93" t="s">
        <v>659</v>
      </c>
      <c r="T1326" s="93" t="s">
        <v>1659</v>
      </c>
      <c r="U1326" s="93" t="s">
        <v>119</v>
      </c>
      <c r="V1326" s="94">
        <v>44628.508333333331</v>
      </c>
      <c r="W1326" s="93" t="s">
        <v>1170</v>
      </c>
      <c r="X1326" s="93" t="s">
        <v>9</v>
      </c>
    </row>
    <row r="1327" spans="1:24" hidden="1" x14ac:dyDescent="0.15">
      <c r="A1327" s="93" t="s">
        <v>9237</v>
      </c>
      <c r="B1327" s="93" t="s">
        <v>9238</v>
      </c>
      <c r="C1327" s="410">
        <v>4878.3</v>
      </c>
      <c r="D1327" s="93" t="s">
        <v>9</v>
      </c>
      <c r="E1327" s="93" t="s">
        <v>9</v>
      </c>
      <c r="F1327" s="93" t="s">
        <v>1648</v>
      </c>
      <c r="G1327" s="93" t="s">
        <v>9183</v>
      </c>
      <c r="H1327" s="93" t="s">
        <v>1690</v>
      </c>
      <c r="I1327" s="93" t="s">
        <v>111</v>
      </c>
      <c r="J1327" s="93" t="s">
        <v>963</v>
      </c>
      <c r="K1327" s="93">
        <v>60</v>
      </c>
      <c r="L1327" s="93" t="s">
        <v>111</v>
      </c>
      <c r="M1327" s="93">
        <v>6</v>
      </c>
      <c r="N1327" s="93" t="s">
        <v>111</v>
      </c>
      <c r="O1327" s="93">
        <v>32.200000000000003</v>
      </c>
      <c r="P1327" s="93">
        <v>27</v>
      </c>
      <c r="Q1327" s="93">
        <v>8.6</v>
      </c>
      <c r="R1327" s="93" t="s">
        <v>123</v>
      </c>
      <c r="S1327" s="93" t="s">
        <v>659</v>
      </c>
      <c r="T1327" s="93" t="s">
        <v>1659</v>
      </c>
      <c r="U1327" s="93" t="s">
        <v>119</v>
      </c>
      <c r="V1327" s="94">
        <v>44628.508333333331</v>
      </c>
      <c r="W1327" s="93" t="s">
        <v>1170</v>
      </c>
      <c r="X1327" s="93" t="s">
        <v>9</v>
      </c>
    </row>
    <row r="1328" spans="1:24" hidden="1" x14ac:dyDescent="0.15">
      <c r="A1328" s="93" t="s">
        <v>9239</v>
      </c>
      <c r="B1328" s="93" t="s">
        <v>9240</v>
      </c>
      <c r="C1328" s="410">
        <v>4878.3</v>
      </c>
      <c r="D1328" s="93" t="s">
        <v>9</v>
      </c>
      <c r="E1328" s="93" t="s">
        <v>9</v>
      </c>
      <c r="F1328" s="93" t="s">
        <v>1648</v>
      </c>
      <c r="G1328" s="93" t="s">
        <v>9183</v>
      </c>
      <c r="H1328" s="93" t="s">
        <v>1690</v>
      </c>
      <c r="I1328" s="93" t="s">
        <v>111</v>
      </c>
      <c r="J1328" s="93" t="s">
        <v>963</v>
      </c>
      <c r="K1328" s="93">
        <v>60</v>
      </c>
      <c r="L1328" s="93" t="s">
        <v>111</v>
      </c>
      <c r="M1328" s="93">
        <v>6</v>
      </c>
      <c r="N1328" s="93" t="s">
        <v>111</v>
      </c>
      <c r="O1328" s="93">
        <v>32.200000000000003</v>
      </c>
      <c r="P1328" s="93">
        <v>27</v>
      </c>
      <c r="Q1328" s="93">
        <v>8.6</v>
      </c>
      <c r="R1328" s="93" t="s">
        <v>123</v>
      </c>
      <c r="S1328" s="93" t="s">
        <v>659</v>
      </c>
      <c r="T1328" s="93" t="s">
        <v>1659</v>
      </c>
      <c r="U1328" s="93" t="s">
        <v>119</v>
      </c>
      <c r="V1328" s="94">
        <v>44628.595138888886</v>
      </c>
      <c r="W1328" s="93" t="s">
        <v>1170</v>
      </c>
      <c r="X1328" s="93" t="s">
        <v>9</v>
      </c>
    </row>
    <row r="1329" spans="1:24" hidden="1" x14ac:dyDescent="0.15">
      <c r="A1329" s="93" t="s">
        <v>9241</v>
      </c>
      <c r="B1329" s="93" t="s">
        <v>9242</v>
      </c>
      <c r="C1329" s="410">
        <v>4878.3</v>
      </c>
      <c r="D1329" s="93" t="s">
        <v>9</v>
      </c>
      <c r="E1329" s="93" t="s">
        <v>9</v>
      </c>
      <c r="F1329" s="93" t="s">
        <v>1648</v>
      </c>
      <c r="G1329" s="93" t="s">
        <v>9183</v>
      </c>
      <c r="H1329" s="93" t="s">
        <v>1690</v>
      </c>
      <c r="I1329" s="93" t="s">
        <v>111</v>
      </c>
      <c r="J1329" s="93" t="s">
        <v>963</v>
      </c>
      <c r="K1329" s="93">
        <v>60</v>
      </c>
      <c r="L1329" s="93" t="s">
        <v>111</v>
      </c>
      <c r="M1329" s="93">
        <v>6</v>
      </c>
      <c r="N1329" s="93" t="s">
        <v>111</v>
      </c>
      <c r="O1329" s="93">
        <v>32.200000000000003</v>
      </c>
      <c r="P1329" s="93">
        <v>27</v>
      </c>
      <c r="Q1329" s="93">
        <v>8.6</v>
      </c>
      <c r="R1329" s="93" t="s">
        <v>123</v>
      </c>
      <c r="S1329" s="93" t="s">
        <v>659</v>
      </c>
      <c r="T1329" s="93" t="s">
        <v>1659</v>
      </c>
      <c r="U1329" s="93" t="s">
        <v>119</v>
      </c>
      <c r="V1329" s="94">
        <v>44628.529861111114</v>
      </c>
      <c r="W1329" s="93" t="s">
        <v>1170</v>
      </c>
      <c r="X1329" s="93" t="s">
        <v>9</v>
      </c>
    </row>
    <row r="1330" spans="1:24" hidden="1" x14ac:dyDescent="0.15">
      <c r="A1330" s="93" t="s">
        <v>9243</v>
      </c>
      <c r="B1330" s="93" t="s">
        <v>9244</v>
      </c>
      <c r="C1330" s="410">
        <v>4878.3</v>
      </c>
      <c r="D1330" s="93" t="s">
        <v>9</v>
      </c>
      <c r="E1330" s="93" t="s">
        <v>9</v>
      </c>
      <c r="F1330" s="93" t="s">
        <v>1648</v>
      </c>
      <c r="G1330" s="93" t="s">
        <v>9183</v>
      </c>
      <c r="H1330" s="93" t="s">
        <v>1690</v>
      </c>
      <c r="I1330" s="93" t="s">
        <v>111</v>
      </c>
      <c r="J1330" s="93" t="s">
        <v>963</v>
      </c>
      <c r="K1330" s="93">
        <v>60</v>
      </c>
      <c r="L1330" s="93" t="s">
        <v>111</v>
      </c>
      <c r="M1330" s="93">
        <v>6</v>
      </c>
      <c r="N1330" s="93" t="s">
        <v>111</v>
      </c>
      <c r="O1330" s="93">
        <v>32.200000000000003</v>
      </c>
      <c r="P1330" s="93">
        <v>27</v>
      </c>
      <c r="Q1330" s="93">
        <v>8.6</v>
      </c>
      <c r="R1330" s="93" t="s">
        <v>123</v>
      </c>
      <c r="S1330" s="93" t="s">
        <v>659</v>
      </c>
      <c r="T1330" s="93" t="s">
        <v>1659</v>
      </c>
      <c r="U1330" s="93" t="s">
        <v>119</v>
      </c>
      <c r="V1330" s="94">
        <v>44628.595138888886</v>
      </c>
      <c r="W1330" s="93" t="s">
        <v>1170</v>
      </c>
      <c r="X1330" s="93" t="s">
        <v>24</v>
      </c>
    </row>
    <row r="1331" spans="1:24" hidden="1" x14ac:dyDescent="0.15">
      <c r="A1331" s="93" t="s">
        <v>9245</v>
      </c>
      <c r="B1331" s="93" t="s">
        <v>9246</v>
      </c>
      <c r="C1331" s="410">
        <v>4878.3</v>
      </c>
      <c r="D1331" s="93" t="s">
        <v>9</v>
      </c>
      <c r="E1331" s="93" t="s">
        <v>9</v>
      </c>
      <c r="F1331" s="93" t="s">
        <v>1648</v>
      </c>
      <c r="G1331" s="93" t="s">
        <v>9183</v>
      </c>
      <c r="H1331" s="93" t="s">
        <v>1690</v>
      </c>
      <c r="I1331" s="93" t="s">
        <v>111</v>
      </c>
      <c r="J1331" s="93" t="s">
        <v>963</v>
      </c>
      <c r="K1331" s="93">
        <v>60</v>
      </c>
      <c r="L1331" s="93" t="s">
        <v>111</v>
      </c>
      <c r="M1331" s="93">
        <v>6</v>
      </c>
      <c r="N1331" s="93" t="s">
        <v>111</v>
      </c>
      <c r="O1331" s="93">
        <v>32.200000000000003</v>
      </c>
      <c r="P1331" s="93">
        <v>27</v>
      </c>
      <c r="Q1331" s="93">
        <v>8.6</v>
      </c>
      <c r="R1331" s="93" t="s">
        <v>123</v>
      </c>
      <c r="S1331" s="93" t="s">
        <v>659</v>
      </c>
      <c r="T1331" s="93" t="s">
        <v>1659</v>
      </c>
      <c r="U1331" s="93" t="s">
        <v>119</v>
      </c>
      <c r="V1331" s="94">
        <v>44628.595138888886</v>
      </c>
      <c r="W1331" s="93" t="s">
        <v>1170</v>
      </c>
      <c r="X1331" s="93" t="s">
        <v>24</v>
      </c>
    </row>
    <row r="1332" spans="1:24" hidden="1" x14ac:dyDescent="0.15">
      <c r="A1332" s="93" t="s">
        <v>3567</v>
      </c>
      <c r="B1332" s="93" t="s">
        <v>3568</v>
      </c>
      <c r="C1332" s="410">
        <v>3675</v>
      </c>
      <c r="D1332" s="93" t="s">
        <v>9</v>
      </c>
      <c r="E1332" s="93" t="s">
        <v>9</v>
      </c>
      <c r="F1332" s="93" t="s">
        <v>1648</v>
      </c>
      <c r="G1332" s="93" t="s">
        <v>9117</v>
      </c>
      <c r="H1332" s="93" t="s">
        <v>1690</v>
      </c>
      <c r="I1332" s="93" t="s">
        <v>111</v>
      </c>
      <c r="J1332" s="93" t="s">
        <v>2013</v>
      </c>
      <c r="K1332" s="93">
        <v>50</v>
      </c>
      <c r="L1332" s="93" t="s">
        <v>111</v>
      </c>
      <c r="M1332" s="93">
        <v>5.3</v>
      </c>
      <c r="N1332" s="93" t="s">
        <v>113</v>
      </c>
      <c r="O1332" s="93">
        <v>18.5</v>
      </c>
      <c r="P1332" s="93">
        <v>29.5</v>
      </c>
      <c r="Q1332" s="93">
        <v>37.5</v>
      </c>
      <c r="R1332" s="93" t="s">
        <v>123</v>
      </c>
      <c r="S1332" s="93" t="s">
        <v>659</v>
      </c>
      <c r="T1332" s="93" t="s">
        <v>1659</v>
      </c>
      <c r="U1332" s="93" t="s">
        <v>116</v>
      </c>
      <c r="V1332" s="94">
        <v>44628.605555555558</v>
      </c>
      <c r="W1332" s="93" t="s">
        <v>1170</v>
      </c>
      <c r="X1332" s="93" t="s">
        <v>24</v>
      </c>
    </row>
    <row r="1333" spans="1:24" hidden="1" x14ac:dyDescent="0.15">
      <c r="A1333" s="93" t="s">
        <v>3569</v>
      </c>
      <c r="B1333" s="93" t="s">
        <v>3570</v>
      </c>
      <c r="C1333" s="410">
        <v>3675</v>
      </c>
      <c r="D1333" s="93" t="s">
        <v>9</v>
      </c>
      <c r="E1333" s="93" t="s">
        <v>9</v>
      </c>
      <c r="F1333" s="93" t="s">
        <v>1648</v>
      </c>
      <c r="G1333" s="93" t="s">
        <v>9117</v>
      </c>
      <c r="H1333" s="93" t="s">
        <v>1690</v>
      </c>
      <c r="I1333" s="93" t="s">
        <v>111</v>
      </c>
      <c r="J1333" s="93" t="s">
        <v>2013</v>
      </c>
      <c r="K1333" s="93">
        <v>50</v>
      </c>
      <c r="L1333" s="93" t="s">
        <v>111</v>
      </c>
      <c r="M1333" s="93">
        <v>5.3</v>
      </c>
      <c r="N1333" s="93" t="s">
        <v>113</v>
      </c>
      <c r="O1333" s="93">
        <v>18.5</v>
      </c>
      <c r="P1333" s="93">
        <v>29.5</v>
      </c>
      <c r="Q1333" s="93">
        <v>37.5</v>
      </c>
      <c r="R1333" s="93" t="s">
        <v>123</v>
      </c>
      <c r="S1333" s="93" t="s">
        <v>659</v>
      </c>
      <c r="T1333" s="93" t="s">
        <v>1659</v>
      </c>
      <c r="U1333" s="93" t="s">
        <v>116</v>
      </c>
      <c r="V1333" s="94">
        <v>44628.496527777781</v>
      </c>
      <c r="W1333" s="93" t="s">
        <v>1170</v>
      </c>
      <c r="X1333" s="93" t="s">
        <v>24</v>
      </c>
    </row>
    <row r="1334" spans="1:24" hidden="1" x14ac:dyDescent="0.15">
      <c r="A1334" s="93" t="s">
        <v>3571</v>
      </c>
      <c r="B1334" s="93" t="s">
        <v>3572</v>
      </c>
      <c r="C1334" s="410">
        <v>3675</v>
      </c>
      <c r="D1334" s="93" t="s">
        <v>9</v>
      </c>
      <c r="E1334" s="93" t="s">
        <v>9</v>
      </c>
      <c r="F1334" s="93" t="s">
        <v>1648</v>
      </c>
      <c r="G1334" s="93" t="s">
        <v>9117</v>
      </c>
      <c r="H1334" s="93" t="s">
        <v>1690</v>
      </c>
      <c r="I1334" s="93" t="s">
        <v>111</v>
      </c>
      <c r="J1334" s="93" t="s">
        <v>2013</v>
      </c>
      <c r="K1334" s="93">
        <v>50</v>
      </c>
      <c r="L1334" s="93" t="s">
        <v>111</v>
      </c>
      <c r="M1334" s="93">
        <v>5.3</v>
      </c>
      <c r="N1334" s="93" t="s">
        <v>113</v>
      </c>
      <c r="O1334" s="93">
        <v>18.5</v>
      </c>
      <c r="P1334" s="93">
        <v>29.5</v>
      </c>
      <c r="Q1334" s="93">
        <v>37.5</v>
      </c>
      <c r="R1334" s="93" t="s">
        <v>123</v>
      </c>
      <c r="S1334" s="93" t="s">
        <v>659</v>
      </c>
      <c r="T1334" s="93" t="s">
        <v>1659</v>
      </c>
      <c r="U1334" s="93" t="s">
        <v>116</v>
      </c>
      <c r="V1334" s="94">
        <v>44628.496527777781</v>
      </c>
      <c r="W1334" s="93" t="s">
        <v>1170</v>
      </c>
      <c r="X1334" s="93" t="s">
        <v>24</v>
      </c>
    </row>
    <row r="1335" spans="1:24" hidden="1" x14ac:dyDescent="0.15">
      <c r="A1335" s="93" t="s">
        <v>3573</v>
      </c>
      <c r="B1335" s="93" t="s">
        <v>3574</v>
      </c>
      <c r="C1335" s="410">
        <v>4620</v>
      </c>
      <c r="D1335" s="93" t="s">
        <v>9</v>
      </c>
      <c r="E1335" s="93" t="s">
        <v>9</v>
      </c>
      <c r="F1335" s="93" t="s">
        <v>1648</v>
      </c>
      <c r="G1335" s="93" t="s">
        <v>9117</v>
      </c>
      <c r="H1335" s="93" t="s">
        <v>1690</v>
      </c>
      <c r="I1335" s="93" t="s">
        <v>111</v>
      </c>
      <c r="J1335" s="93" t="s">
        <v>2086</v>
      </c>
      <c r="K1335" s="93">
        <v>50</v>
      </c>
      <c r="L1335" s="93" t="s">
        <v>111</v>
      </c>
      <c r="M1335" s="93">
        <v>5.7</v>
      </c>
      <c r="N1335" s="93" t="s">
        <v>113</v>
      </c>
      <c r="O1335" s="93">
        <v>18.5</v>
      </c>
      <c r="P1335" s="93">
        <v>29.5</v>
      </c>
      <c r="Q1335" s="93">
        <v>37.5</v>
      </c>
      <c r="R1335" s="93" t="s">
        <v>123</v>
      </c>
      <c r="S1335" s="93" t="s">
        <v>659</v>
      </c>
      <c r="T1335" s="93" t="s">
        <v>1659</v>
      </c>
      <c r="U1335" s="93" t="s">
        <v>119</v>
      </c>
      <c r="V1335" s="94">
        <v>44628.540972222225</v>
      </c>
      <c r="W1335" s="93" t="s">
        <v>1170</v>
      </c>
      <c r="X1335" s="93" t="s">
        <v>24</v>
      </c>
    </row>
    <row r="1336" spans="1:24" hidden="1" x14ac:dyDescent="0.15">
      <c r="A1336" s="93" t="s">
        <v>3575</v>
      </c>
      <c r="B1336" s="93" t="s">
        <v>3576</v>
      </c>
      <c r="C1336" s="410">
        <v>4620</v>
      </c>
      <c r="D1336" s="93" t="s">
        <v>9</v>
      </c>
      <c r="E1336" s="93" t="s">
        <v>9</v>
      </c>
      <c r="F1336" s="93" t="s">
        <v>1648</v>
      </c>
      <c r="G1336" s="93" t="s">
        <v>9117</v>
      </c>
      <c r="H1336" s="93" t="s">
        <v>1690</v>
      </c>
      <c r="I1336" s="93" t="s">
        <v>111</v>
      </c>
      <c r="J1336" s="93" t="s">
        <v>2086</v>
      </c>
      <c r="K1336" s="93">
        <v>50</v>
      </c>
      <c r="L1336" s="93" t="s">
        <v>111</v>
      </c>
      <c r="M1336" s="93">
        <v>5.7</v>
      </c>
      <c r="N1336" s="93" t="s">
        <v>113</v>
      </c>
      <c r="O1336" s="93">
        <v>18.5</v>
      </c>
      <c r="P1336" s="93">
        <v>29.5</v>
      </c>
      <c r="Q1336" s="93">
        <v>37.5</v>
      </c>
      <c r="R1336" s="93" t="s">
        <v>123</v>
      </c>
      <c r="S1336" s="93" t="s">
        <v>659</v>
      </c>
      <c r="T1336" s="93" t="s">
        <v>1659</v>
      </c>
      <c r="U1336" s="93" t="s">
        <v>119</v>
      </c>
      <c r="V1336" s="94">
        <v>44628.605555555558</v>
      </c>
      <c r="W1336" s="93" t="s">
        <v>1170</v>
      </c>
      <c r="X1336" s="93" t="s">
        <v>24</v>
      </c>
    </row>
    <row r="1337" spans="1:24" hidden="1" x14ac:dyDescent="0.15">
      <c r="A1337" s="93" t="s">
        <v>3577</v>
      </c>
      <c r="B1337" s="93" t="s">
        <v>3578</v>
      </c>
      <c r="C1337" s="410">
        <v>4620</v>
      </c>
      <c r="D1337" s="93" t="s">
        <v>9</v>
      </c>
      <c r="E1337" s="93" t="s">
        <v>9</v>
      </c>
      <c r="F1337" s="93" t="s">
        <v>1648</v>
      </c>
      <c r="G1337" s="93" t="s">
        <v>9117</v>
      </c>
      <c r="H1337" s="93" t="s">
        <v>1690</v>
      </c>
      <c r="I1337" s="93" t="s">
        <v>111</v>
      </c>
      <c r="J1337" s="93" t="s">
        <v>2086</v>
      </c>
      <c r="K1337" s="93">
        <v>50</v>
      </c>
      <c r="L1337" s="93" t="s">
        <v>111</v>
      </c>
      <c r="M1337" s="93">
        <v>5.7</v>
      </c>
      <c r="N1337" s="93" t="s">
        <v>113</v>
      </c>
      <c r="O1337" s="93">
        <v>18.5</v>
      </c>
      <c r="P1337" s="93">
        <v>29.5</v>
      </c>
      <c r="Q1337" s="93">
        <v>37.5</v>
      </c>
      <c r="R1337" s="93" t="s">
        <v>123</v>
      </c>
      <c r="S1337" s="93" t="s">
        <v>659</v>
      </c>
      <c r="T1337" s="93" t="s">
        <v>1659</v>
      </c>
      <c r="U1337" s="93" t="s">
        <v>116</v>
      </c>
      <c r="V1337" s="94">
        <v>44628.640972222223</v>
      </c>
      <c r="W1337" s="93" t="s">
        <v>1170</v>
      </c>
      <c r="X1337" s="93" t="s">
        <v>24</v>
      </c>
    </row>
    <row r="1338" spans="1:24" hidden="1" x14ac:dyDescent="0.15">
      <c r="A1338" s="93" t="s">
        <v>3579</v>
      </c>
      <c r="B1338" s="93" t="s">
        <v>3580</v>
      </c>
      <c r="C1338" s="410">
        <v>4620</v>
      </c>
      <c r="D1338" s="93" t="s">
        <v>9</v>
      </c>
      <c r="E1338" s="93" t="s">
        <v>9</v>
      </c>
      <c r="F1338" s="93" t="s">
        <v>1648</v>
      </c>
      <c r="G1338" s="93" t="s">
        <v>9117</v>
      </c>
      <c r="H1338" s="93" t="s">
        <v>1690</v>
      </c>
      <c r="I1338" s="93" t="s">
        <v>111</v>
      </c>
      <c r="J1338" s="93" t="s">
        <v>2086</v>
      </c>
      <c r="K1338" s="93">
        <v>50</v>
      </c>
      <c r="L1338" s="93" t="s">
        <v>111</v>
      </c>
      <c r="M1338" s="93">
        <v>6.5</v>
      </c>
      <c r="N1338" s="93" t="s">
        <v>113</v>
      </c>
      <c r="O1338" s="93">
        <v>29.5</v>
      </c>
      <c r="P1338" s="93">
        <v>37.5</v>
      </c>
      <c r="Q1338" s="93">
        <v>18.5</v>
      </c>
      <c r="R1338" s="93" t="s">
        <v>123</v>
      </c>
      <c r="S1338" s="93" t="s">
        <v>659</v>
      </c>
      <c r="T1338" s="93" t="s">
        <v>1659</v>
      </c>
      <c r="U1338" s="93" t="s">
        <v>116</v>
      </c>
      <c r="V1338" s="94">
        <v>44628.556250000001</v>
      </c>
      <c r="W1338" s="93" t="s">
        <v>1170</v>
      </c>
      <c r="X1338" s="93" t="s">
        <v>24</v>
      </c>
    </row>
    <row r="1339" spans="1:24" hidden="1" x14ac:dyDescent="0.15">
      <c r="A1339" s="93" t="s">
        <v>3581</v>
      </c>
      <c r="B1339" s="93" t="s">
        <v>3582</v>
      </c>
      <c r="C1339" s="410">
        <v>4620</v>
      </c>
      <c r="D1339" s="93" t="s">
        <v>9</v>
      </c>
      <c r="E1339" s="93" t="s">
        <v>9</v>
      </c>
      <c r="F1339" s="93" t="s">
        <v>1648</v>
      </c>
      <c r="G1339" s="93" t="s">
        <v>9117</v>
      </c>
      <c r="H1339" s="93" t="s">
        <v>1690</v>
      </c>
      <c r="I1339" s="93" t="s">
        <v>111</v>
      </c>
      <c r="J1339" s="93" t="s">
        <v>2086</v>
      </c>
      <c r="K1339" s="93">
        <v>50</v>
      </c>
      <c r="L1339" s="93" t="s">
        <v>111</v>
      </c>
      <c r="M1339" s="93">
        <v>6.5</v>
      </c>
      <c r="N1339" s="93" t="s">
        <v>113</v>
      </c>
      <c r="O1339" s="93">
        <v>29.5</v>
      </c>
      <c r="P1339" s="93">
        <v>37.5</v>
      </c>
      <c r="Q1339" s="93">
        <v>18.5</v>
      </c>
      <c r="R1339" s="93" t="s">
        <v>123</v>
      </c>
      <c r="S1339" s="93" t="s">
        <v>659</v>
      </c>
      <c r="T1339" s="93" t="s">
        <v>1659</v>
      </c>
      <c r="U1339" s="93" t="s">
        <v>116</v>
      </c>
      <c r="V1339" s="94">
        <v>44628.513194444444</v>
      </c>
      <c r="W1339" s="93" t="s">
        <v>1170</v>
      </c>
      <c r="X1339" s="93" t="s">
        <v>24</v>
      </c>
    </row>
    <row r="1340" spans="1:24" hidden="1" x14ac:dyDescent="0.15">
      <c r="A1340" s="93" t="s">
        <v>3583</v>
      </c>
      <c r="B1340" s="93" t="s">
        <v>3584</v>
      </c>
      <c r="C1340" s="410">
        <v>4620</v>
      </c>
      <c r="D1340" s="93" t="s">
        <v>9</v>
      </c>
      <c r="E1340" s="93" t="s">
        <v>9</v>
      </c>
      <c r="F1340" s="93" t="s">
        <v>1648</v>
      </c>
      <c r="G1340" s="93" t="s">
        <v>9117</v>
      </c>
      <c r="H1340" s="93" t="s">
        <v>1690</v>
      </c>
      <c r="I1340" s="93" t="s">
        <v>111</v>
      </c>
      <c r="J1340" s="93" t="s">
        <v>2086</v>
      </c>
      <c r="K1340" s="93">
        <v>50</v>
      </c>
      <c r="L1340" s="93" t="s">
        <v>111</v>
      </c>
      <c r="M1340" s="93">
        <v>6.5</v>
      </c>
      <c r="N1340" s="93" t="s">
        <v>113</v>
      </c>
      <c r="O1340" s="93">
        <v>29.5</v>
      </c>
      <c r="P1340" s="93">
        <v>37.5</v>
      </c>
      <c r="Q1340" s="93">
        <v>18.5</v>
      </c>
      <c r="R1340" s="93" t="s">
        <v>123</v>
      </c>
      <c r="S1340" s="93" t="s">
        <v>659</v>
      </c>
      <c r="T1340" s="93" t="s">
        <v>1659</v>
      </c>
      <c r="U1340" s="93" t="s">
        <v>116</v>
      </c>
      <c r="V1340" s="94">
        <v>44628.470138888886</v>
      </c>
      <c r="W1340" s="93" t="s">
        <v>1170</v>
      </c>
      <c r="X1340" s="93" t="s">
        <v>24</v>
      </c>
    </row>
    <row r="1341" spans="1:24" hidden="1" x14ac:dyDescent="0.15">
      <c r="A1341" s="93" t="s">
        <v>3585</v>
      </c>
      <c r="B1341" s="93" t="s">
        <v>3586</v>
      </c>
      <c r="C1341" s="410">
        <v>4620</v>
      </c>
      <c r="D1341" s="93" t="s">
        <v>9</v>
      </c>
      <c r="E1341" s="93" t="s">
        <v>9</v>
      </c>
      <c r="F1341" s="93" t="s">
        <v>1648</v>
      </c>
      <c r="G1341" s="93" t="s">
        <v>9117</v>
      </c>
      <c r="H1341" s="93" t="s">
        <v>1690</v>
      </c>
      <c r="I1341" s="93" t="s">
        <v>111</v>
      </c>
      <c r="J1341" s="93" t="s">
        <v>2086</v>
      </c>
      <c r="K1341" s="93">
        <v>50</v>
      </c>
      <c r="L1341" s="93" t="s">
        <v>111</v>
      </c>
      <c r="M1341" s="93">
        <v>6.5</v>
      </c>
      <c r="N1341" s="93" t="s">
        <v>113</v>
      </c>
      <c r="O1341" s="93">
        <v>29.5</v>
      </c>
      <c r="P1341" s="93">
        <v>37.5</v>
      </c>
      <c r="Q1341" s="93">
        <v>18.5</v>
      </c>
      <c r="R1341" s="93" t="s">
        <v>123</v>
      </c>
      <c r="S1341" s="93" t="s">
        <v>659</v>
      </c>
      <c r="T1341" s="93" t="s">
        <v>1659</v>
      </c>
      <c r="U1341" s="93" t="s">
        <v>116</v>
      </c>
      <c r="V1341" s="94">
        <v>44628.578472222223</v>
      </c>
      <c r="W1341" s="93" t="s">
        <v>1170</v>
      </c>
      <c r="X1341" s="93" t="s">
        <v>24</v>
      </c>
    </row>
    <row r="1342" spans="1:24" hidden="1" x14ac:dyDescent="0.15">
      <c r="A1342" s="93" t="s">
        <v>3587</v>
      </c>
      <c r="B1342" s="93" t="s">
        <v>3588</v>
      </c>
      <c r="C1342" s="410">
        <v>3675</v>
      </c>
      <c r="D1342" s="93" t="s">
        <v>9</v>
      </c>
      <c r="E1342" s="93" t="s">
        <v>9</v>
      </c>
      <c r="F1342" s="93" t="s">
        <v>1648</v>
      </c>
      <c r="G1342" s="93" t="s">
        <v>9117</v>
      </c>
      <c r="H1342" s="93" t="s">
        <v>1690</v>
      </c>
      <c r="I1342" s="93" t="s">
        <v>111</v>
      </c>
      <c r="J1342" s="93" t="s">
        <v>2013</v>
      </c>
      <c r="K1342" s="93">
        <v>50</v>
      </c>
      <c r="L1342" s="93" t="s">
        <v>111</v>
      </c>
      <c r="M1342" s="93">
        <v>5.3</v>
      </c>
      <c r="N1342" s="93" t="s">
        <v>113</v>
      </c>
      <c r="O1342" s="93">
        <v>29.5</v>
      </c>
      <c r="P1342" s="93">
        <v>37.5</v>
      </c>
      <c r="Q1342" s="93">
        <v>18.5</v>
      </c>
      <c r="R1342" s="93" t="s">
        <v>123</v>
      </c>
      <c r="S1342" s="93" t="s">
        <v>659</v>
      </c>
      <c r="T1342" s="93" t="s">
        <v>1659</v>
      </c>
      <c r="U1342" s="93" t="s">
        <v>116</v>
      </c>
      <c r="V1342" s="94">
        <v>44628.535416666666</v>
      </c>
      <c r="W1342" s="93" t="s">
        <v>1170</v>
      </c>
      <c r="X1342" s="93" t="s">
        <v>24</v>
      </c>
    </row>
    <row r="1343" spans="1:24" hidden="1" x14ac:dyDescent="0.15">
      <c r="A1343" s="93" t="s">
        <v>3589</v>
      </c>
      <c r="B1343" s="93" t="s">
        <v>3590</v>
      </c>
      <c r="C1343" s="410">
        <v>3675</v>
      </c>
      <c r="D1343" s="93" t="s">
        <v>9</v>
      </c>
      <c r="E1343" s="93" t="s">
        <v>9</v>
      </c>
      <c r="F1343" s="93" t="s">
        <v>1648</v>
      </c>
      <c r="G1343" s="93" t="s">
        <v>9117</v>
      </c>
      <c r="H1343" s="93" t="s">
        <v>1690</v>
      </c>
      <c r="I1343" s="93" t="s">
        <v>111</v>
      </c>
      <c r="J1343" s="93" t="s">
        <v>2013</v>
      </c>
      <c r="K1343" s="93">
        <v>50</v>
      </c>
      <c r="L1343" s="93" t="s">
        <v>111</v>
      </c>
      <c r="M1343" s="93">
        <v>5.3</v>
      </c>
      <c r="N1343" s="93" t="s">
        <v>113</v>
      </c>
      <c r="O1343" s="93">
        <v>29.5</v>
      </c>
      <c r="P1343" s="93">
        <v>37.5</v>
      </c>
      <c r="Q1343" s="93">
        <v>18.5</v>
      </c>
      <c r="R1343" s="93" t="s">
        <v>123</v>
      </c>
      <c r="S1343" s="93" t="s">
        <v>659</v>
      </c>
      <c r="T1343" s="93" t="s">
        <v>1659</v>
      </c>
      <c r="U1343" s="93" t="s">
        <v>119</v>
      </c>
      <c r="V1343" s="94">
        <v>44628.635416666664</v>
      </c>
      <c r="W1343" s="93" t="s">
        <v>1170</v>
      </c>
      <c r="X1343" s="93" t="s">
        <v>24</v>
      </c>
    </row>
    <row r="1344" spans="1:24" hidden="1" x14ac:dyDescent="0.15">
      <c r="A1344" s="93" t="s">
        <v>3591</v>
      </c>
      <c r="B1344" s="93" t="s">
        <v>3592</v>
      </c>
      <c r="C1344" s="410">
        <v>3675</v>
      </c>
      <c r="D1344" s="93" t="s">
        <v>9</v>
      </c>
      <c r="E1344" s="93" t="s">
        <v>9</v>
      </c>
      <c r="F1344" s="93" t="s">
        <v>1648</v>
      </c>
      <c r="G1344" s="93" t="s">
        <v>9117</v>
      </c>
      <c r="H1344" s="93" t="s">
        <v>1690</v>
      </c>
      <c r="I1344" s="93" t="s">
        <v>111</v>
      </c>
      <c r="J1344" s="93" t="s">
        <v>2013</v>
      </c>
      <c r="K1344" s="93">
        <v>50</v>
      </c>
      <c r="L1344" s="93" t="s">
        <v>111</v>
      </c>
      <c r="M1344" s="93">
        <v>5.3</v>
      </c>
      <c r="N1344" s="93" t="s">
        <v>113</v>
      </c>
      <c r="O1344" s="93">
        <v>29.5</v>
      </c>
      <c r="P1344" s="93">
        <v>37.5</v>
      </c>
      <c r="Q1344" s="93">
        <v>18.5</v>
      </c>
      <c r="R1344" s="93" t="s">
        <v>123</v>
      </c>
      <c r="S1344" s="93" t="s">
        <v>659</v>
      </c>
      <c r="T1344" s="93" t="s">
        <v>1659</v>
      </c>
      <c r="U1344" s="93" t="s">
        <v>116</v>
      </c>
      <c r="V1344" s="94">
        <v>44628.6</v>
      </c>
      <c r="W1344" s="93" t="s">
        <v>1170</v>
      </c>
      <c r="X1344" s="93" t="s">
        <v>24</v>
      </c>
    </row>
    <row r="1345" spans="1:24" hidden="1" x14ac:dyDescent="0.15">
      <c r="A1345" s="93" t="s">
        <v>3593</v>
      </c>
      <c r="B1345" s="93" t="s">
        <v>3594</v>
      </c>
      <c r="C1345" s="410">
        <v>3675</v>
      </c>
      <c r="D1345" s="93" t="s">
        <v>9</v>
      </c>
      <c r="E1345" s="93" t="s">
        <v>9</v>
      </c>
      <c r="F1345" s="93" t="s">
        <v>1648</v>
      </c>
      <c r="G1345" s="93" t="s">
        <v>9117</v>
      </c>
      <c r="H1345" s="93" t="s">
        <v>1690</v>
      </c>
      <c r="I1345" s="93" t="s">
        <v>111</v>
      </c>
      <c r="J1345" s="93" t="s">
        <v>2013</v>
      </c>
      <c r="K1345" s="93">
        <v>50</v>
      </c>
      <c r="L1345" s="93" t="s">
        <v>111</v>
      </c>
      <c r="M1345" s="93">
        <v>5.3</v>
      </c>
      <c r="N1345" s="93" t="s">
        <v>113</v>
      </c>
      <c r="O1345" s="93">
        <v>29.5</v>
      </c>
      <c r="P1345" s="93">
        <v>37.5</v>
      </c>
      <c r="Q1345" s="93">
        <v>18.5</v>
      </c>
      <c r="R1345" s="93" t="s">
        <v>123</v>
      </c>
      <c r="S1345" s="93" t="s">
        <v>659</v>
      </c>
      <c r="T1345" s="93" t="s">
        <v>1659</v>
      </c>
      <c r="U1345" s="93" t="s">
        <v>116</v>
      </c>
      <c r="V1345" s="94">
        <v>44628.635416666664</v>
      </c>
      <c r="W1345" s="93" t="s">
        <v>1170</v>
      </c>
      <c r="X1345" s="93" t="s">
        <v>24</v>
      </c>
    </row>
    <row r="1346" spans="1:24" hidden="1" x14ac:dyDescent="0.15">
      <c r="A1346" s="93" t="s">
        <v>3595</v>
      </c>
      <c r="B1346" s="93" t="s">
        <v>3596</v>
      </c>
      <c r="C1346" s="410">
        <v>3622.5</v>
      </c>
      <c r="D1346" s="93" t="s">
        <v>9</v>
      </c>
      <c r="E1346" s="93" t="s">
        <v>9</v>
      </c>
      <c r="F1346" s="93" t="s">
        <v>1648</v>
      </c>
      <c r="G1346" s="93" t="s">
        <v>9117</v>
      </c>
      <c r="H1346" s="93" t="s">
        <v>1943</v>
      </c>
      <c r="I1346" s="93" t="s">
        <v>111</v>
      </c>
      <c r="J1346" s="93" t="s">
        <v>963</v>
      </c>
      <c r="K1346" s="93">
        <v>60</v>
      </c>
      <c r="L1346" s="93" t="s">
        <v>111</v>
      </c>
      <c r="M1346" s="93">
        <v>4.5</v>
      </c>
      <c r="N1346" s="93" t="s">
        <v>113</v>
      </c>
      <c r="O1346" s="93">
        <v>18.5</v>
      </c>
      <c r="P1346" s="93">
        <v>29.5</v>
      </c>
      <c r="Q1346" s="93">
        <v>32.5</v>
      </c>
      <c r="R1346" s="93" t="s">
        <v>123</v>
      </c>
      <c r="S1346" s="93" t="s">
        <v>659</v>
      </c>
      <c r="T1346" s="93" t="s">
        <v>1659</v>
      </c>
      <c r="U1346" s="93" t="s">
        <v>116</v>
      </c>
      <c r="V1346" s="94">
        <v>44628.584027777775</v>
      </c>
      <c r="W1346" s="93" t="s">
        <v>1170</v>
      </c>
      <c r="X1346" s="93" t="s">
        <v>24</v>
      </c>
    </row>
    <row r="1347" spans="1:24" hidden="1" x14ac:dyDescent="0.15">
      <c r="A1347" s="93" t="s">
        <v>3597</v>
      </c>
      <c r="B1347" s="93" t="s">
        <v>3598</v>
      </c>
      <c r="C1347" s="410">
        <v>3622.5</v>
      </c>
      <c r="D1347" s="93" t="s">
        <v>9</v>
      </c>
      <c r="E1347" s="93" t="s">
        <v>9</v>
      </c>
      <c r="F1347" s="93" t="s">
        <v>1648</v>
      </c>
      <c r="G1347" s="93" t="s">
        <v>9117</v>
      </c>
      <c r="H1347" s="93" t="s">
        <v>1943</v>
      </c>
      <c r="I1347" s="93" t="s">
        <v>111</v>
      </c>
      <c r="J1347" s="93" t="s">
        <v>963</v>
      </c>
      <c r="K1347" s="93">
        <v>60</v>
      </c>
      <c r="L1347" s="93" t="s">
        <v>111</v>
      </c>
      <c r="M1347" s="93">
        <v>4.5</v>
      </c>
      <c r="N1347" s="93" t="s">
        <v>113</v>
      </c>
      <c r="O1347" s="93">
        <v>18.5</v>
      </c>
      <c r="P1347" s="93">
        <v>29.5</v>
      </c>
      <c r="Q1347" s="93">
        <v>32.5</v>
      </c>
      <c r="R1347" s="93" t="s">
        <v>123</v>
      </c>
      <c r="S1347" s="93" t="s">
        <v>659</v>
      </c>
      <c r="T1347" s="93" t="s">
        <v>1659</v>
      </c>
      <c r="U1347" s="93" t="s">
        <v>116</v>
      </c>
      <c r="V1347" s="94">
        <v>44628.518750000003</v>
      </c>
      <c r="W1347" s="93" t="s">
        <v>1170</v>
      </c>
      <c r="X1347" s="93" t="s">
        <v>24</v>
      </c>
    </row>
    <row r="1348" spans="1:24" hidden="1" x14ac:dyDescent="0.15">
      <c r="A1348" s="93" t="s">
        <v>3599</v>
      </c>
      <c r="B1348" s="93" t="s">
        <v>3600</v>
      </c>
      <c r="C1348" s="410">
        <v>3622.5</v>
      </c>
      <c r="D1348" s="93" t="s">
        <v>9</v>
      </c>
      <c r="E1348" s="93" t="s">
        <v>9</v>
      </c>
      <c r="F1348" s="93" t="s">
        <v>1648</v>
      </c>
      <c r="G1348" s="93" t="s">
        <v>9117</v>
      </c>
      <c r="H1348" s="93" t="s">
        <v>1943</v>
      </c>
      <c r="I1348" s="93" t="s">
        <v>111</v>
      </c>
      <c r="J1348" s="93" t="s">
        <v>963</v>
      </c>
      <c r="K1348" s="93">
        <v>60</v>
      </c>
      <c r="L1348" s="93" t="s">
        <v>111</v>
      </c>
      <c r="M1348" s="93">
        <v>4.5</v>
      </c>
      <c r="N1348" s="93" t="s">
        <v>113</v>
      </c>
      <c r="O1348" s="93">
        <v>18.5</v>
      </c>
      <c r="P1348" s="93">
        <v>29.5</v>
      </c>
      <c r="Q1348" s="93">
        <v>32.5</v>
      </c>
      <c r="R1348" s="93" t="s">
        <v>123</v>
      </c>
      <c r="S1348" s="93" t="s">
        <v>659</v>
      </c>
      <c r="T1348" s="93" t="s">
        <v>1659</v>
      </c>
      <c r="U1348" s="93" t="s">
        <v>116</v>
      </c>
      <c r="V1348" s="94">
        <v>44628.640972222223</v>
      </c>
      <c r="W1348" s="93" t="s">
        <v>1170</v>
      </c>
      <c r="X1348" s="93" t="s">
        <v>24</v>
      </c>
    </row>
    <row r="1349" spans="1:24" hidden="1" x14ac:dyDescent="0.15">
      <c r="A1349" s="93" t="s">
        <v>3601</v>
      </c>
      <c r="B1349" s="93" t="s">
        <v>3602</v>
      </c>
      <c r="C1349" s="410">
        <v>3622.5</v>
      </c>
      <c r="D1349" s="93" t="s">
        <v>9</v>
      </c>
      <c r="E1349" s="93" t="s">
        <v>9</v>
      </c>
      <c r="F1349" s="93" t="s">
        <v>1648</v>
      </c>
      <c r="G1349" s="93" t="s">
        <v>9117</v>
      </c>
      <c r="H1349" s="93" t="s">
        <v>1943</v>
      </c>
      <c r="I1349" s="93" t="s">
        <v>111</v>
      </c>
      <c r="J1349" s="93" t="s">
        <v>963</v>
      </c>
      <c r="K1349" s="93">
        <v>60</v>
      </c>
      <c r="L1349" s="93" t="s">
        <v>111</v>
      </c>
      <c r="M1349" s="93">
        <v>4.5</v>
      </c>
      <c r="N1349" s="93" t="s">
        <v>113</v>
      </c>
      <c r="O1349" s="93">
        <v>18.5</v>
      </c>
      <c r="P1349" s="93">
        <v>29.5</v>
      </c>
      <c r="Q1349" s="93">
        <v>32.5</v>
      </c>
      <c r="R1349" s="93" t="s">
        <v>123</v>
      </c>
      <c r="S1349" s="93" t="s">
        <v>659</v>
      </c>
      <c r="T1349" s="93" t="s">
        <v>1659</v>
      </c>
      <c r="U1349" s="93" t="s">
        <v>116</v>
      </c>
      <c r="V1349" s="94">
        <v>44628.475694444445</v>
      </c>
      <c r="W1349" s="93" t="s">
        <v>1170</v>
      </c>
      <c r="X1349" s="93" t="s">
        <v>24</v>
      </c>
    </row>
    <row r="1350" spans="1:24" hidden="1" x14ac:dyDescent="0.15">
      <c r="A1350" s="93" t="s">
        <v>3603</v>
      </c>
      <c r="B1350" s="93" t="s">
        <v>3604</v>
      </c>
      <c r="C1350" s="410">
        <v>3622.5</v>
      </c>
      <c r="D1350" s="93" t="s">
        <v>9</v>
      </c>
      <c r="E1350" s="93" t="s">
        <v>9</v>
      </c>
      <c r="F1350" s="93" t="s">
        <v>1648</v>
      </c>
      <c r="G1350" s="93" t="s">
        <v>9117</v>
      </c>
      <c r="H1350" s="93" t="s">
        <v>1943</v>
      </c>
      <c r="I1350" s="93" t="s">
        <v>111</v>
      </c>
      <c r="J1350" s="93" t="s">
        <v>963</v>
      </c>
      <c r="K1350" s="93">
        <v>60</v>
      </c>
      <c r="L1350" s="93" t="s">
        <v>111</v>
      </c>
      <c r="M1350" s="93">
        <v>4.5</v>
      </c>
      <c r="N1350" s="93" t="s">
        <v>113</v>
      </c>
      <c r="O1350" s="93">
        <v>18.5</v>
      </c>
      <c r="P1350" s="93">
        <v>29.5</v>
      </c>
      <c r="Q1350" s="93">
        <v>32.5</v>
      </c>
      <c r="R1350" s="93" t="s">
        <v>123</v>
      </c>
      <c r="S1350" s="93" t="s">
        <v>659</v>
      </c>
      <c r="T1350" s="93" t="s">
        <v>1659</v>
      </c>
      <c r="U1350" s="93" t="s">
        <v>116</v>
      </c>
      <c r="V1350" s="94">
        <v>44628.496527777781</v>
      </c>
      <c r="W1350" s="93" t="s">
        <v>1170</v>
      </c>
      <c r="X1350" s="93" t="s">
        <v>24</v>
      </c>
    </row>
    <row r="1351" spans="1:24" hidden="1" x14ac:dyDescent="0.15">
      <c r="A1351" s="93" t="s">
        <v>3605</v>
      </c>
      <c r="B1351" s="93" t="s">
        <v>3606</v>
      </c>
      <c r="C1351" s="410">
        <v>3675</v>
      </c>
      <c r="D1351" s="93" t="s">
        <v>9</v>
      </c>
      <c r="E1351" s="93" t="s">
        <v>9</v>
      </c>
      <c r="F1351" s="93" t="s">
        <v>1648</v>
      </c>
      <c r="G1351" s="93" t="s">
        <v>9117</v>
      </c>
      <c r="H1351" s="93" t="s">
        <v>1690</v>
      </c>
      <c r="I1351" s="93" t="s">
        <v>111</v>
      </c>
      <c r="J1351" s="93" t="s">
        <v>2013</v>
      </c>
      <c r="K1351" s="93">
        <v>50</v>
      </c>
      <c r="L1351" s="93" t="s">
        <v>111</v>
      </c>
      <c r="M1351" s="93">
        <v>5.3</v>
      </c>
      <c r="N1351" s="93" t="s">
        <v>113</v>
      </c>
      <c r="O1351" s="93">
        <v>18.5</v>
      </c>
      <c r="P1351" s="93">
        <v>29.5</v>
      </c>
      <c r="Q1351" s="93">
        <v>37.5</v>
      </c>
      <c r="R1351" s="93" t="s">
        <v>123</v>
      </c>
      <c r="S1351" s="93" t="s">
        <v>659</v>
      </c>
      <c r="T1351" s="93" t="s">
        <v>1659</v>
      </c>
      <c r="U1351" s="93" t="s">
        <v>116</v>
      </c>
      <c r="V1351" s="94">
        <v>44628.518750000003</v>
      </c>
      <c r="W1351" s="93" t="s">
        <v>1170</v>
      </c>
      <c r="X1351" s="93" t="s">
        <v>24</v>
      </c>
    </row>
    <row r="1352" spans="1:24" hidden="1" x14ac:dyDescent="0.15">
      <c r="A1352" s="93" t="s">
        <v>3607</v>
      </c>
      <c r="B1352" s="93" t="s">
        <v>3608</v>
      </c>
      <c r="C1352" s="410">
        <v>3675</v>
      </c>
      <c r="D1352" s="93" t="s">
        <v>9</v>
      </c>
      <c r="E1352" s="93" t="s">
        <v>9</v>
      </c>
      <c r="F1352" s="93" t="s">
        <v>1648</v>
      </c>
      <c r="G1352" s="93" t="s">
        <v>9117</v>
      </c>
      <c r="H1352" s="93" t="s">
        <v>1690</v>
      </c>
      <c r="I1352" s="93" t="s">
        <v>111</v>
      </c>
      <c r="J1352" s="93" t="s">
        <v>2013</v>
      </c>
      <c r="K1352" s="93">
        <v>50</v>
      </c>
      <c r="L1352" s="93" t="s">
        <v>111</v>
      </c>
      <c r="M1352" s="93">
        <v>5.3</v>
      </c>
      <c r="N1352" s="93" t="s">
        <v>113</v>
      </c>
      <c r="O1352" s="93">
        <v>18.5</v>
      </c>
      <c r="P1352" s="93">
        <v>29.5</v>
      </c>
      <c r="Q1352" s="93">
        <v>37.5</v>
      </c>
      <c r="R1352" s="93" t="s">
        <v>123</v>
      </c>
      <c r="S1352" s="93" t="s">
        <v>659</v>
      </c>
      <c r="T1352" s="93" t="s">
        <v>1659</v>
      </c>
      <c r="U1352" s="93" t="s">
        <v>116</v>
      </c>
      <c r="V1352" s="94">
        <v>44628.496527777781</v>
      </c>
      <c r="W1352" s="93" t="s">
        <v>1170</v>
      </c>
      <c r="X1352" s="93" t="s">
        <v>24</v>
      </c>
    </row>
    <row r="1353" spans="1:24" hidden="1" x14ac:dyDescent="0.15">
      <c r="A1353" s="93" t="s">
        <v>3609</v>
      </c>
      <c r="B1353" s="93" t="s">
        <v>3610</v>
      </c>
      <c r="C1353" s="410">
        <v>3675</v>
      </c>
      <c r="D1353" s="93" t="s">
        <v>9</v>
      </c>
      <c r="E1353" s="93" t="s">
        <v>9</v>
      </c>
      <c r="F1353" s="93" t="s">
        <v>1648</v>
      </c>
      <c r="G1353" s="93" t="s">
        <v>9117</v>
      </c>
      <c r="H1353" s="93" t="s">
        <v>1690</v>
      </c>
      <c r="I1353" s="93" t="s">
        <v>111</v>
      </c>
      <c r="J1353" s="93" t="s">
        <v>2013</v>
      </c>
      <c r="K1353" s="93">
        <v>50</v>
      </c>
      <c r="L1353" s="93" t="s">
        <v>111</v>
      </c>
      <c r="M1353" s="93">
        <v>5.3</v>
      </c>
      <c r="N1353" s="93" t="s">
        <v>113</v>
      </c>
      <c r="O1353" s="93">
        <v>18.5</v>
      </c>
      <c r="P1353" s="93">
        <v>29.5</v>
      </c>
      <c r="Q1353" s="93">
        <v>37.5</v>
      </c>
      <c r="R1353" s="93" t="s">
        <v>123</v>
      </c>
      <c r="S1353" s="93" t="s">
        <v>659</v>
      </c>
      <c r="T1353" s="93" t="s">
        <v>1659</v>
      </c>
      <c r="U1353" s="93" t="s">
        <v>116</v>
      </c>
      <c r="V1353" s="94">
        <v>44628.605555555558</v>
      </c>
      <c r="W1353" s="93" t="s">
        <v>1170</v>
      </c>
      <c r="X1353" s="93" t="s">
        <v>24</v>
      </c>
    </row>
    <row r="1354" spans="1:24" hidden="1" x14ac:dyDescent="0.15">
      <c r="A1354" s="93" t="s">
        <v>3611</v>
      </c>
      <c r="B1354" s="93" t="s">
        <v>3612</v>
      </c>
      <c r="C1354" s="410">
        <v>3675</v>
      </c>
      <c r="D1354" s="93" t="s">
        <v>9</v>
      </c>
      <c r="E1354" s="93" t="s">
        <v>9</v>
      </c>
      <c r="F1354" s="93" t="s">
        <v>1648</v>
      </c>
      <c r="G1354" s="93" t="s">
        <v>9117</v>
      </c>
      <c r="H1354" s="93" t="s">
        <v>1690</v>
      </c>
      <c r="I1354" s="93" t="s">
        <v>111</v>
      </c>
      <c r="J1354" s="93" t="s">
        <v>2013</v>
      </c>
      <c r="K1354" s="93">
        <v>50</v>
      </c>
      <c r="L1354" s="93" t="s">
        <v>111</v>
      </c>
      <c r="M1354" s="93">
        <v>5.3</v>
      </c>
      <c r="N1354" s="93" t="s">
        <v>113</v>
      </c>
      <c r="O1354" s="93">
        <v>18.5</v>
      </c>
      <c r="P1354" s="93">
        <v>29.5</v>
      </c>
      <c r="Q1354" s="93">
        <v>37.5</v>
      </c>
      <c r="R1354" s="93" t="s">
        <v>123</v>
      </c>
      <c r="S1354" s="93" t="s">
        <v>659</v>
      </c>
      <c r="T1354" s="93" t="s">
        <v>1659</v>
      </c>
      <c r="U1354" s="93" t="s">
        <v>116</v>
      </c>
      <c r="V1354" s="94">
        <v>44628.540972222225</v>
      </c>
      <c r="W1354" s="93" t="s">
        <v>1170</v>
      </c>
      <c r="X1354" s="93" t="s">
        <v>24</v>
      </c>
    </row>
    <row r="1355" spans="1:24" hidden="1" x14ac:dyDescent="0.15">
      <c r="A1355" s="93" t="s">
        <v>3613</v>
      </c>
      <c r="B1355" s="93" t="s">
        <v>3614</v>
      </c>
      <c r="C1355" s="410">
        <v>4620</v>
      </c>
      <c r="D1355" s="93" t="s">
        <v>9</v>
      </c>
      <c r="E1355" s="93" t="s">
        <v>9</v>
      </c>
      <c r="F1355" s="93" t="s">
        <v>1648</v>
      </c>
      <c r="G1355" s="93" t="s">
        <v>9117</v>
      </c>
      <c r="H1355" s="93" t="s">
        <v>1690</v>
      </c>
      <c r="I1355" s="93" t="s">
        <v>111</v>
      </c>
      <c r="J1355" s="93" t="s">
        <v>2086</v>
      </c>
      <c r="K1355" s="93">
        <v>50</v>
      </c>
      <c r="L1355" s="93" t="s">
        <v>111</v>
      </c>
      <c r="M1355" s="93">
        <v>5.7</v>
      </c>
      <c r="N1355" s="93" t="s">
        <v>113</v>
      </c>
      <c r="O1355" s="93">
        <v>18.5</v>
      </c>
      <c r="P1355" s="93">
        <v>29.5</v>
      </c>
      <c r="Q1355" s="93">
        <v>37.5</v>
      </c>
      <c r="R1355" s="93" t="s">
        <v>123</v>
      </c>
      <c r="S1355" s="93" t="s">
        <v>659</v>
      </c>
      <c r="T1355" s="93" t="s">
        <v>1659</v>
      </c>
      <c r="U1355" s="93" t="s">
        <v>116</v>
      </c>
      <c r="V1355" s="94">
        <v>44628.584027777775</v>
      </c>
      <c r="W1355" s="93" t="s">
        <v>1170</v>
      </c>
      <c r="X1355" s="93" t="s">
        <v>24</v>
      </c>
    </row>
    <row r="1356" spans="1:24" hidden="1" x14ac:dyDescent="0.15">
      <c r="A1356" s="93" t="s">
        <v>3615</v>
      </c>
      <c r="B1356" s="93" t="s">
        <v>3616</v>
      </c>
      <c r="C1356" s="410">
        <v>4620</v>
      </c>
      <c r="D1356" s="93" t="s">
        <v>9</v>
      </c>
      <c r="E1356" s="93" t="s">
        <v>9</v>
      </c>
      <c r="F1356" s="93" t="s">
        <v>1648</v>
      </c>
      <c r="G1356" s="93" t="s">
        <v>9117</v>
      </c>
      <c r="H1356" s="93" t="s">
        <v>1690</v>
      </c>
      <c r="I1356" s="93" t="s">
        <v>111</v>
      </c>
      <c r="J1356" s="93" t="s">
        <v>2086</v>
      </c>
      <c r="K1356" s="93">
        <v>50</v>
      </c>
      <c r="L1356" s="93" t="s">
        <v>111</v>
      </c>
      <c r="M1356" s="93">
        <v>5.7</v>
      </c>
      <c r="N1356" s="93" t="s">
        <v>113</v>
      </c>
      <c r="O1356" s="93">
        <v>18.5</v>
      </c>
      <c r="P1356" s="93">
        <v>29.5</v>
      </c>
      <c r="Q1356" s="93">
        <v>37.5</v>
      </c>
      <c r="R1356" s="93" t="s">
        <v>123</v>
      </c>
      <c r="S1356" s="93" t="s">
        <v>659</v>
      </c>
      <c r="T1356" s="93" t="s">
        <v>1659</v>
      </c>
      <c r="U1356" s="93" t="s">
        <v>116</v>
      </c>
      <c r="V1356" s="94">
        <v>44628.605555555558</v>
      </c>
      <c r="W1356" s="93" t="s">
        <v>1170</v>
      </c>
      <c r="X1356" s="93" t="s">
        <v>24</v>
      </c>
    </row>
    <row r="1357" spans="1:24" hidden="1" x14ac:dyDescent="0.15">
      <c r="A1357" s="93" t="s">
        <v>3617</v>
      </c>
      <c r="B1357" s="93" t="s">
        <v>3618</v>
      </c>
      <c r="C1357" s="410">
        <v>4620</v>
      </c>
      <c r="D1357" s="93" t="s">
        <v>9</v>
      </c>
      <c r="E1357" s="93" t="s">
        <v>9</v>
      </c>
      <c r="F1357" s="93" t="s">
        <v>1648</v>
      </c>
      <c r="G1357" s="93" t="s">
        <v>9117</v>
      </c>
      <c r="H1357" s="93" t="s">
        <v>1690</v>
      </c>
      <c r="I1357" s="93" t="s">
        <v>111</v>
      </c>
      <c r="J1357" s="93" t="s">
        <v>2086</v>
      </c>
      <c r="K1357" s="93">
        <v>50</v>
      </c>
      <c r="L1357" s="93" t="s">
        <v>111</v>
      </c>
      <c r="M1357" s="93">
        <v>5.7</v>
      </c>
      <c r="N1357" s="93" t="s">
        <v>113</v>
      </c>
      <c r="O1357" s="93">
        <v>18.5</v>
      </c>
      <c r="P1357" s="93">
        <v>29.5</v>
      </c>
      <c r="Q1357" s="93">
        <v>37.5</v>
      </c>
      <c r="R1357" s="93" t="s">
        <v>123</v>
      </c>
      <c r="S1357" s="93" t="s">
        <v>659</v>
      </c>
      <c r="T1357" s="93" t="s">
        <v>1659</v>
      </c>
      <c r="U1357" s="93" t="s">
        <v>116</v>
      </c>
      <c r="V1357" s="94">
        <v>44628.518750000003</v>
      </c>
      <c r="W1357" s="93" t="s">
        <v>1170</v>
      </c>
      <c r="X1357" s="93" t="s">
        <v>24</v>
      </c>
    </row>
    <row r="1358" spans="1:24" hidden="1" x14ac:dyDescent="0.15">
      <c r="A1358" s="93" t="s">
        <v>3619</v>
      </c>
      <c r="B1358" s="93" t="s">
        <v>3620</v>
      </c>
      <c r="C1358" s="410">
        <v>4620</v>
      </c>
      <c r="D1358" s="93" t="s">
        <v>9</v>
      </c>
      <c r="E1358" s="93" t="s">
        <v>9</v>
      </c>
      <c r="F1358" s="93" t="s">
        <v>1648</v>
      </c>
      <c r="G1358" s="93" t="s">
        <v>9117</v>
      </c>
      <c r="H1358" s="93" t="s">
        <v>1690</v>
      </c>
      <c r="I1358" s="93" t="s">
        <v>111</v>
      </c>
      <c r="J1358" s="93" t="s">
        <v>2086</v>
      </c>
      <c r="K1358" s="93">
        <v>50</v>
      </c>
      <c r="L1358" s="93" t="s">
        <v>111</v>
      </c>
      <c r="M1358" s="93">
        <v>5.7</v>
      </c>
      <c r="N1358" s="93" t="s">
        <v>113</v>
      </c>
      <c r="O1358" s="93">
        <v>18.5</v>
      </c>
      <c r="P1358" s="93">
        <v>29.5</v>
      </c>
      <c r="Q1358" s="93">
        <v>37.5</v>
      </c>
      <c r="R1358" s="93" t="s">
        <v>123</v>
      </c>
      <c r="S1358" s="93" t="s">
        <v>659</v>
      </c>
      <c r="T1358" s="93" t="s">
        <v>1659</v>
      </c>
      <c r="U1358" s="93" t="s">
        <v>116</v>
      </c>
      <c r="V1358" s="94">
        <v>44628.496527777781</v>
      </c>
      <c r="W1358" s="93" t="s">
        <v>1170</v>
      </c>
      <c r="X1358" s="93" t="s">
        <v>24</v>
      </c>
    </row>
    <row r="1359" spans="1:24" hidden="1" x14ac:dyDescent="0.15">
      <c r="A1359" s="93" t="s">
        <v>3621</v>
      </c>
      <c r="B1359" s="93" t="s">
        <v>3622</v>
      </c>
      <c r="C1359" s="410">
        <v>3675</v>
      </c>
      <c r="D1359" s="93" t="s">
        <v>9</v>
      </c>
      <c r="E1359" s="93" t="s">
        <v>9</v>
      </c>
      <c r="F1359" s="93" t="s">
        <v>1648</v>
      </c>
      <c r="G1359" s="93" t="s">
        <v>9117</v>
      </c>
      <c r="H1359" s="93" t="s">
        <v>1690</v>
      </c>
      <c r="I1359" s="93" t="s">
        <v>111</v>
      </c>
      <c r="J1359" s="93" t="s">
        <v>2013</v>
      </c>
      <c r="K1359" s="93">
        <v>50</v>
      </c>
      <c r="L1359" s="93" t="s">
        <v>111</v>
      </c>
      <c r="M1359" s="93">
        <v>5.3</v>
      </c>
      <c r="N1359" s="93" t="s">
        <v>113</v>
      </c>
      <c r="O1359" s="93">
        <v>18.5</v>
      </c>
      <c r="P1359" s="93">
        <v>29.5</v>
      </c>
      <c r="Q1359" s="93">
        <v>37.5</v>
      </c>
      <c r="R1359" s="93" t="s">
        <v>123</v>
      </c>
      <c r="S1359" s="93" t="s">
        <v>659</v>
      </c>
      <c r="T1359" s="93" t="s">
        <v>1659</v>
      </c>
      <c r="U1359" s="93" t="s">
        <v>116</v>
      </c>
      <c r="V1359" s="94">
        <v>44628.493055555555</v>
      </c>
      <c r="W1359" s="93" t="s">
        <v>1170</v>
      </c>
      <c r="X1359" s="93" t="s">
        <v>24</v>
      </c>
    </row>
    <row r="1360" spans="1:24" hidden="1" x14ac:dyDescent="0.15">
      <c r="A1360" s="93" t="s">
        <v>3623</v>
      </c>
      <c r="B1360" s="93" t="s">
        <v>3624</v>
      </c>
      <c r="C1360" s="410">
        <v>3675</v>
      </c>
      <c r="D1360" s="93" t="s">
        <v>9</v>
      </c>
      <c r="E1360" s="93" t="s">
        <v>9</v>
      </c>
      <c r="F1360" s="93" t="s">
        <v>1648</v>
      </c>
      <c r="G1360" s="93" t="s">
        <v>9117</v>
      </c>
      <c r="H1360" s="93" t="s">
        <v>1690</v>
      </c>
      <c r="I1360" s="93" t="s">
        <v>111</v>
      </c>
      <c r="J1360" s="93" t="s">
        <v>2013</v>
      </c>
      <c r="K1360" s="93">
        <v>50</v>
      </c>
      <c r="L1360" s="93" t="s">
        <v>111</v>
      </c>
      <c r="M1360" s="93">
        <v>5.3</v>
      </c>
      <c r="N1360" s="93" t="s">
        <v>113</v>
      </c>
      <c r="O1360" s="93">
        <v>18.5</v>
      </c>
      <c r="P1360" s="93">
        <v>29.5</v>
      </c>
      <c r="Q1360" s="93">
        <v>37.5</v>
      </c>
      <c r="R1360" s="93" t="s">
        <v>123</v>
      </c>
      <c r="S1360" s="93" t="s">
        <v>659</v>
      </c>
      <c r="T1360" s="93" t="s">
        <v>1659</v>
      </c>
      <c r="U1360" s="93" t="s">
        <v>116</v>
      </c>
      <c r="V1360" s="94">
        <v>44628.558333333334</v>
      </c>
      <c r="W1360" s="93" t="s">
        <v>1170</v>
      </c>
      <c r="X1360" s="93" t="s">
        <v>24</v>
      </c>
    </row>
    <row r="1361" spans="1:24" hidden="1" x14ac:dyDescent="0.15">
      <c r="A1361" s="93" t="s">
        <v>3625</v>
      </c>
      <c r="B1361" s="93" t="s">
        <v>3626</v>
      </c>
      <c r="C1361" s="410">
        <v>3675</v>
      </c>
      <c r="D1361" s="93" t="s">
        <v>9</v>
      </c>
      <c r="E1361" s="93" t="s">
        <v>9</v>
      </c>
      <c r="F1361" s="93" t="s">
        <v>1648</v>
      </c>
      <c r="G1361" s="93" t="s">
        <v>9117</v>
      </c>
      <c r="H1361" s="93" t="s">
        <v>1690</v>
      </c>
      <c r="I1361" s="93" t="s">
        <v>111</v>
      </c>
      <c r="J1361" s="93" t="s">
        <v>2013</v>
      </c>
      <c r="K1361" s="93">
        <v>50</v>
      </c>
      <c r="L1361" s="93" t="s">
        <v>111</v>
      </c>
      <c r="M1361" s="93">
        <v>5.3</v>
      </c>
      <c r="N1361" s="93" t="s">
        <v>113</v>
      </c>
      <c r="O1361" s="93">
        <v>18.5</v>
      </c>
      <c r="P1361" s="93">
        <v>29.5</v>
      </c>
      <c r="Q1361" s="93">
        <v>37.5</v>
      </c>
      <c r="R1361" s="93" t="s">
        <v>123</v>
      </c>
      <c r="S1361" s="93" t="s">
        <v>659</v>
      </c>
      <c r="T1361" s="93" t="s">
        <v>1659</v>
      </c>
      <c r="U1361" s="93" t="s">
        <v>116</v>
      </c>
      <c r="V1361" s="94">
        <v>44628.636805555558</v>
      </c>
      <c r="W1361" s="93" t="s">
        <v>1170</v>
      </c>
      <c r="X1361" s="93" t="s">
        <v>24</v>
      </c>
    </row>
    <row r="1362" spans="1:24" hidden="1" x14ac:dyDescent="0.15">
      <c r="A1362" s="93" t="s">
        <v>3627</v>
      </c>
      <c r="B1362" s="93" t="s">
        <v>3628</v>
      </c>
      <c r="C1362" s="410">
        <v>3675</v>
      </c>
      <c r="D1362" s="93" t="s">
        <v>9</v>
      </c>
      <c r="E1362" s="93" t="s">
        <v>9</v>
      </c>
      <c r="F1362" s="93" t="s">
        <v>1648</v>
      </c>
      <c r="G1362" s="93" t="s">
        <v>9117</v>
      </c>
      <c r="H1362" s="93" t="s">
        <v>1690</v>
      </c>
      <c r="I1362" s="93" t="s">
        <v>111</v>
      </c>
      <c r="J1362" s="93" t="s">
        <v>2013</v>
      </c>
      <c r="K1362" s="93">
        <v>50</v>
      </c>
      <c r="L1362" s="93" t="s">
        <v>111</v>
      </c>
      <c r="M1362" s="93">
        <v>5.3</v>
      </c>
      <c r="N1362" s="93" t="s">
        <v>113</v>
      </c>
      <c r="O1362" s="93">
        <v>18.5</v>
      </c>
      <c r="P1362" s="93">
        <v>29.5</v>
      </c>
      <c r="Q1362" s="93">
        <v>37.5</v>
      </c>
      <c r="R1362" s="93" t="s">
        <v>123</v>
      </c>
      <c r="S1362" s="93" t="s">
        <v>659</v>
      </c>
      <c r="T1362" s="93" t="s">
        <v>1659</v>
      </c>
      <c r="U1362" s="93" t="s">
        <v>116</v>
      </c>
      <c r="V1362" s="94">
        <v>44628.537499999999</v>
      </c>
      <c r="W1362" s="93" t="s">
        <v>1170</v>
      </c>
      <c r="X1362" s="93" t="s">
        <v>24</v>
      </c>
    </row>
    <row r="1363" spans="1:24" hidden="1" x14ac:dyDescent="0.15">
      <c r="A1363" s="93" t="s">
        <v>3629</v>
      </c>
      <c r="B1363" s="93" t="s">
        <v>3630</v>
      </c>
      <c r="C1363" s="410">
        <v>4200</v>
      </c>
      <c r="D1363" s="93" t="s">
        <v>9</v>
      </c>
      <c r="E1363" s="93" t="s">
        <v>9</v>
      </c>
      <c r="F1363" s="93" t="s">
        <v>1648</v>
      </c>
      <c r="G1363" s="93" t="s">
        <v>9117</v>
      </c>
      <c r="H1363" s="93" t="s">
        <v>1943</v>
      </c>
      <c r="I1363" s="93" t="s">
        <v>111</v>
      </c>
      <c r="J1363" s="93" t="s">
        <v>963</v>
      </c>
      <c r="K1363" s="93">
        <v>60</v>
      </c>
      <c r="L1363" s="93" t="s">
        <v>111</v>
      </c>
      <c r="M1363" s="93">
        <v>4.5</v>
      </c>
      <c r="N1363" s="93" t="s">
        <v>113</v>
      </c>
      <c r="O1363" s="93">
        <v>18.5</v>
      </c>
      <c r="P1363" s="93">
        <v>29.5</v>
      </c>
      <c r="Q1363" s="93">
        <v>32.5</v>
      </c>
      <c r="R1363" s="93" t="s">
        <v>123</v>
      </c>
      <c r="S1363" s="93" t="s">
        <v>659</v>
      </c>
      <c r="T1363" s="93" t="s">
        <v>1659</v>
      </c>
      <c r="U1363" s="93" t="s">
        <v>116</v>
      </c>
      <c r="V1363" s="94">
        <v>44628.518750000003</v>
      </c>
      <c r="W1363" s="93" t="s">
        <v>1170</v>
      </c>
      <c r="X1363" s="93" t="s">
        <v>24</v>
      </c>
    </row>
    <row r="1364" spans="1:24" hidden="1" x14ac:dyDescent="0.15">
      <c r="A1364" s="93" t="s">
        <v>3631</v>
      </c>
      <c r="B1364" s="93" t="s">
        <v>3632</v>
      </c>
      <c r="C1364" s="410">
        <v>4200</v>
      </c>
      <c r="D1364" s="93" t="s">
        <v>9</v>
      </c>
      <c r="E1364" s="93" t="s">
        <v>9</v>
      </c>
      <c r="F1364" s="93" t="s">
        <v>1648</v>
      </c>
      <c r="G1364" s="93" t="s">
        <v>9117</v>
      </c>
      <c r="H1364" s="93" t="s">
        <v>1943</v>
      </c>
      <c r="I1364" s="93" t="s">
        <v>111</v>
      </c>
      <c r="J1364" s="93" t="s">
        <v>963</v>
      </c>
      <c r="K1364" s="93">
        <v>60</v>
      </c>
      <c r="L1364" s="93" t="s">
        <v>111</v>
      </c>
      <c r="M1364" s="93">
        <v>4.5</v>
      </c>
      <c r="N1364" s="93" t="s">
        <v>113</v>
      </c>
      <c r="O1364" s="93">
        <v>18.5</v>
      </c>
      <c r="P1364" s="93">
        <v>29.5</v>
      </c>
      <c r="Q1364" s="93">
        <v>32.5</v>
      </c>
      <c r="R1364" s="93" t="s">
        <v>123</v>
      </c>
      <c r="S1364" s="93" t="s">
        <v>659</v>
      </c>
      <c r="T1364" s="93" t="s">
        <v>1659</v>
      </c>
      <c r="U1364" s="93" t="s">
        <v>116</v>
      </c>
      <c r="V1364" s="94">
        <v>44628.475694444445</v>
      </c>
      <c r="W1364" s="93" t="s">
        <v>1170</v>
      </c>
      <c r="X1364" s="93" t="s">
        <v>24</v>
      </c>
    </row>
    <row r="1365" spans="1:24" hidden="1" x14ac:dyDescent="0.15">
      <c r="A1365" s="93" t="s">
        <v>3633</v>
      </c>
      <c r="B1365" s="93" t="s">
        <v>3634</v>
      </c>
      <c r="C1365" s="410">
        <v>4200</v>
      </c>
      <c r="D1365" s="93" t="s">
        <v>9</v>
      </c>
      <c r="E1365" s="93" t="s">
        <v>9</v>
      </c>
      <c r="F1365" s="93" t="s">
        <v>1648</v>
      </c>
      <c r="G1365" s="93" t="s">
        <v>9117</v>
      </c>
      <c r="H1365" s="93" t="s">
        <v>1943</v>
      </c>
      <c r="I1365" s="93" t="s">
        <v>111</v>
      </c>
      <c r="J1365" s="93" t="s">
        <v>963</v>
      </c>
      <c r="K1365" s="93">
        <v>60</v>
      </c>
      <c r="L1365" s="93" t="s">
        <v>111</v>
      </c>
      <c r="M1365" s="93">
        <v>4.5</v>
      </c>
      <c r="N1365" s="93" t="s">
        <v>113</v>
      </c>
      <c r="O1365" s="93">
        <v>18.5</v>
      </c>
      <c r="P1365" s="93">
        <v>29.5</v>
      </c>
      <c r="Q1365" s="93">
        <v>32.5</v>
      </c>
      <c r="R1365" s="93" t="s">
        <v>123</v>
      </c>
      <c r="S1365" s="93" t="s">
        <v>659</v>
      </c>
      <c r="T1365" s="93" t="s">
        <v>1659</v>
      </c>
      <c r="U1365" s="93" t="s">
        <v>116</v>
      </c>
      <c r="V1365" s="94">
        <v>44628.584027777775</v>
      </c>
      <c r="W1365" s="93" t="s">
        <v>1170</v>
      </c>
      <c r="X1365" s="93" t="s">
        <v>24</v>
      </c>
    </row>
    <row r="1366" spans="1:24" hidden="1" x14ac:dyDescent="0.15">
      <c r="A1366" s="93" t="s">
        <v>3635</v>
      </c>
      <c r="B1366" s="93" t="s">
        <v>3636</v>
      </c>
      <c r="C1366" s="410">
        <v>4200</v>
      </c>
      <c r="D1366" s="93" t="s">
        <v>9</v>
      </c>
      <c r="E1366" s="93" t="s">
        <v>9</v>
      </c>
      <c r="F1366" s="93" t="s">
        <v>1648</v>
      </c>
      <c r="G1366" s="93" t="s">
        <v>9117</v>
      </c>
      <c r="H1366" s="93" t="s">
        <v>1943</v>
      </c>
      <c r="I1366" s="93" t="s">
        <v>111</v>
      </c>
      <c r="J1366" s="93" t="s">
        <v>963</v>
      </c>
      <c r="K1366" s="93">
        <v>60</v>
      </c>
      <c r="L1366" s="93" t="s">
        <v>111</v>
      </c>
      <c r="M1366" s="93">
        <v>4.5</v>
      </c>
      <c r="N1366" s="93" t="s">
        <v>113</v>
      </c>
      <c r="O1366" s="93">
        <v>18.5</v>
      </c>
      <c r="P1366" s="93">
        <v>29.5</v>
      </c>
      <c r="Q1366" s="93">
        <v>32.5</v>
      </c>
      <c r="R1366" s="93" t="s">
        <v>123</v>
      </c>
      <c r="S1366" s="93" t="s">
        <v>659</v>
      </c>
      <c r="T1366" s="93" t="s">
        <v>1659</v>
      </c>
      <c r="U1366" s="93" t="s">
        <v>116</v>
      </c>
      <c r="V1366" s="94">
        <v>44628.561805555553</v>
      </c>
      <c r="W1366" s="93" t="s">
        <v>1170</v>
      </c>
      <c r="X1366" s="93" t="s">
        <v>24</v>
      </c>
    </row>
    <row r="1367" spans="1:24" hidden="1" x14ac:dyDescent="0.15">
      <c r="A1367" s="93" t="s">
        <v>3637</v>
      </c>
      <c r="B1367" s="93" t="s">
        <v>3638</v>
      </c>
      <c r="C1367" s="410">
        <v>4200</v>
      </c>
      <c r="D1367" s="93" t="s">
        <v>9</v>
      </c>
      <c r="E1367" s="93" t="s">
        <v>9</v>
      </c>
      <c r="F1367" s="93" t="s">
        <v>1648</v>
      </c>
      <c r="G1367" s="93" t="s">
        <v>9117</v>
      </c>
      <c r="H1367" s="93" t="s">
        <v>1943</v>
      </c>
      <c r="I1367" s="93" t="s">
        <v>111</v>
      </c>
      <c r="J1367" s="93" t="s">
        <v>963</v>
      </c>
      <c r="K1367" s="93">
        <v>60</v>
      </c>
      <c r="L1367" s="93" t="s">
        <v>111</v>
      </c>
      <c r="M1367" s="93">
        <v>4.5</v>
      </c>
      <c r="N1367" s="93" t="s">
        <v>113</v>
      </c>
      <c r="O1367" s="93">
        <v>18.5</v>
      </c>
      <c r="P1367" s="93">
        <v>29.5</v>
      </c>
      <c r="Q1367" s="93">
        <v>32.5</v>
      </c>
      <c r="R1367" s="93" t="s">
        <v>123</v>
      </c>
      <c r="S1367" s="93" t="s">
        <v>659</v>
      </c>
      <c r="T1367" s="93" t="s">
        <v>1659</v>
      </c>
      <c r="U1367" s="93" t="s">
        <v>116</v>
      </c>
      <c r="V1367" s="94">
        <v>44628.496527777781</v>
      </c>
      <c r="W1367" s="93" t="s">
        <v>1170</v>
      </c>
      <c r="X1367" s="93" t="s">
        <v>24</v>
      </c>
    </row>
    <row r="1368" spans="1:24" hidden="1" x14ac:dyDescent="0.15">
      <c r="A1368" s="93" t="s">
        <v>3639</v>
      </c>
      <c r="B1368" s="93" t="s">
        <v>3640</v>
      </c>
      <c r="C1368" s="410">
        <v>4200</v>
      </c>
      <c r="D1368" s="93" t="s">
        <v>9</v>
      </c>
      <c r="E1368" s="93" t="s">
        <v>9</v>
      </c>
      <c r="F1368" s="93" t="s">
        <v>1648</v>
      </c>
      <c r="G1368" s="93" t="s">
        <v>9117</v>
      </c>
      <c r="H1368" s="93" t="s">
        <v>1943</v>
      </c>
      <c r="I1368" s="93" t="s">
        <v>111</v>
      </c>
      <c r="J1368" s="93" t="s">
        <v>963</v>
      </c>
      <c r="K1368" s="93">
        <v>60</v>
      </c>
      <c r="L1368" s="93" t="s">
        <v>111</v>
      </c>
      <c r="M1368" s="93">
        <v>4.5</v>
      </c>
      <c r="N1368" s="93" t="s">
        <v>113</v>
      </c>
      <c r="O1368" s="93">
        <v>18.5</v>
      </c>
      <c r="P1368" s="93">
        <v>29.5</v>
      </c>
      <c r="Q1368" s="93">
        <v>32.5</v>
      </c>
      <c r="R1368" s="93" t="s">
        <v>123</v>
      </c>
      <c r="S1368" s="93" t="s">
        <v>659</v>
      </c>
      <c r="T1368" s="93" t="s">
        <v>1659</v>
      </c>
      <c r="U1368" s="93" t="s">
        <v>116</v>
      </c>
      <c r="V1368" s="94">
        <v>44628.496527777781</v>
      </c>
      <c r="W1368" s="93" t="s">
        <v>1170</v>
      </c>
      <c r="X1368" s="93" t="s">
        <v>24</v>
      </c>
    </row>
    <row r="1369" spans="1:24" hidden="1" x14ac:dyDescent="0.15">
      <c r="A1369" s="93" t="s">
        <v>3641</v>
      </c>
      <c r="B1369" s="93" t="s">
        <v>3642</v>
      </c>
      <c r="C1369" s="410">
        <v>4200</v>
      </c>
      <c r="D1369" s="93" t="s">
        <v>9</v>
      </c>
      <c r="E1369" s="93" t="s">
        <v>9</v>
      </c>
      <c r="F1369" s="93" t="s">
        <v>1648</v>
      </c>
      <c r="G1369" s="93" t="s">
        <v>9117</v>
      </c>
      <c r="H1369" s="93" t="s">
        <v>1943</v>
      </c>
      <c r="I1369" s="93" t="s">
        <v>111</v>
      </c>
      <c r="J1369" s="93" t="s">
        <v>963</v>
      </c>
      <c r="K1369" s="93">
        <v>60</v>
      </c>
      <c r="L1369" s="93" t="s">
        <v>111</v>
      </c>
      <c r="M1369" s="93">
        <v>4.5</v>
      </c>
      <c r="N1369" s="93" t="s">
        <v>113</v>
      </c>
      <c r="O1369" s="93">
        <v>18.5</v>
      </c>
      <c r="P1369" s="93">
        <v>29.5</v>
      </c>
      <c r="Q1369" s="93">
        <v>32.5</v>
      </c>
      <c r="R1369" s="93" t="s">
        <v>123</v>
      </c>
      <c r="S1369" s="93" t="s">
        <v>659</v>
      </c>
      <c r="T1369" s="93" t="s">
        <v>1659</v>
      </c>
      <c r="U1369" s="93" t="s">
        <v>116</v>
      </c>
      <c r="V1369" s="94">
        <v>44628.540972222225</v>
      </c>
      <c r="W1369" s="93" t="s">
        <v>1170</v>
      </c>
      <c r="X1369" s="93" t="s">
        <v>24</v>
      </c>
    </row>
    <row r="1370" spans="1:24" hidden="1" x14ac:dyDescent="0.15">
      <c r="A1370" s="93" t="s">
        <v>3643</v>
      </c>
      <c r="B1370" s="93" t="s">
        <v>3644</v>
      </c>
      <c r="C1370" s="410">
        <v>4200</v>
      </c>
      <c r="D1370" s="93" t="s">
        <v>9</v>
      </c>
      <c r="E1370" s="93" t="s">
        <v>9</v>
      </c>
      <c r="F1370" s="93" t="s">
        <v>1648</v>
      </c>
      <c r="G1370" s="93" t="s">
        <v>9117</v>
      </c>
      <c r="H1370" s="93" t="s">
        <v>1943</v>
      </c>
      <c r="I1370" s="93" t="s">
        <v>111</v>
      </c>
      <c r="J1370" s="93" t="s">
        <v>963</v>
      </c>
      <c r="K1370" s="93">
        <v>60</v>
      </c>
      <c r="L1370" s="93" t="s">
        <v>111</v>
      </c>
      <c r="M1370" s="93">
        <v>4.5</v>
      </c>
      <c r="N1370" s="93" t="s">
        <v>113</v>
      </c>
      <c r="O1370" s="93">
        <v>18.5</v>
      </c>
      <c r="P1370" s="93">
        <v>29.5</v>
      </c>
      <c r="Q1370" s="93">
        <v>32.5</v>
      </c>
      <c r="R1370" s="93" t="s">
        <v>123</v>
      </c>
      <c r="S1370" s="93" t="s">
        <v>659</v>
      </c>
      <c r="T1370" s="93" t="s">
        <v>1659</v>
      </c>
      <c r="U1370" s="93" t="s">
        <v>116</v>
      </c>
      <c r="V1370" s="94">
        <v>44628.561805555553</v>
      </c>
      <c r="W1370" s="93" t="s">
        <v>1170</v>
      </c>
      <c r="X1370" s="93" t="s">
        <v>24</v>
      </c>
    </row>
    <row r="1371" spans="1:24" hidden="1" x14ac:dyDescent="0.15">
      <c r="A1371" s="93" t="s">
        <v>3645</v>
      </c>
      <c r="B1371" s="93" t="s">
        <v>3646</v>
      </c>
      <c r="C1371" s="410">
        <v>3675</v>
      </c>
      <c r="D1371" s="93" t="s">
        <v>9</v>
      </c>
      <c r="E1371" s="93" t="s">
        <v>9</v>
      </c>
      <c r="F1371" s="93" t="s">
        <v>1648</v>
      </c>
      <c r="G1371" s="93" t="s">
        <v>9117</v>
      </c>
      <c r="H1371" s="93" t="s">
        <v>1690</v>
      </c>
      <c r="I1371" s="93" t="s">
        <v>111</v>
      </c>
      <c r="J1371" s="93" t="s">
        <v>2013</v>
      </c>
      <c r="K1371" s="93">
        <v>50</v>
      </c>
      <c r="L1371" s="93" t="s">
        <v>111</v>
      </c>
      <c r="M1371" s="93">
        <v>5.3</v>
      </c>
      <c r="N1371" s="93" t="s">
        <v>113</v>
      </c>
      <c r="O1371" s="93">
        <v>18.5</v>
      </c>
      <c r="P1371" s="93">
        <v>29.5</v>
      </c>
      <c r="Q1371" s="93">
        <v>37.5</v>
      </c>
      <c r="R1371" s="93" t="s">
        <v>123</v>
      </c>
      <c r="S1371" s="93" t="s">
        <v>659</v>
      </c>
      <c r="T1371" s="93" t="s">
        <v>1659</v>
      </c>
      <c r="U1371" s="93" t="s">
        <v>116</v>
      </c>
      <c r="V1371" s="94">
        <v>44628.518750000003</v>
      </c>
      <c r="W1371" s="93" t="s">
        <v>1170</v>
      </c>
      <c r="X1371" s="93" t="s">
        <v>24</v>
      </c>
    </row>
    <row r="1372" spans="1:24" hidden="1" x14ac:dyDescent="0.15">
      <c r="A1372" s="93" t="s">
        <v>3647</v>
      </c>
      <c r="B1372" s="93" t="s">
        <v>3648</v>
      </c>
      <c r="C1372" s="410">
        <v>3675</v>
      </c>
      <c r="D1372" s="93" t="s">
        <v>9</v>
      </c>
      <c r="E1372" s="93" t="s">
        <v>9</v>
      </c>
      <c r="F1372" s="93" t="s">
        <v>1648</v>
      </c>
      <c r="G1372" s="93" t="s">
        <v>9117</v>
      </c>
      <c r="H1372" s="93" t="s">
        <v>1690</v>
      </c>
      <c r="I1372" s="93" t="s">
        <v>111</v>
      </c>
      <c r="J1372" s="93" t="s">
        <v>2013</v>
      </c>
      <c r="K1372" s="93">
        <v>50</v>
      </c>
      <c r="L1372" s="93" t="s">
        <v>111</v>
      </c>
      <c r="M1372" s="93">
        <v>5.3</v>
      </c>
      <c r="N1372" s="93" t="s">
        <v>113</v>
      </c>
      <c r="O1372" s="93">
        <v>18.5</v>
      </c>
      <c r="P1372" s="93">
        <v>29.5</v>
      </c>
      <c r="Q1372" s="93">
        <v>37.5</v>
      </c>
      <c r="R1372" s="93" t="s">
        <v>123</v>
      </c>
      <c r="S1372" s="93" t="s">
        <v>659</v>
      </c>
      <c r="T1372" s="93" t="s">
        <v>1659</v>
      </c>
      <c r="U1372" s="93" t="s">
        <v>116</v>
      </c>
      <c r="V1372" s="94">
        <v>44628.640972222223</v>
      </c>
      <c r="W1372" s="93" t="s">
        <v>1170</v>
      </c>
      <c r="X1372" s="93" t="s">
        <v>24</v>
      </c>
    </row>
    <row r="1373" spans="1:24" hidden="1" x14ac:dyDescent="0.15">
      <c r="A1373" s="93" t="s">
        <v>3649</v>
      </c>
      <c r="B1373" s="93" t="s">
        <v>3650</v>
      </c>
      <c r="C1373" s="410">
        <v>3675</v>
      </c>
      <c r="D1373" s="93" t="s">
        <v>9</v>
      </c>
      <c r="E1373" s="93" t="s">
        <v>9</v>
      </c>
      <c r="F1373" s="93" t="s">
        <v>1648</v>
      </c>
      <c r="G1373" s="93" t="s">
        <v>9117</v>
      </c>
      <c r="H1373" s="93" t="s">
        <v>1690</v>
      </c>
      <c r="I1373" s="93" t="s">
        <v>111</v>
      </c>
      <c r="J1373" s="93" t="s">
        <v>2013</v>
      </c>
      <c r="K1373" s="93">
        <v>50</v>
      </c>
      <c r="L1373" s="93" t="s">
        <v>111</v>
      </c>
      <c r="M1373" s="93">
        <v>5.3</v>
      </c>
      <c r="N1373" s="93" t="s">
        <v>113</v>
      </c>
      <c r="O1373" s="93">
        <v>18.5</v>
      </c>
      <c r="P1373" s="93">
        <v>29.5</v>
      </c>
      <c r="Q1373" s="93">
        <v>37.5</v>
      </c>
      <c r="R1373" s="93" t="s">
        <v>123</v>
      </c>
      <c r="S1373" s="93" t="s">
        <v>659</v>
      </c>
      <c r="T1373" s="93" t="s">
        <v>1659</v>
      </c>
      <c r="U1373" s="93" t="s">
        <v>116</v>
      </c>
      <c r="V1373" s="94">
        <v>44628.584027777775</v>
      </c>
      <c r="W1373" s="93" t="s">
        <v>1170</v>
      </c>
      <c r="X1373" s="93" t="s">
        <v>24</v>
      </c>
    </row>
    <row r="1374" spans="1:24" hidden="1" x14ac:dyDescent="0.15">
      <c r="A1374" s="93" t="s">
        <v>3651</v>
      </c>
      <c r="B1374" s="93" t="s">
        <v>3652</v>
      </c>
      <c r="C1374" s="410">
        <v>3675</v>
      </c>
      <c r="D1374" s="93" t="s">
        <v>9</v>
      </c>
      <c r="E1374" s="93" t="s">
        <v>9</v>
      </c>
      <c r="F1374" s="93" t="s">
        <v>1648</v>
      </c>
      <c r="G1374" s="93" t="s">
        <v>9117</v>
      </c>
      <c r="H1374" s="93" t="s">
        <v>1690</v>
      </c>
      <c r="I1374" s="93" t="s">
        <v>111</v>
      </c>
      <c r="J1374" s="93" t="s">
        <v>2013</v>
      </c>
      <c r="K1374" s="93">
        <v>50</v>
      </c>
      <c r="L1374" s="93" t="s">
        <v>111</v>
      </c>
      <c r="M1374" s="93">
        <v>5.3</v>
      </c>
      <c r="N1374" s="93" t="s">
        <v>113</v>
      </c>
      <c r="O1374" s="93">
        <v>18.5</v>
      </c>
      <c r="P1374" s="93">
        <v>29.5</v>
      </c>
      <c r="Q1374" s="93">
        <v>37.5</v>
      </c>
      <c r="R1374" s="93" t="s">
        <v>123</v>
      </c>
      <c r="S1374" s="93" t="s">
        <v>659</v>
      </c>
      <c r="T1374" s="93" t="s">
        <v>1659</v>
      </c>
      <c r="U1374" s="93" t="s">
        <v>116</v>
      </c>
      <c r="V1374" s="94">
        <v>44628.584027777775</v>
      </c>
      <c r="W1374" s="93" t="s">
        <v>1170</v>
      </c>
      <c r="X1374" s="93" t="s">
        <v>24</v>
      </c>
    </row>
    <row r="1375" spans="1:24" hidden="1" x14ac:dyDescent="0.15">
      <c r="A1375" s="93" t="s">
        <v>3653</v>
      </c>
      <c r="B1375" s="93" t="s">
        <v>3654</v>
      </c>
      <c r="C1375" s="410">
        <v>3675</v>
      </c>
      <c r="D1375" s="93" t="s">
        <v>9</v>
      </c>
      <c r="E1375" s="93" t="s">
        <v>9</v>
      </c>
      <c r="F1375" s="93" t="s">
        <v>1648</v>
      </c>
      <c r="G1375" s="93" t="s">
        <v>9117</v>
      </c>
      <c r="H1375" s="93" t="s">
        <v>1690</v>
      </c>
      <c r="I1375" s="93" t="s">
        <v>111</v>
      </c>
      <c r="J1375" s="93" t="s">
        <v>2013</v>
      </c>
      <c r="K1375" s="93">
        <v>50</v>
      </c>
      <c r="L1375" s="93" t="s">
        <v>111</v>
      </c>
      <c r="M1375" s="93">
        <v>5.3</v>
      </c>
      <c r="N1375" s="93" t="s">
        <v>113</v>
      </c>
      <c r="O1375" s="93">
        <v>18.5</v>
      </c>
      <c r="P1375" s="93">
        <v>29.5</v>
      </c>
      <c r="Q1375" s="93">
        <v>37.5</v>
      </c>
      <c r="R1375" s="93" t="s">
        <v>123</v>
      </c>
      <c r="S1375" s="93" t="s">
        <v>659</v>
      </c>
      <c r="T1375" s="93" t="s">
        <v>1659</v>
      </c>
      <c r="U1375" s="93" t="s">
        <v>116</v>
      </c>
      <c r="V1375" s="94">
        <v>44628.561805555553</v>
      </c>
      <c r="W1375" s="93" t="s">
        <v>1170</v>
      </c>
      <c r="X1375" s="93" t="s">
        <v>24</v>
      </c>
    </row>
    <row r="1376" spans="1:24" hidden="1" x14ac:dyDescent="0.15">
      <c r="A1376" s="93" t="s">
        <v>3655</v>
      </c>
      <c r="B1376" s="93" t="s">
        <v>3656</v>
      </c>
      <c r="C1376" s="410">
        <v>3675</v>
      </c>
      <c r="D1376" s="93" t="s">
        <v>9</v>
      </c>
      <c r="E1376" s="93" t="s">
        <v>9</v>
      </c>
      <c r="F1376" s="93" t="s">
        <v>1648</v>
      </c>
      <c r="G1376" s="93" t="s">
        <v>9117</v>
      </c>
      <c r="H1376" s="93" t="s">
        <v>1690</v>
      </c>
      <c r="I1376" s="93" t="s">
        <v>111</v>
      </c>
      <c r="J1376" s="93" t="s">
        <v>2013</v>
      </c>
      <c r="K1376" s="93">
        <v>50</v>
      </c>
      <c r="L1376" s="93" t="s">
        <v>111</v>
      </c>
      <c r="M1376" s="93">
        <v>5.3</v>
      </c>
      <c r="N1376" s="93" t="s">
        <v>113</v>
      </c>
      <c r="O1376" s="93">
        <v>18.5</v>
      </c>
      <c r="P1376" s="93">
        <v>29.5</v>
      </c>
      <c r="Q1376" s="93">
        <v>37.5</v>
      </c>
      <c r="R1376" s="93" t="s">
        <v>123</v>
      </c>
      <c r="S1376" s="93" t="s">
        <v>659</v>
      </c>
      <c r="T1376" s="93" t="s">
        <v>1659</v>
      </c>
      <c r="U1376" s="93" t="s">
        <v>116</v>
      </c>
      <c r="V1376" s="94">
        <v>44628.540972222225</v>
      </c>
      <c r="W1376" s="93" t="s">
        <v>1170</v>
      </c>
      <c r="X1376" s="93" t="s">
        <v>24</v>
      </c>
    </row>
    <row r="1377" spans="1:24" hidden="1" x14ac:dyDescent="0.15">
      <c r="A1377" s="93" t="s">
        <v>3657</v>
      </c>
      <c r="B1377" s="93" t="s">
        <v>3658</v>
      </c>
      <c r="C1377" s="410">
        <v>4620</v>
      </c>
      <c r="D1377" s="93" t="s">
        <v>9</v>
      </c>
      <c r="E1377" s="93" t="s">
        <v>9</v>
      </c>
      <c r="F1377" s="93" t="s">
        <v>1648</v>
      </c>
      <c r="G1377" s="93" t="s">
        <v>9117</v>
      </c>
      <c r="H1377" s="93" t="s">
        <v>1690</v>
      </c>
      <c r="I1377" s="93" t="s">
        <v>111</v>
      </c>
      <c r="J1377" s="93" t="s">
        <v>2086</v>
      </c>
      <c r="K1377" s="93">
        <v>50</v>
      </c>
      <c r="L1377" s="93" t="s">
        <v>111</v>
      </c>
      <c r="M1377" s="93">
        <v>5.7</v>
      </c>
      <c r="N1377" s="93" t="s">
        <v>113</v>
      </c>
      <c r="O1377" s="93">
        <v>18.5</v>
      </c>
      <c r="P1377" s="93">
        <v>29.5</v>
      </c>
      <c r="Q1377" s="93">
        <v>37.5</v>
      </c>
      <c r="R1377" s="93" t="s">
        <v>123</v>
      </c>
      <c r="S1377" s="93" t="s">
        <v>659</v>
      </c>
      <c r="T1377" s="93" t="s">
        <v>1659</v>
      </c>
      <c r="U1377" s="93" t="s">
        <v>116</v>
      </c>
      <c r="V1377" s="94">
        <v>44628.518750000003</v>
      </c>
      <c r="W1377" s="93" t="s">
        <v>1170</v>
      </c>
      <c r="X1377" s="93" t="s">
        <v>24</v>
      </c>
    </row>
    <row r="1378" spans="1:24" hidden="1" x14ac:dyDescent="0.15">
      <c r="A1378" s="93" t="s">
        <v>3659</v>
      </c>
      <c r="B1378" s="93" t="s">
        <v>3660</v>
      </c>
      <c r="C1378" s="410">
        <v>4620</v>
      </c>
      <c r="D1378" s="93" t="s">
        <v>9</v>
      </c>
      <c r="E1378" s="93" t="s">
        <v>9</v>
      </c>
      <c r="F1378" s="93" t="s">
        <v>1648</v>
      </c>
      <c r="G1378" s="93" t="s">
        <v>9117</v>
      </c>
      <c r="H1378" s="93" t="s">
        <v>1690</v>
      </c>
      <c r="I1378" s="93" t="s">
        <v>111</v>
      </c>
      <c r="J1378" s="93" t="s">
        <v>2086</v>
      </c>
      <c r="K1378" s="93">
        <v>50</v>
      </c>
      <c r="L1378" s="93" t="s">
        <v>111</v>
      </c>
      <c r="M1378" s="93">
        <v>5.7</v>
      </c>
      <c r="N1378" s="93" t="s">
        <v>113</v>
      </c>
      <c r="O1378" s="93">
        <v>18.5</v>
      </c>
      <c r="P1378" s="93">
        <v>29.5</v>
      </c>
      <c r="Q1378" s="93">
        <v>37.5</v>
      </c>
      <c r="R1378" s="93" t="s">
        <v>123</v>
      </c>
      <c r="S1378" s="93" t="s">
        <v>659</v>
      </c>
      <c r="T1378" s="93" t="s">
        <v>1659</v>
      </c>
      <c r="U1378" s="93" t="s">
        <v>116</v>
      </c>
      <c r="V1378" s="94">
        <v>44628.475694444445</v>
      </c>
      <c r="W1378" s="93" t="s">
        <v>1170</v>
      </c>
      <c r="X1378" s="93" t="s">
        <v>24</v>
      </c>
    </row>
    <row r="1379" spans="1:24" hidden="1" x14ac:dyDescent="0.15">
      <c r="A1379" s="93" t="s">
        <v>3661</v>
      </c>
      <c r="B1379" s="93" t="s">
        <v>3662</v>
      </c>
      <c r="C1379" s="410">
        <v>4620</v>
      </c>
      <c r="D1379" s="93" t="s">
        <v>9</v>
      </c>
      <c r="E1379" s="93" t="s">
        <v>9</v>
      </c>
      <c r="F1379" s="93" t="s">
        <v>1648</v>
      </c>
      <c r="G1379" s="93" t="s">
        <v>9117</v>
      </c>
      <c r="H1379" s="93" t="s">
        <v>1690</v>
      </c>
      <c r="I1379" s="93" t="s">
        <v>111</v>
      </c>
      <c r="J1379" s="93" t="s">
        <v>2086</v>
      </c>
      <c r="K1379" s="93">
        <v>50</v>
      </c>
      <c r="L1379" s="93" t="s">
        <v>111</v>
      </c>
      <c r="M1379" s="93">
        <v>5.7</v>
      </c>
      <c r="N1379" s="93" t="s">
        <v>113</v>
      </c>
      <c r="O1379" s="93">
        <v>18.5</v>
      </c>
      <c r="P1379" s="93">
        <v>29.5</v>
      </c>
      <c r="Q1379" s="93">
        <v>37.5</v>
      </c>
      <c r="R1379" s="93" t="s">
        <v>123</v>
      </c>
      <c r="S1379" s="93" t="s">
        <v>659</v>
      </c>
      <c r="T1379" s="93" t="s">
        <v>1659</v>
      </c>
      <c r="U1379" s="93" t="s">
        <v>116</v>
      </c>
      <c r="V1379" s="94">
        <v>44628.605555555558</v>
      </c>
      <c r="W1379" s="93" t="s">
        <v>1170</v>
      </c>
      <c r="X1379" s="93" t="s">
        <v>24</v>
      </c>
    </row>
    <row r="1380" spans="1:24" hidden="1" x14ac:dyDescent="0.15">
      <c r="A1380" s="93" t="s">
        <v>3663</v>
      </c>
      <c r="B1380" s="93" t="s">
        <v>3664</v>
      </c>
      <c r="C1380" s="410">
        <v>4620</v>
      </c>
      <c r="D1380" s="93" t="s">
        <v>9</v>
      </c>
      <c r="E1380" s="93" t="s">
        <v>9</v>
      </c>
      <c r="F1380" s="93" t="s">
        <v>1648</v>
      </c>
      <c r="G1380" s="93" t="s">
        <v>9117</v>
      </c>
      <c r="H1380" s="93" t="s">
        <v>1690</v>
      </c>
      <c r="I1380" s="93" t="s">
        <v>111</v>
      </c>
      <c r="J1380" s="93" t="s">
        <v>2086</v>
      </c>
      <c r="K1380" s="93">
        <v>50</v>
      </c>
      <c r="L1380" s="93" t="s">
        <v>111</v>
      </c>
      <c r="M1380" s="93">
        <v>5.7</v>
      </c>
      <c r="N1380" s="93" t="s">
        <v>113</v>
      </c>
      <c r="O1380" s="93">
        <v>18.5</v>
      </c>
      <c r="P1380" s="93">
        <v>29.5</v>
      </c>
      <c r="Q1380" s="93">
        <v>37.5</v>
      </c>
      <c r="R1380" s="93" t="s">
        <v>123</v>
      </c>
      <c r="S1380" s="93" t="s">
        <v>659</v>
      </c>
      <c r="T1380" s="93" t="s">
        <v>1659</v>
      </c>
      <c r="U1380" s="93" t="s">
        <v>116</v>
      </c>
      <c r="V1380" s="94">
        <v>44628.584027777775</v>
      </c>
      <c r="W1380" s="93" t="s">
        <v>1170</v>
      </c>
      <c r="X1380" s="93" t="s">
        <v>24</v>
      </c>
    </row>
    <row r="1381" spans="1:24" hidden="1" x14ac:dyDescent="0.15">
      <c r="A1381" s="93" t="s">
        <v>3665</v>
      </c>
      <c r="B1381" s="93" t="s">
        <v>3666</v>
      </c>
      <c r="C1381" s="410">
        <v>4620</v>
      </c>
      <c r="D1381" s="93" t="s">
        <v>9</v>
      </c>
      <c r="E1381" s="93" t="s">
        <v>9</v>
      </c>
      <c r="F1381" s="93" t="s">
        <v>1648</v>
      </c>
      <c r="G1381" s="93" t="s">
        <v>9117</v>
      </c>
      <c r="H1381" s="93" t="s">
        <v>1690</v>
      </c>
      <c r="I1381" s="93" t="s">
        <v>111</v>
      </c>
      <c r="J1381" s="93" t="s">
        <v>2086</v>
      </c>
      <c r="K1381" s="93">
        <v>50</v>
      </c>
      <c r="L1381" s="93" t="s">
        <v>111</v>
      </c>
      <c r="M1381" s="93">
        <v>5.7</v>
      </c>
      <c r="N1381" s="93" t="s">
        <v>113</v>
      </c>
      <c r="O1381" s="93">
        <v>18.5</v>
      </c>
      <c r="P1381" s="93">
        <v>29.5</v>
      </c>
      <c r="Q1381" s="93">
        <v>37.5</v>
      </c>
      <c r="R1381" s="93" t="s">
        <v>123</v>
      </c>
      <c r="S1381" s="93" t="s">
        <v>659</v>
      </c>
      <c r="T1381" s="93" t="s">
        <v>1659</v>
      </c>
      <c r="U1381" s="93" t="s">
        <v>116</v>
      </c>
      <c r="V1381" s="94">
        <v>44628.604861111111</v>
      </c>
      <c r="W1381" s="93" t="s">
        <v>1170</v>
      </c>
      <c r="X1381" s="93" t="s">
        <v>24</v>
      </c>
    </row>
    <row r="1382" spans="1:24" hidden="1" x14ac:dyDescent="0.15">
      <c r="A1382" s="93" t="s">
        <v>3667</v>
      </c>
      <c r="B1382" s="93" t="s">
        <v>3668</v>
      </c>
      <c r="C1382" s="410">
        <v>4620</v>
      </c>
      <c r="D1382" s="93" t="s">
        <v>9</v>
      </c>
      <c r="E1382" s="93" t="s">
        <v>9</v>
      </c>
      <c r="F1382" s="93" t="s">
        <v>1648</v>
      </c>
      <c r="G1382" s="93" t="s">
        <v>9117</v>
      </c>
      <c r="H1382" s="93" t="s">
        <v>1690</v>
      </c>
      <c r="I1382" s="93" t="s">
        <v>111</v>
      </c>
      <c r="J1382" s="93" t="s">
        <v>2086</v>
      </c>
      <c r="K1382" s="93">
        <v>50</v>
      </c>
      <c r="L1382" s="93" t="s">
        <v>111</v>
      </c>
      <c r="M1382" s="93">
        <v>5.7</v>
      </c>
      <c r="N1382" s="93" t="s">
        <v>113</v>
      </c>
      <c r="O1382" s="93">
        <v>18.5</v>
      </c>
      <c r="P1382" s="93">
        <v>29.5</v>
      </c>
      <c r="Q1382" s="93">
        <v>37.5</v>
      </c>
      <c r="R1382" s="93" t="s">
        <v>123</v>
      </c>
      <c r="S1382" s="93" t="s">
        <v>659</v>
      </c>
      <c r="T1382" s="93" t="s">
        <v>1659</v>
      </c>
      <c r="U1382" s="93" t="s">
        <v>116</v>
      </c>
      <c r="V1382" s="94">
        <v>44628.475694444445</v>
      </c>
      <c r="W1382" s="93" t="s">
        <v>1170</v>
      </c>
      <c r="X1382" s="93" t="s">
        <v>24</v>
      </c>
    </row>
    <row r="1383" spans="1:24" hidden="1" x14ac:dyDescent="0.15">
      <c r="A1383" s="93" t="s">
        <v>3669</v>
      </c>
      <c r="B1383" s="93" t="s">
        <v>3670</v>
      </c>
      <c r="C1383" s="410">
        <v>4830</v>
      </c>
      <c r="D1383" s="93" t="s">
        <v>9</v>
      </c>
      <c r="E1383" s="93" t="s">
        <v>9</v>
      </c>
      <c r="F1383" s="93" t="s">
        <v>1648</v>
      </c>
      <c r="G1383" s="93" t="s">
        <v>9117</v>
      </c>
      <c r="H1383" s="93" t="s">
        <v>1943</v>
      </c>
      <c r="I1383" s="93" t="s">
        <v>111</v>
      </c>
      <c r="J1383" s="93" t="s">
        <v>963</v>
      </c>
      <c r="K1383" s="93">
        <v>60</v>
      </c>
      <c r="L1383" s="93" t="s">
        <v>111</v>
      </c>
      <c r="M1383" s="93">
        <v>4.5</v>
      </c>
      <c r="N1383" s="93" t="s">
        <v>113</v>
      </c>
      <c r="O1383" s="93">
        <v>18.5</v>
      </c>
      <c r="P1383" s="93">
        <v>29.5</v>
      </c>
      <c r="Q1383" s="93">
        <v>32.5</v>
      </c>
      <c r="R1383" s="93" t="s">
        <v>123</v>
      </c>
      <c r="S1383" s="93" t="s">
        <v>659</v>
      </c>
      <c r="T1383" s="93" t="s">
        <v>1659</v>
      </c>
      <c r="U1383" s="93" t="s">
        <v>116</v>
      </c>
      <c r="V1383" s="94">
        <v>44628.640972222223</v>
      </c>
      <c r="W1383" s="93" t="s">
        <v>1170</v>
      </c>
      <c r="X1383" s="93" t="s">
        <v>24</v>
      </c>
    </row>
    <row r="1384" spans="1:24" hidden="1" x14ac:dyDescent="0.15">
      <c r="A1384" s="93" t="s">
        <v>3671</v>
      </c>
      <c r="B1384" s="93" t="s">
        <v>3672</v>
      </c>
      <c r="C1384" s="410">
        <v>4830</v>
      </c>
      <c r="D1384" s="93" t="s">
        <v>9</v>
      </c>
      <c r="E1384" s="93" t="s">
        <v>9</v>
      </c>
      <c r="F1384" s="93" t="s">
        <v>1648</v>
      </c>
      <c r="G1384" s="93" t="s">
        <v>9117</v>
      </c>
      <c r="H1384" s="93" t="s">
        <v>1943</v>
      </c>
      <c r="I1384" s="93" t="s">
        <v>111</v>
      </c>
      <c r="J1384" s="93" t="s">
        <v>963</v>
      </c>
      <c r="K1384" s="93">
        <v>60</v>
      </c>
      <c r="L1384" s="93" t="s">
        <v>111</v>
      </c>
      <c r="M1384" s="93">
        <v>4.5</v>
      </c>
      <c r="N1384" s="93" t="s">
        <v>113</v>
      </c>
      <c r="O1384" s="93">
        <v>18.5</v>
      </c>
      <c r="P1384" s="93">
        <v>29.5</v>
      </c>
      <c r="Q1384" s="93">
        <v>32.5</v>
      </c>
      <c r="R1384" s="93" t="s">
        <v>123</v>
      </c>
      <c r="S1384" s="93" t="s">
        <v>659</v>
      </c>
      <c r="T1384" s="93" t="s">
        <v>1659</v>
      </c>
      <c r="U1384" s="93" t="s">
        <v>116</v>
      </c>
      <c r="V1384" s="94">
        <v>44628.518750000003</v>
      </c>
      <c r="W1384" s="93" t="s">
        <v>1170</v>
      </c>
      <c r="X1384" s="93" t="s">
        <v>24</v>
      </c>
    </row>
    <row r="1385" spans="1:24" hidden="1" x14ac:dyDescent="0.15">
      <c r="A1385" s="93" t="s">
        <v>3673</v>
      </c>
      <c r="B1385" s="93" t="s">
        <v>3674</v>
      </c>
      <c r="C1385" s="410">
        <v>4830</v>
      </c>
      <c r="D1385" s="93" t="s">
        <v>9</v>
      </c>
      <c r="E1385" s="93" t="s">
        <v>9</v>
      </c>
      <c r="F1385" s="93" t="s">
        <v>1648</v>
      </c>
      <c r="G1385" s="93" t="s">
        <v>9117</v>
      </c>
      <c r="H1385" s="93" t="s">
        <v>1943</v>
      </c>
      <c r="I1385" s="93" t="s">
        <v>111</v>
      </c>
      <c r="J1385" s="93" t="s">
        <v>963</v>
      </c>
      <c r="K1385" s="93">
        <v>60</v>
      </c>
      <c r="L1385" s="93" t="s">
        <v>111</v>
      </c>
      <c r="M1385" s="93">
        <v>4.5</v>
      </c>
      <c r="N1385" s="93" t="s">
        <v>113</v>
      </c>
      <c r="O1385" s="93">
        <v>18.5</v>
      </c>
      <c r="P1385" s="93">
        <v>29.5</v>
      </c>
      <c r="Q1385" s="93">
        <v>32.5</v>
      </c>
      <c r="R1385" s="93" t="s">
        <v>123</v>
      </c>
      <c r="S1385" s="93" t="s">
        <v>659</v>
      </c>
      <c r="T1385" s="93" t="s">
        <v>1659</v>
      </c>
      <c r="U1385" s="93" t="s">
        <v>116</v>
      </c>
      <c r="V1385" s="94">
        <v>44628.640277777777</v>
      </c>
      <c r="W1385" s="93" t="s">
        <v>1170</v>
      </c>
      <c r="X1385" s="93" t="s">
        <v>24</v>
      </c>
    </row>
    <row r="1386" spans="1:24" hidden="1" x14ac:dyDescent="0.15">
      <c r="A1386" s="93" t="s">
        <v>3675</v>
      </c>
      <c r="B1386" s="93" t="s">
        <v>3676</v>
      </c>
      <c r="C1386" s="410">
        <v>4830</v>
      </c>
      <c r="D1386" s="93" t="s">
        <v>9</v>
      </c>
      <c r="E1386" s="93" t="s">
        <v>9</v>
      </c>
      <c r="F1386" s="93" t="s">
        <v>1648</v>
      </c>
      <c r="G1386" s="93" t="s">
        <v>9117</v>
      </c>
      <c r="H1386" s="93" t="s">
        <v>1943</v>
      </c>
      <c r="I1386" s="93" t="s">
        <v>111</v>
      </c>
      <c r="J1386" s="93" t="s">
        <v>963</v>
      </c>
      <c r="K1386" s="93">
        <v>60</v>
      </c>
      <c r="L1386" s="93" t="s">
        <v>111</v>
      </c>
      <c r="M1386" s="93">
        <v>4.5</v>
      </c>
      <c r="N1386" s="93" t="s">
        <v>113</v>
      </c>
      <c r="O1386" s="93">
        <v>18.5</v>
      </c>
      <c r="P1386" s="93">
        <v>29.5</v>
      </c>
      <c r="Q1386" s="93">
        <v>32.5</v>
      </c>
      <c r="R1386" s="93" t="s">
        <v>123</v>
      </c>
      <c r="S1386" s="93" t="s">
        <v>659</v>
      </c>
      <c r="T1386" s="93" t="s">
        <v>1659</v>
      </c>
      <c r="U1386" s="93" t="s">
        <v>116</v>
      </c>
      <c r="V1386" s="94">
        <v>44628.518750000003</v>
      </c>
      <c r="W1386" s="93" t="s">
        <v>1170</v>
      </c>
      <c r="X1386" s="93" t="s">
        <v>24</v>
      </c>
    </row>
    <row r="1387" spans="1:24" hidden="1" x14ac:dyDescent="0.15">
      <c r="A1387" s="93" t="s">
        <v>3677</v>
      </c>
      <c r="B1387" s="93" t="s">
        <v>3678</v>
      </c>
      <c r="C1387" s="410">
        <v>4830</v>
      </c>
      <c r="D1387" s="93" t="s">
        <v>9</v>
      </c>
      <c r="E1387" s="93" t="s">
        <v>9</v>
      </c>
      <c r="F1387" s="93" t="s">
        <v>1648</v>
      </c>
      <c r="G1387" s="93" t="s">
        <v>9117</v>
      </c>
      <c r="H1387" s="93" t="s">
        <v>1943</v>
      </c>
      <c r="I1387" s="93" t="s">
        <v>111</v>
      </c>
      <c r="J1387" s="93" t="s">
        <v>963</v>
      </c>
      <c r="K1387" s="93">
        <v>60</v>
      </c>
      <c r="L1387" s="93" t="s">
        <v>111</v>
      </c>
      <c r="M1387" s="93">
        <v>4.5</v>
      </c>
      <c r="N1387" s="93" t="s">
        <v>113</v>
      </c>
      <c r="O1387" s="93">
        <v>18.5</v>
      </c>
      <c r="P1387" s="93">
        <v>29.5</v>
      </c>
      <c r="Q1387" s="93">
        <v>32.5</v>
      </c>
      <c r="R1387" s="93" t="s">
        <v>123</v>
      </c>
      <c r="S1387" s="93" t="s">
        <v>659</v>
      </c>
      <c r="T1387" s="93" t="s">
        <v>1659</v>
      </c>
      <c r="U1387" s="93" t="s">
        <v>116</v>
      </c>
      <c r="V1387" s="94">
        <v>44628.640277777777</v>
      </c>
      <c r="W1387" s="93" t="s">
        <v>1170</v>
      </c>
      <c r="X1387" s="93" t="s">
        <v>24</v>
      </c>
    </row>
    <row r="1388" spans="1:24" hidden="1" x14ac:dyDescent="0.15">
      <c r="A1388" s="93" t="s">
        <v>3679</v>
      </c>
      <c r="B1388" s="93" t="s">
        <v>3680</v>
      </c>
      <c r="C1388" s="410">
        <v>4830</v>
      </c>
      <c r="D1388" s="93" t="s">
        <v>9</v>
      </c>
      <c r="E1388" s="93" t="s">
        <v>9</v>
      </c>
      <c r="F1388" s="93" t="s">
        <v>1648</v>
      </c>
      <c r="G1388" s="93" t="s">
        <v>9117</v>
      </c>
      <c r="H1388" s="93" t="s">
        <v>1943</v>
      </c>
      <c r="I1388" s="93" t="s">
        <v>111</v>
      </c>
      <c r="J1388" s="93" t="s">
        <v>963</v>
      </c>
      <c r="K1388" s="93">
        <v>60</v>
      </c>
      <c r="L1388" s="93" t="s">
        <v>111</v>
      </c>
      <c r="M1388" s="93">
        <v>4.5</v>
      </c>
      <c r="N1388" s="93" t="s">
        <v>113</v>
      </c>
      <c r="O1388" s="93">
        <v>18.5</v>
      </c>
      <c r="P1388" s="93">
        <v>29.5</v>
      </c>
      <c r="Q1388" s="93">
        <v>32.5</v>
      </c>
      <c r="R1388" s="93" t="s">
        <v>123</v>
      </c>
      <c r="S1388" s="93" t="s">
        <v>659</v>
      </c>
      <c r="T1388" s="93" t="s">
        <v>1659</v>
      </c>
      <c r="U1388" s="93" t="s">
        <v>116</v>
      </c>
      <c r="V1388" s="94">
        <v>44628.540972222225</v>
      </c>
      <c r="W1388" s="93" t="s">
        <v>1170</v>
      </c>
      <c r="X1388" s="93" t="s">
        <v>24</v>
      </c>
    </row>
    <row r="1389" spans="1:24" hidden="1" x14ac:dyDescent="0.15">
      <c r="A1389" s="93" t="s">
        <v>3681</v>
      </c>
      <c r="B1389" s="93" t="s">
        <v>3682</v>
      </c>
      <c r="C1389" s="410">
        <v>4830</v>
      </c>
      <c r="D1389" s="93" t="s">
        <v>9</v>
      </c>
      <c r="E1389" s="93" t="s">
        <v>9</v>
      </c>
      <c r="F1389" s="93" t="s">
        <v>1648</v>
      </c>
      <c r="G1389" s="93" t="s">
        <v>9117</v>
      </c>
      <c r="H1389" s="93" t="s">
        <v>1943</v>
      </c>
      <c r="I1389" s="93" t="s">
        <v>111</v>
      </c>
      <c r="J1389" s="93" t="s">
        <v>963</v>
      </c>
      <c r="K1389" s="93">
        <v>60</v>
      </c>
      <c r="L1389" s="93" t="s">
        <v>111</v>
      </c>
      <c r="M1389" s="93">
        <v>4.5</v>
      </c>
      <c r="N1389" s="93" t="s">
        <v>113</v>
      </c>
      <c r="O1389" s="93">
        <v>18.5</v>
      </c>
      <c r="P1389" s="93">
        <v>29.5</v>
      </c>
      <c r="Q1389" s="93">
        <v>32.5</v>
      </c>
      <c r="R1389" s="93" t="s">
        <v>123</v>
      </c>
      <c r="S1389" s="93" t="s">
        <v>659</v>
      </c>
      <c r="T1389" s="93" t="s">
        <v>1659</v>
      </c>
      <c r="U1389" s="93" t="s">
        <v>116</v>
      </c>
      <c r="V1389" s="94">
        <v>44628.496527777781</v>
      </c>
      <c r="W1389" s="93" t="s">
        <v>1170</v>
      </c>
      <c r="X1389" s="93" t="s">
        <v>24</v>
      </c>
    </row>
    <row r="1390" spans="1:24" hidden="1" x14ac:dyDescent="0.15">
      <c r="A1390" s="93" t="s">
        <v>3683</v>
      </c>
      <c r="B1390" s="93" t="s">
        <v>3684</v>
      </c>
      <c r="C1390" s="410">
        <v>4830</v>
      </c>
      <c r="D1390" s="93" t="s">
        <v>9</v>
      </c>
      <c r="E1390" s="93" t="s">
        <v>9</v>
      </c>
      <c r="F1390" s="93" t="s">
        <v>1648</v>
      </c>
      <c r="G1390" s="93" t="s">
        <v>9117</v>
      </c>
      <c r="H1390" s="93" t="s">
        <v>1943</v>
      </c>
      <c r="I1390" s="93" t="s">
        <v>111</v>
      </c>
      <c r="J1390" s="93" t="s">
        <v>963</v>
      </c>
      <c r="K1390" s="93">
        <v>60</v>
      </c>
      <c r="L1390" s="93" t="s">
        <v>111</v>
      </c>
      <c r="M1390" s="93">
        <v>4.5</v>
      </c>
      <c r="N1390" s="93" t="s">
        <v>113</v>
      </c>
      <c r="O1390" s="93">
        <v>18.5</v>
      </c>
      <c r="P1390" s="93">
        <v>29.5</v>
      </c>
      <c r="Q1390" s="93">
        <v>32.5</v>
      </c>
      <c r="R1390" s="93" t="s">
        <v>123</v>
      </c>
      <c r="S1390" s="93" t="s">
        <v>659</v>
      </c>
      <c r="T1390" s="93" t="s">
        <v>1659</v>
      </c>
      <c r="U1390" s="93" t="s">
        <v>116</v>
      </c>
      <c r="V1390" s="94">
        <v>44628.604861111111</v>
      </c>
      <c r="W1390" s="93" t="s">
        <v>1170</v>
      </c>
      <c r="X1390" s="93" t="s">
        <v>24</v>
      </c>
    </row>
    <row r="1391" spans="1:24" hidden="1" x14ac:dyDescent="0.15">
      <c r="A1391" s="93" t="s">
        <v>3685</v>
      </c>
      <c r="B1391" s="93" t="s">
        <v>3686</v>
      </c>
      <c r="C1391" s="410">
        <v>4830</v>
      </c>
      <c r="D1391" s="93" t="s">
        <v>9</v>
      </c>
      <c r="E1391" s="93" t="s">
        <v>9</v>
      </c>
      <c r="F1391" s="93" t="s">
        <v>1648</v>
      </c>
      <c r="G1391" s="93" t="s">
        <v>9117</v>
      </c>
      <c r="H1391" s="93" t="s">
        <v>1943</v>
      </c>
      <c r="I1391" s="93" t="s">
        <v>111</v>
      </c>
      <c r="J1391" s="93" t="s">
        <v>963</v>
      </c>
      <c r="K1391" s="93">
        <v>60</v>
      </c>
      <c r="L1391" s="93" t="s">
        <v>111</v>
      </c>
      <c r="M1391" s="93">
        <v>4.5</v>
      </c>
      <c r="N1391" s="93" t="s">
        <v>113</v>
      </c>
      <c r="O1391" s="93">
        <v>18.5</v>
      </c>
      <c r="P1391" s="93">
        <v>29.5</v>
      </c>
      <c r="Q1391" s="93">
        <v>32.5</v>
      </c>
      <c r="R1391" s="93" t="s">
        <v>123</v>
      </c>
      <c r="S1391" s="93" t="s">
        <v>659</v>
      </c>
      <c r="T1391" s="93" t="s">
        <v>1659</v>
      </c>
      <c r="U1391" s="93" t="s">
        <v>116</v>
      </c>
      <c r="V1391" s="94">
        <v>44628.604861111111</v>
      </c>
      <c r="W1391" s="93" t="s">
        <v>1170</v>
      </c>
      <c r="X1391" s="93" t="s">
        <v>24</v>
      </c>
    </row>
    <row r="1392" spans="1:24" hidden="1" x14ac:dyDescent="0.15">
      <c r="A1392" s="93" t="s">
        <v>3687</v>
      </c>
      <c r="B1392" s="93" t="s">
        <v>3688</v>
      </c>
      <c r="C1392" s="410">
        <v>4830</v>
      </c>
      <c r="D1392" s="93" t="s">
        <v>9</v>
      </c>
      <c r="E1392" s="93" t="s">
        <v>9</v>
      </c>
      <c r="F1392" s="93" t="s">
        <v>1648</v>
      </c>
      <c r="G1392" s="93" t="s">
        <v>9117</v>
      </c>
      <c r="H1392" s="93" t="s">
        <v>1943</v>
      </c>
      <c r="I1392" s="93" t="s">
        <v>111</v>
      </c>
      <c r="J1392" s="93" t="s">
        <v>963</v>
      </c>
      <c r="K1392" s="93">
        <v>60</v>
      </c>
      <c r="L1392" s="93" t="s">
        <v>111</v>
      </c>
      <c r="M1392" s="93">
        <v>4.5</v>
      </c>
      <c r="N1392" s="93" t="s">
        <v>113</v>
      </c>
      <c r="O1392" s="93">
        <v>18.5</v>
      </c>
      <c r="P1392" s="93">
        <v>29.5</v>
      </c>
      <c r="Q1392" s="93">
        <v>32.5</v>
      </c>
      <c r="R1392" s="93" t="s">
        <v>123</v>
      </c>
      <c r="S1392" s="93" t="s">
        <v>659</v>
      </c>
      <c r="T1392" s="93" t="s">
        <v>1659</v>
      </c>
      <c r="U1392" s="93" t="s">
        <v>116</v>
      </c>
      <c r="V1392" s="94">
        <v>44628.584027777775</v>
      </c>
      <c r="W1392" s="93" t="s">
        <v>1170</v>
      </c>
      <c r="X1392" s="93" t="s">
        <v>24</v>
      </c>
    </row>
    <row r="1393" spans="1:24" hidden="1" x14ac:dyDescent="0.15">
      <c r="A1393" s="93" t="s">
        <v>3689</v>
      </c>
      <c r="B1393" s="93" t="s">
        <v>3690</v>
      </c>
      <c r="C1393" s="410">
        <v>4830</v>
      </c>
      <c r="D1393" s="93" t="s">
        <v>9</v>
      </c>
      <c r="E1393" s="93" t="s">
        <v>9</v>
      </c>
      <c r="F1393" s="93" t="s">
        <v>1648</v>
      </c>
      <c r="G1393" s="93" t="s">
        <v>9117</v>
      </c>
      <c r="H1393" s="93" t="s">
        <v>1943</v>
      </c>
      <c r="I1393" s="93" t="s">
        <v>111</v>
      </c>
      <c r="J1393" s="93" t="s">
        <v>963</v>
      </c>
      <c r="K1393" s="93">
        <v>60</v>
      </c>
      <c r="L1393" s="93" t="s">
        <v>111</v>
      </c>
      <c r="M1393" s="93">
        <v>4.5</v>
      </c>
      <c r="N1393" s="93" t="s">
        <v>113</v>
      </c>
      <c r="O1393" s="93">
        <v>18.5</v>
      </c>
      <c r="P1393" s="93">
        <v>29.5</v>
      </c>
      <c r="Q1393" s="93">
        <v>32.5</v>
      </c>
      <c r="R1393" s="93" t="s">
        <v>123</v>
      </c>
      <c r="S1393" s="93" t="s">
        <v>659</v>
      </c>
      <c r="T1393" s="93" t="s">
        <v>1659</v>
      </c>
      <c r="U1393" s="93" t="s">
        <v>116</v>
      </c>
      <c r="V1393" s="94">
        <v>44628.540277777778</v>
      </c>
      <c r="W1393" s="93" t="s">
        <v>1170</v>
      </c>
      <c r="X1393" s="93" t="s">
        <v>24</v>
      </c>
    </row>
    <row r="1394" spans="1:24" hidden="1" x14ac:dyDescent="0.15">
      <c r="A1394" s="93" t="s">
        <v>3691</v>
      </c>
      <c r="B1394" s="93" t="s">
        <v>3692</v>
      </c>
      <c r="C1394" s="410">
        <v>4830</v>
      </c>
      <c r="D1394" s="93" t="s">
        <v>9</v>
      </c>
      <c r="E1394" s="93" t="s">
        <v>9</v>
      </c>
      <c r="F1394" s="93" t="s">
        <v>1648</v>
      </c>
      <c r="G1394" s="93" t="s">
        <v>9117</v>
      </c>
      <c r="H1394" s="93" t="s">
        <v>1943</v>
      </c>
      <c r="I1394" s="93" t="s">
        <v>111</v>
      </c>
      <c r="J1394" s="93" t="s">
        <v>963</v>
      </c>
      <c r="K1394" s="93">
        <v>60</v>
      </c>
      <c r="L1394" s="93" t="s">
        <v>111</v>
      </c>
      <c r="M1394" s="93">
        <v>4.5</v>
      </c>
      <c r="N1394" s="93" t="s">
        <v>113</v>
      </c>
      <c r="O1394" s="93">
        <v>18.5</v>
      </c>
      <c r="P1394" s="93">
        <v>29.5</v>
      </c>
      <c r="Q1394" s="93">
        <v>32.5</v>
      </c>
      <c r="R1394" s="93" t="s">
        <v>123</v>
      </c>
      <c r="S1394" s="93" t="s">
        <v>659</v>
      </c>
      <c r="T1394" s="93" t="s">
        <v>1659</v>
      </c>
      <c r="U1394" s="93" t="s">
        <v>116</v>
      </c>
      <c r="V1394" s="94">
        <v>44628.518750000003</v>
      </c>
      <c r="W1394" s="93" t="s">
        <v>1170</v>
      </c>
      <c r="X1394" s="93" t="s">
        <v>24</v>
      </c>
    </row>
    <row r="1395" spans="1:24" hidden="1" x14ac:dyDescent="0.15">
      <c r="A1395" s="93" t="s">
        <v>3693</v>
      </c>
      <c r="B1395" s="93" t="s">
        <v>3694</v>
      </c>
      <c r="C1395" s="410">
        <v>4830</v>
      </c>
      <c r="D1395" s="93" t="s">
        <v>9</v>
      </c>
      <c r="E1395" s="93" t="s">
        <v>9</v>
      </c>
      <c r="F1395" s="93" t="s">
        <v>1648</v>
      </c>
      <c r="G1395" s="93" t="s">
        <v>9117</v>
      </c>
      <c r="H1395" s="93" t="s">
        <v>1943</v>
      </c>
      <c r="I1395" s="93" t="s">
        <v>111</v>
      </c>
      <c r="J1395" s="93" t="s">
        <v>963</v>
      </c>
      <c r="K1395" s="93">
        <v>60</v>
      </c>
      <c r="L1395" s="93" t="s">
        <v>111</v>
      </c>
      <c r="M1395" s="93">
        <v>4.5</v>
      </c>
      <c r="N1395" s="93" t="s">
        <v>113</v>
      </c>
      <c r="O1395" s="93">
        <v>18.5</v>
      </c>
      <c r="P1395" s="93">
        <v>29.5</v>
      </c>
      <c r="Q1395" s="93">
        <v>32.5</v>
      </c>
      <c r="R1395" s="93" t="s">
        <v>123</v>
      </c>
      <c r="S1395" s="93" t="s">
        <v>659</v>
      </c>
      <c r="T1395" s="93" t="s">
        <v>1659</v>
      </c>
      <c r="U1395" s="93" t="s">
        <v>116</v>
      </c>
      <c r="V1395" s="94">
        <v>44628.475694444445</v>
      </c>
      <c r="W1395" s="93" t="s">
        <v>1170</v>
      </c>
      <c r="X1395" s="93" t="s">
        <v>24</v>
      </c>
    </row>
    <row r="1396" spans="1:24" hidden="1" x14ac:dyDescent="0.15">
      <c r="A1396" s="93" t="s">
        <v>3695</v>
      </c>
      <c r="B1396" s="93" t="s">
        <v>3696</v>
      </c>
      <c r="C1396" s="410">
        <v>4830</v>
      </c>
      <c r="D1396" s="93" t="s">
        <v>9</v>
      </c>
      <c r="E1396" s="93" t="s">
        <v>9</v>
      </c>
      <c r="F1396" s="93" t="s">
        <v>1648</v>
      </c>
      <c r="G1396" s="93" t="s">
        <v>9117</v>
      </c>
      <c r="H1396" s="93" t="s">
        <v>1943</v>
      </c>
      <c r="I1396" s="93" t="s">
        <v>111</v>
      </c>
      <c r="J1396" s="93" t="s">
        <v>963</v>
      </c>
      <c r="K1396" s="93">
        <v>60</v>
      </c>
      <c r="L1396" s="93" t="s">
        <v>111</v>
      </c>
      <c r="M1396" s="93">
        <v>4.5</v>
      </c>
      <c r="N1396" s="93" t="s">
        <v>113</v>
      </c>
      <c r="O1396" s="93">
        <v>18.5</v>
      </c>
      <c r="P1396" s="93">
        <v>29.5</v>
      </c>
      <c r="Q1396" s="93">
        <v>32.5</v>
      </c>
      <c r="R1396" s="93" t="s">
        <v>123</v>
      </c>
      <c r="S1396" s="93" t="s">
        <v>659</v>
      </c>
      <c r="T1396" s="93" t="s">
        <v>1659</v>
      </c>
      <c r="U1396" s="93" t="s">
        <v>116</v>
      </c>
      <c r="V1396" s="94">
        <v>44628.475694444445</v>
      </c>
      <c r="W1396" s="93" t="s">
        <v>1170</v>
      </c>
      <c r="X1396" s="93" t="s">
        <v>24</v>
      </c>
    </row>
    <row r="1397" spans="1:24" hidden="1" x14ac:dyDescent="0.15">
      <c r="A1397" s="93" t="s">
        <v>3697</v>
      </c>
      <c r="B1397" s="93" t="s">
        <v>3698</v>
      </c>
      <c r="C1397" s="410">
        <v>4830</v>
      </c>
      <c r="D1397" s="93" t="s">
        <v>9</v>
      </c>
      <c r="E1397" s="93" t="s">
        <v>9</v>
      </c>
      <c r="F1397" s="93" t="s">
        <v>1648</v>
      </c>
      <c r="G1397" s="93" t="s">
        <v>9117</v>
      </c>
      <c r="H1397" s="93" t="s">
        <v>1943</v>
      </c>
      <c r="I1397" s="93" t="s">
        <v>111</v>
      </c>
      <c r="J1397" s="93" t="s">
        <v>963</v>
      </c>
      <c r="K1397" s="93">
        <v>60</v>
      </c>
      <c r="L1397" s="93" t="s">
        <v>111</v>
      </c>
      <c r="M1397" s="93">
        <v>4.5</v>
      </c>
      <c r="N1397" s="93" t="s">
        <v>113</v>
      </c>
      <c r="O1397" s="93">
        <v>18.5</v>
      </c>
      <c r="P1397" s="93">
        <v>29.5</v>
      </c>
      <c r="Q1397" s="93">
        <v>32.5</v>
      </c>
      <c r="R1397" s="93" t="s">
        <v>123</v>
      </c>
      <c r="S1397" s="93" t="s">
        <v>659</v>
      </c>
      <c r="T1397" s="93" t="s">
        <v>1659</v>
      </c>
      <c r="U1397" s="93" t="s">
        <v>116</v>
      </c>
      <c r="V1397" s="94">
        <v>44628.540277777778</v>
      </c>
      <c r="W1397" s="93" t="s">
        <v>1170</v>
      </c>
      <c r="X1397" s="93" t="s">
        <v>24</v>
      </c>
    </row>
    <row r="1398" spans="1:24" hidden="1" x14ac:dyDescent="0.15">
      <c r="A1398" s="93" t="s">
        <v>3699</v>
      </c>
      <c r="B1398" s="93" t="s">
        <v>3700</v>
      </c>
      <c r="C1398" s="410">
        <v>4830</v>
      </c>
      <c r="D1398" s="93" t="s">
        <v>9</v>
      </c>
      <c r="E1398" s="93" t="s">
        <v>9</v>
      </c>
      <c r="F1398" s="93" t="s">
        <v>1648</v>
      </c>
      <c r="G1398" s="93" t="s">
        <v>9117</v>
      </c>
      <c r="H1398" s="93" t="s">
        <v>1943</v>
      </c>
      <c r="I1398" s="93" t="s">
        <v>111</v>
      </c>
      <c r="J1398" s="93" t="s">
        <v>963</v>
      </c>
      <c r="K1398" s="93">
        <v>60</v>
      </c>
      <c r="L1398" s="93" t="s">
        <v>111</v>
      </c>
      <c r="M1398" s="93">
        <v>4.5</v>
      </c>
      <c r="N1398" s="93" t="s">
        <v>113</v>
      </c>
      <c r="O1398" s="93">
        <v>18.5</v>
      </c>
      <c r="P1398" s="93">
        <v>29.5</v>
      </c>
      <c r="Q1398" s="93">
        <v>32.5</v>
      </c>
      <c r="R1398" s="93" t="s">
        <v>123</v>
      </c>
      <c r="S1398" s="93" t="s">
        <v>659</v>
      </c>
      <c r="T1398" s="93" t="s">
        <v>1659</v>
      </c>
      <c r="U1398" s="93" t="s">
        <v>116</v>
      </c>
      <c r="V1398" s="94">
        <v>44628.584027777775</v>
      </c>
      <c r="W1398" s="93" t="s">
        <v>1170</v>
      </c>
      <c r="X1398" s="93" t="s">
        <v>24</v>
      </c>
    </row>
    <row r="1399" spans="1:24" hidden="1" x14ac:dyDescent="0.15">
      <c r="A1399" s="93" t="s">
        <v>9247</v>
      </c>
      <c r="B1399" s="93" t="s">
        <v>9248</v>
      </c>
      <c r="C1399" s="410">
        <v>14999</v>
      </c>
      <c r="D1399" s="93" t="s">
        <v>24</v>
      </c>
      <c r="E1399" s="93" t="s">
        <v>9</v>
      </c>
      <c r="F1399" s="93" t="s">
        <v>5978</v>
      </c>
      <c r="G1399" s="93" t="s">
        <v>9249</v>
      </c>
      <c r="H1399" s="93" t="s">
        <v>6</v>
      </c>
      <c r="I1399" s="93" t="s">
        <v>9250</v>
      </c>
      <c r="J1399" s="93" t="s">
        <v>9251</v>
      </c>
      <c r="K1399" s="93">
        <v>80</v>
      </c>
      <c r="L1399" s="93">
        <v>1</v>
      </c>
      <c r="M1399" s="93">
        <v>11.3</v>
      </c>
      <c r="N1399" s="93" t="s">
        <v>113</v>
      </c>
      <c r="O1399" s="93">
        <v>49.1</v>
      </c>
      <c r="P1399" s="93">
        <v>33.9</v>
      </c>
      <c r="Q1399" s="93">
        <v>10.7</v>
      </c>
      <c r="R1399" s="93" t="s">
        <v>123</v>
      </c>
      <c r="S1399" s="93" t="s">
        <v>20</v>
      </c>
      <c r="T1399" s="93" t="s">
        <v>384</v>
      </c>
      <c r="U1399" s="93" t="s">
        <v>395</v>
      </c>
      <c r="V1399" s="94">
        <v>44628.463888888888</v>
      </c>
      <c r="W1399" s="93" t="s">
        <v>1170</v>
      </c>
      <c r="X1399" s="93" t="s">
        <v>9</v>
      </c>
    </row>
    <row r="1400" spans="1:24" hidden="1" x14ac:dyDescent="0.15">
      <c r="A1400" s="93" t="s">
        <v>9252</v>
      </c>
      <c r="B1400" s="93" t="s">
        <v>9253</v>
      </c>
      <c r="C1400" s="410">
        <v>629</v>
      </c>
      <c r="D1400" s="93" t="s">
        <v>24</v>
      </c>
      <c r="E1400" s="93" t="s">
        <v>9</v>
      </c>
      <c r="F1400" s="93" t="s">
        <v>5978</v>
      </c>
      <c r="G1400" s="93" t="s">
        <v>9254</v>
      </c>
      <c r="H1400" s="93" t="s">
        <v>1205</v>
      </c>
      <c r="I1400" s="93" t="s">
        <v>9250</v>
      </c>
      <c r="J1400" s="93" t="s">
        <v>9251</v>
      </c>
      <c r="K1400" s="93">
        <v>80</v>
      </c>
      <c r="L1400" s="93">
        <v>4</v>
      </c>
      <c r="M1400" s="93">
        <v>2.9</v>
      </c>
      <c r="N1400" s="93" t="s">
        <v>113</v>
      </c>
      <c r="O1400" s="93" t="s">
        <v>111</v>
      </c>
      <c r="P1400" s="93" t="s">
        <v>111</v>
      </c>
      <c r="Q1400" s="93" t="s">
        <v>111</v>
      </c>
      <c r="R1400" s="93" t="s">
        <v>123</v>
      </c>
      <c r="S1400" s="93" t="s">
        <v>20</v>
      </c>
      <c r="T1400" s="93" t="s">
        <v>397</v>
      </c>
      <c r="U1400" s="93" t="s">
        <v>395</v>
      </c>
      <c r="V1400" s="94">
        <v>44628.572222222225</v>
      </c>
      <c r="W1400" s="93" t="s">
        <v>1170</v>
      </c>
      <c r="X1400" s="93" t="s">
        <v>9</v>
      </c>
    </row>
    <row r="1401" spans="1:24" hidden="1" x14ac:dyDescent="0.15">
      <c r="A1401" s="93" t="s">
        <v>9255</v>
      </c>
      <c r="B1401" s="93" t="s">
        <v>9256</v>
      </c>
      <c r="C1401" s="410">
        <v>40</v>
      </c>
      <c r="D1401" s="93" t="s">
        <v>24</v>
      </c>
      <c r="E1401" s="93" t="s">
        <v>24</v>
      </c>
      <c r="F1401" s="93" t="s">
        <v>5978</v>
      </c>
      <c r="G1401" s="93" t="s">
        <v>9257</v>
      </c>
      <c r="H1401" s="93" t="s">
        <v>1198</v>
      </c>
      <c r="I1401" s="93" t="s">
        <v>111</v>
      </c>
      <c r="J1401" s="93" t="s">
        <v>9251</v>
      </c>
      <c r="K1401" s="93">
        <v>80</v>
      </c>
      <c r="L1401" s="93">
        <v>4</v>
      </c>
      <c r="M1401" s="93" t="s">
        <v>111</v>
      </c>
      <c r="N1401" s="93" t="s">
        <v>111</v>
      </c>
      <c r="O1401" s="93">
        <v>15.7</v>
      </c>
      <c r="P1401" s="93">
        <v>46.2</v>
      </c>
      <c r="Q1401" s="93">
        <v>46.2</v>
      </c>
      <c r="R1401" s="93" t="s">
        <v>117</v>
      </c>
      <c r="S1401" s="93" t="s">
        <v>20</v>
      </c>
      <c r="T1401" s="93" t="s">
        <v>115</v>
      </c>
      <c r="U1401" s="93" t="s">
        <v>395</v>
      </c>
      <c r="V1401" s="94">
        <v>44628.572222222225</v>
      </c>
      <c r="W1401" s="93" t="s">
        <v>1170</v>
      </c>
      <c r="X1401" s="93" t="s">
        <v>24</v>
      </c>
    </row>
    <row r="1402" spans="1:24" hidden="1" x14ac:dyDescent="0.15">
      <c r="A1402" s="93" t="s">
        <v>9258</v>
      </c>
      <c r="B1402" s="93" t="s">
        <v>9259</v>
      </c>
      <c r="C1402" s="410">
        <v>500</v>
      </c>
      <c r="D1402" s="93" t="s">
        <v>24</v>
      </c>
      <c r="E1402" s="93" t="s">
        <v>24</v>
      </c>
      <c r="F1402" s="93" t="s">
        <v>4125</v>
      </c>
      <c r="G1402" s="93" t="s">
        <v>9260</v>
      </c>
      <c r="H1402" s="93" t="s">
        <v>118</v>
      </c>
      <c r="I1402" s="93" t="s">
        <v>111</v>
      </c>
      <c r="J1402" s="93" t="s">
        <v>118</v>
      </c>
      <c r="K1402" s="93">
        <v>3</v>
      </c>
      <c r="L1402" s="93" t="s">
        <v>111</v>
      </c>
      <c r="M1402" s="93" t="s">
        <v>111</v>
      </c>
      <c r="N1402" s="93" t="s">
        <v>111</v>
      </c>
      <c r="O1402" s="93" t="s">
        <v>111</v>
      </c>
      <c r="P1402" s="93" t="s">
        <v>111</v>
      </c>
      <c r="Q1402" s="93" t="s">
        <v>111</v>
      </c>
      <c r="R1402" s="93" t="s">
        <v>228</v>
      </c>
      <c r="S1402" s="93" t="s">
        <v>2</v>
      </c>
      <c r="T1402" s="93" t="s">
        <v>115</v>
      </c>
      <c r="U1402" s="93" t="s">
        <v>395</v>
      </c>
      <c r="V1402" s="94">
        <v>44602.490277777775</v>
      </c>
      <c r="W1402" s="93" t="s">
        <v>1170</v>
      </c>
      <c r="X1402" s="93" t="s">
        <v>24</v>
      </c>
    </row>
    <row r="1403" spans="1:24" hidden="1" x14ac:dyDescent="0.15">
      <c r="A1403" s="93" t="s">
        <v>9261</v>
      </c>
      <c r="B1403" s="93" t="s">
        <v>9262</v>
      </c>
      <c r="C1403" s="410">
        <v>500</v>
      </c>
      <c r="D1403" s="93" t="s">
        <v>24</v>
      </c>
      <c r="E1403" s="93" t="s">
        <v>24</v>
      </c>
      <c r="F1403" s="93" t="s">
        <v>4125</v>
      </c>
      <c r="G1403" s="93" t="s">
        <v>9260</v>
      </c>
      <c r="H1403" s="93" t="s">
        <v>118</v>
      </c>
      <c r="I1403" s="93" t="s">
        <v>111</v>
      </c>
      <c r="J1403" s="93" t="s">
        <v>118</v>
      </c>
      <c r="K1403" s="93">
        <v>3</v>
      </c>
      <c r="L1403" s="93" t="s">
        <v>111</v>
      </c>
      <c r="M1403" s="93" t="s">
        <v>111</v>
      </c>
      <c r="N1403" s="93" t="s">
        <v>111</v>
      </c>
      <c r="O1403" s="93" t="s">
        <v>111</v>
      </c>
      <c r="P1403" s="93" t="s">
        <v>111</v>
      </c>
      <c r="Q1403" s="93" t="s">
        <v>111</v>
      </c>
      <c r="R1403" s="93" t="s">
        <v>228</v>
      </c>
      <c r="S1403" s="93" t="s">
        <v>2</v>
      </c>
      <c r="T1403" s="93" t="s">
        <v>115</v>
      </c>
      <c r="U1403" s="93" t="s">
        <v>395</v>
      </c>
      <c r="V1403" s="94">
        <v>44602.490277777775</v>
      </c>
      <c r="W1403" s="93" t="s">
        <v>1170</v>
      </c>
      <c r="X1403" s="93" t="s">
        <v>24</v>
      </c>
    </row>
    <row r="1404" spans="1:24" hidden="1" x14ac:dyDescent="0.15">
      <c r="A1404" s="93" t="s">
        <v>9263</v>
      </c>
      <c r="B1404" s="93" t="s">
        <v>9264</v>
      </c>
      <c r="C1404" s="410">
        <v>800</v>
      </c>
      <c r="D1404" s="93" t="s">
        <v>24</v>
      </c>
      <c r="E1404" s="93" t="s">
        <v>24</v>
      </c>
      <c r="F1404" s="93" t="s">
        <v>4125</v>
      </c>
      <c r="G1404" s="93" t="s">
        <v>9260</v>
      </c>
      <c r="H1404" s="93" t="s">
        <v>118</v>
      </c>
      <c r="I1404" s="93" t="s">
        <v>111</v>
      </c>
      <c r="J1404" s="93" t="s">
        <v>118</v>
      </c>
      <c r="K1404" s="93">
        <v>3</v>
      </c>
      <c r="L1404" s="93" t="s">
        <v>111</v>
      </c>
      <c r="M1404" s="93" t="s">
        <v>111</v>
      </c>
      <c r="N1404" s="93" t="s">
        <v>111</v>
      </c>
      <c r="O1404" s="93" t="s">
        <v>111</v>
      </c>
      <c r="P1404" s="93" t="s">
        <v>111</v>
      </c>
      <c r="Q1404" s="93" t="s">
        <v>111</v>
      </c>
      <c r="R1404" s="93" t="s">
        <v>228</v>
      </c>
      <c r="S1404" s="93" t="s">
        <v>2</v>
      </c>
      <c r="T1404" s="93" t="s">
        <v>115</v>
      </c>
      <c r="U1404" s="93" t="s">
        <v>395</v>
      </c>
      <c r="V1404" s="94">
        <v>44602.490277777775</v>
      </c>
      <c r="W1404" s="93" t="s">
        <v>1170</v>
      </c>
      <c r="X1404" s="93" t="s">
        <v>24</v>
      </c>
    </row>
    <row r="1405" spans="1:24" hidden="1" x14ac:dyDescent="0.15">
      <c r="A1405" s="93" t="s">
        <v>9265</v>
      </c>
      <c r="B1405" s="93" t="s">
        <v>9266</v>
      </c>
      <c r="C1405" s="410">
        <v>800</v>
      </c>
      <c r="D1405" s="93" t="s">
        <v>24</v>
      </c>
      <c r="E1405" s="93" t="s">
        <v>24</v>
      </c>
      <c r="F1405" s="93" t="s">
        <v>4125</v>
      </c>
      <c r="G1405" s="93" t="s">
        <v>9260</v>
      </c>
      <c r="H1405" s="93" t="s">
        <v>118</v>
      </c>
      <c r="I1405" s="93" t="s">
        <v>111</v>
      </c>
      <c r="J1405" s="93" t="s">
        <v>118</v>
      </c>
      <c r="K1405" s="93">
        <v>3</v>
      </c>
      <c r="L1405" s="93" t="s">
        <v>111</v>
      </c>
      <c r="M1405" s="93" t="s">
        <v>111</v>
      </c>
      <c r="N1405" s="93" t="s">
        <v>111</v>
      </c>
      <c r="O1405" s="93" t="s">
        <v>111</v>
      </c>
      <c r="P1405" s="93" t="s">
        <v>111</v>
      </c>
      <c r="Q1405" s="93" t="s">
        <v>111</v>
      </c>
      <c r="R1405" s="93" t="s">
        <v>228</v>
      </c>
      <c r="S1405" s="93" t="s">
        <v>2</v>
      </c>
      <c r="T1405" s="93" t="s">
        <v>115</v>
      </c>
      <c r="U1405" s="93" t="s">
        <v>395</v>
      </c>
      <c r="V1405" s="94">
        <v>44602.490972222222</v>
      </c>
      <c r="W1405" s="93" t="s">
        <v>1170</v>
      </c>
      <c r="X1405" s="93" t="s">
        <v>24</v>
      </c>
    </row>
    <row r="1406" spans="1:24" hidden="1" x14ac:dyDescent="0.15">
      <c r="A1406" s="93" t="s">
        <v>9267</v>
      </c>
      <c r="B1406" s="93" t="s">
        <v>9268</v>
      </c>
      <c r="C1406" s="410">
        <v>600</v>
      </c>
      <c r="D1406" s="93" t="s">
        <v>24</v>
      </c>
      <c r="E1406" s="93" t="s">
        <v>24</v>
      </c>
      <c r="F1406" s="93" t="s">
        <v>4125</v>
      </c>
      <c r="G1406" s="93" t="s">
        <v>9260</v>
      </c>
      <c r="H1406" s="93" t="s">
        <v>118</v>
      </c>
      <c r="I1406" s="93" t="s">
        <v>111</v>
      </c>
      <c r="J1406" s="93" t="s">
        <v>118</v>
      </c>
      <c r="K1406" s="93">
        <v>3</v>
      </c>
      <c r="L1406" s="93" t="s">
        <v>111</v>
      </c>
      <c r="M1406" s="93" t="s">
        <v>111</v>
      </c>
      <c r="N1406" s="93" t="s">
        <v>111</v>
      </c>
      <c r="O1406" s="93" t="s">
        <v>111</v>
      </c>
      <c r="P1406" s="93" t="s">
        <v>111</v>
      </c>
      <c r="Q1406" s="93" t="s">
        <v>111</v>
      </c>
      <c r="R1406" s="93" t="s">
        <v>228</v>
      </c>
      <c r="S1406" s="93" t="s">
        <v>2</v>
      </c>
      <c r="T1406" s="93" t="s">
        <v>115</v>
      </c>
      <c r="U1406" s="93" t="s">
        <v>395</v>
      </c>
      <c r="V1406" s="94">
        <v>44602.490972222222</v>
      </c>
      <c r="W1406" s="93" t="s">
        <v>1170</v>
      </c>
      <c r="X1406" s="93" t="s">
        <v>24</v>
      </c>
    </row>
    <row r="1407" spans="1:24" hidden="1" x14ac:dyDescent="0.15">
      <c r="A1407" s="93" t="s">
        <v>9269</v>
      </c>
      <c r="B1407" s="93" t="s">
        <v>9270</v>
      </c>
      <c r="C1407" s="410">
        <v>600</v>
      </c>
      <c r="D1407" s="93" t="s">
        <v>24</v>
      </c>
      <c r="E1407" s="93" t="s">
        <v>24</v>
      </c>
      <c r="F1407" s="93" t="s">
        <v>4125</v>
      </c>
      <c r="G1407" s="93" t="s">
        <v>9260</v>
      </c>
      <c r="H1407" s="93" t="s">
        <v>118</v>
      </c>
      <c r="I1407" s="93" t="s">
        <v>111</v>
      </c>
      <c r="J1407" s="93" t="s">
        <v>118</v>
      </c>
      <c r="K1407" s="93">
        <v>3</v>
      </c>
      <c r="L1407" s="93" t="s">
        <v>111</v>
      </c>
      <c r="M1407" s="93" t="s">
        <v>111</v>
      </c>
      <c r="N1407" s="93" t="s">
        <v>111</v>
      </c>
      <c r="O1407" s="93" t="s">
        <v>111</v>
      </c>
      <c r="P1407" s="93" t="s">
        <v>111</v>
      </c>
      <c r="Q1407" s="93" t="s">
        <v>111</v>
      </c>
      <c r="R1407" s="93" t="s">
        <v>228</v>
      </c>
      <c r="S1407" s="93" t="s">
        <v>2</v>
      </c>
      <c r="T1407" s="93" t="s">
        <v>115</v>
      </c>
      <c r="U1407" s="93" t="s">
        <v>395</v>
      </c>
      <c r="V1407" s="94">
        <v>44602.490972222222</v>
      </c>
      <c r="W1407" s="93" t="s">
        <v>1170</v>
      </c>
      <c r="X1407" s="93" t="s">
        <v>24</v>
      </c>
    </row>
    <row r="1408" spans="1:24" hidden="1" x14ac:dyDescent="0.15">
      <c r="A1408" s="93" t="s">
        <v>9271</v>
      </c>
      <c r="B1408" s="93" t="s">
        <v>9272</v>
      </c>
      <c r="C1408" s="410">
        <v>600</v>
      </c>
      <c r="D1408" s="93" t="s">
        <v>24</v>
      </c>
      <c r="E1408" s="93" t="s">
        <v>24</v>
      </c>
      <c r="F1408" s="93" t="s">
        <v>4125</v>
      </c>
      <c r="G1408" s="93" t="s">
        <v>9260</v>
      </c>
      <c r="H1408" s="93" t="s">
        <v>118</v>
      </c>
      <c r="I1408" s="93" t="s">
        <v>111</v>
      </c>
      <c r="J1408" s="93" t="s">
        <v>118</v>
      </c>
      <c r="K1408" s="93">
        <v>3</v>
      </c>
      <c r="L1408" s="93" t="s">
        <v>111</v>
      </c>
      <c r="M1408" s="93" t="s">
        <v>111</v>
      </c>
      <c r="N1408" s="93" t="s">
        <v>111</v>
      </c>
      <c r="O1408" s="93" t="s">
        <v>111</v>
      </c>
      <c r="P1408" s="93" t="s">
        <v>111</v>
      </c>
      <c r="Q1408" s="93" t="s">
        <v>111</v>
      </c>
      <c r="R1408" s="93" t="s">
        <v>228</v>
      </c>
      <c r="S1408" s="93" t="s">
        <v>2</v>
      </c>
      <c r="T1408" s="93" t="s">
        <v>115</v>
      </c>
      <c r="U1408" s="93" t="s">
        <v>395</v>
      </c>
      <c r="V1408" s="94">
        <v>44602.490972222222</v>
      </c>
      <c r="W1408" s="93" t="s">
        <v>1170</v>
      </c>
      <c r="X1408" s="93" t="s">
        <v>24</v>
      </c>
    </row>
    <row r="1409" spans="1:24" hidden="1" x14ac:dyDescent="0.15">
      <c r="A1409" s="93" t="s">
        <v>9273</v>
      </c>
      <c r="B1409" s="93" t="s">
        <v>9274</v>
      </c>
      <c r="C1409" s="410">
        <v>500</v>
      </c>
      <c r="D1409" s="93" t="s">
        <v>24</v>
      </c>
      <c r="E1409" s="93" t="s">
        <v>24</v>
      </c>
      <c r="F1409" s="93" t="s">
        <v>4125</v>
      </c>
      <c r="G1409" s="93" t="s">
        <v>9260</v>
      </c>
      <c r="H1409" s="93" t="s">
        <v>118</v>
      </c>
      <c r="I1409" s="93" t="s">
        <v>111</v>
      </c>
      <c r="J1409" s="93" t="s">
        <v>118</v>
      </c>
      <c r="K1409" s="93">
        <v>3</v>
      </c>
      <c r="L1409" s="93" t="s">
        <v>111</v>
      </c>
      <c r="M1409" s="93" t="s">
        <v>111</v>
      </c>
      <c r="N1409" s="93" t="s">
        <v>111</v>
      </c>
      <c r="O1409" s="93" t="s">
        <v>111</v>
      </c>
      <c r="P1409" s="93" t="s">
        <v>111</v>
      </c>
      <c r="Q1409" s="93" t="s">
        <v>111</v>
      </c>
      <c r="R1409" s="93" t="s">
        <v>228</v>
      </c>
      <c r="S1409" s="93" t="s">
        <v>2</v>
      </c>
      <c r="T1409" s="93" t="s">
        <v>115</v>
      </c>
      <c r="U1409" s="93" t="s">
        <v>395</v>
      </c>
      <c r="V1409" s="94">
        <v>44602.490972222222</v>
      </c>
      <c r="W1409" s="93" t="s">
        <v>1170</v>
      </c>
      <c r="X1409" s="93" t="s">
        <v>24</v>
      </c>
    </row>
    <row r="1410" spans="1:24" hidden="1" x14ac:dyDescent="0.15">
      <c r="A1410" s="93" t="s">
        <v>9275</v>
      </c>
      <c r="B1410" s="93" t="s">
        <v>9276</v>
      </c>
      <c r="C1410" s="410">
        <v>600</v>
      </c>
      <c r="D1410" s="93" t="s">
        <v>24</v>
      </c>
      <c r="E1410" s="93" t="s">
        <v>24</v>
      </c>
      <c r="F1410" s="93" t="s">
        <v>4125</v>
      </c>
      <c r="G1410" s="93" t="s">
        <v>9260</v>
      </c>
      <c r="H1410" s="93" t="s">
        <v>118</v>
      </c>
      <c r="I1410" s="93" t="s">
        <v>111</v>
      </c>
      <c r="J1410" s="93" t="s">
        <v>118</v>
      </c>
      <c r="K1410" s="93">
        <v>3</v>
      </c>
      <c r="L1410" s="93" t="s">
        <v>111</v>
      </c>
      <c r="M1410" s="93" t="s">
        <v>111</v>
      </c>
      <c r="N1410" s="93" t="s">
        <v>111</v>
      </c>
      <c r="O1410" s="93" t="s">
        <v>111</v>
      </c>
      <c r="P1410" s="93" t="s">
        <v>111</v>
      </c>
      <c r="Q1410" s="93" t="s">
        <v>111</v>
      </c>
      <c r="R1410" s="93" t="s">
        <v>228</v>
      </c>
      <c r="S1410" s="93" t="s">
        <v>2</v>
      </c>
      <c r="T1410" s="93" t="s">
        <v>115</v>
      </c>
      <c r="U1410" s="93" t="s">
        <v>395</v>
      </c>
      <c r="V1410" s="94">
        <v>44602.490972222222</v>
      </c>
      <c r="W1410" s="93" t="s">
        <v>1170</v>
      </c>
      <c r="X1410" s="93" t="s">
        <v>24</v>
      </c>
    </row>
    <row r="1411" spans="1:24" hidden="1" x14ac:dyDescent="0.15">
      <c r="A1411" s="93" t="s">
        <v>9277</v>
      </c>
      <c r="B1411" s="93" t="s">
        <v>9278</v>
      </c>
      <c r="C1411" s="410">
        <v>500</v>
      </c>
      <c r="D1411" s="93" t="s">
        <v>24</v>
      </c>
      <c r="E1411" s="93" t="s">
        <v>24</v>
      </c>
      <c r="F1411" s="93" t="s">
        <v>4125</v>
      </c>
      <c r="G1411" s="93" t="s">
        <v>9260</v>
      </c>
      <c r="H1411" s="93" t="s">
        <v>118</v>
      </c>
      <c r="I1411" s="93" t="s">
        <v>111</v>
      </c>
      <c r="J1411" s="93" t="s">
        <v>118</v>
      </c>
      <c r="K1411" s="93">
        <v>3</v>
      </c>
      <c r="L1411" s="93" t="s">
        <v>111</v>
      </c>
      <c r="M1411" s="93" t="s">
        <v>111</v>
      </c>
      <c r="N1411" s="93" t="s">
        <v>111</v>
      </c>
      <c r="O1411" s="93" t="s">
        <v>111</v>
      </c>
      <c r="P1411" s="93" t="s">
        <v>111</v>
      </c>
      <c r="Q1411" s="93" t="s">
        <v>111</v>
      </c>
      <c r="R1411" s="93" t="s">
        <v>228</v>
      </c>
      <c r="S1411" s="93" t="s">
        <v>2</v>
      </c>
      <c r="T1411" s="93" t="s">
        <v>115</v>
      </c>
      <c r="U1411" s="93" t="s">
        <v>395</v>
      </c>
      <c r="V1411" s="94">
        <v>44602.490972222222</v>
      </c>
      <c r="W1411" s="93" t="s">
        <v>1170</v>
      </c>
      <c r="X1411" s="93" t="s">
        <v>24</v>
      </c>
    </row>
    <row r="1412" spans="1:24" hidden="1" x14ac:dyDescent="0.15">
      <c r="A1412" s="93" t="s">
        <v>9279</v>
      </c>
      <c r="B1412" s="93" t="s">
        <v>9280</v>
      </c>
      <c r="C1412" s="410">
        <v>500</v>
      </c>
      <c r="D1412" s="93" t="s">
        <v>24</v>
      </c>
      <c r="E1412" s="93" t="s">
        <v>24</v>
      </c>
      <c r="F1412" s="93" t="s">
        <v>4125</v>
      </c>
      <c r="G1412" s="93" t="s">
        <v>9260</v>
      </c>
      <c r="H1412" s="93" t="s">
        <v>118</v>
      </c>
      <c r="I1412" s="93" t="s">
        <v>111</v>
      </c>
      <c r="J1412" s="93" t="s">
        <v>118</v>
      </c>
      <c r="K1412" s="93">
        <v>3</v>
      </c>
      <c r="L1412" s="93" t="s">
        <v>111</v>
      </c>
      <c r="M1412" s="93" t="s">
        <v>111</v>
      </c>
      <c r="N1412" s="93" t="s">
        <v>111</v>
      </c>
      <c r="O1412" s="93" t="s">
        <v>111</v>
      </c>
      <c r="P1412" s="93" t="s">
        <v>111</v>
      </c>
      <c r="Q1412" s="93" t="s">
        <v>111</v>
      </c>
      <c r="R1412" s="93" t="s">
        <v>228</v>
      </c>
      <c r="S1412" s="93" t="s">
        <v>2</v>
      </c>
      <c r="T1412" s="93" t="s">
        <v>115</v>
      </c>
      <c r="U1412" s="93" t="s">
        <v>395</v>
      </c>
      <c r="V1412" s="94">
        <v>44602.490972222222</v>
      </c>
      <c r="W1412" s="93" t="s">
        <v>1170</v>
      </c>
      <c r="X1412" s="93" t="s">
        <v>24</v>
      </c>
    </row>
    <row r="1413" spans="1:24" hidden="1" x14ac:dyDescent="0.15">
      <c r="A1413" s="93" t="s">
        <v>9281</v>
      </c>
      <c r="B1413" s="93" t="s">
        <v>9282</v>
      </c>
      <c r="C1413" s="410">
        <v>800</v>
      </c>
      <c r="D1413" s="93" t="s">
        <v>24</v>
      </c>
      <c r="E1413" s="93" t="s">
        <v>24</v>
      </c>
      <c r="F1413" s="93" t="s">
        <v>4125</v>
      </c>
      <c r="G1413" s="93" t="s">
        <v>9260</v>
      </c>
      <c r="H1413" s="93" t="s">
        <v>118</v>
      </c>
      <c r="I1413" s="93" t="s">
        <v>111</v>
      </c>
      <c r="J1413" s="93" t="s">
        <v>118</v>
      </c>
      <c r="K1413" s="93">
        <v>3</v>
      </c>
      <c r="L1413" s="93" t="s">
        <v>111</v>
      </c>
      <c r="M1413" s="93" t="s">
        <v>111</v>
      </c>
      <c r="N1413" s="93" t="s">
        <v>111</v>
      </c>
      <c r="O1413" s="93" t="s">
        <v>111</v>
      </c>
      <c r="P1413" s="93" t="s">
        <v>111</v>
      </c>
      <c r="Q1413" s="93" t="s">
        <v>111</v>
      </c>
      <c r="R1413" s="93" t="s">
        <v>228</v>
      </c>
      <c r="S1413" s="93" t="s">
        <v>2</v>
      </c>
      <c r="T1413" s="93" t="s">
        <v>115</v>
      </c>
      <c r="U1413" s="93" t="s">
        <v>395</v>
      </c>
      <c r="V1413" s="94">
        <v>44602.490972222222</v>
      </c>
      <c r="W1413" s="93" t="s">
        <v>1170</v>
      </c>
      <c r="X1413" s="93" t="s">
        <v>24</v>
      </c>
    </row>
    <row r="1414" spans="1:24" hidden="1" x14ac:dyDescent="0.15">
      <c r="A1414" s="93" t="s">
        <v>9283</v>
      </c>
      <c r="B1414" s="93" t="s">
        <v>9284</v>
      </c>
      <c r="C1414" s="410">
        <v>6495</v>
      </c>
      <c r="D1414" s="93" t="s">
        <v>24</v>
      </c>
      <c r="E1414" s="93" t="s">
        <v>24</v>
      </c>
      <c r="F1414" s="93" t="s">
        <v>4125</v>
      </c>
      <c r="G1414" s="93" t="s">
        <v>9260</v>
      </c>
      <c r="H1414" s="93" t="s">
        <v>118</v>
      </c>
      <c r="I1414" s="93" t="s">
        <v>111</v>
      </c>
      <c r="J1414" s="93" t="s">
        <v>118</v>
      </c>
      <c r="K1414" s="93">
        <v>3</v>
      </c>
      <c r="L1414" s="93" t="s">
        <v>111</v>
      </c>
      <c r="M1414" s="93" t="s">
        <v>111</v>
      </c>
      <c r="N1414" s="93" t="s">
        <v>111</v>
      </c>
      <c r="O1414" s="93" t="s">
        <v>111</v>
      </c>
      <c r="P1414" s="93" t="s">
        <v>111</v>
      </c>
      <c r="Q1414" s="93" t="s">
        <v>111</v>
      </c>
      <c r="R1414" s="93" t="s">
        <v>228</v>
      </c>
      <c r="S1414" s="93" t="s">
        <v>2</v>
      </c>
      <c r="T1414" s="93" t="s">
        <v>115</v>
      </c>
      <c r="U1414" s="93" t="s">
        <v>395</v>
      </c>
      <c r="V1414" s="94">
        <v>44602.490972222222</v>
      </c>
      <c r="W1414" s="93" t="s">
        <v>1170</v>
      </c>
      <c r="X1414" s="93" t="s">
        <v>24</v>
      </c>
    </row>
    <row r="1415" spans="1:24" hidden="1" x14ac:dyDescent="0.15">
      <c r="A1415" s="93" t="s">
        <v>3701</v>
      </c>
      <c r="B1415" s="93" t="s">
        <v>3702</v>
      </c>
      <c r="C1415" s="410">
        <v>3675</v>
      </c>
      <c r="D1415" s="93" t="s">
        <v>9</v>
      </c>
      <c r="E1415" s="93" t="s">
        <v>9</v>
      </c>
      <c r="F1415" s="93" t="s">
        <v>1648</v>
      </c>
      <c r="G1415" s="93" t="s">
        <v>9117</v>
      </c>
      <c r="H1415" s="93" t="s">
        <v>1690</v>
      </c>
      <c r="I1415" s="93" t="s">
        <v>111</v>
      </c>
      <c r="J1415" s="93" t="s">
        <v>2013</v>
      </c>
      <c r="K1415" s="93">
        <v>50</v>
      </c>
      <c r="L1415" s="93" t="s">
        <v>111</v>
      </c>
      <c r="M1415" s="93">
        <v>5.3</v>
      </c>
      <c r="N1415" s="93" t="s">
        <v>113</v>
      </c>
      <c r="O1415" s="93">
        <v>18.5</v>
      </c>
      <c r="P1415" s="93">
        <v>29.5</v>
      </c>
      <c r="Q1415" s="93">
        <v>37.5</v>
      </c>
      <c r="R1415" s="93" t="s">
        <v>123</v>
      </c>
      <c r="S1415" s="93" t="s">
        <v>659</v>
      </c>
      <c r="T1415" s="93" t="s">
        <v>1659</v>
      </c>
      <c r="U1415" s="93" t="s">
        <v>116</v>
      </c>
      <c r="V1415" s="94">
        <v>44628.561805555553</v>
      </c>
      <c r="W1415" s="93" t="s">
        <v>1170</v>
      </c>
      <c r="X1415" s="93" t="s">
        <v>24</v>
      </c>
    </row>
    <row r="1416" spans="1:24" hidden="1" x14ac:dyDescent="0.15">
      <c r="A1416" s="93" t="s">
        <v>3703</v>
      </c>
      <c r="B1416" s="93" t="s">
        <v>3704</v>
      </c>
      <c r="C1416" s="410">
        <v>3675</v>
      </c>
      <c r="D1416" s="93" t="s">
        <v>9</v>
      </c>
      <c r="E1416" s="93" t="s">
        <v>9</v>
      </c>
      <c r="F1416" s="93" t="s">
        <v>1648</v>
      </c>
      <c r="G1416" s="93" t="s">
        <v>9117</v>
      </c>
      <c r="H1416" s="93" t="s">
        <v>1690</v>
      </c>
      <c r="I1416" s="93" t="s">
        <v>111</v>
      </c>
      <c r="J1416" s="93" t="s">
        <v>2013</v>
      </c>
      <c r="K1416" s="93">
        <v>50</v>
      </c>
      <c r="L1416" s="93" t="s">
        <v>111</v>
      </c>
      <c r="M1416" s="93">
        <v>5.3</v>
      </c>
      <c r="N1416" s="93" t="s">
        <v>113</v>
      </c>
      <c r="O1416" s="93">
        <v>18.5</v>
      </c>
      <c r="P1416" s="93">
        <v>29.5</v>
      </c>
      <c r="Q1416" s="93">
        <v>37.5</v>
      </c>
      <c r="R1416" s="93" t="s">
        <v>123</v>
      </c>
      <c r="S1416" s="93" t="s">
        <v>659</v>
      </c>
      <c r="T1416" s="93" t="s">
        <v>1659</v>
      </c>
      <c r="U1416" s="93" t="s">
        <v>116</v>
      </c>
      <c r="V1416" s="94">
        <v>44628.604861111111</v>
      </c>
      <c r="W1416" s="93" t="s">
        <v>1170</v>
      </c>
      <c r="X1416" s="93" t="s">
        <v>24</v>
      </c>
    </row>
    <row r="1417" spans="1:24" hidden="1" x14ac:dyDescent="0.15">
      <c r="A1417" s="93" t="s">
        <v>3705</v>
      </c>
      <c r="B1417" s="93" t="s">
        <v>3706</v>
      </c>
      <c r="C1417" s="410">
        <v>3675</v>
      </c>
      <c r="D1417" s="93" t="s">
        <v>9</v>
      </c>
      <c r="E1417" s="93" t="s">
        <v>9</v>
      </c>
      <c r="F1417" s="93" t="s">
        <v>1648</v>
      </c>
      <c r="G1417" s="93" t="s">
        <v>9117</v>
      </c>
      <c r="H1417" s="93" t="s">
        <v>1690</v>
      </c>
      <c r="I1417" s="93" t="s">
        <v>111</v>
      </c>
      <c r="J1417" s="93" t="s">
        <v>2013</v>
      </c>
      <c r="K1417" s="93">
        <v>50</v>
      </c>
      <c r="L1417" s="93" t="s">
        <v>111</v>
      </c>
      <c r="M1417" s="93">
        <v>5.3</v>
      </c>
      <c r="N1417" s="93" t="s">
        <v>113</v>
      </c>
      <c r="O1417" s="93">
        <v>18.5</v>
      </c>
      <c r="P1417" s="93">
        <v>29.5</v>
      </c>
      <c r="Q1417" s="93">
        <v>37.5</v>
      </c>
      <c r="R1417" s="93" t="s">
        <v>123</v>
      </c>
      <c r="S1417" s="93" t="s">
        <v>659</v>
      </c>
      <c r="T1417" s="93" t="s">
        <v>1659</v>
      </c>
      <c r="U1417" s="93" t="s">
        <v>116</v>
      </c>
      <c r="V1417" s="94">
        <v>44628.496527777781</v>
      </c>
      <c r="W1417" s="93" t="s">
        <v>1170</v>
      </c>
      <c r="X1417" s="93" t="s">
        <v>24</v>
      </c>
    </row>
    <row r="1418" spans="1:24" hidden="1" x14ac:dyDescent="0.15">
      <c r="A1418" s="93" t="s">
        <v>3707</v>
      </c>
      <c r="B1418" s="93" t="s">
        <v>3708</v>
      </c>
      <c r="C1418" s="410">
        <v>3675</v>
      </c>
      <c r="D1418" s="93" t="s">
        <v>9</v>
      </c>
      <c r="E1418" s="93" t="s">
        <v>9</v>
      </c>
      <c r="F1418" s="93" t="s">
        <v>1648</v>
      </c>
      <c r="G1418" s="93" t="s">
        <v>9117</v>
      </c>
      <c r="H1418" s="93" t="s">
        <v>1690</v>
      </c>
      <c r="I1418" s="93" t="s">
        <v>111</v>
      </c>
      <c r="J1418" s="93" t="s">
        <v>2013</v>
      </c>
      <c r="K1418" s="93">
        <v>50</v>
      </c>
      <c r="L1418" s="93" t="s">
        <v>111</v>
      </c>
      <c r="M1418" s="93">
        <v>5.3</v>
      </c>
      <c r="N1418" s="93" t="s">
        <v>113</v>
      </c>
      <c r="O1418" s="93">
        <v>18.5</v>
      </c>
      <c r="P1418" s="93">
        <v>29.5</v>
      </c>
      <c r="Q1418" s="93">
        <v>37.5</v>
      </c>
      <c r="R1418" s="93" t="s">
        <v>123</v>
      </c>
      <c r="S1418" s="93" t="s">
        <v>659</v>
      </c>
      <c r="T1418" s="93" t="s">
        <v>1659</v>
      </c>
      <c r="U1418" s="93" t="s">
        <v>116</v>
      </c>
      <c r="V1418" s="94">
        <v>44628.540277777778</v>
      </c>
      <c r="W1418" s="93" t="s">
        <v>1170</v>
      </c>
      <c r="X1418" s="93" t="s">
        <v>24</v>
      </c>
    </row>
    <row r="1419" spans="1:24" hidden="1" x14ac:dyDescent="0.15">
      <c r="A1419" s="93" t="s">
        <v>3709</v>
      </c>
      <c r="B1419" s="93" t="s">
        <v>3710</v>
      </c>
      <c r="C1419" s="410">
        <v>4620</v>
      </c>
      <c r="D1419" s="93" t="s">
        <v>9</v>
      </c>
      <c r="E1419" s="93" t="s">
        <v>9</v>
      </c>
      <c r="F1419" s="93" t="s">
        <v>1648</v>
      </c>
      <c r="G1419" s="93" t="s">
        <v>9117</v>
      </c>
      <c r="H1419" s="93" t="s">
        <v>1690</v>
      </c>
      <c r="I1419" s="93" t="s">
        <v>111</v>
      </c>
      <c r="J1419" s="93" t="s">
        <v>2086</v>
      </c>
      <c r="K1419" s="93">
        <v>50</v>
      </c>
      <c r="L1419" s="93" t="s">
        <v>111</v>
      </c>
      <c r="M1419" s="93">
        <v>5.7</v>
      </c>
      <c r="N1419" s="93" t="s">
        <v>113</v>
      </c>
      <c r="O1419" s="93">
        <v>18.5</v>
      </c>
      <c r="P1419" s="93">
        <v>29.5</v>
      </c>
      <c r="Q1419" s="93">
        <v>37.5</v>
      </c>
      <c r="R1419" s="93" t="s">
        <v>123</v>
      </c>
      <c r="S1419" s="93" t="s">
        <v>659</v>
      </c>
      <c r="T1419" s="93" t="s">
        <v>1659</v>
      </c>
      <c r="U1419" s="93" t="s">
        <v>116</v>
      </c>
      <c r="V1419" s="94">
        <v>44628.475694444445</v>
      </c>
      <c r="W1419" s="93" t="s">
        <v>1170</v>
      </c>
      <c r="X1419" s="93" t="s">
        <v>24</v>
      </c>
    </row>
    <row r="1420" spans="1:24" hidden="1" x14ac:dyDescent="0.15">
      <c r="A1420" s="93" t="s">
        <v>3711</v>
      </c>
      <c r="B1420" s="93" t="s">
        <v>3712</v>
      </c>
      <c r="C1420" s="410">
        <v>4620</v>
      </c>
      <c r="D1420" s="93" t="s">
        <v>9</v>
      </c>
      <c r="E1420" s="93" t="s">
        <v>9</v>
      </c>
      <c r="F1420" s="93" t="s">
        <v>1648</v>
      </c>
      <c r="G1420" s="93" t="s">
        <v>9117</v>
      </c>
      <c r="H1420" s="93" t="s">
        <v>1690</v>
      </c>
      <c r="I1420" s="93" t="s">
        <v>111</v>
      </c>
      <c r="J1420" s="93" t="s">
        <v>2086</v>
      </c>
      <c r="K1420" s="93">
        <v>50</v>
      </c>
      <c r="L1420" s="93" t="s">
        <v>111</v>
      </c>
      <c r="M1420" s="93">
        <v>5.7</v>
      </c>
      <c r="N1420" s="93" t="s">
        <v>113</v>
      </c>
      <c r="O1420" s="93">
        <v>18.5</v>
      </c>
      <c r="P1420" s="93">
        <v>29.5</v>
      </c>
      <c r="Q1420" s="93">
        <v>37.5</v>
      </c>
      <c r="R1420" s="93" t="s">
        <v>123</v>
      </c>
      <c r="S1420" s="93" t="s">
        <v>659</v>
      </c>
      <c r="T1420" s="93" t="s">
        <v>1659</v>
      </c>
      <c r="U1420" s="93" t="s">
        <v>116</v>
      </c>
      <c r="V1420" s="94">
        <v>44628.540277777778</v>
      </c>
      <c r="W1420" s="93" t="s">
        <v>1170</v>
      </c>
      <c r="X1420" s="93" t="s">
        <v>24</v>
      </c>
    </row>
    <row r="1421" spans="1:24" hidden="1" x14ac:dyDescent="0.15">
      <c r="A1421" s="93" t="s">
        <v>3713</v>
      </c>
      <c r="B1421" s="93" t="s">
        <v>3714</v>
      </c>
      <c r="C1421" s="410">
        <v>4620</v>
      </c>
      <c r="D1421" s="93" t="s">
        <v>9</v>
      </c>
      <c r="E1421" s="93" t="s">
        <v>9</v>
      </c>
      <c r="F1421" s="93" t="s">
        <v>1648</v>
      </c>
      <c r="G1421" s="93" t="s">
        <v>9117</v>
      </c>
      <c r="H1421" s="93" t="s">
        <v>1690</v>
      </c>
      <c r="I1421" s="93" t="s">
        <v>111</v>
      </c>
      <c r="J1421" s="93" t="s">
        <v>2086</v>
      </c>
      <c r="K1421" s="93">
        <v>50</v>
      </c>
      <c r="L1421" s="93" t="s">
        <v>111</v>
      </c>
      <c r="M1421" s="93">
        <v>5.7</v>
      </c>
      <c r="N1421" s="93" t="s">
        <v>113</v>
      </c>
      <c r="O1421" s="93">
        <v>18.5</v>
      </c>
      <c r="P1421" s="93">
        <v>29.5</v>
      </c>
      <c r="Q1421" s="93">
        <v>37.5</v>
      </c>
      <c r="R1421" s="93" t="s">
        <v>123</v>
      </c>
      <c r="S1421" s="93" t="s">
        <v>659</v>
      </c>
      <c r="T1421" s="93" t="s">
        <v>1659</v>
      </c>
      <c r="U1421" s="93" t="s">
        <v>116</v>
      </c>
      <c r="V1421" s="94">
        <v>44628.584027777775</v>
      </c>
      <c r="W1421" s="93" t="s">
        <v>1170</v>
      </c>
      <c r="X1421" s="93" t="s">
        <v>24</v>
      </c>
    </row>
    <row r="1422" spans="1:24" hidden="1" x14ac:dyDescent="0.15">
      <c r="A1422" s="93" t="s">
        <v>3715</v>
      </c>
      <c r="B1422" s="93" t="s">
        <v>3716</v>
      </c>
      <c r="C1422" s="410">
        <v>4620</v>
      </c>
      <c r="D1422" s="93" t="s">
        <v>9</v>
      </c>
      <c r="E1422" s="93" t="s">
        <v>9</v>
      </c>
      <c r="F1422" s="93" t="s">
        <v>1648</v>
      </c>
      <c r="G1422" s="93" t="s">
        <v>9117</v>
      </c>
      <c r="H1422" s="93" t="s">
        <v>1690</v>
      </c>
      <c r="I1422" s="93" t="s">
        <v>111</v>
      </c>
      <c r="J1422" s="93" t="s">
        <v>2086</v>
      </c>
      <c r="K1422" s="93">
        <v>50</v>
      </c>
      <c r="L1422" s="93" t="s">
        <v>111</v>
      </c>
      <c r="M1422" s="93">
        <v>5.7</v>
      </c>
      <c r="N1422" s="93" t="s">
        <v>113</v>
      </c>
      <c r="O1422" s="93">
        <v>18.5</v>
      </c>
      <c r="P1422" s="93">
        <v>29.5</v>
      </c>
      <c r="Q1422" s="93">
        <v>37.5</v>
      </c>
      <c r="R1422" s="93" t="s">
        <v>123</v>
      </c>
      <c r="S1422" s="93" t="s">
        <v>659</v>
      </c>
      <c r="T1422" s="93" t="s">
        <v>1659</v>
      </c>
      <c r="U1422" s="93" t="s">
        <v>116</v>
      </c>
      <c r="V1422" s="94">
        <v>44628.496527777781</v>
      </c>
      <c r="W1422" s="93" t="s">
        <v>1170</v>
      </c>
      <c r="X1422" s="93" t="s">
        <v>24</v>
      </c>
    </row>
    <row r="1423" spans="1:24" hidden="1" x14ac:dyDescent="0.15">
      <c r="A1423" s="93" t="s">
        <v>3717</v>
      </c>
      <c r="B1423" s="93" t="s">
        <v>3718</v>
      </c>
      <c r="C1423" s="410">
        <v>5040</v>
      </c>
      <c r="D1423" s="93" t="s">
        <v>9</v>
      </c>
      <c r="E1423" s="93" t="s">
        <v>9</v>
      </c>
      <c r="F1423" s="93" t="s">
        <v>1648</v>
      </c>
      <c r="G1423" s="93" t="s">
        <v>9117</v>
      </c>
      <c r="H1423" s="93" t="s">
        <v>1943</v>
      </c>
      <c r="I1423" s="93" t="s">
        <v>111</v>
      </c>
      <c r="J1423" s="93" t="s">
        <v>963</v>
      </c>
      <c r="K1423" s="93">
        <v>60</v>
      </c>
      <c r="L1423" s="93" t="s">
        <v>111</v>
      </c>
      <c r="M1423" s="93">
        <v>4.5</v>
      </c>
      <c r="N1423" s="93" t="s">
        <v>113</v>
      </c>
      <c r="O1423" s="93">
        <v>18.5</v>
      </c>
      <c r="P1423" s="93">
        <v>29.5</v>
      </c>
      <c r="Q1423" s="93">
        <v>32.5</v>
      </c>
      <c r="R1423" s="93" t="s">
        <v>123</v>
      </c>
      <c r="S1423" s="93" t="s">
        <v>659</v>
      </c>
      <c r="T1423" s="93" t="s">
        <v>1659</v>
      </c>
      <c r="U1423" s="93" t="s">
        <v>116</v>
      </c>
      <c r="V1423" s="94">
        <v>44628.540277777778</v>
      </c>
      <c r="W1423" s="93" t="s">
        <v>1170</v>
      </c>
      <c r="X1423" s="93" t="s">
        <v>24</v>
      </c>
    </row>
    <row r="1424" spans="1:24" hidden="1" x14ac:dyDescent="0.15">
      <c r="A1424" s="93" t="s">
        <v>3719</v>
      </c>
      <c r="B1424" s="93" t="s">
        <v>3720</v>
      </c>
      <c r="C1424" s="410">
        <v>5040</v>
      </c>
      <c r="D1424" s="93" t="s">
        <v>9</v>
      </c>
      <c r="E1424" s="93" t="s">
        <v>9</v>
      </c>
      <c r="F1424" s="93" t="s">
        <v>1648</v>
      </c>
      <c r="G1424" s="93" t="s">
        <v>9117</v>
      </c>
      <c r="H1424" s="93" t="s">
        <v>1943</v>
      </c>
      <c r="I1424" s="93" t="s">
        <v>111</v>
      </c>
      <c r="J1424" s="93" t="s">
        <v>963</v>
      </c>
      <c r="K1424" s="93">
        <v>60</v>
      </c>
      <c r="L1424" s="93" t="s">
        <v>111</v>
      </c>
      <c r="M1424" s="93">
        <v>4.5</v>
      </c>
      <c r="N1424" s="93" t="s">
        <v>113</v>
      </c>
      <c r="O1424" s="93">
        <v>18.5</v>
      </c>
      <c r="P1424" s="93">
        <v>29.5</v>
      </c>
      <c r="Q1424" s="93">
        <v>32.5</v>
      </c>
      <c r="R1424" s="93" t="s">
        <v>123</v>
      </c>
      <c r="S1424" s="93" t="s">
        <v>659</v>
      </c>
      <c r="T1424" s="93" t="s">
        <v>1659</v>
      </c>
      <c r="U1424" s="93" t="s">
        <v>116</v>
      </c>
      <c r="V1424" s="94">
        <v>44628.475694444445</v>
      </c>
      <c r="W1424" s="93" t="s">
        <v>1170</v>
      </c>
      <c r="X1424" s="93" t="s">
        <v>24</v>
      </c>
    </row>
    <row r="1425" spans="1:24" hidden="1" x14ac:dyDescent="0.15">
      <c r="A1425" s="93" t="s">
        <v>3721</v>
      </c>
      <c r="B1425" s="93" t="s">
        <v>3722</v>
      </c>
      <c r="C1425" s="410">
        <v>5040</v>
      </c>
      <c r="D1425" s="93" t="s">
        <v>9</v>
      </c>
      <c r="E1425" s="93" t="s">
        <v>9</v>
      </c>
      <c r="F1425" s="93" t="s">
        <v>1648</v>
      </c>
      <c r="G1425" s="93" t="s">
        <v>9117</v>
      </c>
      <c r="H1425" s="93" t="s">
        <v>1943</v>
      </c>
      <c r="I1425" s="93" t="s">
        <v>111</v>
      </c>
      <c r="J1425" s="93" t="s">
        <v>963</v>
      </c>
      <c r="K1425" s="93">
        <v>60</v>
      </c>
      <c r="L1425" s="93" t="s">
        <v>111</v>
      </c>
      <c r="M1425" s="93">
        <v>4.5</v>
      </c>
      <c r="N1425" s="93" t="s">
        <v>113</v>
      </c>
      <c r="O1425" s="93">
        <v>18.5</v>
      </c>
      <c r="P1425" s="93">
        <v>29.5</v>
      </c>
      <c r="Q1425" s="93">
        <v>32.5</v>
      </c>
      <c r="R1425" s="93" t="s">
        <v>123</v>
      </c>
      <c r="S1425" s="93" t="s">
        <v>659</v>
      </c>
      <c r="T1425" s="93" t="s">
        <v>1659</v>
      </c>
      <c r="U1425" s="93" t="s">
        <v>116</v>
      </c>
      <c r="V1425" s="94">
        <v>44628.496527777781</v>
      </c>
      <c r="W1425" s="93" t="s">
        <v>1170</v>
      </c>
      <c r="X1425" s="93" t="s">
        <v>24</v>
      </c>
    </row>
    <row r="1426" spans="1:24" hidden="1" x14ac:dyDescent="0.15">
      <c r="A1426" s="93" t="s">
        <v>3723</v>
      </c>
      <c r="B1426" s="93" t="s">
        <v>3724</v>
      </c>
      <c r="C1426" s="410">
        <v>5040</v>
      </c>
      <c r="D1426" s="93" t="s">
        <v>9</v>
      </c>
      <c r="E1426" s="93" t="s">
        <v>9</v>
      </c>
      <c r="F1426" s="93" t="s">
        <v>1648</v>
      </c>
      <c r="G1426" s="93" t="s">
        <v>9117</v>
      </c>
      <c r="H1426" s="93" t="s">
        <v>1943</v>
      </c>
      <c r="I1426" s="93" t="s">
        <v>111</v>
      </c>
      <c r="J1426" s="93" t="s">
        <v>963</v>
      </c>
      <c r="K1426" s="93">
        <v>60</v>
      </c>
      <c r="L1426" s="93" t="s">
        <v>111</v>
      </c>
      <c r="M1426" s="93">
        <v>4.5</v>
      </c>
      <c r="N1426" s="93" t="s">
        <v>113</v>
      </c>
      <c r="O1426" s="93">
        <v>18.5</v>
      </c>
      <c r="P1426" s="93">
        <v>29.5</v>
      </c>
      <c r="Q1426" s="93">
        <v>32.5</v>
      </c>
      <c r="R1426" s="93" t="s">
        <v>123</v>
      </c>
      <c r="S1426" s="93" t="s">
        <v>659</v>
      </c>
      <c r="T1426" s="93" t="s">
        <v>1659</v>
      </c>
      <c r="U1426" s="93" t="s">
        <v>116</v>
      </c>
      <c r="V1426" s="94">
        <v>44628.604861111111</v>
      </c>
      <c r="W1426" s="93" t="s">
        <v>1170</v>
      </c>
      <c r="X1426" s="93" t="s">
        <v>24</v>
      </c>
    </row>
    <row r="1427" spans="1:24" hidden="1" x14ac:dyDescent="0.15">
      <c r="A1427" s="93" t="s">
        <v>3725</v>
      </c>
      <c r="B1427" s="93" t="s">
        <v>3726</v>
      </c>
      <c r="C1427" s="410">
        <v>3675</v>
      </c>
      <c r="D1427" s="93" t="s">
        <v>9</v>
      </c>
      <c r="E1427" s="93" t="s">
        <v>9</v>
      </c>
      <c r="F1427" s="93" t="s">
        <v>1648</v>
      </c>
      <c r="G1427" s="93" t="s">
        <v>9117</v>
      </c>
      <c r="H1427" s="93" t="s">
        <v>1690</v>
      </c>
      <c r="I1427" s="93" t="s">
        <v>111</v>
      </c>
      <c r="J1427" s="93" t="s">
        <v>2013</v>
      </c>
      <c r="K1427" s="93">
        <v>50</v>
      </c>
      <c r="L1427" s="93" t="s">
        <v>111</v>
      </c>
      <c r="M1427" s="93">
        <v>5.3</v>
      </c>
      <c r="N1427" s="93" t="s">
        <v>113</v>
      </c>
      <c r="O1427" s="93">
        <v>18.5</v>
      </c>
      <c r="P1427" s="93">
        <v>29.5</v>
      </c>
      <c r="Q1427" s="93">
        <v>37.5</v>
      </c>
      <c r="R1427" s="93" t="s">
        <v>123</v>
      </c>
      <c r="S1427" s="93" t="s">
        <v>659</v>
      </c>
      <c r="T1427" s="93" t="s">
        <v>1659</v>
      </c>
      <c r="U1427" s="93" t="s">
        <v>116</v>
      </c>
      <c r="V1427" s="94">
        <v>44628.475694444445</v>
      </c>
      <c r="W1427" s="93" t="s">
        <v>1170</v>
      </c>
      <c r="X1427" s="93" t="s">
        <v>24</v>
      </c>
    </row>
    <row r="1428" spans="1:24" hidden="1" x14ac:dyDescent="0.15">
      <c r="A1428" s="93" t="s">
        <v>3727</v>
      </c>
      <c r="B1428" s="93" t="s">
        <v>3728</v>
      </c>
      <c r="C1428" s="410">
        <v>3675</v>
      </c>
      <c r="D1428" s="93" t="s">
        <v>9</v>
      </c>
      <c r="E1428" s="93" t="s">
        <v>9</v>
      </c>
      <c r="F1428" s="93" t="s">
        <v>1648</v>
      </c>
      <c r="G1428" s="93" t="s">
        <v>9117</v>
      </c>
      <c r="H1428" s="93" t="s">
        <v>1690</v>
      </c>
      <c r="I1428" s="93" t="s">
        <v>111</v>
      </c>
      <c r="J1428" s="93" t="s">
        <v>2013</v>
      </c>
      <c r="K1428" s="93">
        <v>50</v>
      </c>
      <c r="L1428" s="93" t="s">
        <v>111</v>
      </c>
      <c r="M1428" s="93">
        <v>5.3</v>
      </c>
      <c r="N1428" s="93" t="s">
        <v>113</v>
      </c>
      <c r="O1428" s="93">
        <v>18.5</v>
      </c>
      <c r="P1428" s="93">
        <v>29.5</v>
      </c>
      <c r="Q1428" s="93">
        <v>37.5</v>
      </c>
      <c r="R1428" s="93" t="s">
        <v>123</v>
      </c>
      <c r="S1428" s="93" t="s">
        <v>659</v>
      </c>
      <c r="T1428" s="93" t="s">
        <v>1659</v>
      </c>
      <c r="U1428" s="93" t="s">
        <v>116</v>
      </c>
      <c r="V1428" s="94">
        <v>44628.640277777777</v>
      </c>
      <c r="W1428" s="93" t="s">
        <v>1170</v>
      </c>
      <c r="X1428" s="93" t="s">
        <v>24</v>
      </c>
    </row>
    <row r="1429" spans="1:24" hidden="1" x14ac:dyDescent="0.15">
      <c r="A1429" s="93" t="s">
        <v>3729</v>
      </c>
      <c r="B1429" s="93" t="s">
        <v>3730</v>
      </c>
      <c r="C1429" s="410">
        <v>3675</v>
      </c>
      <c r="D1429" s="93" t="s">
        <v>9</v>
      </c>
      <c r="E1429" s="93" t="s">
        <v>9</v>
      </c>
      <c r="F1429" s="93" t="s">
        <v>1648</v>
      </c>
      <c r="G1429" s="93" t="s">
        <v>9117</v>
      </c>
      <c r="H1429" s="93" t="s">
        <v>1690</v>
      </c>
      <c r="I1429" s="93" t="s">
        <v>111</v>
      </c>
      <c r="J1429" s="93" t="s">
        <v>2013</v>
      </c>
      <c r="K1429" s="93">
        <v>50</v>
      </c>
      <c r="L1429" s="93" t="s">
        <v>111</v>
      </c>
      <c r="M1429" s="93">
        <v>5.3</v>
      </c>
      <c r="N1429" s="93" t="s">
        <v>113</v>
      </c>
      <c r="O1429" s="93">
        <v>18.5</v>
      </c>
      <c r="P1429" s="93">
        <v>29.5</v>
      </c>
      <c r="Q1429" s="93">
        <v>37.5</v>
      </c>
      <c r="R1429" s="93" t="s">
        <v>123</v>
      </c>
      <c r="S1429" s="93" t="s">
        <v>659</v>
      </c>
      <c r="T1429" s="93" t="s">
        <v>1659</v>
      </c>
      <c r="U1429" s="93" t="s">
        <v>116</v>
      </c>
      <c r="V1429" s="94">
        <v>44628.540277777778</v>
      </c>
      <c r="W1429" s="93" t="s">
        <v>1170</v>
      </c>
      <c r="X1429" s="93" t="s">
        <v>24</v>
      </c>
    </row>
    <row r="1430" spans="1:24" hidden="1" x14ac:dyDescent="0.15">
      <c r="A1430" s="93" t="s">
        <v>3731</v>
      </c>
      <c r="B1430" s="93" t="s">
        <v>3732</v>
      </c>
      <c r="C1430" s="410">
        <v>3675</v>
      </c>
      <c r="D1430" s="93" t="s">
        <v>9</v>
      </c>
      <c r="E1430" s="93" t="s">
        <v>9</v>
      </c>
      <c r="F1430" s="93" t="s">
        <v>1648</v>
      </c>
      <c r="G1430" s="93" t="s">
        <v>9117</v>
      </c>
      <c r="H1430" s="93" t="s">
        <v>1690</v>
      </c>
      <c r="I1430" s="93" t="s">
        <v>111</v>
      </c>
      <c r="J1430" s="93" t="s">
        <v>2013</v>
      </c>
      <c r="K1430" s="93">
        <v>50</v>
      </c>
      <c r="L1430" s="93" t="s">
        <v>111</v>
      </c>
      <c r="M1430" s="93">
        <v>5.3</v>
      </c>
      <c r="N1430" s="93" t="s">
        <v>113</v>
      </c>
      <c r="O1430" s="93">
        <v>18.5</v>
      </c>
      <c r="P1430" s="93">
        <v>29.5</v>
      </c>
      <c r="Q1430" s="93">
        <v>37.5</v>
      </c>
      <c r="R1430" s="93" t="s">
        <v>123</v>
      </c>
      <c r="S1430" s="93" t="s">
        <v>659</v>
      </c>
      <c r="T1430" s="93" t="s">
        <v>1659</v>
      </c>
      <c r="U1430" s="93" t="s">
        <v>116</v>
      </c>
      <c r="V1430" s="94">
        <v>44628.640277777777</v>
      </c>
      <c r="W1430" s="93" t="s">
        <v>1170</v>
      </c>
      <c r="X1430" s="93" t="s">
        <v>24</v>
      </c>
    </row>
    <row r="1431" spans="1:24" hidden="1" x14ac:dyDescent="0.15">
      <c r="A1431" s="93" t="s">
        <v>3733</v>
      </c>
      <c r="B1431" s="93" t="s">
        <v>3734</v>
      </c>
      <c r="C1431" s="410">
        <v>3675</v>
      </c>
      <c r="D1431" s="93" t="s">
        <v>9</v>
      </c>
      <c r="E1431" s="93" t="s">
        <v>9</v>
      </c>
      <c r="F1431" s="93" t="s">
        <v>1648</v>
      </c>
      <c r="G1431" s="93" t="s">
        <v>9117</v>
      </c>
      <c r="H1431" s="93" t="s">
        <v>1690</v>
      </c>
      <c r="I1431" s="93" t="s">
        <v>111</v>
      </c>
      <c r="J1431" s="93" t="s">
        <v>2013</v>
      </c>
      <c r="K1431" s="93">
        <v>50</v>
      </c>
      <c r="L1431" s="93" t="s">
        <v>111</v>
      </c>
      <c r="M1431" s="93">
        <v>5.3</v>
      </c>
      <c r="N1431" s="93" t="s">
        <v>113</v>
      </c>
      <c r="O1431" s="93">
        <v>18.5</v>
      </c>
      <c r="P1431" s="93">
        <v>29.5</v>
      </c>
      <c r="Q1431" s="93">
        <v>37.5</v>
      </c>
      <c r="R1431" s="93" t="s">
        <v>123</v>
      </c>
      <c r="S1431" s="93" t="s">
        <v>659</v>
      </c>
      <c r="T1431" s="93" t="s">
        <v>1659</v>
      </c>
      <c r="U1431" s="93" t="s">
        <v>116</v>
      </c>
      <c r="V1431" s="94">
        <v>44628.475694444445</v>
      </c>
      <c r="W1431" s="93" t="s">
        <v>1170</v>
      </c>
      <c r="X1431" s="93" t="s">
        <v>24</v>
      </c>
    </row>
    <row r="1432" spans="1:24" hidden="1" x14ac:dyDescent="0.15">
      <c r="A1432" s="93" t="s">
        <v>3735</v>
      </c>
      <c r="B1432" s="93" t="s">
        <v>3736</v>
      </c>
      <c r="C1432" s="410">
        <v>3675</v>
      </c>
      <c r="D1432" s="93" t="s">
        <v>9</v>
      </c>
      <c r="E1432" s="93" t="s">
        <v>9</v>
      </c>
      <c r="F1432" s="93" t="s">
        <v>1648</v>
      </c>
      <c r="G1432" s="93" t="s">
        <v>9117</v>
      </c>
      <c r="H1432" s="93" t="s">
        <v>1690</v>
      </c>
      <c r="I1432" s="93" t="s">
        <v>111</v>
      </c>
      <c r="J1432" s="93" t="s">
        <v>2013</v>
      </c>
      <c r="K1432" s="93">
        <v>50</v>
      </c>
      <c r="L1432" s="93" t="s">
        <v>111</v>
      </c>
      <c r="M1432" s="93">
        <v>5.3</v>
      </c>
      <c r="N1432" s="93" t="s">
        <v>113</v>
      </c>
      <c r="O1432" s="93">
        <v>18.5</v>
      </c>
      <c r="P1432" s="93">
        <v>29.5</v>
      </c>
      <c r="Q1432" s="93">
        <v>37.5</v>
      </c>
      <c r="R1432" s="93" t="s">
        <v>123</v>
      </c>
      <c r="S1432" s="93" t="s">
        <v>659</v>
      </c>
      <c r="T1432" s="93" t="s">
        <v>1659</v>
      </c>
      <c r="U1432" s="93" t="s">
        <v>116</v>
      </c>
      <c r="V1432" s="94">
        <v>44628.561805555553</v>
      </c>
      <c r="W1432" s="93" t="s">
        <v>1170</v>
      </c>
      <c r="X1432" s="93" t="s">
        <v>24</v>
      </c>
    </row>
    <row r="1433" spans="1:24" hidden="1" x14ac:dyDescent="0.15">
      <c r="A1433" s="93" t="s">
        <v>3737</v>
      </c>
      <c r="B1433" s="93" t="s">
        <v>3738</v>
      </c>
      <c r="C1433" s="410">
        <v>3675</v>
      </c>
      <c r="D1433" s="93" t="s">
        <v>9</v>
      </c>
      <c r="E1433" s="93" t="s">
        <v>9</v>
      </c>
      <c r="F1433" s="93" t="s">
        <v>1648</v>
      </c>
      <c r="G1433" s="93" t="s">
        <v>9117</v>
      </c>
      <c r="H1433" s="93" t="s">
        <v>1690</v>
      </c>
      <c r="I1433" s="93" t="s">
        <v>111</v>
      </c>
      <c r="J1433" s="93" t="s">
        <v>2013</v>
      </c>
      <c r="K1433" s="93">
        <v>50</v>
      </c>
      <c r="L1433" s="93" t="s">
        <v>111</v>
      </c>
      <c r="M1433" s="93">
        <v>5.3</v>
      </c>
      <c r="N1433" s="93" t="s">
        <v>113</v>
      </c>
      <c r="O1433" s="93">
        <v>18.5</v>
      </c>
      <c r="P1433" s="93">
        <v>29.5</v>
      </c>
      <c r="Q1433" s="93">
        <v>37.5</v>
      </c>
      <c r="R1433" s="93" t="s">
        <v>123</v>
      </c>
      <c r="S1433" s="93" t="s">
        <v>659</v>
      </c>
      <c r="T1433" s="93" t="s">
        <v>1659</v>
      </c>
      <c r="U1433" s="93" t="s">
        <v>116</v>
      </c>
      <c r="V1433" s="94">
        <v>44628.518750000003</v>
      </c>
      <c r="W1433" s="93" t="s">
        <v>1170</v>
      </c>
      <c r="X1433" s="93" t="s">
        <v>24</v>
      </c>
    </row>
    <row r="1434" spans="1:24" hidden="1" x14ac:dyDescent="0.15">
      <c r="A1434" s="93" t="s">
        <v>3739</v>
      </c>
      <c r="B1434" s="93" t="s">
        <v>3740</v>
      </c>
      <c r="C1434" s="410">
        <v>3675</v>
      </c>
      <c r="D1434" s="93" t="s">
        <v>9</v>
      </c>
      <c r="E1434" s="93" t="s">
        <v>9</v>
      </c>
      <c r="F1434" s="93" t="s">
        <v>1648</v>
      </c>
      <c r="G1434" s="93" t="s">
        <v>9117</v>
      </c>
      <c r="H1434" s="93" t="s">
        <v>1690</v>
      </c>
      <c r="I1434" s="93" t="s">
        <v>111</v>
      </c>
      <c r="J1434" s="93" t="s">
        <v>2013</v>
      </c>
      <c r="K1434" s="93">
        <v>50</v>
      </c>
      <c r="L1434" s="93" t="s">
        <v>111</v>
      </c>
      <c r="M1434" s="93">
        <v>5.3</v>
      </c>
      <c r="N1434" s="93" t="s">
        <v>113</v>
      </c>
      <c r="O1434" s="93">
        <v>18.5</v>
      </c>
      <c r="P1434" s="93">
        <v>29.5</v>
      </c>
      <c r="Q1434" s="93">
        <v>37.5</v>
      </c>
      <c r="R1434" s="93" t="s">
        <v>123</v>
      </c>
      <c r="S1434" s="93" t="s">
        <v>659</v>
      </c>
      <c r="T1434" s="93" t="s">
        <v>1659</v>
      </c>
      <c r="U1434" s="93" t="s">
        <v>116</v>
      </c>
      <c r="V1434" s="94">
        <v>44628.495833333334</v>
      </c>
      <c r="W1434" s="93" t="s">
        <v>1170</v>
      </c>
      <c r="X1434" s="93" t="s">
        <v>24</v>
      </c>
    </row>
    <row r="1435" spans="1:24" hidden="1" x14ac:dyDescent="0.15">
      <c r="A1435" s="93" t="s">
        <v>3741</v>
      </c>
      <c r="B1435" s="93" t="s">
        <v>3742</v>
      </c>
      <c r="C1435" s="410">
        <v>3675</v>
      </c>
      <c r="D1435" s="93" t="s">
        <v>9</v>
      </c>
      <c r="E1435" s="93" t="s">
        <v>9</v>
      </c>
      <c r="F1435" s="93" t="s">
        <v>1648</v>
      </c>
      <c r="G1435" s="93" t="s">
        <v>9117</v>
      </c>
      <c r="H1435" s="93" t="s">
        <v>1690</v>
      </c>
      <c r="I1435" s="93" t="s">
        <v>111</v>
      </c>
      <c r="J1435" s="93" t="s">
        <v>2013</v>
      </c>
      <c r="K1435" s="93">
        <v>50</v>
      </c>
      <c r="L1435" s="93" t="s">
        <v>111</v>
      </c>
      <c r="M1435" s="93">
        <v>5.3</v>
      </c>
      <c r="N1435" s="93" t="s">
        <v>113</v>
      </c>
      <c r="O1435" s="93">
        <v>18.5</v>
      </c>
      <c r="P1435" s="93">
        <v>29.5</v>
      </c>
      <c r="Q1435" s="93">
        <v>37.5</v>
      </c>
      <c r="R1435" s="93" t="s">
        <v>123</v>
      </c>
      <c r="S1435" s="93" t="s">
        <v>659</v>
      </c>
      <c r="T1435" s="93" t="s">
        <v>1659</v>
      </c>
      <c r="U1435" s="93" t="s">
        <v>116</v>
      </c>
      <c r="V1435" s="94">
        <v>44628.518750000003</v>
      </c>
      <c r="W1435" s="93" t="s">
        <v>1170</v>
      </c>
      <c r="X1435" s="93" t="s">
        <v>24</v>
      </c>
    </row>
    <row r="1436" spans="1:24" hidden="1" x14ac:dyDescent="0.15">
      <c r="A1436" s="93" t="s">
        <v>3743</v>
      </c>
      <c r="B1436" s="93" t="s">
        <v>3744</v>
      </c>
      <c r="C1436" s="410">
        <v>3675</v>
      </c>
      <c r="D1436" s="93" t="s">
        <v>9</v>
      </c>
      <c r="E1436" s="93" t="s">
        <v>9</v>
      </c>
      <c r="F1436" s="93" t="s">
        <v>1648</v>
      </c>
      <c r="G1436" s="93" t="s">
        <v>9117</v>
      </c>
      <c r="H1436" s="93" t="s">
        <v>1690</v>
      </c>
      <c r="I1436" s="93" t="s">
        <v>111</v>
      </c>
      <c r="J1436" s="93" t="s">
        <v>2013</v>
      </c>
      <c r="K1436" s="93">
        <v>50</v>
      </c>
      <c r="L1436" s="93" t="s">
        <v>111</v>
      </c>
      <c r="M1436" s="93">
        <v>5.3</v>
      </c>
      <c r="N1436" s="93" t="s">
        <v>113</v>
      </c>
      <c r="O1436" s="93">
        <v>18.5</v>
      </c>
      <c r="P1436" s="93">
        <v>29.5</v>
      </c>
      <c r="Q1436" s="93">
        <v>37.5</v>
      </c>
      <c r="R1436" s="93" t="s">
        <v>123</v>
      </c>
      <c r="S1436" s="93" t="s">
        <v>659</v>
      </c>
      <c r="T1436" s="93" t="s">
        <v>1659</v>
      </c>
      <c r="U1436" s="93" t="s">
        <v>116</v>
      </c>
      <c r="V1436" s="94">
        <v>44628.604861111111</v>
      </c>
      <c r="W1436" s="93" t="s">
        <v>1170</v>
      </c>
      <c r="X1436" s="93" t="s">
        <v>24</v>
      </c>
    </row>
    <row r="1437" spans="1:24" hidden="1" x14ac:dyDescent="0.15">
      <c r="A1437" s="93" t="s">
        <v>3745</v>
      </c>
      <c r="B1437" s="93" t="s">
        <v>3746</v>
      </c>
      <c r="C1437" s="410">
        <v>3675</v>
      </c>
      <c r="D1437" s="93" t="s">
        <v>9</v>
      </c>
      <c r="E1437" s="93" t="s">
        <v>9</v>
      </c>
      <c r="F1437" s="93" t="s">
        <v>1648</v>
      </c>
      <c r="G1437" s="93" t="s">
        <v>9117</v>
      </c>
      <c r="H1437" s="93" t="s">
        <v>1690</v>
      </c>
      <c r="I1437" s="93" t="s">
        <v>111</v>
      </c>
      <c r="J1437" s="93" t="s">
        <v>2013</v>
      </c>
      <c r="K1437" s="93">
        <v>50</v>
      </c>
      <c r="L1437" s="93" t="s">
        <v>111</v>
      </c>
      <c r="M1437" s="93">
        <v>5.3</v>
      </c>
      <c r="N1437" s="93" t="s">
        <v>113</v>
      </c>
      <c r="O1437" s="93">
        <v>18.5</v>
      </c>
      <c r="P1437" s="93">
        <v>29.5</v>
      </c>
      <c r="Q1437" s="93">
        <v>37.5</v>
      </c>
      <c r="R1437" s="93" t="s">
        <v>123</v>
      </c>
      <c r="S1437" s="93" t="s">
        <v>659</v>
      </c>
      <c r="T1437" s="93" t="s">
        <v>1659</v>
      </c>
      <c r="U1437" s="93" t="s">
        <v>116</v>
      </c>
      <c r="V1437" s="94">
        <v>44628.640277777777</v>
      </c>
      <c r="W1437" s="93" t="s">
        <v>1170</v>
      </c>
      <c r="X1437" s="93" t="s">
        <v>24</v>
      </c>
    </row>
    <row r="1438" spans="1:24" hidden="1" x14ac:dyDescent="0.15">
      <c r="A1438" s="93" t="s">
        <v>3747</v>
      </c>
      <c r="B1438" s="93" t="s">
        <v>3748</v>
      </c>
      <c r="C1438" s="410">
        <v>3675</v>
      </c>
      <c r="D1438" s="93" t="s">
        <v>9</v>
      </c>
      <c r="E1438" s="93" t="s">
        <v>9</v>
      </c>
      <c r="F1438" s="93" t="s">
        <v>1648</v>
      </c>
      <c r="G1438" s="93" t="s">
        <v>9117</v>
      </c>
      <c r="H1438" s="93" t="s">
        <v>1690</v>
      </c>
      <c r="I1438" s="93" t="s">
        <v>111</v>
      </c>
      <c r="J1438" s="93" t="s">
        <v>2013</v>
      </c>
      <c r="K1438" s="93">
        <v>50</v>
      </c>
      <c r="L1438" s="93" t="s">
        <v>111</v>
      </c>
      <c r="M1438" s="93">
        <v>5.3</v>
      </c>
      <c r="N1438" s="93" t="s">
        <v>113</v>
      </c>
      <c r="O1438" s="93">
        <v>18.5</v>
      </c>
      <c r="P1438" s="93">
        <v>29.5</v>
      </c>
      <c r="Q1438" s="93">
        <v>37.5</v>
      </c>
      <c r="R1438" s="93" t="s">
        <v>123</v>
      </c>
      <c r="S1438" s="93" t="s">
        <v>659</v>
      </c>
      <c r="T1438" s="93" t="s">
        <v>1659</v>
      </c>
      <c r="U1438" s="93" t="s">
        <v>116</v>
      </c>
      <c r="V1438" s="94">
        <v>44628.518750000003</v>
      </c>
      <c r="W1438" s="93" t="s">
        <v>1170</v>
      </c>
      <c r="X1438" s="93" t="s">
        <v>24</v>
      </c>
    </row>
    <row r="1439" spans="1:24" hidden="1" x14ac:dyDescent="0.15">
      <c r="A1439" s="93" t="s">
        <v>3749</v>
      </c>
      <c r="B1439" s="93" t="s">
        <v>3750</v>
      </c>
      <c r="C1439" s="410">
        <v>4620</v>
      </c>
      <c r="D1439" s="93" t="s">
        <v>9</v>
      </c>
      <c r="E1439" s="93" t="s">
        <v>9</v>
      </c>
      <c r="F1439" s="93" t="s">
        <v>1648</v>
      </c>
      <c r="G1439" s="93" t="s">
        <v>9117</v>
      </c>
      <c r="H1439" s="93" t="s">
        <v>1690</v>
      </c>
      <c r="I1439" s="93" t="s">
        <v>111</v>
      </c>
      <c r="J1439" s="93" t="s">
        <v>2086</v>
      </c>
      <c r="K1439" s="93">
        <v>50</v>
      </c>
      <c r="L1439" s="93" t="s">
        <v>111</v>
      </c>
      <c r="M1439" s="93">
        <v>5.7</v>
      </c>
      <c r="N1439" s="93" t="s">
        <v>113</v>
      </c>
      <c r="O1439" s="93">
        <v>18.5</v>
      </c>
      <c r="P1439" s="93">
        <v>29.5</v>
      </c>
      <c r="Q1439" s="93">
        <v>37.5</v>
      </c>
      <c r="R1439" s="93" t="s">
        <v>123</v>
      </c>
      <c r="S1439" s="93" t="s">
        <v>659</v>
      </c>
      <c r="T1439" s="93" t="s">
        <v>1659</v>
      </c>
      <c r="U1439" s="93" t="s">
        <v>116</v>
      </c>
      <c r="V1439" s="94">
        <v>44628.604861111111</v>
      </c>
      <c r="W1439" s="93" t="s">
        <v>1170</v>
      </c>
      <c r="X1439" s="93" t="s">
        <v>24</v>
      </c>
    </row>
    <row r="1440" spans="1:24" hidden="1" x14ac:dyDescent="0.15">
      <c r="A1440" s="93" t="s">
        <v>3751</v>
      </c>
      <c r="B1440" s="93" t="s">
        <v>3752</v>
      </c>
      <c r="C1440" s="410">
        <v>4620</v>
      </c>
      <c r="D1440" s="93" t="s">
        <v>9</v>
      </c>
      <c r="E1440" s="93" t="s">
        <v>9</v>
      </c>
      <c r="F1440" s="93" t="s">
        <v>1648</v>
      </c>
      <c r="G1440" s="93" t="s">
        <v>9117</v>
      </c>
      <c r="H1440" s="93" t="s">
        <v>1690</v>
      </c>
      <c r="I1440" s="93" t="s">
        <v>111</v>
      </c>
      <c r="J1440" s="93" t="s">
        <v>2086</v>
      </c>
      <c r="K1440" s="93">
        <v>50</v>
      </c>
      <c r="L1440" s="93" t="s">
        <v>111</v>
      </c>
      <c r="M1440" s="93">
        <v>5.7</v>
      </c>
      <c r="N1440" s="93" t="s">
        <v>113</v>
      </c>
      <c r="O1440" s="93">
        <v>18.5</v>
      </c>
      <c r="P1440" s="93">
        <v>29.5</v>
      </c>
      <c r="Q1440" s="93">
        <v>37.5</v>
      </c>
      <c r="R1440" s="93" t="s">
        <v>123</v>
      </c>
      <c r="S1440" s="93" t="s">
        <v>659</v>
      </c>
      <c r="T1440" s="93" t="s">
        <v>1659</v>
      </c>
      <c r="U1440" s="93" t="s">
        <v>116</v>
      </c>
      <c r="V1440" s="94">
        <v>44628.640277777777</v>
      </c>
      <c r="W1440" s="93" t="s">
        <v>1170</v>
      </c>
      <c r="X1440" s="93" t="s">
        <v>24</v>
      </c>
    </row>
    <row r="1441" spans="1:24" hidden="1" x14ac:dyDescent="0.15">
      <c r="A1441" s="93" t="s">
        <v>3753</v>
      </c>
      <c r="B1441" s="93" t="s">
        <v>3754</v>
      </c>
      <c r="C1441" s="410">
        <v>4620</v>
      </c>
      <c r="D1441" s="93" t="s">
        <v>9</v>
      </c>
      <c r="E1441" s="93" t="s">
        <v>9</v>
      </c>
      <c r="F1441" s="93" t="s">
        <v>1648</v>
      </c>
      <c r="G1441" s="93" t="s">
        <v>9117</v>
      </c>
      <c r="H1441" s="93" t="s">
        <v>1690</v>
      </c>
      <c r="I1441" s="93" t="s">
        <v>111</v>
      </c>
      <c r="J1441" s="93" t="s">
        <v>2086</v>
      </c>
      <c r="K1441" s="93">
        <v>50</v>
      </c>
      <c r="L1441" s="93" t="s">
        <v>111</v>
      </c>
      <c r="M1441" s="93">
        <v>5.7</v>
      </c>
      <c r="N1441" s="93" t="s">
        <v>113</v>
      </c>
      <c r="O1441" s="93">
        <v>18.5</v>
      </c>
      <c r="P1441" s="93">
        <v>29.5</v>
      </c>
      <c r="Q1441" s="93">
        <v>37.5</v>
      </c>
      <c r="R1441" s="93" t="s">
        <v>123</v>
      </c>
      <c r="S1441" s="93" t="s">
        <v>659</v>
      </c>
      <c r="T1441" s="93" t="s">
        <v>1659</v>
      </c>
      <c r="U1441" s="93" t="s">
        <v>116</v>
      </c>
      <c r="V1441" s="94">
        <v>44628.583333333336</v>
      </c>
      <c r="W1441" s="93" t="s">
        <v>1170</v>
      </c>
      <c r="X1441" s="93" t="s">
        <v>24</v>
      </c>
    </row>
    <row r="1442" spans="1:24" hidden="1" x14ac:dyDescent="0.15">
      <c r="A1442" s="93" t="s">
        <v>3755</v>
      </c>
      <c r="B1442" s="93" t="s">
        <v>3756</v>
      </c>
      <c r="C1442" s="410">
        <v>4620</v>
      </c>
      <c r="D1442" s="93" t="s">
        <v>9</v>
      </c>
      <c r="E1442" s="93" t="s">
        <v>9</v>
      </c>
      <c r="F1442" s="93" t="s">
        <v>1648</v>
      </c>
      <c r="G1442" s="93" t="s">
        <v>9117</v>
      </c>
      <c r="H1442" s="93" t="s">
        <v>1690</v>
      </c>
      <c r="I1442" s="93" t="s">
        <v>111</v>
      </c>
      <c r="J1442" s="93" t="s">
        <v>2086</v>
      </c>
      <c r="K1442" s="93">
        <v>50</v>
      </c>
      <c r="L1442" s="93" t="s">
        <v>111</v>
      </c>
      <c r="M1442" s="93">
        <v>5.7</v>
      </c>
      <c r="N1442" s="93" t="s">
        <v>113</v>
      </c>
      <c r="O1442" s="93">
        <v>18.5</v>
      </c>
      <c r="P1442" s="93">
        <v>29.5</v>
      </c>
      <c r="Q1442" s="93">
        <v>37.5</v>
      </c>
      <c r="R1442" s="93" t="s">
        <v>123</v>
      </c>
      <c r="S1442" s="93" t="s">
        <v>659</v>
      </c>
      <c r="T1442" s="93" t="s">
        <v>1659</v>
      </c>
      <c r="U1442" s="93" t="s">
        <v>116</v>
      </c>
      <c r="V1442" s="94">
        <v>44628.583333333336</v>
      </c>
      <c r="W1442" s="93" t="s">
        <v>1170</v>
      </c>
      <c r="X1442" s="93" t="s">
        <v>24</v>
      </c>
    </row>
    <row r="1443" spans="1:24" hidden="1" x14ac:dyDescent="0.15">
      <c r="A1443" s="93" t="s">
        <v>3757</v>
      </c>
      <c r="B1443" s="93" t="s">
        <v>3758</v>
      </c>
      <c r="C1443" s="410">
        <v>4620</v>
      </c>
      <c r="D1443" s="93" t="s">
        <v>9</v>
      </c>
      <c r="E1443" s="93" t="s">
        <v>9</v>
      </c>
      <c r="F1443" s="93" t="s">
        <v>1648</v>
      </c>
      <c r="G1443" s="93" t="s">
        <v>9117</v>
      </c>
      <c r="H1443" s="93" t="s">
        <v>1690</v>
      </c>
      <c r="I1443" s="93" t="s">
        <v>111</v>
      </c>
      <c r="J1443" s="93" t="s">
        <v>2086</v>
      </c>
      <c r="K1443" s="93">
        <v>50</v>
      </c>
      <c r="L1443" s="93" t="s">
        <v>111</v>
      </c>
      <c r="M1443" s="93">
        <v>5.7</v>
      </c>
      <c r="N1443" s="93" t="s">
        <v>113</v>
      </c>
      <c r="O1443" s="93">
        <v>18.5</v>
      </c>
      <c r="P1443" s="93">
        <v>29.5</v>
      </c>
      <c r="Q1443" s="93">
        <v>37.5</v>
      </c>
      <c r="R1443" s="93" t="s">
        <v>123</v>
      </c>
      <c r="S1443" s="93" t="s">
        <v>659</v>
      </c>
      <c r="T1443" s="93" t="s">
        <v>1659</v>
      </c>
      <c r="U1443" s="93" t="s">
        <v>116</v>
      </c>
      <c r="V1443" s="94">
        <v>44628.518750000003</v>
      </c>
      <c r="W1443" s="93" t="s">
        <v>1170</v>
      </c>
      <c r="X1443" s="93" t="s">
        <v>24</v>
      </c>
    </row>
    <row r="1444" spans="1:24" hidden="1" x14ac:dyDescent="0.15">
      <c r="A1444" s="93" t="s">
        <v>3759</v>
      </c>
      <c r="B1444" s="93" t="s">
        <v>3760</v>
      </c>
      <c r="C1444" s="410">
        <v>4620</v>
      </c>
      <c r="D1444" s="93" t="s">
        <v>9</v>
      </c>
      <c r="E1444" s="93" t="s">
        <v>9</v>
      </c>
      <c r="F1444" s="93" t="s">
        <v>1648</v>
      </c>
      <c r="G1444" s="93" t="s">
        <v>9117</v>
      </c>
      <c r="H1444" s="93" t="s">
        <v>1690</v>
      </c>
      <c r="I1444" s="93" t="s">
        <v>111</v>
      </c>
      <c r="J1444" s="93" t="s">
        <v>2086</v>
      </c>
      <c r="K1444" s="93">
        <v>50</v>
      </c>
      <c r="L1444" s="93" t="s">
        <v>111</v>
      </c>
      <c r="M1444" s="93">
        <v>5.7</v>
      </c>
      <c r="N1444" s="93" t="s">
        <v>113</v>
      </c>
      <c r="O1444" s="93">
        <v>18.5</v>
      </c>
      <c r="P1444" s="93">
        <v>29.5</v>
      </c>
      <c r="Q1444" s="93">
        <v>37.5</v>
      </c>
      <c r="R1444" s="93" t="s">
        <v>123</v>
      </c>
      <c r="S1444" s="93" t="s">
        <v>659</v>
      </c>
      <c r="T1444" s="93" t="s">
        <v>1659</v>
      </c>
      <c r="U1444" s="93" t="s">
        <v>116</v>
      </c>
      <c r="V1444" s="94">
        <v>44628.518750000003</v>
      </c>
      <c r="W1444" s="93" t="s">
        <v>1170</v>
      </c>
      <c r="X1444" s="93" t="s">
        <v>24</v>
      </c>
    </row>
    <row r="1445" spans="1:24" hidden="1" x14ac:dyDescent="0.15">
      <c r="A1445" s="93" t="s">
        <v>3761</v>
      </c>
      <c r="B1445" s="93" t="s">
        <v>3762</v>
      </c>
      <c r="C1445" s="410">
        <v>4620</v>
      </c>
      <c r="D1445" s="93" t="s">
        <v>9</v>
      </c>
      <c r="E1445" s="93" t="s">
        <v>9</v>
      </c>
      <c r="F1445" s="93" t="s">
        <v>1648</v>
      </c>
      <c r="G1445" s="93" t="s">
        <v>9117</v>
      </c>
      <c r="H1445" s="93" t="s">
        <v>1690</v>
      </c>
      <c r="I1445" s="93" t="s">
        <v>111</v>
      </c>
      <c r="J1445" s="93" t="s">
        <v>2086</v>
      </c>
      <c r="K1445" s="93">
        <v>50</v>
      </c>
      <c r="L1445" s="93" t="s">
        <v>111</v>
      </c>
      <c r="M1445" s="93">
        <v>5.7</v>
      </c>
      <c r="N1445" s="93" t="s">
        <v>113</v>
      </c>
      <c r="O1445" s="93">
        <v>18.5</v>
      </c>
      <c r="P1445" s="93">
        <v>29.5</v>
      </c>
      <c r="Q1445" s="93">
        <v>37.5</v>
      </c>
      <c r="R1445" s="93" t="s">
        <v>123</v>
      </c>
      <c r="S1445" s="93" t="s">
        <v>659</v>
      </c>
      <c r="T1445" s="93" t="s">
        <v>1659</v>
      </c>
      <c r="U1445" s="93" t="s">
        <v>116</v>
      </c>
      <c r="V1445" s="94">
        <v>44628.583333333336</v>
      </c>
      <c r="W1445" s="93" t="s">
        <v>1170</v>
      </c>
      <c r="X1445" s="93" t="s">
        <v>24</v>
      </c>
    </row>
    <row r="1446" spans="1:24" hidden="1" x14ac:dyDescent="0.15">
      <c r="A1446" s="93" t="s">
        <v>3763</v>
      </c>
      <c r="B1446" s="93" t="s">
        <v>3764</v>
      </c>
      <c r="C1446" s="410">
        <v>4620</v>
      </c>
      <c r="D1446" s="93" t="s">
        <v>9</v>
      </c>
      <c r="E1446" s="93" t="s">
        <v>9</v>
      </c>
      <c r="F1446" s="93" t="s">
        <v>1648</v>
      </c>
      <c r="G1446" s="93" t="s">
        <v>9117</v>
      </c>
      <c r="H1446" s="93" t="s">
        <v>1690</v>
      </c>
      <c r="I1446" s="93" t="s">
        <v>111</v>
      </c>
      <c r="J1446" s="93" t="s">
        <v>2086</v>
      </c>
      <c r="K1446" s="93">
        <v>50</v>
      </c>
      <c r="L1446" s="93" t="s">
        <v>111</v>
      </c>
      <c r="M1446" s="93">
        <v>5.7</v>
      </c>
      <c r="N1446" s="93" t="s">
        <v>113</v>
      </c>
      <c r="O1446" s="93">
        <v>18.5</v>
      </c>
      <c r="P1446" s="93">
        <v>29.5</v>
      </c>
      <c r="Q1446" s="93">
        <v>37.5</v>
      </c>
      <c r="R1446" s="93" t="s">
        <v>123</v>
      </c>
      <c r="S1446" s="93" t="s">
        <v>659</v>
      </c>
      <c r="T1446" s="93" t="s">
        <v>1659</v>
      </c>
      <c r="U1446" s="93" t="s">
        <v>116</v>
      </c>
      <c r="V1446" s="94">
        <v>44628.540277777778</v>
      </c>
      <c r="W1446" s="93" t="s">
        <v>1170</v>
      </c>
      <c r="X1446" s="93" t="s">
        <v>24</v>
      </c>
    </row>
    <row r="1447" spans="1:24" hidden="1" x14ac:dyDescent="0.15">
      <c r="A1447" s="93" t="s">
        <v>3765</v>
      </c>
      <c r="B1447" s="93" t="s">
        <v>3766</v>
      </c>
      <c r="C1447" s="410">
        <v>4620</v>
      </c>
      <c r="D1447" s="93" t="s">
        <v>9</v>
      </c>
      <c r="E1447" s="93" t="s">
        <v>9</v>
      </c>
      <c r="F1447" s="93" t="s">
        <v>1648</v>
      </c>
      <c r="G1447" s="93" t="s">
        <v>9117</v>
      </c>
      <c r="H1447" s="93" t="s">
        <v>1690</v>
      </c>
      <c r="I1447" s="93" t="s">
        <v>111</v>
      </c>
      <c r="J1447" s="93" t="s">
        <v>2086</v>
      </c>
      <c r="K1447" s="93">
        <v>50</v>
      </c>
      <c r="L1447" s="93" t="s">
        <v>111</v>
      </c>
      <c r="M1447" s="93">
        <v>5.7</v>
      </c>
      <c r="N1447" s="93" t="s">
        <v>113</v>
      </c>
      <c r="O1447" s="93">
        <v>18.5</v>
      </c>
      <c r="P1447" s="93">
        <v>29.5</v>
      </c>
      <c r="Q1447" s="93">
        <v>37.5</v>
      </c>
      <c r="R1447" s="93" t="s">
        <v>123</v>
      </c>
      <c r="S1447" s="93" t="s">
        <v>659</v>
      </c>
      <c r="T1447" s="93" t="s">
        <v>1659</v>
      </c>
      <c r="U1447" s="93" t="s">
        <v>116</v>
      </c>
      <c r="V1447" s="94">
        <v>44628.561805555553</v>
      </c>
      <c r="W1447" s="93" t="s">
        <v>1170</v>
      </c>
      <c r="X1447" s="93" t="s">
        <v>24</v>
      </c>
    </row>
    <row r="1448" spans="1:24" hidden="1" x14ac:dyDescent="0.15">
      <c r="A1448" s="93" t="s">
        <v>3767</v>
      </c>
      <c r="B1448" s="93" t="s">
        <v>3768</v>
      </c>
      <c r="C1448" s="410">
        <v>4620</v>
      </c>
      <c r="D1448" s="93" t="s">
        <v>9</v>
      </c>
      <c r="E1448" s="93" t="s">
        <v>9</v>
      </c>
      <c r="F1448" s="93" t="s">
        <v>1648</v>
      </c>
      <c r="G1448" s="93" t="s">
        <v>9117</v>
      </c>
      <c r="H1448" s="93" t="s">
        <v>1690</v>
      </c>
      <c r="I1448" s="93" t="s">
        <v>111</v>
      </c>
      <c r="J1448" s="93" t="s">
        <v>2086</v>
      </c>
      <c r="K1448" s="93">
        <v>50</v>
      </c>
      <c r="L1448" s="93" t="s">
        <v>111</v>
      </c>
      <c r="M1448" s="93">
        <v>5.7</v>
      </c>
      <c r="N1448" s="93" t="s">
        <v>113</v>
      </c>
      <c r="O1448" s="93">
        <v>18.5</v>
      </c>
      <c r="P1448" s="93">
        <v>29.5</v>
      </c>
      <c r="Q1448" s="93">
        <v>37.5</v>
      </c>
      <c r="R1448" s="93" t="s">
        <v>123</v>
      </c>
      <c r="S1448" s="93" t="s">
        <v>659</v>
      </c>
      <c r="T1448" s="93" t="s">
        <v>1659</v>
      </c>
      <c r="U1448" s="93" t="s">
        <v>116</v>
      </c>
      <c r="V1448" s="94">
        <v>44628.604861111111</v>
      </c>
      <c r="W1448" s="93" t="s">
        <v>1170</v>
      </c>
      <c r="X1448" s="93" t="s">
        <v>24</v>
      </c>
    </row>
    <row r="1449" spans="1:24" hidden="1" x14ac:dyDescent="0.15">
      <c r="A1449" s="93" t="s">
        <v>3769</v>
      </c>
      <c r="B1449" s="93" t="s">
        <v>3770</v>
      </c>
      <c r="C1449" s="410">
        <v>4620</v>
      </c>
      <c r="D1449" s="93" t="s">
        <v>9</v>
      </c>
      <c r="E1449" s="93" t="s">
        <v>9</v>
      </c>
      <c r="F1449" s="93" t="s">
        <v>1648</v>
      </c>
      <c r="G1449" s="93" t="s">
        <v>9117</v>
      </c>
      <c r="H1449" s="93" t="s">
        <v>1690</v>
      </c>
      <c r="I1449" s="93" t="s">
        <v>111</v>
      </c>
      <c r="J1449" s="93" t="s">
        <v>2086</v>
      </c>
      <c r="K1449" s="93">
        <v>50</v>
      </c>
      <c r="L1449" s="93" t="s">
        <v>111</v>
      </c>
      <c r="M1449" s="93">
        <v>5.7</v>
      </c>
      <c r="N1449" s="93" t="s">
        <v>113</v>
      </c>
      <c r="O1449" s="93">
        <v>18.5</v>
      </c>
      <c r="P1449" s="93">
        <v>29.5</v>
      </c>
      <c r="Q1449" s="93">
        <v>37.5</v>
      </c>
      <c r="R1449" s="93" t="s">
        <v>123</v>
      </c>
      <c r="S1449" s="93" t="s">
        <v>659</v>
      </c>
      <c r="T1449" s="93" t="s">
        <v>1659</v>
      </c>
      <c r="U1449" s="93" t="s">
        <v>116</v>
      </c>
      <c r="V1449" s="94">
        <v>44628.583333333336</v>
      </c>
      <c r="W1449" s="93" t="s">
        <v>1170</v>
      </c>
      <c r="X1449" s="93" t="s">
        <v>24</v>
      </c>
    </row>
    <row r="1450" spans="1:24" hidden="1" x14ac:dyDescent="0.15">
      <c r="A1450" s="93" t="s">
        <v>3771</v>
      </c>
      <c r="B1450" s="93" t="s">
        <v>3772</v>
      </c>
      <c r="C1450" s="410">
        <v>4620</v>
      </c>
      <c r="D1450" s="93" t="s">
        <v>9</v>
      </c>
      <c r="E1450" s="93" t="s">
        <v>9</v>
      </c>
      <c r="F1450" s="93" t="s">
        <v>1648</v>
      </c>
      <c r="G1450" s="93" t="s">
        <v>9117</v>
      </c>
      <c r="H1450" s="93" t="s">
        <v>1690</v>
      </c>
      <c r="I1450" s="93" t="s">
        <v>111</v>
      </c>
      <c r="J1450" s="93" t="s">
        <v>2086</v>
      </c>
      <c r="K1450" s="93">
        <v>50</v>
      </c>
      <c r="L1450" s="93" t="s">
        <v>111</v>
      </c>
      <c r="M1450" s="93">
        <v>5.7</v>
      </c>
      <c r="N1450" s="93" t="s">
        <v>113</v>
      </c>
      <c r="O1450" s="93">
        <v>18.5</v>
      </c>
      <c r="P1450" s="93">
        <v>29.5</v>
      </c>
      <c r="Q1450" s="93">
        <v>37.5</v>
      </c>
      <c r="R1450" s="93" t="s">
        <v>123</v>
      </c>
      <c r="S1450" s="93" t="s">
        <v>659</v>
      </c>
      <c r="T1450" s="93" t="s">
        <v>1659</v>
      </c>
      <c r="U1450" s="93" t="s">
        <v>116</v>
      </c>
      <c r="V1450" s="94">
        <v>44628.495833333334</v>
      </c>
      <c r="W1450" s="93" t="s">
        <v>1170</v>
      </c>
      <c r="X1450" s="93" t="s">
        <v>24</v>
      </c>
    </row>
    <row r="1451" spans="1:24" hidden="1" x14ac:dyDescent="0.15">
      <c r="A1451" s="93" t="s">
        <v>3773</v>
      </c>
      <c r="B1451" s="93" t="s">
        <v>3774</v>
      </c>
      <c r="C1451" s="410">
        <v>5040</v>
      </c>
      <c r="D1451" s="93" t="s">
        <v>9</v>
      </c>
      <c r="E1451" s="93" t="s">
        <v>9</v>
      </c>
      <c r="F1451" s="93" t="s">
        <v>1648</v>
      </c>
      <c r="G1451" s="93" t="s">
        <v>9117</v>
      </c>
      <c r="H1451" s="93" t="s">
        <v>1943</v>
      </c>
      <c r="I1451" s="93" t="s">
        <v>111</v>
      </c>
      <c r="J1451" s="93" t="s">
        <v>963</v>
      </c>
      <c r="K1451" s="93">
        <v>60</v>
      </c>
      <c r="L1451" s="93" t="s">
        <v>111</v>
      </c>
      <c r="M1451" s="93">
        <v>4.5</v>
      </c>
      <c r="N1451" s="93" t="s">
        <v>113</v>
      </c>
      <c r="O1451" s="93">
        <v>18.5</v>
      </c>
      <c r="P1451" s="93">
        <v>29.5</v>
      </c>
      <c r="Q1451" s="93">
        <v>32.5</v>
      </c>
      <c r="R1451" s="93" t="s">
        <v>123</v>
      </c>
      <c r="S1451" s="93" t="s">
        <v>26</v>
      </c>
      <c r="T1451" s="93" t="s">
        <v>1659</v>
      </c>
      <c r="U1451" s="93" t="s">
        <v>116</v>
      </c>
      <c r="V1451" s="94">
        <v>44628.540277777778</v>
      </c>
      <c r="W1451" s="93" t="s">
        <v>1170</v>
      </c>
      <c r="X1451" s="93" t="s">
        <v>24</v>
      </c>
    </row>
    <row r="1452" spans="1:24" hidden="1" x14ac:dyDescent="0.15">
      <c r="A1452" s="93" t="s">
        <v>3775</v>
      </c>
      <c r="B1452" s="93" t="s">
        <v>3776</v>
      </c>
      <c r="C1452" s="410">
        <v>5040</v>
      </c>
      <c r="D1452" s="93" t="s">
        <v>9</v>
      </c>
      <c r="E1452" s="93" t="s">
        <v>9</v>
      </c>
      <c r="F1452" s="93" t="s">
        <v>1648</v>
      </c>
      <c r="G1452" s="93" t="s">
        <v>9117</v>
      </c>
      <c r="H1452" s="93" t="s">
        <v>1943</v>
      </c>
      <c r="I1452" s="93" t="s">
        <v>111</v>
      </c>
      <c r="J1452" s="93" t="s">
        <v>963</v>
      </c>
      <c r="K1452" s="93">
        <v>60</v>
      </c>
      <c r="L1452" s="93" t="s">
        <v>111</v>
      </c>
      <c r="M1452" s="93">
        <v>4.5</v>
      </c>
      <c r="N1452" s="93" t="s">
        <v>113</v>
      </c>
      <c r="O1452" s="93">
        <v>18.5</v>
      </c>
      <c r="P1452" s="93">
        <v>29.5</v>
      </c>
      <c r="Q1452" s="93">
        <v>32.5</v>
      </c>
      <c r="R1452" s="93" t="s">
        <v>123</v>
      </c>
      <c r="S1452" s="93" t="s">
        <v>659</v>
      </c>
      <c r="T1452" s="93" t="s">
        <v>1659</v>
      </c>
      <c r="U1452" s="93" t="s">
        <v>116</v>
      </c>
      <c r="V1452" s="94">
        <v>44628.475694444445</v>
      </c>
      <c r="W1452" s="93" t="s">
        <v>1170</v>
      </c>
      <c r="X1452" s="93" t="s">
        <v>24</v>
      </c>
    </row>
    <row r="1453" spans="1:24" hidden="1" x14ac:dyDescent="0.15">
      <c r="A1453" s="93" t="s">
        <v>3777</v>
      </c>
      <c r="B1453" s="93" t="s">
        <v>3778</v>
      </c>
      <c r="C1453" s="410">
        <v>5040</v>
      </c>
      <c r="D1453" s="93" t="s">
        <v>9</v>
      </c>
      <c r="E1453" s="93" t="s">
        <v>9</v>
      </c>
      <c r="F1453" s="93" t="s">
        <v>1648</v>
      </c>
      <c r="G1453" s="93" t="s">
        <v>9117</v>
      </c>
      <c r="H1453" s="93" t="s">
        <v>1943</v>
      </c>
      <c r="I1453" s="93" t="s">
        <v>111</v>
      </c>
      <c r="J1453" s="93" t="s">
        <v>963</v>
      </c>
      <c r="K1453" s="93">
        <v>60</v>
      </c>
      <c r="L1453" s="93" t="s">
        <v>111</v>
      </c>
      <c r="M1453" s="93">
        <v>4.5</v>
      </c>
      <c r="N1453" s="93" t="s">
        <v>113</v>
      </c>
      <c r="O1453" s="93">
        <v>18.5</v>
      </c>
      <c r="P1453" s="93">
        <v>29.5</v>
      </c>
      <c r="Q1453" s="93">
        <v>32.5</v>
      </c>
      <c r="R1453" s="93" t="s">
        <v>123</v>
      </c>
      <c r="S1453" s="93" t="s">
        <v>659</v>
      </c>
      <c r="T1453" s="93" t="s">
        <v>1659</v>
      </c>
      <c r="U1453" s="93" t="s">
        <v>116</v>
      </c>
      <c r="V1453" s="94">
        <v>44628.561805555553</v>
      </c>
      <c r="W1453" s="93" t="s">
        <v>1170</v>
      </c>
      <c r="X1453" s="93" t="s">
        <v>24</v>
      </c>
    </row>
    <row r="1454" spans="1:24" hidden="1" x14ac:dyDescent="0.15">
      <c r="A1454" s="93" t="s">
        <v>3779</v>
      </c>
      <c r="B1454" s="93" t="s">
        <v>3780</v>
      </c>
      <c r="C1454" s="410">
        <v>5040</v>
      </c>
      <c r="D1454" s="93" t="s">
        <v>9</v>
      </c>
      <c r="E1454" s="93" t="s">
        <v>9</v>
      </c>
      <c r="F1454" s="93" t="s">
        <v>1648</v>
      </c>
      <c r="G1454" s="93" t="s">
        <v>9117</v>
      </c>
      <c r="H1454" s="93" t="s">
        <v>1943</v>
      </c>
      <c r="I1454" s="93" t="s">
        <v>111</v>
      </c>
      <c r="J1454" s="93" t="s">
        <v>963</v>
      </c>
      <c r="K1454" s="93">
        <v>60</v>
      </c>
      <c r="L1454" s="93" t="s">
        <v>111</v>
      </c>
      <c r="M1454" s="93">
        <v>4.5</v>
      </c>
      <c r="N1454" s="93" t="s">
        <v>113</v>
      </c>
      <c r="O1454" s="93">
        <v>18.5</v>
      </c>
      <c r="P1454" s="93">
        <v>29.5</v>
      </c>
      <c r="Q1454" s="93">
        <v>32.5</v>
      </c>
      <c r="R1454" s="93" t="s">
        <v>123</v>
      </c>
      <c r="S1454" s="93" t="s">
        <v>659</v>
      </c>
      <c r="T1454" s="93" t="s">
        <v>1659</v>
      </c>
      <c r="U1454" s="93" t="s">
        <v>116</v>
      </c>
      <c r="V1454" s="94">
        <v>44628.640277777777</v>
      </c>
      <c r="W1454" s="93" t="s">
        <v>1170</v>
      </c>
      <c r="X1454" s="93" t="s">
        <v>24</v>
      </c>
    </row>
    <row r="1455" spans="1:24" hidden="1" x14ac:dyDescent="0.15">
      <c r="A1455" s="93" t="s">
        <v>3781</v>
      </c>
      <c r="B1455" s="93" t="s">
        <v>3782</v>
      </c>
      <c r="C1455" s="410">
        <v>5040</v>
      </c>
      <c r="D1455" s="93" t="s">
        <v>9</v>
      </c>
      <c r="E1455" s="93" t="s">
        <v>9</v>
      </c>
      <c r="F1455" s="93" t="s">
        <v>1648</v>
      </c>
      <c r="G1455" s="93" t="s">
        <v>9117</v>
      </c>
      <c r="H1455" s="93" t="s">
        <v>1943</v>
      </c>
      <c r="I1455" s="93" t="s">
        <v>111</v>
      </c>
      <c r="J1455" s="93" t="s">
        <v>963</v>
      </c>
      <c r="K1455" s="93">
        <v>60</v>
      </c>
      <c r="L1455" s="93" t="s">
        <v>111</v>
      </c>
      <c r="M1455" s="93">
        <v>4.5</v>
      </c>
      <c r="N1455" s="93" t="s">
        <v>113</v>
      </c>
      <c r="O1455" s="93">
        <v>18.5</v>
      </c>
      <c r="P1455" s="93">
        <v>29.5</v>
      </c>
      <c r="Q1455" s="93">
        <v>32.5</v>
      </c>
      <c r="R1455" s="93" t="s">
        <v>123</v>
      </c>
      <c r="S1455" s="93" t="s">
        <v>659</v>
      </c>
      <c r="T1455" s="93" t="s">
        <v>1659</v>
      </c>
      <c r="U1455" s="93" t="s">
        <v>116</v>
      </c>
      <c r="V1455" s="94">
        <v>44628.604861111111</v>
      </c>
      <c r="W1455" s="93" t="s">
        <v>1170</v>
      </c>
      <c r="X1455" s="93" t="s">
        <v>24</v>
      </c>
    </row>
    <row r="1456" spans="1:24" hidden="1" x14ac:dyDescent="0.15">
      <c r="A1456" s="93" t="s">
        <v>3783</v>
      </c>
      <c r="B1456" s="93" t="s">
        <v>3784</v>
      </c>
      <c r="C1456" s="410">
        <v>5040</v>
      </c>
      <c r="D1456" s="93" t="s">
        <v>9</v>
      </c>
      <c r="E1456" s="93" t="s">
        <v>9</v>
      </c>
      <c r="F1456" s="93" t="s">
        <v>1648</v>
      </c>
      <c r="G1456" s="93" t="s">
        <v>9117</v>
      </c>
      <c r="H1456" s="93" t="s">
        <v>1943</v>
      </c>
      <c r="I1456" s="93" t="s">
        <v>111</v>
      </c>
      <c r="J1456" s="93" t="s">
        <v>963</v>
      </c>
      <c r="K1456" s="93">
        <v>60</v>
      </c>
      <c r="L1456" s="93" t="s">
        <v>111</v>
      </c>
      <c r="M1456" s="93">
        <v>4.5</v>
      </c>
      <c r="N1456" s="93" t="s">
        <v>113</v>
      </c>
      <c r="O1456" s="93">
        <v>18.5</v>
      </c>
      <c r="P1456" s="93">
        <v>29.5</v>
      </c>
      <c r="Q1456" s="93">
        <v>32.5</v>
      </c>
      <c r="R1456" s="93" t="s">
        <v>123</v>
      </c>
      <c r="S1456" s="93" t="s">
        <v>659</v>
      </c>
      <c r="T1456" s="93" t="s">
        <v>1659</v>
      </c>
      <c r="U1456" s="93" t="s">
        <v>116</v>
      </c>
      <c r="V1456" s="94">
        <v>44628.495833333334</v>
      </c>
      <c r="W1456" s="93" t="s">
        <v>1170</v>
      </c>
      <c r="X1456" s="93" t="s">
        <v>24</v>
      </c>
    </row>
    <row r="1457" spans="1:24" hidden="1" x14ac:dyDescent="0.15">
      <c r="A1457" s="93" t="s">
        <v>3785</v>
      </c>
      <c r="B1457" s="93" t="s">
        <v>3786</v>
      </c>
      <c r="C1457" s="410">
        <v>5040</v>
      </c>
      <c r="D1457" s="93" t="s">
        <v>9</v>
      </c>
      <c r="E1457" s="93" t="s">
        <v>9</v>
      </c>
      <c r="F1457" s="93" t="s">
        <v>1648</v>
      </c>
      <c r="G1457" s="93" t="s">
        <v>9117</v>
      </c>
      <c r="H1457" s="93" t="s">
        <v>1943</v>
      </c>
      <c r="I1457" s="93" t="s">
        <v>111</v>
      </c>
      <c r="J1457" s="93" t="s">
        <v>963</v>
      </c>
      <c r="K1457" s="93">
        <v>60</v>
      </c>
      <c r="L1457" s="93" t="s">
        <v>111</v>
      </c>
      <c r="M1457" s="93">
        <v>4.5</v>
      </c>
      <c r="N1457" s="93" t="s">
        <v>113</v>
      </c>
      <c r="O1457" s="93">
        <v>18.5</v>
      </c>
      <c r="P1457" s="93">
        <v>29.5</v>
      </c>
      <c r="Q1457" s="93">
        <v>32.5</v>
      </c>
      <c r="R1457" s="93" t="s">
        <v>123</v>
      </c>
      <c r="S1457" s="93" t="s">
        <v>659</v>
      </c>
      <c r="T1457" s="93" t="s">
        <v>1659</v>
      </c>
      <c r="U1457" s="93" t="s">
        <v>116</v>
      </c>
      <c r="V1457" s="94">
        <v>44628.475694444445</v>
      </c>
      <c r="W1457" s="93" t="s">
        <v>1170</v>
      </c>
      <c r="X1457" s="93" t="s">
        <v>24</v>
      </c>
    </row>
    <row r="1458" spans="1:24" hidden="1" x14ac:dyDescent="0.15">
      <c r="A1458" s="93" t="s">
        <v>3787</v>
      </c>
      <c r="B1458" s="93" t="s">
        <v>3788</v>
      </c>
      <c r="C1458" s="410">
        <v>5040</v>
      </c>
      <c r="D1458" s="93" t="s">
        <v>9</v>
      </c>
      <c r="E1458" s="93" t="s">
        <v>9</v>
      </c>
      <c r="F1458" s="93" t="s">
        <v>1648</v>
      </c>
      <c r="G1458" s="93" t="s">
        <v>9117</v>
      </c>
      <c r="H1458" s="93" t="s">
        <v>1943</v>
      </c>
      <c r="I1458" s="93" t="s">
        <v>111</v>
      </c>
      <c r="J1458" s="93" t="s">
        <v>963</v>
      </c>
      <c r="K1458" s="93">
        <v>60</v>
      </c>
      <c r="L1458" s="93" t="s">
        <v>111</v>
      </c>
      <c r="M1458" s="93">
        <v>4.5</v>
      </c>
      <c r="N1458" s="93" t="s">
        <v>113</v>
      </c>
      <c r="O1458" s="93">
        <v>18.5</v>
      </c>
      <c r="P1458" s="93">
        <v>29.5</v>
      </c>
      <c r="Q1458" s="93">
        <v>32.5</v>
      </c>
      <c r="R1458" s="93" t="s">
        <v>123</v>
      </c>
      <c r="S1458" s="93" t="s">
        <v>659</v>
      </c>
      <c r="T1458" s="93" t="s">
        <v>1659</v>
      </c>
      <c r="U1458" s="93" t="s">
        <v>116</v>
      </c>
      <c r="V1458" s="94">
        <v>44628.561805555553</v>
      </c>
      <c r="W1458" s="93" t="s">
        <v>1170</v>
      </c>
      <c r="X1458" s="93" t="s">
        <v>24</v>
      </c>
    </row>
    <row r="1459" spans="1:24" hidden="1" x14ac:dyDescent="0.15">
      <c r="A1459" s="93" t="s">
        <v>3789</v>
      </c>
      <c r="B1459" s="93" t="s">
        <v>3790</v>
      </c>
      <c r="C1459" s="410">
        <v>5040</v>
      </c>
      <c r="D1459" s="93" t="s">
        <v>9</v>
      </c>
      <c r="E1459" s="93" t="s">
        <v>9</v>
      </c>
      <c r="F1459" s="93" t="s">
        <v>1648</v>
      </c>
      <c r="G1459" s="93" t="s">
        <v>9117</v>
      </c>
      <c r="H1459" s="93" t="s">
        <v>1943</v>
      </c>
      <c r="I1459" s="93" t="s">
        <v>111</v>
      </c>
      <c r="J1459" s="93" t="s">
        <v>963</v>
      </c>
      <c r="K1459" s="93">
        <v>60</v>
      </c>
      <c r="L1459" s="93" t="s">
        <v>111</v>
      </c>
      <c r="M1459" s="93">
        <v>4.5</v>
      </c>
      <c r="N1459" s="93" t="s">
        <v>113</v>
      </c>
      <c r="O1459" s="93">
        <v>18.5</v>
      </c>
      <c r="P1459" s="93">
        <v>29.5</v>
      </c>
      <c r="Q1459" s="93">
        <v>32.5</v>
      </c>
      <c r="R1459" s="93" t="s">
        <v>123</v>
      </c>
      <c r="S1459" s="93" t="s">
        <v>659</v>
      </c>
      <c r="T1459" s="93" t="s">
        <v>1659</v>
      </c>
      <c r="U1459" s="93" t="s">
        <v>116</v>
      </c>
      <c r="V1459" s="94">
        <v>44628.561805555553</v>
      </c>
      <c r="W1459" s="93" t="s">
        <v>1170</v>
      </c>
      <c r="X1459" s="93" t="s">
        <v>24</v>
      </c>
    </row>
    <row r="1460" spans="1:24" hidden="1" x14ac:dyDescent="0.15">
      <c r="A1460" s="93" t="s">
        <v>3791</v>
      </c>
      <c r="B1460" s="93" t="s">
        <v>3792</v>
      </c>
      <c r="C1460" s="410">
        <v>5040</v>
      </c>
      <c r="D1460" s="93" t="s">
        <v>9</v>
      </c>
      <c r="E1460" s="93" t="s">
        <v>9</v>
      </c>
      <c r="F1460" s="93" t="s">
        <v>1648</v>
      </c>
      <c r="G1460" s="93" t="s">
        <v>9117</v>
      </c>
      <c r="H1460" s="93" t="s">
        <v>1943</v>
      </c>
      <c r="I1460" s="93" t="s">
        <v>111</v>
      </c>
      <c r="J1460" s="93" t="s">
        <v>963</v>
      </c>
      <c r="K1460" s="93">
        <v>60</v>
      </c>
      <c r="L1460" s="93" t="s">
        <v>111</v>
      </c>
      <c r="M1460" s="93">
        <v>4.5</v>
      </c>
      <c r="N1460" s="93" t="s">
        <v>113</v>
      </c>
      <c r="O1460" s="93">
        <v>18.5</v>
      </c>
      <c r="P1460" s="93">
        <v>29.5</v>
      </c>
      <c r="Q1460" s="93">
        <v>32.5</v>
      </c>
      <c r="R1460" s="93" t="s">
        <v>123</v>
      </c>
      <c r="S1460" s="93" t="s">
        <v>659</v>
      </c>
      <c r="T1460" s="93" t="s">
        <v>1659</v>
      </c>
      <c r="U1460" s="93" t="s">
        <v>116</v>
      </c>
      <c r="V1460" s="94">
        <v>44628.475694444445</v>
      </c>
      <c r="W1460" s="93" t="s">
        <v>1170</v>
      </c>
      <c r="X1460" s="93" t="s">
        <v>24</v>
      </c>
    </row>
    <row r="1461" spans="1:24" hidden="1" x14ac:dyDescent="0.15">
      <c r="A1461" s="93" t="s">
        <v>3793</v>
      </c>
      <c r="B1461" s="93" t="s">
        <v>3794</v>
      </c>
      <c r="C1461" s="410">
        <v>5040</v>
      </c>
      <c r="D1461" s="93" t="s">
        <v>9</v>
      </c>
      <c r="E1461" s="93" t="s">
        <v>9</v>
      </c>
      <c r="F1461" s="93" t="s">
        <v>1648</v>
      </c>
      <c r="G1461" s="93" t="s">
        <v>9117</v>
      </c>
      <c r="H1461" s="93" t="s">
        <v>1943</v>
      </c>
      <c r="I1461" s="93" t="s">
        <v>111</v>
      </c>
      <c r="J1461" s="93" t="s">
        <v>963</v>
      </c>
      <c r="K1461" s="93">
        <v>60</v>
      </c>
      <c r="L1461" s="93" t="s">
        <v>111</v>
      </c>
      <c r="M1461" s="93">
        <v>4.5</v>
      </c>
      <c r="N1461" s="93" t="s">
        <v>113</v>
      </c>
      <c r="O1461" s="93">
        <v>18.5</v>
      </c>
      <c r="P1461" s="93">
        <v>29.5</v>
      </c>
      <c r="Q1461" s="93">
        <v>32.5</v>
      </c>
      <c r="R1461" s="93" t="s">
        <v>123</v>
      </c>
      <c r="S1461" s="93" t="s">
        <v>659</v>
      </c>
      <c r="T1461" s="93" t="s">
        <v>1659</v>
      </c>
      <c r="U1461" s="93" t="s">
        <v>116</v>
      </c>
      <c r="V1461" s="94">
        <v>44628.540277777778</v>
      </c>
      <c r="W1461" s="93" t="s">
        <v>1170</v>
      </c>
      <c r="X1461" s="93" t="s">
        <v>24</v>
      </c>
    </row>
    <row r="1462" spans="1:24" hidden="1" x14ac:dyDescent="0.15">
      <c r="A1462" s="93" t="s">
        <v>3795</v>
      </c>
      <c r="B1462" s="93" t="s">
        <v>3796</v>
      </c>
      <c r="C1462" s="410">
        <v>5040</v>
      </c>
      <c r="D1462" s="93" t="s">
        <v>9</v>
      </c>
      <c r="E1462" s="93" t="s">
        <v>9</v>
      </c>
      <c r="F1462" s="93" t="s">
        <v>1648</v>
      </c>
      <c r="G1462" s="93" t="s">
        <v>9117</v>
      </c>
      <c r="H1462" s="93" t="s">
        <v>1943</v>
      </c>
      <c r="I1462" s="93" t="s">
        <v>111</v>
      </c>
      <c r="J1462" s="93" t="s">
        <v>963</v>
      </c>
      <c r="K1462" s="93">
        <v>60</v>
      </c>
      <c r="L1462" s="93" t="s">
        <v>111</v>
      </c>
      <c r="M1462" s="93">
        <v>4.5</v>
      </c>
      <c r="N1462" s="93" t="s">
        <v>113</v>
      </c>
      <c r="O1462" s="93">
        <v>18.5</v>
      </c>
      <c r="P1462" s="93">
        <v>29.5</v>
      </c>
      <c r="Q1462" s="93">
        <v>32.5</v>
      </c>
      <c r="R1462" s="93" t="s">
        <v>123</v>
      </c>
      <c r="S1462" s="93" t="s">
        <v>659</v>
      </c>
      <c r="T1462" s="93" t="s">
        <v>1659</v>
      </c>
      <c r="U1462" s="93" t="s">
        <v>116</v>
      </c>
      <c r="V1462" s="94">
        <v>44628.540277777778</v>
      </c>
      <c r="W1462" s="93" t="s">
        <v>1170</v>
      </c>
      <c r="X1462" s="93" t="s">
        <v>24</v>
      </c>
    </row>
    <row r="1463" spans="1:24" hidden="1" x14ac:dyDescent="0.15">
      <c r="A1463" s="93" t="s">
        <v>3797</v>
      </c>
      <c r="B1463" s="93" t="s">
        <v>3798</v>
      </c>
      <c r="C1463" s="410">
        <v>2782.5</v>
      </c>
      <c r="D1463" s="93" t="s">
        <v>9</v>
      </c>
      <c r="E1463" s="93" t="s">
        <v>9</v>
      </c>
      <c r="F1463" s="93" t="s">
        <v>1648</v>
      </c>
      <c r="G1463" s="93" t="s">
        <v>9117</v>
      </c>
      <c r="H1463" s="93" t="s">
        <v>1690</v>
      </c>
      <c r="I1463" s="93" t="s">
        <v>111</v>
      </c>
      <c r="J1463" s="93" t="s">
        <v>963</v>
      </c>
      <c r="K1463" s="93">
        <v>60</v>
      </c>
      <c r="L1463" s="93" t="s">
        <v>111</v>
      </c>
      <c r="M1463" s="93">
        <v>6</v>
      </c>
      <c r="N1463" s="93" t="s">
        <v>113</v>
      </c>
      <c r="O1463" s="93">
        <v>18.5</v>
      </c>
      <c r="P1463" s="93">
        <v>29</v>
      </c>
      <c r="Q1463" s="93">
        <v>38</v>
      </c>
      <c r="R1463" s="93" t="s">
        <v>123</v>
      </c>
      <c r="S1463" s="93" t="s">
        <v>659</v>
      </c>
      <c r="T1463" s="93" t="s">
        <v>1659</v>
      </c>
      <c r="U1463" s="93" t="s">
        <v>116</v>
      </c>
      <c r="V1463" s="94">
        <v>44628.511805555558</v>
      </c>
      <c r="W1463" s="93" t="s">
        <v>1170</v>
      </c>
      <c r="X1463" s="93" t="s">
        <v>9</v>
      </c>
    </row>
    <row r="1464" spans="1:24" hidden="1" x14ac:dyDescent="0.15">
      <c r="A1464" s="93" t="s">
        <v>3799</v>
      </c>
      <c r="B1464" s="93" t="s">
        <v>3800</v>
      </c>
      <c r="C1464" s="410">
        <v>2782.5</v>
      </c>
      <c r="D1464" s="93" t="s">
        <v>9</v>
      </c>
      <c r="E1464" s="93" t="s">
        <v>9</v>
      </c>
      <c r="F1464" s="93" t="s">
        <v>1648</v>
      </c>
      <c r="G1464" s="93" t="s">
        <v>9117</v>
      </c>
      <c r="H1464" s="93" t="s">
        <v>1690</v>
      </c>
      <c r="I1464" s="93" t="s">
        <v>111</v>
      </c>
      <c r="J1464" s="93" t="s">
        <v>963</v>
      </c>
      <c r="K1464" s="93">
        <v>60</v>
      </c>
      <c r="L1464" s="93" t="s">
        <v>111</v>
      </c>
      <c r="M1464" s="93">
        <v>6</v>
      </c>
      <c r="N1464" s="93" t="s">
        <v>113</v>
      </c>
      <c r="O1464" s="93">
        <v>18.5</v>
      </c>
      <c r="P1464" s="93">
        <v>29</v>
      </c>
      <c r="Q1464" s="93">
        <v>38</v>
      </c>
      <c r="R1464" s="93" t="s">
        <v>123</v>
      </c>
      <c r="S1464" s="93" t="s">
        <v>659</v>
      </c>
      <c r="T1464" s="93" t="s">
        <v>1659</v>
      </c>
      <c r="U1464" s="93" t="s">
        <v>116</v>
      </c>
      <c r="V1464" s="94">
        <v>44628.53402777778</v>
      </c>
      <c r="W1464" s="93" t="s">
        <v>1170</v>
      </c>
      <c r="X1464" s="93" t="s">
        <v>9</v>
      </c>
    </row>
    <row r="1465" spans="1:24" hidden="1" x14ac:dyDescent="0.15">
      <c r="A1465" s="93" t="s">
        <v>3801</v>
      </c>
      <c r="B1465" s="93" t="s">
        <v>3802</v>
      </c>
      <c r="C1465" s="410">
        <v>5092.5</v>
      </c>
      <c r="D1465" s="93" t="s">
        <v>9</v>
      </c>
      <c r="E1465" s="93" t="s">
        <v>9</v>
      </c>
      <c r="F1465" s="93" t="s">
        <v>1648</v>
      </c>
      <c r="G1465" s="93" t="s">
        <v>9117</v>
      </c>
      <c r="H1465" s="93" t="s">
        <v>1690</v>
      </c>
      <c r="I1465" s="93" t="s">
        <v>111</v>
      </c>
      <c r="J1465" s="93" t="s">
        <v>963</v>
      </c>
      <c r="K1465" s="93">
        <v>60</v>
      </c>
      <c r="L1465" s="93" t="s">
        <v>111</v>
      </c>
      <c r="M1465" s="93">
        <v>9</v>
      </c>
      <c r="N1465" s="93" t="s">
        <v>113</v>
      </c>
      <c r="O1465" s="93">
        <v>46.3</v>
      </c>
      <c r="P1465" s="93">
        <v>21.8</v>
      </c>
      <c r="Q1465" s="93">
        <v>31.8</v>
      </c>
      <c r="R1465" s="93" t="s">
        <v>123</v>
      </c>
      <c r="S1465" s="93" t="s">
        <v>659</v>
      </c>
      <c r="T1465" s="93" t="s">
        <v>1659</v>
      </c>
      <c r="U1465" s="93" t="s">
        <v>116</v>
      </c>
      <c r="V1465" s="94">
        <v>44628.598611111112</v>
      </c>
      <c r="W1465" s="93" t="s">
        <v>1170</v>
      </c>
      <c r="X1465" s="93" t="s">
        <v>24</v>
      </c>
    </row>
    <row r="1466" spans="1:24" hidden="1" x14ac:dyDescent="0.15">
      <c r="A1466" s="93" t="s">
        <v>3803</v>
      </c>
      <c r="B1466" s="93" t="s">
        <v>3804</v>
      </c>
      <c r="C1466" s="410">
        <v>5092.5</v>
      </c>
      <c r="D1466" s="93" t="s">
        <v>9</v>
      </c>
      <c r="E1466" s="93" t="s">
        <v>9</v>
      </c>
      <c r="F1466" s="93" t="s">
        <v>1648</v>
      </c>
      <c r="G1466" s="93" t="s">
        <v>9117</v>
      </c>
      <c r="H1466" s="93" t="s">
        <v>1690</v>
      </c>
      <c r="I1466" s="93" t="s">
        <v>111</v>
      </c>
      <c r="J1466" s="93" t="s">
        <v>963</v>
      </c>
      <c r="K1466" s="93">
        <v>60</v>
      </c>
      <c r="L1466" s="93" t="s">
        <v>111</v>
      </c>
      <c r="M1466" s="93">
        <v>9</v>
      </c>
      <c r="N1466" s="93" t="s">
        <v>113</v>
      </c>
      <c r="O1466" s="93">
        <v>46.3</v>
      </c>
      <c r="P1466" s="93">
        <v>21.8</v>
      </c>
      <c r="Q1466" s="93">
        <v>31.8</v>
      </c>
      <c r="R1466" s="93" t="s">
        <v>123</v>
      </c>
      <c r="S1466" s="93" t="s">
        <v>659</v>
      </c>
      <c r="T1466" s="93" t="s">
        <v>1659</v>
      </c>
      <c r="U1466" s="93" t="s">
        <v>116</v>
      </c>
      <c r="V1466" s="94">
        <v>44628.555555555555</v>
      </c>
      <c r="W1466" s="93" t="s">
        <v>1170</v>
      </c>
      <c r="X1466" s="93" t="s">
        <v>24</v>
      </c>
    </row>
    <row r="1467" spans="1:24" hidden="1" x14ac:dyDescent="0.15">
      <c r="A1467" s="93" t="s">
        <v>3805</v>
      </c>
      <c r="B1467" s="93" t="s">
        <v>3806</v>
      </c>
      <c r="C1467" s="410">
        <v>2730</v>
      </c>
      <c r="D1467" s="93" t="s">
        <v>9</v>
      </c>
      <c r="E1467" s="93" t="s">
        <v>9</v>
      </c>
      <c r="F1467" s="93" t="s">
        <v>1648</v>
      </c>
      <c r="G1467" s="93" t="s">
        <v>9117</v>
      </c>
      <c r="H1467" s="93" t="s">
        <v>1690</v>
      </c>
      <c r="I1467" s="93" t="s">
        <v>111</v>
      </c>
      <c r="J1467" s="93" t="s">
        <v>963</v>
      </c>
      <c r="K1467" s="93">
        <v>60</v>
      </c>
      <c r="L1467" s="93" t="s">
        <v>111</v>
      </c>
      <c r="M1467" s="93">
        <v>6</v>
      </c>
      <c r="N1467" s="93" t="s">
        <v>113</v>
      </c>
      <c r="O1467" s="93">
        <v>18.5</v>
      </c>
      <c r="P1467" s="93">
        <v>29</v>
      </c>
      <c r="Q1467" s="93">
        <v>38</v>
      </c>
      <c r="R1467" s="93" t="s">
        <v>123</v>
      </c>
      <c r="S1467" s="93" t="s">
        <v>659</v>
      </c>
      <c r="T1467" s="93" t="s">
        <v>1659</v>
      </c>
      <c r="U1467" s="93" t="s">
        <v>116</v>
      </c>
      <c r="V1467" s="94">
        <v>44628.598611111112</v>
      </c>
      <c r="W1467" s="93" t="s">
        <v>1170</v>
      </c>
      <c r="X1467" s="93" t="s">
        <v>9</v>
      </c>
    </row>
    <row r="1468" spans="1:24" hidden="1" x14ac:dyDescent="0.15">
      <c r="A1468" s="93" t="s">
        <v>3807</v>
      </c>
      <c r="B1468" s="93" t="s">
        <v>3808</v>
      </c>
      <c r="C1468" s="410">
        <v>2730</v>
      </c>
      <c r="D1468" s="93" t="s">
        <v>9</v>
      </c>
      <c r="E1468" s="93" t="s">
        <v>9</v>
      </c>
      <c r="F1468" s="93" t="s">
        <v>1648</v>
      </c>
      <c r="G1468" s="93" t="s">
        <v>9117</v>
      </c>
      <c r="H1468" s="93" t="s">
        <v>1690</v>
      </c>
      <c r="I1468" s="93" t="s">
        <v>111</v>
      </c>
      <c r="J1468" s="93" t="s">
        <v>963</v>
      </c>
      <c r="K1468" s="93">
        <v>60</v>
      </c>
      <c r="L1468" s="93" t="s">
        <v>111</v>
      </c>
      <c r="M1468" s="93">
        <v>6</v>
      </c>
      <c r="N1468" s="93" t="s">
        <v>113</v>
      </c>
      <c r="O1468" s="93">
        <v>18.5</v>
      </c>
      <c r="P1468" s="93">
        <v>29</v>
      </c>
      <c r="Q1468" s="93">
        <v>38</v>
      </c>
      <c r="R1468" s="93" t="s">
        <v>123</v>
      </c>
      <c r="S1468" s="93" t="s">
        <v>659</v>
      </c>
      <c r="T1468" s="93" t="s">
        <v>1659</v>
      </c>
      <c r="U1468" s="93" t="s">
        <v>116</v>
      </c>
      <c r="V1468" s="94">
        <v>44628.634027777778</v>
      </c>
      <c r="W1468" s="93" t="s">
        <v>1170</v>
      </c>
      <c r="X1468" s="93" t="s">
        <v>9</v>
      </c>
    </row>
    <row r="1469" spans="1:24" hidden="1" x14ac:dyDescent="0.15">
      <c r="A1469" s="93" t="s">
        <v>3809</v>
      </c>
      <c r="B1469" s="93" t="s">
        <v>3810</v>
      </c>
      <c r="C1469" s="410">
        <v>5040</v>
      </c>
      <c r="D1469" s="93" t="s">
        <v>9</v>
      </c>
      <c r="E1469" s="93" t="s">
        <v>9</v>
      </c>
      <c r="F1469" s="93" t="s">
        <v>1648</v>
      </c>
      <c r="G1469" s="93" t="s">
        <v>9117</v>
      </c>
      <c r="H1469" s="93" t="s">
        <v>1690</v>
      </c>
      <c r="I1469" s="93" t="s">
        <v>111</v>
      </c>
      <c r="J1469" s="93" t="s">
        <v>963</v>
      </c>
      <c r="K1469" s="93">
        <v>60</v>
      </c>
      <c r="L1469" s="93" t="s">
        <v>111</v>
      </c>
      <c r="M1469" s="93">
        <v>6</v>
      </c>
      <c r="N1469" s="93" t="s">
        <v>113</v>
      </c>
      <c r="O1469" s="93">
        <v>18.5</v>
      </c>
      <c r="P1469" s="93">
        <v>29</v>
      </c>
      <c r="Q1469" s="93">
        <v>38</v>
      </c>
      <c r="R1469" s="93" t="s">
        <v>123</v>
      </c>
      <c r="S1469" s="93" t="s">
        <v>659</v>
      </c>
      <c r="T1469" s="93" t="s">
        <v>1659</v>
      </c>
      <c r="U1469" s="93" t="s">
        <v>116</v>
      </c>
      <c r="V1469" s="94">
        <v>44628.489583333336</v>
      </c>
      <c r="W1469" s="93" t="s">
        <v>1170</v>
      </c>
      <c r="X1469" s="93" t="s">
        <v>24</v>
      </c>
    </row>
    <row r="1470" spans="1:24" hidden="1" x14ac:dyDescent="0.15">
      <c r="A1470" s="93" t="s">
        <v>3811</v>
      </c>
      <c r="B1470" s="93" t="s">
        <v>3812</v>
      </c>
      <c r="C1470" s="410">
        <v>5040</v>
      </c>
      <c r="D1470" s="93" t="s">
        <v>9</v>
      </c>
      <c r="E1470" s="93" t="s">
        <v>9</v>
      </c>
      <c r="F1470" s="93" t="s">
        <v>1648</v>
      </c>
      <c r="G1470" s="93" t="s">
        <v>9117</v>
      </c>
      <c r="H1470" s="93" t="s">
        <v>1690</v>
      </c>
      <c r="I1470" s="93" t="s">
        <v>111</v>
      </c>
      <c r="J1470" s="93" t="s">
        <v>963</v>
      </c>
      <c r="K1470" s="93">
        <v>60</v>
      </c>
      <c r="L1470" s="93" t="s">
        <v>111</v>
      </c>
      <c r="M1470" s="93">
        <v>6</v>
      </c>
      <c r="N1470" s="93" t="s">
        <v>113</v>
      </c>
      <c r="O1470" s="93">
        <v>18.5</v>
      </c>
      <c r="P1470" s="93">
        <v>29</v>
      </c>
      <c r="Q1470" s="93">
        <v>38</v>
      </c>
      <c r="R1470" s="93" t="s">
        <v>123</v>
      </c>
      <c r="S1470" s="93" t="s">
        <v>659</v>
      </c>
      <c r="T1470" s="93" t="s">
        <v>1659</v>
      </c>
      <c r="U1470" s="93" t="s">
        <v>116</v>
      </c>
      <c r="V1470" s="94">
        <v>44628.46875</v>
      </c>
      <c r="W1470" s="93" t="s">
        <v>1170</v>
      </c>
      <c r="X1470" s="93" t="s">
        <v>24</v>
      </c>
    </row>
    <row r="1471" spans="1:24" hidden="1" x14ac:dyDescent="0.15">
      <c r="A1471" s="93" t="s">
        <v>3813</v>
      </c>
      <c r="B1471" s="93" t="s">
        <v>9285</v>
      </c>
      <c r="C1471" s="410">
        <v>625</v>
      </c>
      <c r="D1471" s="93" t="s">
        <v>9</v>
      </c>
      <c r="E1471" s="93" t="s">
        <v>9</v>
      </c>
      <c r="F1471" s="93" t="s">
        <v>1648</v>
      </c>
      <c r="G1471" s="93" t="s">
        <v>9112</v>
      </c>
      <c r="H1471" s="93" t="s">
        <v>118</v>
      </c>
      <c r="I1471" s="93" t="s">
        <v>111</v>
      </c>
      <c r="J1471" s="93" t="s">
        <v>118</v>
      </c>
      <c r="K1471" s="93">
        <v>3</v>
      </c>
      <c r="L1471" s="93" t="s">
        <v>111</v>
      </c>
      <c r="M1471" s="93" t="s">
        <v>111</v>
      </c>
      <c r="N1471" s="93" t="s">
        <v>111</v>
      </c>
      <c r="O1471" s="93" t="s">
        <v>111</v>
      </c>
      <c r="P1471" s="93" t="s">
        <v>111</v>
      </c>
      <c r="Q1471" s="93" t="s">
        <v>111</v>
      </c>
      <c r="R1471" s="93" t="s">
        <v>117</v>
      </c>
      <c r="S1471" s="93" t="s">
        <v>659</v>
      </c>
      <c r="T1471" s="93" t="s">
        <v>115</v>
      </c>
      <c r="U1471" s="93" t="s">
        <v>116</v>
      </c>
      <c r="V1471" s="94">
        <v>44588.270138888889</v>
      </c>
      <c r="W1471" s="93" t="s">
        <v>1170</v>
      </c>
      <c r="X1471" s="93" t="s">
        <v>24</v>
      </c>
    </row>
    <row r="1472" spans="1:24" hidden="1" x14ac:dyDescent="0.15">
      <c r="A1472" s="93" t="s">
        <v>3814</v>
      </c>
      <c r="B1472" s="93" t="s">
        <v>3815</v>
      </c>
      <c r="C1472" s="410">
        <v>700</v>
      </c>
      <c r="D1472" s="93" t="s">
        <v>9</v>
      </c>
      <c r="E1472" s="93" t="s">
        <v>9</v>
      </c>
      <c r="F1472" s="93" t="s">
        <v>1648</v>
      </c>
      <c r="G1472" s="93" t="s">
        <v>9112</v>
      </c>
      <c r="H1472" s="93" t="s">
        <v>118</v>
      </c>
      <c r="I1472" s="93" t="s">
        <v>111</v>
      </c>
      <c r="J1472" s="93" t="s">
        <v>7105</v>
      </c>
      <c r="K1472" s="93" t="s">
        <v>111</v>
      </c>
      <c r="L1472" s="93" t="s">
        <v>111</v>
      </c>
      <c r="M1472" s="93" t="s">
        <v>111</v>
      </c>
      <c r="N1472" s="93" t="s">
        <v>111</v>
      </c>
      <c r="O1472" s="93" t="s">
        <v>111</v>
      </c>
      <c r="P1472" s="93" t="s">
        <v>111</v>
      </c>
      <c r="Q1472" s="93" t="s">
        <v>111</v>
      </c>
      <c r="R1472" s="93" t="s">
        <v>117</v>
      </c>
      <c r="S1472" s="93" t="s">
        <v>659</v>
      </c>
      <c r="T1472" s="93" t="s">
        <v>115</v>
      </c>
      <c r="U1472" s="93" t="s">
        <v>116</v>
      </c>
      <c r="V1472" s="94">
        <v>44588.270138888889</v>
      </c>
      <c r="W1472" s="93" t="s">
        <v>1170</v>
      </c>
      <c r="X1472" s="93" t="s">
        <v>24</v>
      </c>
    </row>
    <row r="1473" spans="1:24" hidden="1" x14ac:dyDescent="0.15">
      <c r="A1473" s="93" t="s">
        <v>3816</v>
      </c>
      <c r="B1473" s="93" t="s">
        <v>9286</v>
      </c>
      <c r="C1473" s="410">
        <v>750</v>
      </c>
      <c r="D1473" s="93" t="s">
        <v>9</v>
      </c>
      <c r="E1473" s="93" t="s">
        <v>9</v>
      </c>
      <c r="F1473" s="93" t="s">
        <v>1648</v>
      </c>
      <c r="G1473" s="93" t="s">
        <v>9112</v>
      </c>
      <c r="H1473" s="93" t="s">
        <v>118</v>
      </c>
      <c r="I1473" s="93" t="s">
        <v>111</v>
      </c>
      <c r="J1473" s="93" t="s">
        <v>118</v>
      </c>
      <c r="K1473" s="93">
        <v>3</v>
      </c>
      <c r="L1473" s="93" t="s">
        <v>111</v>
      </c>
      <c r="M1473" s="93" t="s">
        <v>111</v>
      </c>
      <c r="N1473" s="93" t="s">
        <v>111</v>
      </c>
      <c r="O1473" s="93" t="s">
        <v>111</v>
      </c>
      <c r="P1473" s="93" t="s">
        <v>111</v>
      </c>
      <c r="Q1473" s="93" t="s">
        <v>111</v>
      </c>
      <c r="R1473" s="93" t="s">
        <v>117</v>
      </c>
      <c r="S1473" s="93" t="s">
        <v>659</v>
      </c>
      <c r="T1473" s="93" t="s">
        <v>115</v>
      </c>
      <c r="U1473" s="93" t="s">
        <v>116</v>
      </c>
      <c r="V1473" s="94">
        <v>44588.270138888889</v>
      </c>
      <c r="W1473" s="93" t="s">
        <v>1170</v>
      </c>
      <c r="X1473" s="93" t="s">
        <v>24</v>
      </c>
    </row>
    <row r="1474" spans="1:24" hidden="1" x14ac:dyDescent="0.15">
      <c r="A1474" s="93" t="s">
        <v>3817</v>
      </c>
      <c r="B1474" s="93" t="s">
        <v>3818</v>
      </c>
      <c r="C1474" s="410">
        <v>5280</v>
      </c>
      <c r="D1474" s="93" t="s">
        <v>9</v>
      </c>
      <c r="E1474" s="93" t="s">
        <v>9</v>
      </c>
      <c r="F1474" s="93" t="s">
        <v>1648</v>
      </c>
      <c r="G1474" s="93" t="s">
        <v>9112</v>
      </c>
      <c r="H1474" s="93" t="s">
        <v>118</v>
      </c>
      <c r="I1474" s="93" t="s">
        <v>111</v>
      </c>
      <c r="J1474" s="93" t="s">
        <v>118</v>
      </c>
      <c r="K1474" s="93">
        <v>3</v>
      </c>
      <c r="L1474" s="93" t="s">
        <v>111</v>
      </c>
      <c r="M1474" s="93" t="s">
        <v>111</v>
      </c>
      <c r="N1474" s="93" t="s">
        <v>111</v>
      </c>
      <c r="O1474" s="93" t="s">
        <v>111</v>
      </c>
      <c r="P1474" s="93" t="s">
        <v>111</v>
      </c>
      <c r="Q1474" s="93" t="s">
        <v>111</v>
      </c>
      <c r="R1474" s="93" t="s">
        <v>228</v>
      </c>
      <c r="S1474" s="93" t="s">
        <v>659</v>
      </c>
      <c r="T1474" s="93" t="s">
        <v>115</v>
      </c>
      <c r="U1474" s="93" t="s">
        <v>116</v>
      </c>
      <c r="V1474" s="94">
        <v>44588.197916666664</v>
      </c>
      <c r="W1474" s="93" t="s">
        <v>1170</v>
      </c>
      <c r="X1474" s="93" t="s">
        <v>24</v>
      </c>
    </row>
    <row r="1475" spans="1:24" hidden="1" x14ac:dyDescent="0.15">
      <c r="A1475" s="93" t="s">
        <v>9287</v>
      </c>
      <c r="B1475" s="93" t="s">
        <v>9288</v>
      </c>
      <c r="C1475" s="410">
        <v>1000</v>
      </c>
      <c r="D1475" s="93" t="s">
        <v>24</v>
      </c>
      <c r="E1475" s="93" t="s">
        <v>9</v>
      </c>
      <c r="F1475" s="93" t="s">
        <v>1648</v>
      </c>
      <c r="G1475" s="93" t="s">
        <v>9112</v>
      </c>
      <c r="H1475" s="93" t="s">
        <v>118</v>
      </c>
      <c r="I1475" s="93" t="s">
        <v>111</v>
      </c>
      <c r="J1475" s="93" t="s">
        <v>118</v>
      </c>
      <c r="K1475" s="93">
        <v>3</v>
      </c>
      <c r="L1475" s="93" t="s">
        <v>111</v>
      </c>
      <c r="M1475" s="93" t="s">
        <v>111</v>
      </c>
      <c r="N1475" s="93" t="s">
        <v>111</v>
      </c>
      <c r="O1475" s="93" t="s">
        <v>111</v>
      </c>
      <c r="P1475" s="93" t="s">
        <v>111</v>
      </c>
      <c r="Q1475" s="93" t="s">
        <v>111</v>
      </c>
      <c r="R1475" s="93" t="s">
        <v>228</v>
      </c>
      <c r="S1475" s="93" t="s">
        <v>659</v>
      </c>
      <c r="T1475" s="93" t="s">
        <v>115</v>
      </c>
      <c r="U1475" s="93" t="s">
        <v>116</v>
      </c>
      <c r="V1475" s="94">
        <v>44620.640972222223</v>
      </c>
      <c r="W1475" s="93" t="s">
        <v>1170</v>
      </c>
      <c r="X1475" s="93" t="s">
        <v>24</v>
      </c>
    </row>
    <row r="1476" spans="1:24" hidden="1" x14ac:dyDescent="0.15">
      <c r="A1476" s="93" t="s">
        <v>3819</v>
      </c>
      <c r="B1476" s="93" t="s">
        <v>3820</v>
      </c>
      <c r="C1476" s="410">
        <v>200</v>
      </c>
      <c r="D1476" s="93" t="s">
        <v>24</v>
      </c>
      <c r="E1476" s="93" t="s">
        <v>9</v>
      </c>
      <c r="F1476" s="93" t="s">
        <v>1648</v>
      </c>
      <c r="G1476" s="93" t="s">
        <v>9112</v>
      </c>
      <c r="H1476" s="93" t="s">
        <v>118</v>
      </c>
      <c r="I1476" s="93" t="s">
        <v>111</v>
      </c>
      <c r="J1476" s="93" t="s">
        <v>118</v>
      </c>
      <c r="K1476" s="93">
        <v>3</v>
      </c>
      <c r="L1476" s="93" t="s">
        <v>111</v>
      </c>
      <c r="M1476" s="93" t="s">
        <v>111</v>
      </c>
      <c r="N1476" s="93" t="s">
        <v>111</v>
      </c>
      <c r="O1476" s="93" t="s">
        <v>111</v>
      </c>
      <c r="P1476" s="93" t="s">
        <v>111</v>
      </c>
      <c r="Q1476" s="93" t="s">
        <v>111</v>
      </c>
      <c r="R1476" s="93" t="s">
        <v>228</v>
      </c>
      <c r="S1476" s="93" t="s">
        <v>659</v>
      </c>
      <c r="T1476" s="93" t="s">
        <v>115</v>
      </c>
      <c r="U1476" s="93" t="s">
        <v>116</v>
      </c>
      <c r="V1476" s="94">
        <v>44588.402777777781</v>
      </c>
      <c r="W1476" s="93" t="s">
        <v>1170</v>
      </c>
      <c r="X1476" s="93" t="s">
        <v>24</v>
      </c>
    </row>
    <row r="1477" spans="1:24" hidden="1" x14ac:dyDescent="0.15">
      <c r="A1477" s="93" t="s">
        <v>3821</v>
      </c>
      <c r="B1477" s="93" t="s">
        <v>3822</v>
      </c>
      <c r="C1477" s="410">
        <v>2500</v>
      </c>
      <c r="D1477" s="93" t="s">
        <v>24</v>
      </c>
      <c r="E1477" s="93" t="s">
        <v>9</v>
      </c>
      <c r="F1477" s="93" t="s">
        <v>1648</v>
      </c>
      <c r="G1477" s="93" t="s">
        <v>9112</v>
      </c>
      <c r="H1477" s="93" t="s">
        <v>118</v>
      </c>
      <c r="I1477" s="93" t="s">
        <v>111</v>
      </c>
      <c r="J1477" s="93" t="s">
        <v>118</v>
      </c>
      <c r="K1477" s="93">
        <v>3</v>
      </c>
      <c r="L1477" s="93" t="s">
        <v>111</v>
      </c>
      <c r="M1477" s="93" t="s">
        <v>111</v>
      </c>
      <c r="N1477" s="93" t="s">
        <v>111</v>
      </c>
      <c r="O1477" s="93" t="s">
        <v>111</v>
      </c>
      <c r="P1477" s="93" t="s">
        <v>111</v>
      </c>
      <c r="Q1477" s="93" t="s">
        <v>111</v>
      </c>
      <c r="R1477" s="93" t="s">
        <v>228</v>
      </c>
      <c r="S1477" s="93" t="s">
        <v>659</v>
      </c>
      <c r="T1477" s="93" t="s">
        <v>115</v>
      </c>
      <c r="U1477" s="93" t="s">
        <v>116</v>
      </c>
      <c r="V1477" s="94">
        <v>44588.142361111109</v>
      </c>
      <c r="W1477" s="93" t="s">
        <v>1170</v>
      </c>
      <c r="X1477" s="93" t="s">
        <v>24</v>
      </c>
    </row>
    <row r="1478" spans="1:24" hidden="1" x14ac:dyDescent="0.15">
      <c r="A1478" s="93" t="s">
        <v>3823</v>
      </c>
      <c r="B1478" s="93" t="s">
        <v>3824</v>
      </c>
      <c r="C1478" s="410">
        <v>3150</v>
      </c>
      <c r="D1478" s="93" t="s">
        <v>9</v>
      </c>
      <c r="E1478" s="93" t="s">
        <v>9</v>
      </c>
      <c r="F1478" s="93" t="s">
        <v>1648</v>
      </c>
      <c r="G1478" s="93" t="s">
        <v>9117</v>
      </c>
      <c r="H1478" s="93" t="s">
        <v>1943</v>
      </c>
      <c r="I1478" s="93" t="s">
        <v>111</v>
      </c>
      <c r="J1478" s="93" t="s">
        <v>963</v>
      </c>
      <c r="K1478" s="93">
        <v>60</v>
      </c>
      <c r="L1478" s="93" t="s">
        <v>111</v>
      </c>
      <c r="M1478" s="93">
        <v>6</v>
      </c>
      <c r="N1478" s="93" t="s">
        <v>113</v>
      </c>
      <c r="O1478" s="93">
        <v>38</v>
      </c>
      <c r="P1478" s="93">
        <v>18.5</v>
      </c>
      <c r="Q1478" s="93">
        <v>29.5</v>
      </c>
      <c r="R1478" s="93" t="s">
        <v>123</v>
      </c>
      <c r="S1478" s="93" t="s">
        <v>659</v>
      </c>
      <c r="T1478" s="93" t="s">
        <v>1659</v>
      </c>
      <c r="U1478" s="93" t="s">
        <v>116</v>
      </c>
      <c r="V1478" s="94">
        <v>44628.53402777778</v>
      </c>
      <c r="W1478" s="93" t="s">
        <v>1170</v>
      </c>
      <c r="X1478" s="93" t="s">
        <v>24</v>
      </c>
    </row>
    <row r="1479" spans="1:24" hidden="1" x14ac:dyDescent="0.15">
      <c r="A1479" s="93" t="s">
        <v>3825</v>
      </c>
      <c r="B1479" s="93" t="s">
        <v>3826</v>
      </c>
      <c r="C1479" s="410">
        <v>3150</v>
      </c>
      <c r="D1479" s="93" t="s">
        <v>9</v>
      </c>
      <c r="E1479" s="93" t="s">
        <v>9</v>
      </c>
      <c r="F1479" s="93" t="s">
        <v>1648</v>
      </c>
      <c r="G1479" s="93" t="s">
        <v>9117</v>
      </c>
      <c r="H1479" s="93" t="s">
        <v>1943</v>
      </c>
      <c r="I1479" s="93" t="s">
        <v>111</v>
      </c>
      <c r="J1479" s="93" t="s">
        <v>963</v>
      </c>
      <c r="K1479" s="93">
        <v>60</v>
      </c>
      <c r="L1479" s="93" t="s">
        <v>111</v>
      </c>
      <c r="M1479" s="93">
        <v>6</v>
      </c>
      <c r="N1479" s="93" t="s">
        <v>113</v>
      </c>
      <c r="O1479" s="93">
        <v>38</v>
      </c>
      <c r="P1479" s="93">
        <v>18.5</v>
      </c>
      <c r="Q1479" s="93">
        <v>29.5</v>
      </c>
      <c r="R1479" s="93" t="s">
        <v>123</v>
      </c>
      <c r="S1479" s="93" t="s">
        <v>659</v>
      </c>
      <c r="T1479" s="93" t="s">
        <v>1659</v>
      </c>
      <c r="U1479" s="93" t="s">
        <v>116</v>
      </c>
      <c r="V1479" s="94">
        <v>44628.53402777778</v>
      </c>
      <c r="W1479" s="93" t="s">
        <v>1170</v>
      </c>
      <c r="X1479" s="93" t="s">
        <v>24</v>
      </c>
    </row>
    <row r="1480" spans="1:24" hidden="1" x14ac:dyDescent="0.15">
      <c r="A1480" s="93" t="s">
        <v>3827</v>
      </c>
      <c r="B1480" s="93" t="s">
        <v>3828</v>
      </c>
      <c r="C1480" s="410">
        <v>5250</v>
      </c>
      <c r="D1480" s="93" t="s">
        <v>9</v>
      </c>
      <c r="E1480" s="93" t="s">
        <v>9</v>
      </c>
      <c r="F1480" s="93" t="s">
        <v>1648</v>
      </c>
      <c r="G1480" s="93" t="s">
        <v>9117</v>
      </c>
      <c r="H1480" s="93" t="s">
        <v>1943</v>
      </c>
      <c r="I1480" s="93" t="s">
        <v>111</v>
      </c>
      <c r="J1480" s="93" t="s">
        <v>963</v>
      </c>
      <c r="K1480" s="93">
        <v>60</v>
      </c>
      <c r="L1480" s="93" t="s">
        <v>111</v>
      </c>
      <c r="M1480" s="93">
        <v>9</v>
      </c>
      <c r="N1480" s="93" t="s">
        <v>113</v>
      </c>
      <c r="O1480" s="93">
        <v>46.3</v>
      </c>
      <c r="P1480" s="93">
        <v>21.8</v>
      </c>
      <c r="Q1480" s="93">
        <v>31.8</v>
      </c>
      <c r="R1480" s="93" t="s">
        <v>123</v>
      </c>
      <c r="S1480" s="93" t="s">
        <v>659</v>
      </c>
      <c r="T1480" s="93" t="s">
        <v>1659</v>
      </c>
      <c r="U1480" s="93" t="s">
        <v>116</v>
      </c>
      <c r="V1480" s="94">
        <v>44628.53402777778</v>
      </c>
      <c r="W1480" s="93" t="s">
        <v>1170</v>
      </c>
      <c r="X1480" s="93" t="s">
        <v>24</v>
      </c>
    </row>
    <row r="1481" spans="1:24" hidden="1" x14ac:dyDescent="0.15">
      <c r="A1481" s="93" t="s">
        <v>3829</v>
      </c>
      <c r="B1481" s="93" t="s">
        <v>3830</v>
      </c>
      <c r="C1481" s="410">
        <v>5250</v>
      </c>
      <c r="D1481" s="93" t="s">
        <v>9</v>
      </c>
      <c r="E1481" s="93" t="s">
        <v>9</v>
      </c>
      <c r="F1481" s="93" t="s">
        <v>1648</v>
      </c>
      <c r="G1481" s="93" t="s">
        <v>9117</v>
      </c>
      <c r="H1481" s="93" t="s">
        <v>1943</v>
      </c>
      <c r="I1481" s="93" t="s">
        <v>111</v>
      </c>
      <c r="J1481" s="93" t="s">
        <v>963</v>
      </c>
      <c r="K1481" s="93">
        <v>60</v>
      </c>
      <c r="L1481" s="93" t="s">
        <v>111</v>
      </c>
      <c r="M1481" s="93">
        <v>9</v>
      </c>
      <c r="N1481" s="93" t="s">
        <v>113</v>
      </c>
      <c r="O1481" s="93">
        <v>46.3</v>
      </c>
      <c r="P1481" s="93">
        <v>21.8</v>
      </c>
      <c r="Q1481" s="93">
        <v>31.8</v>
      </c>
      <c r="R1481" s="93" t="s">
        <v>123</v>
      </c>
      <c r="S1481" s="93" t="s">
        <v>659</v>
      </c>
      <c r="T1481" s="93" t="s">
        <v>1659</v>
      </c>
      <c r="U1481" s="93" t="s">
        <v>116</v>
      </c>
      <c r="V1481" s="94">
        <v>44628.490277777775</v>
      </c>
      <c r="W1481" s="93" t="s">
        <v>1170</v>
      </c>
      <c r="X1481" s="93" t="s">
        <v>24</v>
      </c>
    </row>
    <row r="1482" spans="1:24" hidden="1" x14ac:dyDescent="0.15">
      <c r="A1482" s="93" t="s">
        <v>3831</v>
      </c>
      <c r="B1482" s="93" t="s">
        <v>3832</v>
      </c>
      <c r="C1482" s="410">
        <v>4095</v>
      </c>
      <c r="D1482" s="93" t="s">
        <v>9</v>
      </c>
      <c r="E1482" s="93" t="s">
        <v>9</v>
      </c>
      <c r="F1482" s="93" t="s">
        <v>1648</v>
      </c>
      <c r="G1482" s="93" t="s">
        <v>9183</v>
      </c>
      <c r="H1482" s="93" t="s">
        <v>1690</v>
      </c>
      <c r="I1482" s="93" t="s">
        <v>111</v>
      </c>
      <c r="J1482" s="93" t="s">
        <v>963</v>
      </c>
      <c r="K1482" s="93">
        <v>60</v>
      </c>
      <c r="L1482" s="93">
        <v>1</v>
      </c>
      <c r="M1482" s="93">
        <v>9</v>
      </c>
      <c r="N1482" s="93" t="s">
        <v>113</v>
      </c>
      <c r="O1482" s="93">
        <v>46.3</v>
      </c>
      <c r="P1482" s="93">
        <v>21.8</v>
      </c>
      <c r="Q1482" s="93">
        <v>31.8</v>
      </c>
      <c r="R1482" s="93" t="s">
        <v>123</v>
      </c>
      <c r="S1482" s="93" t="s">
        <v>659</v>
      </c>
      <c r="T1482" s="93" t="s">
        <v>1659</v>
      </c>
      <c r="U1482" s="93" t="s">
        <v>116</v>
      </c>
      <c r="V1482" s="94">
        <v>44628.555555555555</v>
      </c>
      <c r="W1482" s="93" t="s">
        <v>1170</v>
      </c>
      <c r="X1482" s="93" t="s">
        <v>9</v>
      </c>
    </row>
    <row r="1483" spans="1:24" hidden="1" x14ac:dyDescent="0.15">
      <c r="A1483" s="93" t="s">
        <v>3833</v>
      </c>
      <c r="B1483" s="93" t="s">
        <v>3834</v>
      </c>
      <c r="C1483" s="410">
        <v>4095</v>
      </c>
      <c r="D1483" s="93" t="s">
        <v>9</v>
      </c>
      <c r="E1483" s="93" t="s">
        <v>9</v>
      </c>
      <c r="F1483" s="93" t="s">
        <v>1648</v>
      </c>
      <c r="G1483" s="93" t="s">
        <v>9183</v>
      </c>
      <c r="H1483" s="93" t="s">
        <v>1690</v>
      </c>
      <c r="I1483" s="93" t="s">
        <v>111</v>
      </c>
      <c r="J1483" s="93" t="s">
        <v>963</v>
      </c>
      <c r="K1483" s="93">
        <v>60</v>
      </c>
      <c r="L1483" s="93">
        <v>1</v>
      </c>
      <c r="M1483" s="93">
        <v>9</v>
      </c>
      <c r="N1483" s="93" t="s">
        <v>113</v>
      </c>
      <c r="O1483" s="93">
        <v>46.3</v>
      </c>
      <c r="P1483" s="93">
        <v>21.8</v>
      </c>
      <c r="Q1483" s="93">
        <v>31.8</v>
      </c>
      <c r="R1483" s="93" t="s">
        <v>123</v>
      </c>
      <c r="S1483" s="93" t="s">
        <v>659</v>
      </c>
      <c r="T1483" s="93" t="s">
        <v>1659</v>
      </c>
      <c r="U1483" s="93" t="s">
        <v>116</v>
      </c>
      <c r="V1483" s="94">
        <v>44628.46875</v>
      </c>
      <c r="W1483" s="93" t="s">
        <v>1170</v>
      </c>
      <c r="X1483" s="93" t="s">
        <v>9</v>
      </c>
    </row>
    <row r="1484" spans="1:24" hidden="1" x14ac:dyDescent="0.15">
      <c r="A1484" s="93" t="s">
        <v>3835</v>
      </c>
      <c r="B1484" s="93" t="s">
        <v>3836</v>
      </c>
      <c r="C1484" s="410">
        <v>6142.5</v>
      </c>
      <c r="D1484" s="93" t="s">
        <v>9</v>
      </c>
      <c r="E1484" s="93" t="s">
        <v>9</v>
      </c>
      <c r="F1484" s="93" t="s">
        <v>1648</v>
      </c>
      <c r="G1484" s="93" t="s">
        <v>9183</v>
      </c>
      <c r="H1484" s="93" t="s">
        <v>1690</v>
      </c>
      <c r="I1484" s="93" t="s">
        <v>111</v>
      </c>
      <c r="J1484" s="93" t="s">
        <v>963</v>
      </c>
      <c r="K1484" s="93">
        <v>60</v>
      </c>
      <c r="L1484" s="93">
        <v>1</v>
      </c>
      <c r="M1484" s="93">
        <v>9</v>
      </c>
      <c r="N1484" s="93" t="s">
        <v>113</v>
      </c>
      <c r="O1484" s="93">
        <v>46.3</v>
      </c>
      <c r="P1484" s="93">
        <v>21.8</v>
      </c>
      <c r="Q1484" s="93">
        <v>31.8</v>
      </c>
      <c r="R1484" s="93" t="s">
        <v>123</v>
      </c>
      <c r="S1484" s="93" t="s">
        <v>659</v>
      </c>
      <c r="T1484" s="93" t="s">
        <v>1659</v>
      </c>
      <c r="U1484" s="93" t="s">
        <v>116</v>
      </c>
      <c r="V1484" s="94">
        <v>44628.554861111108</v>
      </c>
      <c r="W1484" s="93" t="s">
        <v>1170</v>
      </c>
      <c r="X1484" s="93" t="s">
        <v>24</v>
      </c>
    </row>
    <row r="1485" spans="1:24" hidden="1" x14ac:dyDescent="0.15">
      <c r="A1485" s="93" t="s">
        <v>3837</v>
      </c>
      <c r="B1485" s="93" t="s">
        <v>3838</v>
      </c>
      <c r="C1485" s="410">
        <v>6142.5</v>
      </c>
      <c r="D1485" s="93" t="s">
        <v>9</v>
      </c>
      <c r="E1485" s="93" t="s">
        <v>9</v>
      </c>
      <c r="F1485" s="93" t="s">
        <v>1648</v>
      </c>
      <c r="G1485" s="93" t="s">
        <v>9183</v>
      </c>
      <c r="H1485" s="93" t="s">
        <v>1690</v>
      </c>
      <c r="I1485" s="93" t="s">
        <v>111</v>
      </c>
      <c r="J1485" s="93" t="s">
        <v>963</v>
      </c>
      <c r="K1485" s="93">
        <v>60</v>
      </c>
      <c r="L1485" s="93">
        <v>1</v>
      </c>
      <c r="M1485" s="93">
        <v>9</v>
      </c>
      <c r="N1485" s="93" t="s">
        <v>113</v>
      </c>
      <c r="O1485" s="93">
        <v>46.3</v>
      </c>
      <c r="P1485" s="93">
        <v>21.8</v>
      </c>
      <c r="Q1485" s="93">
        <v>31.8</v>
      </c>
      <c r="R1485" s="93" t="s">
        <v>123</v>
      </c>
      <c r="S1485" s="93" t="s">
        <v>659</v>
      </c>
      <c r="T1485" s="93" t="s">
        <v>1659</v>
      </c>
      <c r="U1485" s="93" t="s">
        <v>116</v>
      </c>
      <c r="V1485" s="94">
        <v>44628.57708333333</v>
      </c>
      <c r="W1485" s="93" t="s">
        <v>1170</v>
      </c>
      <c r="X1485" s="93" t="s">
        <v>24</v>
      </c>
    </row>
    <row r="1486" spans="1:24" hidden="1" x14ac:dyDescent="0.15">
      <c r="A1486" s="93" t="s">
        <v>3839</v>
      </c>
      <c r="B1486" s="93" t="s">
        <v>3840</v>
      </c>
      <c r="C1486" s="410">
        <v>850</v>
      </c>
      <c r="D1486" s="93" t="s">
        <v>9</v>
      </c>
      <c r="E1486" s="93" t="s">
        <v>9</v>
      </c>
      <c r="F1486" s="93" t="s">
        <v>1648</v>
      </c>
      <c r="G1486" s="93" t="s">
        <v>9112</v>
      </c>
      <c r="H1486" s="93" t="s">
        <v>118</v>
      </c>
      <c r="I1486" s="93" t="s">
        <v>111</v>
      </c>
      <c r="J1486" s="93" t="s">
        <v>7105</v>
      </c>
      <c r="K1486" s="93" t="s">
        <v>111</v>
      </c>
      <c r="L1486" s="93" t="s">
        <v>111</v>
      </c>
      <c r="M1486" s="93" t="s">
        <v>111</v>
      </c>
      <c r="N1486" s="93" t="s">
        <v>111</v>
      </c>
      <c r="O1486" s="93" t="s">
        <v>111</v>
      </c>
      <c r="P1486" s="93" t="s">
        <v>111</v>
      </c>
      <c r="Q1486" s="93" t="s">
        <v>111</v>
      </c>
      <c r="R1486" s="93" t="s">
        <v>117</v>
      </c>
      <c r="S1486" s="93" t="s">
        <v>659</v>
      </c>
      <c r="T1486" s="93" t="s">
        <v>115</v>
      </c>
      <c r="U1486" s="93" t="s">
        <v>116</v>
      </c>
      <c r="V1486" s="94">
        <v>44588.270138888889</v>
      </c>
      <c r="W1486" s="93" t="s">
        <v>1170</v>
      </c>
      <c r="X1486" s="93" t="s">
        <v>24</v>
      </c>
    </row>
    <row r="1487" spans="1:24" hidden="1" x14ac:dyDescent="0.15">
      <c r="A1487" s="93" t="s">
        <v>3841</v>
      </c>
      <c r="B1487" s="93" t="s">
        <v>3842</v>
      </c>
      <c r="C1487" s="410">
        <v>1000</v>
      </c>
      <c r="D1487" s="93" t="s">
        <v>9</v>
      </c>
      <c r="E1487" s="93" t="s">
        <v>9</v>
      </c>
      <c r="F1487" s="93" t="s">
        <v>1648</v>
      </c>
      <c r="G1487" s="93" t="s">
        <v>9112</v>
      </c>
      <c r="H1487" s="93" t="s">
        <v>118</v>
      </c>
      <c r="I1487" s="93" t="s">
        <v>111</v>
      </c>
      <c r="J1487" s="93" t="s">
        <v>118</v>
      </c>
      <c r="K1487" s="93">
        <v>3</v>
      </c>
      <c r="L1487" s="93" t="s">
        <v>111</v>
      </c>
      <c r="M1487" s="93" t="s">
        <v>111</v>
      </c>
      <c r="N1487" s="93" t="s">
        <v>111</v>
      </c>
      <c r="O1487" s="93" t="s">
        <v>111</v>
      </c>
      <c r="P1487" s="93" t="s">
        <v>111</v>
      </c>
      <c r="Q1487" s="93" t="s">
        <v>111</v>
      </c>
      <c r="R1487" s="93" t="s">
        <v>117</v>
      </c>
      <c r="S1487" s="93" t="s">
        <v>659</v>
      </c>
      <c r="T1487" s="93" t="s">
        <v>115</v>
      </c>
      <c r="U1487" s="93" t="s">
        <v>116</v>
      </c>
      <c r="V1487" s="94">
        <v>44588.402083333334</v>
      </c>
      <c r="W1487" s="93" t="s">
        <v>1170</v>
      </c>
      <c r="X1487" s="93" t="s">
        <v>24</v>
      </c>
    </row>
    <row r="1488" spans="1:24" hidden="1" x14ac:dyDescent="0.15">
      <c r="A1488" s="93" t="s">
        <v>9289</v>
      </c>
      <c r="B1488" s="93" t="s">
        <v>9290</v>
      </c>
      <c r="C1488" s="410">
        <v>305</v>
      </c>
      <c r="D1488" s="93" t="s">
        <v>24</v>
      </c>
      <c r="E1488" s="93" t="s">
        <v>9</v>
      </c>
      <c r="F1488" s="93" t="s">
        <v>1648</v>
      </c>
      <c r="G1488" s="93" t="s">
        <v>9112</v>
      </c>
      <c r="H1488" s="93" t="s">
        <v>118</v>
      </c>
      <c r="I1488" s="93" t="s">
        <v>111</v>
      </c>
      <c r="J1488" s="93" t="s">
        <v>118</v>
      </c>
      <c r="K1488" s="93">
        <v>3</v>
      </c>
      <c r="L1488" s="93" t="s">
        <v>111</v>
      </c>
      <c r="M1488" s="93" t="s">
        <v>111</v>
      </c>
      <c r="N1488" s="93" t="s">
        <v>111</v>
      </c>
      <c r="O1488" s="93" t="s">
        <v>111</v>
      </c>
      <c r="P1488" s="93" t="s">
        <v>111</v>
      </c>
      <c r="Q1488" s="93" t="s">
        <v>111</v>
      </c>
      <c r="R1488" s="93" t="s">
        <v>228</v>
      </c>
      <c r="S1488" s="93" t="s">
        <v>2</v>
      </c>
      <c r="T1488" s="93" t="s">
        <v>115</v>
      </c>
      <c r="U1488" s="93" t="s">
        <v>116</v>
      </c>
      <c r="V1488" s="94">
        <v>44600.13958333333</v>
      </c>
      <c r="W1488" s="93" t="s">
        <v>1170</v>
      </c>
      <c r="X1488" s="93" t="s">
        <v>24</v>
      </c>
    </row>
    <row r="1489" spans="1:24" hidden="1" x14ac:dyDescent="0.15">
      <c r="A1489" s="93" t="s">
        <v>664</v>
      </c>
      <c r="B1489" s="93" t="s">
        <v>665</v>
      </c>
      <c r="C1489" s="410">
        <v>20</v>
      </c>
      <c r="D1489" s="93" t="s">
        <v>24</v>
      </c>
      <c r="E1489" s="93" t="s">
        <v>24</v>
      </c>
      <c r="F1489" s="93" t="s">
        <v>399</v>
      </c>
      <c r="G1489" s="93" t="s">
        <v>7182</v>
      </c>
      <c r="H1489" s="93" t="s">
        <v>400</v>
      </c>
      <c r="I1489" s="93" t="s">
        <v>111</v>
      </c>
      <c r="J1489" s="93" t="s">
        <v>7105</v>
      </c>
      <c r="K1489" s="93" t="s">
        <v>111</v>
      </c>
      <c r="L1489" s="93" t="s">
        <v>111</v>
      </c>
      <c r="M1489" s="93" t="s">
        <v>111</v>
      </c>
      <c r="N1489" s="93" t="s">
        <v>111</v>
      </c>
      <c r="O1489" s="93" t="s">
        <v>111</v>
      </c>
      <c r="P1489" s="93" t="s">
        <v>111</v>
      </c>
      <c r="Q1489" s="93" t="s">
        <v>111</v>
      </c>
      <c r="R1489" s="93" t="s">
        <v>111</v>
      </c>
      <c r="S1489" s="93" t="s">
        <v>111</v>
      </c>
      <c r="T1489" s="93" t="s">
        <v>115</v>
      </c>
      <c r="U1489" s="93" t="s">
        <v>116</v>
      </c>
      <c r="V1489" s="94">
        <v>44596.664583333331</v>
      </c>
      <c r="W1489" s="93" t="s">
        <v>402</v>
      </c>
      <c r="X1489" s="93" t="s">
        <v>24</v>
      </c>
    </row>
    <row r="1490" spans="1:24" hidden="1" x14ac:dyDescent="0.15">
      <c r="A1490" s="93" t="s">
        <v>666</v>
      </c>
      <c r="B1490" s="93" t="s">
        <v>667</v>
      </c>
      <c r="C1490" s="410">
        <v>19</v>
      </c>
      <c r="D1490" s="93" t="s">
        <v>24</v>
      </c>
      <c r="E1490" s="93" t="s">
        <v>24</v>
      </c>
      <c r="F1490" s="93" t="s">
        <v>399</v>
      </c>
      <c r="G1490" s="93" t="s">
        <v>7182</v>
      </c>
      <c r="H1490" s="93" t="s">
        <v>400</v>
      </c>
      <c r="I1490" s="93" t="s">
        <v>111</v>
      </c>
      <c r="J1490" s="93" t="s">
        <v>7105</v>
      </c>
      <c r="K1490" s="93" t="s">
        <v>111</v>
      </c>
      <c r="L1490" s="93" t="s">
        <v>111</v>
      </c>
      <c r="M1490" s="93" t="s">
        <v>111</v>
      </c>
      <c r="N1490" s="93" t="s">
        <v>111</v>
      </c>
      <c r="O1490" s="93" t="s">
        <v>111</v>
      </c>
      <c r="P1490" s="93" t="s">
        <v>111</v>
      </c>
      <c r="Q1490" s="93" t="s">
        <v>111</v>
      </c>
      <c r="R1490" s="93" t="s">
        <v>111</v>
      </c>
      <c r="S1490" s="93" t="s">
        <v>111</v>
      </c>
      <c r="T1490" s="93" t="s">
        <v>115</v>
      </c>
      <c r="U1490" s="93" t="s">
        <v>116</v>
      </c>
      <c r="V1490" s="94">
        <v>44596.695138888892</v>
      </c>
      <c r="W1490" s="93" t="s">
        <v>402</v>
      </c>
      <c r="X1490" s="93" t="s">
        <v>24</v>
      </c>
    </row>
    <row r="1491" spans="1:24" hidden="1" x14ac:dyDescent="0.15">
      <c r="A1491" s="93" t="s">
        <v>668</v>
      </c>
      <c r="B1491" s="93" t="s">
        <v>669</v>
      </c>
      <c r="C1491" s="410">
        <v>18</v>
      </c>
      <c r="D1491" s="93" t="s">
        <v>24</v>
      </c>
      <c r="E1491" s="93" t="s">
        <v>24</v>
      </c>
      <c r="F1491" s="93" t="s">
        <v>399</v>
      </c>
      <c r="G1491" s="93" t="s">
        <v>7182</v>
      </c>
      <c r="H1491" s="93" t="s">
        <v>400</v>
      </c>
      <c r="I1491" s="93" t="s">
        <v>111</v>
      </c>
      <c r="J1491" s="93" t="s">
        <v>7105</v>
      </c>
      <c r="K1491" s="93" t="s">
        <v>111</v>
      </c>
      <c r="L1491" s="93" t="s">
        <v>111</v>
      </c>
      <c r="M1491" s="93" t="s">
        <v>111</v>
      </c>
      <c r="N1491" s="93" t="s">
        <v>111</v>
      </c>
      <c r="O1491" s="93" t="s">
        <v>111</v>
      </c>
      <c r="P1491" s="93" t="s">
        <v>111</v>
      </c>
      <c r="Q1491" s="93" t="s">
        <v>111</v>
      </c>
      <c r="R1491" s="93" t="s">
        <v>111</v>
      </c>
      <c r="S1491" s="93" t="s">
        <v>111</v>
      </c>
      <c r="T1491" s="93" t="s">
        <v>115</v>
      </c>
      <c r="U1491" s="93" t="s">
        <v>116</v>
      </c>
      <c r="V1491" s="94">
        <v>44596.660416666666</v>
      </c>
      <c r="W1491" s="93" t="s">
        <v>402</v>
      </c>
      <c r="X1491" s="93" t="s">
        <v>24</v>
      </c>
    </row>
    <row r="1492" spans="1:24" hidden="1" x14ac:dyDescent="0.15">
      <c r="A1492" s="93" t="s">
        <v>670</v>
      </c>
      <c r="B1492" s="93" t="s">
        <v>671</v>
      </c>
      <c r="C1492" s="410">
        <v>17</v>
      </c>
      <c r="D1492" s="93" t="s">
        <v>24</v>
      </c>
      <c r="E1492" s="93" t="s">
        <v>24</v>
      </c>
      <c r="F1492" s="93" t="s">
        <v>399</v>
      </c>
      <c r="G1492" s="93" t="s">
        <v>7182</v>
      </c>
      <c r="H1492" s="93" t="s">
        <v>400</v>
      </c>
      <c r="I1492" s="93" t="s">
        <v>111</v>
      </c>
      <c r="J1492" s="93" t="s">
        <v>7105</v>
      </c>
      <c r="K1492" s="93" t="s">
        <v>111</v>
      </c>
      <c r="L1492" s="93" t="s">
        <v>111</v>
      </c>
      <c r="M1492" s="93" t="s">
        <v>111</v>
      </c>
      <c r="N1492" s="93" t="s">
        <v>111</v>
      </c>
      <c r="O1492" s="93" t="s">
        <v>111</v>
      </c>
      <c r="P1492" s="93" t="s">
        <v>111</v>
      </c>
      <c r="Q1492" s="93" t="s">
        <v>111</v>
      </c>
      <c r="R1492" s="93" t="s">
        <v>111</v>
      </c>
      <c r="S1492" s="93" t="s">
        <v>111</v>
      </c>
      <c r="T1492" s="93" t="s">
        <v>115</v>
      </c>
      <c r="U1492" s="93" t="s">
        <v>116</v>
      </c>
      <c r="V1492" s="94">
        <v>44596.686805555553</v>
      </c>
      <c r="W1492" s="93" t="s">
        <v>402</v>
      </c>
      <c r="X1492" s="93" t="s">
        <v>24</v>
      </c>
    </row>
    <row r="1493" spans="1:24" hidden="1" x14ac:dyDescent="0.15">
      <c r="A1493" s="93" t="s">
        <v>672</v>
      </c>
      <c r="B1493" s="93" t="s">
        <v>673</v>
      </c>
      <c r="C1493" s="410">
        <v>16</v>
      </c>
      <c r="D1493" s="93" t="s">
        <v>24</v>
      </c>
      <c r="E1493" s="93" t="s">
        <v>24</v>
      </c>
      <c r="F1493" s="93" t="s">
        <v>399</v>
      </c>
      <c r="G1493" s="93" t="s">
        <v>7182</v>
      </c>
      <c r="H1493" s="93" t="s">
        <v>400</v>
      </c>
      <c r="I1493" s="93" t="s">
        <v>111</v>
      </c>
      <c r="J1493" s="93" t="s">
        <v>7105</v>
      </c>
      <c r="K1493" s="93" t="s">
        <v>111</v>
      </c>
      <c r="L1493" s="93" t="s">
        <v>111</v>
      </c>
      <c r="M1493" s="93" t="s">
        <v>111</v>
      </c>
      <c r="N1493" s="93" t="s">
        <v>111</v>
      </c>
      <c r="O1493" s="93" t="s">
        <v>111</v>
      </c>
      <c r="P1493" s="93" t="s">
        <v>111</v>
      </c>
      <c r="Q1493" s="93" t="s">
        <v>111</v>
      </c>
      <c r="R1493" s="93" t="s">
        <v>111</v>
      </c>
      <c r="S1493" s="93" t="s">
        <v>111</v>
      </c>
      <c r="T1493" s="93" t="s">
        <v>115</v>
      </c>
      <c r="U1493" s="93" t="s">
        <v>116</v>
      </c>
      <c r="V1493" s="94">
        <v>44596.695138888892</v>
      </c>
      <c r="W1493" s="93" t="s">
        <v>402</v>
      </c>
      <c r="X1493" s="93" t="s">
        <v>24</v>
      </c>
    </row>
    <row r="1494" spans="1:24" hidden="1" x14ac:dyDescent="0.15">
      <c r="A1494" s="93" t="s">
        <v>674</v>
      </c>
      <c r="B1494" s="93" t="s">
        <v>675</v>
      </c>
      <c r="C1494" s="410">
        <v>32</v>
      </c>
      <c r="D1494" s="93" t="s">
        <v>24</v>
      </c>
      <c r="E1494" s="93" t="s">
        <v>24</v>
      </c>
      <c r="F1494" s="93" t="s">
        <v>399</v>
      </c>
      <c r="G1494" s="93" t="s">
        <v>7182</v>
      </c>
      <c r="H1494" s="93" t="s">
        <v>400</v>
      </c>
      <c r="I1494" s="93" t="s">
        <v>111</v>
      </c>
      <c r="J1494" s="93" t="s">
        <v>7105</v>
      </c>
      <c r="K1494" s="93" t="s">
        <v>111</v>
      </c>
      <c r="L1494" s="93" t="s">
        <v>111</v>
      </c>
      <c r="M1494" s="93" t="s">
        <v>111</v>
      </c>
      <c r="N1494" s="93" t="s">
        <v>111</v>
      </c>
      <c r="O1494" s="93" t="s">
        <v>111</v>
      </c>
      <c r="P1494" s="93" t="s">
        <v>111</v>
      </c>
      <c r="Q1494" s="93" t="s">
        <v>111</v>
      </c>
      <c r="R1494" s="93" t="s">
        <v>111</v>
      </c>
      <c r="S1494" s="93" t="s">
        <v>111</v>
      </c>
      <c r="T1494" s="93" t="s">
        <v>115</v>
      </c>
      <c r="U1494" s="93" t="s">
        <v>116</v>
      </c>
      <c r="V1494" s="94">
        <v>44596.651388888888</v>
      </c>
      <c r="W1494" s="93" t="s">
        <v>402</v>
      </c>
      <c r="X1494" s="93" t="s">
        <v>24</v>
      </c>
    </row>
    <row r="1495" spans="1:24" hidden="1" x14ac:dyDescent="0.15">
      <c r="A1495" s="93" t="s">
        <v>676</v>
      </c>
      <c r="B1495" s="93" t="s">
        <v>677</v>
      </c>
      <c r="C1495" s="410">
        <v>30.4</v>
      </c>
      <c r="D1495" s="93" t="s">
        <v>24</v>
      </c>
      <c r="E1495" s="93" t="s">
        <v>24</v>
      </c>
      <c r="F1495" s="93" t="s">
        <v>399</v>
      </c>
      <c r="G1495" s="93" t="s">
        <v>7182</v>
      </c>
      <c r="H1495" s="93" t="s">
        <v>400</v>
      </c>
      <c r="I1495" s="93" t="s">
        <v>111</v>
      </c>
      <c r="J1495" s="93" t="s">
        <v>7105</v>
      </c>
      <c r="K1495" s="93" t="s">
        <v>111</v>
      </c>
      <c r="L1495" s="93" t="s">
        <v>111</v>
      </c>
      <c r="M1495" s="93" t="s">
        <v>111</v>
      </c>
      <c r="N1495" s="93" t="s">
        <v>111</v>
      </c>
      <c r="O1495" s="93" t="s">
        <v>111</v>
      </c>
      <c r="P1495" s="93" t="s">
        <v>111</v>
      </c>
      <c r="Q1495" s="93" t="s">
        <v>111</v>
      </c>
      <c r="R1495" s="93" t="s">
        <v>111</v>
      </c>
      <c r="S1495" s="93" t="s">
        <v>111</v>
      </c>
      <c r="T1495" s="93" t="s">
        <v>115</v>
      </c>
      <c r="U1495" s="93" t="s">
        <v>116</v>
      </c>
      <c r="V1495" s="94">
        <v>44596.647222222222</v>
      </c>
      <c r="W1495" s="93" t="s">
        <v>402</v>
      </c>
      <c r="X1495" s="93" t="s">
        <v>24</v>
      </c>
    </row>
    <row r="1496" spans="1:24" hidden="1" x14ac:dyDescent="0.15">
      <c r="A1496" s="93" t="s">
        <v>678</v>
      </c>
      <c r="B1496" s="93" t="s">
        <v>679</v>
      </c>
      <c r="C1496" s="410">
        <v>28.8</v>
      </c>
      <c r="D1496" s="93" t="s">
        <v>24</v>
      </c>
      <c r="E1496" s="93" t="s">
        <v>24</v>
      </c>
      <c r="F1496" s="93" t="s">
        <v>399</v>
      </c>
      <c r="G1496" s="93" t="s">
        <v>7182</v>
      </c>
      <c r="H1496" s="93" t="s">
        <v>400</v>
      </c>
      <c r="I1496" s="93" t="s">
        <v>111</v>
      </c>
      <c r="J1496" s="93" t="s">
        <v>7105</v>
      </c>
      <c r="K1496" s="93" t="s">
        <v>111</v>
      </c>
      <c r="L1496" s="93" t="s">
        <v>111</v>
      </c>
      <c r="M1496" s="93" t="s">
        <v>111</v>
      </c>
      <c r="N1496" s="93" t="s">
        <v>111</v>
      </c>
      <c r="O1496" s="93" t="s">
        <v>111</v>
      </c>
      <c r="P1496" s="93" t="s">
        <v>111</v>
      </c>
      <c r="Q1496" s="93" t="s">
        <v>111</v>
      </c>
      <c r="R1496" s="93" t="s">
        <v>111</v>
      </c>
      <c r="S1496" s="93" t="s">
        <v>111</v>
      </c>
      <c r="T1496" s="93" t="s">
        <v>115</v>
      </c>
      <c r="U1496" s="93" t="s">
        <v>116</v>
      </c>
      <c r="V1496" s="94">
        <v>44596.642361111109</v>
      </c>
      <c r="W1496" s="93" t="s">
        <v>402</v>
      </c>
      <c r="X1496" s="93" t="s">
        <v>24</v>
      </c>
    </row>
    <row r="1497" spans="1:24" hidden="1" x14ac:dyDescent="0.15">
      <c r="A1497" s="93" t="s">
        <v>680</v>
      </c>
      <c r="B1497" s="93" t="s">
        <v>681</v>
      </c>
      <c r="C1497" s="410">
        <v>27.2</v>
      </c>
      <c r="D1497" s="93" t="s">
        <v>24</v>
      </c>
      <c r="E1497" s="93" t="s">
        <v>24</v>
      </c>
      <c r="F1497" s="93" t="s">
        <v>399</v>
      </c>
      <c r="G1497" s="93" t="s">
        <v>7182</v>
      </c>
      <c r="H1497" s="93" t="s">
        <v>400</v>
      </c>
      <c r="I1497" s="93" t="s">
        <v>111</v>
      </c>
      <c r="J1497" s="93" t="s">
        <v>7105</v>
      </c>
      <c r="K1497" s="93" t="s">
        <v>111</v>
      </c>
      <c r="L1497" s="93" t="s">
        <v>111</v>
      </c>
      <c r="M1497" s="93" t="s">
        <v>111</v>
      </c>
      <c r="N1497" s="93" t="s">
        <v>111</v>
      </c>
      <c r="O1497" s="93" t="s">
        <v>111</v>
      </c>
      <c r="P1497" s="93" t="s">
        <v>111</v>
      </c>
      <c r="Q1497" s="93" t="s">
        <v>111</v>
      </c>
      <c r="R1497" s="93" t="s">
        <v>111</v>
      </c>
      <c r="S1497" s="93" t="s">
        <v>111</v>
      </c>
      <c r="T1497" s="93" t="s">
        <v>115</v>
      </c>
      <c r="U1497" s="93" t="s">
        <v>116</v>
      </c>
      <c r="V1497" s="94">
        <v>44596.695138888892</v>
      </c>
      <c r="W1497" s="93" t="s">
        <v>402</v>
      </c>
      <c r="X1497" s="93" t="s">
        <v>24</v>
      </c>
    </row>
    <row r="1498" spans="1:24" hidden="1" x14ac:dyDescent="0.15">
      <c r="A1498" s="93" t="s">
        <v>682</v>
      </c>
      <c r="B1498" s="93" t="s">
        <v>683</v>
      </c>
      <c r="C1498" s="410">
        <v>25.6</v>
      </c>
      <c r="D1498" s="93" t="s">
        <v>24</v>
      </c>
      <c r="E1498" s="93" t="s">
        <v>24</v>
      </c>
      <c r="F1498" s="93" t="s">
        <v>399</v>
      </c>
      <c r="G1498" s="93" t="s">
        <v>7182</v>
      </c>
      <c r="H1498" s="93" t="s">
        <v>400</v>
      </c>
      <c r="I1498" s="93" t="s">
        <v>111</v>
      </c>
      <c r="J1498" s="93" t="s">
        <v>7105</v>
      </c>
      <c r="K1498" s="93" t="s">
        <v>111</v>
      </c>
      <c r="L1498" s="93" t="s">
        <v>111</v>
      </c>
      <c r="M1498" s="93" t="s">
        <v>111</v>
      </c>
      <c r="N1498" s="93" t="s">
        <v>111</v>
      </c>
      <c r="O1498" s="93" t="s">
        <v>111</v>
      </c>
      <c r="P1498" s="93" t="s">
        <v>111</v>
      </c>
      <c r="Q1498" s="93" t="s">
        <v>111</v>
      </c>
      <c r="R1498" s="93" t="s">
        <v>111</v>
      </c>
      <c r="S1498" s="93" t="s">
        <v>111</v>
      </c>
      <c r="T1498" s="93" t="s">
        <v>115</v>
      </c>
      <c r="U1498" s="93" t="s">
        <v>116</v>
      </c>
      <c r="V1498" s="94">
        <v>44596.652083333334</v>
      </c>
      <c r="W1498" s="93" t="s">
        <v>402</v>
      </c>
      <c r="X1498" s="93" t="s">
        <v>24</v>
      </c>
    </row>
    <row r="1499" spans="1:24" hidden="1" x14ac:dyDescent="0.15">
      <c r="A1499" s="93" t="s">
        <v>684</v>
      </c>
      <c r="B1499" s="93" t="s">
        <v>685</v>
      </c>
      <c r="C1499" s="410">
        <v>40</v>
      </c>
      <c r="D1499" s="93" t="s">
        <v>24</v>
      </c>
      <c r="E1499" s="93" t="s">
        <v>24</v>
      </c>
      <c r="F1499" s="93" t="s">
        <v>399</v>
      </c>
      <c r="G1499" s="93" t="s">
        <v>7182</v>
      </c>
      <c r="H1499" s="93" t="s">
        <v>400</v>
      </c>
      <c r="I1499" s="93" t="s">
        <v>111</v>
      </c>
      <c r="J1499" s="93" t="s">
        <v>7105</v>
      </c>
      <c r="K1499" s="93" t="s">
        <v>111</v>
      </c>
      <c r="L1499" s="93" t="s">
        <v>111</v>
      </c>
      <c r="M1499" s="93" t="s">
        <v>111</v>
      </c>
      <c r="N1499" s="93" t="s">
        <v>111</v>
      </c>
      <c r="O1499" s="93" t="s">
        <v>111</v>
      </c>
      <c r="P1499" s="93" t="s">
        <v>111</v>
      </c>
      <c r="Q1499" s="93" t="s">
        <v>111</v>
      </c>
      <c r="R1499" s="93" t="s">
        <v>111</v>
      </c>
      <c r="S1499" s="93" t="s">
        <v>111</v>
      </c>
      <c r="T1499" s="93" t="s">
        <v>115</v>
      </c>
      <c r="U1499" s="93" t="s">
        <v>116</v>
      </c>
      <c r="V1499" s="94">
        <v>44596.647222222222</v>
      </c>
      <c r="W1499" s="93" t="s">
        <v>402</v>
      </c>
      <c r="X1499" s="93" t="s">
        <v>24</v>
      </c>
    </row>
    <row r="1500" spans="1:24" hidden="1" x14ac:dyDescent="0.15">
      <c r="A1500" s="93" t="s">
        <v>686</v>
      </c>
      <c r="B1500" s="93" t="s">
        <v>687</v>
      </c>
      <c r="C1500" s="410">
        <v>38</v>
      </c>
      <c r="D1500" s="93" t="s">
        <v>24</v>
      </c>
      <c r="E1500" s="93" t="s">
        <v>24</v>
      </c>
      <c r="F1500" s="93" t="s">
        <v>399</v>
      </c>
      <c r="G1500" s="93" t="s">
        <v>7182</v>
      </c>
      <c r="H1500" s="93" t="s">
        <v>400</v>
      </c>
      <c r="I1500" s="93" t="s">
        <v>111</v>
      </c>
      <c r="J1500" s="93" t="s">
        <v>7105</v>
      </c>
      <c r="K1500" s="93" t="s">
        <v>111</v>
      </c>
      <c r="L1500" s="93" t="s">
        <v>111</v>
      </c>
      <c r="M1500" s="93" t="s">
        <v>111</v>
      </c>
      <c r="N1500" s="93" t="s">
        <v>111</v>
      </c>
      <c r="O1500" s="93" t="s">
        <v>111</v>
      </c>
      <c r="P1500" s="93" t="s">
        <v>111</v>
      </c>
      <c r="Q1500" s="93" t="s">
        <v>111</v>
      </c>
      <c r="R1500" s="93" t="s">
        <v>111</v>
      </c>
      <c r="S1500" s="93" t="s">
        <v>111</v>
      </c>
      <c r="T1500" s="93" t="s">
        <v>115</v>
      </c>
      <c r="U1500" s="93" t="s">
        <v>116</v>
      </c>
      <c r="V1500" s="94">
        <v>44596.65625</v>
      </c>
      <c r="W1500" s="93" t="s">
        <v>402</v>
      </c>
      <c r="X1500" s="93" t="s">
        <v>24</v>
      </c>
    </row>
    <row r="1501" spans="1:24" hidden="1" x14ac:dyDescent="0.15">
      <c r="A1501" s="93" t="s">
        <v>688</v>
      </c>
      <c r="B1501" s="93" t="s">
        <v>689</v>
      </c>
      <c r="C1501" s="410">
        <v>36</v>
      </c>
      <c r="D1501" s="93" t="s">
        <v>24</v>
      </c>
      <c r="E1501" s="93" t="s">
        <v>24</v>
      </c>
      <c r="F1501" s="93" t="s">
        <v>399</v>
      </c>
      <c r="G1501" s="93" t="s">
        <v>7182</v>
      </c>
      <c r="H1501" s="93" t="s">
        <v>400</v>
      </c>
      <c r="I1501" s="93" t="s">
        <v>111</v>
      </c>
      <c r="J1501" s="93" t="s">
        <v>7105</v>
      </c>
      <c r="K1501" s="93" t="s">
        <v>111</v>
      </c>
      <c r="L1501" s="93" t="s">
        <v>111</v>
      </c>
      <c r="M1501" s="93" t="s">
        <v>111</v>
      </c>
      <c r="N1501" s="93" t="s">
        <v>111</v>
      </c>
      <c r="O1501" s="93" t="s">
        <v>111</v>
      </c>
      <c r="P1501" s="93" t="s">
        <v>111</v>
      </c>
      <c r="Q1501" s="93" t="s">
        <v>111</v>
      </c>
      <c r="R1501" s="93" t="s">
        <v>111</v>
      </c>
      <c r="S1501" s="93" t="s">
        <v>111</v>
      </c>
      <c r="T1501" s="93" t="s">
        <v>115</v>
      </c>
      <c r="U1501" s="93" t="s">
        <v>116</v>
      </c>
      <c r="V1501" s="94">
        <v>44596.65625</v>
      </c>
      <c r="W1501" s="93" t="s">
        <v>402</v>
      </c>
      <c r="X1501" s="93" t="s">
        <v>24</v>
      </c>
    </row>
    <row r="1502" spans="1:24" hidden="1" x14ac:dyDescent="0.15">
      <c r="A1502" s="93" t="s">
        <v>690</v>
      </c>
      <c r="B1502" s="93" t="s">
        <v>691</v>
      </c>
      <c r="C1502" s="410">
        <v>34</v>
      </c>
      <c r="D1502" s="93" t="s">
        <v>24</v>
      </c>
      <c r="E1502" s="93" t="s">
        <v>24</v>
      </c>
      <c r="F1502" s="93" t="s">
        <v>399</v>
      </c>
      <c r="G1502" s="93" t="s">
        <v>7182</v>
      </c>
      <c r="H1502" s="93" t="s">
        <v>400</v>
      </c>
      <c r="I1502" s="93" t="s">
        <v>111</v>
      </c>
      <c r="J1502" s="93" t="s">
        <v>7105</v>
      </c>
      <c r="K1502" s="93" t="s">
        <v>111</v>
      </c>
      <c r="L1502" s="93" t="s">
        <v>111</v>
      </c>
      <c r="M1502" s="93" t="s">
        <v>111</v>
      </c>
      <c r="N1502" s="93" t="s">
        <v>111</v>
      </c>
      <c r="O1502" s="93" t="s">
        <v>111</v>
      </c>
      <c r="P1502" s="93" t="s">
        <v>111</v>
      </c>
      <c r="Q1502" s="93" t="s">
        <v>111</v>
      </c>
      <c r="R1502" s="93" t="s">
        <v>111</v>
      </c>
      <c r="S1502" s="93" t="s">
        <v>111</v>
      </c>
      <c r="T1502" s="93" t="s">
        <v>115</v>
      </c>
      <c r="U1502" s="93" t="s">
        <v>116</v>
      </c>
      <c r="V1502" s="94">
        <v>44596.638194444444</v>
      </c>
      <c r="W1502" s="93" t="s">
        <v>402</v>
      </c>
      <c r="X1502" s="93" t="s">
        <v>24</v>
      </c>
    </row>
    <row r="1503" spans="1:24" hidden="1" x14ac:dyDescent="0.15">
      <c r="A1503" s="93" t="s">
        <v>692</v>
      </c>
      <c r="B1503" s="93" t="s">
        <v>693</v>
      </c>
      <c r="C1503" s="410">
        <v>32</v>
      </c>
      <c r="D1503" s="93" t="s">
        <v>24</v>
      </c>
      <c r="E1503" s="93" t="s">
        <v>24</v>
      </c>
      <c r="F1503" s="93" t="s">
        <v>399</v>
      </c>
      <c r="G1503" s="93" t="s">
        <v>7182</v>
      </c>
      <c r="H1503" s="93" t="s">
        <v>400</v>
      </c>
      <c r="I1503" s="93" t="s">
        <v>111</v>
      </c>
      <c r="J1503" s="93" t="s">
        <v>7105</v>
      </c>
      <c r="K1503" s="93" t="s">
        <v>111</v>
      </c>
      <c r="L1503" s="93" t="s">
        <v>111</v>
      </c>
      <c r="M1503" s="93" t="s">
        <v>111</v>
      </c>
      <c r="N1503" s="93" t="s">
        <v>111</v>
      </c>
      <c r="O1503" s="93" t="s">
        <v>111</v>
      </c>
      <c r="P1503" s="93" t="s">
        <v>111</v>
      </c>
      <c r="Q1503" s="93" t="s">
        <v>111</v>
      </c>
      <c r="R1503" s="93" t="s">
        <v>111</v>
      </c>
      <c r="S1503" s="93" t="s">
        <v>111</v>
      </c>
      <c r="T1503" s="93" t="s">
        <v>115</v>
      </c>
      <c r="U1503" s="93" t="s">
        <v>116</v>
      </c>
      <c r="V1503" s="94">
        <v>44596.652083333334</v>
      </c>
      <c r="W1503" s="93" t="s">
        <v>402</v>
      </c>
      <c r="X1503" s="93" t="s">
        <v>24</v>
      </c>
    </row>
    <row r="1504" spans="1:24" hidden="1" x14ac:dyDescent="0.15">
      <c r="A1504" s="93" t="s">
        <v>694</v>
      </c>
      <c r="B1504" s="93" t="s">
        <v>695</v>
      </c>
      <c r="C1504" s="410">
        <v>50</v>
      </c>
      <c r="D1504" s="93" t="s">
        <v>24</v>
      </c>
      <c r="E1504" s="93" t="s">
        <v>24</v>
      </c>
      <c r="F1504" s="93" t="s">
        <v>399</v>
      </c>
      <c r="G1504" s="93" t="s">
        <v>7182</v>
      </c>
      <c r="H1504" s="93" t="s">
        <v>400</v>
      </c>
      <c r="I1504" s="93" t="s">
        <v>111</v>
      </c>
      <c r="J1504" s="93" t="s">
        <v>118</v>
      </c>
      <c r="K1504" s="93">
        <v>3</v>
      </c>
      <c r="L1504" s="93" t="s">
        <v>111</v>
      </c>
      <c r="M1504" s="93" t="s">
        <v>111</v>
      </c>
      <c r="N1504" s="93" t="s">
        <v>111</v>
      </c>
      <c r="O1504" s="93" t="s">
        <v>111</v>
      </c>
      <c r="P1504" s="93" t="s">
        <v>111</v>
      </c>
      <c r="Q1504" s="93" t="s">
        <v>111</v>
      </c>
      <c r="R1504" s="93" t="s">
        <v>111</v>
      </c>
      <c r="S1504" s="93" t="s">
        <v>111</v>
      </c>
      <c r="T1504" s="93" t="s">
        <v>115</v>
      </c>
      <c r="U1504" s="93" t="s">
        <v>116</v>
      </c>
      <c r="V1504" s="94">
        <v>44596.647222222222</v>
      </c>
      <c r="W1504" s="93" t="s">
        <v>402</v>
      </c>
      <c r="X1504" s="93" t="s">
        <v>24</v>
      </c>
    </row>
    <row r="1505" spans="1:24" hidden="1" x14ac:dyDescent="0.15">
      <c r="A1505" s="93" t="s">
        <v>696</v>
      </c>
      <c r="B1505" s="93" t="s">
        <v>697</v>
      </c>
      <c r="C1505" s="410">
        <v>47.5</v>
      </c>
      <c r="D1505" s="93" t="s">
        <v>24</v>
      </c>
      <c r="E1505" s="93" t="s">
        <v>24</v>
      </c>
      <c r="F1505" s="93" t="s">
        <v>399</v>
      </c>
      <c r="G1505" s="93" t="s">
        <v>7182</v>
      </c>
      <c r="H1505" s="93" t="s">
        <v>400</v>
      </c>
      <c r="I1505" s="93" t="s">
        <v>111</v>
      </c>
      <c r="J1505" s="93" t="s">
        <v>7105</v>
      </c>
      <c r="K1505" s="93" t="s">
        <v>111</v>
      </c>
      <c r="L1505" s="93" t="s">
        <v>111</v>
      </c>
      <c r="M1505" s="93" t="s">
        <v>111</v>
      </c>
      <c r="N1505" s="93" t="s">
        <v>111</v>
      </c>
      <c r="O1505" s="93" t="s">
        <v>111</v>
      </c>
      <c r="P1505" s="93" t="s">
        <v>111</v>
      </c>
      <c r="Q1505" s="93" t="s">
        <v>111</v>
      </c>
      <c r="R1505" s="93" t="s">
        <v>111</v>
      </c>
      <c r="S1505" s="93" t="s">
        <v>111</v>
      </c>
      <c r="T1505" s="93" t="s">
        <v>115</v>
      </c>
      <c r="U1505" s="93" t="s">
        <v>116</v>
      </c>
      <c r="V1505" s="94">
        <v>44596.643055555556</v>
      </c>
      <c r="W1505" s="93" t="s">
        <v>402</v>
      </c>
      <c r="X1505" s="93" t="s">
        <v>24</v>
      </c>
    </row>
    <row r="1506" spans="1:24" hidden="1" x14ac:dyDescent="0.15">
      <c r="A1506" s="93" t="s">
        <v>698</v>
      </c>
      <c r="B1506" s="93" t="s">
        <v>699</v>
      </c>
      <c r="C1506" s="410">
        <v>45</v>
      </c>
      <c r="D1506" s="93" t="s">
        <v>24</v>
      </c>
      <c r="E1506" s="93" t="s">
        <v>24</v>
      </c>
      <c r="F1506" s="93" t="s">
        <v>399</v>
      </c>
      <c r="G1506" s="93" t="s">
        <v>7182</v>
      </c>
      <c r="H1506" s="93" t="s">
        <v>400</v>
      </c>
      <c r="I1506" s="93" t="s">
        <v>111</v>
      </c>
      <c r="J1506" s="93" t="s">
        <v>7105</v>
      </c>
      <c r="K1506" s="93" t="s">
        <v>111</v>
      </c>
      <c r="L1506" s="93" t="s">
        <v>111</v>
      </c>
      <c r="M1506" s="93" t="s">
        <v>111</v>
      </c>
      <c r="N1506" s="93" t="s">
        <v>111</v>
      </c>
      <c r="O1506" s="93" t="s">
        <v>111</v>
      </c>
      <c r="P1506" s="93" t="s">
        <v>111</v>
      </c>
      <c r="Q1506" s="93" t="s">
        <v>111</v>
      </c>
      <c r="R1506" s="93" t="s">
        <v>111</v>
      </c>
      <c r="S1506" s="93" t="s">
        <v>111</v>
      </c>
      <c r="T1506" s="93" t="s">
        <v>115</v>
      </c>
      <c r="U1506" s="93" t="s">
        <v>116</v>
      </c>
      <c r="V1506" s="94">
        <v>44596.642361111109</v>
      </c>
      <c r="W1506" s="93" t="s">
        <v>402</v>
      </c>
      <c r="X1506" s="93" t="s">
        <v>24</v>
      </c>
    </row>
    <row r="1507" spans="1:24" hidden="1" x14ac:dyDescent="0.15">
      <c r="A1507" s="93" t="s">
        <v>700</v>
      </c>
      <c r="B1507" s="93" t="s">
        <v>701</v>
      </c>
      <c r="C1507" s="410">
        <v>42.5</v>
      </c>
      <c r="D1507" s="93" t="s">
        <v>24</v>
      </c>
      <c r="E1507" s="93" t="s">
        <v>24</v>
      </c>
      <c r="F1507" s="93" t="s">
        <v>399</v>
      </c>
      <c r="G1507" s="93" t="s">
        <v>7182</v>
      </c>
      <c r="H1507" s="93" t="s">
        <v>400</v>
      </c>
      <c r="I1507" s="93" t="s">
        <v>111</v>
      </c>
      <c r="J1507" s="93" t="s">
        <v>7105</v>
      </c>
      <c r="K1507" s="93" t="s">
        <v>111</v>
      </c>
      <c r="L1507" s="93" t="s">
        <v>111</v>
      </c>
      <c r="M1507" s="93" t="s">
        <v>111</v>
      </c>
      <c r="N1507" s="93" t="s">
        <v>111</v>
      </c>
      <c r="O1507" s="93" t="s">
        <v>111</v>
      </c>
      <c r="P1507" s="93" t="s">
        <v>111</v>
      </c>
      <c r="Q1507" s="93" t="s">
        <v>111</v>
      </c>
      <c r="R1507" s="93" t="s">
        <v>111</v>
      </c>
      <c r="S1507" s="93" t="s">
        <v>111</v>
      </c>
      <c r="T1507" s="93" t="s">
        <v>115</v>
      </c>
      <c r="U1507" s="93" t="s">
        <v>116</v>
      </c>
      <c r="V1507" s="94">
        <v>44596.646527777775</v>
      </c>
      <c r="W1507" s="93" t="s">
        <v>402</v>
      </c>
      <c r="X1507" s="93" t="s">
        <v>24</v>
      </c>
    </row>
    <row r="1508" spans="1:24" hidden="1" x14ac:dyDescent="0.15">
      <c r="A1508" s="93" t="s">
        <v>702</v>
      </c>
      <c r="B1508" s="93" t="s">
        <v>703</v>
      </c>
      <c r="C1508" s="410">
        <v>40</v>
      </c>
      <c r="D1508" s="93" t="s">
        <v>24</v>
      </c>
      <c r="E1508" s="93" t="s">
        <v>24</v>
      </c>
      <c r="F1508" s="93" t="s">
        <v>399</v>
      </c>
      <c r="G1508" s="93" t="s">
        <v>7182</v>
      </c>
      <c r="H1508" s="93" t="s">
        <v>400</v>
      </c>
      <c r="I1508" s="93" t="s">
        <v>111</v>
      </c>
      <c r="J1508" s="93" t="s">
        <v>7105</v>
      </c>
      <c r="K1508" s="93" t="s">
        <v>111</v>
      </c>
      <c r="L1508" s="93" t="s">
        <v>111</v>
      </c>
      <c r="M1508" s="93" t="s">
        <v>111</v>
      </c>
      <c r="N1508" s="93" t="s">
        <v>111</v>
      </c>
      <c r="O1508" s="93" t="s">
        <v>111</v>
      </c>
      <c r="P1508" s="93" t="s">
        <v>111</v>
      </c>
      <c r="Q1508" s="93" t="s">
        <v>111</v>
      </c>
      <c r="R1508" s="93" t="s">
        <v>111</v>
      </c>
      <c r="S1508" s="93" t="s">
        <v>111</v>
      </c>
      <c r="T1508" s="93" t="s">
        <v>115</v>
      </c>
      <c r="U1508" s="93" t="s">
        <v>116</v>
      </c>
      <c r="V1508" s="94">
        <v>44596.6875</v>
      </c>
      <c r="W1508" s="93" t="s">
        <v>402</v>
      </c>
      <c r="X1508" s="93" t="s">
        <v>24</v>
      </c>
    </row>
    <row r="1509" spans="1:24" hidden="1" x14ac:dyDescent="0.15">
      <c r="A1509" s="93" t="s">
        <v>704</v>
      </c>
      <c r="B1509" s="93" t="s">
        <v>705</v>
      </c>
      <c r="C1509" s="410">
        <v>134</v>
      </c>
      <c r="D1509" s="93" t="s">
        <v>24</v>
      </c>
      <c r="E1509" s="93" t="s">
        <v>24</v>
      </c>
      <c r="F1509" s="93" t="s">
        <v>399</v>
      </c>
      <c r="G1509" s="93" t="s">
        <v>7182</v>
      </c>
      <c r="H1509" s="93" t="s">
        <v>400</v>
      </c>
      <c r="I1509" s="93" t="s">
        <v>111</v>
      </c>
      <c r="J1509" s="93" t="s">
        <v>7105</v>
      </c>
      <c r="K1509" s="93" t="s">
        <v>111</v>
      </c>
      <c r="L1509" s="93" t="s">
        <v>111</v>
      </c>
      <c r="M1509" s="93" t="s">
        <v>111</v>
      </c>
      <c r="N1509" s="93" t="s">
        <v>111</v>
      </c>
      <c r="O1509" s="93" t="s">
        <v>111</v>
      </c>
      <c r="P1509" s="93" t="s">
        <v>111</v>
      </c>
      <c r="Q1509" s="93" t="s">
        <v>111</v>
      </c>
      <c r="R1509" s="93" t="s">
        <v>111</v>
      </c>
      <c r="S1509" s="93" t="s">
        <v>111</v>
      </c>
      <c r="T1509" s="93" t="s">
        <v>115</v>
      </c>
      <c r="U1509" s="93" t="s">
        <v>116</v>
      </c>
      <c r="V1509" s="94">
        <v>44596.664583333331</v>
      </c>
      <c r="W1509" s="93" t="s">
        <v>402</v>
      </c>
      <c r="X1509" s="93" t="s">
        <v>24</v>
      </c>
    </row>
    <row r="1510" spans="1:24" hidden="1" x14ac:dyDescent="0.15">
      <c r="A1510" s="93" t="s">
        <v>706</v>
      </c>
      <c r="B1510" s="93" t="s">
        <v>707</v>
      </c>
      <c r="C1510" s="410">
        <v>120.6</v>
      </c>
      <c r="D1510" s="93" t="s">
        <v>24</v>
      </c>
      <c r="E1510" s="93" t="s">
        <v>24</v>
      </c>
      <c r="F1510" s="93" t="s">
        <v>399</v>
      </c>
      <c r="G1510" s="93" t="s">
        <v>7182</v>
      </c>
      <c r="H1510" s="93" t="s">
        <v>400</v>
      </c>
      <c r="I1510" s="93" t="s">
        <v>111</v>
      </c>
      <c r="J1510" s="93" t="s">
        <v>7105</v>
      </c>
      <c r="K1510" s="93" t="s">
        <v>111</v>
      </c>
      <c r="L1510" s="93" t="s">
        <v>111</v>
      </c>
      <c r="M1510" s="93" t="s">
        <v>111</v>
      </c>
      <c r="N1510" s="93" t="s">
        <v>111</v>
      </c>
      <c r="O1510" s="93" t="s">
        <v>111</v>
      </c>
      <c r="P1510" s="93" t="s">
        <v>111</v>
      </c>
      <c r="Q1510" s="93" t="s">
        <v>111</v>
      </c>
      <c r="R1510" s="93" t="s">
        <v>111</v>
      </c>
      <c r="S1510" s="93" t="s">
        <v>111</v>
      </c>
      <c r="T1510" s="93" t="s">
        <v>115</v>
      </c>
      <c r="U1510" s="93" t="s">
        <v>116</v>
      </c>
      <c r="V1510" s="94">
        <v>44596.690972222219</v>
      </c>
      <c r="W1510" s="93" t="s">
        <v>402</v>
      </c>
      <c r="X1510" s="93" t="s">
        <v>24</v>
      </c>
    </row>
    <row r="1511" spans="1:24" hidden="1" x14ac:dyDescent="0.15">
      <c r="A1511" s="93" t="s">
        <v>708</v>
      </c>
      <c r="B1511" s="93" t="s">
        <v>709</v>
      </c>
      <c r="C1511" s="410">
        <v>113.9</v>
      </c>
      <c r="D1511" s="93" t="s">
        <v>24</v>
      </c>
      <c r="E1511" s="93" t="s">
        <v>24</v>
      </c>
      <c r="F1511" s="93" t="s">
        <v>399</v>
      </c>
      <c r="G1511" s="93" t="s">
        <v>7182</v>
      </c>
      <c r="H1511" s="93" t="s">
        <v>400</v>
      </c>
      <c r="I1511" s="93" t="s">
        <v>111</v>
      </c>
      <c r="J1511" s="93" t="s">
        <v>7105</v>
      </c>
      <c r="K1511" s="93" t="s">
        <v>111</v>
      </c>
      <c r="L1511" s="93" t="s">
        <v>111</v>
      </c>
      <c r="M1511" s="93" t="s">
        <v>111</v>
      </c>
      <c r="N1511" s="93" t="s">
        <v>111</v>
      </c>
      <c r="O1511" s="93" t="s">
        <v>111</v>
      </c>
      <c r="P1511" s="93" t="s">
        <v>111</v>
      </c>
      <c r="Q1511" s="93" t="s">
        <v>111</v>
      </c>
      <c r="R1511" s="93" t="s">
        <v>111</v>
      </c>
      <c r="S1511" s="93" t="s">
        <v>111</v>
      </c>
      <c r="T1511" s="93" t="s">
        <v>115</v>
      </c>
      <c r="U1511" s="93" t="s">
        <v>116</v>
      </c>
      <c r="V1511" s="94">
        <v>44596.659722222219</v>
      </c>
      <c r="W1511" s="93" t="s">
        <v>402</v>
      </c>
      <c r="X1511" s="93" t="s">
        <v>24</v>
      </c>
    </row>
    <row r="1512" spans="1:24" hidden="1" x14ac:dyDescent="0.15">
      <c r="A1512" s="93" t="s">
        <v>710</v>
      </c>
      <c r="B1512" s="93" t="s">
        <v>711</v>
      </c>
      <c r="C1512" s="410">
        <v>100.5</v>
      </c>
      <c r="D1512" s="93" t="s">
        <v>24</v>
      </c>
      <c r="E1512" s="93" t="s">
        <v>24</v>
      </c>
      <c r="F1512" s="93" t="s">
        <v>399</v>
      </c>
      <c r="G1512" s="93" t="s">
        <v>7182</v>
      </c>
      <c r="H1512" s="93" t="s">
        <v>400</v>
      </c>
      <c r="I1512" s="93" t="s">
        <v>111</v>
      </c>
      <c r="J1512" s="93" t="s">
        <v>7105</v>
      </c>
      <c r="K1512" s="93" t="s">
        <v>111</v>
      </c>
      <c r="L1512" s="93" t="s">
        <v>111</v>
      </c>
      <c r="M1512" s="93" t="s">
        <v>111</v>
      </c>
      <c r="N1512" s="93" t="s">
        <v>111</v>
      </c>
      <c r="O1512" s="93" t="s">
        <v>111</v>
      </c>
      <c r="P1512" s="93" t="s">
        <v>111</v>
      </c>
      <c r="Q1512" s="93" t="s">
        <v>111</v>
      </c>
      <c r="R1512" s="93" t="s">
        <v>111</v>
      </c>
      <c r="S1512" s="93" t="s">
        <v>111</v>
      </c>
      <c r="T1512" s="93" t="s">
        <v>115</v>
      </c>
      <c r="U1512" s="93" t="s">
        <v>116</v>
      </c>
      <c r="V1512" s="94">
        <v>44596.690972222219</v>
      </c>
      <c r="W1512" s="93" t="s">
        <v>402</v>
      </c>
      <c r="X1512" s="93" t="s">
        <v>24</v>
      </c>
    </row>
    <row r="1513" spans="1:24" hidden="1" x14ac:dyDescent="0.15">
      <c r="A1513" s="93" t="s">
        <v>712</v>
      </c>
      <c r="B1513" s="93" t="s">
        <v>713</v>
      </c>
      <c r="C1513" s="410">
        <v>67</v>
      </c>
      <c r="D1513" s="93" t="s">
        <v>24</v>
      </c>
      <c r="E1513" s="93" t="s">
        <v>24</v>
      </c>
      <c r="F1513" s="93" t="s">
        <v>399</v>
      </c>
      <c r="G1513" s="93" t="s">
        <v>7182</v>
      </c>
      <c r="H1513" s="93" t="s">
        <v>400</v>
      </c>
      <c r="I1513" s="93" t="s">
        <v>111</v>
      </c>
      <c r="J1513" s="93" t="s">
        <v>7105</v>
      </c>
      <c r="K1513" s="93" t="s">
        <v>111</v>
      </c>
      <c r="L1513" s="93" t="s">
        <v>111</v>
      </c>
      <c r="M1513" s="93" t="s">
        <v>111</v>
      </c>
      <c r="N1513" s="93" t="s">
        <v>111</v>
      </c>
      <c r="O1513" s="93" t="s">
        <v>111</v>
      </c>
      <c r="P1513" s="93" t="s">
        <v>111</v>
      </c>
      <c r="Q1513" s="93" t="s">
        <v>111</v>
      </c>
      <c r="R1513" s="93" t="s">
        <v>111</v>
      </c>
      <c r="S1513" s="93" t="s">
        <v>111</v>
      </c>
      <c r="T1513" s="93" t="s">
        <v>115</v>
      </c>
      <c r="U1513" s="93" t="s">
        <v>116</v>
      </c>
      <c r="V1513" s="94">
        <v>44596.651388888888</v>
      </c>
      <c r="W1513" s="93" t="s">
        <v>402</v>
      </c>
      <c r="X1513" s="93" t="s">
        <v>24</v>
      </c>
    </row>
    <row r="1514" spans="1:24" hidden="1" x14ac:dyDescent="0.15">
      <c r="A1514" s="93" t="s">
        <v>714</v>
      </c>
      <c r="B1514" s="93" t="s">
        <v>715</v>
      </c>
      <c r="C1514" s="410">
        <v>210</v>
      </c>
      <c r="D1514" s="93" t="s">
        <v>24</v>
      </c>
      <c r="E1514" s="93" t="s">
        <v>24</v>
      </c>
      <c r="F1514" s="93" t="s">
        <v>399</v>
      </c>
      <c r="G1514" s="93" t="s">
        <v>7182</v>
      </c>
      <c r="H1514" s="93" t="s">
        <v>400</v>
      </c>
      <c r="I1514" s="93" t="s">
        <v>111</v>
      </c>
      <c r="J1514" s="93" t="s">
        <v>7105</v>
      </c>
      <c r="K1514" s="93" t="s">
        <v>111</v>
      </c>
      <c r="L1514" s="93" t="s">
        <v>111</v>
      </c>
      <c r="M1514" s="93" t="s">
        <v>111</v>
      </c>
      <c r="N1514" s="93" t="s">
        <v>111</v>
      </c>
      <c r="O1514" s="93" t="s">
        <v>111</v>
      </c>
      <c r="P1514" s="93" t="s">
        <v>111</v>
      </c>
      <c r="Q1514" s="93" t="s">
        <v>111</v>
      </c>
      <c r="R1514" s="93" t="s">
        <v>111</v>
      </c>
      <c r="S1514" s="93" t="s">
        <v>111</v>
      </c>
      <c r="T1514" s="93" t="s">
        <v>115</v>
      </c>
      <c r="U1514" s="93" t="s">
        <v>116</v>
      </c>
      <c r="V1514" s="94">
        <v>44596.682638888888</v>
      </c>
      <c r="W1514" s="93" t="s">
        <v>402</v>
      </c>
      <c r="X1514" s="93" t="s">
        <v>24</v>
      </c>
    </row>
    <row r="1515" spans="1:24" hidden="1" x14ac:dyDescent="0.15">
      <c r="A1515" s="93" t="s">
        <v>716</v>
      </c>
      <c r="B1515" s="93" t="s">
        <v>717</v>
      </c>
      <c r="C1515" s="410">
        <v>189</v>
      </c>
      <c r="D1515" s="93" t="s">
        <v>24</v>
      </c>
      <c r="E1515" s="93" t="s">
        <v>24</v>
      </c>
      <c r="F1515" s="93" t="s">
        <v>399</v>
      </c>
      <c r="G1515" s="93" t="s">
        <v>7182</v>
      </c>
      <c r="H1515" s="93" t="s">
        <v>400</v>
      </c>
      <c r="I1515" s="93" t="s">
        <v>111</v>
      </c>
      <c r="J1515" s="93" t="s">
        <v>7105</v>
      </c>
      <c r="K1515" s="93" t="s">
        <v>111</v>
      </c>
      <c r="L1515" s="93" t="s">
        <v>111</v>
      </c>
      <c r="M1515" s="93" t="s">
        <v>111</v>
      </c>
      <c r="N1515" s="93" t="s">
        <v>111</v>
      </c>
      <c r="O1515" s="93" t="s">
        <v>111</v>
      </c>
      <c r="P1515" s="93" t="s">
        <v>111</v>
      </c>
      <c r="Q1515" s="93" t="s">
        <v>111</v>
      </c>
      <c r="R1515" s="93" t="s">
        <v>111</v>
      </c>
      <c r="S1515" s="93" t="s">
        <v>111</v>
      </c>
      <c r="T1515" s="93" t="s">
        <v>115</v>
      </c>
      <c r="U1515" s="93" t="s">
        <v>116</v>
      </c>
      <c r="V1515" s="94">
        <v>44596.660416666666</v>
      </c>
      <c r="W1515" s="93" t="s">
        <v>402</v>
      </c>
      <c r="X1515" s="93" t="s">
        <v>24</v>
      </c>
    </row>
    <row r="1516" spans="1:24" hidden="1" x14ac:dyDescent="0.15">
      <c r="A1516" s="93" t="s">
        <v>718</v>
      </c>
      <c r="B1516" s="93" t="s">
        <v>719</v>
      </c>
      <c r="C1516" s="410">
        <v>178.5</v>
      </c>
      <c r="D1516" s="93" t="s">
        <v>24</v>
      </c>
      <c r="E1516" s="93" t="s">
        <v>24</v>
      </c>
      <c r="F1516" s="93" t="s">
        <v>399</v>
      </c>
      <c r="G1516" s="93" t="s">
        <v>7182</v>
      </c>
      <c r="H1516" s="93" t="s">
        <v>400</v>
      </c>
      <c r="I1516" s="93" t="s">
        <v>111</v>
      </c>
      <c r="J1516" s="93" t="s">
        <v>7105</v>
      </c>
      <c r="K1516" s="93" t="s">
        <v>111</v>
      </c>
      <c r="L1516" s="93" t="s">
        <v>111</v>
      </c>
      <c r="M1516" s="93" t="s">
        <v>111</v>
      </c>
      <c r="N1516" s="93" t="s">
        <v>111</v>
      </c>
      <c r="O1516" s="93" t="s">
        <v>111</v>
      </c>
      <c r="P1516" s="93" t="s">
        <v>111</v>
      </c>
      <c r="Q1516" s="93" t="s">
        <v>111</v>
      </c>
      <c r="R1516" s="93" t="s">
        <v>111</v>
      </c>
      <c r="S1516" s="93" t="s">
        <v>111</v>
      </c>
      <c r="T1516" s="93" t="s">
        <v>115</v>
      </c>
      <c r="U1516" s="93" t="s">
        <v>116</v>
      </c>
      <c r="V1516" s="94">
        <v>44596.695138888892</v>
      </c>
      <c r="W1516" s="93" t="s">
        <v>402</v>
      </c>
      <c r="X1516" s="93" t="s">
        <v>24</v>
      </c>
    </row>
    <row r="1517" spans="1:24" hidden="1" x14ac:dyDescent="0.15">
      <c r="A1517" s="93" t="s">
        <v>720</v>
      </c>
      <c r="B1517" s="93" t="s">
        <v>721</v>
      </c>
      <c r="C1517" s="410">
        <v>157.5</v>
      </c>
      <c r="D1517" s="93" t="s">
        <v>24</v>
      </c>
      <c r="E1517" s="93" t="s">
        <v>24</v>
      </c>
      <c r="F1517" s="93" t="s">
        <v>399</v>
      </c>
      <c r="G1517" s="93" t="s">
        <v>7182</v>
      </c>
      <c r="H1517" s="93" t="s">
        <v>400</v>
      </c>
      <c r="I1517" s="93" t="s">
        <v>111</v>
      </c>
      <c r="J1517" s="93" t="s">
        <v>7105</v>
      </c>
      <c r="K1517" s="93" t="s">
        <v>111</v>
      </c>
      <c r="L1517" s="93" t="s">
        <v>111</v>
      </c>
      <c r="M1517" s="93" t="s">
        <v>111</v>
      </c>
      <c r="N1517" s="93" t="s">
        <v>111</v>
      </c>
      <c r="O1517" s="93" t="s">
        <v>111</v>
      </c>
      <c r="P1517" s="93" t="s">
        <v>111</v>
      </c>
      <c r="Q1517" s="93" t="s">
        <v>111</v>
      </c>
      <c r="R1517" s="93" t="s">
        <v>111</v>
      </c>
      <c r="S1517" s="93" t="s">
        <v>111</v>
      </c>
      <c r="T1517" s="93" t="s">
        <v>115</v>
      </c>
      <c r="U1517" s="93" t="s">
        <v>116</v>
      </c>
      <c r="V1517" s="94">
        <v>44596.651388888888</v>
      </c>
      <c r="W1517" s="93" t="s">
        <v>402</v>
      </c>
      <c r="X1517" s="93" t="s">
        <v>24</v>
      </c>
    </row>
    <row r="1518" spans="1:24" hidden="1" x14ac:dyDescent="0.15">
      <c r="A1518" s="93" t="s">
        <v>722</v>
      </c>
      <c r="B1518" s="93" t="s">
        <v>723</v>
      </c>
      <c r="C1518" s="410">
        <v>105</v>
      </c>
      <c r="D1518" s="93" t="s">
        <v>24</v>
      </c>
      <c r="E1518" s="93" t="s">
        <v>24</v>
      </c>
      <c r="F1518" s="93" t="s">
        <v>399</v>
      </c>
      <c r="G1518" s="93" t="s">
        <v>7182</v>
      </c>
      <c r="H1518" s="93" t="s">
        <v>400</v>
      </c>
      <c r="I1518" s="93" t="s">
        <v>111</v>
      </c>
      <c r="J1518" s="93" t="s">
        <v>7105</v>
      </c>
      <c r="K1518" s="93" t="s">
        <v>111</v>
      </c>
      <c r="L1518" s="93" t="s">
        <v>111</v>
      </c>
      <c r="M1518" s="93" t="s">
        <v>111</v>
      </c>
      <c r="N1518" s="93" t="s">
        <v>111</v>
      </c>
      <c r="O1518" s="93" t="s">
        <v>111</v>
      </c>
      <c r="P1518" s="93" t="s">
        <v>111</v>
      </c>
      <c r="Q1518" s="93" t="s">
        <v>111</v>
      </c>
      <c r="R1518" s="93" t="s">
        <v>111</v>
      </c>
      <c r="S1518" s="93" t="s">
        <v>111</v>
      </c>
      <c r="T1518" s="93" t="s">
        <v>115</v>
      </c>
      <c r="U1518" s="93" t="s">
        <v>116</v>
      </c>
      <c r="V1518" s="94">
        <v>44596.646527777775</v>
      </c>
      <c r="W1518" s="93" t="s">
        <v>402</v>
      </c>
      <c r="X1518" s="93" t="s">
        <v>24</v>
      </c>
    </row>
    <row r="1519" spans="1:24" hidden="1" x14ac:dyDescent="0.15">
      <c r="A1519" s="93" t="s">
        <v>724</v>
      </c>
      <c r="B1519" s="93" t="s">
        <v>725</v>
      </c>
      <c r="C1519" s="410">
        <v>375</v>
      </c>
      <c r="D1519" s="93" t="s">
        <v>24</v>
      </c>
      <c r="E1519" s="93" t="s">
        <v>24</v>
      </c>
      <c r="F1519" s="93" t="s">
        <v>399</v>
      </c>
      <c r="G1519" s="93" t="s">
        <v>7182</v>
      </c>
      <c r="H1519" s="93" t="s">
        <v>400</v>
      </c>
      <c r="I1519" s="93" t="s">
        <v>111</v>
      </c>
      <c r="J1519" s="93" t="s">
        <v>7105</v>
      </c>
      <c r="K1519" s="93" t="s">
        <v>111</v>
      </c>
      <c r="L1519" s="93" t="s">
        <v>111</v>
      </c>
      <c r="M1519" s="93" t="s">
        <v>111</v>
      </c>
      <c r="N1519" s="93" t="s">
        <v>111</v>
      </c>
      <c r="O1519" s="93" t="s">
        <v>111</v>
      </c>
      <c r="P1519" s="93" t="s">
        <v>111</v>
      </c>
      <c r="Q1519" s="93" t="s">
        <v>111</v>
      </c>
      <c r="R1519" s="93" t="s">
        <v>111</v>
      </c>
      <c r="S1519" s="93" t="s">
        <v>111</v>
      </c>
      <c r="T1519" s="93" t="s">
        <v>115</v>
      </c>
      <c r="U1519" s="93" t="s">
        <v>116</v>
      </c>
      <c r="V1519" s="94">
        <v>44596.642361111109</v>
      </c>
      <c r="W1519" s="93" t="s">
        <v>402</v>
      </c>
      <c r="X1519" s="93" t="s">
        <v>24</v>
      </c>
    </row>
    <row r="1520" spans="1:24" hidden="1" x14ac:dyDescent="0.15">
      <c r="A1520" s="93" t="s">
        <v>726</v>
      </c>
      <c r="B1520" s="93" t="s">
        <v>727</v>
      </c>
      <c r="C1520" s="410">
        <v>337.5</v>
      </c>
      <c r="D1520" s="93" t="s">
        <v>24</v>
      </c>
      <c r="E1520" s="93" t="s">
        <v>24</v>
      </c>
      <c r="F1520" s="93" t="s">
        <v>399</v>
      </c>
      <c r="G1520" s="93" t="s">
        <v>7182</v>
      </c>
      <c r="H1520" s="93" t="s">
        <v>400</v>
      </c>
      <c r="I1520" s="93" t="s">
        <v>111</v>
      </c>
      <c r="J1520" s="93" t="s">
        <v>7105</v>
      </c>
      <c r="K1520" s="93" t="s">
        <v>111</v>
      </c>
      <c r="L1520" s="93" t="s">
        <v>111</v>
      </c>
      <c r="M1520" s="93" t="s">
        <v>111</v>
      </c>
      <c r="N1520" s="93" t="s">
        <v>111</v>
      </c>
      <c r="O1520" s="93" t="s">
        <v>111</v>
      </c>
      <c r="P1520" s="93" t="s">
        <v>111</v>
      </c>
      <c r="Q1520" s="93" t="s">
        <v>111</v>
      </c>
      <c r="R1520" s="93" t="s">
        <v>111</v>
      </c>
      <c r="S1520" s="93" t="s">
        <v>111</v>
      </c>
      <c r="T1520" s="93" t="s">
        <v>115</v>
      </c>
      <c r="U1520" s="93" t="s">
        <v>116</v>
      </c>
      <c r="V1520" s="94">
        <v>44596.682638888888</v>
      </c>
      <c r="W1520" s="93" t="s">
        <v>402</v>
      </c>
      <c r="X1520" s="93" t="s">
        <v>24</v>
      </c>
    </row>
    <row r="1521" spans="1:24" hidden="1" x14ac:dyDescent="0.15">
      <c r="A1521" s="93" t="s">
        <v>728</v>
      </c>
      <c r="B1521" s="93" t="s">
        <v>729</v>
      </c>
      <c r="C1521" s="410">
        <v>318.75</v>
      </c>
      <c r="D1521" s="93" t="s">
        <v>24</v>
      </c>
      <c r="E1521" s="93" t="s">
        <v>24</v>
      </c>
      <c r="F1521" s="93" t="s">
        <v>399</v>
      </c>
      <c r="G1521" s="93" t="s">
        <v>7182</v>
      </c>
      <c r="H1521" s="93" t="s">
        <v>400</v>
      </c>
      <c r="I1521" s="93" t="s">
        <v>111</v>
      </c>
      <c r="J1521" s="93" t="s">
        <v>7105</v>
      </c>
      <c r="K1521" s="93" t="s">
        <v>111</v>
      </c>
      <c r="L1521" s="93" t="s">
        <v>111</v>
      </c>
      <c r="M1521" s="93" t="s">
        <v>111</v>
      </c>
      <c r="N1521" s="93" t="s">
        <v>111</v>
      </c>
      <c r="O1521" s="93" t="s">
        <v>111</v>
      </c>
      <c r="P1521" s="93" t="s">
        <v>111</v>
      </c>
      <c r="Q1521" s="93" t="s">
        <v>111</v>
      </c>
      <c r="R1521" s="93" t="s">
        <v>111</v>
      </c>
      <c r="S1521" s="93" t="s">
        <v>111</v>
      </c>
      <c r="T1521" s="93" t="s">
        <v>115</v>
      </c>
      <c r="U1521" s="93" t="s">
        <v>116</v>
      </c>
      <c r="V1521" s="94">
        <v>44596.6875</v>
      </c>
      <c r="W1521" s="93" t="s">
        <v>402</v>
      </c>
      <c r="X1521" s="93" t="s">
        <v>24</v>
      </c>
    </row>
    <row r="1522" spans="1:24" hidden="1" x14ac:dyDescent="0.15">
      <c r="A1522" s="93" t="s">
        <v>730</v>
      </c>
      <c r="B1522" s="93" t="s">
        <v>731</v>
      </c>
      <c r="C1522" s="410">
        <v>281.25</v>
      </c>
      <c r="D1522" s="93" t="s">
        <v>24</v>
      </c>
      <c r="E1522" s="93" t="s">
        <v>24</v>
      </c>
      <c r="F1522" s="93" t="s">
        <v>399</v>
      </c>
      <c r="G1522" s="93" t="s">
        <v>7182</v>
      </c>
      <c r="H1522" s="93" t="s">
        <v>400</v>
      </c>
      <c r="I1522" s="93" t="s">
        <v>111</v>
      </c>
      <c r="J1522" s="93" t="s">
        <v>7105</v>
      </c>
      <c r="K1522" s="93" t="s">
        <v>111</v>
      </c>
      <c r="L1522" s="93" t="s">
        <v>111</v>
      </c>
      <c r="M1522" s="93" t="s">
        <v>111</v>
      </c>
      <c r="N1522" s="93" t="s">
        <v>111</v>
      </c>
      <c r="O1522" s="93" t="s">
        <v>111</v>
      </c>
      <c r="P1522" s="93" t="s">
        <v>111</v>
      </c>
      <c r="Q1522" s="93" t="s">
        <v>111</v>
      </c>
      <c r="R1522" s="93" t="s">
        <v>111</v>
      </c>
      <c r="S1522" s="93" t="s">
        <v>111</v>
      </c>
      <c r="T1522" s="93" t="s">
        <v>115</v>
      </c>
      <c r="U1522" s="93" t="s">
        <v>116</v>
      </c>
      <c r="V1522" s="94">
        <v>44596.655555555553</v>
      </c>
      <c r="W1522" s="93" t="s">
        <v>402</v>
      </c>
      <c r="X1522" s="93" t="s">
        <v>24</v>
      </c>
    </row>
    <row r="1523" spans="1:24" hidden="1" x14ac:dyDescent="0.15">
      <c r="A1523" s="93" t="s">
        <v>732</v>
      </c>
      <c r="B1523" s="93" t="s">
        <v>733</v>
      </c>
      <c r="C1523" s="410">
        <v>187.5</v>
      </c>
      <c r="D1523" s="93" t="s">
        <v>24</v>
      </c>
      <c r="E1523" s="93" t="s">
        <v>24</v>
      </c>
      <c r="F1523" s="93" t="s">
        <v>399</v>
      </c>
      <c r="G1523" s="93" t="s">
        <v>7182</v>
      </c>
      <c r="H1523" s="93" t="s">
        <v>400</v>
      </c>
      <c r="I1523" s="93" t="s">
        <v>111</v>
      </c>
      <c r="J1523" s="93" t="s">
        <v>7105</v>
      </c>
      <c r="K1523" s="93" t="s">
        <v>111</v>
      </c>
      <c r="L1523" s="93" t="s">
        <v>111</v>
      </c>
      <c r="M1523" s="93" t="s">
        <v>111</v>
      </c>
      <c r="N1523" s="93" t="s">
        <v>111</v>
      </c>
      <c r="O1523" s="93" t="s">
        <v>111</v>
      </c>
      <c r="P1523" s="93" t="s">
        <v>111</v>
      </c>
      <c r="Q1523" s="93" t="s">
        <v>111</v>
      </c>
      <c r="R1523" s="93" t="s">
        <v>111</v>
      </c>
      <c r="S1523" s="93" t="s">
        <v>111</v>
      </c>
      <c r="T1523" s="93" t="s">
        <v>115</v>
      </c>
      <c r="U1523" s="93" t="s">
        <v>116</v>
      </c>
      <c r="V1523" s="94">
        <v>44596.655555555553</v>
      </c>
      <c r="W1523" s="93" t="s">
        <v>402</v>
      </c>
      <c r="X1523" s="93" t="s">
        <v>24</v>
      </c>
    </row>
    <row r="1524" spans="1:24" hidden="1" x14ac:dyDescent="0.15">
      <c r="A1524" s="93" t="s">
        <v>734</v>
      </c>
      <c r="B1524" s="93" t="s">
        <v>735</v>
      </c>
      <c r="C1524" s="410">
        <v>700</v>
      </c>
      <c r="D1524" s="93" t="s">
        <v>24</v>
      </c>
      <c r="E1524" s="93" t="s">
        <v>24</v>
      </c>
      <c r="F1524" s="93" t="s">
        <v>399</v>
      </c>
      <c r="G1524" s="93" t="s">
        <v>7182</v>
      </c>
      <c r="H1524" s="93" t="s">
        <v>400</v>
      </c>
      <c r="I1524" s="93" t="s">
        <v>111</v>
      </c>
      <c r="J1524" s="93" t="s">
        <v>118</v>
      </c>
      <c r="K1524" s="93">
        <v>3</v>
      </c>
      <c r="L1524" s="93" t="s">
        <v>111</v>
      </c>
      <c r="M1524" s="93" t="s">
        <v>111</v>
      </c>
      <c r="N1524" s="93" t="s">
        <v>111</v>
      </c>
      <c r="O1524" s="93" t="s">
        <v>111</v>
      </c>
      <c r="P1524" s="93" t="s">
        <v>111</v>
      </c>
      <c r="Q1524" s="93" t="s">
        <v>111</v>
      </c>
      <c r="R1524" s="93" t="s">
        <v>111</v>
      </c>
      <c r="S1524" s="93" t="s">
        <v>111</v>
      </c>
      <c r="T1524" s="93" t="s">
        <v>115</v>
      </c>
      <c r="U1524" s="93" t="s">
        <v>116</v>
      </c>
      <c r="V1524" s="94">
        <v>44596.660416666666</v>
      </c>
      <c r="W1524" s="93" t="s">
        <v>402</v>
      </c>
      <c r="X1524" s="93" t="s">
        <v>24</v>
      </c>
    </row>
    <row r="1525" spans="1:24" hidden="1" x14ac:dyDescent="0.15">
      <c r="A1525" s="93" t="s">
        <v>736</v>
      </c>
      <c r="B1525" s="93" t="s">
        <v>737</v>
      </c>
      <c r="C1525" s="410">
        <v>11750</v>
      </c>
      <c r="D1525" s="93" t="s">
        <v>24</v>
      </c>
      <c r="E1525" s="93" t="s">
        <v>24</v>
      </c>
      <c r="F1525" s="93" t="s">
        <v>399</v>
      </c>
      <c r="G1525" s="93" t="s">
        <v>7182</v>
      </c>
      <c r="H1525" s="93" t="s">
        <v>400</v>
      </c>
      <c r="I1525" s="93" t="s">
        <v>111</v>
      </c>
      <c r="J1525" s="93" t="s">
        <v>7105</v>
      </c>
      <c r="K1525" s="93" t="s">
        <v>111</v>
      </c>
      <c r="L1525" s="93" t="s">
        <v>111</v>
      </c>
      <c r="M1525" s="93" t="s">
        <v>111</v>
      </c>
      <c r="N1525" s="93" t="s">
        <v>111</v>
      </c>
      <c r="O1525" s="93" t="s">
        <v>111</v>
      </c>
      <c r="P1525" s="93" t="s">
        <v>111</v>
      </c>
      <c r="Q1525" s="93" t="s">
        <v>111</v>
      </c>
      <c r="R1525" s="93" t="s">
        <v>111</v>
      </c>
      <c r="S1525" s="93" t="s">
        <v>2</v>
      </c>
      <c r="T1525" s="93" t="s">
        <v>115</v>
      </c>
      <c r="U1525" s="93" t="s">
        <v>116</v>
      </c>
      <c r="V1525" s="94">
        <v>44596.638194444444</v>
      </c>
      <c r="W1525" s="93" t="s">
        <v>402</v>
      </c>
      <c r="X1525" s="93" t="s">
        <v>24</v>
      </c>
    </row>
    <row r="1526" spans="1:24" hidden="1" x14ac:dyDescent="0.15">
      <c r="A1526" s="93" t="s">
        <v>738</v>
      </c>
      <c r="B1526" s="93" t="s">
        <v>739</v>
      </c>
      <c r="C1526" s="410">
        <v>630</v>
      </c>
      <c r="D1526" s="93" t="s">
        <v>24</v>
      </c>
      <c r="E1526" s="93" t="s">
        <v>24</v>
      </c>
      <c r="F1526" s="93" t="s">
        <v>399</v>
      </c>
      <c r="G1526" s="93" t="s">
        <v>7182</v>
      </c>
      <c r="H1526" s="93" t="s">
        <v>400</v>
      </c>
      <c r="I1526" s="93" t="s">
        <v>111</v>
      </c>
      <c r="J1526" s="93" t="s">
        <v>7105</v>
      </c>
      <c r="K1526" s="93" t="s">
        <v>111</v>
      </c>
      <c r="L1526" s="93" t="s">
        <v>111</v>
      </c>
      <c r="M1526" s="93" t="s">
        <v>111</v>
      </c>
      <c r="N1526" s="93" t="s">
        <v>111</v>
      </c>
      <c r="O1526" s="93" t="s">
        <v>111</v>
      </c>
      <c r="P1526" s="93" t="s">
        <v>111</v>
      </c>
      <c r="Q1526" s="93" t="s">
        <v>111</v>
      </c>
      <c r="R1526" s="93" t="s">
        <v>111</v>
      </c>
      <c r="S1526" s="93" t="s">
        <v>111</v>
      </c>
      <c r="T1526" s="93" t="s">
        <v>115</v>
      </c>
      <c r="U1526" s="93" t="s">
        <v>116</v>
      </c>
      <c r="V1526" s="94">
        <v>44596.651388888888</v>
      </c>
      <c r="W1526" s="93" t="s">
        <v>402</v>
      </c>
      <c r="X1526" s="93" t="s">
        <v>24</v>
      </c>
    </row>
    <row r="1527" spans="1:24" hidden="1" x14ac:dyDescent="0.15">
      <c r="A1527" s="93" t="s">
        <v>740</v>
      </c>
      <c r="B1527" s="93" t="s">
        <v>741</v>
      </c>
      <c r="C1527" s="410">
        <v>595</v>
      </c>
      <c r="D1527" s="93" t="s">
        <v>24</v>
      </c>
      <c r="E1527" s="93" t="s">
        <v>24</v>
      </c>
      <c r="F1527" s="93" t="s">
        <v>399</v>
      </c>
      <c r="G1527" s="93" t="s">
        <v>7182</v>
      </c>
      <c r="H1527" s="93" t="s">
        <v>400</v>
      </c>
      <c r="I1527" s="93" t="s">
        <v>111</v>
      </c>
      <c r="J1527" s="93" t="s">
        <v>7105</v>
      </c>
      <c r="K1527" s="93" t="s">
        <v>111</v>
      </c>
      <c r="L1527" s="93" t="s">
        <v>111</v>
      </c>
      <c r="M1527" s="93" t="s">
        <v>111</v>
      </c>
      <c r="N1527" s="93" t="s">
        <v>111</v>
      </c>
      <c r="O1527" s="93" t="s">
        <v>111</v>
      </c>
      <c r="P1527" s="93" t="s">
        <v>111</v>
      </c>
      <c r="Q1527" s="93" t="s">
        <v>111</v>
      </c>
      <c r="R1527" s="93" t="s">
        <v>111</v>
      </c>
      <c r="S1527" s="93" t="s">
        <v>111</v>
      </c>
      <c r="T1527" s="93" t="s">
        <v>115</v>
      </c>
      <c r="U1527" s="93" t="s">
        <v>116</v>
      </c>
      <c r="V1527" s="94">
        <v>44596.647222222222</v>
      </c>
      <c r="W1527" s="93" t="s">
        <v>402</v>
      </c>
      <c r="X1527" s="93" t="s">
        <v>24</v>
      </c>
    </row>
    <row r="1528" spans="1:24" hidden="1" x14ac:dyDescent="0.15">
      <c r="A1528" s="93" t="s">
        <v>742</v>
      </c>
      <c r="B1528" s="93" t="s">
        <v>743</v>
      </c>
      <c r="C1528" s="410">
        <v>525</v>
      </c>
      <c r="D1528" s="93" t="s">
        <v>24</v>
      </c>
      <c r="E1528" s="93" t="s">
        <v>24</v>
      </c>
      <c r="F1528" s="93" t="s">
        <v>399</v>
      </c>
      <c r="G1528" s="93" t="s">
        <v>7182</v>
      </c>
      <c r="H1528" s="93" t="s">
        <v>400</v>
      </c>
      <c r="I1528" s="93" t="s">
        <v>111</v>
      </c>
      <c r="J1528" s="93" t="s">
        <v>7105</v>
      </c>
      <c r="K1528" s="93" t="s">
        <v>111</v>
      </c>
      <c r="L1528" s="93" t="s">
        <v>111</v>
      </c>
      <c r="M1528" s="93" t="s">
        <v>111</v>
      </c>
      <c r="N1528" s="93" t="s">
        <v>111</v>
      </c>
      <c r="O1528" s="93" t="s">
        <v>111</v>
      </c>
      <c r="P1528" s="93" t="s">
        <v>111</v>
      </c>
      <c r="Q1528" s="93" t="s">
        <v>111</v>
      </c>
      <c r="R1528" s="93" t="s">
        <v>111</v>
      </c>
      <c r="S1528" s="93" t="s">
        <v>111</v>
      </c>
      <c r="T1528" s="93" t="s">
        <v>115</v>
      </c>
      <c r="U1528" s="93" t="s">
        <v>116</v>
      </c>
      <c r="V1528" s="94">
        <v>44596.642361111109</v>
      </c>
      <c r="W1528" s="93" t="s">
        <v>402</v>
      </c>
      <c r="X1528" s="93" t="s">
        <v>24</v>
      </c>
    </row>
    <row r="1529" spans="1:24" hidden="1" x14ac:dyDescent="0.15">
      <c r="A1529" s="93" t="s">
        <v>744</v>
      </c>
      <c r="B1529" s="93" t="s">
        <v>745</v>
      </c>
      <c r="C1529" s="410">
        <v>350</v>
      </c>
      <c r="D1529" s="93" t="s">
        <v>24</v>
      </c>
      <c r="E1529" s="93" t="s">
        <v>24</v>
      </c>
      <c r="F1529" s="93" t="s">
        <v>399</v>
      </c>
      <c r="G1529" s="93" t="s">
        <v>7182</v>
      </c>
      <c r="H1529" s="93" t="s">
        <v>400</v>
      </c>
      <c r="I1529" s="93" t="s">
        <v>111</v>
      </c>
      <c r="J1529" s="93" t="s">
        <v>7105</v>
      </c>
      <c r="K1529" s="93" t="s">
        <v>111</v>
      </c>
      <c r="L1529" s="93" t="s">
        <v>111</v>
      </c>
      <c r="M1529" s="93" t="s">
        <v>111</v>
      </c>
      <c r="N1529" s="93" t="s">
        <v>111</v>
      </c>
      <c r="O1529" s="93" t="s">
        <v>111</v>
      </c>
      <c r="P1529" s="93" t="s">
        <v>111</v>
      </c>
      <c r="Q1529" s="93" t="s">
        <v>111</v>
      </c>
      <c r="R1529" s="93" t="s">
        <v>111</v>
      </c>
      <c r="S1529" s="93" t="s">
        <v>111</v>
      </c>
      <c r="T1529" s="93" t="s">
        <v>115</v>
      </c>
      <c r="U1529" s="93" t="s">
        <v>116</v>
      </c>
      <c r="V1529" s="94">
        <v>44596.647222222222</v>
      </c>
      <c r="W1529" s="93" t="s">
        <v>402</v>
      </c>
      <c r="X1529" s="93" t="s">
        <v>24</v>
      </c>
    </row>
    <row r="1530" spans="1:24" hidden="1" x14ac:dyDescent="0.15">
      <c r="A1530" s="93" t="s">
        <v>746</v>
      </c>
      <c r="B1530" s="93" t="s">
        <v>747</v>
      </c>
      <c r="C1530" s="410">
        <v>5</v>
      </c>
      <c r="D1530" s="93" t="s">
        <v>24</v>
      </c>
      <c r="E1530" s="93" t="s">
        <v>24</v>
      </c>
      <c r="F1530" s="93" t="s">
        <v>399</v>
      </c>
      <c r="G1530" s="93" t="s">
        <v>7183</v>
      </c>
      <c r="H1530" s="93" t="s">
        <v>400</v>
      </c>
      <c r="I1530" s="93" t="s">
        <v>111</v>
      </c>
      <c r="J1530" s="93" t="s">
        <v>118</v>
      </c>
      <c r="K1530" s="93">
        <v>3</v>
      </c>
      <c r="L1530" s="93" t="s">
        <v>111</v>
      </c>
      <c r="M1530" s="93" t="s">
        <v>111</v>
      </c>
      <c r="N1530" s="93" t="s">
        <v>111</v>
      </c>
      <c r="O1530" s="93" t="s">
        <v>111</v>
      </c>
      <c r="P1530" s="93" t="s">
        <v>111</v>
      </c>
      <c r="Q1530" s="93" t="s">
        <v>111</v>
      </c>
      <c r="R1530" s="93" t="s">
        <v>228</v>
      </c>
      <c r="S1530" s="93" t="s">
        <v>2</v>
      </c>
      <c r="T1530" s="93" t="s">
        <v>115</v>
      </c>
      <c r="U1530" s="93" t="s">
        <v>116</v>
      </c>
      <c r="V1530" s="94">
        <v>44596.663194444445</v>
      </c>
      <c r="W1530" s="93" t="s">
        <v>402</v>
      </c>
      <c r="X1530" s="93" t="s">
        <v>24</v>
      </c>
    </row>
    <row r="1531" spans="1:24" hidden="1" x14ac:dyDescent="0.15">
      <c r="A1531" s="93" t="s">
        <v>748</v>
      </c>
      <c r="B1531" s="93" t="s">
        <v>749</v>
      </c>
      <c r="C1531" s="410">
        <v>4.5</v>
      </c>
      <c r="D1531" s="93" t="s">
        <v>24</v>
      </c>
      <c r="E1531" s="93" t="s">
        <v>24</v>
      </c>
      <c r="F1531" s="93" t="s">
        <v>399</v>
      </c>
      <c r="G1531" s="93" t="s">
        <v>7183</v>
      </c>
      <c r="H1531" s="93" t="s">
        <v>400</v>
      </c>
      <c r="I1531" s="93" t="s">
        <v>111</v>
      </c>
      <c r="J1531" s="93" t="s">
        <v>118</v>
      </c>
      <c r="K1531" s="93">
        <v>3</v>
      </c>
      <c r="L1531" s="93" t="s">
        <v>111</v>
      </c>
      <c r="M1531" s="93" t="s">
        <v>111</v>
      </c>
      <c r="N1531" s="93" t="s">
        <v>111</v>
      </c>
      <c r="O1531" s="93" t="s">
        <v>111</v>
      </c>
      <c r="P1531" s="93" t="s">
        <v>111</v>
      </c>
      <c r="Q1531" s="93" t="s">
        <v>111</v>
      </c>
      <c r="R1531" s="93" t="s">
        <v>228</v>
      </c>
      <c r="S1531" s="93" t="s">
        <v>2</v>
      </c>
      <c r="T1531" s="93" t="s">
        <v>115</v>
      </c>
      <c r="U1531" s="93" t="s">
        <v>116</v>
      </c>
      <c r="V1531" s="94">
        <v>44596.654861111114</v>
      </c>
      <c r="W1531" s="93" t="s">
        <v>402</v>
      </c>
      <c r="X1531" s="93" t="s">
        <v>24</v>
      </c>
    </row>
    <row r="1532" spans="1:24" hidden="1" x14ac:dyDescent="0.15">
      <c r="A1532" s="93" t="s">
        <v>6645</v>
      </c>
      <c r="B1532" s="93" t="s">
        <v>7184</v>
      </c>
      <c r="C1532" s="410">
        <v>4.25</v>
      </c>
      <c r="D1532" s="93" t="s">
        <v>24</v>
      </c>
      <c r="E1532" s="93" t="s">
        <v>24</v>
      </c>
      <c r="F1532" s="93" t="s">
        <v>399</v>
      </c>
      <c r="G1532" s="93" t="s">
        <v>7183</v>
      </c>
      <c r="H1532" s="93" t="s">
        <v>400</v>
      </c>
      <c r="I1532" s="93" t="s">
        <v>111</v>
      </c>
      <c r="J1532" s="93" t="s">
        <v>7105</v>
      </c>
      <c r="K1532" s="93" t="s">
        <v>111</v>
      </c>
      <c r="L1532" s="93" t="s">
        <v>111</v>
      </c>
      <c r="M1532" s="93" t="s">
        <v>111</v>
      </c>
      <c r="N1532" s="93" t="s">
        <v>111</v>
      </c>
      <c r="O1532" s="93" t="s">
        <v>111</v>
      </c>
      <c r="P1532" s="93" t="s">
        <v>111</v>
      </c>
      <c r="Q1532" s="93" t="s">
        <v>111</v>
      </c>
      <c r="R1532" s="93" t="s">
        <v>228</v>
      </c>
      <c r="S1532" s="93" t="s">
        <v>2</v>
      </c>
      <c r="T1532" s="93" t="s">
        <v>115</v>
      </c>
      <c r="U1532" s="93" t="s">
        <v>116</v>
      </c>
      <c r="V1532" s="94">
        <v>44596.663194444445</v>
      </c>
      <c r="W1532" s="93" t="s">
        <v>402</v>
      </c>
      <c r="X1532" s="93" t="s">
        <v>24</v>
      </c>
    </row>
    <row r="1533" spans="1:24" hidden="1" x14ac:dyDescent="0.15">
      <c r="A1533" s="93" t="s">
        <v>750</v>
      </c>
      <c r="B1533" s="93" t="s">
        <v>751</v>
      </c>
      <c r="C1533" s="410">
        <v>3.75</v>
      </c>
      <c r="D1533" s="93" t="s">
        <v>24</v>
      </c>
      <c r="E1533" s="93" t="s">
        <v>24</v>
      </c>
      <c r="F1533" s="93" t="s">
        <v>399</v>
      </c>
      <c r="G1533" s="93" t="s">
        <v>7183</v>
      </c>
      <c r="H1533" s="93" t="s">
        <v>400</v>
      </c>
      <c r="I1533" s="93" t="s">
        <v>111</v>
      </c>
      <c r="J1533" s="93" t="s">
        <v>118</v>
      </c>
      <c r="K1533" s="93">
        <v>3</v>
      </c>
      <c r="L1533" s="93" t="s">
        <v>111</v>
      </c>
      <c r="M1533" s="93" t="s">
        <v>111</v>
      </c>
      <c r="N1533" s="93" t="s">
        <v>111</v>
      </c>
      <c r="O1533" s="93" t="s">
        <v>111</v>
      </c>
      <c r="P1533" s="93" t="s">
        <v>111</v>
      </c>
      <c r="Q1533" s="93" t="s">
        <v>111</v>
      </c>
      <c r="R1533" s="93" t="s">
        <v>228</v>
      </c>
      <c r="S1533" s="93" t="s">
        <v>2</v>
      </c>
      <c r="T1533" s="93" t="s">
        <v>115</v>
      </c>
      <c r="U1533" s="93" t="s">
        <v>116</v>
      </c>
      <c r="V1533" s="94">
        <v>44596.668055555558</v>
      </c>
      <c r="W1533" s="93" t="s">
        <v>402</v>
      </c>
      <c r="X1533" s="93" t="s">
        <v>24</v>
      </c>
    </row>
    <row r="1534" spans="1:24" hidden="1" x14ac:dyDescent="0.15">
      <c r="A1534" s="93" t="s">
        <v>752</v>
      </c>
      <c r="B1534" s="93" t="s">
        <v>753</v>
      </c>
      <c r="C1534" s="410">
        <v>2.5</v>
      </c>
      <c r="D1534" s="93" t="s">
        <v>24</v>
      </c>
      <c r="E1534" s="93" t="s">
        <v>24</v>
      </c>
      <c r="F1534" s="93" t="s">
        <v>399</v>
      </c>
      <c r="G1534" s="93" t="s">
        <v>7183</v>
      </c>
      <c r="H1534" s="93" t="s">
        <v>400</v>
      </c>
      <c r="I1534" s="93" t="s">
        <v>111</v>
      </c>
      <c r="J1534" s="93" t="s">
        <v>118</v>
      </c>
      <c r="K1534" s="93">
        <v>3</v>
      </c>
      <c r="L1534" s="93" t="s">
        <v>111</v>
      </c>
      <c r="M1534" s="93" t="s">
        <v>111</v>
      </c>
      <c r="N1534" s="93" t="s">
        <v>111</v>
      </c>
      <c r="O1534" s="93" t="s">
        <v>111</v>
      </c>
      <c r="P1534" s="93" t="s">
        <v>111</v>
      </c>
      <c r="Q1534" s="93" t="s">
        <v>111</v>
      </c>
      <c r="R1534" s="93" t="s">
        <v>228</v>
      </c>
      <c r="S1534" s="93" t="s">
        <v>2</v>
      </c>
      <c r="T1534" s="93" t="s">
        <v>115</v>
      </c>
      <c r="U1534" s="93" t="s">
        <v>116</v>
      </c>
      <c r="V1534" s="94">
        <v>44596.663194444445</v>
      </c>
      <c r="W1534" s="93" t="s">
        <v>402</v>
      </c>
      <c r="X1534" s="93" t="s">
        <v>24</v>
      </c>
    </row>
    <row r="1535" spans="1:24" hidden="1" x14ac:dyDescent="0.15">
      <c r="A1535" s="93" t="s">
        <v>754</v>
      </c>
      <c r="B1535" s="93" t="s">
        <v>755</v>
      </c>
      <c r="C1535" s="410">
        <v>20</v>
      </c>
      <c r="D1535" s="93" t="s">
        <v>24</v>
      </c>
      <c r="E1535" s="93" t="s">
        <v>24</v>
      </c>
      <c r="F1535" s="93" t="s">
        <v>399</v>
      </c>
      <c r="G1535" s="93" t="s">
        <v>7183</v>
      </c>
      <c r="H1535" s="93" t="s">
        <v>400</v>
      </c>
      <c r="I1535" s="93" t="s">
        <v>111</v>
      </c>
      <c r="J1535" s="93" t="s">
        <v>118</v>
      </c>
      <c r="K1535" s="93">
        <v>3</v>
      </c>
      <c r="L1535" s="93" t="s">
        <v>111</v>
      </c>
      <c r="M1535" s="93" t="s">
        <v>111</v>
      </c>
      <c r="N1535" s="93" t="s">
        <v>111</v>
      </c>
      <c r="O1535" s="93" t="s">
        <v>111</v>
      </c>
      <c r="P1535" s="93" t="s">
        <v>111</v>
      </c>
      <c r="Q1535" s="93" t="s">
        <v>111</v>
      </c>
      <c r="R1535" s="93" t="s">
        <v>228</v>
      </c>
      <c r="S1535" s="93" t="s">
        <v>2</v>
      </c>
      <c r="T1535" s="93" t="s">
        <v>115</v>
      </c>
      <c r="U1535" s="93" t="s">
        <v>116</v>
      </c>
      <c r="V1535" s="94">
        <v>44596.668749999997</v>
      </c>
      <c r="W1535" s="93" t="s">
        <v>402</v>
      </c>
      <c r="X1535" s="93" t="s">
        <v>24</v>
      </c>
    </row>
    <row r="1536" spans="1:24" hidden="1" x14ac:dyDescent="0.15">
      <c r="A1536" s="93" t="s">
        <v>756</v>
      </c>
      <c r="B1536" s="93" t="s">
        <v>757</v>
      </c>
      <c r="C1536" s="410">
        <v>18</v>
      </c>
      <c r="D1536" s="93" t="s">
        <v>24</v>
      </c>
      <c r="E1536" s="93" t="s">
        <v>24</v>
      </c>
      <c r="F1536" s="93" t="s">
        <v>399</v>
      </c>
      <c r="G1536" s="93" t="s">
        <v>7183</v>
      </c>
      <c r="H1536" s="93" t="s">
        <v>400</v>
      </c>
      <c r="I1536" s="93" t="s">
        <v>111</v>
      </c>
      <c r="J1536" s="93" t="s">
        <v>118</v>
      </c>
      <c r="K1536" s="93">
        <v>3</v>
      </c>
      <c r="L1536" s="93" t="s">
        <v>111</v>
      </c>
      <c r="M1536" s="93" t="s">
        <v>111</v>
      </c>
      <c r="N1536" s="93" t="s">
        <v>111</v>
      </c>
      <c r="O1536" s="93" t="s">
        <v>111</v>
      </c>
      <c r="P1536" s="93" t="s">
        <v>111</v>
      </c>
      <c r="Q1536" s="93" t="s">
        <v>111</v>
      </c>
      <c r="R1536" s="93" t="s">
        <v>228</v>
      </c>
      <c r="S1536" s="93" t="s">
        <v>2</v>
      </c>
      <c r="T1536" s="93" t="s">
        <v>115</v>
      </c>
      <c r="U1536" s="93" t="s">
        <v>116</v>
      </c>
      <c r="V1536" s="94">
        <v>44596.663194444445</v>
      </c>
      <c r="W1536" s="93" t="s">
        <v>402</v>
      </c>
      <c r="X1536" s="93" t="s">
        <v>24</v>
      </c>
    </row>
    <row r="1537" spans="1:24" hidden="1" x14ac:dyDescent="0.15">
      <c r="A1537" s="93" t="s">
        <v>758</v>
      </c>
      <c r="B1537" s="93" t="s">
        <v>759</v>
      </c>
      <c r="C1537" s="410">
        <v>17</v>
      </c>
      <c r="D1537" s="93" t="s">
        <v>24</v>
      </c>
      <c r="E1537" s="93" t="s">
        <v>24</v>
      </c>
      <c r="F1537" s="93" t="s">
        <v>399</v>
      </c>
      <c r="G1537" s="93" t="s">
        <v>7183</v>
      </c>
      <c r="H1537" s="93" t="s">
        <v>400</v>
      </c>
      <c r="I1537" s="93" t="s">
        <v>111</v>
      </c>
      <c r="J1537" s="93" t="s">
        <v>118</v>
      </c>
      <c r="K1537" s="93">
        <v>3</v>
      </c>
      <c r="L1537" s="93" t="s">
        <v>111</v>
      </c>
      <c r="M1537" s="93" t="s">
        <v>111</v>
      </c>
      <c r="N1537" s="93" t="s">
        <v>111</v>
      </c>
      <c r="O1537" s="93" t="s">
        <v>111</v>
      </c>
      <c r="P1537" s="93" t="s">
        <v>111</v>
      </c>
      <c r="Q1537" s="93" t="s">
        <v>111</v>
      </c>
      <c r="R1537" s="93" t="s">
        <v>228</v>
      </c>
      <c r="S1537" s="93" t="s">
        <v>2</v>
      </c>
      <c r="T1537" s="93" t="s">
        <v>115</v>
      </c>
      <c r="U1537" s="93" t="s">
        <v>116</v>
      </c>
      <c r="V1537" s="94">
        <v>44596.668749999997</v>
      </c>
      <c r="W1537" s="93" t="s">
        <v>402</v>
      </c>
      <c r="X1537" s="93" t="s">
        <v>24</v>
      </c>
    </row>
    <row r="1538" spans="1:24" hidden="1" x14ac:dyDescent="0.15">
      <c r="A1538" s="93" t="s">
        <v>760</v>
      </c>
      <c r="B1538" s="93" t="s">
        <v>761</v>
      </c>
      <c r="C1538" s="410">
        <v>15</v>
      </c>
      <c r="D1538" s="93" t="s">
        <v>24</v>
      </c>
      <c r="E1538" s="93" t="s">
        <v>24</v>
      </c>
      <c r="F1538" s="93" t="s">
        <v>399</v>
      </c>
      <c r="G1538" s="93" t="s">
        <v>7183</v>
      </c>
      <c r="H1538" s="93" t="s">
        <v>400</v>
      </c>
      <c r="I1538" s="93" t="s">
        <v>111</v>
      </c>
      <c r="J1538" s="93" t="s">
        <v>118</v>
      </c>
      <c r="K1538" s="93">
        <v>3</v>
      </c>
      <c r="L1538" s="93" t="s">
        <v>111</v>
      </c>
      <c r="M1538" s="93" t="s">
        <v>111</v>
      </c>
      <c r="N1538" s="93" t="s">
        <v>111</v>
      </c>
      <c r="O1538" s="93" t="s">
        <v>111</v>
      </c>
      <c r="P1538" s="93" t="s">
        <v>111</v>
      </c>
      <c r="Q1538" s="93" t="s">
        <v>111</v>
      </c>
      <c r="R1538" s="93" t="s">
        <v>228</v>
      </c>
      <c r="S1538" s="93" t="s">
        <v>2</v>
      </c>
      <c r="T1538" s="93" t="s">
        <v>115</v>
      </c>
      <c r="U1538" s="93" t="s">
        <v>116</v>
      </c>
      <c r="V1538" s="94">
        <v>44596.663194444445</v>
      </c>
      <c r="W1538" s="93" t="s">
        <v>402</v>
      </c>
      <c r="X1538" s="93" t="s">
        <v>24</v>
      </c>
    </row>
    <row r="1539" spans="1:24" hidden="1" x14ac:dyDescent="0.15">
      <c r="A1539" s="93" t="s">
        <v>762</v>
      </c>
      <c r="B1539" s="93" t="s">
        <v>763</v>
      </c>
      <c r="C1539" s="410">
        <v>10</v>
      </c>
      <c r="D1539" s="93" t="s">
        <v>24</v>
      </c>
      <c r="E1539" s="93" t="s">
        <v>24</v>
      </c>
      <c r="F1539" s="93" t="s">
        <v>399</v>
      </c>
      <c r="G1539" s="93" t="s">
        <v>7183</v>
      </c>
      <c r="H1539" s="93" t="s">
        <v>400</v>
      </c>
      <c r="I1539" s="93" t="s">
        <v>111</v>
      </c>
      <c r="J1539" s="93" t="s">
        <v>118</v>
      </c>
      <c r="K1539" s="93">
        <v>3</v>
      </c>
      <c r="L1539" s="93" t="s">
        <v>111</v>
      </c>
      <c r="M1539" s="93" t="s">
        <v>111</v>
      </c>
      <c r="N1539" s="93" t="s">
        <v>111</v>
      </c>
      <c r="O1539" s="93" t="s">
        <v>111</v>
      </c>
      <c r="P1539" s="93" t="s">
        <v>111</v>
      </c>
      <c r="Q1539" s="93" t="s">
        <v>111</v>
      </c>
      <c r="R1539" s="93" t="s">
        <v>228</v>
      </c>
      <c r="S1539" s="93" t="s">
        <v>2</v>
      </c>
      <c r="T1539" s="93" t="s">
        <v>115</v>
      </c>
      <c r="U1539" s="93" t="s">
        <v>116</v>
      </c>
      <c r="V1539" s="94">
        <v>44596.654861111114</v>
      </c>
      <c r="W1539" s="93" t="s">
        <v>402</v>
      </c>
      <c r="X1539" s="93" t="s">
        <v>24</v>
      </c>
    </row>
    <row r="1540" spans="1:24" hidden="1" x14ac:dyDescent="0.15">
      <c r="A1540" s="93" t="s">
        <v>764</v>
      </c>
      <c r="B1540" s="93" t="s">
        <v>765</v>
      </c>
      <c r="C1540" s="410">
        <v>50</v>
      </c>
      <c r="D1540" s="93" t="s">
        <v>24</v>
      </c>
      <c r="E1540" s="93" t="s">
        <v>24</v>
      </c>
      <c r="F1540" s="93" t="s">
        <v>399</v>
      </c>
      <c r="G1540" s="93" t="s">
        <v>7183</v>
      </c>
      <c r="H1540" s="93" t="s">
        <v>400</v>
      </c>
      <c r="I1540" s="93" t="s">
        <v>111</v>
      </c>
      <c r="J1540" s="93" t="s">
        <v>118</v>
      </c>
      <c r="K1540" s="93">
        <v>3</v>
      </c>
      <c r="L1540" s="93" t="s">
        <v>111</v>
      </c>
      <c r="M1540" s="93" t="s">
        <v>111</v>
      </c>
      <c r="N1540" s="93" t="s">
        <v>111</v>
      </c>
      <c r="O1540" s="93" t="s">
        <v>111</v>
      </c>
      <c r="P1540" s="93" t="s">
        <v>111</v>
      </c>
      <c r="Q1540" s="93" t="s">
        <v>111</v>
      </c>
      <c r="R1540" s="93" t="s">
        <v>228</v>
      </c>
      <c r="S1540" s="93" t="s">
        <v>2</v>
      </c>
      <c r="T1540" s="93" t="s">
        <v>115</v>
      </c>
      <c r="U1540" s="93" t="s">
        <v>116</v>
      </c>
      <c r="V1540" s="94">
        <v>44596.663194444445</v>
      </c>
      <c r="W1540" s="93" t="s">
        <v>402</v>
      </c>
      <c r="X1540" s="93" t="s">
        <v>24</v>
      </c>
    </row>
    <row r="1541" spans="1:24" hidden="1" x14ac:dyDescent="0.15">
      <c r="A1541" s="93" t="s">
        <v>766</v>
      </c>
      <c r="B1541" s="93" t="s">
        <v>767</v>
      </c>
      <c r="C1541" s="410">
        <v>45</v>
      </c>
      <c r="D1541" s="93" t="s">
        <v>24</v>
      </c>
      <c r="E1541" s="93" t="s">
        <v>24</v>
      </c>
      <c r="F1541" s="93" t="s">
        <v>399</v>
      </c>
      <c r="G1541" s="93" t="s">
        <v>7183</v>
      </c>
      <c r="H1541" s="93" t="s">
        <v>400</v>
      </c>
      <c r="I1541" s="93" t="s">
        <v>111</v>
      </c>
      <c r="J1541" s="93" t="s">
        <v>118</v>
      </c>
      <c r="K1541" s="93">
        <v>3</v>
      </c>
      <c r="L1541" s="93" t="s">
        <v>111</v>
      </c>
      <c r="M1541" s="93" t="s">
        <v>111</v>
      </c>
      <c r="N1541" s="93" t="s">
        <v>111</v>
      </c>
      <c r="O1541" s="93" t="s">
        <v>111</v>
      </c>
      <c r="P1541" s="93" t="s">
        <v>111</v>
      </c>
      <c r="Q1541" s="93" t="s">
        <v>111</v>
      </c>
      <c r="R1541" s="93" t="s">
        <v>228</v>
      </c>
      <c r="S1541" s="93" t="s">
        <v>2</v>
      </c>
      <c r="T1541" s="93" t="s">
        <v>115</v>
      </c>
      <c r="U1541" s="93" t="s">
        <v>116</v>
      </c>
      <c r="V1541" s="94">
        <v>44596.69027777778</v>
      </c>
      <c r="W1541" s="93" t="s">
        <v>402</v>
      </c>
      <c r="X1541" s="93" t="s">
        <v>24</v>
      </c>
    </row>
    <row r="1542" spans="1:24" hidden="1" x14ac:dyDescent="0.15">
      <c r="A1542" s="93" t="s">
        <v>768</v>
      </c>
      <c r="B1542" s="93" t="s">
        <v>769</v>
      </c>
      <c r="C1542" s="410">
        <v>42.5</v>
      </c>
      <c r="D1542" s="93" t="s">
        <v>24</v>
      </c>
      <c r="E1542" s="93" t="s">
        <v>24</v>
      </c>
      <c r="F1542" s="93" t="s">
        <v>399</v>
      </c>
      <c r="G1542" s="93" t="s">
        <v>7183</v>
      </c>
      <c r="H1542" s="93" t="s">
        <v>400</v>
      </c>
      <c r="I1542" s="93" t="s">
        <v>111</v>
      </c>
      <c r="J1542" s="93" t="s">
        <v>118</v>
      </c>
      <c r="K1542" s="93">
        <v>3</v>
      </c>
      <c r="L1542" s="93" t="s">
        <v>111</v>
      </c>
      <c r="M1542" s="93" t="s">
        <v>111</v>
      </c>
      <c r="N1542" s="93" t="s">
        <v>111</v>
      </c>
      <c r="O1542" s="93" t="s">
        <v>111</v>
      </c>
      <c r="P1542" s="93" t="s">
        <v>111</v>
      </c>
      <c r="Q1542" s="93" t="s">
        <v>111</v>
      </c>
      <c r="R1542" s="93" t="s">
        <v>228</v>
      </c>
      <c r="S1542" s="93" t="s">
        <v>2</v>
      </c>
      <c r="T1542" s="93" t="s">
        <v>115</v>
      </c>
      <c r="U1542" s="93" t="s">
        <v>116</v>
      </c>
      <c r="V1542" s="94">
        <v>44596.663888888892</v>
      </c>
      <c r="W1542" s="93" t="s">
        <v>402</v>
      </c>
      <c r="X1542" s="93" t="s">
        <v>24</v>
      </c>
    </row>
    <row r="1543" spans="1:24" hidden="1" x14ac:dyDescent="0.15">
      <c r="A1543" s="93" t="s">
        <v>770</v>
      </c>
      <c r="B1543" s="93" t="s">
        <v>771</v>
      </c>
      <c r="C1543" s="410">
        <v>37.5</v>
      </c>
      <c r="D1543" s="93" t="s">
        <v>24</v>
      </c>
      <c r="E1543" s="93" t="s">
        <v>24</v>
      </c>
      <c r="F1543" s="93" t="s">
        <v>399</v>
      </c>
      <c r="G1543" s="93" t="s">
        <v>7183</v>
      </c>
      <c r="H1543" s="93" t="s">
        <v>400</v>
      </c>
      <c r="I1543" s="93" t="s">
        <v>111</v>
      </c>
      <c r="J1543" s="93" t="s">
        <v>118</v>
      </c>
      <c r="K1543" s="93">
        <v>3</v>
      </c>
      <c r="L1543" s="93" t="s">
        <v>111</v>
      </c>
      <c r="M1543" s="93" t="s">
        <v>111</v>
      </c>
      <c r="N1543" s="93" t="s">
        <v>111</v>
      </c>
      <c r="O1543" s="93" t="s">
        <v>111</v>
      </c>
      <c r="P1543" s="93" t="s">
        <v>111</v>
      </c>
      <c r="Q1543" s="93" t="s">
        <v>111</v>
      </c>
      <c r="R1543" s="93" t="s">
        <v>228</v>
      </c>
      <c r="S1543" s="93" t="s">
        <v>111</v>
      </c>
      <c r="T1543" s="93" t="s">
        <v>115</v>
      </c>
      <c r="U1543" s="93" t="s">
        <v>116</v>
      </c>
      <c r="V1543" s="94">
        <v>44596.69027777778</v>
      </c>
      <c r="W1543" s="93" t="s">
        <v>402</v>
      </c>
      <c r="X1543" s="93" t="s">
        <v>24</v>
      </c>
    </row>
    <row r="1544" spans="1:24" hidden="1" x14ac:dyDescent="0.15">
      <c r="A1544" s="93" t="s">
        <v>772</v>
      </c>
      <c r="B1544" s="93" t="s">
        <v>773</v>
      </c>
      <c r="C1544" s="410">
        <v>25</v>
      </c>
      <c r="D1544" s="93" t="s">
        <v>24</v>
      </c>
      <c r="E1544" s="93" t="s">
        <v>24</v>
      </c>
      <c r="F1544" s="93" t="s">
        <v>399</v>
      </c>
      <c r="G1544" s="93" t="s">
        <v>7183</v>
      </c>
      <c r="H1544" s="93" t="s">
        <v>400</v>
      </c>
      <c r="I1544" s="93" t="s">
        <v>111</v>
      </c>
      <c r="J1544" s="93" t="s">
        <v>118</v>
      </c>
      <c r="K1544" s="93">
        <v>3</v>
      </c>
      <c r="L1544" s="93" t="s">
        <v>111</v>
      </c>
      <c r="M1544" s="93" t="s">
        <v>111</v>
      </c>
      <c r="N1544" s="93" t="s">
        <v>111</v>
      </c>
      <c r="O1544" s="93" t="s">
        <v>111</v>
      </c>
      <c r="P1544" s="93" t="s">
        <v>111</v>
      </c>
      <c r="Q1544" s="93" t="s">
        <v>111</v>
      </c>
      <c r="R1544" s="93" t="s">
        <v>228</v>
      </c>
      <c r="S1544" s="93" t="s">
        <v>2</v>
      </c>
      <c r="T1544" s="93" t="s">
        <v>115</v>
      </c>
      <c r="U1544" s="93" t="s">
        <v>116</v>
      </c>
      <c r="V1544" s="94">
        <v>44596.663888888892</v>
      </c>
      <c r="W1544" s="93" t="s">
        <v>402</v>
      </c>
      <c r="X1544" s="93" t="s">
        <v>24</v>
      </c>
    </row>
    <row r="1545" spans="1:24" hidden="1" x14ac:dyDescent="0.15">
      <c r="A1545" s="93" t="s">
        <v>774</v>
      </c>
      <c r="B1545" s="93" t="s">
        <v>775</v>
      </c>
      <c r="C1545" s="410">
        <v>70</v>
      </c>
      <c r="D1545" s="93" t="s">
        <v>24</v>
      </c>
      <c r="E1545" s="93" t="s">
        <v>24</v>
      </c>
      <c r="F1545" s="93" t="s">
        <v>399</v>
      </c>
      <c r="G1545" s="93" t="s">
        <v>7183</v>
      </c>
      <c r="H1545" s="93" t="s">
        <v>400</v>
      </c>
      <c r="I1545" s="93" t="s">
        <v>111</v>
      </c>
      <c r="J1545" s="93" t="s">
        <v>118</v>
      </c>
      <c r="K1545" s="93">
        <v>3</v>
      </c>
      <c r="L1545" s="93" t="s">
        <v>111</v>
      </c>
      <c r="M1545" s="93" t="s">
        <v>111</v>
      </c>
      <c r="N1545" s="93" t="s">
        <v>111</v>
      </c>
      <c r="O1545" s="93" t="s">
        <v>111</v>
      </c>
      <c r="P1545" s="93" t="s">
        <v>111</v>
      </c>
      <c r="Q1545" s="93" t="s">
        <v>111</v>
      </c>
      <c r="R1545" s="93" t="s">
        <v>228</v>
      </c>
      <c r="S1545" s="93" t="s">
        <v>2</v>
      </c>
      <c r="T1545" s="93" t="s">
        <v>115</v>
      </c>
      <c r="U1545" s="93" t="s">
        <v>116</v>
      </c>
      <c r="V1545" s="94">
        <v>44596.69027777778</v>
      </c>
      <c r="W1545" s="93" t="s">
        <v>402</v>
      </c>
      <c r="X1545" s="93" t="s">
        <v>24</v>
      </c>
    </row>
    <row r="1546" spans="1:24" hidden="1" x14ac:dyDescent="0.15">
      <c r="A1546" s="93" t="s">
        <v>776</v>
      </c>
      <c r="B1546" s="93" t="s">
        <v>777</v>
      </c>
      <c r="C1546" s="410">
        <v>63</v>
      </c>
      <c r="D1546" s="93" t="s">
        <v>24</v>
      </c>
      <c r="E1546" s="93" t="s">
        <v>24</v>
      </c>
      <c r="F1546" s="93" t="s">
        <v>399</v>
      </c>
      <c r="G1546" s="93" t="s">
        <v>7183</v>
      </c>
      <c r="H1546" s="93" t="s">
        <v>400</v>
      </c>
      <c r="I1546" s="93" t="s">
        <v>111</v>
      </c>
      <c r="J1546" s="93" t="s">
        <v>118</v>
      </c>
      <c r="K1546" s="93">
        <v>3</v>
      </c>
      <c r="L1546" s="93" t="s">
        <v>111</v>
      </c>
      <c r="M1546" s="93" t="s">
        <v>111</v>
      </c>
      <c r="N1546" s="93" t="s">
        <v>111</v>
      </c>
      <c r="O1546" s="93" t="s">
        <v>111</v>
      </c>
      <c r="P1546" s="93" t="s">
        <v>111</v>
      </c>
      <c r="Q1546" s="93" t="s">
        <v>111</v>
      </c>
      <c r="R1546" s="93" t="s">
        <v>228</v>
      </c>
      <c r="S1546" s="93" t="s">
        <v>2</v>
      </c>
      <c r="T1546" s="93" t="s">
        <v>115</v>
      </c>
      <c r="U1546" s="93" t="s">
        <v>116</v>
      </c>
      <c r="V1546" s="94">
        <v>44596.663888888892</v>
      </c>
      <c r="W1546" s="93" t="s">
        <v>402</v>
      </c>
      <c r="X1546" s="93" t="s">
        <v>24</v>
      </c>
    </row>
    <row r="1547" spans="1:24" hidden="1" x14ac:dyDescent="0.15">
      <c r="A1547" s="93" t="s">
        <v>778</v>
      </c>
      <c r="B1547" s="93" t="s">
        <v>779</v>
      </c>
      <c r="C1547" s="410">
        <v>59.5</v>
      </c>
      <c r="D1547" s="93" t="s">
        <v>24</v>
      </c>
      <c r="E1547" s="93" t="s">
        <v>24</v>
      </c>
      <c r="F1547" s="93" t="s">
        <v>399</v>
      </c>
      <c r="G1547" s="93" t="s">
        <v>7183</v>
      </c>
      <c r="H1547" s="93" t="s">
        <v>400</v>
      </c>
      <c r="I1547" s="93" t="s">
        <v>111</v>
      </c>
      <c r="J1547" s="93" t="s">
        <v>118</v>
      </c>
      <c r="K1547" s="93">
        <v>3</v>
      </c>
      <c r="L1547" s="93" t="s">
        <v>111</v>
      </c>
      <c r="M1547" s="93" t="s">
        <v>111</v>
      </c>
      <c r="N1547" s="93" t="s">
        <v>111</v>
      </c>
      <c r="O1547" s="93" t="s">
        <v>111</v>
      </c>
      <c r="P1547" s="93" t="s">
        <v>111</v>
      </c>
      <c r="Q1547" s="93" t="s">
        <v>111</v>
      </c>
      <c r="R1547" s="93" t="s">
        <v>228</v>
      </c>
      <c r="S1547" s="93" t="s">
        <v>2</v>
      </c>
      <c r="T1547" s="93" t="s">
        <v>115</v>
      </c>
      <c r="U1547" s="93" t="s">
        <v>116</v>
      </c>
      <c r="V1547" s="94">
        <v>44596.69027777778</v>
      </c>
      <c r="W1547" s="93" t="s">
        <v>402</v>
      </c>
      <c r="X1547" s="93" t="s">
        <v>24</v>
      </c>
    </row>
    <row r="1548" spans="1:24" hidden="1" x14ac:dyDescent="0.15">
      <c r="A1548" s="93" t="s">
        <v>780</v>
      </c>
      <c r="B1548" s="93" t="s">
        <v>781</v>
      </c>
      <c r="C1548" s="410">
        <v>52.5</v>
      </c>
      <c r="D1548" s="93" t="s">
        <v>24</v>
      </c>
      <c r="E1548" s="93" t="s">
        <v>24</v>
      </c>
      <c r="F1548" s="93" t="s">
        <v>399</v>
      </c>
      <c r="G1548" s="93" t="s">
        <v>7183</v>
      </c>
      <c r="H1548" s="93" t="s">
        <v>400</v>
      </c>
      <c r="I1548" s="93" t="s">
        <v>111</v>
      </c>
      <c r="J1548" s="93" t="s">
        <v>118</v>
      </c>
      <c r="K1548" s="93">
        <v>3</v>
      </c>
      <c r="L1548" s="93" t="s">
        <v>111</v>
      </c>
      <c r="M1548" s="93" t="s">
        <v>111</v>
      </c>
      <c r="N1548" s="93" t="s">
        <v>111</v>
      </c>
      <c r="O1548" s="93" t="s">
        <v>111</v>
      </c>
      <c r="P1548" s="93" t="s">
        <v>111</v>
      </c>
      <c r="Q1548" s="93" t="s">
        <v>111</v>
      </c>
      <c r="R1548" s="93" t="s">
        <v>228</v>
      </c>
      <c r="S1548" s="93" t="s">
        <v>2</v>
      </c>
      <c r="T1548" s="93" t="s">
        <v>115</v>
      </c>
      <c r="U1548" s="93" t="s">
        <v>116</v>
      </c>
      <c r="V1548" s="94">
        <v>44596.663888888892</v>
      </c>
      <c r="W1548" s="93" t="s">
        <v>402</v>
      </c>
      <c r="X1548" s="93" t="s">
        <v>24</v>
      </c>
    </row>
    <row r="1549" spans="1:24" hidden="1" x14ac:dyDescent="0.15">
      <c r="A1549" s="93" t="s">
        <v>782</v>
      </c>
      <c r="B1549" s="93" t="s">
        <v>783</v>
      </c>
      <c r="C1549" s="410">
        <v>35</v>
      </c>
      <c r="D1549" s="93" t="s">
        <v>24</v>
      </c>
      <c r="E1549" s="93" t="s">
        <v>24</v>
      </c>
      <c r="F1549" s="93" t="s">
        <v>399</v>
      </c>
      <c r="G1549" s="93" t="s">
        <v>7183</v>
      </c>
      <c r="H1549" s="93" t="s">
        <v>400</v>
      </c>
      <c r="I1549" s="93" t="s">
        <v>111</v>
      </c>
      <c r="J1549" s="93" t="s">
        <v>118</v>
      </c>
      <c r="K1549" s="93">
        <v>3</v>
      </c>
      <c r="L1549" s="93" t="s">
        <v>111</v>
      </c>
      <c r="M1549" s="93" t="s">
        <v>111</v>
      </c>
      <c r="N1549" s="93" t="s">
        <v>111</v>
      </c>
      <c r="O1549" s="93" t="s">
        <v>111</v>
      </c>
      <c r="P1549" s="93" t="s">
        <v>111</v>
      </c>
      <c r="Q1549" s="93" t="s">
        <v>111</v>
      </c>
      <c r="R1549" s="93" t="s">
        <v>228</v>
      </c>
      <c r="S1549" s="93" t="s">
        <v>2</v>
      </c>
      <c r="T1549" s="93" t="s">
        <v>115</v>
      </c>
      <c r="U1549" s="93" t="s">
        <v>116</v>
      </c>
      <c r="V1549" s="94">
        <v>44596.69027777778</v>
      </c>
      <c r="W1549" s="93" t="s">
        <v>402</v>
      </c>
      <c r="X1549" s="93" t="s">
        <v>24</v>
      </c>
    </row>
    <row r="1550" spans="1:24" hidden="1" x14ac:dyDescent="0.15">
      <c r="A1550" s="93" t="s">
        <v>784</v>
      </c>
      <c r="B1550" s="93" t="s">
        <v>785</v>
      </c>
      <c r="C1550" s="410">
        <v>120</v>
      </c>
      <c r="D1550" s="93" t="s">
        <v>24</v>
      </c>
      <c r="E1550" s="93" t="s">
        <v>24</v>
      </c>
      <c r="F1550" s="93" t="s">
        <v>399</v>
      </c>
      <c r="G1550" s="93" t="s">
        <v>7183</v>
      </c>
      <c r="H1550" s="93" t="s">
        <v>400</v>
      </c>
      <c r="I1550" s="93" t="s">
        <v>111</v>
      </c>
      <c r="J1550" s="93" t="s">
        <v>118</v>
      </c>
      <c r="K1550" s="93">
        <v>3</v>
      </c>
      <c r="L1550" s="93" t="s">
        <v>111</v>
      </c>
      <c r="M1550" s="93" t="s">
        <v>111</v>
      </c>
      <c r="N1550" s="93" t="s">
        <v>111</v>
      </c>
      <c r="O1550" s="93" t="s">
        <v>111</v>
      </c>
      <c r="P1550" s="93" t="s">
        <v>111</v>
      </c>
      <c r="Q1550" s="93" t="s">
        <v>111</v>
      </c>
      <c r="R1550" s="93" t="s">
        <v>228</v>
      </c>
      <c r="S1550" s="93" t="s">
        <v>2</v>
      </c>
      <c r="T1550" s="93" t="s">
        <v>115</v>
      </c>
      <c r="U1550" s="93" t="s">
        <v>116</v>
      </c>
      <c r="V1550" s="94">
        <v>44596.663888888892</v>
      </c>
      <c r="W1550" s="93" t="s">
        <v>402</v>
      </c>
      <c r="X1550" s="93" t="s">
        <v>24</v>
      </c>
    </row>
    <row r="1551" spans="1:24" hidden="1" x14ac:dyDescent="0.15">
      <c r="A1551" s="93" t="s">
        <v>786</v>
      </c>
      <c r="B1551" s="93" t="s">
        <v>787</v>
      </c>
      <c r="C1551" s="410">
        <v>108</v>
      </c>
      <c r="D1551" s="93" t="s">
        <v>24</v>
      </c>
      <c r="E1551" s="93" t="s">
        <v>24</v>
      </c>
      <c r="F1551" s="93" t="s">
        <v>399</v>
      </c>
      <c r="G1551" s="93" t="s">
        <v>7183</v>
      </c>
      <c r="H1551" s="93" t="s">
        <v>400</v>
      </c>
      <c r="I1551" s="93" t="s">
        <v>111</v>
      </c>
      <c r="J1551" s="93" t="s">
        <v>118</v>
      </c>
      <c r="K1551" s="93">
        <v>3</v>
      </c>
      <c r="L1551" s="93" t="s">
        <v>111</v>
      </c>
      <c r="M1551" s="93" t="s">
        <v>111</v>
      </c>
      <c r="N1551" s="93" t="s">
        <v>111</v>
      </c>
      <c r="O1551" s="93" t="s">
        <v>111</v>
      </c>
      <c r="P1551" s="93" t="s">
        <v>111</v>
      </c>
      <c r="Q1551" s="93" t="s">
        <v>111</v>
      </c>
      <c r="R1551" s="93" t="s">
        <v>228</v>
      </c>
      <c r="S1551" s="93" t="s">
        <v>2</v>
      </c>
      <c r="T1551" s="93" t="s">
        <v>115</v>
      </c>
      <c r="U1551" s="93" t="s">
        <v>116</v>
      </c>
      <c r="V1551" s="94">
        <v>44596.697916666664</v>
      </c>
      <c r="W1551" s="93" t="s">
        <v>402</v>
      </c>
      <c r="X1551" s="93" t="s">
        <v>24</v>
      </c>
    </row>
    <row r="1552" spans="1:24" hidden="1" x14ac:dyDescent="0.15">
      <c r="A1552" s="93" t="s">
        <v>788</v>
      </c>
      <c r="B1552" s="93" t="s">
        <v>789</v>
      </c>
      <c r="C1552" s="410">
        <v>102</v>
      </c>
      <c r="D1552" s="93" t="s">
        <v>24</v>
      </c>
      <c r="E1552" s="93" t="s">
        <v>24</v>
      </c>
      <c r="F1552" s="93" t="s">
        <v>399</v>
      </c>
      <c r="G1552" s="93" t="s">
        <v>7183</v>
      </c>
      <c r="H1552" s="93" t="s">
        <v>400</v>
      </c>
      <c r="I1552" s="93" t="s">
        <v>111</v>
      </c>
      <c r="J1552" s="93" t="s">
        <v>118</v>
      </c>
      <c r="K1552" s="93">
        <v>3</v>
      </c>
      <c r="L1552" s="93" t="s">
        <v>111</v>
      </c>
      <c r="M1552" s="93" t="s">
        <v>111</v>
      </c>
      <c r="N1552" s="93" t="s">
        <v>111</v>
      </c>
      <c r="O1552" s="93" t="s">
        <v>111</v>
      </c>
      <c r="P1552" s="93" t="s">
        <v>111</v>
      </c>
      <c r="Q1552" s="93" t="s">
        <v>111</v>
      </c>
      <c r="R1552" s="93" t="s">
        <v>228</v>
      </c>
      <c r="S1552" s="93" t="s">
        <v>2</v>
      </c>
      <c r="T1552" s="93" t="s">
        <v>115</v>
      </c>
      <c r="U1552" s="93" t="s">
        <v>116</v>
      </c>
      <c r="V1552" s="94">
        <v>44596.640972222223</v>
      </c>
      <c r="W1552" s="93" t="s">
        <v>402</v>
      </c>
      <c r="X1552" s="93" t="s">
        <v>24</v>
      </c>
    </row>
    <row r="1553" spans="1:24" hidden="1" x14ac:dyDescent="0.15">
      <c r="A1553" s="93" t="s">
        <v>790</v>
      </c>
      <c r="B1553" s="93" t="s">
        <v>791</v>
      </c>
      <c r="C1553" s="410">
        <v>90</v>
      </c>
      <c r="D1553" s="93" t="s">
        <v>24</v>
      </c>
      <c r="E1553" s="93" t="s">
        <v>24</v>
      </c>
      <c r="F1553" s="93" t="s">
        <v>399</v>
      </c>
      <c r="G1553" s="93" t="s">
        <v>7183</v>
      </c>
      <c r="H1553" s="93" t="s">
        <v>400</v>
      </c>
      <c r="I1553" s="93" t="s">
        <v>111</v>
      </c>
      <c r="J1553" s="93" t="s">
        <v>118</v>
      </c>
      <c r="K1553" s="93">
        <v>3</v>
      </c>
      <c r="L1553" s="93" t="s">
        <v>111</v>
      </c>
      <c r="M1553" s="93" t="s">
        <v>111</v>
      </c>
      <c r="N1553" s="93" t="s">
        <v>111</v>
      </c>
      <c r="O1553" s="93" t="s">
        <v>111</v>
      </c>
      <c r="P1553" s="93" t="s">
        <v>111</v>
      </c>
      <c r="Q1553" s="93" t="s">
        <v>111</v>
      </c>
      <c r="R1553" s="93" t="s">
        <v>228</v>
      </c>
      <c r="S1553" s="93" t="s">
        <v>2</v>
      </c>
      <c r="T1553" s="93" t="s">
        <v>115</v>
      </c>
      <c r="U1553" s="93" t="s">
        <v>116</v>
      </c>
      <c r="V1553" s="94">
        <v>44596.697916666664</v>
      </c>
      <c r="W1553" s="93" t="s">
        <v>402</v>
      </c>
      <c r="X1553" s="93" t="s">
        <v>24</v>
      </c>
    </row>
    <row r="1554" spans="1:24" hidden="1" x14ac:dyDescent="0.15">
      <c r="A1554" s="93" t="s">
        <v>792</v>
      </c>
      <c r="B1554" s="93" t="s">
        <v>793</v>
      </c>
      <c r="C1554" s="410">
        <v>60</v>
      </c>
      <c r="D1554" s="93" t="s">
        <v>24</v>
      </c>
      <c r="E1554" s="93" t="s">
        <v>24</v>
      </c>
      <c r="F1554" s="93" t="s">
        <v>399</v>
      </c>
      <c r="G1554" s="93" t="s">
        <v>7183</v>
      </c>
      <c r="H1554" s="93" t="s">
        <v>400</v>
      </c>
      <c r="I1554" s="93" t="s">
        <v>111</v>
      </c>
      <c r="J1554" s="93" t="s">
        <v>118</v>
      </c>
      <c r="K1554" s="93">
        <v>3</v>
      </c>
      <c r="L1554" s="93" t="s">
        <v>111</v>
      </c>
      <c r="M1554" s="93" t="s">
        <v>111</v>
      </c>
      <c r="N1554" s="93" t="s">
        <v>111</v>
      </c>
      <c r="O1554" s="93" t="s">
        <v>111</v>
      </c>
      <c r="P1554" s="93" t="s">
        <v>111</v>
      </c>
      <c r="Q1554" s="93" t="s">
        <v>111</v>
      </c>
      <c r="R1554" s="93" t="s">
        <v>228</v>
      </c>
      <c r="S1554" s="93" t="s">
        <v>2</v>
      </c>
      <c r="T1554" s="93" t="s">
        <v>115</v>
      </c>
      <c r="U1554" s="93" t="s">
        <v>116</v>
      </c>
      <c r="V1554" s="94">
        <v>44596.640972222223</v>
      </c>
      <c r="W1554" s="93" t="s">
        <v>402</v>
      </c>
      <c r="X1554" s="93" t="s">
        <v>24</v>
      </c>
    </row>
    <row r="1555" spans="1:24" hidden="1" x14ac:dyDescent="0.15">
      <c r="A1555" s="93" t="s">
        <v>794</v>
      </c>
      <c r="B1555" s="93" t="s">
        <v>795</v>
      </c>
      <c r="C1555" s="410">
        <v>225</v>
      </c>
      <c r="D1555" s="93" t="s">
        <v>24</v>
      </c>
      <c r="E1555" s="93" t="s">
        <v>24</v>
      </c>
      <c r="F1555" s="93" t="s">
        <v>399</v>
      </c>
      <c r="G1555" s="93" t="s">
        <v>7183</v>
      </c>
      <c r="H1555" s="93" t="s">
        <v>400</v>
      </c>
      <c r="I1555" s="93" t="s">
        <v>111</v>
      </c>
      <c r="J1555" s="93" t="s">
        <v>118</v>
      </c>
      <c r="K1555" s="93">
        <v>3</v>
      </c>
      <c r="L1555" s="93" t="s">
        <v>111</v>
      </c>
      <c r="M1555" s="93" t="s">
        <v>111</v>
      </c>
      <c r="N1555" s="93" t="s">
        <v>111</v>
      </c>
      <c r="O1555" s="93" t="s">
        <v>111</v>
      </c>
      <c r="P1555" s="93" t="s">
        <v>111</v>
      </c>
      <c r="Q1555" s="93" t="s">
        <v>111</v>
      </c>
      <c r="R1555" s="93" t="s">
        <v>228</v>
      </c>
      <c r="S1555" s="93" t="s">
        <v>2</v>
      </c>
      <c r="T1555" s="93" t="s">
        <v>115</v>
      </c>
      <c r="U1555" s="93" t="s">
        <v>116</v>
      </c>
      <c r="V1555" s="94">
        <v>44596.697916666664</v>
      </c>
      <c r="W1555" s="93" t="s">
        <v>402</v>
      </c>
      <c r="X1555" s="93" t="s">
        <v>24</v>
      </c>
    </row>
    <row r="1556" spans="1:24" hidden="1" x14ac:dyDescent="0.15">
      <c r="A1556" s="93" t="s">
        <v>796</v>
      </c>
      <c r="B1556" s="93" t="s">
        <v>797</v>
      </c>
      <c r="C1556" s="410">
        <v>202.5</v>
      </c>
      <c r="D1556" s="93" t="s">
        <v>24</v>
      </c>
      <c r="E1556" s="93" t="s">
        <v>24</v>
      </c>
      <c r="F1556" s="93" t="s">
        <v>399</v>
      </c>
      <c r="G1556" s="93" t="s">
        <v>7183</v>
      </c>
      <c r="H1556" s="93" t="s">
        <v>400</v>
      </c>
      <c r="I1556" s="93" t="s">
        <v>111</v>
      </c>
      <c r="J1556" s="93" t="s">
        <v>118</v>
      </c>
      <c r="K1556" s="93">
        <v>3</v>
      </c>
      <c r="L1556" s="93" t="s">
        <v>111</v>
      </c>
      <c r="M1556" s="93" t="s">
        <v>111</v>
      </c>
      <c r="N1556" s="93" t="s">
        <v>111</v>
      </c>
      <c r="O1556" s="93" t="s">
        <v>111</v>
      </c>
      <c r="P1556" s="93" t="s">
        <v>111</v>
      </c>
      <c r="Q1556" s="93" t="s">
        <v>111</v>
      </c>
      <c r="R1556" s="93" t="s">
        <v>228</v>
      </c>
      <c r="S1556" s="93" t="s">
        <v>2</v>
      </c>
      <c r="T1556" s="93" t="s">
        <v>115</v>
      </c>
      <c r="U1556" s="93" t="s">
        <v>116</v>
      </c>
      <c r="V1556" s="94">
        <v>44596.640972222223</v>
      </c>
      <c r="W1556" s="93" t="s">
        <v>402</v>
      </c>
      <c r="X1556" s="93" t="s">
        <v>24</v>
      </c>
    </row>
    <row r="1557" spans="1:24" hidden="1" x14ac:dyDescent="0.15">
      <c r="A1557" s="93" t="s">
        <v>798</v>
      </c>
      <c r="B1557" s="93" t="s">
        <v>799</v>
      </c>
      <c r="C1557" s="410">
        <v>191.25</v>
      </c>
      <c r="D1557" s="93" t="s">
        <v>24</v>
      </c>
      <c r="E1557" s="93" t="s">
        <v>24</v>
      </c>
      <c r="F1557" s="93" t="s">
        <v>399</v>
      </c>
      <c r="G1557" s="93" t="s">
        <v>7183</v>
      </c>
      <c r="H1557" s="93" t="s">
        <v>400</v>
      </c>
      <c r="I1557" s="93" t="s">
        <v>111</v>
      </c>
      <c r="J1557" s="93" t="s">
        <v>118</v>
      </c>
      <c r="K1557" s="93">
        <v>3</v>
      </c>
      <c r="L1557" s="93" t="s">
        <v>111</v>
      </c>
      <c r="M1557" s="93" t="s">
        <v>111</v>
      </c>
      <c r="N1557" s="93" t="s">
        <v>111</v>
      </c>
      <c r="O1557" s="93" t="s">
        <v>111</v>
      </c>
      <c r="P1557" s="93" t="s">
        <v>111</v>
      </c>
      <c r="Q1557" s="93" t="s">
        <v>111</v>
      </c>
      <c r="R1557" s="93" t="s">
        <v>228</v>
      </c>
      <c r="S1557" s="93" t="s">
        <v>2</v>
      </c>
      <c r="T1557" s="93" t="s">
        <v>115</v>
      </c>
      <c r="U1557" s="93" t="s">
        <v>116</v>
      </c>
      <c r="V1557" s="94">
        <v>44596.697916666664</v>
      </c>
      <c r="W1557" s="93" t="s">
        <v>402</v>
      </c>
      <c r="X1557" s="93" t="s">
        <v>24</v>
      </c>
    </row>
    <row r="1558" spans="1:24" hidden="1" x14ac:dyDescent="0.15">
      <c r="A1558" s="93" t="s">
        <v>800</v>
      </c>
      <c r="B1558" s="93" t="s">
        <v>801</v>
      </c>
      <c r="C1558" s="410">
        <v>168.75</v>
      </c>
      <c r="D1558" s="93" t="s">
        <v>24</v>
      </c>
      <c r="E1558" s="93" t="s">
        <v>24</v>
      </c>
      <c r="F1558" s="93" t="s">
        <v>399</v>
      </c>
      <c r="G1558" s="93" t="s">
        <v>7183</v>
      </c>
      <c r="H1558" s="93" t="s">
        <v>400</v>
      </c>
      <c r="I1558" s="93" t="s">
        <v>111</v>
      </c>
      <c r="J1558" s="93" t="s">
        <v>118</v>
      </c>
      <c r="K1558" s="93">
        <v>3</v>
      </c>
      <c r="L1558" s="93" t="s">
        <v>111</v>
      </c>
      <c r="M1558" s="93" t="s">
        <v>111</v>
      </c>
      <c r="N1558" s="93" t="s">
        <v>111</v>
      </c>
      <c r="O1558" s="93" t="s">
        <v>111</v>
      </c>
      <c r="P1558" s="93" t="s">
        <v>111</v>
      </c>
      <c r="Q1558" s="93" t="s">
        <v>111</v>
      </c>
      <c r="R1558" s="93" t="s">
        <v>228</v>
      </c>
      <c r="S1558" s="93" t="s">
        <v>2</v>
      </c>
      <c r="T1558" s="93" t="s">
        <v>115</v>
      </c>
      <c r="U1558" s="93" t="s">
        <v>116</v>
      </c>
      <c r="V1558" s="94">
        <v>44596.640972222223</v>
      </c>
      <c r="W1558" s="93" t="s">
        <v>402</v>
      </c>
      <c r="X1558" s="93" t="s">
        <v>24</v>
      </c>
    </row>
    <row r="1559" spans="1:24" hidden="1" x14ac:dyDescent="0.15">
      <c r="A1559" s="93" t="s">
        <v>802</v>
      </c>
      <c r="B1559" s="93" t="s">
        <v>803</v>
      </c>
      <c r="C1559" s="410">
        <v>112.5</v>
      </c>
      <c r="D1559" s="93" t="s">
        <v>24</v>
      </c>
      <c r="E1559" s="93" t="s">
        <v>24</v>
      </c>
      <c r="F1559" s="93" t="s">
        <v>399</v>
      </c>
      <c r="G1559" s="93" t="s">
        <v>7183</v>
      </c>
      <c r="H1559" s="93" t="s">
        <v>400</v>
      </c>
      <c r="I1559" s="93" t="s">
        <v>111</v>
      </c>
      <c r="J1559" s="93" t="s">
        <v>118</v>
      </c>
      <c r="K1559" s="93">
        <v>3</v>
      </c>
      <c r="L1559" s="93" t="s">
        <v>111</v>
      </c>
      <c r="M1559" s="93" t="s">
        <v>111</v>
      </c>
      <c r="N1559" s="93" t="s">
        <v>111</v>
      </c>
      <c r="O1559" s="93" t="s">
        <v>111</v>
      </c>
      <c r="P1559" s="93" t="s">
        <v>111</v>
      </c>
      <c r="Q1559" s="93" t="s">
        <v>111</v>
      </c>
      <c r="R1559" s="93" t="s">
        <v>228</v>
      </c>
      <c r="S1559" s="93" t="s">
        <v>2</v>
      </c>
      <c r="T1559" s="93" t="s">
        <v>115</v>
      </c>
      <c r="U1559" s="93" t="s">
        <v>116</v>
      </c>
      <c r="V1559" s="94">
        <v>44596.697916666664</v>
      </c>
      <c r="W1559" s="93" t="s">
        <v>402</v>
      </c>
      <c r="X1559" s="93" t="s">
        <v>24</v>
      </c>
    </row>
    <row r="1560" spans="1:24" hidden="1" x14ac:dyDescent="0.15">
      <c r="A1560" s="93" t="s">
        <v>125</v>
      </c>
      <c r="B1560" s="93" t="s">
        <v>201</v>
      </c>
      <c r="C1560" s="410">
        <v>19</v>
      </c>
      <c r="D1560" s="93" t="s">
        <v>24</v>
      </c>
      <c r="E1560" s="93" t="s">
        <v>24</v>
      </c>
      <c r="F1560" s="93" t="s">
        <v>126</v>
      </c>
      <c r="G1560" s="93" t="s">
        <v>7185</v>
      </c>
      <c r="H1560" s="93" t="s">
        <v>400</v>
      </c>
      <c r="I1560" s="93" t="s">
        <v>111</v>
      </c>
      <c r="J1560" s="93" t="s">
        <v>7105</v>
      </c>
      <c r="K1560" s="93" t="s">
        <v>111</v>
      </c>
      <c r="L1560" s="93" t="s">
        <v>111</v>
      </c>
      <c r="M1560" s="93" t="s">
        <v>111</v>
      </c>
      <c r="N1560" s="93" t="s">
        <v>111</v>
      </c>
      <c r="O1560" s="93" t="s">
        <v>111</v>
      </c>
      <c r="P1560" s="93" t="s">
        <v>111</v>
      </c>
      <c r="Q1560" s="93" t="s">
        <v>111</v>
      </c>
      <c r="R1560" s="93" t="s">
        <v>111</v>
      </c>
      <c r="S1560" s="93" t="s">
        <v>2</v>
      </c>
      <c r="T1560" s="93" t="s">
        <v>111</v>
      </c>
      <c r="U1560" s="93" t="s">
        <v>116</v>
      </c>
      <c r="V1560" s="94">
        <v>44610.177083333336</v>
      </c>
      <c r="W1560" s="93" t="s">
        <v>7072</v>
      </c>
      <c r="X1560" s="93" t="s">
        <v>24</v>
      </c>
    </row>
    <row r="1561" spans="1:24" hidden="1" x14ac:dyDescent="0.15">
      <c r="A1561" s="93" t="s">
        <v>127</v>
      </c>
      <c r="B1561" s="93" t="s">
        <v>204</v>
      </c>
      <c r="C1561" s="410">
        <v>95</v>
      </c>
      <c r="D1561" s="93" t="s">
        <v>24</v>
      </c>
      <c r="E1561" s="93" t="s">
        <v>24</v>
      </c>
      <c r="F1561" s="93" t="s">
        <v>126</v>
      </c>
      <c r="G1561" s="93" t="s">
        <v>7185</v>
      </c>
      <c r="H1561" s="93" t="s">
        <v>400</v>
      </c>
      <c r="I1561" s="93" t="s">
        <v>111</v>
      </c>
      <c r="J1561" s="93" t="s">
        <v>7105</v>
      </c>
      <c r="K1561" s="93" t="s">
        <v>111</v>
      </c>
      <c r="L1561" s="93" t="s">
        <v>111</v>
      </c>
      <c r="M1561" s="93" t="s">
        <v>111</v>
      </c>
      <c r="N1561" s="93" t="s">
        <v>111</v>
      </c>
      <c r="O1561" s="93" t="s">
        <v>111</v>
      </c>
      <c r="P1561" s="93" t="s">
        <v>111</v>
      </c>
      <c r="Q1561" s="93" t="s">
        <v>111</v>
      </c>
      <c r="R1561" s="93" t="s">
        <v>111</v>
      </c>
      <c r="S1561" s="93" t="s">
        <v>2</v>
      </c>
      <c r="T1561" s="93" t="s">
        <v>111</v>
      </c>
      <c r="U1561" s="93" t="s">
        <v>116</v>
      </c>
      <c r="V1561" s="94">
        <v>44610.186111111114</v>
      </c>
      <c r="W1561" s="93" t="s">
        <v>7072</v>
      </c>
      <c r="X1561" s="93" t="s">
        <v>24</v>
      </c>
    </row>
    <row r="1562" spans="1:24" hidden="1" x14ac:dyDescent="0.15">
      <c r="A1562" s="93" t="s">
        <v>128</v>
      </c>
      <c r="B1562" s="93" t="s">
        <v>207</v>
      </c>
      <c r="C1562" s="410">
        <v>30</v>
      </c>
      <c r="D1562" s="93" t="s">
        <v>24</v>
      </c>
      <c r="E1562" s="93" t="s">
        <v>24</v>
      </c>
      <c r="F1562" s="93" t="s">
        <v>126</v>
      </c>
      <c r="G1562" s="93" t="s">
        <v>7185</v>
      </c>
      <c r="H1562" s="93" t="s">
        <v>400</v>
      </c>
      <c r="I1562" s="93" t="s">
        <v>111</v>
      </c>
      <c r="J1562" s="93" t="s">
        <v>7105</v>
      </c>
      <c r="K1562" s="93" t="s">
        <v>111</v>
      </c>
      <c r="L1562" s="93" t="s">
        <v>111</v>
      </c>
      <c r="M1562" s="93" t="s">
        <v>111</v>
      </c>
      <c r="N1562" s="93" t="s">
        <v>111</v>
      </c>
      <c r="O1562" s="93" t="s">
        <v>111</v>
      </c>
      <c r="P1562" s="93" t="s">
        <v>111</v>
      </c>
      <c r="Q1562" s="93" t="s">
        <v>111</v>
      </c>
      <c r="R1562" s="93" t="s">
        <v>111</v>
      </c>
      <c r="S1562" s="93" t="s">
        <v>2</v>
      </c>
      <c r="T1562" s="93" t="s">
        <v>111</v>
      </c>
      <c r="U1562" s="93" t="s">
        <v>116</v>
      </c>
      <c r="V1562" s="94">
        <v>44610.160416666666</v>
      </c>
      <c r="W1562" s="93" t="s">
        <v>7072</v>
      </c>
      <c r="X1562" s="93" t="s">
        <v>24</v>
      </c>
    </row>
    <row r="1563" spans="1:24" hidden="1" x14ac:dyDescent="0.15">
      <c r="A1563" s="93" t="s">
        <v>129</v>
      </c>
      <c r="B1563" s="93" t="s">
        <v>210</v>
      </c>
      <c r="C1563" s="410">
        <v>56</v>
      </c>
      <c r="D1563" s="93" t="s">
        <v>24</v>
      </c>
      <c r="E1563" s="93" t="s">
        <v>24</v>
      </c>
      <c r="F1563" s="93" t="s">
        <v>126</v>
      </c>
      <c r="G1563" s="93" t="s">
        <v>7185</v>
      </c>
      <c r="H1563" s="93" t="s">
        <v>400</v>
      </c>
      <c r="I1563" s="93" t="s">
        <v>111</v>
      </c>
      <c r="J1563" s="93" t="s">
        <v>7105</v>
      </c>
      <c r="K1563" s="93" t="s">
        <v>111</v>
      </c>
      <c r="L1563" s="93" t="s">
        <v>111</v>
      </c>
      <c r="M1563" s="93" t="s">
        <v>111</v>
      </c>
      <c r="N1563" s="93" t="s">
        <v>111</v>
      </c>
      <c r="O1563" s="93" t="s">
        <v>111</v>
      </c>
      <c r="P1563" s="93" t="s">
        <v>111</v>
      </c>
      <c r="Q1563" s="93" t="s">
        <v>111</v>
      </c>
      <c r="R1563" s="93" t="s">
        <v>111</v>
      </c>
      <c r="S1563" s="93" t="s">
        <v>2</v>
      </c>
      <c r="T1563" s="93" t="s">
        <v>111</v>
      </c>
      <c r="U1563" s="93" t="s">
        <v>116</v>
      </c>
      <c r="V1563" s="94">
        <v>44610.208333333336</v>
      </c>
      <c r="W1563" s="93" t="s">
        <v>7072</v>
      </c>
      <c r="X1563" s="93" t="s">
        <v>24</v>
      </c>
    </row>
    <row r="1564" spans="1:24" hidden="1" x14ac:dyDescent="0.15">
      <c r="A1564" s="93" t="s">
        <v>130</v>
      </c>
      <c r="B1564" s="93" t="s">
        <v>213</v>
      </c>
      <c r="C1564" s="410">
        <v>69</v>
      </c>
      <c r="D1564" s="93" t="s">
        <v>24</v>
      </c>
      <c r="E1564" s="93" t="s">
        <v>24</v>
      </c>
      <c r="F1564" s="93" t="s">
        <v>126</v>
      </c>
      <c r="G1564" s="93" t="s">
        <v>7185</v>
      </c>
      <c r="H1564" s="93" t="s">
        <v>400</v>
      </c>
      <c r="I1564" s="93" t="s">
        <v>111</v>
      </c>
      <c r="J1564" s="93" t="s">
        <v>7105</v>
      </c>
      <c r="K1564" s="93" t="s">
        <v>111</v>
      </c>
      <c r="L1564" s="93" t="s">
        <v>111</v>
      </c>
      <c r="M1564" s="93" t="s">
        <v>111</v>
      </c>
      <c r="N1564" s="93" t="s">
        <v>111</v>
      </c>
      <c r="O1564" s="93" t="s">
        <v>111</v>
      </c>
      <c r="P1564" s="93" t="s">
        <v>111</v>
      </c>
      <c r="Q1564" s="93" t="s">
        <v>111</v>
      </c>
      <c r="R1564" s="93" t="s">
        <v>111</v>
      </c>
      <c r="S1564" s="93" t="s">
        <v>2</v>
      </c>
      <c r="T1564" s="93" t="s">
        <v>111</v>
      </c>
      <c r="U1564" s="93" t="s">
        <v>116</v>
      </c>
      <c r="V1564" s="94">
        <v>44610.208333333336</v>
      </c>
      <c r="W1564" s="93" t="s">
        <v>7072</v>
      </c>
      <c r="X1564" s="93" t="s">
        <v>24</v>
      </c>
    </row>
    <row r="1565" spans="1:24" hidden="1" x14ac:dyDescent="0.15">
      <c r="A1565" s="93" t="s">
        <v>7186</v>
      </c>
      <c r="B1565" s="93" t="s">
        <v>7187</v>
      </c>
      <c r="C1565" s="410">
        <v>32</v>
      </c>
      <c r="D1565" s="93" t="s">
        <v>24</v>
      </c>
      <c r="E1565" s="93" t="s">
        <v>24</v>
      </c>
      <c r="F1565" s="93" t="s">
        <v>126</v>
      </c>
      <c r="G1565" s="93" t="s">
        <v>7185</v>
      </c>
      <c r="H1565" s="93" t="s">
        <v>400</v>
      </c>
      <c r="I1565" s="93" t="s">
        <v>111</v>
      </c>
      <c r="J1565" s="93" t="s">
        <v>118</v>
      </c>
      <c r="K1565" s="93">
        <v>3</v>
      </c>
      <c r="L1565" s="93" t="s">
        <v>111</v>
      </c>
      <c r="M1565" s="93" t="s">
        <v>111</v>
      </c>
      <c r="N1565" s="93" t="s">
        <v>111</v>
      </c>
      <c r="O1565" s="93" t="s">
        <v>111</v>
      </c>
      <c r="P1565" s="93" t="s">
        <v>111</v>
      </c>
      <c r="Q1565" s="93" t="s">
        <v>111</v>
      </c>
      <c r="R1565" s="93" t="s">
        <v>228</v>
      </c>
      <c r="S1565" s="93" t="s">
        <v>2</v>
      </c>
      <c r="T1565" s="93" t="s">
        <v>115</v>
      </c>
      <c r="U1565" s="93" t="s">
        <v>116</v>
      </c>
      <c r="V1565" s="94">
        <v>44600.142361111109</v>
      </c>
      <c r="W1565" s="93" t="s">
        <v>402</v>
      </c>
      <c r="X1565" s="93" t="s">
        <v>24</v>
      </c>
    </row>
    <row r="1566" spans="1:24" hidden="1" x14ac:dyDescent="0.15">
      <c r="A1566" s="93" t="s">
        <v>131</v>
      </c>
      <c r="B1566" s="93" t="s">
        <v>216</v>
      </c>
      <c r="C1566" s="410">
        <v>61</v>
      </c>
      <c r="D1566" s="93" t="s">
        <v>24</v>
      </c>
      <c r="E1566" s="93" t="s">
        <v>24</v>
      </c>
      <c r="F1566" s="93" t="s">
        <v>126</v>
      </c>
      <c r="G1566" s="93" t="s">
        <v>7185</v>
      </c>
      <c r="H1566" s="93" t="s">
        <v>400</v>
      </c>
      <c r="I1566" s="93" t="s">
        <v>111</v>
      </c>
      <c r="J1566" s="93" t="s">
        <v>7105</v>
      </c>
      <c r="K1566" s="93" t="s">
        <v>111</v>
      </c>
      <c r="L1566" s="93" t="s">
        <v>111</v>
      </c>
      <c r="M1566" s="93" t="s">
        <v>111</v>
      </c>
      <c r="N1566" s="93" t="s">
        <v>111</v>
      </c>
      <c r="O1566" s="93" t="s">
        <v>111</v>
      </c>
      <c r="P1566" s="93" t="s">
        <v>111</v>
      </c>
      <c r="Q1566" s="93" t="s">
        <v>111</v>
      </c>
      <c r="R1566" s="93" t="s">
        <v>111</v>
      </c>
      <c r="S1566" s="93" t="s">
        <v>2</v>
      </c>
      <c r="T1566" s="93" t="s">
        <v>111</v>
      </c>
      <c r="U1566" s="93" t="s">
        <v>116</v>
      </c>
      <c r="V1566" s="94">
        <v>44610.169444444444</v>
      </c>
      <c r="W1566" s="93" t="s">
        <v>7072</v>
      </c>
      <c r="X1566" s="93" t="s">
        <v>24</v>
      </c>
    </row>
    <row r="1567" spans="1:24" hidden="1" x14ac:dyDescent="0.15">
      <c r="A1567" s="93" t="s">
        <v>132</v>
      </c>
      <c r="B1567" s="93" t="s">
        <v>804</v>
      </c>
      <c r="C1567" s="410">
        <v>49</v>
      </c>
      <c r="D1567" s="93" t="s">
        <v>24</v>
      </c>
      <c r="E1567" s="93" t="s">
        <v>24</v>
      </c>
      <c r="F1567" s="93" t="s">
        <v>126</v>
      </c>
      <c r="G1567" s="93" t="s">
        <v>7185</v>
      </c>
      <c r="H1567" s="93" t="s">
        <v>400</v>
      </c>
      <c r="I1567" s="93" t="s">
        <v>111</v>
      </c>
      <c r="J1567" s="93" t="s">
        <v>7105</v>
      </c>
      <c r="K1567" s="93" t="s">
        <v>111</v>
      </c>
      <c r="L1567" s="93" t="s">
        <v>111</v>
      </c>
      <c r="M1567" s="93" t="s">
        <v>111</v>
      </c>
      <c r="N1567" s="93" t="s">
        <v>111</v>
      </c>
      <c r="O1567" s="93" t="s">
        <v>111</v>
      </c>
      <c r="P1567" s="93" t="s">
        <v>111</v>
      </c>
      <c r="Q1567" s="93" t="s">
        <v>111</v>
      </c>
      <c r="R1567" s="93" t="s">
        <v>111</v>
      </c>
      <c r="S1567" s="93" t="s">
        <v>2</v>
      </c>
      <c r="T1567" s="93" t="s">
        <v>111</v>
      </c>
      <c r="U1567" s="93" t="s">
        <v>116</v>
      </c>
      <c r="V1567" s="94">
        <v>44610.138194444444</v>
      </c>
      <c r="W1567" s="93" t="s">
        <v>7072</v>
      </c>
      <c r="X1567" s="93" t="s">
        <v>24</v>
      </c>
    </row>
    <row r="1568" spans="1:24" hidden="1" x14ac:dyDescent="0.15">
      <c r="A1568" s="93" t="s">
        <v>133</v>
      </c>
      <c r="B1568" s="93" t="s">
        <v>805</v>
      </c>
      <c r="C1568" s="410">
        <v>98</v>
      </c>
      <c r="D1568" s="93" t="s">
        <v>24</v>
      </c>
      <c r="E1568" s="93" t="s">
        <v>24</v>
      </c>
      <c r="F1568" s="93" t="s">
        <v>126</v>
      </c>
      <c r="G1568" s="93" t="s">
        <v>7185</v>
      </c>
      <c r="H1568" s="93" t="s">
        <v>400</v>
      </c>
      <c r="I1568" s="93" t="s">
        <v>111</v>
      </c>
      <c r="J1568" s="93" t="s">
        <v>7105</v>
      </c>
      <c r="K1568" s="93" t="s">
        <v>111</v>
      </c>
      <c r="L1568" s="93" t="s">
        <v>111</v>
      </c>
      <c r="M1568" s="93" t="s">
        <v>111</v>
      </c>
      <c r="N1568" s="93" t="s">
        <v>111</v>
      </c>
      <c r="O1568" s="93" t="s">
        <v>111</v>
      </c>
      <c r="P1568" s="93" t="s">
        <v>111</v>
      </c>
      <c r="Q1568" s="93" t="s">
        <v>111</v>
      </c>
      <c r="R1568" s="93" t="s">
        <v>111</v>
      </c>
      <c r="S1568" s="93" t="s">
        <v>2</v>
      </c>
      <c r="T1568" s="93" t="s">
        <v>111</v>
      </c>
      <c r="U1568" s="93" t="s">
        <v>116</v>
      </c>
      <c r="V1568" s="94">
        <v>44610.168055555558</v>
      </c>
      <c r="W1568" s="93" t="s">
        <v>7072</v>
      </c>
      <c r="X1568" s="93" t="s">
        <v>24</v>
      </c>
    </row>
    <row r="1569" spans="1:24" hidden="1" x14ac:dyDescent="0.15">
      <c r="A1569" s="93" t="s">
        <v>134</v>
      </c>
      <c r="B1569" s="93" t="s">
        <v>806</v>
      </c>
      <c r="C1569" s="410">
        <v>114</v>
      </c>
      <c r="D1569" s="93" t="s">
        <v>24</v>
      </c>
      <c r="E1569" s="93" t="s">
        <v>24</v>
      </c>
      <c r="F1569" s="93" t="s">
        <v>126</v>
      </c>
      <c r="G1569" s="93" t="s">
        <v>7185</v>
      </c>
      <c r="H1569" s="93" t="s">
        <v>400</v>
      </c>
      <c r="I1569" s="93" t="s">
        <v>111</v>
      </c>
      <c r="J1569" s="93" t="s">
        <v>7105</v>
      </c>
      <c r="K1569" s="93" t="s">
        <v>111</v>
      </c>
      <c r="L1569" s="93" t="s">
        <v>111</v>
      </c>
      <c r="M1569" s="93" t="s">
        <v>111</v>
      </c>
      <c r="N1569" s="93" t="s">
        <v>111</v>
      </c>
      <c r="O1569" s="93" t="s">
        <v>111</v>
      </c>
      <c r="P1569" s="93" t="s">
        <v>111</v>
      </c>
      <c r="Q1569" s="93" t="s">
        <v>111</v>
      </c>
      <c r="R1569" s="93" t="s">
        <v>111</v>
      </c>
      <c r="S1569" s="93" t="s">
        <v>2</v>
      </c>
      <c r="T1569" s="93" t="s">
        <v>111</v>
      </c>
      <c r="U1569" s="93" t="s">
        <v>116</v>
      </c>
      <c r="V1569" s="94">
        <v>44610.191666666666</v>
      </c>
      <c r="W1569" s="93" t="s">
        <v>7072</v>
      </c>
      <c r="X1569" s="93" t="s">
        <v>24</v>
      </c>
    </row>
    <row r="1570" spans="1:24" hidden="1" x14ac:dyDescent="0.15">
      <c r="A1570" s="93" t="s">
        <v>135</v>
      </c>
      <c r="B1570" s="93" t="s">
        <v>807</v>
      </c>
      <c r="C1570" s="410">
        <v>7</v>
      </c>
      <c r="D1570" s="93" t="s">
        <v>24</v>
      </c>
      <c r="E1570" s="93" t="s">
        <v>24</v>
      </c>
      <c r="F1570" s="93" t="s">
        <v>126</v>
      </c>
      <c r="G1570" s="93" t="s">
        <v>7185</v>
      </c>
      <c r="H1570" s="93" t="s">
        <v>400</v>
      </c>
      <c r="I1570" s="93" t="s">
        <v>111</v>
      </c>
      <c r="J1570" s="93" t="s">
        <v>7105</v>
      </c>
      <c r="K1570" s="93" t="s">
        <v>111</v>
      </c>
      <c r="L1570" s="93" t="s">
        <v>111</v>
      </c>
      <c r="M1570" s="93" t="s">
        <v>111</v>
      </c>
      <c r="N1570" s="93" t="s">
        <v>111</v>
      </c>
      <c r="O1570" s="93" t="s">
        <v>111</v>
      </c>
      <c r="P1570" s="93" t="s">
        <v>111</v>
      </c>
      <c r="Q1570" s="93" t="s">
        <v>111</v>
      </c>
      <c r="R1570" s="93" t="s">
        <v>111</v>
      </c>
      <c r="S1570" s="93" t="s">
        <v>2</v>
      </c>
      <c r="T1570" s="93" t="s">
        <v>111</v>
      </c>
      <c r="U1570" s="93" t="s">
        <v>116</v>
      </c>
      <c r="V1570" s="94">
        <v>44610.176388888889</v>
      </c>
      <c r="W1570" s="93" t="s">
        <v>7072</v>
      </c>
      <c r="X1570" s="93" t="s">
        <v>24</v>
      </c>
    </row>
    <row r="1571" spans="1:24" hidden="1" x14ac:dyDescent="0.15">
      <c r="A1571" s="93" t="s">
        <v>136</v>
      </c>
      <c r="B1571" s="93" t="s">
        <v>808</v>
      </c>
      <c r="C1571" s="410">
        <v>16</v>
      </c>
      <c r="D1571" s="93" t="s">
        <v>24</v>
      </c>
      <c r="E1571" s="93" t="s">
        <v>24</v>
      </c>
      <c r="F1571" s="93" t="s">
        <v>126</v>
      </c>
      <c r="G1571" s="93" t="s">
        <v>7185</v>
      </c>
      <c r="H1571" s="93" t="s">
        <v>400</v>
      </c>
      <c r="I1571" s="93" t="s">
        <v>111</v>
      </c>
      <c r="J1571" s="93" t="s">
        <v>7105</v>
      </c>
      <c r="K1571" s="93" t="s">
        <v>111</v>
      </c>
      <c r="L1571" s="93" t="s">
        <v>111</v>
      </c>
      <c r="M1571" s="93" t="s">
        <v>111</v>
      </c>
      <c r="N1571" s="93" t="s">
        <v>111</v>
      </c>
      <c r="O1571" s="93" t="s">
        <v>111</v>
      </c>
      <c r="P1571" s="93" t="s">
        <v>111</v>
      </c>
      <c r="Q1571" s="93" t="s">
        <v>111</v>
      </c>
      <c r="R1571" s="93" t="s">
        <v>111</v>
      </c>
      <c r="S1571" s="93" t="s">
        <v>2</v>
      </c>
      <c r="T1571" s="93" t="s">
        <v>111</v>
      </c>
      <c r="U1571" s="93" t="s">
        <v>116</v>
      </c>
      <c r="V1571" s="94">
        <v>44610.177083333336</v>
      </c>
      <c r="W1571" s="93" t="s">
        <v>7072</v>
      </c>
      <c r="X1571" s="93" t="s">
        <v>24</v>
      </c>
    </row>
    <row r="1572" spans="1:24" hidden="1" x14ac:dyDescent="0.15">
      <c r="A1572" s="93" t="s">
        <v>137</v>
      </c>
      <c r="B1572" s="93" t="s">
        <v>811</v>
      </c>
      <c r="C1572" s="410">
        <v>65</v>
      </c>
      <c r="D1572" s="93" t="s">
        <v>24</v>
      </c>
      <c r="E1572" s="93" t="s">
        <v>24</v>
      </c>
      <c r="F1572" s="93" t="s">
        <v>126</v>
      </c>
      <c r="G1572" s="93" t="s">
        <v>7185</v>
      </c>
      <c r="H1572" s="93" t="s">
        <v>400</v>
      </c>
      <c r="I1572" s="93" t="s">
        <v>111</v>
      </c>
      <c r="J1572" s="93" t="s">
        <v>7105</v>
      </c>
      <c r="K1572" s="93" t="s">
        <v>111</v>
      </c>
      <c r="L1572" s="93" t="s">
        <v>111</v>
      </c>
      <c r="M1572" s="93" t="s">
        <v>111</v>
      </c>
      <c r="N1572" s="93" t="s">
        <v>111</v>
      </c>
      <c r="O1572" s="93" t="s">
        <v>111</v>
      </c>
      <c r="P1572" s="93" t="s">
        <v>111</v>
      </c>
      <c r="Q1572" s="93" t="s">
        <v>111</v>
      </c>
      <c r="R1572" s="93" t="s">
        <v>111</v>
      </c>
      <c r="S1572" s="93" t="s">
        <v>2</v>
      </c>
      <c r="T1572" s="93" t="s">
        <v>111</v>
      </c>
      <c r="U1572" s="93" t="s">
        <v>116</v>
      </c>
      <c r="V1572" s="94">
        <v>44610.176388888889</v>
      </c>
      <c r="W1572" s="93" t="s">
        <v>7072</v>
      </c>
      <c r="X1572" s="93" t="s">
        <v>24</v>
      </c>
    </row>
    <row r="1573" spans="1:24" hidden="1" x14ac:dyDescent="0.15">
      <c r="A1573" s="93" t="s">
        <v>138</v>
      </c>
      <c r="B1573" s="93" t="s">
        <v>812</v>
      </c>
      <c r="C1573" s="410">
        <v>111</v>
      </c>
      <c r="D1573" s="93" t="s">
        <v>24</v>
      </c>
      <c r="E1573" s="93" t="s">
        <v>24</v>
      </c>
      <c r="F1573" s="93" t="s">
        <v>126</v>
      </c>
      <c r="G1573" s="93" t="s">
        <v>7185</v>
      </c>
      <c r="H1573" s="93" t="s">
        <v>400</v>
      </c>
      <c r="I1573" s="93" t="s">
        <v>111</v>
      </c>
      <c r="J1573" s="93" t="s">
        <v>7105</v>
      </c>
      <c r="K1573" s="93" t="s">
        <v>111</v>
      </c>
      <c r="L1573" s="93" t="s">
        <v>111</v>
      </c>
      <c r="M1573" s="93" t="s">
        <v>111</v>
      </c>
      <c r="N1573" s="93" t="s">
        <v>111</v>
      </c>
      <c r="O1573" s="93" t="s">
        <v>111</v>
      </c>
      <c r="P1573" s="93" t="s">
        <v>111</v>
      </c>
      <c r="Q1573" s="93" t="s">
        <v>111</v>
      </c>
      <c r="R1573" s="93" t="s">
        <v>111</v>
      </c>
      <c r="S1573" s="93" t="s">
        <v>2</v>
      </c>
      <c r="T1573" s="93" t="s">
        <v>111</v>
      </c>
      <c r="U1573" s="93" t="s">
        <v>116</v>
      </c>
      <c r="V1573" s="94">
        <v>44610.208333333336</v>
      </c>
      <c r="W1573" s="93" t="s">
        <v>7072</v>
      </c>
      <c r="X1573" s="93" t="s">
        <v>24</v>
      </c>
    </row>
    <row r="1574" spans="1:24" hidden="1" x14ac:dyDescent="0.15">
      <c r="A1574" s="93" t="s">
        <v>139</v>
      </c>
      <c r="B1574" s="93" t="s">
        <v>813</v>
      </c>
      <c r="C1574" s="410">
        <v>114</v>
      </c>
      <c r="D1574" s="93" t="s">
        <v>24</v>
      </c>
      <c r="E1574" s="93" t="s">
        <v>24</v>
      </c>
      <c r="F1574" s="93" t="s">
        <v>126</v>
      </c>
      <c r="G1574" s="93" t="s">
        <v>7185</v>
      </c>
      <c r="H1574" s="93" t="s">
        <v>400</v>
      </c>
      <c r="I1574" s="93" t="s">
        <v>111</v>
      </c>
      <c r="J1574" s="93" t="s">
        <v>7105</v>
      </c>
      <c r="K1574" s="93" t="s">
        <v>111</v>
      </c>
      <c r="L1574" s="93" t="s">
        <v>111</v>
      </c>
      <c r="M1574" s="93" t="s">
        <v>111</v>
      </c>
      <c r="N1574" s="93" t="s">
        <v>111</v>
      </c>
      <c r="O1574" s="93" t="s">
        <v>111</v>
      </c>
      <c r="P1574" s="93" t="s">
        <v>111</v>
      </c>
      <c r="Q1574" s="93" t="s">
        <v>111</v>
      </c>
      <c r="R1574" s="93" t="s">
        <v>111</v>
      </c>
      <c r="S1574" s="93" t="s">
        <v>2</v>
      </c>
      <c r="T1574" s="93" t="s">
        <v>111</v>
      </c>
      <c r="U1574" s="93" t="s">
        <v>116</v>
      </c>
      <c r="V1574" s="94">
        <v>44610.176388888889</v>
      </c>
      <c r="W1574" s="93" t="s">
        <v>7072</v>
      </c>
      <c r="X1574" s="93" t="s">
        <v>24</v>
      </c>
    </row>
    <row r="1575" spans="1:24" hidden="1" x14ac:dyDescent="0.15">
      <c r="A1575" s="93" t="s">
        <v>140</v>
      </c>
      <c r="B1575" s="93" t="s">
        <v>220</v>
      </c>
      <c r="C1575" s="410">
        <v>17</v>
      </c>
      <c r="D1575" s="93" t="s">
        <v>24</v>
      </c>
      <c r="E1575" s="93" t="s">
        <v>24</v>
      </c>
      <c r="F1575" s="93" t="s">
        <v>126</v>
      </c>
      <c r="G1575" s="93" t="s">
        <v>7185</v>
      </c>
      <c r="H1575" s="93" t="s">
        <v>400</v>
      </c>
      <c r="I1575" s="93" t="s">
        <v>111</v>
      </c>
      <c r="J1575" s="93" t="s">
        <v>118</v>
      </c>
      <c r="K1575" s="93">
        <v>3</v>
      </c>
      <c r="L1575" s="93" t="s">
        <v>111</v>
      </c>
      <c r="M1575" s="93" t="s">
        <v>111</v>
      </c>
      <c r="N1575" s="93" t="s">
        <v>111</v>
      </c>
      <c r="O1575" s="93" t="s">
        <v>111</v>
      </c>
      <c r="P1575" s="93" t="s">
        <v>111</v>
      </c>
      <c r="Q1575" s="93" t="s">
        <v>111</v>
      </c>
      <c r="R1575" s="93" t="s">
        <v>111</v>
      </c>
      <c r="S1575" s="93" t="s">
        <v>2</v>
      </c>
      <c r="T1575" s="93" t="s">
        <v>111</v>
      </c>
      <c r="U1575" s="93" t="s">
        <v>116</v>
      </c>
      <c r="V1575" s="94">
        <v>44610.191666666666</v>
      </c>
      <c r="W1575" s="93" t="s">
        <v>7072</v>
      </c>
      <c r="X1575" s="93" t="s">
        <v>24</v>
      </c>
    </row>
    <row r="1576" spans="1:24" hidden="1" x14ac:dyDescent="0.15">
      <c r="A1576" s="93" t="s">
        <v>141</v>
      </c>
      <c r="B1576" s="93" t="s">
        <v>814</v>
      </c>
      <c r="C1576" s="410">
        <v>128</v>
      </c>
      <c r="D1576" s="93" t="s">
        <v>24</v>
      </c>
      <c r="E1576" s="93" t="s">
        <v>24</v>
      </c>
      <c r="F1576" s="93" t="s">
        <v>126</v>
      </c>
      <c r="G1576" s="93" t="s">
        <v>7185</v>
      </c>
      <c r="H1576" s="93" t="s">
        <v>400</v>
      </c>
      <c r="I1576" s="93" t="s">
        <v>111</v>
      </c>
      <c r="J1576" s="93" t="s">
        <v>7105</v>
      </c>
      <c r="K1576" s="93" t="s">
        <v>111</v>
      </c>
      <c r="L1576" s="93" t="s">
        <v>111</v>
      </c>
      <c r="M1576" s="93" t="s">
        <v>111</v>
      </c>
      <c r="N1576" s="93" t="s">
        <v>111</v>
      </c>
      <c r="O1576" s="93" t="s">
        <v>111</v>
      </c>
      <c r="P1576" s="93" t="s">
        <v>111</v>
      </c>
      <c r="Q1576" s="93" t="s">
        <v>111</v>
      </c>
      <c r="R1576" s="93" t="s">
        <v>111</v>
      </c>
      <c r="S1576" s="93" t="s">
        <v>2</v>
      </c>
      <c r="T1576" s="93" t="s">
        <v>111</v>
      </c>
      <c r="U1576" s="93" t="s">
        <v>116</v>
      </c>
      <c r="V1576" s="94">
        <v>44610.138194444444</v>
      </c>
      <c r="W1576" s="93" t="s">
        <v>7072</v>
      </c>
      <c r="X1576" s="93" t="s">
        <v>24</v>
      </c>
    </row>
    <row r="1577" spans="1:24" hidden="1" x14ac:dyDescent="0.15">
      <c r="A1577" s="93" t="s">
        <v>142</v>
      </c>
      <c r="B1577" s="93" t="s">
        <v>815</v>
      </c>
      <c r="C1577" s="410">
        <v>216</v>
      </c>
      <c r="D1577" s="93" t="s">
        <v>24</v>
      </c>
      <c r="E1577" s="93" t="s">
        <v>24</v>
      </c>
      <c r="F1577" s="93" t="s">
        <v>126</v>
      </c>
      <c r="G1577" s="93" t="s">
        <v>7185</v>
      </c>
      <c r="H1577" s="93" t="s">
        <v>400</v>
      </c>
      <c r="I1577" s="93" t="s">
        <v>111</v>
      </c>
      <c r="J1577" s="93" t="s">
        <v>7105</v>
      </c>
      <c r="K1577" s="93" t="s">
        <v>111</v>
      </c>
      <c r="L1577" s="93" t="s">
        <v>111</v>
      </c>
      <c r="M1577" s="93" t="s">
        <v>111</v>
      </c>
      <c r="N1577" s="93" t="s">
        <v>111</v>
      </c>
      <c r="O1577" s="93" t="s">
        <v>111</v>
      </c>
      <c r="P1577" s="93" t="s">
        <v>111</v>
      </c>
      <c r="Q1577" s="93" t="s">
        <v>111</v>
      </c>
      <c r="R1577" s="93" t="s">
        <v>111</v>
      </c>
      <c r="S1577" s="93" t="s">
        <v>2</v>
      </c>
      <c r="T1577" s="93" t="s">
        <v>111</v>
      </c>
      <c r="U1577" s="93" t="s">
        <v>116</v>
      </c>
      <c r="V1577" s="94">
        <v>44610.151388888888</v>
      </c>
      <c r="W1577" s="93" t="s">
        <v>7072</v>
      </c>
      <c r="X1577" s="93" t="s">
        <v>24</v>
      </c>
    </row>
    <row r="1578" spans="1:24" hidden="1" x14ac:dyDescent="0.15">
      <c r="A1578" s="93" t="s">
        <v>143</v>
      </c>
      <c r="B1578" s="93" t="s">
        <v>816</v>
      </c>
      <c r="C1578" s="410">
        <v>52</v>
      </c>
      <c r="D1578" s="93" t="s">
        <v>24</v>
      </c>
      <c r="E1578" s="93" t="s">
        <v>24</v>
      </c>
      <c r="F1578" s="93" t="s">
        <v>126</v>
      </c>
      <c r="G1578" s="93" t="s">
        <v>7185</v>
      </c>
      <c r="H1578" s="93" t="s">
        <v>400</v>
      </c>
      <c r="I1578" s="93" t="s">
        <v>111</v>
      </c>
      <c r="J1578" s="93" t="s">
        <v>7105</v>
      </c>
      <c r="K1578" s="93" t="s">
        <v>111</v>
      </c>
      <c r="L1578" s="93" t="s">
        <v>111</v>
      </c>
      <c r="M1578" s="93" t="s">
        <v>111</v>
      </c>
      <c r="N1578" s="93" t="s">
        <v>111</v>
      </c>
      <c r="O1578" s="93" t="s">
        <v>111</v>
      </c>
      <c r="P1578" s="93" t="s">
        <v>111</v>
      </c>
      <c r="Q1578" s="93" t="s">
        <v>111</v>
      </c>
      <c r="R1578" s="93" t="s">
        <v>111</v>
      </c>
      <c r="S1578" s="93" t="s">
        <v>2</v>
      </c>
      <c r="T1578" s="93" t="s">
        <v>111</v>
      </c>
      <c r="U1578" s="93" t="s">
        <v>116</v>
      </c>
      <c r="V1578" s="94">
        <v>44610.151388888888</v>
      </c>
      <c r="W1578" s="93" t="s">
        <v>7072</v>
      </c>
      <c r="X1578" s="93" t="s">
        <v>24</v>
      </c>
    </row>
    <row r="1579" spans="1:24" hidden="1" x14ac:dyDescent="0.15">
      <c r="A1579" s="93" t="s">
        <v>144</v>
      </c>
      <c r="B1579" s="93" t="s">
        <v>817</v>
      </c>
      <c r="C1579" s="410">
        <v>37</v>
      </c>
      <c r="D1579" s="93" t="s">
        <v>24</v>
      </c>
      <c r="E1579" s="93" t="s">
        <v>24</v>
      </c>
      <c r="F1579" s="93" t="s">
        <v>126</v>
      </c>
      <c r="G1579" s="93" t="s">
        <v>7185</v>
      </c>
      <c r="H1579" s="93" t="s">
        <v>400</v>
      </c>
      <c r="I1579" s="93" t="s">
        <v>111</v>
      </c>
      <c r="J1579" s="93" t="s">
        <v>7105</v>
      </c>
      <c r="K1579" s="93" t="s">
        <v>111</v>
      </c>
      <c r="L1579" s="93" t="s">
        <v>111</v>
      </c>
      <c r="M1579" s="93" t="s">
        <v>111</v>
      </c>
      <c r="N1579" s="93" t="s">
        <v>111</v>
      </c>
      <c r="O1579" s="93" t="s">
        <v>111</v>
      </c>
      <c r="P1579" s="93" t="s">
        <v>111</v>
      </c>
      <c r="Q1579" s="93" t="s">
        <v>111</v>
      </c>
      <c r="R1579" s="93" t="s">
        <v>111</v>
      </c>
      <c r="S1579" s="93" t="s">
        <v>2</v>
      </c>
      <c r="T1579" s="93" t="s">
        <v>111</v>
      </c>
      <c r="U1579" s="93" t="s">
        <v>116</v>
      </c>
      <c r="V1579" s="94">
        <v>44610.191666666666</v>
      </c>
      <c r="W1579" s="93" t="s">
        <v>7072</v>
      </c>
      <c r="X1579" s="93" t="s">
        <v>24</v>
      </c>
    </row>
    <row r="1580" spans="1:24" hidden="1" x14ac:dyDescent="0.15">
      <c r="A1580" s="93" t="s">
        <v>145</v>
      </c>
      <c r="B1580" s="93" t="s">
        <v>818</v>
      </c>
      <c r="C1580" s="410">
        <v>210</v>
      </c>
      <c r="D1580" s="93" t="s">
        <v>24</v>
      </c>
      <c r="E1580" s="93" t="s">
        <v>24</v>
      </c>
      <c r="F1580" s="93" t="s">
        <v>126</v>
      </c>
      <c r="G1580" s="93" t="s">
        <v>7185</v>
      </c>
      <c r="H1580" s="93" t="s">
        <v>400</v>
      </c>
      <c r="I1580" s="93" t="s">
        <v>111</v>
      </c>
      <c r="J1580" s="93" t="s">
        <v>7105</v>
      </c>
      <c r="K1580" s="93" t="s">
        <v>111</v>
      </c>
      <c r="L1580" s="93" t="s">
        <v>111</v>
      </c>
      <c r="M1580" s="93" t="s">
        <v>111</v>
      </c>
      <c r="N1580" s="93" t="s">
        <v>111</v>
      </c>
      <c r="O1580" s="93" t="s">
        <v>111</v>
      </c>
      <c r="P1580" s="93" t="s">
        <v>111</v>
      </c>
      <c r="Q1580" s="93" t="s">
        <v>111</v>
      </c>
      <c r="R1580" s="93" t="s">
        <v>111</v>
      </c>
      <c r="S1580" s="93" t="s">
        <v>2</v>
      </c>
      <c r="T1580" s="93" t="s">
        <v>111</v>
      </c>
      <c r="U1580" s="93" t="s">
        <v>116</v>
      </c>
      <c r="V1580" s="94">
        <v>44610.185416666667</v>
      </c>
      <c r="W1580" s="93" t="s">
        <v>7072</v>
      </c>
      <c r="X1580" s="93" t="s">
        <v>24</v>
      </c>
    </row>
    <row r="1581" spans="1:24" hidden="1" x14ac:dyDescent="0.15">
      <c r="A1581" s="93" t="s">
        <v>7188</v>
      </c>
      <c r="B1581" s="93" t="s">
        <v>7189</v>
      </c>
      <c r="C1581" s="410">
        <v>563</v>
      </c>
      <c r="D1581" s="93" t="s">
        <v>24</v>
      </c>
      <c r="E1581" s="93" t="s">
        <v>24</v>
      </c>
      <c r="F1581" s="93" t="s">
        <v>399</v>
      </c>
      <c r="G1581" s="93" t="s">
        <v>7185</v>
      </c>
      <c r="H1581" s="93" t="s">
        <v>400</v>
      </c>
      <c r="I1581" s="93" t="s">
        <v>111</v>
      </c>
      <c r="J1581" s="93" t="s">
        <v>7105</v>
      </c>
      <c r="K1581" s="93" t="s">
        <v>111</v>
      </c>
      <c r="L1581" s="93" t="s">
        <v>111</v>
      </c>
      <c r="M1581" s="93" t="s">
        <v>111</v>
      </c>
      <c r="N1581" s="93" t="s">
        <v>111</v>
      </c>
      <c r="O1581" s="93" t="s">
        <v>111</v>
      </c>
      <c r="P1581" s="93" t="s">
        <v>111</v>
      </c>
      <c r="Q1581" s="93" t="s">
        <v>111</v>
      </c>
      <c r="R1581" s="93" t="s">
        <v>228</v>
      </c>
      <c r="S1581" s="93" t="s">
        <v>111</v>
      </c>
      <c r="T1581" s="93" t="s">
        <v>115</v>
      </c>
      <c r="U1581" s="93" t="s">
        <v>116</v>
      </c>
      <c r="V1581" s="94">
        <v>44610.200694444444</v>
      </c>
      <c r="W1581" s="93" t="s">
        <v>7072</v>
      </c>
      <c r="X1581" s="93" t="s">
        <v>24</v>
      </c>
    </row>
    <row r="1582" spans="1:24" hidden="1" x14ac:dyDescent="0.15">
      <c r="A1582" s="93" t="s">
        <v>7190</v>
      </c>
      <c r="B1582" s="93" t="s">
        <v>7191</v>
      </c>
      <c r="C1582" s="410">
        <v>1436</v>
      </c>
      <c r="D1582" s="93" t="s">
        <v>24</v>
      </c>
      <c r="E1582" s="93" t="s">
        <v>24</v>
      </c>
      <c r="F1582" s="93" t="s">
        <v>399</v>
      </c>
      <c r="G1582" s="93" t="s">
        <v>7185</v>
      </c>
      <c r="H1582" s="93" t="s">
        <v>400</v>
      </c>
      <c r="I1582" s="93" t="s">
        <v>111</v>
      </c>
      <c r="J1582" s="93" t="s">
        <v>7105</v>
      </c>
      <c r="K1582" s="93" t="s">
        <v>111</v>
      </c>
      <c r="L1582" s="93" t="s">
        <v>111</v>
      </c>
      <c r="M1582" s="93" t="s">
        <v>111</v>
      </c>
      <c r="N1582" s="93" t="s">
        <v>111</v>
      </c>
      <c r="O1582" s="93" t="s">
        <v>111</v>
      </c>
      <c r="P1582" s="93" t="s">
        <v>111</v>
      </c>
      <c r="Q1582" s="93" t="s">
        <v>111</v>
      </c>
      <c r="R1582" s="93" t="s">
        <v>228</v>
      </c>
      <c r="S1582" s="93" t="s">
        <v>111</v>
      </c>
      <c r="T1582" s="93" t="s">
        <v>115</v>
      </c>
      <c r="U1582" s="93" t="s">
        <v>116</v>
      </c>
      <c r="V1582" s="94">
        <v>44610.161805555559</v>
      </c>
      <c r="W1582" s="93" t="s">
        <v>7072</v>
      </c>
      <c r="X1582" s="93" t="s">
        <v>24</v>
      </c>
    </row>
    <row r="1583" spans="1:24" hidden="1" x14ac:dyDescent="0.15">
      <c r="A1583" s="93" t="s">
        <v>7192</v>
      </c>
      <c r="B1583" s="93" t="s">
        <v>7193</v>
      </c>
      <c r="C1583" s="410">
        <v>2252</v>
      </c>
      <c r="D1583" s="93" t="s">
        <v>24</v>
      </c>
      <c r="E1583" s="93" t="s">
        <v>24</v>
      </c>
      <c r="F1583" s="93" t="s">
        <v>399</v>
      </c>
      <c r="G1583" s="93" t="s">
        <v>7185</v>
      </c>
      <c r="H1583" s="93" t="s">
        <v>400</v>
      </c>
      <c r="I1583" s="93" t="s">
        <v>111</v>
      </c>
      <c r="J1583" s="93" t="s">
        <v>7105</v>
      </c>
      <c r="K1583" s="93" t="s">
        <v>111</v>
      </c>
      <c r="L1583" s="93" t="s">
        <v>111</v>
      </c>
      <c r="M1583" s="93" t="s">
        <v>111</v>
      </c>
      <c r="N1583" s="93" t="s">
        <v>111</v>
      </c>
      <c r="O1583" s="93" t="s">
        <v>111</v>
      </c>
      <c r="P1583" s="93" t="s">
        <v>111</v>
      </c>
      <c r="Q1583" s="93" t="s">
        <v>111</v>
      </c>
      <c r="R1583" s="93" t="s">
        <v>228</v>
      </c>
      <c r="S1583" s="93" t="s">
        <v>111</v>
      </c>
      <c r="T1583" s="93" t="s">
        <v>115</v>
      </c>
      <c r="U1583" s="93" t="s">
        <v>116</v>
      </c>
      <c r="V1583" s="94">
        <v>44610.172222222223</v>
      </c>
      <c r="W1583" s="93" t="s">
        <v>7072</v>
      </c>
      <c r="X1583" s="93" t="s">
        <v>24</v>
      </c>
    </row>
    <row r="1584" spans="1:24" hidden="1" x14ac:dyDescent="0.15">
      <c r="A1584" s="93" t="s">
        <v>7194</v>
      </c>
      <c r="B1584" s="93" t="s">
        <v>7195</v>
      </c>
      <c r="C1584" s="410">
        <v>25</v>
      </c>
      <c r="D1584" s="93" t="s">
        <v>24</v>
      </c>
      <c r="E1584" s="93" t="s">
        <v>24</v>
      </c>
      <c r="F1584" s="93" t="s">
        <v>399</v>
      </c>
      <c r="G1584" s="93" t="s">
        <v>7185</v>
      </c>
      <c r="H1584" s="93" t="s">
        <v>400</v>
      </c>
      <c r="I1584" s="93" t="s">
        <v>111</v>
      </c>
      <c r="J1584" s="93" t="s">
        <v>7105</v>
      </c>
      <c r="K1584" s="93" t="s">
        <v>111</v>
      </c>
      <c r="L1584" s="93" t="s">
        <v>111</v>
      </c>
      <c r="M1584" s="93" t="s">
        <v>111</v>
      </c>
      <c r="N1584" s="93" t="s">
        <v>111</v>
      </c>
      <c r="O1584" s="93" t="s">
        <v>111</v>
      </c>
      <c r="P1584" s="93" t="s">
        <v>111</v>
      </c>
      <c r="Q1584" s="93" t="s">
        <v>111</v>
      </c>
      <c r="R1584" s="93" t="s">
        <v>228</v>
      </c>
      <c r="S1584" s="93" t="s">
        <v>111</v>
      </c>
      <c r="T1584" s="93" t="s">
        <v>115</v>
      </c>
      <c r="U1584" s="93" t="s">
        <v>116</v>
      </c>
      <c r="V1584" s="94">
        <v>44610.179166666669</v>
      </c>
      <c r="W1584" s="93" t="s">
        <v>7072</v>
      </c>
      <c r="X1584" s="93" t="s">
        <v>24</v>
      </c>
    </row>
    <row r="1585" spans="1:24" hidden="1" x14ac:dyDescent="0.15">
      <c r="A1585" s="93" t="s">
        <v>7196</v>
      </c>
      <c r="B1585" s="93" t="s">
        <v>7197</v>
      </c>
      <c r="C1585" s="410">
        <v>64</v>
      </c>
      <c r="D1585" s="93" t="s">
        <v>24</v>
      </c>
      <c r="E1585" s="93" t="s">
        <v>24</v>
      </c>
      <c r="F1585" s="93" t="s">
        <v>399</v>
      </c>
      <c r="G1585" s="93" t="s">
        <v>7185</v>
      </c>
      <c r="H1585" s="93" t="s">
        <v>400</v>
      </c>
      <c r="I1585" s="93" t="s">
        <v>111</v>
      </c>
      <c r="J1585" s="93" t="s">
        <v>7105</v>
      </c>
      <c r="K1585" s="93" t="s">
        <v>111</v>
      </c>
      <c r="L1585" s="93" t="s">
        <v>111</v>
      </c>
      <c r="M1585" s="93" t="s">
        <v>111</v>
      </c>
      <c r="N1585" s="93" t="s">
        <v>111</v>
      </c>
      <c r="O1585" s="93" t="s">
        <v>111</v>
      </c>
      <c r="P1585" s="93" t="s">
        <v>111</v>
      </c>
      <c r="Q1585" s="93" t="s">
        <v>111</v>
      </c>
      <c r="R1585" s="93" t="s">
        <v>228</v>
      </c>
      <c r="S1585" s="93" t="s">
        <v>111</v>
      </c>
      <c r="T1585" s="93" t="s">
        <v>115</v>
      </c>
      <c r="U1585" s="93" t="s">
        <v>116</v>
      </c>
      <c r="V1585" s="94">
        <v>44610.161805555559</v>
      </c>
      <c r="W1585" s="93" t="s">
        <v>7072</v>
      </c>
      <c r="X1585" s="93" t="s">
        <v>24</v>
      </c>
    </row>
    <row r="1586" spans="1:24" hidden="1" x14ac:dyDescent="0.15">
      <c r="A1586" s="93" t="s">
        <v>7198</v>
      </c>
      <c r="B1586" s="93" t="s">
        <v>7199</v>
      </c>
      <c r="C1586" s="410">
        <v>100</v>
      </c>
      <c r="D1586" s="93" t="s">
        <v>24</v>
      </c>
      <c r="E1586" s="93" t="s">
        <v>24</v>
      </c>
      <c r="F1586" s="93" t="s">
        <v>399</v>
      </c>
      <c r="G1586" s="93" t="s">
        <v>7185</v>
      </c>
      <c r="H1586" s="93" t="s">
        <v>400</v>
      </c>
      <c r="I1586" s="93" t="s">
        <v>111</v>
      </c>
      <c r="J1586" s="93" t="s">
        <v>7105</v>
      </c>
      <c r="K1586" s="93" t="s">
        <v>111</v>
      </c>
      <c r="L1586" s="93" t="s">
        <v>111</v>
      </c>
      <c r="M1586" s="93" t="s">
        <v>111</v>
      </c>
      <c r="N1586" s="93" t="s">
        <v>111</v>
      </c>
      <c r="O1586" s="93" t="s">
        <v>111</v>
      </c>
      <c r="P1586" s="93" t="s">
        <v>111</v>
      </c>
      <c r="Q1586" s="93" t="s">
        <v>111</v>
      </c>
      <c r="R1586" s="93" t="s">
        <v>228</v>
      </c>
      <c r="S1586" s="93" t="s">
        <v>111</v>
      </c>
      <c r="T1586" s="93" t="s">
        <v>115</v>
      </c>
      <c r="U1586" s="93" t="s">
        <v>116</v>
      </c>
      <c r="V1586" s="94">
        <v>44610.145138888889</v>
      </c>
      <c r="W1586" s="93" t="s">
        <v>7072</v>
      </c>
      <c r="X1586" s="93" t="s">
        <v>24</v>
      </c>
    </row>
    <row r="1587" spans="1:24" hidden="1" x14ac:dyDescent="0.15">
      <c r="A1587" s="93" t="s">
        <v>146</v>
      </c>
      <c r="B1587" s="93" t="s">
        <v>202</v>
      </c>
      <c r="C1587" s="410">
        <v>49</v>
      </c>
      <c r="D1587" s="93" t="s">
        <v>24</v>
      </c>
      <c r="E1587" s="93" t="s">
        <v>24</v>
      </c>
      <c r="F1587" s="93" t="s">
        <v>126</v>
      </c>
      <c r="G1587" s="93" t="s">
        <v>7185</v>
      </c>
      <c r="H1587" s="93" t="s">
        <v>400</v>
      </c>
      <c r="I1587" s="93" t="s">
        <v>111</v>
      </c>
      <c r="J1587" s="93" t="s">
        <v>7105</v>
      </c>
      <c r="K1587" s="93" t="s">
        <v>111</v>
      </c>
      <c r="L1587" s="93" t="s">
        <v>111</v>
      </c>
      <c r="M1587" s="93" t="s">
        <v>111</v>
      </c>
      <c r="N1587" s="93" t="s">
        <v>111</v>
      </c>
      <c r="O1587" s="93" t="s">
        <v>111</v>
      </c>
      <c r="P1587" s="93" t="s">
        <v>111</v>
      </c>
      <c r="Q1587" s="93" t="s">
        <v>111</v>
      </c>
      <c r="R1587" s="93" t="s">
        <v>111</v>
      </c>
      <c r="S1587" s="93" t="s">
        <v>2</v>
      </c>
      <c r="T1587" s="93" t="s">
        <v>111</v>
      </c>
      <c r="U1587" s="93" t="s">
        <v>116</v>
      </c>
      <c r="V1587" s="94">
        <v>44610.143750000003</v>
      </c>
      <c r="W1587" s="93" t="s">
        <v>7072</v>
      </c>
      <c r="X1587" s="93" t="s">
        <v>24</v>
      </c>
    </row>
    <row r="1588" spans="1:24" hidden="1" x14ac:dyDescent="0.15">
      <c r="A1588" s="93" t="s">
        <v>147</v>
      </c>
      <c r="B1588" s="93" t="s">
        <v>205</v>
      </c>
      <c r="C1588" s="410">
        <v>243</v>
      </c>
      <c r="D1588" s="93" t="s">
        <v>24</v>
      </c>
      <c r="E1588" s="93" t="s">
        <v>24</v>
      </c>
      <c r="F1588" s="93" t="s">
        <v>126</v>
      </c>
      <c r="G1588" s="93" t="s">
        <v>7185</v>
      </c>
      <c r="H1588" s="93" t="s">
        <v>400</v>
      </c>
      <c r="I1588" s="93" t="s">
        <v>111</v>
      </c>
      <c r="J1588" s="93" t="s">
        <v>7105</v>
      </c>
      <c r="K1588" s="93" t="s">
        <v>111</v>
      </c>
      <c r="L1588" s="93" t="s">
        <v>111</v>
      </c>
      <c r="M1588" s="93" t="s">
        <v>111</v>
      </c>
      <c r="N1588" s="93" t="s">
        <v>111</v>
      </c>
      <c r="O1588" s="93" t="s">
        <v>111</v>
      </c>
      <c r="P1588" s="93" t="s">
        <v>111</v>
      </c>
      <c r="Q1588" s="93" t="s">
        <v>111</v>
      </c>
      <c r="R1588" s="93" t="s">
        <v>111</v>
      </c>
      <c r="S1588" s="93" t="s">
        <v>2</v>
      </c>
      <c r="T1588" s="93" t="s">
        <v>111</v>
      </c>
      <c r="U1588" s="93" t="s">
        <v>116</v>
      </c>
      <c r="V1588" s="94">
        <v>44610.152083333334</v>
      </c>
      <c r="W1588" s="93" t="s">
        <v>7072</v>
      </c>
      <c r="X1588" s="93" t="s">
        <v>24</v>
      </c>
    </row>
    <row r="1589" spans="1:24" hidden="1" x14ac:dyDescent="0.15">
      <c r="A1589" s="93" t="s">
        <v>148</v>
      </c>
      <c r="B1589" s="93" t="s">
        <v>208</v>
      </c>
      <c r="C1589" s="410">
        <v>125</v>
      </c>
      <c r="D1589" s="93" t="s">
        <v>24</v>
      </c>
      <c r="E1589" s="93" t="s">
        <v>24</v>
      </c>
      <c r="F1589" s="93" t="s">
        <v>126</v>
      </c>
      <c r="G1589" s="93" t="s">
        <v>7185</v>
      </c>
      <c r="H1589" s="93" t="s">
        <v>400</v>
      </c>
      <c r="I1589" s="93" t="s">
        <v>111</v>
      </c>
      <c r="J1589" s="93" t="s">
        <v>7105</v>
      </c>
      <c r="K1589" s="93" t="s">
        <v>111</v>
      </c>
      <c r="L1589" s="93" t="s">
        <v>111</v>
      </c>
      <c r="M1589" s="93" t="s">
        <v>111</v>
      </c>
      <c r="N1589" s="93" t="s">
        <v>111</v>
      </c>
      <c r="O1589" s="93" t="s">
        <v>111</v>
      </c>
      <c r="P1589" s="93" t="s">
        <v>111</v>
      </c>
      <c r="Q1589" s="93" t="s">
        <v>111</v>
      </c>
      <c r="R1589" s="93" t="s">
        <v>111</v>
      </c>
      <c r="S1589" s="93" t="s">
        <v>2</v>
      </c>
      <c r="T1589" s="93" t="s">
        <v>111</v>
      </c>
      <c r="U1589" s="93" t="s">
        <v>116</v>
      </c>
      <c r="V1589" s="94">
        <v>44610.138194444444</v>
      </c>
      <c r="W1589" s="93" t="s">
        <v>7072</v>
      </c>
      <c r="X1589" s="93" t="s">
        <v>24</v>
      </c>
    </row>
    <row r="1590" spans="1:24" hidden="1" x14ac:dyDescent="0.15">
      <c r="A1590" s="93" t="s">
        <v>149</v>
      </c>
      <c r="B1590" s="93" t="s">
        <v>211</v>
      </c>
      <c r="C1590" s="410">
        <v>143</v>
      </c>
      <c r="D1590" s="93" t="s">
        <v>24</v>
      </c>
      <c r="E1590" s="93" t="s">
        <v>24</v>
      </c>
      <c r="F1590" s="93" t="s">
        <v>126</v>
      </c>
      <c r="G1590" s="93" t="s">
        <v>7185</v>
      </c>
      <c r="H1590" s="93" t="s">
        <v>400</v>
      </c>
      <c r="I1590" s="93" t="s">
        <v>111</v>
      </c>
      <c r="J1590" s="93" t="s">
        <v>7105</v>
      </c>
      <c r="K1590" s="93" t="s">
        <v>111</v>
      </c>
      <c r="L1590" s="93" t="s">
        <v>111</v>
      </c>
      <c r="M1590" s="93" t="s">
        <v>111</v>
      </c>
      <c r="N1590" s="93" t="s">
        <v>111</v>
      </c>
      <c r="O1590" s="93" t="s">
        <v>111</v>
      </c>
      <c r="P1590" s="93" t="s">
        <v>111</v>
      </c>
      <c r="Q1590" s="93" t="s">
        <v>111</v>
      </c>
      <c r="R1590" s="93" t="s">
        <v>111</v>
      </c>
      <c r="S1590" s="93" t="s">
        <v>2</v>
      </c>
      <c r="T1590" s="93" t="s">
        <v>111</v>
      </c>
      <c r="U1590" s="93" t="s">
        <v>116</v>
      </c>
      <c r="V1590" s="94">
        <v>44610.177083333336</v>
      </c>
      <c r="W1590" s="93" t="s">
        <v>7072</v>
      </c>
      <c r="X1590" s="93" t="s">
        <v>24</v>
      </c>
    </row>
    <row r="1591" spans="1:24" hidden="1" x14ac:dyDescent="0.15">
      <c r="A1591" s="93" t="s">
        <v>150</v>
      </c>
      <c r="B1591" s="93" t="s">
        <v>214</v>
      </c>
      <c r="C1591" s="410">
        <v>176</v>
      </c>
      <c r="D1591" s="93" t="s">
        <v>24</v>
      </c>
      <c r="E1591" s="93" t="s">
        <v>24</v>
      </c>
      <c r="F1591" s="93" t="s">
        <v>126</v>
      </c>
      <c r="G1591" s="93" t="s">
        <v>7185</v>
      </c>
      <c r="H1591" s="93" t="s">
        <v>400</v>
      </c>
      <c r="I1591" s="93" t="s">
        <v>111</v>
      </c>
      <c r="J1591" s="93" t="s">
        <v>7105</v>
      </c>
      <c r="K1591" s="93" t="s">
        <v>111</v>
      </c>
      <c r="L1591" s="93" t="s">
        <v>111</v>
      </c>
      <c r="M1591" s="93" t="s">
        <v>111</v>
      </c>
      <c r="N1591" s="93" t="s">
        <v>111</v>
      </c>
      <c r="O1591" s="93" t="s">
        <v>111</v>
      </c>
      <c r="P1591" s="93" t="s">
        <v>111</v>
      </c>
      <c r="Q1591" s="93" t="s">
        <v>111</v>
      </c>
      <c r="R1591" s="93" t="s">
        <v>111</v>
      </c>
      <c r="S1591" s="93" t="s">
        <v>2</v>
      </c>
      <c r="T1591" s="93" t="s">
        <v>111</v>
      </c>
      <c r="U1591" s="93" t="s">
        <v>116</v>
      </c>
      <c r="V1591" s="94">
        <v>44610.186111111114</v>
      </c>
      <c r="W1591" s="93" t="s">
        <v>7072</v>
      </c>
      <c r="X1591" s="93" t="s">
        <v>24</v>
      </c>
    </row>
    <row r="1592" spans="1:24" hidden="1" x14ac:dyDescent="0.15">
      <c r="A1592" s="93" t="s">
        <v>151</v>
      </c>
      <c r="B1592" s="93" t="s">
        <v>217</v>
      </c>
      <c r="C1592" s="410">
        <v>156</v>
      </c>
      <c r="D1592" s="93" t="s">
        <v>24</v>
      </c>
      <c r="E1592" s="93" t="s">
        <v>24</v>
      </c>
      <c r="F1592" s="93" t="s">
        <v>126</v>
      </c>
      <c r="G1592" s="93" t="s">
        <v>7185</v>
      </c>
      <c r="H1592" s="93" t="s">
        <v>400</v>
      </c>
      <c r="I1592" s="93" t="s">
        <v>111</v>
      </c>
      <c r="J1592" s="93" t="s">
        <v>7105</v>
      </c>
      <c r="K1592" s="93" t="s">
        <v>111</v>
      </c>
      <c r="L1592" s="93" t="s">
        <v>111</v>
      </c>
      <c r="M1592" s="93" t="s">
        <v>111</v>
      </c>
      <c r="N1592" s="93" t="s">
        <v>111</v>
      </c>
      <c r="O1592" s="93" t="s">
        <v>111</v>
      </c>
      <c r="P1592" s="93" t="s">
        <v>111</v>
      </c>
      <c r="Q1592" s="93" t="s">
        <v>111</v>
      </c>
      <c r="R1592" s="93" t="s">
        <v>111</v>
      </c>
      <c r="S1592" s="93" t="s">
        <v>2</v>
      </c>
      <c r="T1592" s="93" t="s">
        <v>111</v>
      </c>
      <c r="U1592" s="93" t="s">
        <v>116</v>
      </c>
      <c r="V1592" s="94">
        <v>44610.199305555558</v>
      </c>
      <c r="W1592" s="93" t="s">
        <v>7072</v>
      </c>
      <c r="X1592" s="93" t="s">
        <v>24</v>
      </c>
    </row>
    <row r="1593" spans="1:24" hidden="1" x14ac:dyDescent="0.15">
      <c r="A1593" s="93" t="s">
        <v>152</v>
      </c>
      <c r="B1593" s="93" t="s">
        <v>819</v>
      </c>
      <c r="C1593" s="410">
        <v>124.95</v>
      </c>
      <c r="D1593" s="93" t="s">
        <v>24</v>
      </c>
      <c r="E1593" s="93" t="s">
        <v>24</v>
      </c>
      <c r="F1593" s="93" t="s">
        <v>126</v>
      </c>
      <c r="G1593" s="93" t="s">
        <v>7185</v>
      </c>
      <c r="H1593" s="93" t="s">
        <v>400</v>
      </c>
      <c r="I1593" s="93" t="s">
        <v>111</v>
      </c>
      <c r="J1593" s="93" t="s">
        <v>7105</v>
      </c>
      <c r="K1593" s="93" t="s">
        <v>111</v>
      </c>
      <c r="L1593" s="93" t="s">
        <v>111</v>
      </c>
      <c r="M1593" s="93" t="s">
        <v>111</v>
      </c>
      <c r="N1593" s="93" t="s">
        <v>111</v>
      </c>
      <c r="O1593" s="93" t="s">
        <v>111</v>
      </c>
      <c r="P1593" s="93" t="s">
        <v>111</v>
      </c>
      <c r="Q1593" s="93" t="s">
        <v>111</v>
      </c>
      <c r="R1593" s="93" t="s">
        <v>111</v>
      </c>
      <c r="S1593" s="93" t="s">
        <v>2</v>
      </c>
      <c r="T1593" s="93" t="s">
        <v>111</v>
      </c>
      <c r="U1593" s="93" t="s">
        <v>116</v>
      </c>
      <c r="V1593" s="94">
        <v>44610.157638888886</v>
      </c>
      <c r="W1593" s="93" t="s">
        <v>7072</v>
      </c>
      <c r="X1593" s="93" t="s">
        <v>24</v>
      </c>
    </row>
    <row r="1594" spans="1:24" hidden="1" x14ac:dyDescent="0.15">
      <c r="A1594" s="93" t="s">
        <v>153</v>
      </c>
      <c r="B1594" s="93" t="s">
        <v>154</v>
      </c>
      <c r="C1594" s="410">
        <v>3.47</v>
      </c>
      <c r="D1594" s="93" t="s">
        <v>24</v>
      </c>
      <c r="E1594" s="93" t="s">
        <v>24</v>
      </c>
      <c r="F1594" s="93" t="s">
        <v>126</v>
      </c>
      <c r="G1594" s="93" t="s">
        <v>7185</v>
      </c>
      <c r="H1594" s="93" t="s">
        <v>400</v>
      </c>
      <c r="I1594" s="93" t="s">
        <v>111</v>
      </c>
      <c r="J1594" s="93" t="s">
        <v>7105</v>
      </c>
      <c r="K1594" s="93" t="s">
        <v>111</v>
      </c>
      <c r="L1594" s="93" t="s">
        <v>111</v>
      </c>
      <c r="M1594" s="93" t="s">
        <v>111</v>
      </c>
      <c r="N1594" s="93" t="s">
        <v>111</v>
      </c>
      <c r="O1594" s="93" t="s">
        <v>111</v>
      </c>
      <c r="P1594" s="93" t="s">
        <v>111</v>
      </c>
      <c r="Q1594" s="93" t="s">
        <v>111</v>
      </c>
      <c r="R1594" s="93" t="s">
        <v>111</v>
      </c>
      <c r="S1594" s="93" t="s">
        <v>2</v>
      </c>
      <c r="T1594" s="93" t="s">
        <v>111</v>
      </c>
      <c r="U1594" s="93" t="s">
        <v>116</v>
      </c>
      <c r="V1594" s="94">
        <v>44610.185416666667</v>
      </c>
      <c r="W1594" s="93" t="s">
        <v>7072</v>
      </c>
      <c r="X1594" s="93" t="s">
        <v>24</v>
      </c>
    </row>
    <row r="1595" spans="1:24" hidden="1" x14ac:dyDescent="0.15">
      <c r="A1595" s="93" t="s">
        <v>155</v>
      </c>
      <c r="B1595" s="93" t="s">
        <v>820</v>
      </c>
      <c r="C1595" s="410">
        <v>249.9</v>
      </c>
      <c r="D1595" s="93" t="s">
        <v>24</v>
      </c>
      <c r="E1595" s="93" t="s">
        <v>24</v>
      </c>
      <c r="F1595" s="93" t="s">
        <v>126</v>
      </c>
      <c r="G1595" s="93" t="s">
        <v>7185</v>
      </c>
      <c r="H1595" s="93" t="s">
        <v>400</v>
      </c>
      <c r="I1595" s="93" t="s">
        <v>111</v>
      </c>
      <c r="J1595" s="93" t="s">
        <v>7105</v>
      </c>
      <c r="K1595" s="93" t="s">
        <v>111</v>
      </c>
      <c r="L1595" s="93" t="s">
        <v>111</v>
      </c>
      <c r="M1595" s="93" t="s">
        <v>111</v>
      </c>
      <c r="N1595" s="93" t="s">
        <v>111</v>
      </c>
      <c r="O1595" s="93" t="s">
        <v>111</v>
      </c>
      <c r="P1595" s="93" t="s">
        <v>111</v>
      </c>
      <c r="Q1595" s="93" t="s">
        <v>111</v>
      </c>
      <c r="R1595" s="93" t="s">
        <v>111</v>
      </c>
      <c r="S1595" s="93" t="s">
        <v>2</v>
      </c>
      <c r="T1595" s="93" t="s">
        <v>111</v>
      </c>
      <c r="U1595" s="93" t="s">
        <v>116</v>
      </c>
      <c r="V1595" s="94">
        <v>44610.168749999997</v>
      </c>
      <c r="W1595" s="93" t="s">
        <v>7072</v>
      </c>
      <c r="X1595" s="93" t="s">
        <v>24</v>
      </c>
    </row>
    <row r="1596" spans="1:24" hidden="1" x14ac:dyDescent="0.15">
      <c r="A1596" s="93" t="s">
        <v>156</v>
      </c>
      <c r="B1596" s="93" t="s">
        <v>821</v>
      </c>
      <c r="C1596" s="410">
        <v>6.94</v>
      </c>
      <c r="D1596" s="93" t="s">
        <v>24</v>
      </c>
      <c r="E1596" s="93" t="s">
        <v>24</v>
      </c>
      <c r="F1596" s="93" t="s">
        <v>126</v>
      </c>
      <c r="G1596" s="93" t="s">
        <v>7185</v>
      </c>
      <c r="H1596" s="93" t="s">
        <v>400</v>
      </c>
      <c r="I1596" s="93" t="s">
        <v>111</v>
      </c>
      <c r="J1596" s="93" t="s">
        <v>7105</v>
      </c>
      <c r="K1596" s="93" t="s">
        <v>111</v>
      </c>
      <c r="L1596" s="93" t="s">
        <v>111</v>
      </c>
      <c r="M1596" s="93" t="s">
        <v>111</v>
      </c>
      <c r="N1596" s="93" t="s">
        <v>111</v>
      </c>
      <c r="O1596" s="93" t="s">
        <v>111</v>
      </c>
      <c r="P1596" s="93" t="s">
        <v>111</v>
      </c>
      <c r="Q1596" s="93" t="s">
        <v>111</v>
      </c>
      <c r="R1596" s="93" t="s">
        <v>111</v>
      </c>
      <c r="S1596" s="93" t="s">
        <v>2</v>
      </c>
      <c r="T1596" s="93" t="s">
        <v>111</v>
      </c>
      <c r="U1596" s="93" t="s">
        <v>116</v>
      </c>
      <c r="V1596" s="94">
        <v>44610.143750000003</v>
      </c>
      <c r="W1596" s="93" t="s">
        <v>7072</v>
      </c>
      <c r="X1596" s="93" t="s">
        <v>24</v>
      </c>
    </row>
    <row r="1597" spans="1:24" hidden="1" x14ac:dyDescent="0.15">
      <c r="A1597" s="93" t="s">
        <v>157</v>
      </c>
      <c r="B1597" s="93" t="s">
        <v>822</v>
      </c>
      <c r="C1597" s="410">
        <v>290.7</v>
      </c>
      <c r="D1597" s="93" t="s">
        <v>24</v>
      </c>
      <c r="E1597" s="93" t="s">
        <v>24</v>
      </c>
      <c r="F1597" s="93" t="s">
        <v>126</v>
      </c>
      <c r="G1597" s="93" t="s">
        <v>7185</v>
      </c>
      <c r="H1597" s="93" t="s">
        <v>400</v>
      </c>
      <c r="I1597" s="93" t="s">
        <v>111</v>
      </c>
      <c r="J1597" s="93" t="s">
        <v>7105</v>
      </c>
      <c r="K1597" s="93" t="s">
        <v>111</v>
      </c>
      <c r="L1597" s="93" t="s">
        <v>111</v>
      </c>
      <c r="M1597" s="93" t="s">
        <v>111</v>
      </c>
      <c r="N1597" s="93" t="s">
        <v>111</v>
      </c>
      <c r="O1597" s="93" t="s">
        <v>111</v>
      </c>
      <c r="P1597" s="93" t="s">
        <v>111</v>
      </c>
      <c r="Q1597" s="93" t="s">
        <v>111</v>
      </c>
      <c r="R1597" s="93" t="s">
        <v>111</v>
      </c>
      <c r="S1597" s="93" t="s">
        <v>2</v>
      </c>
      <c r="T1597" s="93" t="s">
        <v>111</v>
      </c>
      <c r="U1597" s="93" t="s">
        <v>116</v>
      </c>
      <c r="V1597" s="94">
        <v>44610.208333333336</v>
      </c>
      <c r="W1597" s="93" t="s">
        <v>7072</v>
      </c>
      <c r="X1597" s="93" t="s">
        <v>24</v>
      </c>
    </row>
    <row r="1598" spans="1:24" hidden="1" x14ac:dyDescent="0.15">
      <c r="A1598" s="93" t="s">
        <v>158</v>
      </c>
      <c r="B1598" s="93" t="s">
        <v>823</v>
      </c>
      <c r="C1598" s="410">
        <v>8.08</v>
      </c>
      <c r="D1598" s="93" t="s">
        <v>24</v>
      </c>
      <c r="E1598" s="93" t="s">
        <v>24</v>
      </c>
      <c r="F1598" s="93" t="s">
        <v>126</v>
      </c>
      <c r="G1598" s="93" t="s">
        <v>7185</v>
      </c>
      <c r="H1598" s="93" t="s">
        <v>400</v>
      </c>
      <c r="I1598" s="93" t="s">
        <v>111</v>
      </c>
      <c r="J1598" s="93" t="s">
        <v>7105</v>
      </c>
      <c r="K1598" s="93" t="s">
        <v>111</v>
      </c>
      <c r="L1598" s="93" t="s">
        <v>111</v>
      </c>
      <c r="M1598" s="93" t="s">
        <v>111</v>
      </c>
      <c r="N1598" s="93" t="s">
        <v>111</v>
      </c>
      <c r="O1598" s="93" t="s">
        <v>111</v>
      </c>
      <c r="P1598" s="93" t="s">
        <v>111</v>
      </c>
      <c r="Q1598" s="93" t="s">
        <v>111</v>
      </c>
      <c r="R1598" s="93" t="s">
        <v>111</v>
      </c>
      <c r="S1598" s="93" t="s">
        <v>2</v>
      </c>
      <c r="T1598" s="93" t="s">
        <v>111</v>
      </c>
      <c r="U1598" s="93" t="s">
        <v>116</v>
      </c>
      <c r="V1598" s="94">
        <v>44610.169444444444</v>
      </c>
      <c r="W1598" s="93" t="s">
        <v>7072</v>
      </c>
      <c r="X1598" s="93" t="s">
        <v>24</v>
      </c>
    </row>
    <row r="1599" spans="1:24" hidden="1" x14ac:dyDescent="0.15">
      <c r="A1599" s="93" t="s">
        <v>159</v>
      </c>
      <c r="B1599" s="93" t="s">
        <v>824</v>
      </c>
      <c r="C1599" s="410">
        <v>17.850000000000001</v>
      </c>
      <c r="D1599" s="93" t="s">
        <v>24</v>
      </c>
      <c r="E1599" s="93" t="s">
        <v>24</v>
      </c>
      <c r="F1599" s="93" t="s">
        <v>126</v>
      </c>
      <c r="G1599" s="93" t="s">
        <v>7185</v>
      </c>
      <c r="H1599" s="93" t="s">
        <v>400</v>
      </c>
      <c r="I1599" s="93" t="s">
        <v>111</v>
      </c>
      <c r="J1599" s="93" t="s">
        <v>7105</v>
      </c>
      <c r="K1599" s="93" t="s">
        <v>111</v>
      </c>
      <c r="L1599" s="93" t="s">
        <v>111</v>
      </c>
      <c r="M1599" s="93" t="s">
        <v>111</v>
      </c>
      <c r="N1599" s="93" t="s">
        <v>111</v>
      </c>
      <c r="O1599" s="93" t="s">
        <v>111</v>
      </c>
      <c r="P1599" s="93" t="s">
        <v>111</v>
      </c>
      <c r="Q1599" s="93" t="s">
        <v>111</v>
      </c>
      <c r="R1599" s="93" t="s">
        <v>111</v>
      </c>
      <c r="S1599" s="93" t="s">
        <v>2</v>
      </c>
      <c r="T1599" s="93" t="s">
        <v>111</v>
      </c>
      <c r="U1599" s="93" t="s">
        <v>116</v>
      </c>
      <c r="V1599" s="94">
        <v>44610.143750000003</v>
      </c>
      <c r="W1599" s="93" t="s">
        <v>7072</v>
      </c>
      <c r="X1599" s="93" t="s">
        <v>24</v>
      </c>
    </row>
    <row r="1600" spans="1:24" hidden="1" x14ac:dyDescent="0.15">
      <c r="A1600" s="93" t="s">
        <v>160</v>
      </c>
      <c r="B1600" s="93" t="s">
        <v>825</v>
      </c>
      <c r="C1600" s="410">
        <v>0.5</v>
      </c>
      <c r="D1600" s="93" t="s">
        <v>24</v>
      </c>
      <c r="E1600" s="93" t="s">
        <v>24</v>
      </c>
      <c r="F1600" s="93" t="s">
        <v>126</v>
      </c>
      <c r="G1600" s="93" t="s">
        <v>7185</v>
      </c>
      <c r="H1600" s="93" t="s">
        <v>400</v>
      </c>
      <c r="I1600" s="93" t="s">
        <v>111</v>
      </c>
      <c r="J1600" s="93" t="s">
        <v>7105</v>
      </c>
      <c r="K1600" s="93" t="s">
        <v>111</v>
      </c>
      <c r="L1600" s="93" t="s">
        <v>111</v>
      </c>
      <c r="M1600" s="93" t="s">
        <v>111</v>
      </c>
      <c r="N1600" s="93" t="s">
        <v>111</v>
      </c>
      <c r="O1600" s="93" t="s">
        <v>111</v>
      </c>
      <c r="P1600" s="93" t="s">
        <v>111</v>
      </c>
      <c r="Q1600" s="93" t="s">
        <v>111</v>
      </c>
      <c r="R1600" s="93" t="s">
        <v>111</v>
      </c>
      <c r="S1600" s="93" t="s">
        <v>2</v>
      </c>
      <c r="T1600" s="93" t="s">
        <v>111</v>
      </c>
      <c r="U1600" s="93" t="s">
        <v>116</v>
      </c>
      <c r="V1600" s="94">
        <v>44610.186111111114</v>
      </c>
      <c r="W1600" s="93" t="s">
        <v>7072</v>
      </c>
      <c r="X1600" s="93" t="s">
        <v>24</v>
      </c>
    </row>
    <row r="1601" spans="1:24" hidden="1" x14ac:dyDescent="0.15">
      <c r="A1601" s="93" t="s">
        <v>161</v>
      </c>
      <c r="B1601" s="93" t="s">
        <v>219</v>
      </c>
      <c r="C1601" s="410">
        <v>41</v>
      </c>
      <c r="D1601" s="93" t="s">
        <v>24</v>
      </c>
      <c r="E1601" s="93" t="s">
        <v>24</v>
      </c>
      <c r="F1601" s="93" t="s">
        <v>126</v>
      </c>
      <c r="G1601" s="93" t="s">
        <v>7185</v>
      </c>
      <c r="H1601" s="93" t="s">
        <v>400</v>
      </c>
      <c r="I1601" s="93" t="s">
        <v>111</v>
      </c>
      <c r="J1601" s="93" t="s">
        <v>7105</v>
      </c>
      <c r="K1601" s="93" t="s">
        <v>111</v>
      </c>
      <c r="L1601" s="93" t="s">
        <v>111</v>
      </c>
      <c r="M1601" s="93" t="s">
        <v>111</v>
      </c>
      <c r="N1601" s="93" t="s">
        <v>111</v>
      </c>
      <c r="O1601" s="93" t="s">
        <v>111</v>
      </c>
      <c r="P1601" s="93" t="s">
        <v>111</v>
      </c>
      <c r="Q1601" s="93" t="s">
        <v>111</v>
      </c>
      <c r="R1601" s="93" t="s">
        <v>111</v>
      </c>
      <c r="S1601" s="93" t="s">
        <v>2</v>
      </c>
      <c r="T1601" s="93" t="s">
        <v>111</v>
      </c>
      <c r="U1601" s="93" t="s">
        <v>116</v>
      </c>
      <c r="V1601" s="94">
        <v>44610.191666666666</v>
      </c>
      <c r="W1601" s="93" t="s">
        <v>7072</v>
      </c>
      <c r="X1601" s="93" t="s">
        <v>24</v>
      </c>
    </row>
    <row r="1602" spans="1:24" hidden="1" x14ac:dyDescent="0.15">
      <c r="A1602" s="93" t="s">
        <v>162</v>
      </c>
      <c r="B1602" s="93" t="s">
        <v>826</v>
      </c>
      <c r="C1602" s="410">
        <v>173.4</v>
      </c>
      <c r="D1602" s="93" t="s">
        <v>24</v>
      </c>
      <c r="E1602" s="93" t="s">
        <v>24</v>
      </c>
      <c r="F1602" s="93" t="s">
        <v>126</v>
      </c>
      <c r="G1602" s="93" t="s">
        <v>7185</v>
      </c>
      <c r="H1602" s="93" t="s">
        <v>400</v>
      </c>
      <c r="I1602" s="93" t="s">
        <v>111</v>
      </c>
      <c r="J1602" s="93" t="s">
        <v>7105</v>
      </c>
      <c r="K1602" s="93" t="s">
        <v>111</v>
      </c>
      <c r="L1602" s="93" t="s">
        <v>111</v>
      </c>
      <c r="M1602" s="93" t="s">
        <v>111</v>
      </c>
      <c r="N1602" s="93" t="s">
        <v>111</v>
      </c>
      <c r="O1602" s="93" t="s">
        <v>111</v>
      </c>
      <c r="P1602" s="93" t="s">
        <v>111</v>
      </c>
      <c r="Q1602" s="93" t="s">
        <v>111</v>
      </c>
      <c r="R1602" s="93" t="s">
        <v>111</v>
      </c>
      <c r="S1602" s="93" t="s">
        <v>2</v>
      </c>
      <c r="T1602" s="93" t="s">
        <v>111</v>
      </c>
      <c r="U1602" s="93" t="s">
        <v>116</v>
      </c>
      <c r="V1602" s="94">
        <v>44610.190972222219</v>
      </c>
      <c r="W1602" s="93" t="s">
        <v>7072</v>
      </c>
      <c r="X1602" s="93" t="s">
        <v>24</v>
      </c>
    </row>
    <row r="1603" spans="1:24" hidden="1" x14ac:dyDescent="0.15">
      <c r="A1603" s="93" t="s">
        <v>163</v>
      </c>
      <c r="B1603" s="93" t="s">
        <v>827</v>
      </c>
      <c r="C1603" s="410">
        <v>4.82</v>
      </c>
      <c r="D1603" s="93" t="s">
        <v>24</v>
      </c>
      <c r="E1603" s="93" t="s">
        <v>24</v>
      </c>
      <c r="F1603" s="93" t="s">
        <v>126</v>
      </c>
      <c r="G1603" s="93" t="s">
        <v>7185</v>
      </c>
      <c r="H1603" s="93" t="s">
        <v>400</v>
      </c>
      <c r="I1603" s="93" t="s">
        <v>111</v>
      </c>
      <c r="J1603" s="93" t="s">
        <v>7105</v>
      </c>
      <c r="K1603" s="93" t="s">
        <v>111</v>
      </c>
      <c r="L1603" s="93" t="s">
        <v>111</v>
      </c>
      <c r="M1603" s="93" t="s">
        <v>111</v>
      </c>
      <c r="N1603" s="93" t="s">
        <v>111</v>
      </c>
      <c r="O1603" s="93" t="s">
        <v>111</v>
      </c>
      <c r="P1603" s="93" t="s">
        <v>111</v>
      </c>
      <c r="Q1603" s="93" t="s">
        <v>111</v>
      </c>
      <c r="R1603" s="93" t="s">
        <v>111</v>
      </c>
      <c r="S1603" s="93" t="s">
        <v>2</v>
      </c>
      <c r="T1603" s="93" t="s">
        <v>111</v>
      </c>
      <c r="U1603" s="93" t="s">
        <v>116</v>
      </c>
      <c r="V1603" s="94">
        <v>44610.168749999997</v>
      </c>
      <c r="W1603" s="93" t="s">
        <v>7072</v>
      </c>
      <c r="X1603" s="93" t="s">
        <v>24</v>
      </c>
    </row>
    <row r="1604" spans="1:24" hidden="1" x14ac:dyDescent="0.15">
      <c r="A1604" s="93" t="s">
        <v>164</v>
      </c>
      <c r="B1604" s="93" t="s">
        <v>828</v>
      </c>
      <c r="C1604" s="410">
        <v>224.4</v>
      </c>
      <c r="D1604" s="93" t="s">
        <v>24</v>
      </c>
      <c r="E1604" s="93" t="s">
        <v>24</v>
      </c>
      <c r="F1604" s="93" t="s">
        <v>126</v>
      </c>
      <c r="G1604" s="93" t="s">
        <v>7185</v>
      </c>
      <c r="H1604" s="93" t="s">
        <v>400</v>
      </c>
      <c r="I1604" s="93" t="s">
        <v>111</v>
      </c>
      <c r="J1604" s="93" t="s">
        <v>7105</v>
      </c>
      <c r="K1604" s="93" t="s">
        <v>111</v>
      </c>
      <c r="L1604" s="93" t="s">
        <v>111</v>
      </c>
      <c r="M1604" s="93" t="s">
        <v>111</v>
      </c>
      <c r="N1604" s="93" t="s">
        <v>111</v>
      </c>
      <c r="O1604" s="93" t="s">
        <v>111</v>
      </c>
      <c r="P1604" s="93" t="s">
        <v>111</v>
      </c>
      <c r="Q1604" s="93" t="s">
        <v>111</v>
      </c>
      <c r="R1604" s="93" t="s">
        <v>111</v>
      </c>
      <c r="S1604" s="93" t="s">
        <v>2</v>
      </c>
      <c r="T1604" s="93" t="s">
        <v>111</v>
      </c>
      <c r="U1604" s="93" t="s">
        <v>116</v>
      </c>
      <c r="V1604" s="94">
        <v>44610.185416666667</v>
      </c>
      <c r="W1604" s="93" t="s">
        <v>7072</v>
      </c>
      <c r="X1604" s="93" t="s">
        <v>24</v>
      </c>
    </row>
    <row r="1605" spans="1:24" hidden="1" x14ac:dyDescent="0.15">
      <c r="A1605" s="93" t="s">
        <v>165</v>
      </c>
      <c r="B1605" s="93" t="s">
        <v>829</v>
      </c>
      <c r="C1605" s="410">
        <v>6.23</v>
      </c>
      <c r="D1605" s="93" t="s">
        <v>24</v>
      </c>
      <c r="E1605" s="93" t="s">
        <v>24</v>
      </c>
      <c r="F1605" s="93" t="s">
        <v>126</v>
      </c>
      <c r="G1605" s="93" t="s">
        <v>7185</v>
      </c>
      <c r="H1605" s="93" t="s">
        <v>400</v>
      </c>
      <c r="I1605" s="93" t="s">
        <v>111</v>
      </c>
      <c r="J1605" s="93" t="s">
        <v>7105</v>
      </c>
      <c r="K1605" s="93" t="s">
        <v>111</v>
      </c>
      <c r="L1605" s="93" t="s">
        <v>111</v>
      </c>
      <c r="M1605" s="93" t="s">
        <v>111</v>
      </c>
      <c r="N1605" s="93" t="s">
        <v>111</v>
      </c>
      <c r="O1605" s="93" t="s">
        <v>111</v>
      </c>
      <c r="P1605" s="93" t="s">
        <v>111</v>
      </c>
      <c r="Q1605" s="93" t="s">
        <v>111</v>
      </c>
      <c r="R1605" s="93" t="s">
        <v>111</v>
      </c>
      <c r="S1605" s="93" t="s">
        <v>2</v>
      </c>
      <c r="T1605" s="93" t="s">
        <v>111</v>
      </c>
      <c r="U1605" s="93" t="s">
        <v>116</v>
      </c>
      <c r="V1605" s="94">
        <v>44610.198611111111</v>
      </c>
      <c r="W1605" s="93" t="s">
        <v>7072</v>
      </c>
      <c r="X1605" s="93" t="s">
        <v>24</v>
      </c>
    </row>
    <row r="1606" spans="1:24" hidden="1" x14ac:dyDescent="0.15">
      <c r="A1606" s="93" t="s">
        <v>166</v>
      </c>
      <c r="B1606" s="93" t="s">
        <v>830</v>
      </c>
      <c r="C1606" s="410">
        <v>165.75</v>
      </c>
      <c r="D1606" s="93" t="s">
        <v>24</v>
      </c>
      <c r="E1606" s="93" t="s">
        <v>24</v>
      </c>
      <c r="F1606" s="93" t="s">
        <v>126</v>
      </c>
      <c r="G1606" s="93" t="s">
        <v>7185</v>
      </c>
      <c r="H1606" s="93" t="s">
        <v>400</v>
      </c>
      <c r="I1606" s="93" t="s">
        <v>111</v>
      </c>
      <c r="J1606" s="93" t="s">
        <v>7105</v>
      </c>
      <c r="K1606" s="93" t="s">
        <v>111</v>
      </c>
      <c r="L1606" s="93" t="s">
        <v>111</v>
      </c>
      <c r="M1606" s="93" t="s">
        <v>111</v>
      </c>
      <c r="N1606" s="93" t="s">
        <v>111</v>
      </c>
      <c r="O1606" s="93" t="s">
        <v>111</v>
      </c>
      <c r="P1606" s="93" t="s">
        <v>111</v>
      </c>
      <c r="Q1606" s="93" t="s">
        <v>111</v>
      </c>
      <c r="R1606" s="93" t="s">
        <v>111</v>
      </c>
      <c r="S1606" s="93" t="s">
        <v>2</v>
      </c>
      <c r="T1606" s="93" t="s">
        <v>111</v>
      </c>
      <c r="U1606" s="93" t="s">
        <v>116</v>
      </c>
      <c r="V1606" s="94">
        <v>44610.190972222219</v>
      </c>
      <c r="W1606" s="93" t="s">
        <v>7072</v>
      </c>
      <c r="X1606" s="93" t="s">
        <v>24</v>
      </c>
    </row>
    <row r="1607" spans="1:24" hidden="1" x14ac:dyDescent="0.15">
      <c r="A1607" s="93" t="s">
        <v>167</v>
      </c>
      <c r="B1607" s="93" t="s">
        <v>831</v>
      </c>
      <c r="C1607" s="410">
        <v>4.5999999999999996</v>
      </c>
      <c r="D1607" s="93" t="s">
        <v>24</v>
      </c>
      <c r="E1607" s="93" t="s">
        <v>24</v>
      </c>
      <c r="F1607" s="93" t="s">
        <v>126</v>
      </c>
      <c r="G1607" s="93" t="s">
        <v>7185</v>
      </c>
      <c r="H1607" s="93" t="s">
        <v>400</v>
      </c>
      <c r="I1607" s="93" t="s">
        <v>111</v>
      </c>
      <c r="J1607" s="93" t="s">
        <v>7105</v>
      </c>
      <c r="K1607" s="93" t="s">
        <v>111</v>
      </c>
      <c r="L1607" s="93" t="s">
        <v>111</v>
      </c>
      <c r="M1607" s="93" t="s">
        <v>111</v>
      </c>
      <c r="N1607" s="93" t="s">
        <v>111</v>
      </c>
      <c r="O1607" s="93" t="s">
        <v>111</v>
      </c>
      <c r="P1607" s="93" t="s">
        <v>111</v>
      </c>
      <c r="Q1607" s="93" t="s">
        <v>111</v>
      </c>
      <c r="R1607" s="93" t="s">
        <v>111</v>
      </c>
      <c r="S1607" s="93" t="s">
        <v>2</v>
      </c>
      <c r="T1607" s="93" t="s">
        <v>111</v>
      </c>
      <c r="U1607" s="93" t="s">
        <v>116</v>
      </c>
      <c r="V1607" s="94">
        <v>44610.177083333336</v>
      </c>
      <c r="W1607" s="93" t="s">
        <v>7072</v>
      </c>
      <c r="X1607" s="93" t="s">
        <v>24</v>
      </c>
    </row>
    <row r="1608" spans="1:24" hidden="1" x14ac:dyDescent="0.15">
      <c r="A1608" s="93" t="s">
        <v>168</v>
      </c>
      <c r="B1608" s="93" t="s">
        <v>832</v>
      </c>
      <c r="C1608" s="410">
        <v>283.05</v>
      </c>
      <c r="D1608" s="93" t="s">
        <v>24</v>
      </c>
      <c r="E1608" s="93" t="s">
        <v>24</v>
      </c>
      <c r="F1608" s="93" t="s">
        <v>126</v>
      </c>
      <c r="G1608" s="93" t="s">
        <v>7185</v>
      </c>
      <c r="H1608" s="93" t="s">
        <v>400</v>
      </c>
      <c r="I1608" s="93" t="s">
        <v>111</v>
      </c>
      <c r="J1608" s="93" t="s">
        <v>7105</v>
      </c>
      <c r="K1608" s="93" t="s">
        <v>111</v>
      </c>
      <c r="L1608" s="93" t="s">
        <v>111</v>
      </c>
      <c r="M1608" s="93" t="s">
        <v>111</v>
      </c>
      <c r="N1608" s="93" t="s">
        <v>111</v>
      </c>
      <c r="O1608" s="93" t="s">
        <v>111</v>
      </c>
      <c r="P1608" s="93" t="s">
        <v>111</v>
      </c>
      <c r="Q1608" s="93" t="s">
        <v>111</v>
      </c>
      <c r="R1608" s="93" t="s">
        <v>111</v>
      </c>
      <c r="S1608" s="93" t="s">
        <v>2</v>
      </c>
      <c r="T1608" s="93" t="s">
        <v>111</v>
      </c>
      <c r="U1608" s="93" t="s">
        <v>116</v>
      </c>
      <c r="V1608" s="94">
        <v>44610.185416666667</v>
      </c>
      <c r="W1608" s="93" t="s">
        <v>7072</v>
      </c>
      <c r="X1608" s="93" t="s">
        <v>24</v>
      </c>
    </row>
    <row r="1609" spans="1:24" hidden="1" x14ac:dyDescent="0.15">
      <c r="A1609" s="93" t="s">
        <v>169</v>
      </c>
      <c r="B1609" s="93" t="s">
        <v>833</v>
      </c>
      <c r="C1609" s="410">
        <v>7.86</v>
      </c>
      <c r="D1609" s="93" t="s">
        <v>24</v>
      </c>
      <c r="E1609" s="93" t="s">
        <v>24</v>
      </c>
      <c r="F1609" s="93" t="s">
        <v>126</v>
      </c>
      <c r="G1609" s="93" t="s">
        <v>7185</v>
      </c>
      <c r="H1609" s="93" t="s">
        <v>400</v>
      </c>
      <c r="I1609" s="93" t="s">
        <v>111</v>
      </c>
      <c r="J1609" s="93" t="s">
        <v>7105</v>
      </c>
      <c r="K1609" s="93" t="s">
        <v>111</v>
      </c>
      <c r="L1609" s="93" t="s">
        <v>111</v>
      </c>
      <c r="M1609" s="93" t="s">
        <v>111</v>
      </c>
      <c r="N1609" s="93" t="s">
        <v>111</v>
      </c>
      <c r="O1609" s="93" t="s">
        <v>111</v>
      </c>
      <c r="P1609" s="93" t="s">
        <v>111</v>
      </c>
      <c r="Q1609" s="93" t="s">
        <v>111</v>
      </c>
      <c r="R1609" s="93" t="s">
        <v>111</v>
      </c>
      <c r="S1609" s="93" t="s">
        <v>2</v>
      </c>
      <c r="T1609" s="93" t="s">
        <v>111</v>
      </c>
      <c r="U1609" s="93" t="s">
        <v>116</v>
      </c>
      <c r="V1609" s="94">
        <v>44610.208333333336</v>
      </c>
      <c r="W1609" s="93" t="s">
        <v>7072</v>
      </c>
      <c r="X1609" s="93" t="s">
        <v>24</v>
      </c>
    </row>
    <row r="1610" spans="1:24" hidden="1" x14ac:dyDescent="0.15">
      <c r="A1610" s="93" t="s">
        <v>170</v>
      </c>
      <c r="B1610" s="93" t="s">
        <v>834</v>
      </c>
      <c r="C1610" s="410">
        <v>290.7</v>
      </c>
      <c r="D1610" s="93" t="s">
        <v>24</v>
      </c>
      <c r="E1610" s="93" t="s">
        <v>24</v>
      </c>
      <c r="F1610" s="93" t="s">
        <v>126</v>
      </c>
      <c r="G1610" s="93" t="s">
        <v>7185</v>
      </c>
      <c r="H1610" s="93" t="s">
        <v>400</v>
      </c>
      <c r="I1610" s="93" t="s">
        <v>111</v>
      </c>
      <c r="J1610" s="93" t="s">
        <v>7105</v>
      </c>
      <c r="K1610" s="93" t="s">
        <v>111</v>
      </c>
      <c r="L1610" s="93" t="s">
        <v>111</v>
      </c>
      <c r="M1610" s="93" t="s">
        <v>111</v>
      </c>
      <c r="N1610" s="93" t="s">
        <v>111</v>
      </c>
      <c r="O1610" s="93" t="s">
        <v>111</v>
      </c>
      <c r="P1610" s="93" t="s">
        <v>111</v>
      </c>
      <c r="Q1610" s="93" t="s">
        <v>111</v>
      </c>
      <c r="R1610" s="93" t="s">
        <v>111</v>
      </c>
      <c r="S1610" s="93" t="s">
        <v>2</v>
      </c>
      <c r="T1610" s="93" t="s">
        <v>111</v>
      </c>
      <c r="U1610" s="93" t="s">
        <v>116</v>
      </c>
      <c r="V1610" s="94">
        <v>44610.190972222219</v>
      </c>
      <c r="W1610" s="93" t="s">
        <v>7072</v>
      </c>
      <c r="X1610" s="93" t="s">
        <v>24</v>
      </c>
    </row>
    <row r="1611" spans="1:24" hidden="1" x14ac:dyDescent="0.15">
      <c r="A1611" s="93" t="s">
        <v>171</v>
      </c>
      <c r="B1611" s="93" t="s">
        <v>835</v>
      </c>
      <c r="C1611" s="410">
        <v>8.08</v>
      </c>
      <c r="D1611" s="93" t="s">
        <v>24</v>
      </c>
      <c r="E1611" s="93" t="s">
        <v>24</v>
      </c>
      <c r="F1611" s="93" t="s">
        <v>126</v>
      </c>
      <c r="G1611" s="93" t="s">
        <v>7185</v>
      </c>
      <c r="H1611" s="93" t="s">
        <v>400</v>
      </c>
      <c r="I1611" s="93" t="s">
        <v>111</v>
      </c>
      <c r="J1611" s="93" t="s">
        <v>7105</v>
      </c>
      <c r="K1611" s="93" t="s">
        <v>111</v>
      </c>
      <c r="L1611" s="93" t="s">
        <v>111</v>
      </c>
      <c r="M1611" s="93" t="s">
        <v>111</v>
      </c>
      <c r="N1611" s="93" t="s">
        <v>111</v>
      </c>
      <c r="O1611" s="93" t="s">
        <v>111</v>
      </c>
      <c r="P1611" s="93" t="s">
        <v>111</v>
      </c>
      <c r="Q1611" s="93" t="s">
        <v>111</v>
      </c>
      <c r="R1611" s="93" t="s">
        <v>111</v>
      </c>
      <c r="S1611" s="93" t="s">
        <v>2</v>
      </c>
      <c r="T1611" s="93" t="s">
        <v>111</v>
      </c>
      <c r="U1611" s="93" t="s">
        <v>116</v>
      </c>
      <c r="V1611" s="94">
        <v>44610.191666666666</v>
      </c>
      <c r="W1611" s="93" t="s">
        <v>7072</v>
      </c>
      <c r="X1611" s="93" t="s">
        <v>24</v>
      </c>
    </row>
    <row r="1612" spans="1:24" hidden="1" x14ac:dyDescent="0.15">
      <c r="A1612" s="93" t="s">
        <v>172</v>
      </c>
      <c r="B1612" s="93" t="s">
        <v>221</v>
      </c>
      <c r="C1612" s="410">
        <v>44</v>
      </c>
      <c r="D1612" s="93" t="s">
        <v>24</v>
      </c>
      <c r="E1612" s="93" t="s">
        <v>24</v>
      </c>
      <c r="F1612" s="93" t="s">
        <v>126</v>
      </c>
      <c r="G1612" s="93" t="s">
        <v>7185</v>
      </c>
      <c r="H1612" s="93" t="s">
        <v>400</v>
      </c>
      <c r="I1612" s="93" t="s">
        <v>111</v>
      </c>
      <c r="J1612" s="93" t="s">
        <v>7105</v>
      </c>
      <c r="K1612" s="93" t="s">
        <v>111</v>
      </c>
      <c r="L1612" s="93" t="s">
        <v>111</v>
      </c>
      <c r="M1612" s="93" t="s">
        <v>111</v>
      </c>
      <c r="N1612" s="93" t="s">
        <v>111</v>
      </c>
      <c r="O1612" s="93" t="s">
        <v>111</v>
      </c>
      <c r="P1612" s="93" t="s">
        <v>111</v>
      </c>
      <c r="Q1612" s="93" t="s">
        <v>111</v>
      </c>
      <c r="R1612" s="93" t="s">
        <v>111</v>
      </c>
      <c r="S1612" s="93" t="s">
        <v>2</v>
      </c>
      <c r="T1612" s="93" t="s">
        <v>111</v>
      </c>
      <c r="U1612" s="93" t="s">
        <v>116</v>
      </c>
      <c r="V1612" s="94">
        <v>44610.138194444444</v>
      </c>
      <c r="W1612" s="93" t="s">
        <v>7072</v>
      </c>
      <c r="X1612" s="93" t="s">
        <v>24</v>
      </c>
    </row>
    <row r="1613" spans="1:24" hidden="1" x14ac:dyDescent="0.15">
      <c r="A1613" s="93" t="s">
        <v>173</v>
      </c>
      <c r="B1613" s="93" t="s">
        <v>836</v>
      </c>
      <c r="C1613" s="410">
        <v>326.39999999999998</v>
      </c>
      <c r="D1613" s="93" t="s">
        <v>24</v>
      </c>
      <c r="E1613" s="93" t="s">
        <v>24</v>
      </c>
      <c r="F1613" s="93" t="s">
        <v>126</v>
      </c>
      <c r="G1613" s="93" t="s">
        <v>7185</v>
      </c>
      <c r="H1613" s="93" t="s">
        <v>400</v>
      </c>
      <c r="I1613" s="93" t="s">
        <v>111</v>
      </c>
      <c r="J1613" s="93" t="s">
        <v>7105</v>
      </c>
      <c r="K1613" s="93" t="s">
        <v>111</v>
      </c>
      <c r="L1613" s="93" t="s">
        <v>111</v>
      </c>
      <c r="M1613" s="93" t="s">
        <v>111</v>
      </c>
      <c r="N1613" s="93" t="s">
        <v>111</v>
      </c>
      <c r="O1613" s="93" t="s">
        <v>111</v>
      </c>
      <c r="P1613" s="93" t="s">
        <v>111</v>
      </c>
      <c r="Q1613" s="93" t="s">
        <v>111</v>
      </c>
      <c r="R1613" s="93" t="s">
        <v>111</v>
      </c>
      <c r="S1613" s="93" t="s">
        <v>2</v>
      </c>
      <c r="T1613" s="93" t="s">
        <v>111</v>
      </c>
      <c r="U1613" s="93" t="s">
        <v>116</v>
      </c>
      <c r="V1613" s="94">
        <v>44610.185416666667</v>
      </c>
      <c r="W1613" s="93" t="s">
        <v>7072</v>
      </c>
      <c r="X1613" s="93" t="s">
        <v>24</v>
      </c>
    </row>
    <row r="1614" spans="1:24" hidden="1" x14ac:dyDescent="0.15">
      <c r="A1614" s="93" t="s">
        <v>174</v>
      </c>
      <c r="B1614" s="93" t="s">
        <v>837</v>
      </c>
      <c r="C1614" s="410">
        <v>9.07</v>
      </c>
      <c r="D1614" s="93" t="s">
        <v>24</v>
      </c>
      <c r="E1614" s="93" t="s">
        <v>24</v>
      </c>
      <c r="F1614" s="93" t="s">
        <v>126</v>
      </c>
      <c r="G1614" s="93" t="s">
        <v>7185</v>
      </c>
      <c r="H1614" s="93" t="s">
        <v>400</v>
      </c>
      <c r="I1614" s="93" t="s">
        <v>111</v>
      </c>
      <c r="J1614" s="93" t="s">
        <v>7105</v>
      </c>
      <c r="K1614" s="93" t="s">
        <v>111</v>
      </c>
      <c r="L1614" s="93" t="s">
        <v>111</v>
      </c>
      <c r="M1614" s="93" t="s">
        <v>111</v>
      </c>
      <c r="N1614" s="93" t="s">
        <v>111</v>
      </c>
      <c r="O1614" s="93" t="s">
        <v>111</v>
      </c>
      <c r="P1614" s="93" t="s">
        <v>111</v>
      </c>
      <c r="Q1614" s="93" t="s">
        <v>111</v>
      </c>
      <c r="R1614" s="93" t="s">
        <v>111</v>
      </c>
      <c r="S1614" s="93" t="s">
        <v>2</v>
      </c>
      <c r="T1614" s="93" t="s">
        <v>111</v>
      </c>
      <c r="U1614" s="93" t="s">
        <v>116</v>
      </c>
      <c r="V1614" s="94">
        <v>44610.186111111114</v>
      </c>
      <c r="W1614" s="93" t="s">
        <v>7072</v>
      </c>
      <c r="X1614" s="93" t="s">
        <v>24</v>
      </c>
    </row>
    <row r="1615" spans="1:24" hidden="1" x14ac:dyDescent="0.15">
      <c r="A1615" s="93" t="s">
        <v>175</v>
      </c>
      <c r="B1615" s="93" t="s">
        <v>838</v>
      </c>
      <c r="C1615" s="410">
        <v>550.79999999999995</v>
      </c>
      <c r="D1615" s="93" t="s">
        <v>24</v>
      </c>
      <c r="E1615" s="93" t="s">
        <v>24</v>
      </c>
      <c r="F1615" s="93" t="s">
        <v>126</v>
      </c>
      <c r="G1615" s="93" t="s">
        <v>7185</v>
      </c>
      <c r="H1615" s="93" t="s">
        <v>400</v>
      </c>
      <c r="I1615" s="93" t="s">
        <v>111</v>
      </c>
      <c r="J1615" s="93" t="s">
        <v>7105</v>
      </c>
      <c r="K1615" s="93" t="s">
        <v>111</v>
      </c>
      <c r="L1615" s="93" t="s">
        <v>111</v>
      </c>
      <c r="M1615" s="93" t="s">
        <v>111</v>
      </c>
      <c r="N1615" s="93" t="s">
        <v>111</v>
      </c>
      <c r="O1615" s="93" t="s">
        <v>111</v>
      </c>
      <c r="P1615" s="93" t="s">
        <v>111</v>
      </c>
      <c r="Q1615" s="93" t="s">
        <v>111</v>
      </c>
      <c r="R1615" s="93" t="s">
        <v>111</v>
      </c>
      <c r="S1615" s="93" t="s">
        <v>2</v>
      </c>
      <c r="T1615" s="93" t="s">
        <v>111</v>
      </c>
      <c r="U1615" s="93" t="s">
        <v>116</v>
      </c>
      <c r="V1615" s="94">
        <v>44610.190972222219</v>
      </c>
      <c r="W1615" s="93" t="s">
        <v>7072</v>
      </c>
      <c r="X1615" s="93" t="s">
        <v>24</v>
      </c>
    </row>
    <row r="1616" spans="1:24" hidden="1" x14ac:dyDescent="0.15">
      <c r="A1616" s="93" t="s">
        <v>176</v>
      </c>
      <c r="B1616" s="93" t="s">
        <v>839</v>
      </c>
      <c r="C1616" s="410">
        <v>15.3</v>
      </c>
      <c r="D1616" s="93" t="s">
        <v>24</v>
      </c>
      <c r="E1616" s="93" t="s">
        <v>24</v>
      </c>
      <c r="F1616" s="93" t="s">
        <v>126</v>
      </c>
      <c r="G1616" s="93" t="s">
        <v>7185</v>
      </c>
      <c r="H1616" s="93" t="s">
        <v>400</v>
      </c>
      <c r="I1616" s="93" t="s">
        <v>111</v>
      </c>
      <c r="J1616" s="93" t="s">
        <v>7105</v>
      </c>
      <c r="K1616" s="93" t="s">
        <v>111</v>
      </c>
      <c r="L1616" s="93" t="s">
        <v>111</v>
      </c>
      <c r="M1616" s="93" t="s">
        <v>111</v>
      </c>
      <c r="N1616" s="93" t="s">
        <v>111</v>
      </c>
      <c r="O1616" s="93" t="s">
        <v>111</v>
      </c>
      <c r="P1616" s="93" t="s">
        <v>111</v>
      </c>
      <c r="Q1616" s="93" t="s">
        <v>111</v>
      </c>
      <c r="R1616" s="93" t="s">
        <v>111</v>
      </c>
      <c r="S1616" s="93" t="s">
        <v>2</v>
      </c>
      <c r="T1616" s="93" t="s">
        <v>111</v>
      </c>
      <c r="U1616" s="93" t="s">
        <v>116</v>
      </c>
      <c r="V1616" s="94">
        <v>44610.160416666666</v>
      </c>
      <c r="W1616" s="93" t="s">
        <v>7072</v>
      </c>
      <c r="X1616" s="93" t="s">
        <v>24</v>
      </c>
    </row>
    <row r="1617" spans="1:24" hidden="1" x14ac:dyDescent="0.15">
      <c r="A1617" s="93" t="s">
        <v>177</v>
      </c>
      <c r="B1617" s="93" t="s">
        <v>840</v>
      </c>
      <c r="C1617" s="410">
        <v>58.65</v>
      </c>
      <c r="D1617" s="93" t="s">
        <v>24</v>
      </c>
      <c r="E1617" s="93" t="s">
        <v>24</v>
      </c>
      <c r="F1617" s="93" t="s">
        <v>126</v>
      </c>
      <c r="G1617" s="93" t="s">
        <v>7185</v>
      </c>
      <c r="H1617" s="93" t="s">
        <v>400</v>
      </c>
      <c r="I1617" s="93" t="s">
        <v>111</v>
      </c>
      <c r="J1617" s="93" t="s">
        <v>7105</v>
      </c>
      <c r="K1617" s="93" t="s">
        <v>111</v>
      </c>
      <c r="L1617" s="93" t="s">
        <v>111</v>
      </c>
      <c r="M1617" s="93" t="s">
        <v>111</v>
      </c>
      <c r="N1617" s="93" t="s">
        <v>111</v>
      </c>
      <c r="O1617" s="93" t="s">
        <v>111</v>
      </c>
      <c r="P1617" s="93" t="s">
        <v>111</v>
      </c>
      <c r="Q1617" s="93" t="s">
        <v>111</v>
      </c>
      <c r="R1617" s="93" t="s">
        <v>111</v>
      </c>
      <c r="S1617" s="93" t="s">
        <v>2</v>
      </c>
      <c r="T1617" s="93" t="s">
        <v>111</v>
      </c>
      <c r="U1617" s="93" t="s">
        <v>116</v>
      </c>
      <c r="V1617" s="94">
        <v>44610.185416666667</v>
      </c>
      <c r="W1617" s="93" t="s">
        <v>7072</v>
      </c>
      <c r="X1617" s="93" t="s">
        <v>24</v>
      </c>
    </row>
    <row r="1618" spans="1:24" hidden="1" x14ac:dyDescent="0.15">
      <c r="A1618" s="93" t="s">
        <v>178</v>
      </c>
      <c r="B1618" s="93" t="s">
        <v>841</v>
      </c>
      <c r="C1618" s="410">
        <v>1.63</v>
      </c>
      <c r="D1618" s="93" t="s">
        <v>24</v>
      </c>
      <c r="E1618" s="93" t="s">
        <v>24</v>
      </c>
      <c r="F1618" s="93" t="s">
        <v>126</v>
      </c>
      <c r="G1618" s="93" t="s">
        <v>7185</v>
      </c>
      <c r="H1618" s="93" t="s">
        <v>400</v>
      </c>
      <c r="I1618" s="93" t="s">
        <v>111</v>
      </c>
      <c r="J1618" s="93" t="s">
        <v>7105</v>
      </c>
      <c r="K1618" s="93" t="s">
        <v>111</v>
      </c>
      <c r="L1618" s="93" t="s">
        <v>111</v>
      </c>
      <c r="M1618" s="93" t="s">
        <v>111</v>
      </c>
      <c r="N1618" s="93" t="s">
        <v>111</v>
      </c>
      <c r="O1618" s="93" t="s">
        <v>111</v>
      </c>
      <c r="P1618" s="93" t="s">
        <v>111</v>
      </c>
      <c r="Q1618" s="93" t="s">
        <v>111</v>
      </c>
      <c r="R1618" s="93" t="s">
        <v>111</v>
      </c>
      <c r="S1618" s="93" t="s">
        <v>2</v>
      </c>
      <c r="T1618" s="93" t="s">
        <v>111</v>
      </c>
      <c r="U1618" s="93" t="s">
        <v>116</v>
      </c>
      <c r="V1618" s="94">
        <v>44610.186111111114</v>
      </c>
      <c r="W1618" s="93" t="s">
        <v>7072</v>
      </c>
      <c r="X1618" s="93" t="s">
        <v>24</v>
      </c>
    </row>
    <row r="1619" spans="1:24" hidden="1" x14ac:dyDescent="0.15">
      <c r="A1619" s="93" t="s">
        <v>179</v>
      </c>
      <c r="B1619" s="93" t="s">
        <v>842</v>
      </c>
      <c r="C1619" s="410">
        <v>132.6</v>
      </c>
      <c r="D1619" s="93" t="s">
        <v>24</v>
      </c>
      <c r="E1619" s="93" t="s">
        <v>24</v>
      </c>
      <c r="F1619" s="93" t="s">
        <v>126</v>
      </c>
      <c r="G1619" s="93" t="s">
        <v>7185</v>
      </c>
      <c r="H1619" s="93" t="s">
        <v>400</v>
      </c>
      <c r="I1619" s="93" t="s">
        <v>111</v>
      </c>
      <c r="J1619" s="93" t="s">
        <v>7105</v>
      </c>
      <c r="K1619" s="93" t="s">
        <v>111</v>
      </c>
      <c r="L1619" s="93" t="s">
        <v>111</v>
      </c>
      <c r="M1619" s="93" t="s">
        <v>111</v>
      </c>
      <c r="N1619" s="93" t="s">
        <v>111</v>
      </c>
      <c r="O1619" s="93" t="s">
        <v>111</v>
      </c>
      <c r="P1619" s="93" t="s">
        <v>111</v>
      </c>
      <c r="Q1619" s="93" t="s">
        <v>111</v>
      </c>
      <c r="R1619" s="93" t="s">
        <v>111</v>
      </c>
      <c r="S1619" s="93" t="s">
        <v>2</v>
      </c>
      <c r="T1619" s="93" t="s">
        <v>111</v>
      </c>
      <c r="U1619" s="93" t="s">
        <v>116</v>
      </c>
      <c r="V1619" s="94">
        <v>44610.160416666666</v>
      </c>
      <c r="W1619" s="93" t="s">
        <v>7072</v>
      </c>
      <c r="X1619" s="93" t="s">
        <v>24</v>
      </c>
    </row>
    <row r="1620" spans="1:24" hidden="1" x14ac:dyDescent="0.15">
      <c r="A1620" s="93" t="s">
        <v>180</v>
      </c>
      <c r="B1620" s="93" t="s">
        <v>843</v>
      </c>
      <c r="C1620" s="410">
        <v>3.68</v>
      </c>
      <c r="D1620" s="93" t="s">
        <v>24</v>
      </c>
      <c r="E1620" s="93" t="s">
        <v>24</v>
      </c>
      <c r="F1620" s="93" t="s">
        <v>126</v>
      </c>
      <c r="G1620" s="93" t="s">
        <v>7185</v>
      </c>
      <c r="H1620" s="93" t="s">
        <v>400</v>
      </c>
      <c r="I1620" s="93" t="s">
        <v>111</v>
      </c>
      <c r="J1620" s="93" t="s">
        <v>7105</v>
      </c>
      <c r="K1620" s="93" t="s">
        <v>111</v>
      </c>
      <c r="L1620" s="93" t="s">
        <v>111</v>
      </c>
      <c r="M1620" s="93" t="s">
        <v>111</v>
      </c>
      <c r="N1620" s="93" t="s">
        <v>111</v>
      </c>
      <c r="O1620" s="93" t="s">
        <v>111</v>
      </c>
      <c r="P1620" s="93" t="s">
        <v>111</v>
      </c>
      <c r="Q1620" s="93" t="s">
        <v>111</v>
      </c>
      <c r="R1620" s="93" t="s">
        <v>111</v>
      </c>
      <c r="S1620" s="93" t="s">
        <v>2</v>
      </c>
      <c r="T1620" s="93" t="s">
        <v>111</v>
      </c>
      <c r="U1620" s="93" t="s">
        <v>116</v>
      </c>
      <c r="V1620" s="94">
        <v>44610.209027777775</v>
      </c>
      <c r="W1620" s="93" t="s">
        <v>7072</v>
      </c>
      <c r="X1620" s="93" t="s">
        <v>24</v>
      </c>
    </row>
    <row r="1621" spans="1:24" hidden="1" x14ac:dyDescent="0.15">
      <c r="A1621" s="93" t="s">
        <v>181</v>
      </c>
      <c r="B1621" s="93" t="s">
        <v>844</v>
      </c>
      <c r="C1621" s="410">
        <v>640.04999999999995</v>
      </c>
      <c r="D1621" s="93" t="s">
        <v>24</v>
      </c>
      <c r="E1621" s="93" t="s">
        <v>24</v>
      </c>
      <c r="F1621" s="93" t="s">
        <v>126</v>
      </c>
      <c r="G1621" s="93" t="s">
        <v>7185</v>
      </c>
      <c r="H1621" s="93" t="s">
        <v>400</v>
      </c>
      <c r="I1621" s="93" t="s">
        <v>111</v>
      </c>
      <c r="J1621" s="93" t="s">
        <v>7105</v>
      </c>
      <c r="K1621" s="93" t="s">
        <v>111</v>
      </c>
      <c r="L1621" s="93" t="s">
        <v>111</v>
      </c>
      <c r="M1621" s="93" t="s">
        <v>111</v>
      </c>
      <c r="N1621" s="93" t="s">
        <v>111</v>
      </c>
      <c r="O1621" s="93" t="s">
        <v>111</v>
      </c>
      <c r="P1621" s="93" t="s">
        <v>111</v>
      </c>
      <c r="Q1621" s="93" t="s">
        <v>111</v>
      </c>
      <c r="R1621" s="93" t="s">
        <v>111</v>
      </c>
      <c r="S1621" s="93" t="s">
        <v>2</v>
      </c>
      <c r="T1621" s="93" t="s">
        <v>111</v>
      </c>
      <c r="U1621" s="93" t="s">
        <v>116</v>
      </c>
      <c r="V1621" s="94">
        <v>44610.185416666667</v>
      </c>
      <c r="W1621" s="93" t="s">
        <v>7072</v>
      </c>
      <c r="X1621" s="93" t="s">
        <v>24</v>
      </c>
    </row>
    <row r="1622" spans="1:24" hidden="1" x14ac:dyDescent="0.15">
      <c r="A1622" s="93" t="s">
        <v>182</v>
      </c>
      <c r="B1622" s="93" t="s">
        <v>845</v>
      </c>
      <c r="C1622" s="410">
        <v>17.78</v>
      </c>
      <c r="D1622" s="93" t="s">
        <v>24</v>
      </c>
      <c r="E1622" s="93" t="s">
        <v>24</v>
      </c>
      <c r="F1622" s="93" t="s">
        <v>126</v>
      </c>
      <c r="G1622" s="93" t="s">
        <v>7185</v>
      </c>
      <c r="H1622" s="93" t="s">
        <v>400</v>
      </c>
      <c r="I1622" s="93" t="s">
        <v>111</v>
      </c>
      <c r="J1622" s="93" t="s">
        <v>7105</v>
      </c>
      <c r="K1622" s="93" t="s">
        <v>111</v>
      </c>
      <c r="L1622" s="93" t="s">
        <v>111</v>
      </c>
      <c r="M1622" s="93" t="s">
        <v>111</v>
      </c>
      <c r="N1622" s="93" t="s">
        <v>111</v>
      </c>
      <c r="O1622" s="93" t="s">
        <v>111</v>
      </c>
      <c r="P1622" s="93" t="s">
        <v>111</v>
      </c>
      <c r="Q1622" s="93" t="s">
        <v>111</v>
      </c>
      <c r="R1622" s="93" t="s">
        <v>111</v>
      </c>
      <c r="S1622" s="93" t="s">
        <v>2</v>
      </c>
      <c r="T1622" s="93" t="s">
        <v>111</v>
      </c>
      <c r="U1622" s="93" t="s">
        <v>116</v>
      </c>
      <c r="V1622" s="94">
        <v>44610.152083333334</v>
      </c>
      <c r="W1622" s="93" t="s">
        <v>7072</v>
      </c>
      <c r="X1622" s="93" t="s">
        <v>24</v>
      </c>
    </row>
    <row r="1623" spans="1:24" hidden="1" x14ac:dyDescent="0.15">
      <c r="A1623" s="93" t="s">
        <v>183</v>
      </c>
      <c r="B1623" s="93" t="s">
        <v>846</v>
      </c>
      <c r="C1623" s="410">
        <v>772.65</v>
      </c>
      <c r="D1623" s="93" t="s">
        <v>24</v>
      </c>
      <c r="E1623" s="93" t="s">
        <v>24</v>
      </c>
      <c r="F1623" s="93" t="s">
        <v>126</v>
      </c>
      <c r="G1623" s="93" t="s">
        <v>7185</v>
      </c>
      <c r="H1623" s="93" t="s">
        <v>400</v>
      </c>
      <c r="I1623" s="93" t="s">
        <v>111</v>
      </c>
      <c r="J1623" s="93" t="s">
        <v>7105</v>
      </c>
      <c r="K1623" s="93" t="s">
        <v>111</v>
      </c>
      <c r="L1623" s="93" t="s">
        <v>111</v>
      </c>
      <c r="M1623" s="93" t="s">
        <v>111</v>
      </c>
      <c r="N1623" s="93" t="s">
        <v>111</v>
      </c>
      <c r="O1623" s="93" t="s">
        <v>111</v>
      </c>
      <c r="P1623" s="93" t="s">
        <v>111</v>
      </c>
      <c r="Q1623" s="93" t="s">
        <v>111</v>
      </c>
      <c r="R1623" s="93" t="s">
        <v>111</v>
      </c>
      <c r="S1623" s="93" t="s">
        <v>2</v>
      </c>
      <c r="T1623" s="93" t="s">
        <v>111</v>
      </c>
      <c r="U1623" s="93" t="s">
        <v>116</v>
      </c>
      <c r="V1623" s="94">
        <v>44610.191666666666</v>
      </c>
      <c r="W1623" s="93" t="s">
        <v>7072</v>
      </c>
      <c r="X1623" s="93" t="s">
        <v>24</v>
      </c>
    </row>
    <row r="1624" spans="1:24" hidden="1" x14ac:dyDescent="0.15">
      <c r="A1624" s="93" t="s">
        <v>184</v>
      </c>
      <c r="B1624" s="93" t="s">
        <v>847</v>
      </c>
      <c r="C1624" s="410">
        <v>21.46</v>
      </c>
      <c r="D1624" s="93" t="s">
        <v>24</v>
      </c>
      <c r="E1624" s="93" t="s">
        <v>24</v>
      </c>
      <c r="F1624" s="93" t="s">
        <v>126</v>
      </c>
      <c r="G1624" s="93" t="s">
        <v>7185</v>
      </c>
      <c r="H1624" s="93" t="s">
        <v>400</v>
      </c>
      <c r="I1624" s="93" t="s">
        <v>111</v>
      </c>
      <c r="J1624" s="93" t="s">
        <v>7105</v>
      </c>
      <c r="K1624" s="93" t="s">
        <v>111</v>
      </c>
      <c r="L1624" s="93" t="s">
        <v>111</v>
      </c>
      <c r="M1624" s="93" t="s">
        <v>111</v>
      </c>
      <c r="N1624" s="93" t="s">
        <v>111</v>
      </c>
      <c r="O1624" s="93" t="s">
        <v>111</v>
      </c>
      <c r="P1624" s="93" t="s">
        <v>111</v>
      </c>
      <c r="Q1624" s="93" t="s">
        <v>111</v>
      </c>
      <c r="R1624" s="93" t="s">
        <v>111</v>
      </c>
      <c r="S1624" s="93" t="s">
        <v>2</v>
      </c>
      <c r="T1624" s="93" t="s">
        <v>111</v>
      </c>
      <c r="U1624" s="93" t="s">
        <v>116</v>
      </c>
      <c r="V1624" s="94">
        <v>44610.143750000003</v>
      </c>
      <c r="W1624" s="93" t="s">
        <v>7072</v>
      </c>
      <c r="X1624" s="93" t="s">
        <v>24</v>
      </c>
    </row>
    <row r="1625" spans="1:24" hidden="1" x14ac:dyDescent="0.15">
      <c r="A1625" s="93" t="s">
        <v>185</v>
      </c>
      <c r="B1625" s="93" t="s">
        <v>848</v>
      </c>
      <c r="C1625" s="410">
        <v>1071</v>
      </c>
      <c r="D1625" s="93" t="s">
        <v>24</v>
      </c>
      <c r="E1625" s="93" t="s">
        <v>24</v>
      </c>
      <c r="F1625" s="93" t="s">
        <v>126</v>
      </c>
      <c r="G1625" s="93" t="s">
        <v>7185</v>
      </c>
      <c r="H1625" s="93" t="s">
        <v>400</v>
      </c>
      <c r="I1625" s="93" t="s">
        <v>111</v>
      </c>
      <c r="J1625" s="93" t="s">
        <v>118</v>
      </c>
      <c r="K1625" s="93">
        <v>3</v>
      </c>
      <c r="L1625" s="93" t="s">
        <v>111</v>
      </c>
      <c r="M1625" s="93" t="s">
        <v>111</v>
      </c>
      <c r="N1625" s="93" t="s">
        <v>111</v>
      </c>
      <c r="O1625" s="93" t="s">
        <v>111</v>
      </c>
      <c r="P1625" s="93" t="s">
        <v>111</v>
      </c>
      <c r="Q1625" s="93" t="s">
        <v>111</v>
      </c>
      <c r="R1625" s="93" t="s">
        <v>111</v>
      </c>
      <c r="S1625" s="93" t="s">
        <v>2</v>
      </c>
      <c r="T1625" s="93" t="s">
        <v>111</v>
      </c>
      <c r="U1625" s="93" t="s">
        <v>116</v>
      </c>
      <c r="V1625" s="94">
        <v>44610.151388888888</v>
      </c>
      <c r="W1625" s="93" t="s">
        <v>7072</v>
      </c>
      <c r="X1625" s="93" t="s">
        <v>24</v>
      </c>
    </row>
    <row r="1626" spans="1:24" hidden="1" x14ac:dyDescent="0.15">
      <c r="A1626" s="93" t="s">
        <v>186</v>
      </c>
      <c r="B1626" s="93" t="s">
        <v>849</v>
      </c>
      <c r="C1626" s="410">
        <v>29.75</v>
      </c>
      <c r="D1626" s="93" t="s">
        <v>24</v>
      </c>
      <c r="E1626" s="93" t="s">
        <v>24</v>
      </c>
      <c r="F1626" s="93" t="s">
        <v>126</v>
      </c>
      <c r="G1626" s="93" t="s">
        <v>7185</v>
      </c>
      <c r="H1626" s="93" t="s">
        <v>400</v>
      </c>
      <c r="I1626" s="93" t="s">
        <v>111</v>
      </c>
      <c r="J1626" s="93" t="s">
        <v>7105</v>
      </c>
      <c r="K1626" s="93" t="s">
        <v>111</v>
      </c>
      <c r="L1626" s="93" t="s">
        <v>111</v>
      </c>
      <c r="M1626" s="93" t="s">
        <v>111</v>
      </c>
      <c r="N1626" s="93" t="s">
        <v>111</v>
      </c>
      <c r="O1626" s="93" t="s">
        <v>111</v>
      </c>
      <c r="P1626" s="93" t="s">
        <v>111</v>
      </c>
      <c r="Q1626" s="93" t="s">
        <v>111</v>
      </c>
      <c r="R1626" s="93" t="s">
        <v>111</v>
      </c>
      <c r="S1626" s="93" t="s">
        <v>2</v>
      </c>
      <c r="T1626" s="93" t="s">
        <v>111</v>
      </c>
      <c r="U1626" s="93" t="s">
        <v>116</v>
      </c>
      <c r="V1626" s="94">
        <v>44610.169444444444</v>
      </c>
      <c r="W1626" s="93" t="s">
        <v>7072</v>
      </c>
      <c r="X1626" s="93" t="s">
        <v>24</v>
      </c>
    </row>
    <row r="1627" spans="1:24" hidden="1" x14ac:dyDescent="0.15">
      <c r="A1627" s="93" t="s">
        <v>187</v>
      </c>
      <c r="B1627" s="93" t="s">
        <v>850</v>
      </c>
      <c r="C1627" s="410">
        <v>535.5</v>
      </c>
      <c r="D1627" s="93" t="s">
        <v>24</v>
      </c>
      <c r="E1627" s="93" t="s">
        <v>24</v>
      </c>
      <c r="F1627" s="93" t="s">
        <v>126</v>
      </c>
      <c r="G1627" s="93" t="s">
        <v>7185</v>
      </c>
      <c r="H1627" s="93" t="s">
        <v>400</v>
      </c>
      <c r="I1627" s="93" t="s">
        <v>111</v>
      </c>
      <c r="J1627" s="93" t="s">
        <v>7105</v>
      </c>
      <c r="K1627" s="93" t="s">
        <v>111</v>
      </c>
      <c r="L1627" s="93" t="s">
        <v>111</v>
      </c>
      <c r="M1627" s="93" t="s">
        <v>111</v>
      </c>
      <c r="N1627" s="93" t="s">
        <v>111</v>
      </c>
      <c r="O1627" s="93" t="s">
        <v>111</v>
      </c>
      <c r="P1627" s="93" t="s">
        <v>111</v>
      </c>
      <c r="Q1627" s="93" t="s">
        <v>111</v>
      </c>
      <c r="R1627" s="93" t="s">
        <v>111</v>
      </c>
      <c r="S1627" s="93" t="s">
        <v>2</v>
      </c>
      <c r="T1627" s="93" t="s">
        <v>111</v>
      </c>
      <c r="U1627" s="93" t="s">
        <v>116</v>
      </c>
      <c r="V1627" s="94">
        <v>44610.151388888888</v>
      </c>
      <c r="W1627" s="93" t="s">
        <v>7072</v>
      </c>
      <c r="X1627" s="93" t="s">
        <v>24</v>
      </c>
    </row>
    <row r="1628" spans="1:24" hidden="1" x14ac:dyDescent="0.15">
      <c r="A1628" s="93" t="s">
        <v>188</v>
      </c>
      <c r="B1628" s="93" t="s">
        <v>851</v>
      </c>
      <c r="C1628" s="410">
        <v>14.88</v>
      </c>
      <c r="D1628" s="93" t="s">
        <v>24</v>
      </c>
      <c r="E1628" s="93" t="s">
        <v>24</v>
      </c>
      <c r="F1628" s="93" t="s">
        <v>126</v>
      </c>
      <c r="G1628" s="93" t="s">
        <v>7185</v>
      </c>
      <c r="H1628" s="93" t="s">
        <v>400</v>
      </c>
      <c r="I1628" s="93" t="s">
        <v>111</v>
      </c>
      <c r="J1628" s="93" t="s">
        <v>7105</v>
      </c>
      <c r="K1628" s="93" t="s">
        <v>111</v>
      </c>
      <c r="L1628" s="93" t="s">
        <v>111</v>
      </c>
      <c r="M1628" s="93" t="s">
        <v>111</v>
      </c>
      <c r="N1628" s="93" t="s">
        <v>111</v>
      </c>
      <c r="O1628" s="93" t="s">
        <v>111</v>
      </c>
      <c r="P1628" s="93" t="s">
        <v>111</v>
      </c>
      <c r="Q1628" s="93" t="s">
        <v>111</v>
      </c>
      <c r="R1628" s="93" t="s">
        <v>111</v>
      </c>
      <c r="S1628" s="93" t="s">
        <v>2</v>
      </c>
      <c r="T1628" s="93" t="s">
        <v>111</v>
      </c>
      <c r="U1628" s="93" t="s">
        <v>116</v>
      </c>
      <c r="V1628" s="94">
        <v>44610.144444444442</v>
      </c>
      <c r="W1628" s="93" t="s">
        <v>7072</v>
      </c>
      <c r="X1628" s="93" t="s">
        <v>24</v>
      </c>
    </row>
    <row r="1629" spans="1:24" hidden="1" x14ac:dyDescent="0.15">
      <c r="A1629" s="93" t="s">
        <v>189</v>
      </c>
      <c r="B1629" s="93" t="s">
        <v>203</v>
      </c>
      <c r="C1629" s="410">
        <v>76</v>
      </c>
      <c r="D1629" s="93" t="s">
        <v>24</v>
      </c>
      <c r="E1629" s="93" t="s">
        <v>24</v>
      </c>
      <c r="F1629" s="93" t="s">
        <v>126</v>
      </c>
      <c r="G1629" s="93" t="s">
        <v>7185</v>
      </c>
      <c r="H1629" s="93" t="s">
        <v>400</v>
      </c>
      <c r="I1629" s="93" t="s">
        <v>111</v>
      </c>
      <c r="J1629" s="93" t="s">
        <v>7105</v>
      </c>
      <c r="K1629" s="93" t="s">
        <v>111</v>
      </c>
      <c r="L1629" s="93" t="s">
        <v>111</v>
      </c>
      <c r="M1629" s="93" t="s">
        <v>111</v>
      </c>
      <c r="N1629" s="93" t="s">
        <v>111</v>
      </c>
      <c r="O1629" s="93" t="s">
        <v>111</v>
      </c>
      <c r="P1629" s="93" t="s">
        <v>111</v>
      </c>
      <c r="Q1629" s="93" t="s">
        <v>111</v>
      </c>
      <c r="R1629" s="93" t="s">
        <v>111</v>
      </c>
      <c r="S1629" s="93" t="s">
        <v>2</v>
      </c>
      <c r="T1629" s="93" t="s">
        <v>111</v>
      </c>
      <c r="U1629" s="93" t="s">
        <v>116</v>
      </c>
      <c r="V1629" s="94">
        <v>44610.138194444444</v>
      </c>
      <c r="W1629" s="93" t="s">
        <v>7072</v>
      </c>
      <c r="X1629" s="93" t="s">
        <v>24</v>
      </c>
    </row>
    <row r="1630" spans="1:24" hidden="1" x14ac:dyDescent="0.15">
      <c r="A1630" s="93" t="s">
        <v>190</v>
      </c>
      <c r="B1630" s="93" t="s">
        <v>852</v>
      </c>
      <c r="C1630" s="410">
        <v>1.27</v>
      </c>
      <c r="D1630" s="93" t="s">
        <v>24</v>
      </c>
      <c r="E1630" s="93" t="s">
        <v>24</v>
      </c>
      <c r="F1630" s="93" t="s">
        <v>126</v>
      </c>
      <c r="G1630" s="93" t="s">
        <v>7185</v>
      </c>
      <c r="H1630" s="93" t="s">
        <v>400</v>
      </c>
      <c r="I1630" s="93" t="s">
        <v>111</v>
      </c>
      <c r="J1630" s="93" t="s">
        <v>7105</v>
      </c>
      <c r="K1630" s="93" t="s">
        <v>111</v>
      </c>
      <c r="L1630" s="93" t="s">
        <v>111</v>
      </c>
      <c r="M1630" s="93" t="s">
        <v>111</v>
      </c>
      <c r="N1630" s="93" t="s">
        <v>111</v>
      </c>
      <c r="O1630" s="93" t="s">
        <v>111</v>
      </c>
      <c r="P1630" s="93" t="s">
        <v>111</v>
      </c>
      <c r="Q1630" s="93" t="s">
        <v>111</v>
      </c>
      <c r="R1630" s="93" t="s">
        <v>111</v>
      </c>
      <c r="S1630" s="93" t="s">
        <v>2</v>
      </c>
      <c r="T1630" s="93" t="s">
        <v>111</v>
      </c>
      <c r="U1630" s="93" t="s">
        <v>116</v>
      </c>
      <c r="V1630" s="94">
        <v>44610.138888888891</v>
      </c>
      <c r="W1630" s="93" t="s">
        <v>7072</v>
      </c>
      <c r="X1630" s="93" t="s">
        <v>24</v>
      </c>
    </row>
    <row r="1631" spans="1:24" hidden="1" x14ac:dyDescent="0.15">
      <c r="A1631" s="93" t="s">
        <v>191</v>
      </c>
      <c r="B1631" s="93" t="s">
        <v>206</v>
      </c>
      <c r="C1631" s="410">
        <v>380</v>
      </c>
      <c r="D1631" s="93" t="s">
        <v>24</v>
      </c>
      <c r="E1631" s="93" t="s">
        <v>24</v>
      </c>
      <c r="F1631" s="93" t="s">
        <v>126</v>
      </c>
      <c r="G1631" s="93" t="s">
        <v>7185</v>
      </c>
      <c r="H1631" s="93" t="s">
        <v>400</v>
      </c>
      <c r="I1631" s="93" t="s">
        <v>111</v>
      </c>
      <c r="J1631" s="93" t="s">
        <v>7105</v>
      </c>
      <c r="K1631" s="93" t="s">
        <v>111</v>
      </c>
      <c r="L1631" s="93" t="s">
        <v>111</v>
      </c>
      <c r="M1631" s="93" t="s">
        <v>111</v>
      </c>
      <c r="N1631" s="93" t="s">
        <v>111</v>
      </c>
      <c r="O1631" s="93" t="s">
        <v>111</v>
      </c>
      <c r="P1631" s="93" t="s">
        <v>111</v>
      </c>
      <c r="Q1631" s="93" t="s">
        <v>111</v>
      </c>
      <c r="R1631" s="93" t="s">
        <v>111</v>
      </c>
      <c r="S1631" s="93" t="s">
        <v>2</v>
      </c>
      <c r="T1631" s="93" t="s">
        <v>111</v>
      </c>
      <c r="U1631" s="93" t="s">
        <v>116</v>
      </c>
      <c r="V1631" s="94">
        <v>44610.191666666666</v>
      </c>
      <c r="W1631" s="93" t="s">
        <v>7072</v>
      </c>
      <c r="X1631" s="93" t="s">
        <v>24</v>
      </c>
    </row>
    <row r="1632" spans="1:24" hidden="1" x14ac:dyDescent="0.15">
      <c r="A1632" s="93" t="s">
        <v>192</v>
      </c>
      <c r="B1632" s="93" t="s">
        <v>209</v>
      </c>
      <c r="C1632" s="410">
        <v>196</v>
      </c>
      <c r="D1632" s="93" t="s">
        <v>24</v>
      </c>
      <c r="E1632" s="93" t="s">
        <v>24</v>
      </c>
      <c r="F1632" s="93" t="s">
        <v>126</v>
      </c>
      <c r="G1632" s="93" t="s">
        <v>7185</v>
      </c>
      <c r="H1632" s="93" t="s">
        <v>400</v>
      </c>
      <c r="I1632" s="93" t="s">
        <v>111</v>
      </c>
      <c r="J1632" s="93" t="s">
        <v>7105</v>
      </c>
      <c r="K1632" s="93" t="s">
        <v>111</v>
      </c>
      <c r="L1632" s="93" t="s">
        <v>111</v>
      </c>
      <c r="M1632" s="93" t="s">
        <v>111</v>
      </c>
      <c r="N1632" s="93" t="s">
        <v>111</v>
      </c>
      <c r="O1632" s="93" t="s">
        <v>111</v>
      </c>
      <c r="P1632" s="93" t="s">
        <v>111</v>
      </c>
      <c r="Q1632" s="93" t="s">
        <v>111</v>
      </c>
      <c r="R1632" s="93" t="s">
        <v>111</v>
      </c>
      <c r="S1632" s="93" t="s">
        <v>2</v>
      </c>
      <c r="T1632" s="93" t="s">
        <v>111</v>
      </c>
      <c r="U1632" s="93" t="s">
        <v>116</v>
      </c>
      <c r="V1632" s="94">
        <v>44610.185416666667</v>
      </c>
      <c r="W1632" s="93" t="s">
        <v>7072</v>
      </c>
      <c r="X1632" s="93" t="s">
        <v>24</v>
      </c>
    </row>
    <row r="1633" spans="1:24" hidden="1" x14ac:dyDescent="0.15">
      <c r="A1633" s="93" t="s">
        <v>193</v>
      </c>
      <c r="B1633" s="93" t="s">
        <v>212</v>
      </c>
      <c r="C1633" s="410">
        <v>224</v>
      </c>
      <c r="D1633" s="93" t="s">
        <v>24</v>
      </c>
      <c r="E1633" s="93" t="s">
        <v>24</v>
      </c>
      <c r="F1633" s="93" t="s">
        <v>126</v>
      </c>
      <c r="G1633" s="93" t="s">
        <v>7185</v>
      </c>
      <c r="H1633" s="93" t="s">
        <v>400</v>
      </c>
      <c r="I1633" s="93" t="s">
        <v>111</v>
      </c>
      <c r="J1633" s="93" t="s">
        <v>7105</v>
      </c>
      <c r="K1633" s="93" t="s">
        <v>111</v>
      </c>
      <c r="L1633" s="93" t="s">
        <v>111</v>
      </c>
      <c r="M1633" s="93" t="s">
        <v>111</v>
      </c>
      <c r="N1633" s="93" t="s">
        <v>111</v>
      </c>
      <c r="O1633" s="93" t="s">
        <v>111</v>
      </c>
      <c r="P1633" s="93" t="s">
        <v>111</v>
      </c>
      <c r="Q1633" s="93" t="s">
        <v>111</v>
      </c>
      <c r="R1633" s="93" t="s">
        <v>111</v>
      </c>
      <c r="S1633" s="93" t="s">
        <v>2</v>
      </c>
      <c r="T1633" s="93" t="s">
        <v>111</v>
      </c>
      <c r="U1633" s="93" t="s">
        <v>116</v>
      </c>
      <c r="V1633" s="94">
        <v>44610.191666666666</v>
      </c>
      <c r="W1633" s="93" t="s">
        <v>7072</v>
      </c>
      <c r="X1633" s="93" t="s">
        <v>24</v>
      </c>
    </row>
    <row r="1634" spans="1:24" hidden="1" x14ac:dyDescent="0.15">
      <c r="A1634" s="93" t="s">
        <v>194</v>
      </c>
      <c r="B1634" s="93" t="s">
        <v>215</v>
      </c>
      <c r="C1634" s="410">
        <v>276</v>
      </c>
      <c r="D1634" s="93" t="s">
        <v>24</v>
      </c>
      <c r="E1634" s="93" t="s">
        <v>24</v>
      </c>
      <c r="F1634" s="93" t="s">
        <v>126</v>
      </c>
      <c r="G1634" s="93" t="s">
        <v>7185</v>
      </c>
      <c r="H1634" s="93" t="s">
        <v>400</v>
      </c>
      <c r="I1634" s="93" t="s">
        <v>111</v>
      </c>
      <c r="J1634" s="93" t="s">
        <v>7105</v>
      </c>
      <c r="K1634" s="93" t="s">
        <v>111</v>
      </c>
      <c r="L1634" s="93" t="s">
        <v>111</v>
      </c>
      <c r="M1634" s="93" t="s">
        <v>111</v>
      </c>
      <c r="N1634" s="93" t="s">
        <v>111</v>
      </c>
      <c r="O1634" s="93" t="s">
        <v>111</v>
      </c>
      <c r="P1634" s="93" t="s">
        <v>111</v>
      </c>
      <c r="Q1634" s="93" t="s">
        <v>111</v>
      </c>
      <c r="R1634" s="93" t="s">
        <v>111</v>
      </c>
      <c r="S1634" s="93" t="s">
        <v>2</v>
      </c>
      <c r="T1634" s="93" t="s">
        <v>111</v>
      </c>
      <c r="U1634" s="93" t="s">
        <v>116</v>
      </c>
      <c r="V1634" s="94">
        <v>44610.177083333336</v>
      </c>
      <c r="W1634" s="93" t="s">
        <v>7072</v>
      </c>
      <c r="X1634" s="93" t="s">
        <v>24</v>
      </c>
    </row>
    <row r="1635" spans="1:24" hidden="1" x14ac:dyDescent="0.15">
      <c r="A1635" s="93" t="s">
        <v>195</v>
      </c>
      <c r="B1635" s="93" t="s">
        <v>218</v>
      </c>
      <c r="C1635" s="410">
        <v>244</v>
      </c>
      <c r="D1635" s="93" t="s">
        <v>24</v>
      </c>
      <c r="E1635" s="93" t="s">
        <v>24</v>
      </c>
      <c r="F1635" s="93" t="s">
        <v>126</v>
      </c>
      <c r="G1635" s="93" t="s">
        <v>7185</v>
      </c>
      <c r="H1635" s="93" t="s">
        <v>400</v>
      </c>
      <c r="I1635" s="93" t="s">
        <v>111</v>
      </c>
      <c r="J1635" s="93" t="s">
        <v>7105</v>
      </c>
      <c r="K1635" s="93" t="s">
        <v>111</v>
      </c>
      <c r="L1635" s="93" t="s">
        <v>111</v>
      </c>
      <c r="M1635" s="93" t="s">
        <v>111</v>
      </c>
      <c r="N1635" s="93" t="s">
        <v>111</v>
      </c>
      <c r="O1635" s="93" t="s">
        <v>111</v>
      </c>
      <c r="P1635" s="93" t="s">
        <v>111</v>
      </c>
      <c r="Q1635" s="93" t="s">
        <v>111</v>
      </c>
      <c r="R1635" s="93" t="s">
        <v>111</v>
      </c>
      <c r="S1635" s="93" t="s">
        <v>2</v>
      </c>
      <c r="T1635" s="93" t="s">
        <v>111</v>
      </c>
      <c r="U1635" s="93" t="s">
        <v>116</v>
      </c>
      <c r="V1635" s="94">
        <v>44610.143750000003</v>
      </c>
      <c r="W1635" s="93" t="s">
        <v>7072</v>
      </c>
      <c r="X1635" s="93" t="s">
        <v>24</v>
      </c>
    </row>
    <row r="1636" spans="1:24" hidden="1" x14ac:dyDescent="0.15">
      <c r="A1636" s="93" t="s">
        <v>196</v>
      </c>
      <c r="B1636" s="93" t="s">
        <v>853</v>
      </c>
      <c r="C1636" s="410">
        <v>64</v>
      </c>
      <c r="D1636" s="93" t="s">
        <v>24</v>
      </c>
      <c r="E1636" s="93" t="s">
        <v>24</v>
      </c>
      <c r="F1636" s="93" t="s">
        <v>126</v>
      </c>
      <c r="G1636" s="93" t="s">
        <v>7185</v>
      </c>
      <c r="H1636" s="93" t="s">
        <v>400</v>
      </c>
      <c r="I1636" s="93" t="s">
        <v>111</v>
      </c>
      <c r="J1636" s="93" t="s">
        <v>7105</v>
      </c>
      <c r="K1636" s="93" t="s">
        <v>111</v>
      </c>
      <c r="L1636" s="93" t="s">
        <v>111</v>
      </c>
      <c r="M1636" s="93" t="s">
        <v>111</v>
      </c>
      <c r="N1636" s="93" t="s">
        <v>111</v>
      </c>
      <c r="O1636" s="93" t="s">
        <v>111</v>
      </c>
      <c r="P1636" s="93" t="s">
        <v>111</v>
      </c>
      <c r="Q1636" s="93" t="s">
        <v>111</v>
      </c>
      <c r="R1636" s="93" t="s">
        <v>111</v>
      </c>
      <c r="S1636" s="93" t="s">
        <v>2</v>
      </c>
      <c r="T1636" s="93" t="s">
        <v>111</v>
      </c>
      <c r="U1636" s="93" t="s">
        <v>116</v>
      </c>
      <c r="V1636" s="94">
        <v>44610.209027777775</v>
      </c>
      <c r="W1636" s="93" t="s">
        <v>7072</v>
      </c>
      <c r="X1636" s="93" t="s">
        <v>24</v>
      </c>
    </row>
    <row r="1637" spans="1:24" hidden="1" x14ac:dyDescent="0.15">
      <c r="A1637" s="93" t="s">
        <v>197</v>
      </c>
      <c r="B1637" s="93" t="s">
        <v>222</v>
      </c>
      <c r="C1637" s="410">
        <v>68</v>
      </c>
      <c r="D1637" s="93" t="s">
        <v>24</v>
      </c>
      <c r="E1637" s="93" t="s">
        <v>24</v>
      </c>
      <c r="F1637" s="93" t="s">
        <v>126</v>
      </c>
      <c r="G1637" s="93" t="s">
        <v>7185</v>
      </c>
      <c r="H1637" s="93" t="s">
        <v>400</v>
      </c>
      <c r="I1637" s="93" t="s">
        <v>111</v>
      </c>
      <c r="J1637" s="93" t="s">
        <v>7105</v>
      </c>
      <c r="K1637" s="93" t="s">
        <v>111</v>
      </c>
      <c r="L1637" s="93" t="s">
        <v>111</v>
      </c>
      <c r="M1637" s="93" t="s">
        <v>111</v>
      </c>
      <c r="N1637" s="93" t="s">
        <v>111</v>
      </c>
      <c r="O1637" s="93" t="s">
        <v>111</v>
      </c>
      <c r="P1637" s="93" t="s">
        <v>111</v>
      </c>
      <c r="Q1637" s="93" t="s">
        <v>111</v>
      </c>
      <c r="R1637" s="93" t="s">
        <v>111</v>
      </c>
      <c r="S1637" s="93" t="s">
        <v>2</v>
      </c>
      <c r="T1637" s="93" t="s">
        <v>111</v>
      </c>
      <c r="U1637" s="93" t="s">
        <v>116</v>
      </c>
      <c r="V1637" s="94">
        <v>44610.208333333336</v>
      </c>
      <c r="W1637" s="93" t="s">
        <v>7072</v>
      </c>
      <c r="X1637" s="93" t="s">
        <v>24</v>
      </c>
    </row>
    <row r="1638" spans="1:24" hidden="1" x14ac:dyDescent="0.15">
      <c r="A1638" s="93" t="s">
        <v>198</v>
      </c>
      <c r="B1638" s="93" t="s">
        <v>854</v>
      </c>
      <c r="C1638" s="410">
        <v>1.1299999999999999</v>
      </c>
      <c r="D1638" s="93" t="s">
        <v>24</v>
      </c>
      <c r="E1638" s="93" t="s">
        <v>24</v>
      </c>
      <c r="F1638" s="93" t="s">
        <v>126</v>
      </c>
      <c r="G1638" s="93" t="s">
        <v>7185</v>
      </c>
      <c r="H1638" s="93" t="s">
        <v>400</v>
      </c>
      <c r="I1638" s="93" t="s">
        <v>111</v>
      </c>
      <c r="J1638" s="93" t="s">
        <v>7105</v>
      </c>
      <c r="K1638" s="93" t="s">
        <v>111</v>
      </c>
      <c r="L1638" s="93" t="s">
        <v>111</v>
      </c>
      <c r="M1638" s="93" t="s">
        <v>111</v>
      </c>
      <c r="N1638" s="93" t="s">
        <v>111</v>
      </c>
      <c r="O1638" s="93" t="s">
        <v>111</v>
      </c>
      <c r="P1638" s="93" t="s">
        <v>111</v>
      </c>
      <c r="Q1638" s="93" t="s">
        <v>111</v>
      </c>
      <c r="R1638" s="93" t="s">
        <v>111</v>
      </c>
      <c r="S1638" s="93" t="s">
        <v>2</v>
      </c>
      <c r="T1638" s="93" t="s">
        <v>111</v>
      </c>
      <c r="U1638" s="93" t="s">
        <v>116</v>
      </c>
      <c r="V1638" s="94">
        <v>44610.186111111114</v>
      </c>
      <c r="W1638" s="93" t="s">
        <v>7072</v>
      </c>
      <c r="X1638" s="93" t="s">
        <v>24</v>
      </c>
    </row>
    <row r="1639" spans="1:24" hidden="1" x14ac:dyDescent="0.15">
      <c r="A1639" s="93" t="s">
        <v>199</v>
      </c>
      <c r="B1639" s="93" t="s">
        <v>855</v>
      </c>
      <c r="C1639" s="410">
        <v>148</v>
      </c>
      <c r="D1639" s="93" t="s">
        <v>24</v>
      </c>
      <c r="E1639" s="93" t="s">
        <v>24</v>
      </c>
      <c r="F1639" s="93" t="s">
        <v>126</v>
      </c>
      <c r="G1639" s="93" t="s">
        <v>7185</v>
      </c>
      <c r="H1639" s="93" t="s">
        <v>400</v>
      </c>
      <c r="I1639" s="93" t="s">
        <v>111</v>
      </c>
      <c r="J1639" s="93" t="s">
        <v>7105</v>
      </c>
      <c r="K1639" s="93" t="s">
        <v>111</v>
      </c>
      <c r="L1639" s="93" t="s">
        <v>111</v>
      </c>
      <c r="M1639" s="93" t="s">
        <v>111</v>
      </c>
      <c r="N1639" s="93" t="s">
        <v>111</v>
      </c>
      <c r="O1639" s="93" t="s">
        <v>111</v>
      </c>
      <c r="P1639" s="93" t="s">
        <v>111</v>
      </c>
      <c r="Q1639" s="93" t="s">
        <v>111</v>
      </c>
      <c r="R1639" s="93" t="s">
        <v>111</v>
      </c>
      <c r="S1639" s="93" t="s">
        <v>2</v>
      </c>
      <c r="T1639" s="93" t="s">
        <v>111</v>
      </c>
      <c r="U1639" s="93" t="s">
        <v>116</v>
      </c>
      <c r="V1639" s="94">
        <v>44610.186111111114</v>
      </c>
      <c r="W1639" s="93" t="s">
        <v>7072</v>
      </c>
      <c r="X1639" s="93" t="s">
        <v>24</v>
      </c>
    </row>
    <row r="1640" spans="1:24" hidden="1" x14ac:dyDescent="0.15">
      <c r="A1640" s="93" t="s">
        <v>200</v>
      </c>
      <c r="B1640" s="93" t="s">
        <v>856</v>
      </c>
      <c r="C1640" s="410">
        <v>2.4700000000000002</v>
      </c>
      <c r="D1640" s="93" t="s">
        <v>24</v>
      </c>
      <c r="E1640" s="93" t="s">
        <v>24</v>
      </c>
      <c r="F1640" s="93" t="s">
        <v>126</v>
      </c>
      <c r="G1640" s="93" t="s">
        <v>7185</v>
      </c>
      <c r="H1640" s="93" t="s">
        <v>400</v>
      </c>
      <c r="I1640" s="93" t="s">
        <v>111</v>
      </c>
      <c r="J1640" s="93" t="s">
        <v>7105</v>
      </c>
      <c r="K1640" s="93" t="s">
        <v>111</v>
      </c>
      <c r="L1640" s="93" t="s">
        <v>111</v>
      </c>
      <c r="M1640" s="93" t="s">
        <v>111</v>
      </c>
      <c r="N1640" s="93" t="s">
        <v>111</v>
      </c>
      <c r="O1640" s="93" t="s">
        <v>111</v>
      </c>
      <c r="P1640" s="93" t="s">
        <v>111</v>
      </c>
      <c r="Q1640" s="93" t="s">
        <v>111</v>
      </c>
      <c r="R1640" s="93" t="s">
        <v>111</v>
      </c>
      <c r="S1640" s="93" t="s">
        <v>2</v>
      </c>
      <c r="T1640" s="93" t="s">
        <v>111</v>
      </c>
      <c r="U1640" s="93" t="s">
        <v>116</v>
      </c>
      <c r="V1640" s="94">
        <v>44610.209027777775</v>
      </c>
      <c r="W1640" s="93" t="s">
        <v>7072</v>
      </c>
      <c r="X1640" s="93" t="s">
        <v>24</v>
      </c>
    </row>
    <row r="1641" spans="1:24" hidden="1" x14ac:dyDescent="0.15">
      <c r="A1641" s="93" t="s">
        <v>5996</v>
      </c>
      <c r="B1641" s="93" t="s">
        <v>7200</v>
      </c>
      <c r="C1641" s="410">
        <v>10</v>
      </c>
      <c r="D1641" s="93" t="s">
        <v>24</v>
      </c>
      <c r="E1641" s="93" t="s">
        <v>24</v>
      </c>
      <c r="F1641" s="93" t="s">
        <v>399</v>
      </c>
      <c r="G1641" s="93" t="s">
        <v>7185</v>
      </c>
      <c r="H1641" s="93" t="s">
        <v>400</v>
      </c>
      <c r="I1641" s="93" t="s">
        <v>111</v>
      </c>
      <c r="J1641" s="93" t="s">
        <v>7105</v>
      </c>
      <c r="K1641" s="93" t="s">
        <v>111</v>
      </c>
      <c r="L1641" s="93" t="s">
        <v>111</v>
      </c>
      <c r="M1641" s="93" t="s">
        <v>111</v>
      </c>
      <c r="N1641" s="93" t="s">
        <v>111</v>
      </c>
      <c r="O1641" s="93" t="s">
        <v>111</v>
      </c>
      <c r="P1641" s="93" t="s">
        <v>111</v>
      </c>
      <c r="Q1641" s="93" t="s">
        <v>111</v>
      </c>
      <c r="R1641" s="93" t="s">
        <v>228</v>
      </c>
      <c r="S1641" s="93" t="s">
        <v>111</v>
      </c>
      <c r="T1641" s="93" t="s">
        <v>115</v>
      </c>
      <c r="U1641" s="93" t="s">
        <v>116</v>
      </c>
      <c r="V1641" s="94">
        <v>44610.155555555553</v>
      </c>
      <c r="W1641" s="93" t="s">
        <v>7072</v>
      </c>
      <c r="X1641" s="93" t="s">
        <v>24</v>
      </c>
    </row>
    <row r="1642" spans="1:24" hidden="1" x14ac:dyDescent="0.15">
      <c r="A1642" s="93" t="s">
        <v>5997</v>
      </c>
      <c r="B1642" s="93" t="s">
        <v>7201</v>
      </c>
      <c r="C1642" s="410">
        <v>26</v>
      </c>
      <c r="D1642" s="93" t="s">
        <v>24</v>
      </c>
      <c r="E1642" s="93" t="s">
        <v>24</v>
      </c>
      <c r="F1642" s="93" t="s">
        <v>399</v>
      </c>
      <c r="G1642" s="93" t="s">
        <v>7185</v>
      </c>
      <c r="H1642" s="93" t="s">
        <v>400</v>
      </c>
      <c r="I1642" s="93" t="s">
        <v>111</v>
      </c>
      <c r="J1642" s="93" t="s">
        <v>7105</v>
      </c>
      <c r="K1642" s="93" t="s">
        <v>111</v>
      </c>
      <c r="L1642" s="93" t="s">
        <v>111</v>
      </c>
      <c r="M1642" s="93" t="s">
        <v>111</v>
      </c>
      <c r="N1642" s="93" t="s">
        <v>111</v>
      </c>
      <c r="O1642" s="93" t="s">
        <v>111</v>
      </c>
      <c r="P1642" s="93" t="s">
        <v>111</v>
      </c>
      <c r="Q1642" s="93" t="s">
        <v>111</v>
      </c>
      <c r="R1642" s="93" t="s">
        <v>228</v>
      </c>
      <c r="S1642" s="93" t="s">
        <v>111</v>
      </c>
      <c r="T1642" s="93" t="s">
        <v>115</v>
      </c>
      <c r="U1642" s="93" t="s">
        <v>116</v>
      </c>
      <c r="V1642" s="94">
        <v>44610.202777777777</v>
      </c>
      <c r="W1642" s="93" t="s">
        <v>7072</v>
      </c>
      <c r="X1642" s="93" t="s">
        <v>24</v>
      </c>
    </row>
    <row r="1643" spans="1:24" hidden="1" x14ac:dyDescent="0.15">
      <c r="A1643" s="93" t="s">
        <v>5998</v>
      </c>
      <c r="B1643" s="93" t="s">
        <v>7202</v>
      </c>
      <c r="C1643" s="410">
        <v>40</v>
      </c>
      <c r="D1643" s="93" t="s">
        <v>24</v>
      </c>
      <c r="E1643" s="93" t="s">
        <v>24</v>
      </c>
      <c r="F1643" s="93" t="s">
        <v>399</v>
      </c>
      <c r="G1643" s="93" t="s">
        <v>7185</v>
      </c>
      <c r="H1643" s="93" t="s">
        <v>400</v>
      </c>
      <c r="I1643" s="93" t="s">
        <v>111</v>
      </c>
      <c r="J1643" s="93" t="s">
        <v>7105</v>
      </c>
      <c r="K1643" s="93" t="s">
        <v>111</v>
      </c>
      <c r="L1643" s="93" t="s">
        <v>111</v>
      </c>
      <c r="M1643" s="93" t="s">
        <v>111</v>
      </c>
      <c r="N1643" s="93" t="s">
        <v>111</v>
      </c>
      <c r="O1643" s="93" t="s">
        <v>111</v>
      </c>
      <c r="P1643" s="93" t="s">
        <v>111</v>
      </c>
      <c r="Q1643" s="93" t="s">
        <v>111</v>
      </c>
      <c r="R1643" s="93" t="s">
        <v>228</v>
      </c>
      <c r="S1643" s="93" t="s">
        <v>111</v>
      </c>
      <c r="T1643" s="93" t="s">
        <v>115</v>
      </c>
      <c r="U1643" s="93" t="s">
        <v>116</v>
      </c>
      <c r="V1643" s="94">
        <v>44610.196527777778</v>
      </c>
      <c r="W1643" s="93" t="s">
        <v>7072</v>
      </c>
      <c r="X1643" s="93" t="s">
        <v>24</v>
      </c>
    </row>
    <row r="1644" spans="1:24" hidden="1" x14ac:dyDescent="0.15">
      <c r="A1644" s="93" t="s">
        <v>5999</v>
      </c>
      <c r="B1644" s="93" t="s">
        <v>7203</v>
      </c>
      <c r="C1644" s="410">
        <v>8</v>
      </c>
      <c r="D1644" s="93" t="s">
        <v>24</v>
      </c>
      <c r="E1644" s="93" t="s">
        <v>24</v>
      </c>
      <c r="F1644" s="93" t="s">
        <v>399</v>
      </c>
      <c r="G1644" s="93" t="s">
        <v>7185</v>
      </c>
      <c r="H1644" s="93" t="s">
        <v>400</v>
      </c>
      <c r="I1644" s="93" t="s">
        <v>111</v>
      </c>
      <c r="J1644" s="93" t="s">
        <v>7105</v>
      </c>
      <c r="K1644" s="93" t="s">
        <v>111</v>
      </c>
      <c r="L1644" s="93" t="s">
        <v>111</v>
      </c>
      <c r="M1644" s="93" t="s">
        <v>111</v>
      </c>
      <c r="N1644" s="93" t="s">
        <v>111</v>
      </c>
      <c r="O1644" s="93" t="s">
        <v>111</v>
      </c>
      <c r="P1644" s="93" t="s">
        <v>111</v>
      </c>
      <c r="Q1644" s="93" t="s">
        <v>111</v>
      </c>
      <c r="R1644" s="93" t="s">
        <v>228</v>
      </c>
      <c r="S1644" s="93" t="s">
        <v>111</v>
      </c>
      <c r="T1644" s="93" t="s">
        <v>115</v>
      </c>
      <c r="U1644" s="93" t="s">
        <v>116</v>
      </c>
      <c r="V1644" s="94">
        <v>44610.194444444445</v>
      </c>
      <c r="W1644" s="93" t="s">
        <v>7072</v>
      </c>
      <c r="X1644" s="93" t="s">
        <v>24</v>
      </c>
    </row>
    <row r="1645" spans="1:24" hidden="1" x14ac:dyDescent="0.15">
      <c r="A1645" s="93" t="s">
        <v>6000</v>
      </c>
      <c r="B1645" s="93" t="s">
        <v>7204</v>
      </c>
      <c r="C1645" s="410">
        <v>21</v>
      </c>
      <c r="D1645" s="93" t="s">
        <v>24</v>
      </c>
      <c r="E1645" s="93" t="s">
        <v>24</v>
      </c>
      <c r="F1645" s="93" t="s">
        <v>399</v>
      </c>
      <c r="G1645" s="93" t="s">
        <v>7185</v>
      </c>
      <c r="H1645" s="93" t="s">
        <v>400</v>
      </c>
      <c r="I1645" s="93" t="s">
        <v>111</v>
      </c>
      <c r="J1645" s="93" t="s">
        <v>7105</v>
      </c>
      <c r="K1645" s="93" t="s">
        <v>111</v>
      </c>
      <c r="L1645" s="93" t="s">
        <v>111</v>
      </c>
      <c r="M1645" s="93" t="s">
        <v>111</v>
      </c>
      <c r="N1645" s="93" t="s">
        <v>111</v>
      </c>
      <c r="O1645" s="93" t="s">
        <v>111</v>
      </c>
      <c r="P1645" s="93" t="s">
        <v>111</v>
      </c>
      <c r="Q1645" s="93" t="s">
        <v>111</v>
      </c>
      <c r="R1645" s="93" t="s">
        <v>228</v>
      </c>
      <c r="S1645" s="93" t="s">
        <v>111</v>
      </c>
      <c r="T1645" s="93" t="s">
        <v>115</v>
      </c>
      <c r="U1645" s="93" t="s">
        <v>116</v>
      </c>
      <c r="V1645" s="94">
        <v>44610.140972222223</v>
      </c>
      <c r="W1645" s="93" t="s">
        <v>7072</v>
      </c>
      <c r="X1645" s="93" t="s">
        <v>24</v>
      </c>
    </row>
    <row r="1646" spans="1:24" hidden="1" x14ac:dyDescent="0.15">
      <c r="A1646" s="93" t="s">
        <v>6001</v>
      </c>
      <c r="B1646" s="93" t="s">
        <v>7205</v>
      </c>
      <c r="C1646" s="410">
        <v>32</v>
      </c>
      <c r="D1646" s="93" t="s">
        <v>24</v>
      </c>
      <c r="E1646" s="93" t="s">
        <v>24</v>
      </c>
      <c r="F1646" s="93" t="s">
        <v>399</v>
      </c>
      <c r="G1646" s="93" t="s">
        <v>7185</v>
      </c>
      <c r="H1646" s="93" t="s">
        <v>400</v>
      </c>
      <c r="I1646" s="93" t="s">
        <v>111</v>
      </c>
      <c r="J1646" s="93" t="s">
        <v>7105</v>
      </c>
      <c r="K1646" s="93" t="s">
        <v>111</v>
      </c>
      <c r="L1646" s="93" t="s">
        <v>111</v>
      </c>
      <c r="M1646" s="93" t="s">
        <v>111</v>
      </c>
      <c r="N1646" s="93" t="s">
        <v>111</v>
      </c>
      <c r="O1646" s="93" t="s">
        <v>111</v>
      </c>
      <c r="P1646" s="93" t="s">
        <v>111</v>
      </c>
      <c r="Q1646" s="93" t="s">
        <v>111</v>
      </c>
      <c r="R1646" s="93" t="s">
        <v>228</v>
      </c>
      <c r="S1646" s="93" t="s">
        <v>111</v>
      </c>
      <c r="T1646" s="93" t="s">
        <v>115</v>
      </c>
      <c r="U1646" s="93" t="s">
        <v>116</v>
      </c>
      <c r="V1646" s="94">
        <v>44610.200694444444</v>
      </c>
      <c r="W1646" s="93" t="s">
        <v>7072</v>
      </c>
      <c r="X1646" s="93" t="s">
        <v>24</v>
      </c>
    </row>
    <row r="1647" spans="1:24" hidden="1" x14ac:dyDescent="0.15">
      <c r="A1647" s="93" t="s">
        <v>6002</v>
      </c>
      <c r="B1647" s="93" t="s">
        <v>7206</v>
      </c>
      <c r="C1647" s="410">
        <v>13</v>
      </c>
      <c r="D1647" s="93" t="s">
        <v>24</v>
      </c>
      <c r="E1647" s="93" t="s">
        <v>24</v>
      </c>
      <c r="F1647" s="93" t="s">
        <v>399</v>
      </c>
      <c r="G1647" s="93" t="s">
        <v>7185</v>
      </c>
      <c r="H1647" s="93" t="s">
        <v>400</v>
      </c>
      <c r="I1647" s="93" t="s">
        <v>111</v>
      </c>
      <c r="J1647" s="93" t="s">
        <v>7105</v>
      </c>
      <c r="K1647" s="93" t="s">
        <v>111</v>
      </c>
      <c r="L1647" s="93" t="s">
        <v>111</v>
      </c>
      <c r="M1647" s="93" t="s">
        <v>111</v>
      </c>
      <c r="N1647" s="93" t="s">
        <v>111</v>
      </c>
      <c r="O1647" s="93" t="s">
        <v>111</v>
      </c>
      <c r="P1647" s="93" t="s">
        <v>111</v>
      </c>
      <c r="Q1647" s="93" t="s">
        <v>111</v>
      </c>
      <c r="R1647" s="93" t="s">
        <v>228</v>
      </c>
      <c r="S1647" s="93" t="s">
        <v>111</v>
      </c>
      <c r="T1647" s="93" t="s">
        <v>115</v>
      </c>
      <c r="U1647" s="93" t="s">
        <v>116</v>
      </c>
      <c r="V1647" s="94">
        <v>44610.147222222222</v>
      </c>
      <c r="W1647" s="93" t="s">
        <v>7072</v>
      </c>
      <c r="X1647" s="93" t="s">
        <v>24</v>
      </c>
    </row>
    <row r="1648" spans="1:24" hidden="1" x14ac:dyDescent="0.15">
      <c r="A1648" s="93" t="s">
        <v>6003</v>
      </c>
      <c r="B1648" s="93" t="s">
        <v>7207</v>
      </c>
      <c r="C1648" s="410">
        <v>34</v>
      </c>
      <c r="D1648" s="93" t="s">
        <v>24</v>
      </c>
      <c r="E1648" s="93" t="s">
        <v>24</v>
      </c>
      <c r="F1648" s="93" t="s">
        <v>399</v>
      </c>
      <c r="G1648" s="93" t="s">
        <v>7185</v>
      </c>
      <c r="H1648" s="93" t="s">
        <v>400</v>
      </c>
      <c r="I1648" s="93" t="s">
        <v>111</v>
      </c>
      <c r="J1648" s="93" t="s">
        <v>7105</v>
      </c>
      <c r="K1648" s="93" t="s">
        <v>111</v>
      </c>
      <c r="L1648" s="93" t="s">
        <v>111</v>
      </c>
      <c r="M1648" s="93" t="s">
        <v>111</v>
      </c>
      <c r="N1648" s="93" t="s">
        <v>111</v>
      </c>
      <c r="O1648" s="93" t="s">
        <v>111</v>
      </c>
      <c r="P1648" s="93" t="s">
        <v>111</v>
      </c>
      <c r="Q1648" s="93" t="s">
        <v>111</v>
      </c>
      <c r="R1648" s="93" t="s">
        <v>228</v>
      </c>
      <c r="S1648" s="93" t="s">
        <v>111</v>
      </c>
      <c r="T1648" s="93" t="s">
        <v>115</v>
      </c>
      <c r="U1648" s="93" t="s">
        <v>116</v>
      </c>
      <c r="V1648" s="94">
        <v>44610.194444444445</v>
      </c>
      <c r="W1648" s="93" t="s">
        <v>7072</v>
      </c>
      <c r="X1648" s="93" t="s">
        <v>24</v>
      </c>
    </row>
    <row r="1649" spans="1:24" hidden="1" x14ac:dyDescent="0.15">
      <c r="A1649" s="93" t="s">
        <v>6004</v>
      </c>
      <c r="B1649" s="93" t="s">
        <v>7208</v>
      </c>
      <c r="C1649" s="410">
        <v>52</v>
      </c>
      <c r="D1649" s="93" t="s">
        <v>24</v>
      </c>
      <c r="E1649" s="93" t="s">
        <v>24</v>
      </c>
      <c r="F1649" s="93" t="s">
        <v>399</v>
      </c>
      <c r="G1649" s="93" t="s">
        <v>7185</v>
      </c>
      <c r="H1649" s="93" t="s">
        <v>400</v>
      </c>
      <c r="I1649" s="93" t="s">
        <v>111</v>
      </c>
      <c r="J1649" s="93" t="s">
        <v>7105</v>
      </c>
      <c r="K1649" s="93" t="s">
        <v>111</v>
      </c>
      <c r="L1649" s="93" t="s">
        <v>111</v>
      </c>
      <c r="M1649" s="93" t="s">
        <v>111</v>
      </c>
      <c r="N1649" s="93" t="s">
        <v>111</v>
      </c>
      <c r="O1649" s="93" t="s">
        <v>111</v>
      </c>
      <c r="P1649" s="93" t="s">
        <v>111</v>
      </c>
      <c r="Q1649" s="93" t="s">
        <v>111</v>
      </c>
      <c r="R1649" s="93" t="s">
        <v>228</v>
      </c>
      <c r="S1649" s="93" t="s">
        <v>111</v>
      </c>
      <c r="T1649" s="93" t="s">
        <v>115</v>
      </c>
      <c r="U1649" s="93" t="s">
        <v>116</v>
      </c>
      <c r="V1649" s="94">
        <v>44610.179166666669</v>
      </c>
      <c r="W1649" s="93" t="s">
        <v>7072</v>
      </c>
      <c r="X1649" s="93" t="s">
        <v>24</v>
      </c>
    </row>
    <row r="1650" spans="1:24" hidden="1" x14ac:dyDescent="0.15">
      <c r="A1650" s="93" t="s">
        <v>6009</v>
      </c>
      <c r="B1650" s="93" t="s">
        <v>6010</v>
      </c>
      <c r="C1650" s="410">
        <v>22</v>
      </c>
      <c r="D1650" s="93" t="s">
        <v>24</v>
      </c>
      <c r="E1650" s="93" t="s">
        <v>24</v>
      </c>
      <c r="F1650" s="93" t="s">
        <v>399</v>
      </c>
      <c r="G1650" s="93" t="s">
        <v>7185</v>
      </c>
      <c r="H1650" s="93" t="s">
        <v>400</v>
      </c>
      <c r="I1650" s="93" t="s">
        <v>111</v>
      </c>
      <c r="J1650" s="93" t="s">
        <v>7105</v>
      </c>
      <c r="K1650" s="93" t="s">
        <v>111</v>
      </c>
      <c r="L1650" s="93" t="s">
        <v>111</v>
      </c>
      <c r="M1650" s="93" t="s">
        <v>111</v>
      </c>
      <c r="N1650" s="93" t="s">
        <v>111</v>
      </c>
      <c r="O1650" s="93" t="s">
        <v>111</v>
      </c>
      <c r="P1650" s="93" t="s">
        <v>111</v>
      </c>
      <c r="Q1650" s="93" t="s">
        <v>111</v>
      </c>
      <c r="R1650" s="93" t="s">
        <v>228</v>
      </c>
      <c r="S1650" s="93" t="s">
        <v>111</v>
      </c>
      <c r="T1650" s="93" t="s">
        <v>115</v>
      </c>
      <c r="U1650" s="93" t="s">
        <v>116</v>
      </c>
      <c r="V1650" s="94">
        <v>44610.200694444444</v>
      </c>
      <c r="W1650" s="93" t="s">
        <v>7072</v>
      </c>
      <c r="X1650" s="93" t="s">
        <v>24</v>
      </c>
    </row>
    <row r="1651" spans="1:24" hidden="1" x14ac:dyDescent="0.15">
      <c r="A1651" s="93" t="s">
        <v>6011</v>
      </c>
      <c r="B1651" s="93" t="s">
        <v>7209</v>
      </c>
      <c r="C1651" s="410">
        <v>57</v>
      </c>
      <c r="D1651" s="93" t="s">
        <v>24</v>
      </c>
      <c r="E1651" s="93" t="s">
        <v>24</v>
      </c>
      <c r="F1651" s="93" t="s">
        <v>399</v>
      </c>
      <c r="G1651" s="93" t="s">
        <v>7185</v>
      </c>
      <c r="H1651" s="93" t="s">
        <v>400</v>
      </c>
      <c r="I1651" s="93" t="s">
        <v>111</v>
      </c>
      <c r="J1651" s="93" t="s">
        <v>7105</v>
      </c>
      <c r="K1651" s="93" t="s">
        <v>111</v>
      </c>
      <c r="L1651" s="93" t="s">
        <v>111</v>
      </c>
      <c r="M1651" s="93" t="s">
        <v>111</v>
      </c>
      <c r="N1651" s="93" t="s">
        <v>111</v>
      </c>
      <c r="O1651" s="93" t="s">
        <v>111</v>
      </c>
      <c r="P1651" s="93" t="s">
        <v>111</v>
      </c>
      <c r="Q1651" s="93" t="s">
        <v>111</v>
      </c>
      <c r="R1651" s="93" t="s">
        <v>228</v>
      </c>
      <c r="S1651" s="93" t="s">
        <v>111</v>
      </c>
      <c r="T1651" s="93" t="s">
        <v>115</v>
      </c>
      <c r="U1651" s="93" t="s">
        <v>116</v>
      </c>
      <c r="V1651" s="94">
        <v>44610.13958333333</v>
      </c>
      <c r="W1651" s="93" t="s">
        <v>7072</v>
      </c>
      <c r="X1651" s="93" t="s">
        <v>24</v>
      </c>
    </row>
    <row r="1652" spans="1:24" hidden="1" x14ac:dyDescent="0.15">
      <c r="A1652" s="93" t="s">
        <v>6012</v>
      </c>
      <c r="B1652" s="93" t="s">
        <v>7210</v>
      </c>
      <c r="C1652" s="410">
        <v>88</v>
      </c>
      <c r="D1652" s="93" t="s">
        <v>24</v>
      </c>
      <c r="E1652" s="93" t="s">
        <v>24</v>
      </c>
      <c r="F1652" s="93" t="s">
        <v>399</v>
      </c>
      <c r="G1652" s="93" t="s">
        <v>7185</v>
      </c>
      <c r="H1652" s="93" t="s">
        <v>400</v>
      </c>
      <c r="I1652" s="93" t="s">
        <v>111</v>
      </c>
      <c r="J1652" s="93" t="s">
        <v>7105</v>
      </c>
      <c r="K1652" s="93" t="s">
        <v>111</v>
      </c>
      <c r="L1652" s="93" t="s">
        <v>111</v>
      </c>
      <c r="M1652" s="93" t="s">
        <v>111</v>
      </c>
      <c r="N1652" s="93" t="s">
        <v>111</v>
      </c>
      <c r="O1652" s="93" t="s">
        <v>111</v>
      </c>
      <c r="P1652" s="93" t="s">
        <v>111</v>
      </c>
      <c r="Q1652" s="93" t="s">
        <v>111</v>
      </c>
      <c r="R1652" s="93" t="s">
        <v>228</v>
      </c>
      <c r="S1652" s="93" t="s">
        <v>111</v>
      </c>
      <c r="T1652" s="93" t="s">
        <v>115</v>
      </c>
      <c r="U1652" s="93" t="s">
        <v>116</v>
      </c>
      <c r="V1652" s="94">
        <v>44610.172222222223</v>
      </c>
      <c r="W1652" s="93" t="s">
        <v>7072</v>
      </c>
      <c r="X1652" s="93" t="s">
        <v>24</v>
      </c>
    </row>
    <row r="1653" spans="1:24" hidden="1" x14ac:dyDescent="0.15">
      <c r="A1653" s="93" t="s">
        <v>6013</v>
      </c>
      <c r="B1653" s="93" t="s">
        <v>6014</v>
      </c>
      <c r="C1653" s="410">
        <v>22</v>
      </c>
      <c r="D1653" s="93" t="s">
        <v>24</v>
      </c>
      <c r="E1653" s="93" t="s">
        <v>24</v>
      </c>
      <c r="F1653" s="93" t="s">
        <v>399</v>
      </c>
      <c r="G1653" s="93" t="s">
        <v>7185</v>
      </c>
      <c r="H1653" s="93" t="s">
        <v>400</v>
      </c>
      <c r="I1653" s="93" t="s">
        <v>111</v>
      </c>
      <c r="J1653" s="93" t="s">
        <v>7105</v>
      </c>
      <c r="K1653" s="93" t="s">
        <v>111</v>
      </c>
      <c r="L1653" s="93" t="s">
        <v>111</v>
      </c>
      <c r="M1653" s="93" t="s">
        <v>111</v>
      </c>
      <c r="N1653" s="93" t="s">
        <v>111</v>
      </c>
      <c r="O1653" s="93" t="s">
        <v>111</v>
      </c>
      <c r="P1653" s="93" t="s">
        <v>111</v>
      </c>
      <c r="Q1653" s="93" t="s">
        <v>111</v>
      </c>
      <c r="R1653" s="93" t="s">
        <v>228</v>
      </c>
      <c r="S1653" s="93" t="s">
        <v>111</v>
      </c>
      <c r="T1653" s="93" t="s">
        <v>115</v>
      </c>
      <c r="U1653" s="93" t="s">
        <v>116</v>
      </c>
      <c r="V1653" s="94">
        <v>44610.179861111108</v>
      </c>
      <c r="W1653" s="93" t="s">
        <v>7072</v>
      </c>
      <c r="X1653" s="93" t="s">
        <v>24</v>
      </c>
    </row>
    <row r="1654" spans="1:24" hidden="1" x14ac:dyDescent="0.15">
      <c r="A1654" s="93" t="s">
        <v>6015</v>
      </c>
      <c r="B1654" s="93" t="s">
        <v>7211</v>
      </c>
      <c r="C1654" s="410">
        <v>57</v>
      </c>
      <c r="D1654" s="93" t="s">
        <v>24</v>
      </c>
      <c r="E1654" s="93" t="s">
        <v>24</v>
      </c>
      <c r="F1654" s="93" t="s">
        <v>399</v>
      </c>
      <c r="G1654" s="93" t="s">
        <v>7185</v>
      </c>
      <c r="H1654" s="93" t="s">
        <v>400</v>
      </c>
      <c r="I1654" s="93" t="s">
        <v>111</v>
      </c>
      <c r="J1654" s="93" t="s">
        <v>7105</v>
      </c>
      <c r="K1654" s="93" t="s">
        <v>111</v>
      </c>
      <c r="L1654" s="93" t="s">
        <v>111</v>
      </c>
      <c r="M1654" s="93" t="s">
        <v>111</v>
      </c>
      <c r="N1654" s="93" t="s">
        <v>111</v>
      </c>
      <c r="O1654" s="93" t="s">
        <v>111</v>
      </c>
      <c r="P1654" s="93" t="s">
        <v>111</v>
      </c>
      <c r="Q1654" s="93" t="s">
        <v>111</v>
      </c>
      <c r="R1654" s="93" t="s">
        <v>228</v>
      </c>
      <c r="S1654" s="93" t="s">
        <v>111</v>
      </c>
      <c r="T1654" s="93" t="s">
        <v>115</v>
      </c>
      <c r="U1654" s="93" t="s">
        <v>116</v>
      </c>
      <c r="V1654" s="94">
        <v>44610.200694444444</v>
      </c>
      <c r="W1654" s="93" t="s">
        <v>7072</v>
      </c>
      <c r="X1654" s="93" t="s">
        <v>24</v>
      </c>
    </row>
    <row r="1655" spans="1:24" hidden="1" x14ac:dyDescent="0.15">
      <c r="A1655" s="93" t="s">
        <v>6016</v>
      </c>
      <c r="B1655" s="93" t="s">
        <v>7212</v>
      </c>
      <c r="C1655" s="410">
        <v>88</v>
      </c>
      <c r="D1655" s="93" t="s">
        <v>24</v>
      </c>
      <c r="E1655" s="93" t="s">
        <v>24</v>
      </c>
      <c r="F1655" s="93" t="s">
        <v>399</v>
      </c>
      <c r="G1655" s="93" t="s">
        <v>7185</v>
      </c>
      <c r="H1655" s="93" t="s">
        <v>400</v>
      </c>
      <c r="I1655" s="93" t="s">
        <v>111</v>
      </c>
      <c r="J1655" s="93" t="s">
        <v>7105</v>
      </c>
      <c r="K1655" s="93" t="s">
        <v>111</v>
      </c>
      <c r="L1655" s="93" t="s">
        <v>111</v>
      </c>
      <c r="M1655" s="93" t="s">
        <v>111</v>
      </c>
      <c r="N1655" s="93" t="s">
        <v>111</v>
      </c>
      <c r="O1655" s="93" t="s">
        <v>111</v>
      </c>
      <c r="P1655" s="93" t="s">
        <v>111</v>
      </c>
      <c r="Q1655" s="93" t="s">
        <v>111</v>
      </c>
      <c r="R1655" s="93" t="s">
        <v>228</v>
      </c>
      <c r="S1655" s="93" t="s">
        <v>111</v>
      </c>
      <c r="T1655" s="93" t="s">
        <v>115</v>
      </c>
      <c r="U1655" s="93" t="s">
        <v>116</v>
      </c>
      <c r="V1655" s="94">
        <v>44610.203472222223</v>
      </c>
      <c r="W1655" s="93" t="s">
        <v>7072</v>
      </c>
      <c r="X1655" s="93" t="s">
        <v>24</v>
      </c>
    </row>
    <row r="1656" spans="1:24" hidden="1" x14ac:dyDescent="0.15">
      <c r="A1656" s="93" t="s">
        <v>6017</v>
      </c>
      <c r="B1656" s="93" t="s">
        <v>6018</v>
      </c>
      <c r="C1656" s="410">
        <v>22</v>
      </c>
      <c r="D1656" s="93" t="s">
        <v>24</v>
      </c>
      <c r="E1656" s="93" t="s">
        <v>24</v>
      </c>
      <c r="F1656" s="93" t="s">
        <v>399</v>
      </c>
      <c r="G1656" s="93" t="s">
        <v>7185</v>
      </c>
      <c r="H1656" s="93" t="s">
        <v>400</v>
      </c>
      <c r="I1656" s="93" t="s">
        <v>111</v>
      </c>
      <c r="J1656" s="93" t="s">
        <v>7105</v>
      </c>
      <c r="K1656" s="93" t="s">
        <v>111</v>
      </c>
      <c r="L1656" s="93" t="s">
        <v>111</v>
      </c>
      <c r="M1656" s="93" t="s">
        <v>111</v>
      </c>
      <c r="N1656" s="93" t="s">
        <v>111</v>
      </c>
      <c r="O1656" s="93" t="s">
        <v>111</v>
      </c>
      <c r="P1656" s="93" t="s">
        <v>111</v>
      </c>
      <c r="Q1656" s="93" t="s">
        <v>111</v>
      </c>
      <c r="R1656" s="93" t="s">
        <v>228</v>
      </c>
      <c r="S1656" s="93" t="s">
        <v>111</v>
      </c>
      <c r="T1656" s="93" t="s">
        <v>115</v>
      </c>
      <c r="U1656" s="93" t="s">
        <v>116</v>
      </c>
      <c r="V1656" s="94">
        <v>44610.164583333331</v>
      </c>
      <c r="W1656" s="93" t="s">
        <v>7072</v>
      </c>
      <c r="X1656" s="93" t="s">
        <v>24</v>
      </c>
    </row>
    <row r="1657" spans="1:24" hidden="1" x14ac:dyDescent="0.15">
      <c r="A1657" s="93" t="s">
        <v>6019</v>
      </c>
      <c r="B1657" s="93" t="s">
        <v>7213</v>
      </c>
      <c r="C1657" s="410">
        <v>57</v>
      </c>
      <c r="D1657" s="93" t="s">
        <v>24</v>
      </c>
      <c r="E1657" s="93" t="s">
        <v>24</v>
      </c>
      <c r="F1657" s="93" t="s">
        <v>399</v>
      </c>
      <c r="G1657" s="93" t="s">
        <v>7185</v>
      </c>
      <c r="H1657" s="93" t="s">
        <v>400</v>
      </c>
      <c r="I1657" s="93" t="s">
        <v>111</v>
      </c>
      <c r="J1657" s="93" t="s">
        <v>7105</v>
      </c>
      <c r="K1657" s="93" t="s">
        <v>111</v>
      </c>
      <c r="L1657" s="93" t="s">
        <v>111</v>
      </c>
      <c r="M1657" s="93" t="s">
        <v>111</v>
      </c>
      <c r="N1657" s="93" t="s">
        <v>111</v>
      </c>
      <c r="O1657" s="93" t="s">
        <v>111</v>
      </c>
      <c r="P1657" s="93" t="s">
        <v>111</v>
      </c>
      <c r="Q1657" s="93" t="s">
        <v>111</v>
      </c>
      <c r="R1657" s="93" t="s">
        <v>228</v>
      </c>
      <c r="S1657" s="93" t="s">
        <v>111</v>
      </c>
      <c r="T1657" s="93" t="s">
        <v>115</v>
      </c>
      <c r="U1657" s="93" t="s">
        <v>116</v>
      </c>
      <c r="V1657" s="94">
        <v>44610.140972222223</v>
      </c>
      <c r="W1657" s="93" t="s">
        <v>7072</v>
      </c>
      <c r="X1657" s="93" t="s">
        <v>24</v>
      </c>
    </row>
    <row r="1658" spans="1:24" hidden="1" x14ac:dyDescent="0.15">
      <c r="A1658" s="93" t="s">
        <v>6020</v>
      </c>
      <c r="B1658" s="93" t="s">
        <v>7214</v>
      </c>
      <c r="C1658" s="410">
        <v>88</v>
      </c>
      <c r="D1658" s="93" t="s">
        <v>24</v>
      </c>
      <c r="E1658" s="93" t="s">
        <v>24</v>
      </c>
      <c r="F1658" s="93" t="s">
        <v>399</v>
      </c>
      <c r="G1658" s="93" t="s">
        <v>7185</v>
      </c>
      <c r="H1658" s="93" t="s">
        <v>400</v>
      </c>
      <c r="I1658" s="93" t="s">
        <v>111</v>
      </c>
      <c r="J1658" s="93" t="s">
        <v>7105</v>
      </c>
      <c r="K1658" s="93" t="s">
        <v>111</v>
      </c>
      <c r="L1658" s="93" t="s">
        <v>111</v>
      </c>
      <c r="M1658" s="93" t="s">
        <v>111</v>
      </c>
      <c r="N1658" s="93" t="s">
        <v>111</v>
      </c>
      <c r="O1658" s="93" t="s">
        <v>111</v>
      </c>
      <c r="P1658" s="93" t="s">
        <v>111</v>
      </c>
      <c r="Q1658" s="93" t="s">
        <v>111</v>
      </c>
      <c r="R1658" s="93" t="s">
        <v>228</v>
      </c>
      <c r="S1658" s="93" t="s">
        <v>111</v>
      </c>
      <c r="T1658" s="93" t="s">
        <v>115</v>
      </c>
      <c r="U1658" s="93" t="s">
        <v>116</v>
      </c>
      <c r="V1658" s="94">
        <v>44610.162499999999</v>
      </c>
      <c r="W1658" s="93" t="s">
        <v>7072</v>
      </c>
      <c r="X1658" s="93" t="s">
        <v>24</v>
      </c>
    </row>
    <row r="1659" spans="1:24" hidden="1" x14ac:dyDescent="0.15">
      <c r="A1659" s="93" t="s">
        <v>6021</v>
      </c>
      <c r="B1659" s="93" t="s">
        <v>6022</v>
      </c>
      <c r="C1659" s="410">
        <v>15</v>
      </c>
      <c r="D1659" s="93" t="s">
        <v>24</v>
      </c>
      <c r="E1659" s="93" t="s">
        <v>24</v>
      </c>
      <c r="F1659" s="93" t="s">
        <v>399</v>
      </c>
      <c r="G1659" s="93" t="s">
        <v>7185</v>
      </c>
      <c r="H1659" s="93" t="s">
        <v>400</v>
      </c>
      <c r="I1659" s="93" t="s">
        <v>111</v>
      </c>
      <c r="J1659" s="93" t="s">
        <v>7105</v>
      </c>
      <c r="K1659" s="93" t="s">
        <v>111</v>
      </c>
      <c r="L1659" s="93" t="s">
        <v>111</v>
      </c>
      <c r="M1659" s="93" t="s">
        <v>111</v>
      </c>
      <c r="N1659" s="93" t="s">
        <v>111</v>
      </c>
      <c r="O1659" s="93" t="s">
        <v>111</v>
      </c>
      <c r="P1659" s="93" t="s">
        <v>111</v>
      </c>
      <c r="Q1659" s="93" t="s">
        <v>111</v>
      </c>
      <c r="R1659" s="93" t="s">
        <v>228</v>
      </c>
      <c r="S1659" s="93" t="s">
        <v>111</v>
      </c>
      <c r="T1659" s="93" t="s">
        <v>115</v>
      </c>
      <c r="U1659" s="93" t="s">
        <v>116</v>
      </c>
      <c r="V1659" s="94">
        <v>44610.155555555553</v>
      </c>
      <c r="W1659" s="93" t="s">
        <v>7072</v>
      </c>
      <c r="X1659" s="93" t="s">
        <v>24</v>
      </c>
    </row>
    <row r="1660" spans="1:24" hidden="1" x14ac:dyDescent="0.15">
      <c r="A1660" s="93" t="s">
        <v>6023</v>
      </c>
      <c r="B1660" s="93" t="s">
        <v>7215</v>
      </c>
      <c r="C1660" s="410">
        <v>39</v>
      </c>
      <c r="D1660" s="93" t="s">
        <v>24</v>
      </c>
      <c r="E1660" s="93" t="s">
        <v>24</v>
      </c>
      <c r="F1660" s="93" t="s">
        <v>399</v>
      </c>
      <c r="G1660" s="93" t="s">
        <v>7185</v>
      </c>
      <c r="H1660" s="93" t="s">
        <v>400</v>
      </c>
      <c r="I1660" s="93" t="s">
        <v>111</v>
      </c>
      <c r="J1660" s="93" t="s">
        <v>7105</v>
      </c>
      <c r="K1660" s="93" t="s">
        <v>111</v>
      </c>
      <c r="L1660" s="93" t="s">
        <v>111</v>
      </c>
      <c r="M1660" s="93" t="s">
        <v>111</v>
      </c>
      <c r="N1660" s="93" t="s">
        <v>111</v>
      </c>
      <c r="O1660" s="93" t="s">
        <v>111</v>
      </c>
      <c r="P1660" s="93" t="s">
        <v>111</v>
      </c>
      <c r="Q1660" s="93" t="s">
        <v>111</v>
      </c>
      <c r="R1660" s="93" t="s">
        <v>228</v>
      </c>
      <c r="S1660" s="93" t="s">
        <v>111</v>
      </c>
      <c r="T1660" s="93" t="s">
        <v>115</v>
      </c>
      <c r="U1660" s="93" t="s">
        <v>116</v>
      </c>
      <c r="V1660" s="94">
        <v>44610.194444444445</v>
      </c>
      <c r="W1660" s="93" t="s">
        <v>7072</v>
      </c>
      <c r="X1660" s="93" t="s">
        <v>24</v>
      </c>
    </row>
    <row r="1661" spans="1:24" hidden="1" x14ac:dyDescent="0.15">
      <c r="A1661" s="93" t="s">
        <v>6024</v>
      </c>
      <c r="B1661" s="93" t="s">
        <v>7216</v>
      </c>
      <c r="C1661" s="410">
        <v>60</v>
      </c>
      <c r="D1661" s="93" t="s">
        <v>24</v>
      </c>
      <c r="E1661" s="93" t="s">
        <v>24</v>
      </c>
      <c r="F1661" s="93" t="s">
        <v>399</v>
      </c>
      <c r="G1661" s="93" t="s">
        <v>7185</v>
      </c>
      <c r="H1661" s="93" t="s">
        <v>400</v>
      </c>
      <c r="I1661" s="93" t="s">
        <v>111</v>
      </c>
      <c r="J1661" s="93" t="s">
        <v>7105</v>
      </c>
      <c r="K1661" s="93" t="s">
        <v>111</v>
      </c>
      <c r="L1661" s="93" t="s">
        <v>111</v>
      </c>
      <c r="M1661" s="93" t="s">
        <v>111</v>
      </c>
      <c r="N1661" s="93" t="s">
        <v>111</v>
      </c>
      <c r="O1661" s="93" t="s">
        <v>111</v>
      </c>
      <c r="P1661" s="93" t="s">
        <v>111</v>
      </c>
      <c r="Q1661" s="93" t="s">
        <v>111</v>
      </c>
      <c r="R1661" s="93" t="s">
        <v>228</v>
      </c>
      <c r="S1661" s="93" t="s">
        <v>111</v>
      </c>
      <c r="T1661" s="93" t="s">
        <v>115</v>
      </c>
      <c r="U1661" s="93" t="s">
        <v>116</v>
      </c>
      <c r="V1661" s="94">
        <v>44610.203472222223</v>
      </c>
      <c r="W1661" s="93" t="s">
        <v>7072</v>
      </c>
      <c r="X1661" s="93" t="s">
        <v>24</v>
      </c>
    </row>
    <row r="1662" spans="1:24" hidden="1" x14ac:dyDescent="0.15">
      <c r="A1662" s="93" t="s">
        <v>6025</v>
      </c>
      <c r="B1662" s="93" t="s">
        <v>6026</v>
      </c>
      <c r="C1662" s="410">
        <v>22</v>
      </c>
      <c r="D1662" s="93" t="s">
        <v>24</v>
      </c>
      <c r="E1662" s="93" t="s">
        <v>24</v>
      </c>
      <c r="F1662" s="93" t="s">
        <v>399</v>
      </c>
      <c r="G1662" s="93" t="s">
        <v>7185</v>
      </c>
      <c r="H1662" s="93" t="s">
        <v>400</v>
      </c>
      <c r="I1662" s="93" t="s">
        <v>111</v>
      </c>
      <c r="J1662" s="93" t="s">
        <v>7105</v>
      </c>
      <c r="K1662" s="93" t="s">
        <v>111</v>
      </c>
      <c r="L1662" s="93" t="s">
        <v>111</v>
      </c>
      <c r="M1662" s="93" t="s">
        <v>111</v>
      </c>
      <c r="N1662" s="93" t="s">
        <v>111</v>
      </c>
      <c r="O1662" s="93" t="s">
        <v>111</v>
      </c>
      <c r="P1662" s="93" t="s">
        <v>111</v>
      </c>
      <c r="Q1662" s="93" t="s">
        <v>111</v>
      </c>
      <c r="R1662" s="93" t="s">
        <v>228</v>
      </c>
      <c r="S1662" s="93" t="s">
        <v>111</v>
      </c>
      <c r="T1662" s="93" t="s">
        <v>115</v>
      </c>
      <c r="U1662" s="93" t="s">
        <v>116</v>
      </c>
      <c r="V1662" s="94">
        <v>44610.200694444444</v>
      </c>
      <c r="W1662" s="93" t="s">
        <v>7072</v>
      </c>
      <c r="X1662" s="93" t="s">
        <v>24</v>
      </c>
    </row>
    <row r="1663" spans="1:24" hidden="1" x14ac:dyDescent="0.15">
      <c r="A1663" s="93" t="s">
        <v>6027</v>
      </c>
      <c r="B1663" s="93" t="s">
        <v>7217</v>
      </c>
      <c r="C1663" s="410">
        <v>57</v>
      </c>
      <c r="D1663" s="93" t="s">
        <v>24</v>
      </c>
      <c r="E1663" s="93" t="s">
        <v>24</v>
      </c>
      <c r="F1663" s="93" t="s">
        <v>399</v>
      </c>
      <c r="G1663" s="93" t="s">
        <v>7185</v>
      </c>
      <c r="H1663" s="93" t="s">
        <v>400</v>
      </c>
      <c r="I1663" s="93" t="s">
        <v>111</v>
      </c>
      <c r="J1663" s="93" t="s">
        <v>7105</v>
      </c>
      <c r="K1663" s="93" t="s">
        <v>111</v>
      </c>
      <c r="L1663" s="93" t="s">
        <v>111</v>
      </c>
      <c r="M1663" s="93" t="s">
        <v>111</v>
      </c>
      <c r="N1663" s="93" t="s">
        <v>111</v>
      </c>
      <c r="O1663" s="93" t="s">
        <v>111</v>
      </c>
      <c r="P1663" s="93" t="s">
        <v>111</v>
      </c>
      <c r="Q1663" s="93" t="s">
        <v>111</v>
      </c>
      <c r="R1663" s="93" t="s">
        <v>228</v>
      </c>
      <c r="S1663" s="93" t="s">
        <v>111</v>
      </c>
      <c r="T1663" s="93" t="s">
        <v>115</v>
      </c>
      <c r="U1663" s="93" t="s">
        <v>116</v>
      </c>
      <c r="V1663" s="94">
        <v>44610.162499999999</v>
      </c>
      <c r="W1663" s="93" t="s">
        <v>7072</v>
      </c>
      <c r="X1663" s="93" t="s">
        <v>24</v>
      </c>
    </row>
    <row r="1664" spans="1:24" hidden="1" x14ac:dyDescent="0.15">
      <c r="A1664" s="93" t="s">
        <v>6028</v>
      </c>
      <c r="B1664" s="93" t="s">
        <v>7218</v>
      </c>
      <c r="C1664" s="410">
        <v>88</v>
      </c>
      <c r="D1664" s="93" t="s">
        <v>24</v>
      </c>
      <c r="E1664" s="93" t="s">
        <v>24</v>
      </c>
      <c r="F1664" s="93" t="s">
        <v>399</v>
      </c>
      <c r="G1664" s="93" t="s">
        <v>7185</v>
      </c>
      <c r="H1664" s="93" t="s">
        <v>400</v>
      </c>
      <c r="I1664" s="93" t="s">
        <v>111</v>
      </c>
      <c r="J1664" s="93" t="s">
        <v>7105</v>
      </c>
      <c r="K1664" s="93" t="s">
        <v>111</v>
      </c>
      <c r="L1664" s="93" t="s">
        <v>111</v>
      </c>
      <c r="M1664" s="93" t="s">
        <v>111</v>
      </c>
      <c r="N1664" s="93" t="s">
        <v>111</v>
      </c>
      <c r="O1664" s="93" t="s">
        <v>111</v>
      </c>
      <c r="P1664" s="93" t="s">
        <v>111</v>
      </c>
      <c r="Q1664" s="93" t="s">
        <v>111</v>
      </c>
      <c r="R1664" s="93" t="s">
        <v>228</v>
      </c>
      <c r="S1664" s="93" t="s">
        <v>111</v>
      </c>
      <c r="T1664" s="93" t="s">
        <v>115</v>
      </c>
      <c r="U1664" s="93" t="s">
        <v>116</v>
      </c>
      <c r="V1664" s="94">
        <v>44610.172222222223</v>
      </c>
      <c r="W1664" s="93" t="s">
        <v>7072</v>
      </c>
      <c r="X1664" s="93" t="s">
        <v>24</v>
      </c>
    </row>
    <row r="1665" spans="1:24" hidden="1" x14ac:dyDescent="0.15">
      <c r="A1665" s="93" t="s">
        <v>6005</v>
      </c>
      <c r="B1665" s="93" t="s">
        <v>6006</v>
      </c>
      <c r="C1665" s="410">
        <v>17</v>
      </c>
      <c r="D1665" s="93" t="s">
        <v>24</v>
      </c>
      <c r="E1665" s="93" t="s">
        <v>24</v>
      </c>
      <c r="F1665" s="93" t="s">
        <v>399</v>
      </c>
      <c r="G1665" s="93" t="s">
        <v>7185</v>
      </c>
      <c r="H1665" s="93" t="s">
        <v>400</v>
      </c>
      <c r="I1665" s="93" t="s">
        <v>111</v>
      </c>
      <c r="J1665" s="93" t="s">
        <v>7105</v>
      </c>
      <c r="K1665" s="93" t="s">
        <v>111</v>
      </c>
      <c r="L1665" s="93" t="s">
        <v>111</v>
      </c>
      <c r="M1665" s="93" t="s">
        <v>111</v>
      </c>
      <c r="N1665" s="93" t="s">
        <v>111</v>
      </c>
      <c r="O1665" s="93" t="s">
        <v>111</v>
      </c>
      <c r="P1665" s="93" t="s">
        <v>111</v>
      </c>
      <c r="Q1665" s="93" t="s">
        <v>111</v>
      </c>
      <c r="R1665" s="93" t="s">
        <v>228</v>
      </c>
      <c r="S1665" s="93" t="s">
        <v>111</v>
      </c>
      <c r="T1665" s="93" t="s">
        <v>115</v>
      </c>
      <c r="U1665" s="93" t="s">
        <v>116</v>
      </c>
      <c r="V1665" s="94">
        <v>44610.179861111108</v>
      </c>
      <c r="W1665" s="93" t="s">
        <v>7072</v>
      </c>
      <c r="X1665" s="93" t="s">
        <v>24</v>
      </c>
    </row>
    <row r="1666" spans="1:24" hidden="1" x14ac:dyDescent="0.15">
      <c r="A1666" s="93" t="s">
        <v>6007</v>
      </c>
      <c r="B1666" s="93" t="s">
        <v>7219</v>
      </c>
      <c r="C1666" s="410">
        <v>44</v>
      </c>
      <c r="D1666" s="93" t="s">
        <v>24</v>
      </c>
      <c r="E1666" s="93" t="s">
        <v>24</v>
      </c>
      <c r="F1666" s="93" t="s">
        <v>399</v>
      </c>
      <c r="G1666" s="93" t="s">
        <v>7185</v>
      </c>
      <c r="H1666" s="93" t="s">
        <v>400</v>
      </c>
      <c r="I1666" s="93" t="s">
        <v>111</v>
      </c>
      <c r="J1666" s="93" t="s">
        <v>7105</v>
      </c>
      <c r="K1666" s="93" t="s">
        <v>111</v>
      </c>
      <c r="L1666" s="93" t="s">
        <v>111</v>
      </c>
      <c r="M1666" s="93" t="s">
        <v>111</v>
      </c>
      <c r="N1666" s="93" t="s">
        <v>111</v>
      </c>
      <c r="O1666" s="93" t="s">
        <v>111</v>
      </c>
      <c r="P1666" s="93" t="s">
        <v>111</v>
      </c>
      <c r="Q1666" s="93" t="s">
        <v>111</v>
      </c>
      <c r="R1666" s="93" t="s">
        <v>228</v>
      </c>
      <c r="S1666" s="93" t="s">
        <v>111</v>
      </c>
      <c r="T1666" s="93" t="s">
        <v>115</v>
      </c>
      <c r="U1666" s="93" t="s">
        <v>116</v>
      </c>
      <c r="V1666" s="94">
        <v>44610.162499999999</v>
      </c>
      <c r="W1666" s="93" t="s">
        <v>7072</v>
      </c>
      <c r="X1666" s="93" t="s">
        <v>24</v>
      </c>
    </row>
    <row r="1667" spans="1:24" hidden="1" x14ac:dyDescent="0.15">
      <c r="A1667" s="93" t="s">
        <v>6008</v>
      </c>
      <c r="B1667" s="93" t="s">
        <v>7220</v>
      </c>
      <c r="C1667" s="410">
        <v>68</v>
      </c>
      <c r="D1667" s="93" t="s">
        <v>24</v>
      </c>
      <c r="E1667" s="93" t="s">
        <v>24</v>
      </c>
      <c r="F1667" s="93" t="s">
        <v>399</v>
      </c>
      <c r="G1667" s="93" t="s">
        <v>7185</v>
      </c>
      <c r="H1667" s="93" t="s">
        <v>400</v>
      </c>
      <c r="I1667" s="93" t="s">
        <v>111</v>
      </c>
      <c r="J1667" s="93" t="s">
        <v>7105</v>
      </c>
      <c r="K1667" s="93" t="s">
        <v>111</v>
      </c>
      <c r="L1667" s="93" t="s">
        <v>111</v>
      </c>
      <c r="M1667" s="93" t="s">
        <v>111</v>
      </c>
      <c r="N1667" s="93" t="s">
        <v>111</v>
      </c>
      <c r="O1667" s="93" t="s">
        <v>111</v>
      </c>
      <c r="P1667" s="93" t="s">
        <v>111</v>
      </c>
      <c r="Q1667" s="93" t="s">
        <v>111</v>
      </c>
      <c r="R1667" s="93" t="s">
        <v>228</v>
      </c>
      <c r="S1667" s="93" t="s">
        <v>111</v>
      </c>
      <c r="T1667" s="93" t="s">
        <v>115</v>
      </c>
      <c r="U1667" s="93" t="s">
        <v>116</v>
      </c>
      <c r="V1667" s="94">
        <v>44610.13958333333</v>
      </c>
      <c r="W1667" s="93" t="s">
        <v>7072</v>
      </c>
      <c r="X1667" s="93" t="s">
        <v>24</v>
      </c>
    </row>
    <row r="1668" spans="1:24" hidden="1" x14ac:dyDescent="0.15">
      <c r="A1668" s="93" t="s">
        <v>6029</v>
      </c>
      <c r="B1668" s="93" t="s">
        <v>6030</v>
      </c>
      <c r="C1668" s="410">
        <v>33</v>
      </c>
      <c r="D1668" s="93" t="s">
        <v>24</v>
      </c>
      <c r="E1668" s="93" t="s">
        <v>24</v>
      </c>
      <c r="F1668" s="93" t="s">
        <v>399</v>
      </c>
      <c r="G1668" s="93" t="s">
        <v>7185</v>
      </c>
      <c r="H1668" s="93" t="s">
        <v>400</v>
      </c>
      <c r="I1668" s="93" t="s">
        <v>111</v>
      </c>
      <c r="J1668" s="93" t="s">
        <v>7105</v>
      </c>
      <c r="K1668" s="93" t="s">
        <v>111</v>
      </c>
      <c r="L1668" s="93" t="s">
        <v>111</v>
      </c>
      <c r="M1668" s="93" t="s">
        <v>111</v>
      </c>
      <c r="N1668" s="93" t="s">
        <v>111</v>
      </c>
      <c r="O1668" s="93" t="s">
        <v>111</v>
      </c>
      <c r="P1668" s="93" t="s">
        <v>111</v>
      </c>
      <c r="Q1668" s="93" t="s">
        <v>111</v>
      </c>
      <c r="R1668" s="93" t="s">
        <v>228</v>
      </c>
      <c r="S1668" s="93" t="s">
        <v>111</v>
      </c>
      <c r="T1668" s="93" t="s">
        <v>115</v>
      </c>
      <c r="U1668" s="93" t="s">
        <v>116</v>
      </c>
      <c r="V1668" s="94">
        <v>44610.195138888892</v>
      </c>
      <c r="W1668" s="93" t="s">
        <v>7072</v>
      </c>
      <c r="X1668" s="93" t="s">
        <v>24</v>
      </c>
    </row>
    <row r="1669" spans="1:24" hidden="1" x14ac:dyDescent="0.15">
      <c r="A1669" s="93" t="s">
        <v>6031</v>
      </c>
      <c r="B1669" s="93" t="s">
        <v>7221</v>
      </c>
      <c r="C1669" s="410">
        <v>85</v>
      </c>
      <c r="D1669" s="93" t="s">
        <v>24</v>
      </c>
      <c r="E1669" s="93" t="s">
        <v>24</v>
      </c>
      <c r="F1669" s="93" t="s">
        <v>399</v>
      </c>
      <c r="G1669" s="93" t="s">
        <v>7185</v>
      </c>
      <c r="H1669" s="93" t="s">
        <v>400</v>
      </c>
      <c r="I1669" s="93" t="s">
        <v>111</v>
      </c>
      <c r="J1669" s="93" t="s">
        <v>7105</v>
      </c>
      <c r="K1669" s="93" t="s">
        <v>111</v>
      </c>
      <c r="L1669" s="93" t="s">
        <v>111</v>
      </c>
      <c r="M1669" s="93" t="s">
        <v>111</v>
      </c>
      <c r="N1669" s="93" t="s">
        <v>111</v>
      </c>
      <c r="O1669" s="93" t="s">
        <v>111</v>
      </c>
      <c r="P1669" s="93" t="s">
        <v>111</v>
      </c>
      <c r="Q1669" s="93" t="s">
        <v>111</v>
      </c>
      <c r="R1669" s="93" t="s">
        <v>228</v>
      </c>
      <c r="S1669" s="93" t="s">
        <v>111</v>
      </c>
      <c r="T1669" s="93" t="s">
        <v>115</v>
      </c>
      <c r="U1669" s="93" t="s">
        <v>116</v>
      </c>
      <c r="V1669" s="94">
        <v>44610.196527777778</v>
      </c>
      <c r="W1669" s="93" t="s">
        <v>7072</v>
      </c>
      <c r="X1669" s="93" t="s">
        <v>24</v>
      </c>
    </row>
    <row r="1670" spans="1:24" hidden="1" x14ac:dyDescent="0.15">
      <c r="A1670" s="93" t="s">
        <v>6032</v>
      </c>
      <c r="B1670" s="93" t="s">
        <v>7222</v>
      </c>
      <c r="C1670" s="410">
        <v>132</v>
      </c>
      <c r="D1670" s="93" t="s">
        <v>24</v>
      </c>
      <c r="E1670" s="93" t="s">
        <v>24</v>
      </c>
      <c r="F1670" s="93" t="s">
        <v>399</v>
      </c>
      <c r="G1670" s="93" t="s">
        <v>7185</v>
      </c>
      <c r="H1670" s="93" t="s">
        <v>400</v>
      </c>
      <c r="I1670" s="93" t="s">
        <v>111</v>
      </c>
      <c r="J1670" s="93" t="s">
        <v>7105</v>
      </c>
      <c r="K1670" s="93" t="s">
        <v>111</v>
      </c>
      <c r="L1670" s="93" t="s">
        <v>111</v>
      </c>
      <c r="M1670" s="93" t="s">
        <v>111</v>
      </c>
      <c r="N1670" s="93" t="s">
        <v>111</v>
      </c>
      <c r="O1670" s="93" t="s">
        <v>111</v>
      </c>
      <c r="P1670" s="93" t="s">
        <v>111</v>
      </c>
      <c r="Q1670" s="93" t="s">
        <v>111</v>
      </c>
      <c r="R1670" s="93" t="s">
        <v>228</v>
      </c>
      <c r="S1670" s="93" t="s">
        <v>111</v>
      </c>
      <c r="T1670" s="93" t="s">
        <v>115</v>
      </c>
      <c r="U1670" s="93" t="s">
        <v>116</v>
      </c>
      <c r="V1670" s="94">
        <v>44610.196527777778</v>
      </c>
      <c r="W1670" s="93" t="s">
        <v>7072</v>
      </c>
      <c r="X1670" s="93" t="s">
        <v>24</v>
      </c>
    </row>
    <row r="1671" spans="1:24" hidden="1" x14ac:dyDescent="0.15">
      <c r="A1671" s="93" t="s">
        <v>6735</v>
      </c>
      <c r="B1671" s="93" t="s">
        <v>6736</v>
      </c>
      <c r="C1671" s="410">
        <v>11</v>
      </c>
      <c r="D1671" s="93" t="s">
        <v>24</v>
      </c>
      <c r="E1671" s="93" t="s">
        <v>24</v>
      </c>
      <c r="F1671" s="93" t="s">
        <v>399</v>
      </c>
      <c r="G1671" s="93" t="s">
        <v>7185</v>
      </c>
      <c r="H1671" s="93" t="s">
        <v>400</v>
      </c>
      <c r="I1671" s="93" t="s">
        <v>111</v>
      </c>
      <c r="J1671" s="93" t="s">
        <v>7105</v>
      </c>
      <c r="K1671" s="93" t="s">
        <v>111</v>
      </c>
      <c r="L1671" s="93" t="s">
        <v>111</v>
      </c>
      <c r="M1671" s="93" t="s">
        <v>111</v>
      </c>
      <c r="N1671" s="93" t="s">
        <v>111</v>
      </c>
      <c r="O1671" s="93" t="s">
        <v>111</v>
      </c>
      <c r="P1671" s="93" t="s">
        <v>111</v>
      </c>
      <c r="Q1671" s="93" t="s">
        <v>111</v>
      </c>
      <c r="R1671" s="93" t="s">
        <v>228</v>
      </c>
      <c r="S1671" s="93" t="s">
        <v>111</v>
      </c>
      <c r="T1671" s="93" t="s">
        <v>115</v>
      </c>
      <c r="U1671" s="93" t="s">
        <v>116</v>
      </c>
      <c r="V1671" s="94">
        <v>44610.155555555553</v>
      </c>
      <c r="W1671" s="93" t="s">
        <v>7072</v>
      </c>
      <c r="X1671" s="93" t="s">
        <v>24</v>
      </c>
    </row>
    <row r="1672" spans="1:24" hidden="1" x14ac:dyDescent="0.15">
      <c r="A1672" s="93" t="s">
        <v>6737</v>
      </c>
      <c r="B1672" s="93" t="s">
        <v>7223</v>
      </c>
      <c r="C1672" s="410">
        <v>29</v>
      </c>
      <c r="D1672" s="93" t="s">
        <v>24</v>
      </c>
      <c r="E1672" s="93" t="s">
        <v>24</v>
      </c>
      <c r="F1672" s="93" t="s">
        <v>399</v>
      </c>
      <c r="G1672" s="93" t="s">
        <v>7185</v>
      </c>
      <c r="H1672" s="93" t="s">
        <v>400</v>
      </c>
      <c r="I1672" s="93" t="s">
        <v>111</v>
      </c>
      <c r="J1672" s="93" t="s">
        <v>7105</v>
      </c>
      <c r="K1672" s="93" t="s">
        <v>111</v>
      </c>
      <c r="L1672" s="93" t="s">
        <v>111</v>
      </c>
      <c r="M1672" s="93" t="s">
        <v>111</v>
      </c>
      <c r="N1672" s="93" t="s">
        <v>111</v>
      </c>
      <c r="O1672" s="93" t="s">
        <v>111</v>
      </c>
      <c r="P1672" s="93" t="s">
        <v>111</v>
      </c>
      <c r="Q1672" s="93" t="s">
        <v>111</v>
      </c>
      <c r="R1672" s="93" t="s">
        <v>228</v>
      </c>
      <c r="S1672" s="93" t="s">
        <v>111</v>
      </c>
      <c r="T1672" s="93" t="s">
        <v>115</v>
      </c>
      <c r="U1672" s="93" t="s">
        <v>116</v>
      </c>
      <c r="V1672" s="94">
        <v>44610.181250000001</v>
      </c>
      <c r="W1672" s="93" t="s">
        <v>7072</v>
      </c>
      <c r="X1672" s="93" t="s">
        <v>24</v>
      </c>
    </row>
    <row r="1673" spans="1:24" hidden="1" x14ac:dyDescent="0.15">
      <c r="A1673" s="93" t="s">
        <v>6739</v>
      </c>
      <c r="B1673" s="93" t="s">
        <v>7224</v>
      </c>
      <c r="C1673" s="410">
        <v>44</v>
      </c>
      <c r="D1673" s="93" t="s">
        <v>24</v>
      </c>
      <c r="E1673" s="93" t="s">
        <v>24</v>
      </c>
      <c r="F1673" s="93" t="s">
        <v>399</v>
      </c>
      <c r="G1673" s="93" t="s">
        <v>7185</v>
      </c>
      <c r="H1673" s="93" t="s">
        <v>400</v>
      </c>
      <c r="I1673" s="93" t="s">
        <v>111</v>
      </c>
      <c r="J1673" s="93" t="s">
        <v>7105</v>
      </c>
      <c r="K1673" s="93" t="s">
        <v>111</v>
      </c>
      <c r="L1673" s="93" t="s">
        <v>111</v>
      </c>
      <c r="M1673" s="93" t="s">
        <v>111</v>
      </c>
      <c r="N1673" s="93" t="s">
        <v>111</v>
      </c>
      <c r="O1673" s="93" t="s">
        <v>111</v>
      </c>
      <c r="P1673" s="93" t="s">
        <v>111</v>
      </c>
      <c r="Q1673" s="93" t="s">
        <v>111</v>
      </c>
      <c r="R1673" s="93" t="s">
        <v>228</v>
      </c>
      <c r="S1673" s="93" t="s">
        <v>111</v>
      </c>
      <c r="T1673" s="93" t="s">
        <v>115</v>
      </c>
      <c r="U1673" s="93" t="s">
        <v>116</v>
      </c>
      <c r="V1673" s="94">
        <v>44610.161805555559</v>
      </c>
      <c r="W1673" s="93" t="s">
        <v>7072</v>
      </c>
      <c r="X1673" s="93" t="s">
        <v>24</v>
      </c>
    </row>
    <row r="1674" spans="1:24" hidden="1" x14ac:dyDescent="0.15">
      <c r="A1674" s="93" t="s">
        <v>6741</v>
      </c>
      <c r="B1674" s="93" t="s">
        <v>6742</v>
      </c>
      <c r="C1674" s="410">
        <v>15</v>
      </c>
      <c r="D1674" s="93" t="s">
        <v>24</v>
      </c>
      <c r="E1674" s="93" t="s">
        <v>24</v>
      </c>
      <c r="F1674" s="93" t="s">
        <v>399</v>
      </c>
      <c r="G1674" s="93" t="s">
        <v>7185</v>
      </c>
      <c r="H1674" s="93" t="s">
        <v>400</v>
      </c>
      <c r="I1674" s="93" t="s">
        <v>111</v>
      </c>
      <c r="J1674" s="93" t="s">
        <v>7105</v>
      </c>
      <c r="K1674" s="93" t="s">
        <v>111</v>
      </c>
      <c r="L1674" s="93" t="s">
        <v>111</v>
      </c>
      <c r="M1674" s="93" t="s">
        <v>111</v>
      </c>
      <c r="N1674" s="93" t="s">
        <v>111</v>
      </c>
      <c r="O1674" s="93" t="s">
        <v>111</v>
      </c>
      <c r="P1674" s="93" t="s">
        <v>111</v>
      </c>
      <c r="Q1674" s="93" t="s">
        <v>111</v>
      </c>
      <c r="R1674" s="93" t="s">
        <v>228</v>
      </c>
      <c r="S1674" s="93" t="s">
        <v>111</v>
      </c>
      <c r="T1674" s="93" t="s">
        <v>115</v>
      </c>
      <c r="U1674" s="93" t="s">
        <v>116</v>
      </c>
      <c r="V1674" s="94">
        <v>44610.140277777777</v>
      </c>
      <c r="W1674" s="93" t="s">
        <v>7072</v>
      </c>
      <c r="X1674" s="93" t="s">
        <v>24</v>
      </c>
    </row>
    <row r="1675" spans="1:24" hidden="1" x14ac:dyDescent="0.15">
      <c r="A1675" s="93" t="s">
        <v>6743</v>
      </c>
      <c r="B1675" s="93" t="s">
        <v>7225</v>
      </c>
      <c r="C1675" s="410">
        <v>39</v>
      </c>
      <c r="D1675" s="93" t="s">
        <v>24</v>
      </c>
      <c r="E1675" s="93" t="s">
        <v>24</v>
      </c>
      <c r="F1675" s="93" t="s">
        <v>399</v>
      </c>
      <c r="G1675" s="93" t="s">
        <v>7185</v>
      </c>
      <c r="H1675" s="93" t="s">
        <v>400</v>
      </c>
      <c r="I1675" s="93" t="s">
        <v>111</v>
      </c>
      <c r="J1675" s="93" t="s">
        <v>7105</v>
      </c>
      <c r="K1675" s="93" t="s">
        <v>111</v>
      </c>
      <c r="L1675" s="93" t="s">
        <v>111</v>
      </c>
      <c r="M1675" s="93" t="s">
        <v>111</v>
      </c>
      <c r="N1675" s="93" t="s">
        <v>111</v>
      </c>
      <c r="O1675" s="93" t="s">
        <v>111</v>
      </c>
      <c r="P1675" s="93" t="s">
        <v>111</v>
      </c>
      <c r="Q1675" s="93" t="s">
        <v>111</v>
      </c>
      <c r="R1675" s="93" t="s">
        <v>228</v>
      </c>
      <c r="S1675" s="93" t="s">
        <v>111</v>
      </c>
      <c r="T1675" s="93" t="s">
        <v>115</v>
      </c>
      <c r="U1675" s="93" t="s">
        <v>116</v>
      </c>
      <c r="V1675" s="94">
        <v>44610.171527777777</v>
      </c>
      <c r="W1675" s="93" t="s">
        <v>7072</v>
      </c>
      <c r="X1675" s="93" t="s">
        <v>24</v>
      </c>
    </row>
    <row r="1676" spans="1:24" hidden="1" x14ac:dyDescent="0.15">
      <c r="A1676" s="93" t="s">
        <v>6745</v>
      </c>
      <c r="B1676" s="93" t="s">
        <v>7226</v>
      </c>
      <c r="C1676" s="410">
        <v>60</v>
      </c>
      <c r="D1676" s="93" t="s">
        <v>24</v>
      </c>
      <c r="E1676" s="93" t="s">
        <v>24</v>
      </c>
      <c r="F1676" s="93" t="s">
        <v>399</v>
      </c>
      <c r="G1676" s="93" t="s">
        <v>7185</v>
      </c>
      <c r="H1676" s="93" t="s">
        <v>400</v>
      </c>
      <c r="I1676" s="93" t="s">
        <v>111</v>
      </c>
      <c r="J1676" s="93" t="s">
        <v>7105</v>
      </c>
      <c r="K1676" s="93" t="s">
        <v>111</v>
      </c>
      <c r="L1676" s="93" t="s">
        <v>111</v>
      </c>
      <c r="M1676" s="93" t="s">
        <v>111</v>
      </c>
      <c r="N1676" s="93" t="s">
        <v>111</v>
      </c>
      <c r="O1676" s="93" t="s">
        <v>111</v>
      </c>
      <c r="P1676" s="93" t="s">
        <v>111</v>
      </c>
      <c r="Q1676" s="93" t="s">
        <v>111</v>
      </c>
      <c r="R1676" s="93" t="s">
        <v>228</v>
      </c>
      <c r="S1676" s="93" t="s">
        <v>111</v>
      </c>
      <c r="T1676" s="93" t="s">
        <v>115</v>
      </c>
      <c r="U1676" s="93" t="s">
        <v>116</v>
      </c>
      <c r="V1676" s="94">
        <v>44610.171527777777</v>
      </c>
      <c r="W1676" s="93" t="s">
        <v>7072</v>
      </c>
      <c r="X1676" s="93" t="s">
        <v>24</v>
      </c>
    </row>
    <row r="1677" spans="1:24" hidden="1" x14ac:dyDescent="0.15">
      <c r="A1677" s="93" t="s">
        <v>6747</v>
      </c>
      <c r="B1677" s="93" t="s">
        <v>6748</v>
      </c>
      <c r="C1677" s="410">
        <v>20</v>
      </c>
      <c r="D1677" s="93" t="s">
        <v>24</v>
      </c>
      <c r="E1677" s="93" t="s">
        <v>24</v>
      </c>
      <c r="F1677" s="93" t="s">
        <v>399</v>
      </c>
      <c r="G1677" s="93" t="s">
        <v>7185</v>
      </c>
      <c r="H1677" s="93" t="s">
        <v>400</v>
      </c>
      <c r="I1677" s="93" t="s">
        <v>111</v>
      </c>
      <c r="J1677" s="93" t="s">
        <v>7105</v>
      </c>
      <c r="K1677" s="93" t="s">
        <v>111</v>
      </c>
      <c r="L1677" s="93" t="s">
        <v>111</v>
      </c>
      <c r="M1677" s="93" t="s">
        <v>111</v>
      </c>
      <c r="N1677" s="93" t="s">
        <v>111</v>
      </c>
      <c r="O1677" s="93" t="s">
        <v>111</v>
      </c>
      <c r="P1677" s="93" t="s">
        <v>111</v>
      </c>
      <c r="Q1677" s="93" t="s">
        <v>111</v>
      </c>
      <c r="R1677" s="93" t="s">
        <v>228</v>
      </c>
      <c r="S1677" s="93" t="s">
        <v>111</v>
      </c>
      <c r="T1677" s="93" t="s">
        <v>115</v>
      </c>
      <c r="U1677" s="93" t="s">
        <v>116</v>
      </c>
      <c r="V1677" s="94">
        <v>44610.202777777777</v>
      </c>
      <c r="W1677" s="93" t="s">
        <v>7072</v>
      </c>
      <c r="X1677" s="93" t="s">
        <v>24</v>
      </c>
    </row>
    <row r="1678" spans="1:24" hidden="1" x14ac:dyDescent="0.15">
      <c r="A1678" s="93" t="s">
        <v>6749</v>
      </c>
      <c r="B1678" s="93" t="s">
        <v>7227</v>
      </c>
      <c r="C1678" s="410">
        <v>51</v>
      </c>
      <c r="D1678" s="93" t="s">
        <v>24</v>
      </c>
      <c r="E1678" s="93" t="s">
        <v>24</v>
      </c>
      <c r="F1678" s="93" t="s">
        <v>399</v>
      </c>
      <c r="G1678" s="93" t="s">
        <v>7185</v>
      </c>
      <c r="H1678" s="93" t="s">
        <v>400</v>
      </c>
      <c r="I1678" s="93" t="s">
        <v>111</v>
      </c>
      <c r="J1678" s="93" t="s">
        <v>7105</v>
      </c>
      <c r="K1678" s="93" t="s">
        <v>111</v>
      </c>
      <c r="L1678" s="93" t="s">
        <v>111</v>
      </c>
      <c r="M1678" s="93" t="s">
        <v>111</v>
      </c>
      <c r="N1678" s="93" t="s">
        <v>111</v>
      </c>
      <c r="O1678" s="93" t="s">
        <v>111</v>
      </c>
      <c r="P1678" s="93" t="s">
        <v>111</v>
      </c>
      <c r="Q1678" s="93" t="s">
        <v>111</v>
      </c>
      <c r="R1678" s="93" t="s">
        <v>228</v>
      </c>
      <c r="S1678" s="93" t="s">
        <v>111</v>
      </c>
      <c r="T1678" s="93" t="s">
        <v>115</v>
      </c>
      <c r="U1678" s="93" t="s">
        <v>116</v>
      </c>
      <c r="V1678" s="94">
        <v>44610.140277777777</v>
      </c>
      <c r="W1678" s="93" t="s">
        <v>7072</v>
      </c>
      <c r="X1678" s="93" t="s">
        <v>24</v>
      </c>
    </row>
    <row r="1679" spans="1:24" hidden="1" x14ac:dyDescent="0.15">
      <c r="A1679" s="93" t="s">
        <v>6751</v>
      </c>
      <c r="B1679" s="93" t="s">
        <v>7228</v>
      </c>
      <c r="C1679" s="410">
        <v>80</v>
      </c>
      <c r="D1679" s="93" t="s">
        <v>24</v>
      </c>
      <c r="E1679" s="93" t="s">
        <v>24</v>
      </c>
      <c r="F1679" s="93" t="s">
        <v>399</v>
      </c>
      <c r="G1679" s="93" t="s">
        <v>7185</v>
      </c>
      <c r="H1679" s="93" t="s">
        <v>400</v>
      </c>
      <c r="I1679" s="93" t="s">
        <v>111</v>
      </c>
      <c r="J1679" s="93" t="s">
        <v>7105</v>
      </c>
      <c r="K1679" s="93" t="s">
        <v>111</v>
      </c>
      <c r="L1679" s="93" t="s">
        <v>111</v>
      </c>
      <c r="M1679" s="93" t="s">
        <v>111</v>
      </c>
      <c r="N1679" s="93" t="s">
        <v>111</v>
      </c>
      <c r="O1679" s="93" t="s">
        <v>111</v>
      </c>
      <c r="P1679" s="93" t="s">
        <v>111</v>
      </c>
      <c r="Q1679" s="93" t="s">
        <v>111</v>
      </c>
      <c r="R1679" s="93" t="s">
        <v>228</v>
      </c>
      <c r="S1679" s="93" t="s">
        <v>111</v>
      </c>
      <c r="T1679" s="93" t="s">
        <v>115</v>
      </c>
      <c r="U1679" s="93" t="s">
        <v>116</v>
      </c>
      <c r="V1679" s="94">
        <v>44610.161805555559</v>
      </c>
      <c r="W1679" s="93" t="s">
        <v>7072</v>
      </c>
      <c r="X1679" s="93" t="s">
        <v>24</v>
      </c>
    </row>
    <row r="1680" spans="1:24" hidden="1" x14ac:dyDescent="0.15">
      <c r="A1680" s="93" t="s">
        <v>6753</v>
      </c>
      <c r="B1680" s="93" t="s">
        <v>6754</v>
      </c>
      <c r="C1680" s="410">
        <v>28</v>
      </c>
      <c r="D1680" s="93" t="s">
        <v>24</v>
      </c>
      <c r="E1680" s="93" t="s">
        <v>24</v>
      </c>
      <c r="F1680" s="93" t="s">
        <v>399</v>
      </c>
      <c r="G1680" s="93" t="s">
        <v>7185</v>
      </c>
      <c r="H1680" s="93" t="s">
        <v>400</v>
      </c>
      <c r="I1680" s="93" t="s">
        <v>111</v>
      </c>
      <c r="J1680" s="93" t="s">
        <v>7105</v>
      </c>
      <c r="K1680" s="93" t="s">
        <v>111</v>
      </c>
      <c r="L1680" s="93" t="s">
        <v>111</v>
      </c>
      <c r="M1680" s="93" t="s">
        <v>111</v>
      </c>
      <c r="N1680" s="93" t="s">
        <v>111</v>
      </c>
      <c r="O1680" s="93" t="s">
        <v>111</v>
      </c>
      <c r="P1680" s="93" t="s">
        <v>111</v>
      </c>
      <c r="Q1680" s="93" t="s">
        <v>111</v>
      </c>
      <c r="R1680" s="93" t="s">
        <v>228</v>
      </c>
      <c r="S1680" s="93" t="s">
        <v>111</v>
      </c>
      <c r="T1680" s="93" t="s">
        <v>115</v>
      </c>
      <c r="U1680" s="93" t="s">
        <v>116</v>
      </c>
      <c r="V1680" s="94">
        <v>44610.145138888889</v>
      </c>
      <c r="W1680" s="93" t="s">
        <v>7072</v>
      </c>
      <c r="X1680" s="93" t="s">
        <v>24</v>
      </c>
    </row>
    <row r="1681" spans="1:24" hidden="1" x14ac:dyDescent="0.15">
      <c r="A1681" s="93" t="s">
        <v>6755</v>
      </c>
      <c r="B1681" s="93" t="s">
        <v>7229</v>
      </c>
      <c r="C1681" s="410">
        <v>72</v>
      </c>
      <c r="D1681" s="93" t="s">
        <v>24</v>
      </c>
      <c r="E1681" s="93" t="s">
        <v>24</v>
      </c>
      <c r="F1681" s="93" t="s">
        <v>399</v>
      </c>
      <c r="G1681" s="93" t="s">
        <v>7185</v>
      </c>
      <c r="H1681" s="93" t="s">
        <v>400</v>
      </c>
      <c r="I1681" s="93" t="s">
        <v>111</v>
      </c>
      <c r="J1681" s="93" t="s">
        <v>7105</v>
      </c>
      <c r="K1681" s="93" t="s">
        <v>111</v>
      </c>
      <c r="L1681" s="93" t="s">
        <v>111</v>
      </c>
      <c r="M1681" s="93" t="s">
        <v>111</v>
      </c>
      <c r="N1681" s="93" t="s">
        <v>111</v>
      </c>
      <c r="O1681" s="93" t="s">
        <v>111</v>
      </c>
      <c r="P1681" s="93" t="s">
        <v>111</v>
      </c>
      <c r="Q1681" s="93" t="s">
        <v>111</v>
      </c>
      <c r="R1681" s="93" t="s">
        <v>228</v>
      </c>
      <c r="S1681" s="93" t="s">
        <v>111</v>
      </c>
      <c r="T1681" s="93" t="s">
        <v>115</v>
      </c>
      <c r="U1681" s="93" t="s">
        <v>116</v>
      </c>
      <c r="V1681" s="94">
        <v>44610.20208333333</v>
      </c>
      <c r="W1681" s="93" t="s">
        <v>7072</v>
      </c>
      <c r="X1681" s="93" t="s">
        <v>24</v>
      </c>
    </row>
    <row r="1682" spans="1:24" hidden="1" x14ac:dyDescent="0.15">
      <c r="A1682" s="93" t="s">
        <v>6757</v>
      </c>
      <c r="B1682" s="93" t="s">
        <v>7230</v>
      </c>
      <c r="C1682" s="410">
        <v>112</v>
      </c>
      <c r="D1682" s="93" t="s">
        <v>24</v>
      </c>
      <c r="E1682" s="93" t="s">
        <v>24</v>
      </c>
      <c r="F1682" s="93" t="s">
        <v>399</v>
      </c>
      <c r="G1682" s="93" t="s">
        <v>7185</v>
      </c>
      <c r="H1682" s="93" t="s">
        <v>400</v>
      </c>
      <c r="I1682" s="93" t="s">
        <v>111</v>
      </c>
      <c r="J1682" s="93" t="s">
        <v>7105</v>
      </c>
      <c r="K1682" s="93" t="s">
        <v>111</v>
      </c>
      <c r="L1682" s="93" t="s">
        <v>111</v>
      </c>
      <c r="M1682" s="93" t="s">
        <v>111</v>
      </c>
      <c r="N1682" s="93" t="s">
        <v>111</v>
      </c>
      <c r="O1682" s="93" t="s">
        <v>111</v>
      </c>
      <c r="P1682" s="93" t="s">
        <v>111</v>
      </c>
      <c r="Q1682" s="93" t="s">
        <v>111</v>
      </c>
      <c r="R1682" s="93" t="s">
        <v>228</v>
      </c>
      <c r="S1682" s="93" t="s">
        <v>111</v>
      </c>
      <c r="T1682" s="93" t="s">
        <v>115</v>
      </c>
      <c r="U1682" s="93" t="s">
        <v>116</v>
      </c>
      <c r="V1682" s="94">
        <v>44610.145833333336</v>
      </c>
      <c r="W1682" s="93" t="s">
        <v>7072</v>
      </c>
      <c r="X1682" s="93" t="s">
        <v>24</v>
      </c>
    </row>
    <row r="1683" spans="1:24" hidden="1" x14ac:dyDescent="0.15">
      <c r="A1683" s="93" t="s">
        <v>6717</v>
      </c>
      <c r="B1683" s="93" t="s">
        <v>6718</v>
      </c>
      <c r="C1683" s="410">
        <v>22</v>
      </c>
      <c r="D1683" s="93" t="s">
        <v>24</v>
      </c>
      <c r="E1683" s="93" t="s">
        <v>24</v>
      </c>
      <c r="F1683" s="93" t="s">
        <v>399</v>
      </c>
      <c r="G1683" s="93" t="s">
        <v>7185</v>
      </c>
      <c r="H1683" s="93" t="s">
        <v>400</v>
      </c>
      <c r="I1683" s="93" t="s">
        <v>111</v>
      </c>
      <c r="J1683" s="93" t="s">
        <v>7105</v>
      </c>
      <c r="K1683" s="93" t="s">
        <v>111</v>
      </c>
      <c r="L1683" s="93" t="s">
        <v>111</v>
      </c>
      <c r="M1683" s="93" t="s">
        <v>111</v>
      </c>
      <c r="N1683" s="93" t="s">
        <v>111</v>
      </c>
      <c r="O1683" s="93" t="s">
        <v>111</v>
      </c>
      <c r="P1683" s="93" t="s">
        <v>111</v>
      </c>
      <c r="Q1683" s="93" t="s">
        <v>111</v>
      </c>
      <c r="R1683" s="93" t="s">
        <v>228</v>
      </c>
      <c r="S1683" s="93" t="s">
        <v>111</v>
      </c>
      <c r="T1683" s="93" t="s">
        <v>115</v>
      </c>
      <c r="U1683" s="93" t="s">
        <v>116</v>
      </c>
      <c r="V1683" s="94">
        <v>44610.195833333331</v>
      </c>
      <c r="W1683" s="93" t="s">
        <v>7072</v>
      </c>
      <c r="X1683" s="93" t="s">
        <v>24</v>
      </c>
    </row>
    <row r="1684" spans="1:24" hidden="1" x14ac:dyDescent="0.15">
      <c r="A1684" s="93" t="s">
        <v>6719</v>
      </c>
      <c r="B1684" s="93" t="s">
        <v>7231</v>
      </c>
      <c r="C1684" s="410">
        <v>57</v>
      </c>
      <c r="D1684" s="93" t="s">
        <v>24</v>
      </c>
      <c r="E1684" s="93" t="s">
        <v>24</v>
      </c>
      <c r="F1684" s="93" t="s">
        <v>399</v>
      </c>
      <c r="G1684" s="93" t="s">
        <v>7185</v>
      </c>
      <c r="H1684" s="93" t="s">
        <v>400</v>
      </c>
      <c r="I1684" s="93" t="s">
        <v>111</v>
      </c>
      <c r="J1684" s="93" t="s">
        <v>7105</v>
      </c>
      <c r="K1684" s="93" t="s">
        <v>111</v>
      </c>
      <c r="L1684" s="93" t="s">
        <v>111</v>
      </c>
      <c r="M1684" s="93" t="s">
        <v>111</v>
      </c>
      <c r="N1684" s="93" t="s">
        <v>111</v>
      </c>
      <c r="O1684" s="93" t="s">
        <v>111</v>
      </c>
      <c r="P1684" s="93" t="s">
        <v>111</v>
      </c>
      <c r="Q1684" s="93" t="s">
        <v>111</v>
      </c>
      <c r="R1684" s="93" t="s">
        <v>228</v>
      </c>
      <c r="S1684" s="93" t="s">
        <v>111</v>
      </c>
      <c r="T1684" s="93" t="s">
        <v>115</v>
      </c>
      <c r="U1684" s="93" t="s">
        <v>116</v>
      </c>
      <c r="V1684" s="94">
        <v>44610.181250000001</v>
      </c>
      <c r="W1684" s="93" t="s">
        <v>7072</v>
      </c>
      <c r="X1684" s="93" t="s">
        <v>24</v>
      </c>
    </row>
    <row r="1685" spans="1:24" hidden="1" x14ac:dyDescent="0.15">
      <c r="A1685" s="93" t="s">
        <v>6721</v>
      </c>
      <c r="B1685" s="93" t="s">
        <v>7232</v>
      </c>
      <c r="C1685" s="410">
        <v>88</v>
      </c>
      <c r="D1685" s="93" t="s">
        <v>24</v>
      </c>
      <c r="E1685" s="93" t="s">
        <v>24</v>
      </c>
      <c r="F1685" s="93" t="s">
        <v>399</v>
      </c>
      <c r="G1685" s="93" t="s">
        <v>7185</v>
      </c>
      <c r="H1685" s="93" t="s">
        <v>400</v>
      </c>
      <c r="I1685" s="93" t="s">
        <v>111</v>
      </c>
      <c r="J1685" s="93" t="s">
        <v>7105</v>
      </c>
      <c r="K1685" s="93" t="s">
        <v>111</v>
      </c>
      <c r="L1685" s="93" t="s">
        <v>111</v>
      </c>
      <c r="M1685" s="93" t="s">
        <v>111</v>
      </c>
      <c r="N1685" s="93" t="s">
        <v>111</v>
      </c>
      <c r="O1685" s="93" t="s">
        <v>111</v>
      </c>
      <c r="P1685" s="93" t="s">
        <v>111</v>
      </c>
      <c r="Q1685" s="93" t="s">
        <v>111</v>
      </c>
      <c r="R1685" s="93" t="s">
        <v>228</v>
      </c>
      <c r="S1685" s="93" t="s">
        <v>111</v>
      </c>
      <c r="T1685" s="93" t="s">
        <v>115</v>
      </c>
      <c r="U1685" s="93" t="s">
        <v>116</v>
      </c>
      <c r="V1685" s="94">
        <v>44610.195833333331</v>
      </c>
      <c r="W1685" s="93" t="s">
        <v>7072</v>
      </c>
      <c r="X1685" s="93" t="s">
        <v>24</v>
      </c>
    </row>
    <row r="1686" spans="1:24" hidden="1" x14ac:dyDescent="0.15">
      <c r="A1686" s="93" t="s">
        <v>6723</v>
      </c>
      <c r="B1686" s="93" t="s">
        <v>6724</v>
      </c>
      <c r="C1686" s="410">
        <v>31</v>
      </c>
      <c r="D1686" s="93" t="s">
        <v>24</v>
      </c>
      <c r="E1686" s="93" t="s">
        <v>24</v>
      </c>
      <c r="F1686" s="93" t="s">
        <v>399</v>
      </c>
      <c r="G1686" s="93" t="s">
        <v>7185</v>
      </c>
      <c r="H1686" s="93" t="s">
        <v>400</v>
      </c>
      <c r="I1686" s="93" t="s">
        <v>111</v>
      </c>
      <c r="J1686" s="93" t="s">
        <v>7105</v>
      </c>
      <c r="K1686" s="93" t="s">
        <v>111</v>
      </c>
      <c r="L1686" s="93" t="s">
        <v>111</v>
      </c>
      <c r="M1686" s="93" t="s">
        <v>111</v>
      </c>
      <c r="N1686" s="93" t="s">
        <v>111</v>
      </c>
      <c r="O1686" s="93" t="s">
        <v>111</v>
      </c>
      <c r="P1686" s="93" t="s">
        <v>111</v>
      </c>
      <c r="Q1686" s="93" t="s">
        <v>111</v>
      </c>
      <c r="R1686" s="93" t="s">
        <v>228</v>
      </c>
      <c r="S1686" s="93" t="s">
        <v>111</v>
      </c>
      <c r="T1686" s="93" t="s">
        <v>115</v>
      </c>
      <c r="U1686" s="93" t="s">
        <v>116</v>
      </c>
      <c r="V1686" s="94">
        <v>44610.140277777777</v>
      </c>
      <c r="W1686" s="93" t="s">
        <v>7072</v>
      </c>
      <c r="X1686" s="93" t="s">
        <v>24</v>
      </c>
    </row>
    <row r="1687" spans="1:24" hidden="1" x14ac:dyDescent="0.15">
      <c r="A1687" s="93" t="s">
        <v>6725</v>
      </c>
      <c r="B1687" s="93" t="s">
        <v>7233</v>
      </c>
      <c r="C1687" s="410">
        <v>80</v>
      </c>
      <c r="D1687" s="93" t="s">
        <v>24</v>
      </c>
      <c r="E1687" s="93" t="s">
        <v>24</v>
      </c>
      <c r="F1687" s="93" t="s">
        <v>399</v>
      </c>
      <c r="G1687" s="93" t="s">
        <v>7185</v>
      </c>
      <c r="H1687" s="93" t="s">
        <v>400</v>
      </c>
      <c r="I1687" s="93" t="s">
        <v>111</v>
      </c>
      <c r="J1687" s="93" t="s">
        <v>7105</v>
      </c>
      <c r="K1687" s="93" t="s">
        <v>111</v>
      </c>
      <c r="L1687" s="93" t="s">
        <v>111</v>
      </c>
      <c r="M1687" s="93" t="s">
        <v>111</v>
      </c>
      <c r="N1687" s="93" t="s">
        <v>111</v>
      </c>
      <c r="O1687" s="93" t="s">
        <v>111</v>
      </c>
      <c r="P1687" s="93" t="s">
        <v>111</v>
      </c>
      <c r="Q1687" s="93" t="s">
        <v>111</v>
      </c>
      <c r="R1687" s="93" t="s">
        <v>228</v>
      </c>
      <c r="S1687" s="93" t="s">
        <v>111</v>
      </c>
      <c r="T1687" s="93" t="s">
        <v>115</v>
      </c>
      <c r="U1687" s="93" t="s">
        <v>116</v>
      </c>
      <c r="V1687" s="94">
        <v>44610.15347222222</v>
      </c>
      <c r="W1687" s="93" t="s">
        <v>7072</v>
      </c>
      <c r="X1687" s="93" t="s">
        <v>24</v>
      </c>
    </row>
    <row r="1688" spans="1:24" hidden="1" x14ac:dyDescent="0.15">
      <c r="A1688" s="93" t="s">
        <v>6727</v>
      </c>
      <c r="B1688" s="93" t="s">
        <v>7234</v>
      </c>
      <c r="C1688" s="410">
        <v>124</v>
      </c>
      <c r="D1688" s="93" t="s">
        <v>24</v>
      </c>
      <c r="E1688" s="93" t="s">
        <v>24</v>
      </c>
      <c r="F1688" s="93" t="s">
        <v>399</v>
      </c>
      <c r="G1688" s="93" t="s">
        <v>7185</v>
      </c>
      <c r="H1688" s="93" t="s">
        <v>400</v>
      </c>
      <c r="I1688" s="93" t="s">
        <v>111</v>
      </c>
      <c r="J1688" s="93" t="s">
        <v>7105</v>
      </c>
      <c r="K1688" s="93" t="s">
        <v>111</v>
      </c>
      <c r="L1688" s="93" t="s">
        <v>111</v>
      </c>
      <c r="M1688" s="93" t="s">
        <v>111</v>
      </c>
      <c r="N1688" s="93" t="s">
        <v>111</v>
      </c>
      <c r="O1688" s="93" t="s">
        <v>111</v>
      </c>
      <c r="P1688" s="93" t="s">
        <v>111</v>
      </c>
      <c r="Q1688" s="93" t="s">
        <v>111</v>
      </c>
      <c r="R1688" s="93" t="s">
        <v>228</v>
      </c>
      <c r="S1688" s="93" t="s">
        <v>111</v>
      </c>
      <c r="T1688" s="93" t="s">
        <v>115</v>
      </c>
      <c r="U1688" s="93" t="s">
        <v>116</v>
      </c>
      <c r="V1688" s="94">
        <v>44610.155555555553</v>
      </c>
      <c r="W1688" s="93" t="s">
        <v>7072</v>
      </c>
      <c r="X1688" s="93" t="s">
        <v>24</v>
      </c>
    </row>
    <row r="1689" spans="1:24" hidden="1" x14ac:dyDescent="0.15">
      <c r="A1689" s="93" t="s">
        <v>6729</v>
      </c>
      <c r="B1689" s="93" t="s">
        <v>6730</v>
      </c>
      <c r="C1689" s="410">
        <v>65</v>
      </c>
      <c r="D1689" s="93" t="s">
        <v>24</v>
      </c>
      <c r="E1689" s="93" t="s">
        <v>24</v>
      </c>
      <c r="F1689" s="93" t="s">
        <v>399</v>
      </c>
      <c r="G1689" s="93" t="s">
        <v>7185</v>
      </c>
      <c r="H1689" s="93" t="s">
        <v>400</v>
      </c>
      <c r="I1689" s="93" t="s">
        <v>111</v>
      </c>
      <c r="J1689" s="93" t="s">
        <v>7105</v>
      </c>
      <c r="K1689" s="93" t="s">
        <v>111</v>
      </c>
      <c r="L1689" s="93" t="s">
        <v>111</v>
      </c>
      <c r="M1689" s="93" t="s">
        <v>111</v>
      </c>
      <c r="N1689" s="93" t="s">
        <v>111</v>
      </c>
      <c r="O1689" s="93" t="s">
        <v>111</v>
      </c>
      <c r="P1689" s="93" t="s">
        <v>111</v>
      </c>
      <c r="Q1689" s="93" t="s">
        <v>111</v>
      </c>
      <c r="R1689" s="93" t="s">
        <v>228</v>
      </c>
      <c r="S1689" s="93" t="s">
        <v>111</v>
      </c>
      <c r="T1689" s="93" t="s">
        <v>115</v>
      </c>
      <c r="U1689" s="93" t="s">
        <v>116</v>
      </c>
      <c r="V1689" s="94">
        <v>44610.145138888889</v>
      </c>
      <c r="W1689" s="93" t="s">
        <v>7072</v>
      </c>
      <c r="X1689" s="93" t="s">
        <v>24</v>
      </c>
    </row>
    <row r="1690" spans="1:24" hidden="1" x14ac:dyDescent="0.15">
      <c r="A1690" s="93" t="s">
        <v>6731</v>
      </c>
      <c r="B1690" s="93" t="s">
        <v>7235</v>
      </c>
      <c r="C1690" s="410">
        <v>166</v>
      </c>
      <c r="D1690" s="93" t="s">
        <v>24</v>
      </c>
      <c r="E1690" s="93" t="s">
        <v>24</v>
      </c>
      <c r="F1690" s="93" t="s">
        <v>399</v>
      </c>
      <c r="G1690" s="93" t="s">
        <v>7185</v>
      </c>
      <c r="H1690" s="93" t="s">
        <v>400</v>
      </c>
      <c r="I1690" s="93" t="s">
        <v>111</v>
      </c>
      <c r="J1690" s="93" t="s">
        <v>7105</v>
      </c>
      <c r="K1690" s="93" t="s">
        <v>111</v>
      </c>
      <c r="L1690" s="93" t="s">
        <v>111</v>
      </c>
      <c r="M1690" s="93" t="s">
        <v>111</v>
      </c>
      <c r="N1690" s="93" t="s">
        <v>111</v>
      </c>
      <c r="O1690" s="93" t="s">
        <v>111</v>
      </c>
      <c r="P1690" s="93" t="s">
        <v>111</v>
      </c>
      <c r="Q1690" s="93" t="s">
        <v>111</v>
      </c>
      <c r="R1690" s="93" t="s">
        <v>228</v>
      </c>
      <c r="S1690" s="93" t="s">
        <v>111</v>
      </c>
      <c r="T1690" s="93" t="s">
        <v>115</v>
      </c>
      <c r="U1690" s="93" t="s">
        <v>116</v>
      </c>
      <c r="V1690" s="94">
        <v>44610.163888888892</v>
      </c>
      <c r="W1690" s="93" t="s">
        <v>7072</v>
      </c>
      <c r="X1690" s="93" t="s">
        <v>24</v>
      </c>
    </row>
    <row r="1691" spans="1:24" hidden="1" x14ac:dyDescent="0.15">
      <c r="A1691" s="93" t="s">
        <v>6733</v>
      </c>
      <c r="B1691" s="93" t="s">
        <v>7236</v>
      </c>
      <c r="C1691" s="410">
        <v>260</v>
      </c>
      <c r="D1691" s="93" t="s">
        <v>24</v>
      </c>
      <c r="E1691" s="93" t="s">
        <v>24</v>
      </c>
      <c r="F1691" s="93" t="s">
        <v>399</v>
      </c>
      <c r="G1691" s="93" t="s">
        <v>7185</v>
      </c>
      <c r="H1691" s="93" t="s">
        <v>400</v>
      </c>
      <c r="I1691" s="93" t="s">
        <v>111</v>
      </c>
      <c r="J1691" s="93" t="s">
        <v>7105</v>
      </c>
      <c r="K1691" s="93" t="s">
        <v>111</v>
      </c>
      <c r="L1691" s="93" t="s">
        <v>111</v>
      </c>
      <c r="M1691" s="93" t="s">
        <v>111</v>
      </c>
      <c r="N1691" s="93" t="s">
        <v>111</v>
      </c>
      <c r="O1691" s="93" t="s">
        <v>111</v>
      </c>
      <c r="P1691" s="93" t="s">
        <v>111</v>
      </c>
      <c r="Q1691" s="93" t="s">
        <v>111</v>
      </c>
      <c r="R1691" s="93" t="s">
        <v>228</v>
      </c>
      <c r="S1691" s="93" t="s">
        <v>111</v>
      </c>
      <c r="T1691" s="93" t="s">
        <v>115</v>
      </c>
      <c r="U1691" s="93" t="s">
        <v>116</v>
      </c>
      <c r="V1691" s="94">
        <v>44610.173611111109</v>
      </c>
      <c r="W1691" s="93" t="s">
        <v>7072</v>
      </c>
      <c r="X1691" s="93" t="s">
        <v>24</v>
      </c>
    </row>
    <row r="1692" spans="1:24" hidden="1" x14ac:dyDescent="0.15">
      <c r="A1692" s="93" t="s">
        <v>6759</v>
      </c>
      <c r="B1692" s="93" t="s">
        <v>6760</v>
      </c>
      <c r="C1692" s="410">
        <v>39</v>
      </c>
      <c r="D1692" s="93" t="s">
        <v>24</v>
      </c>
      <c r="E1692" s="93" t="s">
        <v>24</v>
      </c>
      <c r="F1692" s="93" t="s">
        <v>399</v>
      </c>
      <c r="G1692" s="93" t="s">
        <v>7185</v>
      </c>
      <c r="H1692" s="93" t="s">
        <v>400</v>
      </c>
      <c r="I1692" s="93" t="s">
        <v>111</v>
      </c>
      <c r="J1692" s="93" t="s">
        <v>7105</v>
      </c>
      <c r="K1692" s="93" t="s">
        <v>111</v>
      </c>
      <c r="L1692" s="93" t="s">
        <v>111</v>
      </c>
      <c r="M1692" s="93" t="s">
        <v>111</v>
      </c>
      <c r="N1692" s="93" t="s">
        <v>111</v>
      </c>
      <c r="O1692" s="93" t="s">
        <v>111</v>
      </c>
      <c r="P1692" s="93" t="s">
        <v>111</v>
      </c>
      <c r="Q1692" s="93" t="s">
        <v>111</v>
      </c>
      <c r="R1692" s="93" t="s">
        <v>228</v>
      </c>
      <c r="S1692" s="93" t="s">
        <v>111</v>
      </c>
      <c r="T1692" s="93" t="s">
        <v>115</v>
      </c>
      <c r="U1692" s="93" t="s">
        <v>116</v>
      </c>
      <c r="V1692" s="94">
        <v>44610.171527777777</v>
      </c>
      <c r="W1692" s="93" t="s">
        <v>7072</v>
      </c>
      <c r="X1692" s="93" t="s">
        <v>24</v>
      </c>
    </row>
    <row r="1693" spans="1:24" hidden="1" x14ac:dyDescent="0.15">
      <c r="A1693" s="93" t="s">
        <v>6761</v>
      </c>
      <c r="B1693" s="93" t="s">
        <v>7237</v>
      </c>
      <c r="C1693" s="410">
        <v>100</v>
      </c>
      <c r="D1693" s="93" t="s">
        <v>24</v>
      </c>
      <c r="E1693" s="93" t="s">
        <v>24</v>
      </c>
      <c r="F1693" s="93" t="s">
        <v>399</v>
      </c>
      <c r="G1693" s="93" t="s">
        <v>7185</v>
      </c>
      <c r="H1693" s="93" t="s">
        <v>400</v>
      </c>
      <c r="I1693" s="93" t="s">
        <v>111</v>
      </c>
      <c r="J1693" s="93" t="s">
        <v>7105</v>
      </c>
      <c r="K1693" s="93" t="s">
        <v>111</v>
      </c>
      <c r="L1693" s="93" t="s">
        <v>111</v>
      </c>
      <c r="M1693" s="93" t="s">
        <v>111</v>
      </c>
      <c r="N1693" s="93" t="s">
        <v>111</v>
      </c>
      <c r="O1693" s="93" t="s">
        <v>111</v>
      </c>
      <c r="P1693" s="93" t="s">
        <v>111</v>
      </c>
      <c r="Q1693" s="93" t="s">
        <v>111</v>
      </c>
      <c r="R1693" s="93" t="s">
        <v>228</v>
      </c>
      <c r="S1693" s="93" t="s">
        <v>111</v>
      </c>
      <c r="T1693" s="93" t="s">
        <v>115</v>
      </c>
      <c r="U1693" s="93" t="s">
        <v>116</v>
      </c>
      <c r="V1693" s="94">
        <v>44610.163888888892</v>
      </c>
      <c r="W1693" s="93" t="s">
        <v>7072</v>
      </c>
      <c r="X1693" s="93" t="s">
        <v>24</v>
      </c>
    </row>
    <row r="1694" spans="1:24" hidden="1" x14ac:dyDescent="0.15">
      <c r="A1694" s="93" t="s">
        <v>6763</v>
      </c>
      <c r="B1694" s="93" t="s">
        <v>7238</v>
      </c>
      <c r="C1694" s="410">
        <v>156</v>
      </c>
      <c r="D1694" s="93" t="s">
        <v>24</v>
      </c>
      <c r="E1694" s="93" t="s">
        <v>24</v>
      </c>
      <c r="F1694" s="93" t="s">
        <v>399</v>
      </c>
      <c r="G1694" s="93" t="s">
        <v>7185</v>
      </c>
      <c r="H1694" s="93" t="s">
        <v>400</v>
      </c>
      <c r="I1694" s="93" t="s">
        <v>111</v>
      </c>
      <c r="J1694" s="93" t="s">
        <v>7105</v>
      </c>
      <c r="K1694" s="93" t="s">
        <v>111</v>
      </c>
      <c r="L1694" s="93" t="s">
        <v>111</v>
      </c>
      <c r="M1694" s="93" t="s">
        <v>111</v>
      </c>
      <c r="N1694" s="93" t="s">
        <v>111</v>
      </c>
      <c r="O1694" s="93" t="s">
        <v>111</v>
      </c>
      <c r="P1694" s="93" t="s">
        <v>111</v>
      </c>
      <c r="Q1694" s="93" t="s">
        <v>111</v>
      </c>
      <c r="R1694" s="93" t="s">
        <v>228</v>
      </c>
      <c r="S1694" s="93" t="s">
        <v>111</v>
      </c>
      <c r="T1694" s="93" t="s">
        <v>115</v>
      </c>
      <c r="U1694" s="93" t="s">
        <v>116</v>
      </c>
      <c r="V1694" s="94">
        <v>44610.140277777777</v>
      </c>
      <c r="W1694" s="93" t="s">
        <v>7072</v>
      </c>
      <c r="X1694" s="93" t="s">
        <v>24</v>
      </c>
    </row>
    <row r="1695" spans="1:24" hidden="1" x14ac:dyDescent="0.15">
      <c r="A1695" s="93" t="s">
        <v>6765</v>
      </c>
      <c r="B1695" s="93" t="s">
        <v>6766</v>
      </c>
      <c r="C1695" s="410">
        <v>57</v>
      </c>
      <c r="D1695" s="93" t="s">
        <v>24</v>
      </c>
      <c r="E1695" s="93" t="s">
        <v>24</v>
      </c>
      <c r="F1695" s="93" t="s">
        <v>399</v>
      </c>
      <c r="G1695" s="93" t="s">
        <v>7185</v>
      </c>
      <c r="H1695" s="93" t="s">
        <v>400</v>
      </c>
      <c r="I1695" s="93" t="s">
        <v>111</v>
      </c>
      <c r="J1695" s="93" t="s">
        <v>7105</v>
      </c>
      <c r="K1695" s="93" t="s">
        <v>111</v>
      </c>
      <c r="L1695" s="93" t="s">
        <v>111</v>
      </c>
      <c r="M1695" s="93" t="s">
        <v>111</v>
      </c>
      <c r="N1695" s="93" t="s">
        <v>111</v>
      </c>
      <c r="O1695" s="93" t="s">
        <v>111</v>
      </c>
      <c r="P1695" s="93" t="s">
        <v>111</v>
      </c>
      <c r="Q1695" s="93" t="s">
        <v>111</v>
      </c>
      <c r="R1695" s="93" t="s">
        <v>228</v>
      </c>
      <c r="S1695" s="93" t="s">
        <v>111</v>
      </c>
      <c r="T1695" s="93" t="s">
        <v>115</v>
      </c>
      <c r="U1695" s="93" t="s">
        <v>116</v>
      </c>
      <c r="V1695" s="94">
        <v>44610.15347222222</v>
      </c>
      <c r="W1695" s="93" t="s">
        <v>7072</v>
      </c>
      <c r="X1695" s="93" t="s">
        <v>24</v>
      </c>
    </row>
    <row r="1696" spans="1:24" hidden="1" x14ac:dyDescent="0.15">
      <c r="A1696" s="93" t="s">
        <v>6767</v>
      </c>
      <c r="B1696" s="93" t="s">
        <v>7239</v>
      </c>
      <c r="C1696" s="410">
        <v>146</v>
      </c>
      <c r="D1696" s="93" t="s">
        <v>24</v>
      </c>
      <c r="E1696" s="93" t="s">
        <v>24</v>
      </c>
      <c r="F1696" s="93" t="s">
        <v>399</v>
      </c>
      <c r="G1696" s="93" t="s">
        <v>7185</v>
      </c>
      <c r="H1696" s="93" t="s">
        <v>400</v>
      </c>
      <c r="I1696" s="93" t="s">
        <v>111</v>
      </c>
      <c r="J1696" s="93" t="s">
        <v>7105</v>
      </c>
      <c r="K1696" s="93" t="s">
        <v>111</v>
      </c>
      <c r="L1696" s="93" t="s">
        <v>111</v>
      </c>
      <c r="M1696" s="93" t="s">
        <v>111</v>
      </c>
      <c r="N1696" s="93" t="s">
        <v>111</v>
      </c>
      <c r="O1696" s="93" t="s">
        <v>111</v>
      </c>
      <c r="P1696" s="93" t="s">
        <v>111</v>
      </c>
      <c r="Q1696" s="93" t="s">
        <v>111</v>
      </c>
      <c r="R1696" s="93" t="s">
        <v>228</v>
      </c>
      <c r="S1696" s="93" t="s">
        <v>111</v>
      </c>
      <c r="T1696" s="93" t="s">
        <v>115</v>
      </c>
      <c r="U1696" s="93" t="s">
        <v>116</v>
      </c>
      <c r="V1696" s="94">
        <v>44610.181250000001</v>
      </c>
      <c r="W1696" s="93" t="s">
        <v>7072</v>
      </c>
      <c r="X1696" s="93" t="s">
        <v>24</v>
      </c>
    </row>
    <row r="1697" spans="1:24" hidden="1" x14ac:dyDescent="0.15">
      <c r="A1697" s="93" t="s">
        <v>6769</v>
      </c>
      <c r="B1697" s="93" t="s">
        <v>7240</v>
      </c>
      <c r="C1697" s="410">
        <v>228</v>
      </c>
      <c r="D1697" s="93" t="s">
        <v>24</v>
      </c>
      <c r="E1697" s="93" t="s">
        <v>24</v>
      </c>
      <c r="F1697" s="93" t="s">
        <v>399</v>
      </c>
      <c r="G1697" s="93" t="s">
        <v>7185</v>
      </c>
      <c r="H1697" s="93" t="s">
        <v>400</v>
      </c>
      <c r="I1697" s="93" t="s">
        <v>111</v>
      </c>
      <c r="J1697" s="93" t="s">
        <v>7105</v>
      </c>
      <c r="K1697" s="93" t="s">
        <v>111</v>
      </c>
      <c r="L1697" s="93" t="s">
        <v>111</v>
      </c>
      <c r="M1697" s="93" t="s">
        <v>111</v>
      </c>
      <c r="N1697" s="93" t="s">
        <v>111</v>
      </c>
      <c r="O1697" s="93" t="s">
        <v>111</v>
      </c>
      <c r="P1697" s="93" t="s">
        <v>111</v>
      </c>
      <c r="Q1697" s="93" t="s">
        <v>111</v>
      </c>
      <c r="R1697" s="93" t="s">
        <v>228</v>
      </c>
      <c r="S1697" s="93" t="s">
        <v>111</v>
      </c>
      <c r="T1697" s="93" t="s">
        <v>115</v>
      </c>
      <c r="U1697" s="93" t="s">
        <v>116</v>
      </c>
      <c r="V1697" s="94">
        <v>44610.2</v>
      </c>
      <c r="W1697" s="93" t="s">
        <v>7072</v>
      </c>
      <c r="X1697" s="93" t="s">
        <v>24</v>
      </c>
    </row>
    <row r="1698" spans="1:24" hidden="1" x14ac:dyDescent="0.15">
      <c r="A1698" s="93" t="s">
        <v>6771</v>
      </c>
      <c r="B1698" s="93" t="s">
        <v>6772</v>
      </c>
      <c r="C1698" s="410">
        <v>57</v>
      </c>
      <c r="D1698" s="93" t="s">
        <v>24</v>
      </c>
      <c r="E1698" s="93" t="s">
        <v>24</v>
      </c>
      <c r="F1698" s="93" t="s">
        <v>399</v>
      </c>
      <c r="G1698" s="93" t="s">
        <v>7185</v>
      </c>
      <c r="H1698" s="93" t="s">
        <v>400</v>
      </c>
      <c r="I1698" s="93" t="s">
        <v>111</v>
      </c>
      <c r="J1698" s="93" t="s">
        <v>7105</v>
      </c>
      <c r="K1698" s="93" t="s">
        <v>111</v>
      </c>
      <c r="L1698" s="93" t="s">
        <v>111</v>
      </c>
      <c r="M1698" s="93" t="s">
        <v>111</v>
      </c>
      <c r="N1698" s="93" t="s">
        <v>111</v>
      </c>
      <c r="O1698" s="93" t="s">
        <v>111</v>
      </c>
      <c r="P1698" s="93" t="s">
        <v>111</v>
      </c>
      <c r="Q1698" s="93" t="s">
        <v>111</v>
      </c>
      <c r="R1698" s="93" t="s">
        <v>228</v>
      </c>
      <c r="S1698" s="93" t="s">
        <v>111</v>
      </c>
      <c r="T1698" s="93" t="s">
        <v>115</v>
      </c>
      <c r="U1698" s="93" t="s">
        <v>116</v>
      </c>
      <c r="V1698" s="94">
        <v>44610.140277777777</v>
      </c>
      <c r="W1698" s="93" t="s">
        <v>7072</v>
      </c>
      <c r="X1698" s="93" t="s">
        <v>24</v>
      </c>
    </row>
    <row r="1699" spans="1:24" hidden="1" x14ac:dyDescent="0.15">
      <c r="A1699" s="93" t="s">
        <v>6773</v>
      </c>
      <c r="B1699" s="93" t="s">
        <v>7241</v>
      </c>
      <c r="C1699" s="410">
        <v>146</v>
      </c>
      <c r="D1699" s="93" t="s">
        <v>24</v>
      </c>
      <c r="E1699" s="93" t="s">
        <v>24</v>
      </c>
      <c r="F1699" s="93" t="s">
        <v>399</v>
      </c>
      <c r="G1699" s="93" t="s">
        <v>7185</v>
      </c>
      <c r="H1699" s="93" t="s">
        <v>400</v>
      </c>
      <c r="I1699" s="93" t="s">
        <v>111</v>
      </c>
      <c r="J1699" s="93" t="s">
        <v>7105</v>
      </c>
      <c r="K1699" s="93" t="s">
        <v>111</v>
      </c>
      <c r="L1699" s="93" t="s">
        <v>111</v>
      </c>
      <c r="M1699" s="93" t="s">
        <v>111</v>
      </c>
      <c r="N1699" s="93" t="s">
        <v>111</v>
      </c>
      <c r="O1699" s="93" t="s">
        <v>111</v>
      </c>
      <c r="P1699" s="93" t="s">
        <v>111</v>
      </c>
      <c r="Q1699" s="93" t="s">
        <v>111</v>
      </c>
      <c r="R1699" s="93" t="s">
        <v>228</v>
      </c>
      <c r="S1699" s="93" t="s">
        <v>111</v>
      </c>
      <c r="T1699" s="93" t="s">
        <v>115</v>
      </c>
      <c r="U1699" s="93" t="s">
        <v>116</v>
      </c>
      <c r="V1699" s="94">
        <v>44610.202777777777</v>
      </c>
      <c r="W1699" s="93" t="s">
        <v>7072</v>
      </c>
      <c r="X1699" s="93" t="s">
        <v>24</v>
      </c>
    </row>
    <row r="1700" spans="1:24" hidden="1" x14ac:dyDescent="0.15">
      <c r="A1700" s="93" t="s">
        <v>6775</v>
      </c>
      <c r="B1700" s="93" t="s">
        <v>7242</v>
      </c>
      <c r="C1700" s="410">
        <v>228</v>
      </c>
      <c r="D1700" s="93" t="s">
        <v>24</v>
      </c>
      <c r="E1700" s="93" t="s">
        <v>24</v>
      </c>
      <c r="F1700" s="93" t="s">
        <v>399</v>
      </c>
      <c r="G1700" s="93" t="s">
        <v>7185</v>
      </c>
      <c r="H1700" s="93" t="s">
        <v>400</v>
      </c>
      <c r="I1700" s="93" t="s">
        <v>111</v>
      </c>
      <c r="J1700" s="93" t="s">
        <v>7105</v>
      </c>
      <c r="K1700" s="93" t="s">
        <v>111</v>
      </c>
      <c r="L1700" s="93" t="s">
        <v>111</v>
      </c>
      <c r="M1700" s="93" t="s">
        <v>111</v>
      </c>
      <c r="N1700" s="93" t="s">
        <v>111</v>
      </c>
      <c r="O1700" s="93" t="s">
        <v>111</v>
      </c>
      <c r="P1700" s="93" t="s">
        <v>111</v>
      </c>
      <c r="Q1700" s="93" t="s">
        <v>111</v>
      </c>
      <c r="R1700" s="93" t="s">
        <v>228</v>
      </c>
      <c r="S1700" s="93" t="s">
        <v>111</v>
      </c>
      <c r="T1700" s="93" t="s">
        <v>115</v>
      </c>
      <c r="U1700" s="93" t="s">
        <v>116</v>
      </c>
      <c r="V1700" s="94">
        <v>44610.193749999999</v>
      </c>
      <c r="W1700" s="93" t="s">
        <v>7072</v>
      </c>
      <c r="X1700" s="93" t="s">
        <v>24</v>
      </c>
    </row>
    <row r="1701" spans="1:24" hidden="1" x14ac:dyDescent="0.15">
      <c r="A1701" s="93" t="s">
        <v>6777</v>
      </c>
      <c r="B1701" s="93" t="s">
        <v>6778</v>
      </c>
      <c r="C1701" s="410">
        <v>78</v>
      </c>
      <c r="D1701" s="93" t="s">
        <v>24</v>
      </c>
      <c r="E1701" s="93" t="s">
        <v>24</v>
      </c>
      <c r="F1701" s="93" t="s">
        <v>399</v>
      </c>
      <c r="G1701" s="93" t="s">
        <v>7185</v>
      </c>
      <c r="H1701" s="93" t="s">
        <v>400</v>
      </c>
      <c r="I1701" s="93" t="s">
        <v>111</v>
      </c>
      <c r="J1701" s="93" t="s">
        <v>7105</v>
      </c>
      <c r="K1701" s="93" t="s">
        <v>111</v>
      </c>
      <c r="L1701" s="93" t="s">
        <v>111</v>
      </c>
      <c r="M1701" s="93" t="s">
        <v>111</v>
      </c>
      <c r="N1701" s="93" t="s">
        <v>111</v>
      </c>
      <c r="O1701" s="93" t="s">
        <v>111</v>
      </c>
      <c r="P1701" s="93" t="s">
        <v>111</v>
      </c>
      <c r="Q1701" s="93" t="s">
        <v>111</v>
      </c>
      <c r="R1701" s="93" t="s">
        <v>228</v>
      </c>
      <c r="S1701" s="93" t="s">
        <v>111</v>
      </c>
      <c r="T1701" s="93" t="s">
        <v>115</v>
      </c>
      <c r="U1701" s="93" t="s">
        <v>116</v>
      </c>
      <c r="V1701" s="94">
        <v>44610.15347222222</v>
      </c>
      <c r="W1701" s="93" t="s">
        <v>7072</v>
      </c>
      <c r="X1701" s="93" t="s">
        <v>24</v>
      </c>
    </row>
    <row r="1702" spans="1:24" hidden="1" x14ac:dyDescent="0.15">
      <c r="A1702" s="93" t="s">
        <v>6779</v>
      </c>
      <c r="B1702" s="93" t="s">
        <v>7243</v>
      </c>
      <c r="C1702" s="410">
        <v>199</v>
      </c>
      <c r="D1702" s="93" t="s">
        <v>24</v>
      </c>
      <c r="E1702" s="93" t="s">
        <v>24</v>
      </c>
      <c r="F1702" s="93" t="s">
        <v>399</v>
      </c>
      <c r="G1702" s="93" t="s">
        <v>7185</v>
      </c>
      <c r="H1702" s="93" t="s">
        <v>400</v>
      </c>
      <c r="I1702" s="93" t="s">
        <v>111</v>
      </c>
      <c r="J1702" s="93" t="s">
        <v>7105</v>
      </c>
      <c r="K1702" s="93" t="s">
        <v>111</v>
      </c>
      <c r="L1702" s="93" t="s">
        <v>111</v>
      </c>
      <c r="M1702" s="93" t="s">
        <v>111</v>
      </c>
      <c r="N1702" s="93" t="s">
        <v>111</v>
      </c>
      <c r="O1702" s="93" t="s">
        <v>111</v>
      </c>
      <c r="P1702" s="93" t="s">
        <v>111</v>
      </c>
      <c r="Q1702" s="93" t="s">
        <v>111</v>
      </c>
      <c r="R1702" s="93" t="s">
        <v>228</v>
      </c>
      <c r="S1702" s="93" t="s">
        <v>111</v>
      </c>
      <c r="T1702" s="93" t="s">
        <v>115</v>
      </c>
      <c r="U1702" s="93" t="s">
        <v>116</v>
      </c>
      <c r="V1702" s="94">
        <v>44610.163888888892</v>
      </c>
      <c r="W1702" s="93" t="s">
        <v>7072</v>
      </c>
      <c r="X1702" s="93" t="s">
        <v>24</v>
      </c>
    </row>
    <row r="1703" spans="1:24" hidden="1" x14ac:dyDescent="0.15">
      <c r="A1703" s="93" t="s">
        <v>6781</v>
      </c>
      <c r="B1703" s="93" t="s">
        <v>7244</v>
      </c>
      <c r="C1703" s="410">
        <v>312</v>
      </c>
      <c r="D1703" s="93" t="s">
        <v>24</v>
      </c>
      <c r="E1703" s="93" t="s">
        <v>24</v>
      </c>
      <c r="F1703" s="93" t="s">
        <v>399</v>
      </c>
      <c r="G1703" s="93" t="s">
        <v>7185</v>
      </c>
      <c r="H1703" s="93" t="s">
        <v>400</v>
      </c>
      <c r="I1703" s="93" t="s">
        <v>111</v>
      </c>
      <c r="J1703" s="93" t="s">
        <v>7105</v>
      </c>
      <c r="K1703" s="93" t="s">
        <v>111</v>
      </c>
      <c r="L1703" s="93" t="s">
        <v>111</v>
      </c>
      <c r="M1703" s="93" t="s">
        <v>111</v>
      </c>
      <c r="N1703" s="93" t="s">
        <v>111</v>
      </c>
      <c r="O1703" s="93" t="s">
        <v>111</v>
      </c>
      <c r="P1703" s="93" t="s">
        <v>111</v>
      </c>
      <c r="Q1703" s="93" t="s">
        <v>111</v>
      </c>
      <c r="R1703" s="93" t="s">
        <v>228</v>
      </c>
      <c r="S1703" s="93" t="s">
        <v>111</v>
      </c>
      <c r="T1703" s="93" t="s">
        <v>115</v>
      </c>
      <c r="U1703" s="93" t="s">
        <v>116</v>
      </c>
      <c r="V1703" s="94">
        <v>44610.195833333331</v>
      </c>
      <c r="W1703" s="93" t="s">
        <v>7072</v>
      </c>
      <c r="X1703" s="93" t="s">
        <v>24</v>
      </c>
    </row>
    <row r="1704" spans="1:24" hidden="1" x14ac:dyDescent="0.15">
      <c r="A1704" s="93" t="s">
        <v>6783</v>
      </c>
      <c r="B1704" s="93" t="s">
        <v>6784</v>
      </c>
      <c r="C1704" s="410">
        <v>70</v>
      </c>
      <c r="D1704" s="93" t="s">
        <v>24</v>
      </c>
      <c r="E1704" s="93" t="s">
        <v>24</v>
      </c>
      <c r="F1704" s="93" t="s">
        <v>399</v>
      </c>
      <c r="G1704" s="93" t="s">
        <v>7185</v>
      </c>
      <c r="H1704" s="93" t="s">
        <v>400</v>
      </c>
      <c r="I1704" s="93" t="s">
        <v>111</v>
      </c>
      <c r="J1704" s="93" t="s">
        <v>7105</v>
      </c>
      <c r="K1704" s="93" t="s">
        <v>111</v>
      </c>
      <c r="L1704" s="93" t="s">
        <v>111</v>
      </c>
      <c r="M1704" s="93" t="s">
        <v>111</v>
      </c>
      <c r="N1704" s="93" t="s">
        <v>111</v>
      </c>
      <c r="O1704" s="93" t="s">
        <v>111</v>
      </c>
      <c r="P1704" s="93" t="s">
        <v>111</v>
      </c>
      <c r="Q1704" s="93" t="s">
        <v>111</v>
      </c>
      <c r="R1704" s="93" t="s">
        <v>228</v>
      </c>
      <c r="S1704" s="93" t="s">
        <v>111</v>
      </c>
      <c r="T1704" s="93" t="s">
        <v>115</v>
      </c>
      <c r="U1704" s="93" t="s">
        <v>116</v>
      </c>
      <c r="V1704" s="94">
        <v>44610.140972222223</v>
      </c>
      <c r="W1704" s="93" t="s">
        <v>7072</v>
      </c>
      <c r="X1704" s="93" t="s">
        <v>24</v>
      </c>
    </row>
    <row r="1705" spans="1:24" hidden="1" x14ac:dyDescent="0.15">
      <c r="A1705" s="93" t="s">
        <v>6785</v>
      </c>
      <c r="B1705" s="93" t="s">
        <v>7245</v>
      </c>
      <c r="C1705" s="410">
        <v>179</v>
      </c>
      <c r="D1705" s="93" t="s">
        <v>24</v>
      </c>
      <c r="E1705" s="93" t="s">
        <v>24</v>
      </c>
      <c r="F1705" s="93" t="s">
        <v>399</v>
      </c>
      <c r="G1705" s="93" t="s">
        <v>7185</v>
      </c>
      <c r="H1705" s="93" t="s">
        <v>400</v>
      </c>
      <c r="I1705" s="93" t="s">
        <v>111</v>
      </c>
      <c r="J1705" s="93" t="s">
        <v>7105</v>
      </c>
      <c r="K1705" s="93" t="s">
        <v>111</v>
      </c>
      <c r="L1705" s="93" t="s">
        <v>111</v>
      </c>
      <c r="M1705" s="93" t="s">
        <v>111</v>
      </c>
      <c r="N1705" s="93" t="s">
        <v>111</v>
      </c>
      <c r="O1705" s="93" t="s">
        <v>111</v>
      </c>
      <c r="P1705" s="93" t="s">
        <v>111</v>
      </c>
      <c r="Q1705" s="93" t="s">
        <v>111</v>
      </c>
      <c r="R1705" s="93" t="s">
        <v>228</v>
      </c>
      <c r="S1705" s="93" t="s">
        <v>111</v>
      </c>
      <c r="T1705" s="93" t="s">
        <v>115</v>
      </c>
      <c r="U1705" s="93" t="s">
        <v>116</v>
      </c>
      <c r="V1705" s="94">
        <v>44610.181250000001</v>
      </c>
      <c r="W1705" s="93" t="s">
        <v>7072</v>
      </c>
      <c r="X1705" s="93" t="s">
        <v>24</v>
      </c>
    </row>
    <row r="1706" spans="1:24" hidden="1" x14ac:dyDescent="0.15">
      <c r="A1706" s="93" t="s">
        <v>6787</v>
      </c>
      <c r="B1706" s="93" t="s">
        <v>7246</v>
      </c>
      <c r="C1706" s="410">
        <v>280</v>
      </c>
      <c r="D1706" s="93" t="s">
        <v>24</v>
      </c>
      <c r="E1706" s="93" t="s">
        <v>24</v>
      </c>
      <c r="F1706" s="93" t="s">
        <v>399</v>
      </c>
      <c r="G1706" s="93" t="s">
        <v>7185</v>
      </c>
      <c r="H1706" s="93" t="s">
        <v>400</v>
      </c>
      <c r="I1706" s="93" t="s">
        <v>111</v>
      </c>
      <c r="J1706" s="93" t="s">
        <v>7105</v>
      </c>
      <c r="K1706" s="93" t="s">
        <v>111</v>
      </c>
      <c r="L1706" s="93" t="s">
        <v>111</v>
      </c>
      <c r="M1706" s="93" t="s">
        <v>111</v>
      </c>
      <c r="N1706" s="93" t="s">
        <v>111</v>
      </c>
      <c r="O1706" s="93" t="s">
        <v>111</v>
      </c>
      <c r="P1706" s="93" t="s">
        <v>111</v>
      </c>
      <c r="Q1706" s="93" t="s">
        <v>111</v>
      </c>
      <c r="R1706" s="93" t="s">
        <v>228</v>
      </c>
      <c r="S1706" s="93" t="s">
        <v>111</v>
      </c>
      <c r="T1706" s="93" t="s">
        <v>115</v>
      </c>
      <c r="U1706" s="93" t="s">
        <v>116</v>
      </c>
      <c r="V1706" s="94">
        <v>44610.163888888892</v>
      </c>
      <c r="W1706" s="93" t="s">
        <v>7072</v>
      </c>
      <c r="X1706" s="93" t="s">
        <v>24</v>
      </c>
    </row>
    <row r="1707" spans="1:24" hidden="1" x14ac:dyDescent="0.15">
      <c r="A1707" s="93" t="s">
        <v>6789</v>
      </c>
      <c r="B1707" s="93" t="s">
        <v>6790</v>
      </c>
      <c r="C1707" s="410">
        <v>65</v>
      </c>
      <c r="D1707" s="93" t="s">
        <v>24</v>
      </c>
      <c r="E1707" s="93" t="s">
        <v>24</v>
      </c>
      <c r="F1707" s="93" t="s">
        <v>399</v>
      </c>
      <c r="G1707" s="93" t="s">
        <v>7185</v>
      </c>
      <c r="H1707" s="93" t="s">
        <v>400</v>
      </c>
      <c r="I1707" s="93" t="s">
        <v>111</v>
      </c>
      <c r="J1707" s="93" t="s">
        <v>7105</v>
      </c>
      <c r="K1707" s="93" t="s">
        <v>111</v>
      </c>
      <c r="L1707" s="93" t="s">
        <v>111</v>
      </c>
      <c r="M1707" s="93" t="s">
        <v>111</v>
      </c>
      <c r="N1707" s="93" t="s">
        <v>111</v>
      </c>
      <c r="O1707" s="93" t="s">
        <v>111</v>
      </c>
      <c r="P1707" s="93" t="s">
        <v>111</v>
      </c>
      <c r="Q1707" s="93" t="s">
        <v>111</v>
      </c>
      <c r="R1707" s="93" t="s">
        <v>228</v>
      </c>
      <c r="S1707" s="93" t="s">
        <v>111</v>
      </c>
      <c r="T1707" s="93" t="s">
        <v>115</v>
      </c>
      <c r="U1707" s="93" t="s">
        <v>116</v>
      </c>
      <c r="V1707" s="94">
        <v>44610.193749999999</v>
      </c>
      <c r="W1707" s="93" t="s">
        <v>7072</v>
      </c>
      <c r="X1707" s="93" t="s">
        <v>24</v>
      </c>
    </row>
    <row r="1708" spans="1:24" hidden="1" x14ac:dyDescent="0.15">
      <c r="A1708" s="93" t="s">
        <v>6791</v>
      </c>
      <c r="B1708" s="93" t="s">
        <v>7247</v>
      </c>
      <c r="C1708" s="410">
        <v>166</v>
      </c>
      <c r="D1708" s="93" t="s">
        <v>24</v>
      </c>
      <c r="E1708" s="93" t="s">
        <v>24</v>
      </c>
      <c r="F1708" s="93" t="s">
        <v>399</v>
      </c>
      <c r="G1708" s="93" t="s">
        <v>7185</v>
      </c>
      <c r="H1708" s="93" t="s">
        <v>400</v>
      </c>
      <c r="I1708" s="93" t="s">
        <v>111</v>
      </c>
      <c r="J1708" s="93" t="s">
        <v>7105</v>
      </c>
      <c r="K1708" s="93" t="s">
        <v>111</v>
      </c>
      <c r="L1708" s="93" t="s">
        <v>111</v>
      </c>
      <c r="M1708" s="93" t="s">
        <v>111</v>
      </c>
      <c r="N1708" s="93" t="s">
        <v>111</v>
      </c>
      <c r="O1708" s="93" t="s">
        <v>111</v>
      </c>
      <c r="P1708" s="93" t="s">
        <v>111</v>
      </c>
      <c r="Q1708" s="93" t="s">
        <v>111</v>
      </c>
      <c r="R1708" s="93" t="s">
        <v>228</v>
      </c>
      <c r="S1708" s="93" t="s">
        <v>111</v>
      </c>
      <c r="T1708" s="93" t="s">
        <v>115</v>
      </c>
      <c r="U1708" s="93" t="s">
        <v>116</v>
      </c>
      <c r="V1708" s="94">
        <v>44610.145833333336</v>
      </c>
      <c r="W1708" s="93" t="s">
        <v>7072</v>
      </c>
      <c r="X1708" s="93" t="s">
        <v>24</v>
      </c>
    </row>
    <row r="1709" spans="1:24" hidden="1" x14ac:dyDescent="0.15">
      <c r="A1709" s="93" t="s">
        <v>6793</v>
      </c>
      <c r="B1709" s="93" t="s">
        <v>7248</v>
      </c>
      <c r="C1709" s="410">
        <v>260</v>
      </c>
      <c r="D1709" s="93" t="s">
        <v>24</v>
      </c>
      <c r="E1709" s="93" t="s">
        <v>24</v>
      </c>
      <c r="F1709" s="93" t="s">
        <v>399</v>
      </c>
      <c r="G1709" s="93" t="s">
        <v>7185</v>
      </c>
      <c r="H1709" s="93" t="s">
        <v>400</v>
      </c>
      <c r="I1709" s="93" t="s">
        <v>111</v>
      </c>
      <c r="J1709" s="93" t="s">
        <v>7105</v>
      </c>
      <c r="K1709" s="93" t="s">
        <v>111</v>
      </c>
      <c r="L1709" s="93" t="s">
        <v>111</v>
      </c>
      <c r="M1709" s="93" t="s">
        <v>111</v>
      </c>
      <c r="N1709" s="93" t="s">
        <v>111</v>
      </c>
      <c r="O1709" s="93" t="s">
        <v>111</v>
      </c>
      <c r="P1709" s="93" t="s">
        <v>111</v>
      </c>
      <c r="Q1709" s="93" t="s">
        <v>111</v>
      </c>
      <c r="R1709" s="93" t="s">
        <v>228</v>
      </c>
      <c r="S1709" s="93" t="s">
        <v>111</v>
      </c>
      <c r="T1709" s="93" t="s">
        <v>115</v>
      </c>
      <c r="U1709" s="93" t="s">
        <v>116</v>
      </c>
      <c r="V1709" s="94">
        <v>44610.146527777775</v>
      </c>
      <c r="W1709" s="93" t="s">
        <v>7072</v>
      </c>
      <c r="X1709" s="93" t="s">
        <v>24</v>
      </c>
    </row>
    <row r="1710" spans="1:24" hidden="1" x14ac:dyDescent="0.15">
      <c r="A1710" s="93" t="s">
        <v>6795</v>
      </c>
      <c r="B1710" s="93" t="s">
        <v>6796</v>
      </c>
      <c r="C1710" s="410">
        <v>96</v>
      </c>
      <c r="D1710" s="93" t="s">
        <v>24</v>
      </c>
      <c r="E1710" s="93" t="s">
        <v>24</v>
      </c>
      <c r="F1710" s="93" t="s">
        <v>399</v>
      </c>
      <c r="G1710" s="93" t="s">
        <v>7185</v>
      </c>
      <c r="H1710" s="93" t="s">
        <v>400</v>
      </c>
      <c r="I1710" s="93" t="s">
        <v>111</v>
      </c>
      <c r="J1710" s="93" t="s">
        <v>7105</v>
      </c>
      <c r="K1710" s="93" t="s">
        <v>111</v>
      </c>
      <c r="L1710" s="93" t="s">
        <v>111</v>
      </c>
      <c r="M1710" s="93" t="s">
        <v>111</v>
      </c>
      <c r="N1710" s="93" t="s">
        <v>111</v>
      </c>
      <c r="O1710" s="93" t="s">
        <v>111</v>
      </c>
      <c r="P1710" s="93" t="s">
        <v>111</v>
      </c>
      <c r="Q1710" s="93" t="s">
        <v>111</v>
      </c>
      <c r="R1710" s="93" t="s">
        <v>228</v>
      </c>
      <c r="S1710" s="93" t="s">
        <v>111</v>
      </c>
      <c r="T1710" s="93" t="s">
        <v>115</v>
      </c>
      <c r="U1710" s="93" t="s">
        <v>116</v>
      </c>
      <c r="V1710" s="94">
        <v>44610.181250000001</v>
      </c>
      <c r="W1710" s="93" t="s">
        <v>7072</v>
      </c>
      <c r="X1710" s="93" t="s">
        <v>24</v>
      </c>
    </row>
    <row r="1711" spans="1:24" hidden="1" x14ac:dyDescent="0.15">
      <c r="A1711" s="93" t="s">
        <v>6797</v>
      </c>
      <c r="B1711" s="93" t="s">
        <v>7249</v>
      </c>
      <c r="C1711" s="410">
        <v>245</v>
      </c>
      <c r="D1711" s="93" t="s">
        <v>24</v>
      </c>
      <c r="E1711" s="93" t="s">
        <v>24</v>
      </c>
      <c r="F1711" s="93" t="s">
        <v>399</v>
      </c>
      <c r="G1711" s="93" t="s">
        <v>7185</v>
      </c>
      <c r="H1711" s="93" t="s">
        <v>400</v>
      </c>
      <c r="I1711" s="93" t="s">
        <v>111</v>
      </c>
      <c r="J1711" s="93" t="s">
        <v>7105</v>
      </c>
      <c r="K1711" s="93" t="s">
        <v>111</v>
      </c>
      <c r="L1711" s="93" t="s">
        <v>111</v>
      </c>
      <c r="M1711" s="93" t="s">
        <v>111</v>
      </c>
      <c r="N1711" s="93" t="s">
        <v>111</v>
      </c>
      <c r="O1711" s="93" t="s">
        <v>111</v>
      </c>
      <c r="P1711" s="93" t="s">
        <v>111</v>
      </c>
      <c r="Q1711" s="93" t="s">
        <v>111</v>
      </c>
      <c r="R1711" s="93" t="s">
        <v>228</v>
      </c>
      <c r="S1711" s="93" t="s">
        <v>111</v>
      </c>
      <c r="T1711" s="93" t="s">
        <v>115</v>
      </c>
      <c r="U1711" s="93" t="s">
        <v>116</v>
      </c>
      <c r="V1711" s="94">
        <v>44610.2</v>
      </c>
      <c r="W1711" s="93" t="s">
        <v>7072</v>
      </c>
      <c r="X1711" s="93" t="s">
        <v>24</v>
      </c>
    </row>
    <row r="1712" spans="1:24" hidden="1" x14ac:dyDescent="0.15">
      <c r="A1712" s="93" t="s">
        <v>6799</v>
      </c>
      <c r="B1712" s="93" t="s">
        <v>7250</v>
      </c>
      <c r="C1712" s="410">
        <v>384</v>
      </c>
      <c r="D1712" s="93" t="s">
        <v>24</v>
      </c>
      <c r="E1712" s="93" t="s">
        <v>24</v>
      </c>
      <c r="F1712" s="93" t="s">
        <v>399</v>
      </c>
      <c r="G1712" s="93" t="s">
        <v>7185</v>
      </c>
      <c r="H1712" s="93" t="s">
        <v>400</v>
      </c>
      <c r="I1712" s="93" t="s">
        <v>111</v>
      </c>
      <c r="J1712" s="93" t="s">
        <v>7105</v>
      </c>
      <c r="K1712" s="93" t="s">
        <v>111</v>
      </c>
      <c r="L1712" s="93" t="s">
        <v>111</v>
      </c>
      <c r="M1712" s="93" t="s">
        <v>111</v>
      </c>
      <c r="N1712" s="93" t="s">
        <v>111</v>
      </c>
      <c r="O1712" s="93" t="s">
        <v>111</v>
      </c>
      <c r="P1712" s="93" t="s">
        <v>111</v>
      </c>
      <c r="Q1712" s="93" t="s">
        <v>111</v>
      </c>
      <c r="R1712" s="93" t="s">
        <v>228</v>
      </c>
      <c r="S1712" s="93" t="s">
        <v>111</v>
      </c>
      <c r="T1712" s="93" t="s">
        <v>115</v>
      </c>
      <c r="U1712" s="93" t="s">
        <v>116</v>
      </c>
      <c r="V1712" s="94">
        <v>44610.173611111109</v>
      </c>
      <c r="W1712" s="93" t="s">
        <v>7072</v>
      </c>
      <c r="X1712" s="93" t="s">
        <v>24</v>
      </c>
    </row>
    <row r="1713" spans="1:24" hidden="1" x14ac:dyDescent="0.15">
      <c r="A1713" s="93" t="s">
        <v>6801</v>
      </c>
      <c r="B1713" s="93" t="s">
        <v>6802</v>
      </c>
      <c r="C1713" s="410">
        <v>100</v>
      </c>
      <c r="D1713" s="93" t="s">
        <v>24</v>
      </c>
      <c r="E1713" s="93" t="s">
        <v>24</v>
      </c>
      <c r="F1713" s="93" t="s">
        <v>399</v>
      </c>
      <c r="G1713" s="93" t="s">
        <v>7185</v>
      </c>
      <c r="H1713" s="93" t="s">
        <v>400</v>
      </c>
      <c r="I1713" s="93" t="s">
        <v>111</v>
      </c>
      <c r="J1713" s="93" t="s">
        <v>7105</v>
      </c>
      <c r="K1713" s="93" t="s">
        <v>111</v>
      </c>
      <c r="L1713" s="93" t="s">
        <v>111</v>
      </c>
      <c r="M1713" s="93" t="s">
        <v>111</v>
      </c>
      <c r="N1713" s="93" t="s">
        <v>111</v>
      </c>
      <c r="O1713" s="93" t="s">
        <v>111</v>
      </c>
      <c r="P1713" s="93" t="s">
        <v>111</v>
      </c>
      <c r="Q1713" s="93" t="s">
        <v>111</v>
      </c>
      <c r="R1713" s="93" t="s">
        <v>228</v>
      </c>
      <c r="S1713" s="93" t="s">
        <v>111</v>
      </c>
      <c r="T1713" s="93" t="s">
        <v>115</v>
      </c>
      <c r="U1713" s="93" t="s">
        <v>116</v>
      </c>
      <c r="V1713" s="94">
        <v>44610.193749999999</v>
      </c>
      <c r="W1713" s="93" t="s">
        <v>7072</v>
      </c>
      <c r="X1713" s="93" t="s">
        <v>24</v>
      </c>
    </row>
    <row r="1714" spans="1:24" hidden="1" x14ac:dyDescent="0.15">
      <c r="A1714" s="93" t="s">
        <v>6803</v>
      </c>
      <c r="B1714" s="93" t="s">
        <v>7251</v>
      </c>
      <c r="C1714" s="410">
        <v>255</v>
      </c>
      <c r="D1714" s="93" t="s">
        <v>24</v>
      </c>
      <c r="E1714" s="93" t="s">
        <v>24</v>
      </c>
      <c r="F1714" s="93" t="s">
        <v>399</v>
      </c>
      <c r="G1714" s="93" t="s">
        <v>7185</v>
      </c>
      <c r="H1714" s="93" t="s">
        <v>400</v>
      </c>
      <c r="I1714" s="93" t="s">
        <v>111</v>
      </c>
      <c r="J1714" s="93" t="s">
        <v>7105</v>
      </c>
      <c r="K1714" s="93" t="s">
        <v>111</v>
      </c>
      <c r="L1714" s="93" t="s">
        <v>111</v>
      </c>
      <c r="M1714" s="93" t="s">
        <v>111</v>
      </c>
      <c r="N1714" s="93" t="s">
        <v>111</v>
      </c>
      <c r="O1714" s="93" t="s">
        <v>111</v>
      </c>
      <c r="P1714" s="93" t="s">
        <v>111</v>
      </c>
      <c r="Q1714" s="93" t="s">
        <v>111</v>
      </c>
      <c r="R1714" s="93" t="s">
        <v>228</v>
      </c>
      <c r="S1714" s="93" t="s">
        <v>111</v>
      </c>
      <c r="T1714" s="93" t="s">
        <v>115</v>
      </c>
      <c r="U1714" s="93" t="s">
        <v>116</v>
      </c>
      <c r="V1714" s="94">
        <v>44610.154861111114</v>
      </c>
      <c r="W1714" s="93" t="s">
        <v>7072</v>
      </c>
      <c r="X1714" s="93" t="s">
        <v>24</v>
      </c>
    </row>
    <row r="1715" spans="1:24" hidden="1" x14ac:dyDescent="0.15">
      <c r="A1715" s="93" t="s">
        <v>6805</v>
      </c>
      <c r="B1715" s="93" t="s">
        <v>7252</v>
      </c>
      <c r="C1715" s="410">
        <v>400</v>
      </c>
      <c r="D1715" s="93" t="s">
        <v>24</v>
      </c>
      <c r="E1715" s="93" t="s">
        <v>24</v>
      </c>
      <c r="F1715" s="93" t="s">
        <v>399</v>
      </c>
      <c r="G1715" s="93" t="s">
        <v>7185</v>
      </c>
      <c r="H1715" s="93" t="s">
        <v>400</v>
      </c>
      <c r="I1715" s="93" t="s">
        <v>111</v>
      </c>
      <c r="J1715" s="93" t="s">
        <v>7105</v>
      </c>
      <c r="K1715" s="93" t="s">
        <v>111</v>
      </c>
      <c r="L1715" s="93" t="s">
        <v>111</v>
      </c>
      <c r="M1715" s="93" t="s">
        <v>111</v>
      </c>
      <c r="N1715" s="93" t="s">
        <v>111</v>
      </c>
      <c r="O1715" s="93" t="s">
        <v>111</v>
      </c>
      <c r="P1715" s="93" t="s">
        <v>111</v>
      </c>
      <c r="Q1715" s="93" t="s">
        <v>111</v>
      </c>
      <c r="R1715" s="93" t="s">
        <v>228</v>
      </c>
      <c r="S1715" s="93" t="s">
        <v>111</v>
      </c>
      <c r="T1715" s="93" t="s">
        <v>115</v>
      </c>
      <c r="U1715" s="93" t="s">
        <v>116</v>
      </c>
      <c r="V1715" s="94">
        <v>44610.154166666667</v>
      </c>
      <c r="W1715" s="93" t="s">
        <v>7072</v>
      </c>
      <c r="X1715" s="93" t="s">
        <v>24</v>
      </c>
    </row>
    <row r="1716" spans="1:24" hidden="1" x14ac:dyDescent="0.15">
      <c r="A1716" s="93" t="s">
        <v>6999</v>
      </c>
      <c r="B1716" s="93" t="s">
        <v>7000</v>
      </c>
      <c r="C1716" s="410">
        <v>11</v>
      </c>
      <c r="D1716" s="93" t="s">
        <v>24</v>
      </c>
      <c r="E1716" s="93" t="s">
        <v>24</v>
      </c>
      <c r="F1716" s="93" t="s">
        <v>7</v>
      </c>
      <c r="G1716" s="93" t="s">
        <v>7185</v>
      </c>
      <c r="H1716" s="93" t="s">
        <v>400</v>
      </c>
      <c r="I1716" s="93" t="s">
        <v>111</v>
      </c>
      <c r="J1716" s="93" t="s">
        <v>7105</v>
      </c>
      <c r="K1716" s="93" t="s">
        <v>111</v>
      </c>
      <c r="L1716" s="93" t="s">
        <v>111</v>
      </c>
      <c r="M1716" s="93" t="s">
        <v>111</v>
      </c>
      <c r="N1716" s="93" t="s">
        <v>111</v>
      </c>
      <c r="O1716" s="93" t="s">
        <v>111</v>
      </c>
      <c r="P1716" s="93" t="s">
        <v>111</v>
      </c>
      <c r="Q1716" s="93" t="s">
        <v>111</v>
      </c>
      <c r="R1716" s="93" t="s">
        <v>228</v>
      </c>
      <c r="S1716" s="93" t="s">
        <v>111</v>
      </c>
      <c r="T1716" s="93" t="s">
        <v>115</v>
      </c>
      <c r="U1716" s="93" t="s">
        <v>116</v>
      </c>
      <c r="V1716" s="94">
        <v>44610.165277777778</v>
      </c>
      <c r="W1716" s="93" t="s">
        <v>7072</v>
      </c>
      <c r="X1716" s="93" t="s">
        <v>24</v>
      </c>
    </row>
    <row r="1717" spans="1:24" hidden="1" x14ac:dyDescent="0.15">
      <c r="A1717" s="93" t="s">
        <v>7001</v>
      </c>
      <c r="B1717" s="93" t="s">
        <v>7253</v>
      </c>
      <c r="C1717" s="410">
        <v>29</v>
      </c>
      <c r="D1717" s="93" t="s">
        <v>24</v>
      </c>
      <c r="E1717" s="93" t="s">
        <v>24</v>
      </c>
      <c r="F1717" s="93" t="s">
        <v>7</v>
      </c>
      <c r="G1717" s="93" t="s">
        <v>7185</v>
      </c>
      <c r="H1717" s="93" t="s">
        <v>400</v>
      </c>
      <c r="I1717" s="93" t="s">
        <v>111</v>
      </c>
      <c r="J1717" s="93" t="s">
        <v>7105</v>
      </c>
      <c r="K1717" s="93" t="s">
        <v>111</v>
      </c>
      <c r="L1717" s="93" t="s">
        <v>111</v>
      </c>
      <c r="M1717" s="93" t="s">
        <v>111</v>
      </c>
      <c r="N1717" s="93" t="s">
        <v>111</v>
      </c>
      <c r="O1717" s="93" t="s">
        <v>111</v>
      </c>
      <c r="P1717" s="93" t="s">
        <v>111</v>
      </c>
      <c r="Q1717" s="93" t="s">
        <v>111</v>
      </c>
      <c r="R1717" s="93" t="s">
        <v>228</v>
      </c>
      <c r="S1717" s="93" t="s">
        <v>111</v>
      </c>
      <c r="T1717" s="93" t="s">
        <v>115</v>
      </c>
      <c r="U1717" s="93" t="s">
        <v>116</v>
      </c>
      <c r="V1717" s="94">
        <v>44610.147916666669</v>
      </c>
      <c r="W1717" s="93" t="s">
        <v>7072</v>
      </c>
      <c r="X1717" s="93" t="s">
        <v>24</v>
      </c>
    </row>
    <row r="1718" spans="1:24" hidden="1" x14ac:dyDescent="0.15">
      <c r="A1718" s="93" t="s">
        <v>7003</v>
      </c>
      <c r="B1718" s="93" t="s">
        <v>7254</v>
      </c>
      <c r="C1718" s="410">
        <v>44</v>
      </c>
      <c r="D1718" s="93" t="s">
        <v>24</v>
      </c>
      <c r="E1718" s="93" t="s">
        <v>24</v>
      </c>
      <c r="F1718" s="93" t="s">
        <v>7</v>
      </c>
      <c r="G1718" s="93" t="s">
        <v>7185</v>
      </c>
      <c r="H1718" s="93" t="s">
        <v>400</v>
      </c>
      <c r="I1718" s="93" t="s">
        <v>111</v>
      </c>
      <c r="J1718" s="93" t="s">
        <v>7105</v>
      </c>
      <c r="K1718" s="93" t="s">
        <v>111</v>
      </c>
      <c r="L1718" s="93" t="s">
        <v>111</v>
      </c>
      <c r="M1718" s="93" t="s">
        <v>111</v>
      </c>
      <c r="N1718" s="93" t="s">
        <v>111</v>
      </c>
      <c r="O1718" s="93" t="s">
        <v>111</v>
      </c>
      <c r="P1718" s="93" t="s">
        <v>111</v>
      </c>
      <c r="Q1718" s="93" t="s">
        <v>111</v>
      </c>
      <c r="R1718" s="93" t="s">
        <v>228</v>
      </c>
      <c r="S1718" s="93" t="s">
        <v>111</v>
      </c>
      <c r="T1718" s="93" t="s">
        <v>115</v>
      </c>
      <c r="U1718" s="93" t="s">
        <v>116</v>
      </c>
      <c r="V1718" s="94">
        <v>44610.20416666667</v>
      </c>
      <c r="W1718" s="93" t="s">
        <v>7072</v>
      </c>
      <c r="X1718" s="93" t="s">
        <v>24</v>
      </c>
    </row>
    <row r="1719" spans="1:24" hidden="1" x14ac:dyDescent="0.15">
      <c r="A1719" s="93" t="s">
        <v>6993</v>
      </c>
      <c r="B1719" s="93" t="s">
        <v>6994</v>
      </c>
      <c r="C1719" s="410">
        <v>26</v>
      </c>
      <c r="D1719" s="93" t="s">
        <v>24</v>
      </c>
      <c r="E1719" s="93" t="s">
        <v>24</v>
      </c>
      <c r="F1719" s="93" t="s">
        <v>7</v>
      </c>
      <c r="G1719" s="93" t="s">
        <v>7185</v>
      </c>
      <c r="H1719" s="93" t="s">
        <v>400</v>
      </c>
      <c r="I1719" s="93" t="s">
        <v>111</v>
      </c>
      <c r="J1719" s="93" t="s">
        <v>7105</v>
      </c>
      <c r="K1719" s="93" t="s">
        <v>111</v>
      </c>
      <c r="L1719" s="93" t="s">
        <v>111</v>
      </c>
      <c r="M1719" s="93" t="s">
        <v>111</v>
      </c>
      <c r="N1719" s="93" t="s">
        <v>111</v>
      </c>
      <c r="O1719" s="93" t="s">
        <v>111</v>
      </c>
      <c r="P1719" s="93" t="s">
        <v>111</v>
      </c>
      <c r="Q1719" s="93" t="s">
        <v>111</v>
      </c>
      <c r="R1719" s="93" t="s">
        <v>228</v>
      </c>
      <c r="S1719" s="93" t="s">
        <v>111</v>
      </c>
      <c r="T1719" s="93" t="s">
        <v>115</v>
      </c>
      <c r="U1719" s="93" t="s">
        <v>116</v>
      </c>
      <c r="V1719" s="94">
        <v>44610.165277777778</v>
      </c>
      <c r="W1719" s="93" t="s">
        <v>7072</v>
      </c>
      <c r="X1719" s="93" t="s">
        <v>24</v>
      </c>
    </row>
    <row r="1720" spans="1:24" hidden="1" x14ac:dyDescent="0.15">
      <c r="A1720" s="93" t="s">
        <v>6995</v>
      </c>
      <c r="B1720" s="93" t="s">
        <v>7255</v>
      </c>
      <c r="C1720" s="410">
        <v>67</v>
      </c>
      <c r="D1720" s="93" t="s">
        <v>24</v>
      </c>
      <c r="E1720" s="93" t="s">
        <v>24</v>
      </c>
      <c r="F1720" s="93" t="s">
        <v>7</v>
      </c>
      <c r="G1720" s="93" t="s">
        <v>7185</v>
      </c>
      <c r="H1720" s="93" t="s">
        <v>400</v>
      </c>
      <c r="I1720" s="93" t="s">
        <v>111</v>
      </c>
      <c r="J1720" s="93" t="s">
        <v>7105</v>
      </c>
      <c r="K1720" s="93" t="s">
        <v>111</v>
      </c>
      <c r="L1720" s="93" t="s">
        <v>111</v>
      </c>
      <c r="M1720" s="93" t="s">
        <v>111</v>
      </c>
      <c r="N1720" s="93" t="s">
        <v>111</v>
      </c>
      <c r="O1720" s="93" t="s">
        <v>111</v>
      </c>
      <c r="P1720" s="93" t="s">
        <v>111</v>
      </c>
      <c r="Q1720" s="93" t="s">
        <v>111</v>
      </c>
      <c r="R1720" s="93" t="s">
        <v>228</v>
      </c>
      <c r="S1720" s="93" t="s">
        <v>111</v>
      </c>
      <c r="T1720" s="93" t="s">
        <v>115</v>
      </c>
      <c r="U1720" s="93" t="s">
        <v>116</v>
      </c>
      <c r="V1720" s="94">
        <v>44610.14166666667</v>
      </c>
      <c r="W1720" s="93" t="s">
        <v>7072</v>
      </c>
      <c r="X1720" s="93" t="s">
        <v>24</v>
      </c>
    </row>
    <row r="1721" spans="1:24" hidden="1" x14ac:dyDescent="0.15">
      <c r="A1721" s="93" t="s">
        <v>6997</v>
      </c>
      <c r="B1721" s="93" t="s">
        <v>7256</v>
      </c>
      <c r="C1721" s="410">
        <v>104</v>
      </c>
      <c r="D1721" s="93" t="s">
        <v>24</v>
      </c>
      <c r="E1721" s="93" t="s">
        <v>24</v>
      </c>
      <c r="F1721" s="93" t="s">
        <v>7</v>
      </c>
      <c r="G1721" s="93" t="s">
        <v>7185</v>
      </c>
      <c r="H1721" s="93" t="s">
        <v>400</v>
      </c>
      <c r="I1721" s="93" t="s">
        <v>111</v>
      </c>
      <c r="J1721" s="93" t="s">
        <v>7105</v>
      </c>
      <c r="K1721" s="93" t="s">
        <v>111</v>
      </c>
      <c r="L1721" s="93" t="s">
        <v>111</v>
      </c>
      <c r="M1721" s="93" t="s">
        <v>111</v>
      </c>
      <c r="N1721" s="93" t="s">
        <v>111</v>
      </c>
      <c r="O1721" s="93" t="s">
        <v>111</v>
      </c>
      <c r="P1721" s="93" t="s">
        <v>111</v>
      </c>
      <c r="Q1721" s="93" t="s">
        <v>111</v>
      </c>
      <c r="R1721" s="93" t="s">
        <v>228</v>
      </c>
      <c r="S1721" s="93" t="s">
        <v>111</v>
      </c>
      <c r="T1721" s="93" t="s">
        <v>115</v>
      </c>
      <c r="U1721" s="93" t="s">
        <v>116</v>
      </c>
      <c r="V1721" s="94">
        <v>44610.147916666669</v>
      </c>
      <c r="W1721" s="93" t="s">
        <v>7072</v>
      </c>
      <c r="X1721" s="93" t="s">
        <v>24</v>
      </c>
    </row>
    <row r="1722" spans="1:24" hidden="1" x14ac:dyDescent="0.15">
      <c r="A1722" s="93" t="s">
        <v>6987</v>
      </c>
      <c r="B1722" s="93" t="s">
        <v>6988</v>
      </c>
      <c r="C1722" s="410">
        <v>52</v>
      </c>
      <c r="D1722" s="93" t="s">
        <v>24</v>
      </c>
      <c r="E1722" s="93" t="s">
        <v>24</v>
      </c>
      <c r="F1722" s="93" t="s">
        <v>7</v>
      </c>
      <c r="G1722" s="93" t="s">
        <v>7185</v>
      </c>
      <c r="H1722" s="93" t="s">
        <v>400</v>
      </c>
      <c r="I1722" s="93" t="s">
        <v>111</v>
      </c>
      <c r="J1722" s="93" t="s">
        <v>7105</v>
      </c>
      <c r="K1722" s="93" t="s">
        <v>111</v>
      </c>
      <c r="L1722" s="93" t="s">
        <v>111</v>
      </c>
      <c r="M1722" s="93" t="s">
        <v>111</v>
      </c>
      <c r="N1722" s="93" t="s">
        <v>111</v>
      </c>
      <c r="O1722" s="93" t="s">
        <v>111</v>
      </c>
      <c r="P1722" s="93" t="s">
        <v>111</v>
      </c>
      <c r="Q1722" s="93" t="s">
        <v>111</v>
      </c>
      <c r="R1722" s="93" t="s">
        <v>228</v>
      </c>
      <c r="S1722" s="93" t="s">
        <v>111</v>
      </c>
      <c r="T1722" s="93" t="s">
        <v>115</v>
      </c>
      <c r="U1722" s="93" t="s">
        <v>116</v>
      </c>
      <c r="V1722" s="94">
        <v>44610.20416666667</v>
      </c>
      <c r="W1722" s="93" t="s">
        <v>7072</v>
      </c>
      <c r="X1722" s="93" t="s">
        <v>24</v>
      </c>
    </row>
    <row r="1723" spans="1:24" hidden="1" x14ac:dyDescent="0.15">
      <c r="A1723" s="93" t="s">
        <v>6989</v>
      </c>
      <c r="B1723" s="93" t="s">
        <v>7257</v>
      </c>
      <c r="C1723" s="410">
        <v>133</v>
      </c>
      <c r="D1723" s="93" t="s">
        <v>24</v>
      </c>
      <c r="E1723" s="93" t="s">
        <v>24</v>
      </c>
      <c r="F1723" s="93" t="s">
        <v>7</v>
      </c>
      <c r="G1723" s="93" t="s">
        <v>7185</v>
      </c>
      <c r="H1723" s="93" t="s">
        <v>400</v>
      </c>
      <c r="I1723" s="93" t="s">
        <v>111</v>
      </c>
      <c r="J1723" s="93" t="s">
        <v>7105</v>
      </c>
      <c r="K1723" s="93" t="s">
        <v>111</v>
      </c>
      <c r="L1723" s="93" t="s">
        <v>111</v>
      </c>
      <c r="M1723" s="93" t="s">
        <v>111</v>
      </c>
      <c r="N1723" s="93" t="s">
        <v>111</v>
      </c>
      <c r="O1723" s="93" t="s">
        <v>111</v>
      </c>
      <c r="P1723" s="93" t="s">
        <v>111</v>
      </c>
      <c r="Q1723" s="93" t="s">
        <v>111</v>
      </c>
      <c r="R1723" s="93" t="s">
        <v>228</v>
      </c>
      <c r="S1723" s="93" t="s">
        <v>111</v>
      </c>
      <c r="T1723" s="93" t="s">
        <v>115</v>
      </c>
      <c r="U1723" s="93" t="s">
        <v>116</v>
      </c>
      <c r="V1723" s="94">
        <v>44610.165277777778</v>
      </c>
      <c r="W1723" s="93" t="s">
        <v>7072</v>
      </c>
      <c r="X1723" s="93" t="s">
        <v>24</v>
      </c>
    </row>
    <row r="1724" spans="1:24" hidden="1" x14ac:dyDescent="0.15">
      <c r="A1724" s="93" t="s">
        <v>6991</v>
      </c>
      <c r="B1724" s="93" t="s">
        <v>7258</v>
      </c>
      <c r="C1724" s="410">
        <v>208</v>
      </c>
      <c r="D1724" s="93" t="s">
        <v>24</v>
      </c>
      <c r="E1724" s="93" t="s">
        <v>24</v>
      </c>
      <c r="F1724" s="93" t="s">
        <v>7</v>
      </c>
      <c r="G1724" s="93" t="s">
        <v>7185</v>
      </c>
      <c r="H1724" s="93" t="s">
        <v>400</v>
      </c>
      <c r="I1724" s="93" t="s">
        <v>111</v>
      </c>
      <c r="J1724" s="93" t="s">
        <v>7105</v>
      </c>
      <c r="K1724" s="93" t="s">
        <v>111</v>
      </c>
      <c r="L1724" s="93" t="s">
        <v>111</v>
      </c>
      <c r="M1724" s="93" t="s">
        <v>111</v>
      </c>
      <c r="N1724" s="93" t="s">
        <v>111</v>
      </c>
      <c r="O1724" s="93" t="s">
        <v>111</v>
      </c>
      <c r="P1724" s="93" t="s">
        <v>111</v>
      </c>
      <c r="Q1724" s="93" t="s">
        <v>111</v>
      </c>
      <c r="R1724" s="93" t="s">
        <v>228</v>
      </c>
      <c r="S1724" s="93" t="s">
        <v>111</v>
      </c>
      <c r="T1724" s="93" t="s">
        <v>115</v>
      </c>
      <c r="U1724" s="93" t="s">
        <v>116</v>
      </c>
      <c r="V1724" s="94">
        <v>44610.14166666667</v>
      </c>
      <c r="W1724" s="93" t="s">
        <v>7072</v>
      </c>
      <c r="X1724" s="93" t="s">
        <v>24</v>
      </c>
    </row>
    <row r="1725" spans="1:24" hidden="1" x14ac:dyDescent="0.15">
      <c r="A1725" s="93" t="s">
        <v>6037</v>
      </c>
      <c r="B1725" s="93" t="s">
        <v>6038</v>
      </c>
      <c r="C1725" s="410">
        <v>17</v>
      </c>
      <c r="D1725" s="93" t="s">
        <v>24</v>
      </c>
      <c r="E1725" s="93" t="s">
        <v>24</v>
      </c>
      <c r="F1725" s="93" t="s">
        <v>399</v>
      </c>
      <c r="G1725" s="93" t="s">
        <v>7185</v>
      </c>
      <c r="H1725" s="93" t="s">
        <v>400</v>
      </c>
      <c r="I1725" s="93" t="s">
        <v>111</v>
      </c>
      <c r="J1725" s="93" t="s">
        <v>7105</v>
      </c>
      <c r="K1725" s="93" t="s">
        <v>111</v>
      </c>
      <c r="L1725" s="93" t="s">
        <v>111</v>
      </c>
      <c r="M1725" s="93" t="s">
        <v>111</v>
      </c>
      <c r="N1725" s="93" t="s">
        <v>111</v>
      </c>
      <c r="O1725" s="93" t="s">
        <v>111</v>
      </c>
      <c r="P1725" s="93" t="s">
        <v>111</v>
      </c>
      <c r="Q1725" s="93" t="s">
        <v>111</v>
      </c>
      <c r="R1725" s="93" t="s">
        <v>228</v>
      </c>
      <c r="S1725" s="93" t="s">
        <v>111</v>
      </c>
      <c r="T1725" s="93" t="s">
        <v>115</v>
      </c>
      <c r="U1725" s="93" t="s">
        <v>116</v>
      </c>
      <c r="V1725" s="94">
        <v>44610.155555555553</v>
      </c>
      <c r="W1725" s="93" t="s">
        <v>7072</v>
      </c>
      <c r="X1725" s="93" t="s">
        <v>24</v>
      </c>
    </row>
    <row r="1726" spans="1:24" hidden="1" x14ac:dyDescent="0.15">
      <c r="A1726" s="93" t="s">
        <v>6039</v>
      </c>
      <c r="B1726" s="93" t="s">
        <v>7259</v>
      </c>
      <c r="C1726" s="410">
        <v>44</v>
      </c>
      <c r="D1726" s="93" t="s">
        <v>24</v>
      </c>
      <c r="E1726" s="93" t="s">
        <v>24</v>
      </c>
      <c r="F1726" s="93" t="s">
        <v>399</v>
      </c>
      <c r="G1726" s="93" t="s">
        <v>7185</v>
      </c>
      <c r="H1726" s="93" t="s">
        <v>400</v>
      </c>
      <c r="I1726" s="93" t="s">
        <v>111</v>
      </c>
      <c r="J1726" s="93" t="s">
        <v>7105</v>
      </c>
      <c r="K1726" s="93" t="s">
        <v>111</v>
      </c>
      <c r="L1726" s="93" t="s">
        <v>111</v>
      </c>
      <c r="M1726" s="93" t="s">
        <v>111</v>
      </c>
      <c r="N1726" s="93" t="s">
        <v>111</v>
      </c>
      <c r="O1726" s="93" t="s">
        <v>111</v>
      </c>
      <c r="P1726" s="93" t="s">
        <v>111</v>
      </c>
      <c r="Q1726" s="93" t="s">
        <v>111</v>
      </c>
      <c r="R1726" s="93" t="s">
        <v>228</v>
      </c>
      <c r="S1726" s="93" t="s">
        <v>111</v>
      </c>
      <c r="T1726" s="93" t="s">
        <v>115</v>
      </c>
      <c r="U1726" s="93" t="s">
        <v>116</v>
      </c>
      <c r="V1726" s="94">
        <v>44610.172222222223</v>
      </c>
      <c r="W1726" s="93" t="s">
        <v>7072</v>
      </c>
      <c r="X1726" s="93" t="s">
        <v>24</v>
      </c>
    </row>
    <row r="1727" spans="1:24" hidden="1" x14ac:dyDescent="0.15">
      <c r="A1727" s="93" t="s">
        <v>6040</v>
      </c>
      <c r="B1727" s="93" t="s">
        <v>7260</v>
      </c>
      <c r="C1727" s="410">
        <v>68</v>
      </c>
      <c r="D1727" s="93" t="s">
        <v>24</v>
      </c>
      <c r="E1727" s="93" t="s">
        <v>24</v>
      </c>
      <c r="F1727" s="93" t="s">
        <v>399</v>
      </c>
      <c r="G1727" s="93" t="s">
        <v>7185</v>
      </c>
      <c r="H1727" s="93" t="s">
        <v>400</v>
      </c>
      <c r="I1727" s="93" t="s">
        <v>111</v>
      </c>
      <c r="J1727" s="93" t="s">
        <v>7105</v>
      </c>
      <c r="K1727" s="93" t="s">
        <v>111</v>
      </c>
      <c r="L1727" s="93" t="s">
        <v>111</v>
      </c>
      <c r="M1727" s="93" t="s">
        <v>111</v>
      </c>
      <c r="N1727" s="93" t="s">
        <v>111</v>
      </c>
      <c r="O1727" s="93" t="s">
        <v>111</v>
      </c>
      <c r="P1727" s="93" t="s">
        <v>111</v>
      </c>
      <c r="Q1727" s="93" t="s">
        <v>111</v>
      </c>
      <c r="R1727" s="93" t="s">
        <v>228</v>
      </c>
      <c r="S1727" s="93" t="s">
        <v>111</v>
      </c>
      <c r="T1727" s="93" t="s">
        <v>115</v>
      </c>
      <c r="U1727" s="93" t="s">
        <v>116</v>
      </c>
      <c r="V1727" s="94">
        <v>44610.173611111109</v>
      </c>
      <c r="W1727" s="93" t="s">
        <v>7072</v>
      </c>
      <c r="X1727" s="93" t="s">
        <v>24</v>
      </c>
    </row>
    <row r="1728" spans="1:24" hidden="1" x14ac:dyDescent="0.15">
      <c r="A1728" s="93" t="s">
        <v>6033</v>
      </c>
      <c r="B1728" s="93" t="s">
        <v>6034</v>
      </c>
      <c r="C1728" s="410">
        <v>47</v>
      </c>
      <c r="D1728" s="93" t="s">
        <v>24</v>
      </c>
      <c r="E1728" s="93" t="s">
        <v>24</v>
      </c>
      <c r="F1728" s="93" t="s">
        <v>399</v>
      </c>
      <c r="G1728" s="93" t="s">
        <v>7185</v>
      </c>
      <c r="H1728" s="93" t="s">
        <v>400</v>
      </c>
      <c r="I1728" s="93" t="s">
        <v>111</v>
      </c>
      <c r="J1728" s="93" t="s">
        <v>7105</v>
      </c>
      <c r="K1728" s="93" t="s">
        <v>111</v>
      </c>
      <c r="L1728" s="93" t="s">
        <v>111</v>
      </c>
      <c r="M1728" s="93" t="s">
        <v>111</v>
      </c>
      <c r="N1728" s="93" t="s">
        <v>111</v>
      </c>
      <c r="O1728" s="93" t="s">
        <v>111</v>
      </c>
      <c r="P1728" s="93" t="s">
        <v>111</v>
      </c>
      <c r="Q1728" s="93" t="s">
        <v>111</v>
      </c>
      <c r="R1728" s="93" t="s">
        <v>228</v>
      </c>
      <c r="S1728" s="93" t="s">
        <v>111</v>
      </c>
      <c r="T1728" s="93" t="s">
        <v>115</v>
      </c>
      <c r="U1728" s="93" t="s">
        <v>116</v>
      </c>
      <c r="V1728" s="94">
        <v>44610.162499999999</v>
      </c>
      <c r="W1728" s="93" t="s">
        <v>7072</v>
      </c>
      <c r="X1728" s="93" t="s">
        <v>24</v>
      </c>
    </row>
    <row r="1729" spans="1:24" hidden="1" x14ac:dyDescent="0.15">
      <c r="A1729" s="93" t="s">
        <v>6035</v>
      </c>
      <c r="B1729" s="93" t="s">
        <v>7261</v>
      </c>
      <c r="C1729" s="410">
        <v>120</v>
      </c>
      <c r="D1729" s="93" t="s">
        <v>24</v>
      </c>
      <c r="E1729" s="93" t="s">
        <v>24</v>
      </c>
      <c r="F1729" s="93" t="s">
        <v>399</v>
      </c>
      <c r="G1729" s="93" t="s">
        <v>7185</v>
      </c>
      <c r="H1729" s="93" t="s">
        <v>400</v>
      </c>
      <c r="I1729" s="93" t="s">
        <v>111</v>
      </c>
      <c r="J1729" s="93" t="s">
        <v>7105</v>
      </c>
      <c r="K1729" s="93" t="s">
        <v>111</v>
      </c>
      <c r="L1729" s="93" t="s">
        <v>111</v>
      </c>
      <c r="M1729" s="93" t="s">
        <v>111</v>
      </c>
      <c r="N1729" s="93" t="s">
        <v>111</v>
      </c>
      <c r="O1729" s="93" t="s">
        <v>111</v>
      </c>
      <c r="P1729" s="93" t="s">
        <v>111</v>
      </c>
      <c r="Q1729" s="93" t="s">
        <v>111</v>
      </c>
      <c r="R1729" s="93" t="s">
        <v>228</v>
      </c>
      <c r="S1729" s="93" t="s">
        <v>111</v>
      </c>
      <c r="T1729" s="93" t="s">
        <v>115</v>
      </c>
      <c r="U1729" s="93" t="s">
        <v>116</v>
      </c>
      <c r="V1729" s="94">
        <v>44610.203472222223</v>
      </c>
      <c r="W1729" s="93" t="s">
        <v>7072</v>
      </c>
      <c r="X1729" s="93" t="s">
        <v>24</v>
      </c>
    </row>
    <row r="1730" spans="1:24" hidden="1" x14ac:dyDescent="0.15">
      <c r="A1730" s="93" t="s">
        <v>6036</v>
      </c>
      <c r="B1730" s="93" t="s">
        <v>7262</v>
      </c>
      <c r="C1730" s="410">
        <v>188</v>
      </c>
      <c r="D1730" s="93" t="s">
        <v>24</v>
      </c>
      <c r="E1730" s="93" t="s">
        <v>24</v>
      </c>
      <c r="F1730" s="93" t="s">
        <v>399</v>
      </c>
      <c r="G1730" s="93" t="s">
        <v>7185</v>
      </c>
      <c r="H1730" s="93" t="s">
        <v>400</v>
      </c>
      <c r="I1730" s="93" t="s">
        <v>111</v>
      </c>
      <c r="J1730" s="93" t="s">
        <v>7105</v>
      </c>
      <c r="K1730" s="93" t="s">
        <v>111</v>
      </c>
      <c r="L1730" s="93" t="s">
        <v>111</v>
      </c>
      <c r="M1730" s="93" t="s">
        <v>111</v>
      </c>
      <c r="N1730" s="93" t="s">
        <v>111</v>
      </c>
      <c r="O1730" s="93" t="s">
        <v>111</v>
      </c>
      <c r="P1730" s="93" t="s">
        <v>111</v>
      </c>
      <c r="Q1730" s="93" t="s">
        <v>111</v>
      </c>
      <c r="R1730" s="93" t="s">
        <v>228</v>
      </c>
      <c r="S1730" s="93" t="s">
        <v>111</v>
      </c>
      <c r="T1730" s="93" t="s">
        <v>115</v>
      </c>
      <c r="U1730" s="93" t="s">
        <v>116</v>
      </c>
      <c r="V1730" s="94">
        <v>44610.17291666667</v>
      </c>
      <c r="W1730" s="93" t="s">
        <v>7072</v>
      </c>
      <c r="X1730" s="93" t="s">
        <v>24</v>
      </c>
    </row>
    <row r="1731" spans="1:24" hidden="1" x14ac:dyDescent="0.15">
      <c r="A1731" s="93" t="s">
        <v>7263</v>
      </c>
      <c r="B1731" s="93" t="s">
        <v>7264</v>
      </c>
      <c r="C1731" s="410">
        <v>19</v>
      </c>
      <c r="D1731" s="93" t="s">
        <v>24</v>
      </c>
      <c r="E1731" s="93" t="s">
        <v>24</v>
      </c>
      <c r="F1731" s="93" t="s">
        <v>7</v>
      </c>
      <c r="G1731" s="93" t="s">
        <v>7185</v>
      </c>
      <c r="H1731" s="93" t="s">
        <v>400</v>
      </c>
      <c r="I1731" s="93" t="s">
        <v>111</v>
      </c>
      <c r="J1731" s="93" t="s">
        <v>7105</v>
      </c>
      <c r="K1731" s="93" t="s">
        <v>111</v>
      </c>
      <c r="L1731" s="93" t="s">
        <v>111</v>
      </c>
      <c r="M1731" s="93" t="s">
        <v>111</v>
      </c>
      <c r="N1731" s="93" t="s">
        <v>111</v>
      </c>
      <c r="O1731" s="93" t="s">
        <v>111</v>
      </c>
      <c r="P1731" s="93" t="s">
        <v>111</v>
      </c>
      <c r="Q1731" s="93" t="s">
        <v>111</v>
      </c>
      <c r="R1731" s="93" t="s">
        <v>111</v>
      </c>
      <c r="S1731" s="93" t="s">
        <v>111</v>
      </c>
      <c r="T1731" s="93" t="s">
        <v>111</v>
      </c>
      <c r="U1731" s="93" t="s">
        <v>116</v>
      </c>
      <c r="V1731" s="94">
        <v>44596.648611111108</v>
      </c>
      <c r="W1731" s="93" t="s">
        <v>402</v>
      </c>
      <c r="X1731" s="93" t="s">
        <v>24</v>
      </c>
    </row>
    <row r="1732" spans="1:24" hidden="1" x14ac:dyDescent="0.15">
      <c r="A1732" s="93" t="s">
        <v>7265</v>
      </c>
      <c r="B1732" s="93" t="s">
        <v>7266</v>
      </c>
      <c r="C1732" s="410">
        <v>49</v>
      </c>
      <c r="D1732" s="93" t="s">
        <v>24</v>
      </c>
      <c r="E1732" s="93" t="s">
        <v>24</v>
      </c>
      <c r="F1732" s="93" t="s">
        <v>7</v>
      </c>
      <c r="G1732" s="93" t="s">
        <v>7185</v>
      </c>
      <c r="H1732" s="93" t="s">
        <v>400</v>
      </c>
      <c r="I1732" s="93" t="s">
        <v>111</v>
      </c>
      <c r="J1732" s="93" t="s">
        <v>7105</v>
      </c>
      <c r="K1732" s="93" t="s">
        <v>111</v>
      </c>
      <c r="L1732" s="93" t="s">
        <v>111</v>
      </c>
      <c r="M1732" s="93" t="s">
        <v>111</v>
      </c>
      <c r="N1732" s="93" t="s">
        <v>111</v>
      </c>
      <c r="O1732" s="93" t="s">
        <v>111</v>
      </c>
      <c r="P1732" s="93" t="s">
        <v>111</v>
      </c>
      <c r="Q1732" s="93" t="s">
        <v>111</v>
      </c>
      <c r="R1732" s="93" t="s">
        <v>111</v>
      </c>
      <c r="S1732" s="93" t="s">
        <v>111</v>
      </c>
      <c r="T1732" s="93" t="s">
        <v>111</v>
      </c>
      <c r="U1732" s="93" t="s">
        <v>116</v>
      </c>
      <c r="V1732" s="94">
        <v>44596.65347222222</v>
      </c>
      <c r="W1732" s="93" t="s">
        <v>402</v>
      </c>
      <c r="X1732" s="93" t="s">
        <v>24</v>
      </c>
    </row>
    <row r="1733" spans="1:24" hidden="1" x14ac:dyDescent="0.15">
      <c r="A1733" s="93" t="s">
        <v>7267</v>
      </c>
      <c r="B1733" s="93" t="s">
        <v>7268</v>
      </c>
      <c r="C1733" s="410">
        <v>76</v>
      </c>
      <c r="D1733" s="93" t="s">
        <v>24</v>
      </c>
      <c r="E1733" s="93" t="s">
        <v>24</v>
      </c>
      <c r="F1733" s="93" t="s">
        <v>7</v>
      </c>
      <c r="G1733" s="93" t="s">
        <v>7185</v>
      </c>
      <c r="H1733" s="93" t="s">
        <v>400</v>
      </c>
      <c r="I1733" s="93" t="s">
        <v>111</v>
      </c>
      <c r="J1733" s="93" t="s">
        <v>7105</v>
      </c>
      <c r="K1733" s="93" t="s">
        <v>111</v>
      </c>
      <c r="L1733" s="93" t="s">
        <v>111</v>
      </c>
      <c r="M1733" s="93" t="s">
        <v>111</v>
      </c>
      <c r="N1733" s="93" t="s">
        <v>111</v>
      </c>
      <c r="O1733" s="93" t="s">
        <v>111</v>
      </c>
      <c r="P1733" s="93" t="s">
        <v>111</v>
      </c>
      <c r="Q1733" s="93" t="s">
        <v>111</v>
      </c>
      <c r="R1733" s="93" t="s">
        <v>111</v>
      </c>
      <c r="S1733" s="93" t="s">
        <v>111</v>
      </c>
      <c r="T1733" s="93" t="s">
        <v>111</v>
      </c>
      <c r="U1733" s="93" t="s">
        <v>116</v>
      </c>
      <c r="V1733" s="94">
        <v>44596.666666666664</v>
      </c>
      <c r="W1733" s="93" t="s">
        <v>402</v>
      </c>
      <c r="X1733" s="93" t="s">
        <v>24</v>
      </c>
    </row>
    <row r="1734" spans="1:24" hidden="1" x14ac:dyDescent="0.15">
      <c r="A1734" s="93" t="s">
        <v>7269</v>
      </c>
      <c r="B1734" s="93" t="s">
        <v>7270</v>
      </c>
      <c r="C1734" s="410">
        <v>95</v>
      </c>
      <c r="D1734" s="93" t="s">
        <v>24</v>
      </c>
      <c r="E1734" s="93" t="s">
        <v>24</v>
      </c>
      <c r="F1734" s="93" t="s">
        <v>7</v>
      </c>
      <c r="G1734" s="93" t="s">
        <v>7185</v>
      </c>
      <c r="H1734" s="93" t="s">
        <v>400</v>
      </c>
      <c r="I1734" s="93" t="s">
        <v>111</v>
      </c>
      <c r="J1734" s="93" t="s">
        <v>7105</v>
      </c>
      <c r="K1734" s="93" t="s">
        <v>111</v>
      </c>
      <c r="L1734" s="93" t="s">
        <v>111</v>
      </c>
      <c r="M1734" s="93" t="s">
        <v>111</v>
      </c>
      <c r="N1734" s="93" t="s">
        <v>111</v>
      </c>
      <c r="O1734" s="93" t="s">
        <v>111</v>
      </c>
      <c r="P1734" s="93" t="s">
        <v>111</v>
      </c>
      <c r="Q1734" s="93" t="s">
        <v>111</v>
      </c>
      <c r="R1734" s="93" t="s">
        <v>111</v>
      </c>
      <c r="S1734" s="93" t="s">
        <v>2</v>
      </c>
      <c r="T1734" s="93" t="s">
        <v>111</v>
      </c>
      <c r="U1734" s="93" t="s">
        <v>116</v>
      </c>
      <c r="V1734" s="94">
        <v>44596.693055555559</v>
      </c>
      <c r="W1734" s="93" t="s">
        <v>402</v>
      </c>
      <c r="X1734" s="93" t="s">
        <v>24</v>
      </c>
    </row>
    <row r="1735" spans="1:24" hidden="1" x14ac:dyDescent="0.15">
      <c r="A1735" s="93" t="s">
        <v>7271</v>
      </c>
      <c r="B1735" s="93" t="s">
        <v>7272</v>
      </c>
      <c r="C1735" s="410">
        <v>243</v>
      </c>
      <c r="D1735" s="93" t="s">
        <v>24</v>
      </c>
      <c r="E1735" s="93" t="s">
        <v>24</v>
      </c>
      <c r="F1735" s="93" t="s">
        <v>7</v>
      </c>
      <c r="G1735" s="93" t="s">
        <v>7185</v>
      </c>
      <c r="H1735" s="93" t="s">
        <v>400</v>
      </c>
      <c r="I1735" s="93" t="s">
        <v>111</v>
      </c>
      <c r="J1735" s="93" t="s">
        <v>7105</v>
      </c>
      <c r="K1735" s="93" t="s">
        <v>111</v>
      </c>
      <c r="L1735" s="93" t="s">
        <v>111</v>
      </c>
      <c r="M1735" s="93" t="s">
        <v>111</v>
      </c>
      <c r="N1735" s="93" t="s">
        <v>111</v>
      </c>
      <c r="O1735" s="93" t="s">
        <v>111</v>
      </c>
      <c r="P1735" s="93" t="s">
        <v>111</v>
      </c>
      <c r="Q1735" s="93" t="s">
        <v>111</v>
      </c>
      <c r="R1735" s="93" t="s">
        <v>111</v>
      </c>
      <c r="S1735" s="93" t="s">
        <v>111</v>
      </c>
      <c r="T1735" s="93" t="s">
        <v>111</v>
      </c>
      <c r="U1735" s="93" t="s">
        <v>116</v>
      </c>
      <c r="V1735" s="94">
        <v>44596.645138888889</v>
      </c>
      <c r="W1735" s="93" t="s">
        <v>402</v>
      </c>
      <c r="X1735" s="93" t="s">
        <v>24</v>
      </c>
    </row>
    <row r="1736" spans="1:24" hidden="1" x14ac:dyDescent="0.15">
      <c r="A1736" s="93" t="s">
        <v>7273</v>
      </c>
      <c r="B1736" s="93" t="s">
        <v>7274</v>
      </c>
      <c r="C1736" s="410">
        <v>380</v>
      </c>
      <c r="D1736" s="93" t="s">
        <v>24</v>
      </c>
      <c r="E1736" s="93" t="s">
        <v>24</v>
      </c>
      <c r="F1736" s="93" t="s">
        <v>7</v>
      </c>
      <c r="G1736" s="93" t="s">
        <v>7185</v>
      </c>
      <c r="H1736" s="93" t="s">
        <v>400</v>
      </c>
      <c r="I1736" s="93" t="s">
        <v>111</v>
      </c>
      <c r="J1736" s="93" t="s">
        <v>7105</v>
      </c>
      <c r="K1736" s="93" t="s">
        <v>111</v>
      </c>
      <c r="L1736" s="93" t="s">
        <v>111</v>
      </c>
      <c r="M1736" s="93" t="s">
        <v>111</v>
      </c>
      <c r="N1736" s="93" t="s">
        <v>111</v>
      </c>
      <c r="O1736" s="93" t="s">
        <v>111</v>
      </c>
      <c r="P1736" s="93" t="s">
        <v>111</v>
      </c>
      <c r="Q1736" s="93" t="s">
        <v>111</v>
      </c>
      <c r="R1736" s="93" t="s">
        <v>111</v>
      </c>
      <c r="S1736" s="93" t="s">
        <v>111</v>
      </c>
      <c r="T1736" s="93" t="s">
        <v>111</v>
      </c>
      <c r="U1736" s="93" t="s">
        <v>116</v>
      </c>
      <c r="V1736" s="94">
        <v>44596.6875</v>
      </c>
      <c r="W1736" s="93" t="s">
        <v>402</v>
      </c>
      <c r="X1736" s="93" t="s">
        <v>24</v>
      </c>
    </row>
    <row r="1737" spans="1:24" hidden="1" x14ac:dyDescent="0.15">
      <c r="A1737" s="93" t="s">
        <v>7275</v>
      </c>
      <c r="B1737" s="93" t="s">
        <v>7276</v>
      </c>
      <c r="C1737" s="410">
        <v>30</v>
      </c>
      <c r="D1737" s="93" t="s">
        <v>24</v>
      </c>
      <c r="E1737" s="93" t="s">
        <v>24</v>
      </c>
      <c r="F1737" s="93" t="s">
        <v>7</v>
      </c>
      <c r="G1737" s="93" t="s">
        <v>7185</v>
      </c>
      <c r="H1737" s="93" t="s">
        <v>400</v>
      </c>
      <c r="I1737" s="93" t="s">
        <v>111</v>
      </c>
      <c r="J1737" s="93" t="s">
        <v>7105</v>
      </c>
      <c r="K1737" s="93" t="s">
        <v>111</v>
      </c>
      <c r="L1737" s="93" t="s">
        <v>111</v>
      </c>
      <c r="M1737" s="93" t="s">
        <v>111</v>
      </c>
      <c r="N1737" s="93" t="s">
        <v>111</v>
      </c>
      <c r="O1737" s="93" t="s">
        <v>111</v>
      </c>
      <c r="P1737" s="93" t="s">
        <v>111</v>
      </c>
      <c r="Q1737" s="93" t="s">
        <v>111</v>
      </c>
      <c r="R1737" s="93" t="s">
        <v>111</v>
      </c>
      <c r="S1737" s="93" t="s">
        <v>111</v>
      </c>
      <c r="T1737" s="93" t="s">
        <v>111</v>
      </c>
      <c r="U1737" s="93" t="s">
        <v>116</v>
      </c>
      <c r="V1737" s="94">
        <v>44596.688888888886</v>
      </c>
      <c r="W1737" s="93" t="s">
        <v>402</v>
      </c>
      <c r="X1737" s="93" t="s">
        <v>24</v>
      </c>
    </row>
    <row r="1738" spans="1:24" hidden="1" x14ac:dyDescent="0.15">
      <c r="A1738" s="93" t="s">
        <v>7277</v>
      </c>
      <c r="B1738" s="93" t="s">
        <v>7278</v>
      </c>
      <c r="C1738" s="410">
        <v>77</v>
      </c>
      <c r="D1738" s="93" t="s">
        <v>24</v>
      </c>
      <c r="E1738" s="93" t="s">
        <v>24</v>
      </c>
      <c r="F1738" s="93" t="s">
        <v>7</v>
      </c>
      <c r="G1738" s="93" t="s">
        <v>7185</v>
      </c>
      <c r="H1738" s="93" t="s">
        <v>400</v>
      </c>
      <c r="I1738" s="93" t="s">
        <v>111</v>
      </c>
      <c r="J1738" s="93" t="s">
        <v>7105</v>
      </c>
      <c r="K1738" s="93" t="s">
        <v>111</v>
      </c>
      <c r="L1738" s="93" t="s">
        <v>111</v>
      </c>
      <c r="M1738" s="93" t="s">
        <v>111</v>
      </c>
      <c r="N1738" s="93" t="s">
        <v>111</v>
      </c>
      <c r="O1738" s="93" t="s">
        <v>111</v>
      </c>
      <c r="P1738" s="93" t="s">
        <v>111</v>
      </c>
      <c r="Q1738" s="93" t="s">
        <v>111</v>
      </c>
      <c r="R1738" s="93" t="s">
        <v>111</v>
      </c>
      <c r="S1738" s="93" t="s">
        <v>111</v>
      </c>
      <c r="T1738" s="93" t="s">
        <v>111</v>
      </c>
      <c r="U1738" s="93" t="s">
        <v>116</v>
      </c>
      <c r="V1738" s="94">
        <v>44596.68472222222</v>
      </c>
      <c r="W1738" s="93" t="s">
        <v>402</v>
      </c>
      <c r="X1738" s="93" t="s">
        <v>24</v>
      </c>
    </row>
    <row r="1739" spans="1:24" hidden="1" x14ac:dyDescent="0.15">
      <c r="A1739" s="93" t="s">
        <v>7279</v>
      </c>
      <c r="B1739" s="93" t="s">
        <v>7280</v>
      </c>
      <c r="C1739" s="410">
        <v>120</v>
      </c>
      <c r="D1739" s="93" t="s">
        <v>24</v>
      </c>
      <c r="E1739" s="93" t="s">
        <v>24</v>
      </c>
      <c r="F1739" s="93" t="s">
        <v>7</v>
      </c>
      <c r="G1739" s="93" t="s">
        <v>7185</v>
      </c>
      <c r="H1739" s="93" t="s">
        <v>400</v>
      </c>
      <c r="I1739" s="93" t="s">
        <v>111</v>
      </c>
      <c r="J1739" s="93" t="s">
        <v>7105</v>
      </c>
      <c r="K1739" s="93" t="s">
        <v>111</v>
      </c>
      <c r="L1739" s="93" t="s">
        <v>111</v>
      </c>
      <c r="M1739" s="93" t="s">
        <v>111</v>
      </c>
      <c r="N1739" s="93" t="s">
        <v>111</v>
      </c>
      <c r="O1739" s="93" t="s">
        <v>111</v>
      </c>
      <c r="P1739" s="93" t="s">
        <v>111</v>
      </c>
      <c r="Q1739" s="93" t="s">
        <v>111</v>
      </c>
      <c r="R1739" s="93" t="s">
        <v>111</v>
      </c>
      <c r="S1739" s="93" t="s">
        <v>111</v>
      </c>
      <c r="T1739" s="93" t="s">
        <v>111</v>
      </c>
      <c r="U1739" s="93" t="s">
        <v>116</v>
      </c>
      <c r="V1739" s="94">
        <v>44596.644444444442</v>
      </c>
      <c r="W1739" s="93" t="s">
        <v>402</v>
      </c>
      <c r="X1739" s="93" t="s">
        <v>24</v>
      </c>
    </row>
    <row r="1740" spans="1:24" hidden="1" x14ac:dyDescent="0.15">
      <c r="A1740" s="93" t="s">
        <v>7281</v>
      </c>
      <c r="B1740" s="93" t="s">
        <v>7282</v>
      </c>
      <c r="C1740" s="410">
        <v>56</v>
      </c>
      <c r="D1740" s="93" t="s">
        <v>24</v>
      </c>
      <c r="E1740" s="93" t="s">
        <v>24</v>
      </c>
      <c r="F1740" s="93" t="s">
        <v>7</v>
      </c>
      <c r="G1740" s="93" t="s">
        <v>7185</v>
      </c>
      <c r="H1740" s="93" t="s">
        <v>400</v>
      </c>
      <c r="I1740" s="93" t="s">
        <v>111</v>
      </c>
      <c r="J1740" s="93" t="s">
        <v>7105</v>
      </c>
      <c r="K1740" s="93" t="s">
        <v>111</v>
      </c>
      <c r="L1740" s="93" t="s">
        <v>111</v>
      </c>
      <c r="M1740" s="93" t="s">
        <v>111</v>
      </c>
      <c r="N1740" s="93" t="s">
        <v>111</v>
      </c>
      <c r="O1740" s="93" t="s">
        <v>111</v>
      </c>
      <c r="P1740" s="93" t="s">
        <v>111</v>
      </c>
      <c r="Q1740" s="93" t="s">
        <v>111</v>
      </c>
      <c r="R1740" s="93" t="s">
        <v>111</v>
      </c>
      <c r="S1740" s="93" t="s">
        <v>111</v>
      </c>
      <c r="T1740" s="93" t="s">
        <v>111</v>
      </c>
      <c r="U1740" s="93" t="s">
        <v>116</v>
      </c>
      <c r="V1740" s="94">
        <v>44596.68472222222</v>
      </c>
      <c r="W1740" s="93" t="s">
        <v>402</v>
      </c>
      <c r="X1740" s="93" t="s">
        <v>24</v>
      </c>
    </row>
    <row r="1741" spans="1:24" hidden="1" x14ac:dyDescent="0.15">
      <c r="A1741" s="93" t="s">
        <v>7283</v>
      </c>
      <c r="B1741" s="93" t="s">
        <v>7284</v>
      </c>
      <c r="C1741" s="410">
        <v>143</v>
      </c>
      <c r="D1741" s="93" t="s">
        <v>24</v>
      </c>
      <c r="E1741" s="93" t="s">
        <v>24</v>
      </c>
      <c r="F1741" s="93" t="s">
        <v>7</v>
      </c>
      <c r="G1741" s="93" t="s">
        <v>7185</v>
      </c>
      <c r="H1741" s="93" t="s">
        <v>400</v>
      </c>
      <c r="I1741" s="93" t="s">
        <v>111</v>
      </c>
      <c r="J1741" s="93" t="s">
        <v>7105</v>
      </c>
      <c r="K1741" s="93" t="s">
        <v>111</v>
      </c>
      <c r="L1741" s="93" t="s">
        <v>111</v>
      </c>
      <c r="M1741" s="93" t="s">
        <v>111</v>
      </c>
      <c r="N1741" s="93" t="s">
        <v>111</v>
      </c>
      <c r="O1741" s="93" t="s">
        <v>111</v>
      </c>
      <c r="P1741" s="93" t="s">
        <v>111</v>
      </c>
      <c r="Q1741" s="93" t="s">
        <v>111</v>
      </c>
      <c r="R1741" s="93" t="s">
        <v>111</v>
      </c>
      <c r="S1741" s="93" t="s">
        <v>2</v>
      </c>
      <c r="T1741" s="93" t="s">
        <v>111</v>
      </c>
      <c r="U1741" s="93" t="s">
        <v>116</v>
      </c>
      <c r="V1741" s="94">
        <v>44596.657638888886</v>
      </c>
      <c r="W1741" s="93" t="s">
        <v>402</v>
      </c>
      <c r="X1741" s="93" t="s">
        <v>24</v>
      </c>
    </row>
    <row r="1742" spans="1:24" hidden="1" x14ac:dyDescent="0.15">
      <c r="A1742" s="93" t="s">
        <v>7285</v>
      </c>
      <c r="B1742" s="93" t="s">
        <v>7286</v>
      </c>
      <c r="C1742" s="410">
        <v>224</v>
      </c>
      <c r="D1742" s="93" t="s">
        <v>24</v>
      </c>
      <c r="E1742" s="93" t="s">
        <v>24</v>
      </c>
      <c r="F1742" s="93" t="s">
        <v>7</v>
      </c>
      <c r="G1742" s="93" t="s">
        <v>7185</v>
      </c>
      <c r="H1742" s="93" t="s">
        <v>400</v>
      </c>
      <c r="I1742" s="93" t="s">
        <v>111</v>
      </c>
      <c r="J1742" s="93" t="s">
        <v>7105</v>
      </c>
      <c r="K1742" s="93" t="s">
        <v>111</v>
      </c>
      <c r="L1742" s="93" t="s">
        <v>111</v>
      </c>
      <c r="M1742" s="93" t="s">
        <v>111</v>
      </c>
      <c r="N1742" s="93" t="s">
        <v>111</v>
      </c>
      <c r="O1742" s="93" t="s">
        <v>111</v>
      </c>
      <c r="P1742" s="93" t="s">
        <v>111</v>
      </c>
      <c r="Q1742" s="93" t="s">
        <v>111</v>
      </c>
      <c r="R1742" s="93" t="s">
        <v>111</v>
      </c>
      <c r="S1742" s="93" t="s">
        <v>111</v>
      </c>
      <c r="T1742" s="93" t="s">
        <v>111</v>
      </c>
      <c r="U1742" s="93" t="s">
        <v>116</v>
      </c>
      <c r="V1742" s="94">
        <v>44596.666666666664</v>
      </c>
      <c r="W1742" s="93" t="s">
        <v>402</v>
      </c>
      <c r="X1742" s="93" t="s">
        <v>24</v>
      </c>
    </row>
    <row r="1743" spans="1:24" hidden="1" x14ac:dyDescent="0.15">
      <c r="A1743" s="93" t="s">
        <v>7287</v>
      </c>
      <c r="B1743" s="93" t="s">
        <v>7288</v>
      </c>
      <c r="C1743" s="410">
        <v>69</v>
      </c>
      <c r="D1743" s="93" t="s">
        <v>24</v>
      </c>
      <c r="E1743" s="93" t="s">
        <v>24</v>
      </c>
      <c r="F1743" s="93" t="s">
        <v>7</v>
      </c>
      <c r="G1743" s="93" t="s">
        <v>7185</v>
      </c>
      <c r="H1743" s="93" t="s">
        <v>400</v>
      </c>
      <c r="I1743" s="93" t="s">
        <v>111</v>
      </c>
      <c r="J1743" s="93" t="s">
        <v>7105</v>
      </c>
      <c r="K1743" s="93" t="s">
        <v>111</v>
      </c>
      <c r="L1743" s="93" t="s">
        <v>111</v>
      </c>
      <c r="M1743" s="93" t="s">
        <v>111</v>
      </c>
      <c r="N1743" s="93" t="s">
        <v>111</v>
      </c>
      <c r="O1743" s="93" t="s">
        <v>111</v>
      </c>
      <c r="P1743" s="93" t="s">
        <v>111</v>
      </c>
      <c r="Q1743" s="93" t="s">
        <v>111</v>
      </c>
      <c r="R1743" s="93" t="s">
        <v>111</v>
      </c>
      <c r="S1743" s="93" t="s">
        <v>111</v>
      </c>
      <c r="T1743" s="93" t="s">
        <v>111</v>
      </c>
      <c r="U1743" s="93" t="s">
        <v>116</v>
      </c>
      <c r="V1743" s="94">
        <v>44596.696527777778</v>
      </c>
      <c r="W1743" s="93" t="s">
        <v>402</v>
      </c>
      <c r="X1743" s="93" t="s">
        <v>24</v>
      </c>
    </row>
    <row r="1744" spans="1:24" hidden="1" x14ac:dyDescent="0.15">
      <c r="A1744" s="93" t="s">
        <v>7289</v>
      </c>
      <c r="B1744" s="93" t="s">
        <v>7290</v>
      </c>
      <c r="C1744" s="410">
        <v>176</v>
      </c>
      <c r="D1744" s="93" t="s">
        <v>24</v>
      </c>
      <c r="E1744" s="93" t="s">
        <v>24</v>
      </c>
      <c r="F1744" s="93" t="s">
        <v>7</v>
      </c>
      <c r="G1744" s="93" t="s">
        <v>7185</v>
      </c>
      <c r="H1744" s="93" t="s">
        <v>400</v>
      </c>
      <c r="I1744" s="93" t="s">
        <v>111</v>
      </c>
      <c r="J1744" s="93" t="s">
        <v>7105</v>
      </c>
      <c r="K1744" s="93" t="s">
        <v>111</v>
      </c>
      <c r="L1744" s="93" t="s">
        <v>111</v>
      </c>
      <c r="M1744" s="93" t="s">
        <v>111</v>
      </c>
      <c r="N1744" s="93" t="s">
        <v>111</v>
      </c>
      <c r="O1744" s="93" t="s">
        <v>111</v>
      </c>
      <c r="P1744" s="93" t="s">
        <v>111</v>
      </c>
      <c r="Q1744" s="93" t="s">
        <v>111</v>
      </c>
      <c r="R1744" s="93" t="s">
        <v>111</v>
      </c>
      <c r="S1744" s="93" t="s">
        <v>111</v>
      </c>
      <c r="T1744" s="93" t="s">
        <v>111</v>
      </c>
      <c r="U1744" s="93" t="s">
        <v>116</v>
      </c>
      <c r="V1744" s="94">
        <v>44596.661805555559</v>
      </c>
      <c r="W1744" s="93" t="s">
        <v>402</v>
      </c>
      <c r="X1744" s="93" t="s">
        <v>24</v>
      </c>
    </row>
    <row r="1745" spans="1:24" hidden="1" x14ac:dyDescent="0.15">
      <c r="A1745" s="93" t="s">
        <v>7291</v>
      </c>
      <c r="B1745" s="93" t="s">
        <v>7292</v>
      </c>
      <c r="C1745" s="410">
        <v>276</v>
      </c>
      <c r="D1745" s="93" t="s">
        <v>24</v>
      </c>
      <c r="E1745" s="93" t="s">
        <v>24</v>
      </c>
      <c r="F1745" s="93" t="s">
        <v>7</v>
      </c>
      <c r="G1745" s="93" t="s">
        <v>7185</v>
      </c>
      <c r="H1745" s="93" t="s">
        <v>400</v>
      </c>
      <c r="I1745" s="93" t="s">
        <v>111</v>
      </c>
      <c r="J1745" s="93" t="s">
        <v>7105</v>
      </c>
      <c r="K1745" s="93" t="s">
        <v>111</v>
      </c>
      <c r="L1745" s="93" t="s">
        <v>111</v>
      </c>
      <c r="M1745" s="93" t="s">
        <v>111</v>
      </c>
      <c r="N1745" s="93" t="s">
        <v>111</v>
      </c>
      <c r="O1745" s="93" t="s">
        <v>111</v>
      </c>
      <c r="P1745" s="93" t="s">
        <v>111</v>
      </c>
      <c r="Q1745" s="93" t="s">
        <v>111</v>
      </c>
      <c r="R1745" s="93" t="s">
        <v>111</v>
      </c>
      <c r="S1745" s="93" t="s">
        <v>2</v>
      </c>
      <c r="T1745" s="93" t="s">
        <v>111</v>
      </c>
      <c r="U1745" s="93" t="s">
        <v>116</v>
      </c>
      <c r="V1745" s="94">
        <v>44596.652777777781</v>
      </c>
      <c r="W1745" s="93" t="s">
        <v>402</v>
      </c>
      <c r="X1745" s="93" t="s">
        <v>24</v>
      </c>
    </row>
    <row r="1746" spans="1:24" hidden="1" x14ac:dyDescent="0.15">
      <c r="A1746" s="93" t="s">
        <v>7293</v>
      </c>
      <c r="B1746" s="93" t="s">
        <v>7294</v>
      </c>
      <c r="C1746" s="410">
        <v>32</v>
      </c>
      <c r="D1746" s="93" t="s">
        <v>24</v>
      </c>
      <c r="E1746" s="93" t="s">
        <v>24</v>
      </c>
      <c r="F1746" s="93" t="s">
        <v>7</v>
      </c>
      <c r="G1746" s="93" t="s">
        <v>7185</v>
      </c>
      <c r="H1746" s="93" t="s">
        <v>400</v>
      </c>
      <c r="I1746" s="93" t="s">
        <v>111</v>
      </c>
      <c r="J1746" s="93" t="s">
        <v>7105</v>
      </c>
      <c r="K1746" s="93" t="s">
        <v>111</v>
      </c>
      <c r="L1746" s="93" t="s">
        <v>111</v>
      </c>
      <c r="M1746" s="93" t="s">
        <v>111</v>
      </c>
      <c r="N1746" s="93" t="s">
        <v>111</v>
      </c>
      <c r="O1746" s="93" t="s">
        <v>111</v>
      </c>
      <c r="P1746" s="93" t="s">
        <v>111</v>
      </c>
      <c r="Q1746" s="93" t="s">
        <v>111</v>
      </c>
      <c r="R1746" s="93" t="s">
        <v>111</v>
      </c>
      <c r="S1746" s="93" t="s">
        <v>2</v>
      </c>
      <c r="T1746" s="93" t="s">
        <v>111</v>
      </c>
      <c r="U1746" s="93" t="s">
        <v>116</v>
      </c>
      <c r="V1746" s="94">
        <v>44596.654166666667</v>
      </c>
      <c r="W1746" s="93" t="s">
        <v>402</v>
      </c>
      <c r="X1746" s="93" t="s">
        <v>24</v>
      </c>
    </row>
    <row r="1747" spans="1:24" hidden="1" x14ac:dyDescent="0.15">
      <c r="A1747" s="93" t="s">
        <v>7295</v>
      </c>
      <c r="B1747" s="93" t="s">
        <v>7296</v>
      </c>
      <c r="C1747" s="410">
        <v>82</v>
      </c>
      <c r="D1747" s="93" t="s">
        <v>24</v>
      </c>
      <c r="E1747" s="93" t="s">
        <v>24</v>
      </c>
      <c r="F1747" s="93" t="s">
        <v>7</v>
      </c>
      <c r="G1747" s="93" t="s">
        <v>7185</v>
      </c>
      <c r="H1747" s="93" t="s">
        <v>400</v>
      </c>
      <c r="I1747" s="93" t="s">
        <v>111</v>
      </c>
      <c r="J1747" s="93" t="s">
        <v>7105</v>
      </c>
      <c r="K1747" s="93" t="s">
        <v>111</v>
      </c>
      <c r="L1747" s="93" t="s">
        <v>111</v>
      </c>
      <c r="M1747" s="93" t="s">
        <v>111</v>
      </c>
      <c r="N1747" s="93" t="s">
        <v>111</v>
      </c>
      <c r="O1747" s="93" t="s">
        <v>111</v>
      </c>
      <c r="P1747" s="93" t="s">
        <v>111</v>
      </c>
      <c r="Q1747" s="93" t="s">
        <v>111</v>
      </c>
      <c r="R1747" s="93" t="s">
        <v>111</v>
      </c>
      <c r="S1747" s="93" t="s">
        <v>111</v>
      </c>
      <c r="T1747" s="93" t="s">
        <v>111</v>
      </c>
      <c r="U1747" s="93" t="s">
        <v>116</v>
      </c>
      <c r="V1747" s="94">
        <v>44596.649305555555</v>
      </c>
      <c r="W1747" s="93" t="s">
        <v>402</v>
      </c>
      <c r="X1747" s="93" t="s">
        <v>24</v>
      </c>
    </row>
    <row r="1748" spans="1:24" hidden="1" x14ac:dyDescent="0.15">
      <c r="A1748" s="93" t="s">
        <v>7297</v>
      </c>
      <c r="B1748" s="93" t="s">
        <v>7298</v>
      </c>
      <c r="C1748" s="410">
        <v>128</v>
      </c>
      <c r="D1748" s="93" t="s">
        <v>24</v>
      </c>
      <c r="E1748" s="93" t="s">
        <v>24</v>
      </c>
      <c r="F1748" s="93" t="s">
        <v>7</v>
      </c>
      <c r="G1748" s="93" t="s">
        <v>7185</v>
      </c>
      <c r="H1748" s="93" t="s">
        <v>400</v>
      </c>
      <c r="I1748" s="93" t="s">
        <v>111</v>
      </c>
      <c r="J1748" s="93" t="s">
        <v>7105</v>
      </c>
      <c r="K1748" s="93" t="s">
        <v>111</v>
      </c>
      <c r="L1748" s="93" t="s">
        <v>111</v>
      </c>
      <c r="M1748" s="93" t="s">
        <v>111</v>
      </c>
      <c r="N1748" s="93" t="s">
        <v>111</v>
      </c>
      <c r="O1748" s="93" t="s">
        <v>111</v>
      </c>
      <c r="P1748" s="93" t="s">
        <v>111</v>
      </c>
      <c r="Q1748" s="93" t="s">
        <v>111</v>
      </c>
      <c r="R1748" s="93" t="s">
        <v>111</v>
      </c>
      <c r="S1748" s="93" t="s">
        <v>111</v>
      </c>
      <c r="T1748" s="93" t="s">
        <v>111</v>
      </c>
      <c r="U1748" s="93" t="s">
        <v>116</v>
      </c>
      <c r="V1748" s="94">
        <v>44596.640277777777</v>
      </c>
      <c r="W1748" s="93" t="s">
        <v>402</v>
      </c>
      <c r="X1748" s="93" t="s">
        <v>24</v>
      </c>
    </row>
    <row r="1749" spans="1:24" hidden="1" x14ac:dyDescent="0.15">
      <c r="A1749" s="93" t="s">
        <v>7299</v>
      </c>
      <c r="B1749" s="93" t="s">
        <v>7300</v>
      </c>
      <c r="C1749" s="410">
        <v>61</v>
      </c>
      <c r="D1749" s="93" t="s">
        <v>24</v>
      </c>
      <c r="E1749" s="93" t="s">
        <v>24</v>
      </c>
      <c r="F1749" s="93" t="s">
        <v>7</v>
      </c>
      <c r="G1749" s="93" t="s">
        <v>7185</v>
      </c>
      <c r="H1749" s="93" t="s">
        <v>400</v>
      </c>
      <c r="I1749" s="93" t="s">
        <v>111</v>
      </c>
      <c r="J1749" s="93" t="s">
        <v>7105</v>
      </c>
      <c r="K1749" s="93" t="s">
        <v>111</v>
      </c>
      <c r="L1749" s="93" t="s">
        <v>111</v>
      </c>
      <c r="M1749" s="93" t="s">
        <v>111</v>
      </c>
      <c r="N1749" s="93" t="s">
        <v>111</v>
      </c>
      <c r="O1749" s="93" t="s">
        <v>111</v>
      </c>
      <c r="P1749" s="93" t="s">
        <v>111</v>
      </c>
      <c r="Q1749" s="93" t="s">
        <v>111</v>
      </c>
      <c r="R1749" s="93" t="s">
        <v>111</v>
      </c>
      <c r="S1749" s="93" t="s">
        <v>111</v>
      </c>
      <c r="T1749" s="93" t="s">
        <v>111</v>
      </c>
      <c r="U1749" s="93" t="s">
        <v>116</v>
      </c>
      <c r="V1749" s="94">
        <v>44596.696527777778</v>
      </c>
      <c r="W1749" s="93" t="s">
        <v>402</v>
      </c>
      <c r="X1749" s="93" t="s">
        <v>24</v>
      </c>
    </row>
    <row r="1750" spans="1:24" hidden="1" x14ac:dyDescent="0.15">
      <c r="A1750" s="93" t="s">
        <v>7301</v>
      </c>
      <c r="B1750" s="93" t="s">
        <v>7302</v>
      </c>
      <c r="C1750" s="410">
        <v>156</v>
      </c>
      <c r="D1750" s="93" t="s">
        <v>24</v>
      </c>
      <c r="E1750" s="93" t="s">
        <v>24</v>
      </c>
      <c r="F1750" s="93" t="s">
        <v>7</v>
      </c>
      <c r="G1750" s="93" t="s">
        <v>7185</v>
      </c>
      <c r="H1750" s="93" t="s">
        <v>400</v>
      </c>
      <c r="I1750" s="93" t="s">
        <v>111</v>
      </c>
      <c r="J1750" s="93" t="s">
        <v>7105</v>
      </c>
      <c r="K1750" s="93" t="s">
        <v>111</v>
      </c>
      <c r="L1750" s="93" t="s">
        <v>111</v>
      </c>
      <c r="M1750" s="93" t="s">
        <v>111</v>
      </c>
      <c r="N1750" s="93" t="s">
        <v>111</v>
      </c>
      <c r="O1750" s="93" t="s">
        <v>111</v>
      </c>
      <c r="P1750" s="93" t="s">
        <v>111</v>
      </c>
      <c r="Q1750" s="93" t="s">
        <v>111</v>
      </c>
      <c r="R1750" s="93" t="s">
        <v>111</v>
      </c>
      <c r="S1750" s="93" t="s">
        <v>111</v>
      </c>
      <c r="T1750" s="93" t="s">
        <v>111</v>
      </c>
      <c r="U1750" s="93" t="s">
        <v>116</v>
      </c>
      <c r="V1750" s="94">
        <v>44596.65347222222</v>
      </c>
      <c r="W1750" s="93" t="s">
        <v>402</v>
      </c>
      <c r="X1750" s="93" t="s">
        <v>24</v>
      </c>
    </row>
    <row r="1751" spans="1:24" hidden="1" x14ac:dyDescent="0.15">
      <c r="A1751" s="93" t="s">
        <v>7303</v>
      </c>
      <c r="B1751" s="93" t="s">
        <v>7304</v>
      </c>
      <c r="C1751" s="410">
        <v>244</v>
      </c>
      <c r="D1751" s="93" t="s">
        <v>24</v>
      </c>
      <c r="E1751" s="93" t="s">
        <v>24</v>
      </c>
      <c r="F1751" s="93" t="s">
        <v>7</v>
      </c>
      <c r="G1751" s="93" t="s">
        <v>7185</v>
      </c>
      <c r="H1751" s="93" t="s">
        <v>400</v>
      </c>
      <c r="I1751" s="93" t="s">
        <v>111</v>
      </c>
      <c r="J1751" s="93" t="s">
        <v>7105</v>
      </c>
      <c r="K1751" s="93" t="s">
        <v>111</v>
      </c>
      <c r="L1751" s="93" t="s">
        <v>111</v>
      </c>
      <c r="M1751" s="93" t="s">
        <v>111</v>
      </c>
      <c r="N1751" s="93" t="s">
        <v>111</v>
      </c>
      <c r="O1751" s="93" t="s">
        <v>111</v>
      </c>
      <c r="P1751" s="93" t="s">
        <v>111</v>
      </c>
      <c r="Q1751" s="93" t="s">
        <v>111</v>
      </c>
      <c r="R1751" s="93" t="s">
        <v>111</v>
      </c>
      <c r="S1751" s="93" t="s">
        <v>111</v>
      </c>
      <c r="T1751" s="93" t="s">
        <v>111</v>
      </c>
      <c r="U1751" s="93" t="s">
        <v>116</v>
      </c>
      <c r="V1751" s="94">
        <v>44596.689583333333</v>
      </c>
      <c r="W1751" s="93" t="s">
        <v>402</v>
      </c>
      <c r="X1751" s="93" t="s">
        <v>24</v>
      </c>
    </row>
    <row r="1752" spans="1:24" hidden="1" x14ac:dyDescent="0.15">
      <c r="A1752" s="93" t="s">
        <v>7305</v>
      </c>
      <c r="B1752" s="93" t="s">
        <v>7306</v>
      </c>
      <c r="C1752" s="410">
        <v>16</v>
      </c>
      <c r="D1752" s="93" t="s">
        <v>24</v>
      </c>
      <c r="E1752" s="93" t="s">
        <v>24</v>
      </c>
      <c r="F1752" s="93" t="s">
        <v>7</v>
      </c>
      <c r="G1752" s="93" t="s">
        <v>7185</v>
      </c>
      <c r="H1752" s="93" t="s">
        <v>400</v>
      </c>
      <c r="I1752" s="93" t="s">
        <v>111</v>
      </c>
      <c r="J1752" s="93" t="s">
        <v>7105</v>
      </c>
      <c r="K1752" s="93" t="s">
        <v>111</v>
      </c>
      <c r="L1752" s="93" t="s">
        <v>111</v>
      </c>
      <c r="M1752" s="93" t="s">
        <v>111</v>
      </c>
      <c r="N1752" s="93" t="s">
        <v>111</v>
      </c>
      <c r="O1752" s="93" t="s">
        <v>111</v>
      </c>
      <c r="P1752" s="93" t="s">
        <v>111</v>
      </c>
      <c r="Q1752" s="93" t="s">
        <v>111</v>
      </c>
      <c r="R1752" s="93" t="s">
        <v>111</v>
      </c>
      <c r="S1752" s="93" t="s">
        <v>111</v>
      </c>
      <c r="T1752" s="93" t="s">
        <v>111</v>
      </c>
      <c r="U1752" s="93" t="s">
        <v>116</v>
      </c>
      <c r="V1752" s="94">
        <v>44596.689583333333</v>
      </c>
      <c r="W1752" s="93" t="s">
        <v>402</v>
      </c>
      <c r="X1752" s="93" t="s">
        <v>24</v>
      </c>
    </row>
    <row r="1753" spans="1:24" hidden="1" x14ac:dyDescent="0.15">
      <c r="A1753" s="93" t="s">
        <v>7307</v>
      </c>
      <c r="B1753" s="93" t="s">
        <v>7308</v>
      </c>
      <c r="C1753" s="410">
        <v>41</v>
      </c>
      <c r="D1753" s="93" t="s">
        <v>24</v>
      </c>
      <c r="E1753" s="93" t="s">
        <v>24</v>
      </c>
      <c r="F1753" s="93" t="s">
        <v>7</v>
      </c>
      <c r="G1753" s="93" t="s">
        <v>7185</v>
      </c>
      <c r="H1753" s="93" t="s">
        <v>400</v>
      </c>
      <c r="I1753" s="93" t="s">
        <v>111</v>
      </c>
      <c r="J1753" s="93" t="s">
        <v>7105</v>
      </c>
      <c r="K1753" s="93" t="s">
        <v>111</v>
      </c>
      <c r="L1753" s="93" t="s">
        <v>111</v>
      </c>
      <c r="M1753" s="93" t="s">
        <v>111</v>
      </c>
      <c r="N1753" s="93" t="s">
        <v>111</v>
      </c>
      <c r="O1753" s="93" t="s">
        <v>111</v>
      </c>
      <c r="P1753" s="93" t="s">
        <v>111</v>
      </c>
      <c r="Q1753" s="93" t="s">
        <v>111</v>
      </c>
      <c r="R1753" s="93" t="s">
        <v>111</v>
      </c>
      <c r="S1753" s="93" t="s">
        <v>111</v>
      </c>
      <c r="T1753" s="93" t="s">
        <v>111</v>
      </c>
      <c r="U1753" s="93" t="s">
        <v>116</v>
      </c>
      <c r="V1753" s="94">
        <v>44596.666666666664</v>
      </c>
      <c r="W1753" s="93" t="s">
        <v>402</v>
      </c>
      <c r="X1753" s="93" t="s">
        <v>24</v>
      </c>
    </row>
    <row r="1754" spans="1:24" hidden="1" x14ac:dyDescent="0.15">
      <c r="A1754" s="93" t="s">
        <v>7309</v>
      </c>
      <c r="B1754" s="93" t="s">
        <v>7310</v>
      </c>
      <c r="C1754" s="410">
        <v>64</v>
      </c>
      <c r="D1754" s="93" t="s">
        <v>24</v>
      </c>
      <c r="E1754" s="93" t="s">
        <v>24</v>
      </c>
      <c r="F1754" s="93" t="s">
        <v>7</v>
      </c>
      <c r="G1754" s="93" t="s">
        <v>7185</v>
      </c>
      <c r="H1754" s="93" t="s">
        <v>400</v>
      </c>
      <c r="I1754" s="93" t="s">
        <v>111</v>
      </c>
      <c r="J1754" s="93" t="s">
        <v>7105</v>
      </c>
      <c r="K1754" s="93" t="s">
        <v>111</v>
      </c>
      <c r="L1754" s="93" t="s">
        <v>111</v>
      </c>
      <c r="M1754" s="93" t="s">
        <v>111</v>
      </c>
      <c r="N1754" s="93" t="s">
        <v>111</v>
      </c>
      <c r="O1754" s="93" t="s">
        <v>111</v>
      </c>
      <c r="P1754" s="93" t="s">
        <v>111</v>
      </c>
      <c r="Q1754" s="93" t="s">
        <v>111</v>
      </c>
      <c r="R1754" s="93" t="s">
        <v>111</v>
      </c>
      <c r="S1754" s="93" t="s">
        <v>2</v>
      </c>
      <c r="T1754" s="93" t="s">
        <v>111</v>
      </c>
      <c r="U1754" s="93" t="s">
        <v>116</v>
      </c>
      <c r="V1754" s="94">
        <v>44596.688888888886</v>
      </c>
      <c r="W1754" s="93" t="s">
        <v>402</v>
      </c>
      <c r="X1754" s="93" t="s">
        <v>24</v>
      </c>
    </row>
    <row r="1755" spans="1:24" hidden="1" x14ac:dyDescent="0.15">
      <c r="A1755" s="93" t="s">
        <v>7311</v>
      </c>
      <c r="B1755" s="93" t="s">
        <v>7312</v>
      </c>
      <c r="C1755" s="410">
        <v>17</v>
      </c>
      <c r="D1755" s="93" t="s">
        <v>24</v>
      </c>
      <c r="E1755" s="93" t="s">
        <v>24</v>
      </c>
      <c r="F1755" s="93" t="s">
        <v>7</v>
      </c>
      <c r="G1755" s="93" t="s">
        <v>7185</v>
      </c>
      <c r="H1755" s="93" t="s">
        <v>400</v>
      </c>
      <c r="I1755" s="93" t="s">
        <v>111</v>
      </c>
      <c r="J1755" s="93" t="s">
        <v>7105</v>
      </c>
      <c r="K1755" s="93" t="s">
        <v>111</v>
      </c>
      <c r="L1755" s="93" t="s">
        <v>111</v>
      </c>
      <c r="M1755" s="93" t="s">
        <v>111</v>
      </c>
      <c r="N1755" s="93" t="s">
        <v>111</v>
      </c>
      <c r="O1755" s="93" t="s">
        <v>111</v>
      </c>
      <c r="P1755" s="93" t="s">
        <v>111</v>
      </c>
      <c r="Q1755" s="93" t="s">
        <v>111</v>
      </c>
      <c r="R1755" s="93" t="s">
        <v>111</v>
      </c>
      <c r="S1755" s="93" t="s">
        <v>2</v>
      </c>
      <c r="T1755" s="93" t="s">
        <v>111</v>
      </c>
      <c r="U1755" s="93" t="s">
        <v>116</v>
      </c>
      <c r="V1755" s="94">
        <v>44596.6875</v>
      </c>
      <c r="W1755" s="93" t="s">
        <v>402</v>
      </c>
      <c r="X1755" s="93" t="s">
        <v>24</v>
      </c>
    </row>
    <row r="1756" spans="1:24" hidden="1" x14ac:dyDescent="0.15">
      <c r="A1756" s="93" t="s">
        <v>7313</v>
      </c>
      <c r="B1756" s="93" t="s">
        <v>7314</v>
      </c>
      <c r="C1756" s="410">
        <v>44</v>
      </c>
      <c r="D1756" s="93" t="s">
        <v>24</v>
      </c>
      <c r="E1756" s="93" t="s">
        <v>24</v>
      </c>
      <c r="F1756" s="93" t="s">
        <v>7</v>
      </c>
      <c r="G1756" s="93" t="s">
        <v>7185</v>
      </c>
      <c r="H1756" s="93" t="s">
        <v>400</v>
      </c>
      <c r="I1756" s="93" t="s">
        <v>111</v>
      </c>
      <c r="J1756" s="93" t="s">
        <v>7105</v>
      </c>
      <c r="K1756" s="93" t="s">
        <v>111</v>
      </c>
      <c r="L1756" s="93" t="s">
        <v>111</v>
      </c>
      <c r="M1756" s="93" t="s">
        <v>111</v>
      </c>
      <c r="N1756" s="93" t="s">
        <v>111</v>
      </c>
      <c r="O1756" s="93" t="s">
        <v>111</v>
      </c>
      <c r="P1756" s="93" t="s">
        <v>111</v>
      </c>
      <c r="Q1756" s="93" t="s">
        <v>111</v>
      </c>
      <c r="R1756" s="93" t="s">
        <v>111</v>
      </c>
      <c r="S1756" s="93" t="s">
        <v>111</v>
      </c>
      <c r="T1756" s="93" t="s">
        <v>111</v>
      </c>
      <c r="U1756" s="93" t="s">
        <v>116</v>
      </c>
      <c r="V1756" s="94">
        <v>44596.657638888886</v>
      </c>
      <c r="W1756" s="93" t="s">
        <v>402</v>
      </c>
      <c r="X1756" s="93" t="s">
        <v>24</v>
      </c>
    </row>
    <row r="1757" spans="1:24" hidden="1" x14ac:dyDescent="0.15">
      <c r="A1757" s="93" t="s">
        <v>7315</v>
      </c>
      <c r="B1757" s="93" t="s">
        <v>7316</v>
      </c>
      <c r="C1757" s="410">
        <v>68</v>
      </c>
      <c r="D1757" s="93" t="s">
        <v>24</v>
      </c>
      <c r="E1757" s="93" t="s">
        <v>24</v>
      </c>
      <c r="F1757" s="93" t="s">
        <v>7</v>
      </c>
      <c r="G1757" s="93" t="s">
        <v>7185</v>
      </c>
      <c r="H1757" s="93" t="s">
        <v>400</v>
      </c>
      <c r="I1757" s="93" t="s">
        <v>111</v>
      </c>
      <c r="J1757" s="93" t="s">
        <v>7105</v>
      </c>
      <c r="K1757" s="93" t="s">
        <v>111</v>
      </c>
      <c r="L1757" s="93" t="s">
        <v>111</v>
      </c>
      <c r="M1757" s="93" t="s">
        <v>111</v>
      </c>
      <c r="N1757" s="93" t="s">
        <v>111</v>
      </c>
      <c r="O1757" s="93" t="s">
        <v>111</v>
      </c>
      <c r="P1757" s="93" t="s">
        <v>111</v>
      </c>
      <c r="Q1757" s="93" t="s">
        <v>111</v>
      </c>
      <c r="R1757" s="93" t="s">
        <v>111</v>
      </c>
      <c r="S1757" s="93" t="s">
        <v>111</v>
      </c>
      <c r="T1757" s="93" t="s">
        <v>111</v>
      </c>
      <c r="U1757" s="93" t="s">
        <v>116</v>
      </c>
      <c r="V1757" s="94">
        <v>44596.65347222222</v>
      </c>
      <c r="W1757" s="93" t="s">
        <v>402</v>
      </c>
      <c r="X1757" s="93" t="s">
        <v>24</v>
      </c>
    </row>
    <row r="1758" spans="1:24" hidden="1" x14ac:dyDescent="0.15">
      <c r="A1758" s="93" t="s">
        <v>7317</v>
      </c>
      <c r="B1758" s="93" t="s">
        <v>7318</v>
      </c>
      <c r="C1758" s="410">
        <v>37</v>
      </c>
      <c r="D1758" s="93" t="s">
        <v>24</v>
      </c>
      <c r="E1758" s="93" t="s">
        <v>24</v>
      </c>
      <c r="F1758" s="93" t="s">
        <v>7</v>
      </c>
      <c r="G1758" s="93" t="s">
        <v>7185</v>
      </c>
      <c r="H1758" s="93" t="s">
        <v>400</v>
      </c>
      <c r="I1758" s="93" t="s">
        <v>111</v>
      </c>
      <c r="J1758" s="93" t="s">
        <v>7105</v>
      </c>
      <c r="K1758" s="93" t="s">
        <v>111</v>
      </c>
      <c r="L1758" s="93" t="s">
        <v>111</v>
      </c>
      <c r="M1758" s="93" t="s">
        <v>111</v>
      </c>
      <c r="N1758" s="93" t="s">
        <v>111</v>
      </c>
      <c r="O1758" s="93" t="s">
        <v>111</v>
      </c>
      <c r="P1758" s="93" t="s">
        <v>111</v>
      </c>
      <c r="Q1758" s="93" t="s">
        <v>111</v>
      </c>
      <c r="R1758" s="93" t="s">
        <v>111</v>
      </c>
      <c r="S1758" s="93" t="s">
        <v>111</v>
      </c>
      <c r="T1758" s="93" t="s">
        <v>111</v>
      </c>
      <c r="U1758" s="93" t="s">
        <v>116</v>
      </c>
      <c r="V1758" s="94">
        <v>44596.648611111108</v>
      </c>
      <c r="W1758" s="93" t="s">
        <v>402</v>
      </c>
      <c r="X1758" s="93" t="s">
        <v>24</v>
      </c>
    </row>
    <row r="1759" spans="1:24" hidden="1" x14ac:dyDescent="0.15">
      <c r="A1759" s="93" t="s">
        <v>7319</v>
      </c>
      <c r="B1759" s="93" t="s">
        <v>7320</v>
      </c>
      <c r="C1759" s="410">
        <v>95</v>
      </c>
      <c r="D1759" s="93" t="s">
        <v>24</v>
      </c>
      <c r="E1759" s="93" t="s">
        <v>24</v>
      </c>
      <c r="F1759" s="93" t="s">
        <v>7</v>
      </c>
      <c r="G1759" s="93" t="s">
        <v>7185</v>
      </c>
      <c r="H1759" s="93" t="s">
        <v>400</v>
      </c>
      <c r="I1759" s="93" t="s">
        <v>111</v>
      </c>
      <c r="J1759" s="93" t="s">
        <v>7105</v>
      </c>
      <c r="K1759" s="93" t="s">
        <v>111</v>
      </c>
      <c r="L1759" s="93" t="s">
        <v>111</v>
      </c>
      <c r="M1759" s="93" t="s">
        <v>111</v>
      </c>
      <c r="N1759" s="93" t="s">
        <v>111</v>
      </c>
      <c r="O1759" s="93" t="s">
        <v>111</v>
      </c>
      <c r="P1759" s="93" t="s">
        <v>111</v>
      </c>
      <c r="Q1759" s="93" t="s">
        <v>111</v>
      </c>
      <c r="R1759" s="93" t="s">
        <v>111</v>
      </c>
      <c r="S1759" s="93" t="s">
        <v>111</v>
      </c>
      <c r="T1759" s="93" t="s">
        <v>111</v>
      </c>
      <c r="U1759" s="93" t="s">
        <v>116</v>
      </c>
      <c r="V1759" s="94">
        <v>44596.644444444442</v>
      </c>
      <c r="W1759" s="93" t="s">
        <v>402</v>
      </c>
      <c r="X1759" s="93" t="s">
        <v>24</v>
      </c>
    </row>
    <row r="1760" spans="1:24" hidden="1" x14ac:dyDescent="0.15">
      <c r="A1760" s="93" t="s">
        <v>7321</v>
      </c>
      <c r="B1760" s="93" t="s">
        <v>7322</v>
      </c>
      <c r="C1760" s="410">
        <v>148</v>
      </c>
      <c r="D1760" s="93" t="s">
        <v>24</v>
      </c>
      <c r="E1760" s="93" t="s">
        <v>24</v>
      </c>
      <c r="F1760" s="93" t="s">
        <v>7</v>
      </c>
      <c r="G1760" s="93" t="s">
        <v>7185</v>
      </c>
      <c r="H1760" s="93" t="s">
        <v>400</v>
      </c>
      <c r="I1760" s="93" t="s">
        <v>111</v>
      </c>
      <c r="J1760" s="93" t="s">
        <v>7105</v>
      </c>
      <c r="K1760" s="93" t="s">
        <v>111</v>
      </c>
      <c r="L1760" s="93" t="s">
        <v>111</v>
      </c>
      <c r="M1760" s="93" t="s">
        <v>111</v>
      </c>
      <c r="N1760" s="93" t="s">
        <v>111</v>
      </c>
      <c r="O1760" s="93" t="s">
        <v>111</v>
      </c>
      <c r="P1760" s="93" t="s">
        <v>111</v>
      </c>
      <c r="Q1760" s="93" t="s">
        <v>111</v>
      </c>
      <c r="R1760" s="93" t="s">
        <v>111</v>
      </c>
      <c r="S1760" s="93" t="s">
        <v>111</v>
      </c>
      <c r="T1760" s="93" t="s">
        <v>111</v>
      </c>
      <c r="U1760" s="93" t="s">
        <v>116</v>
      </c>
      <c r="V1760" s="94">
        <v>44596.644444444442</v>
      </c>
      <c r="W1760" s="93" t="s">
        <v>402</v>
      </c>
      <c r="X1760" s="93" t="s">
        <v>24</v>
      </c>
    </row>
    <row r="1761" spans="1:24" hidden="1" x14ac:dyDescent="0.15">
      <c r="A1761" s="93" t="s">
        <v>7323</v>
      </c>
      <c r="B1761" s="93" t="s">
        <v>7324</v>
      </c>
      <c r="C1761" s="410">
        <v>360</v>
      </c>
      <c r="D1761" s="93" t="s">
        <v>24</v>
      </c>
      <c r="E1761" s="93" t="s">
        <v>24</v>
      </c>
      <c r="F1761" s="93" t="s">
        <v>399</v>
      </c>
      <c r="G1761" s="93" t="s">
        <v>7185</v>
      </c>
      <c r="H1761" s="93" t="s">
        <v>400</v>
      </c>
      <c r="I1761" s="93" t="s">
        <v>111</v>
      </c>
      <c r="J1761" s="93" t="s">
        <v>7105</v>
      </c>
      <c r="K1761" s="93" t="s">
        <v>111</v>
      </c>
      <c r="L1761" s="93" t="s">
        <v>111</v>
      </c>
      <c r="M1761" s="93" t="s">
        <v>111</v>
      </c>
      <c r="N1761" s="93" t="s">
        <v>111</v>
      </c>
      <c r="O1761" s="93" t="s">
        <v>111</v>
      </c>
      <c r="P1761" s="93" t="s">
        <v>111</v>
      </c>
      <c r="Q1761" s="93" t="s">
        <v>111</v>
      </c>
      <c r="R1761" s="93" t="s">
        <v>228</v>
      </c>
      <c r="S1761" s="93" t="s">
        <v>111</v>
      </c>
      <c r="T1761" s="93" t="s">
        <v>115</v>
      </c>
      <c r="U1761" s="93" t="s">
        <v>116</v>
      </c>
      <c r="V1761" s="94">
        <v>44610.194444444445</v>
      </c>
      <c r="W1761" s="93" t="s">
        <v>7072</v>
      </c>
      <c r="X1761" s="93" t="s">
        <v>24</v>
      </c>
    </row>
    <row r="1762" spans="1:24" hidden="1" x14ac:dyDescent="0.15">
      <c r="A1762" s="93" t="s">
        <v>7325</v>
      </c>
      <c r="B1762" s="93" t="s">
        <v>7326</v>
      </c>
      <c r="C1762" s="410">
        <v>918</v>
      </c>
      <c r="D1762" s="93" t="s">
        <v>24</v>
      </c>
      <c r="E1762" s="93" t="s">
        <v>24</v>
      </c>
      <c r="F1762" s="93" t="s">
        <v>399</v>
      </c>
      <c r="G1762" s="93" t="s">
        <v>7185</v>
      </c>
      <c r="H1762" s="93" t="s">
        <v>400</v>
      </c>
      <c r="I1762" s="93" t="s">
        <v>111</v>
      </c>
      <c r="J1762" s="93" t="s">
        <v>7105</v>
      </c>
      <c r="K1762" s="93" t="s">
        <v>111</v>
      </c>
      <c r="L1762" s="93" t="s">
        <v>111</v>
      </c>
      <c r="M1762" s="93" t="s">
        <v>111</v>
      </c>
      <c r="N1762" s="93" t="s">
        <v>111</v>
      </c>
      <c r="O1762" s="93" t="s">
        <v>111</v>
      </c>
      <c r="P1762" s="93" t="s">
        <v>111</v>
      </c>
      <c r="Q1762" s="93" t="s">
        <v>111</v>
      </c>
      <c r="R1762" s="93" t="s">
        <v>228</v>
      </c>
      <c r="S1762" s="93" t="s">
        <v>111</v>
      </c>
      <c r="T1762" s="93" t="s">
        <v>115</v>
      </c>
      <c r="U1762" s="93" t="s">
        <v>116</v>
      </c>
      <c r="V1762" s="94">
        <v>44610.179166666669</v>
      </c>
      <c r="W1762" s="93" t="s">
        <v>7072</v>
      </c>
      <c r="X1762" s="93" t="s">
        <v>24</v>
      </c>
    </row>
    <row r="1763" spans="1:24" hidden="1" x14ac:dyDescent="0.15">
      <c r="A1763" s="93" t="s">
        <v>7327</v>
      </c>
      <c r="B1763" s="93" t="s">
        <v>7328</v>
      </c>
      <c r="C1763" s="410">
        <v>1440</v>
      </c>
      <c r="D1763" s="93" t="s">
        <v>24</v>
      </c>
      <c r="E1763" s="93" t="s">
        <v>24</v>
      </c>
      <c r="F1763" s="93" t="s">
        <v>399</v>
      </c>
      <c r="G1763" s="93" t="s">
        <v>7185</v>
      </c>
      <c r="H1763" s="93" t="s">
        <v>400</v>
      </c>
      <c r="I1763" s="93" t="s">
        <v>111</v>
      </c>
      <c r="J1763" s="93" t="s">
        <v>7105</v>
      </c>
      <c r="K1763" s="93" t="s">
        <v>111</v>
      </c>
      <c r="L1763" s="93" t="s">
        <v>111</v>
      </c>
      <c r="M1763" s="93" t="s">
        <v>111</v>
      </c>
      <c r="N1763" s="93" t="s">
        <v>111</v>
      </c>
      <c r="O1763" s="93" t="s">
        <v>111</v>
      </c>
      <c r="P1763" s="93" t="s">
        <v>111</v>
      </c>
      <c r="Q1763" s="93" t="s">
        <v>111</v>
      </c>
      <c r="R1763" s="93" t="s">
        <v>228</v>
      </c>
      <c r="S1763" s="93" t="s">
        <v>111</v>
      </c>
      <c r="T1763" s="93" t="s">
        <v>115</v>
      </c>
      <c r="U1763" s="93" t="s">
        <v>116</v>
      </c>
      <c r="V1763" s="94">
        <v>44610.200694444444</v>
      </c>
      <c r="W1763" s="93" t="s">
        <v>7072</v>
      </c>
      <c r="X1763" s="93" t="s">
        <v>24</v>
      </c>
    </row>
    <row r="1764" spans="1:24" hidden="1" x14ac:dyDescent="0.15">
      <c r="A1764" s="93" t="s">
        <v>7329</v>
      </c>
      <c r="B1764" s="93" t="s">
        <v>7330</v>
      </c>
      <c r="C1764" s="410">
        <v>26</v>
      </c>
      <c r="D1764" s="93" t="s">
        <v>24</v>
      </c>
      <c r="E1764" s="93" t="s">
        <v>24</v>
      </c>
      <c r="F1764" s="93" t="s">
        <v>399</v>
      </c>
      <c r="G1764" s="93" t="s">
        <v>7185</v>
      </c>
      <c r="H1764" s="93" t="s">
        <v>400</v>
      </c>
      <c r="I1764" s="93" t="s">
        <v>111</v>
      </c>
      <c r="J1764" s="93" t="s">
        <v>7105</v>
      </c>
      <c r="K1764" s="93" t="s">
        <v>111</v>
      </c>
      <c r="L1764" s="93" t="s">
        <v>111</v>
      </c>
      <c r="M1764" s="93" t="s">
        <v>111</v>
      </c>
      <c r="N1764" s="93" t="s">
        <v>111</v>
      </c>
      <c r="O1764" s="93" t="s">
        <v>111</v>
      </c>
      <c r="P1764" s="93" t="s">
        <v>111</v>
      </c>
      <c r="Q1764" s="93" t="s">
        <v>111</v>
      </c>
      <c r="R1764" s="93" t="s">
        <v>228</v>
      </c>
      <c r="S1764" s="93" t="s">
        <v>111</v>
      </c>
      <c r="T1764" s="93" t="s">
        <v>115</v>
      </c>
      <c r="U1764" s="93" t="s">
        <v>116</v>
      </c>
      <c r="V1764" s="94">
        <v>44610.13958333333</v>
      </c>
      <c r="W1764" s="93" t="s">
        <v>7072</v>
      </c>
      <c r="X1764" s="93" t="s">
        <v>24</v>
      </c>
    </row>
    <row r="1765" spans="1:24" hidden="1" x14ac:dyDescent="0.15">
      <c r="A1765" s="93" t="s">
        <v>7331</v>
      </c>
      <c r="B1765" s="93" t="s">
        <v>7332</v>
      </c>
      <c r="C1765" s="410">
        <v>67</v>
      </c>
      <c r="D1765" s="93" t="s">
        <v>24</v>
      </c>
      <c r="E1765" s="93" t="s">
        <v>24</v>
      </c>
      <c r="F1765" s="93" t="s">
        <v>399</v>
      </c>
      <c r="G1765" s="93" t="s">
        <v>7185</v>
      </c>
      <c r="H1765" s="93" t="s">
        <v>400</v>
      </c>
      <c r="I1765" s="93" t="s">
        <v>111</v>
      </c>
      <c r="J1765" s="93" t="s">
        <v>7105</v>
      </c>
      <c r="K1765" s="93" t="s">
        <v>111</v>
      </c>
      <c r="L1765" s="93" t="s">
        <v>111</v>
      </c>
      <c r="M1765" s="93" t="s">
        <v>111</v>
      </c>
      <c r="N1765" s="93" t="s">
        <v>111</v>
      </c>
      <c r="O1765" s="93" t="s">
        <v>111</v>
      </c>
      <c r="P1765" s="93" t="s">
        <v>111</v>
      </c>
      <c r="Q1765" s="93" t="s">
        <v>111</v>
      </c>
      <c r="R1765" s="93" t="s">
        <v>228</v>
      </c>
      <c r="S1765" s="93" t="s">
        <v>111</v>
      </c>
      <c r="T1765" s="93" t="s">
        <v>115</v>
      </c>
      <c r="U1765" s="93" t="s">
        <v>116</v>
      </c>
      <c r="V1765" s="94">
        <v>44610.172222222223</v>
      </c>
      <c r="W1765" s="93" t="s">
        <v>7072</v>
      </c>
      <c r="X1765" s="93" t="s">
        <v>24</v>
      </c>
    </row>
    <row r="1766" spans="1:24" hidden="1" x14ac:dyDescent="0.15">
      <c r="A1766" s="93" t="s">
        <v>7333</v>
      </c>
      <c r="B1766" s="93" t="s">
        <v>7334</v>
      </c>
      <c r="C1766" s="410">
        <v>104</v>
      </c>
      <c r="D1766" s="93" t="s">
        <v>24</v>
      </c>
      <c r="E1766" s="93" t="s">
        <v>24</v>
      </c>
      <c r="F1766" s="93" t="s">
        <v>399</v>
      </c>
      <c r="G1766" s="93" t="s">
        <v>7185</v>
      </c>
      <c r="H1766" s="93" t="s">
        <v>400</v>
      </c>
      <c r="I1766" s="93" t="s">
        <v>111</v>
      </c>
      <c r="J1766" s="93" t="s">
        <v>7105</v>
      </c>
      <c r="K1766" s="93" t="s">
        <v>111</v>
      </c>
      <c r="L1766" s="93" t="s">
        <v>111</v>
      </c>
      <c r="M1766" s="93" t="s">
        <v>111</v>
      </c>
      <c r="N1766" s="93" t="s">
        <v>111</v>
      </c>
      <c r="O1766" s="93" t="s">
        <v>111</v>
      </c>
      <c r="P1766" s="93" t="s">
        <v>111</v>
      </c>
      <c r="Q1766" s="93" t="s">
        <v>111</v>
      </c>
      <c r="R1766" s="93" t="s">
        <v>228</v>
      </c>
      <c r="S1766" s="93" t="s">
        <v>111</v>
      </c>
      <c r="T1766" s="93" t="s">
        <v>115</v>
      </c>
      <c r="U1766" s="93" t="s">
        <v>116</v>
      </c>
      <c r="V1766" s="94">
        <v>44610.179166666669</v>
      </c>
      <c r="W1766" s="93" t="s">
        <v>7072</v>
      </c>
      <c r="X1766" s="93" t="s">
        <v>24</v>
      </c>
    </row>
    <row r="1767" spans="1:24" hidden="1" x14ac:dyDescent="0.15">
      <c r="A1767" s="93" t="s">
        <v>1035</v>
      </c>
      <c r="B1767" s="93" t="s">
        <v>7335</v>
      </c>
      <c r="C1767" s="410">
        <v>10</v>
      </c>
      <c r="D1767" s="93" t="s">
        <v>24</v>
      </c>
      <c r="E1767" s="93" t="s">
        <v>24</v>
      </c>
      <c r="F1767" s="93" t="s">
        <v>7</v>
      </c>
      <c r="G1767" s="93" t="s">
        <v>7185</v>
      </c>
      <c r="H1767" s="93" t="s">
        <v>400</v>
      </c>
      <c r="I1767" s="93" t="s">
        <v>111</v>
      </c>
      <c r="J1767" s="93" t="s">
        <v>7105</v>
      </c>
      <c r="K1767" s="93" t="s">
        <v>111</v>
      </c>
      <c r="L1767" s="93" t="s">
        <v>111</v>
      </c>
      <c r="M1767" s="93" t="s">
        <v>111</v>
      </c>
      <c r="N1767" s="93" t="s">
        <v>111</v>
      </c>
      <c r="O1767" s="93" t="s">
        <v>111</v>
      </c>
      <c r="P1767" s="93" t="s">
        <v>111</v>
      </c>
      <c r="Q1767" s="93" t="s">
        <v>111</v>
      </c>
      <c r="R1767" s="93" t="s">
        <v>228</v>
      </c>
      <c r="S1767" s="93" t="s">
        <v>111</v>
      </c>
      <c r="T1767" s="93" t="s">
        <v>115</v>
      </c>
      <c r="U1767" s="93" t="s">
        <v>116</v>
      </c>
      <c r="V1767" s="94">
        <v>44610.17291666667</v>
      </c>
      <c r="W1767" s="93" t="s">
        <v>7336</v>
      </c>
      <c r="X1767" s="93" t="s">
        <v>24</v>
      </c>
    </row>
    <row r="1768" spans="1:24" hidden="1" x14ac:dyDescent="0.15">
      <c r="A1768" s="93" t="s">
        <v>1036</v>
      </c>
      <c r="B1768" s="93" t="s">
        <v>7337</v>
      </c>
      <c r="C1768" s="410">
        <v>26</v>
      </c>
      <c r="D1768" s="93" t="s">
        <v>24</v>
      </c>
      <c r="E1768" s="93" t="s">
        <v>24</v>
      </c>
      <c r="F1768" s="93" t="s">
        <v>7</v>
      </c>
      <c r="G1768" s="93" t="s">
        <v>7185</v>
      </c>
      <c r="H1768" s="93" t="s">
        <v>400</v>
      </c>
      <c r="I1768" s="93" t="s">
        <v>111</v>
      </c>
      <c r="J1768" s="93" t="s">
        <v>7105</v>
      </c>
      <c r="K1768" s="93" t="s">
        <v>111</v>
      </c>
      <c r="L1768" s="93" t="s">
        <v>111</v>
      </c>
      <c r="M1768" s="93" t="s">
        <v>111</v>
      </c>
      <c r="N1768" s="93" t="s">
        <v>111</v>
      </c>
      <c r="O1768" s="93" t="s">
        <v>111</v>
      </c>
      <c r="P1768" s="93" t="s">
        <v>111</v>
      </c>
      <c r="Q1768" s="93" t="s">
        <v>111</v>
      </c>
      <c r="R1768" s="93" t="s">
        <v>228</v>
      </c>
      <c r="S1768" s="93" t="s">
        <v>111</v>
      </c>
      <c r="T1768" s="93" t="s">
        <v>115</v>
      </c>
      <c r="U1768" s="93" t="s">
        <v>116</v>
      </c>
      <c r="V1768" s="94">
        <v>44610.179861111108</v>
      </c>
      <c r="W1768" s="93" t="s">
        <v>7336</v>
      </c>
      <c r="X1768" s="93" t="s">
        <v>24</v>
      </c>
    </row>
    <row r="1769" spans="1:24" hidden="1" x14ac:dyDescent="0.15">
      <c r="A1769" s="93" t="s">
        <v>1037</v>
      </c>
      <c r="B1769" s="93" t="s">
        <v>7338</v>
      </c>
      <c r="C1769" s="410">
        <v>40</v>
      </c>
      <c r="D1769" s="93" t="s">
        <v>24</v>
      </c>
      <c r="E1769" s="93" t="s">
        <v>24</v>
      </c>
      <c r="F1769" s="93" t="s">
        <v>7</v>
      </c>
      <c r="G1769" s="93" t="s">
        <v>7185</v>
      </c>
      <c r="H1769" s="93" t="s">
        <v>400</v>
      </c>
      <c r="I1769" s="93" t="s">
        <v>111</v>
      </c>
      <c r="J1769" s="93" t="s">
        <v>7105</v>
      </c>
      <c r="K1769" s="93" t="s">
        <v>111</v>
      </c>
      <c r="L1769" s="93" t="s">
        <v>111</v>
      </c>
      <c r="M1769" s="93" t="s">
        <v>111</v>
      </c>
      <c r="N1769" s="93" t="s">
        <v>111</v>
      </c>
      <c r="O1769" s="93" t="s">
        <v>111</v>
      </c>
      <c r="P1769" s="93" t="s">
        <v>111</v>
      </c>
      <c r="Q1769" s="93" t="s">
        <v>111</v>
      </c>
      <c r="R1769" s="93" t="s">
        <v>228</v>
      </c>
      <c r="S1769" s="93" t="s">
        <v>111</v>
      </c>
      <c r="T1769" s="93" t="s">
        <v>115</v>
      </c>
      <c r="U1769" s="93" t="s">
        <v>116</v>
      </c>
      <c r="V1769" s="94">
        <v>44610.162499999999</v>
      </c>
      <c r="W1769" s="93" t="s">
        <v>7336</v>
      </c>
      <c r="X1769" s="93" t="s">
        <v>24</v>
      </c>
    </row>
    <row r="1770" spans="1:24" hidden="1" x14ac:dyDescent="0.15">
      <c r="A1770" s="93" t="s">
        <v>1038</v>
      </c>
      <c r="B1770" s="93" t="s">
        <v>7339</v>
      </c>
      <c r="C1770" s="410">
        <v>8</v>
      </c>
      <c r="D1770" s="93" t="s">
        <v>24</v>
      </c>
      <c r="E1770" s="93" t="s">
        <v>24</v>
      </c>
      <c r="F1770" s="93" t="s">
        <v>7</v>
      </c>
      <c r="G1770" s="93" t="s">
        <v>7185</v>
      </c>
      <c r="H1770" s="93" t="s">
        <v>400</v>
      </c>
      <c r="I1770" s="93" t="s">
        <v>111</v>
      </c>
      <c r="J1770" s="93" t="s">
        <v>7105</v>
      </c>
      <c r="K1770" s="93" t="s">
        <v>111</v>
      </c>
      <c r="L1770" s="93" t="s">
        <v>111</v>
      </c>
      <c r="M1770" s="93" t="s">
        <v>111</v>
      </c>
      <c r="N1770" s="93" t="s">
        <v>111</v>
      </c>
      <c r="O1770" s="93" t="s">
        <v>111</v>
      </c>
      <c r="P1770" s="93" t="s">
        <v>111</v>
      </c>
      <c r="Q1770" s="93" t="s">
        <v>111</v>
      </c>
      <c r="R1770" s="93" t="s">
        <v>228</v>
      </c>
      <c r="S1770" s="93" t="s">
        <v>111</v>
      </c>
      <c r="T1770" s="93" t="s">
        <v>115</v>
      </c>
      <c r="U1770" s="93" t="s">
        <v>116</v>
      </c>
      <c r="V1770" s="94">
        <v>44610.13958333333</v>
      </c>
      <c r="W1770" s="93" t="s">
        <v>7336</v>
      </c>
      <c r="X1770" s="93" t="s">
        <v>24</v>
      </c>
    </row>
    <row r="1771" spans="1:24" hidden="1" x14ac:dyDescent="0.15">
      <c r="A1771" s="93" t="s">
        <v>1039</v>
      </c>
      <c r="B1771" s="93" t="s">
        <v>7340</v>
      </c>
      <c r="C1771" s="410">
        <v>21</v>
      </c>
      <c r="D1771" s="93" t="s">
        <v>24</v>
      </c>
      <c r="E1771" s="93" t="s">
        <v>24</v>
      </c>
      <c r="F1771" s="93" t="s">
        <v>7</v>
      </c>
      <c r="G1771" s="93" t="s">
        <v>7185</v>
      </c>
      <c r="H1771" s="93" t="s">
        <v>400</v>
      </c>
      <c r="I1771" s="93" t="s">
        <v>111</v>
      </c>
      <c r="J1771" s="93" t="s">
        <v>7105</v>
      </c>
      <c r="K1771" s="93" t="s">
        <v>111</v>
      </c>
      <c r="L1771" s="93" t="s">
        <v>111</v>
      </c>
      <c r="M1771" s="93" t="s">
        <v>111</v>
      </c>
      <c r="N1771" s="93" t="s">
        <v>111</v>
      </c>
      <c r="O1771" s="93" t="s">
        <v>111</v>
      </c>
      <c r="P1771" s="93" t="s">
        <v>111</v>
      </c>
      <c r="Q1771" s="93" t="s">
        <v>111</v>
      </c>
      <c r="R1771" s="93" t="s">
        <v>228</v>
      </c>
      <c r="S1771" s="93" t="s">
        <v>111</v>
      </c>
      <c r="T1771" s="93" t="s">
        <v>115</v>
      </c>
      <c r="U1771" s="93" t="s">
        <v>116</v>
      </c>
      <c r="V1771" s="94">
        <v>44610.195138888892</v>
      </c>
      <c r="W1771" s="93" t="s">
        <v>7336</v>
      </c>
      <c r="X1771" s="93" t="s">
        <v>24</v>
      </c>
    </row>
    <row r="1772" spans="1:24" hidden="1" x14ac:dyDescent="0.15">
      <c r="A1772" s="93" t="s">
        <v>1040</v>
      </c>
      <c r="B1772" s="93" t="s">
        <v>7341</v>
      </c>
      <c r="C1772" s="410">
        <v>32</v>
      </c>
      <c r="D1772" s="93" t="s">
        <v>24</v>
      </c>
      <c r="E1772" s="93" t="s">
        <v>24</v>
      </c>
      <c r="F1772" s="93" t="s">
        <v>7</v>
      </c>
      <c r="G1772" s="93" t="s">
        <v>7185</v>
      </c>
      <c r="H1772" s="93" t="s">
        <v>400</v>
      </c>
      <c r="I1772" s="93" t="s">
        <v>111</v>
      </c>
      <c r="J1772" s="93" t="s">
        <v>7105</v>
      </c>
      <c r="K1772" s="93" t="s">
        <v>111</v>
      </c>
      <c r="L1772" s="93" t="s">
        <v>111</v>
      </c>
      <c r="M1772" s="93" t="s">
        <v>111</v>
      </c>
      <c r="N1772" s="93" t="s">
        <v>111</v>
      </c>
      <c r="O1772" s="93" t="s">
        <v>111</v>
      </c>
      <c r="P1772" s="93" t="s">
        <v>111</v>
      </c>
      <c r="Q1772" s="93" t="s">
        <v>111</v>
      </c>
      <c r="R1772" s="93" t="s">
        <v>228</v>
      </c>
      <c r="S1772" s="93" t="s">
        <v>111</v>
      </c>
      <c r="T1772" s="93" t="s">
        <v>115</v>
      </c>
      <c r="U1772" s="93" t="s">
        <v>116</v>
      </c>
      <c r="V1772" s="94">
        <v>44610.17291666667</v>
      </c>
      <c r="W1772" s="93" t="s">
        <v>7336</v>
      </c>
      <c r="X1772" s="93" t="s">
        <v>24</v>
      </c>
    </row>
    <row r="1773" spans="1:24" hidden="1" x14ac:dyDescent="0.15">
      <c r="A1773" s="93" t="s">
        <v>1041</v>
      </c>
      <c r="B1773" s="93" t="s">
        <v>7342</v>
      </c>
      <c r="C1773" s="410">
        <v>13</v>
      </c>
      <c r="D1773" s="93" t="s">
        <v>24</v>
      </c>
      <c r="E1773" s="93" t="s">
        <v>24</v>
      </c>
      <c r="F1773" s="93" t="s">
        <v>7</v>
      </c>
      <c r="G1773" s="93" t="s">
        <v>7185</v>
      </c>
      <c r="H1773" s="93" t="s">
        <v>400</v>
      </c>
      <c r="I1773" s="93" t="s">
        <v>111</v>
      </c>
      <c r="J1773" s="93" t="s">
        <v>7105</v>
      </c>
      <c r="K1773" s="93" t="s">
        <v>111</v>
      </c>
      <c r="L1773" s="93" t="s">
        <v>111</v>
      </c>
      <c r="M1773" s="93" t="s">
        <v>111</v>
      </c>
      <c r="N1773" s="93" t="s">
        <v>111</v>
      </c>
      <c r="O1773" s="93" t="s">
        <v>111</v>
      </c>
      <c r="P1773" s="93" t="s">
        <v>111</v>
      </c>
      <c r="Q1773" s="93" t="s">
        <v>111</v>
      </c>
      <c r="R1773" s="93" t="s">
        <v>228</v>
      </c>
      <c r="S1773" s="93" t="s">
        <v>111</v>
      </c>
      <c r="T1773" s="93" t="s">
        <v>115</v>
      </c>
      <c r="U1773" s="93" t="s">
        <v>116</v>
      </c>
      <c r="V1773" s="94">
        <v>44610.196527777778</v>
      </c>
      <c r="W1773" s="93" t="s">
        <v>7336</v>
      </c>
      <c r="X1773" s="93" t="s">
        <v>24</v>
      </c>
    </row>
    <row r="1774" spans="1:24" hidden="1" x14ac:dyDescent="0.15">
      <c r="A1774" s="93" t="s">
        <v>1042</v>
      </c>
      <c r="B1774" s="93" t="s">
        <v>7343</v>
      </c>
      <c r="C1774" s="410">
        <v>34</v>
      </c>
      <c r="D1774" s="93" t="s">
        <v>24</v>
      </c>
      <c r="E1774" s="93" t="s">
        <v>24</v>
      </c>
      <c r="F1774" s="93" t="s">
        <v>7</v>
      </c>
      <c r="G1774" s="93" t="s">
        <v>7185</v>
      </c>
      <c r="H1774" s="93" t="s">
        <v>400</v>
      </c>
      <c r="I1774" s="93" t="s">
        <v>111</v>
      </c>
      <c r="J1774" s="93" t="s">
        <v>7105</v>
      </c>
      <c r="K1774" s="93" t="s">
        <v>111</v>
      </c>
      <c r="L1774" s="93" t="s">
        <v>111</v>
      </c>
      <c r="M1774" s="93" t="s">
        <v>111</v>
      </c>
      <c r="N1774" s="93" t="s">
        <v>111</v>
      </c>
      <c r="O1774" s="93" t="s">
        <v>111</v>
      </c>
      <c r="P1774" s="93" t="s">
        <v>111</v>
      </c>
      <c r="Q1774" s="93" t="s">
        <v>111</v>
      </c>
      <c r="R1774" s="93" t="s">
        <v>228</v>
      </c>
      <c r="S1774" s="93" t="s">
        <v>111</v>
      </c>
      <c r="T1774" s="93" t="s">
        <v>115</v>
      </c>
      <c r="U1774" s="93" t="s">
        <v>116</v>
      </c>
      <c r="V1774" s="94">
        <v>44610.140972222223</v>
      </c>
      <c r="W1774" s="93" t="s">
        <v>7336</v>
      </c>
      <c r="X1774" s="93" t="s">
        <v>24</v>
      </c>
    </row>
    <row r="1775" spans="1:24" hidden="1" x14ac:dyDescent="0.15">
      <c r="A1775" s="93" t="s">
        <v>1043</v>
      </c>
      <c r="B1775" s="93" t="s">
        <v>7344</v>
      </c>
      <c r="C1775" s="410">
        <v>52</v>
      </c>
      <c r="D1775" s="93" t="s">
        <v>24</v>
      </c>
      <c r="E1775" s="93" t="s">
        <v>24</v>
      </c>
      <c r="F1775" s="93" t="s">
        <v>7</v>
      </c>
      <c r="G1775" s="93" t="s">
        <v>7185</v>
      </c>
      <c r="H1775" s="93" t="s">
        <v>400</v>
      </c>
      <c r="I1775" s="93" t="s">
        <v>111</v>
      </c>
      <c r="J1775" s="93" t="s">
        <v>7105</v>
      </c>
      <c r="K1775" s="93" t="s">
        <v>111</v>
      </c>
      <c r="L1775" s="93" t="s">
        <v>111</v>
      </c>
      <c r="M1775" s="93" t="s">
        <v>111</v>
      </c>
      <c r="N1775" s="93" t="s">
        <v>111</v>
      </c>
      <c r="O1775" s="93" t="s">
        <v>111</v>
      </c>
      <c r="P1775" s="93" t="s">
        <v>111</v>
      </c>
      <c r="Q1775" s="93" t="s">
        <v>111</v>
      </c>
      <c r="R1775" s="93" t="s">
        <v>228</v>
      </c>
      <c r="S1775" s="93" t="s">
        <v>111</v>
      </c>
      <c r="T1775" s="93" t="s">
        <v>115</v>
      </c>
      <c r="U1775" s="93" t="s">
        <v>116</v>
      </c>
      <c r="V1775" s="94">
        <v>44610.147222222222</v>
      </c>
      <c r="W1775" s="93" t="s">
        <v>7336</v>
      </c>
      <c r="X1775" s="93" t="s">
        <v>24</v>
      </c>
    </row>
    <row r="1776" spans="1:24" hidden="1" x14ac:dyDescent="0.15">
      <c r="A1776" s="93" t="s">
        <v>1048</v>
      </c>
      <c r="B1776" s="93" t="s">
        <v>1049</v>
      </c>
      <c r="C1776" s="410">
        <v>22</v>
      </c>
      <c r="D1776" s="93" t="s">
        <v>24</v>
      </c>
      <c r="E1776" s="93" t="s">
        <v>24</v>
      </c>
      <c r="F1776" s="93" t="s">
        <v>7</v>
      </c>
      <c r="G1776" s="93" t="s">
        <v>7185</v>
      </c>
      <c r="H1776" s="93" t="s">
        <v>400</v>
      </c>
      <c r="I1776" s="93" t="s">
        <v>111</v>
      </c>
      <c r="J1776" s="93" t="s">
        <v>7105</v>
      </c>
      <c r="K1776" s="93" t="s">
        <v>111</v>
      </c>
      <c r="L1776" s="93" t="s">
        <v>111</v>
      </c>
      <c r="M1776" s="93" t="s">
        <v>111</v>
      </c>
      <c r="N1776" s="93" t="s">
        <v>111</v>
      </c>
      <c r="O1776" s="93" t="s">
        <v>111</v>
      </c>
      <c r="P1776" s="93" t="s">
        <v>111</v>
      </c>
      <c r="Q1776" s="93" t="s">
        <v>111</v>
      </c>
      <c r="R1776" s="93" t="s">
        <v>228</v>
      </c>
      <c r="S1776" s="93" t="s">
        <v>111</v>
      </c>
      <c r="T1776" s="93" t="s">
        <v>115</v>
      </c>
      <c r="U1776" s="93" t="s">
        <v>116</v>
      </c>
      <c r="V1776" s="94">
        <v>44610.195138888892</v>
      </c>
      <c r="W1776" s="93" t="s">
        <v>7336</v>
      </c>
      <c r="X1776" s="93" t="s">
        <v>24</v>
      </c>
    </row>
    <row r="1777" spans="1:24" hidden="1" x14ac:dyDescent="0.15">
      <c r="A1777" s="93" t="s">
        <v>1050</v>
      </c>
      <c r="B1777" s="93" t="s">
        <v>7345</v>
      </c>
      <c r="C1777" s="410">
        <v>57</v>
      </c>
      <c r="D1777" s="93" t="s">
        <v>24</v>
      </c>
      <c r="E1777" s="93" t="s">
        <v>24</v>
      </c>
      <c r="F1777" s="93" t="s">
        <v>7</v>
      </c>
      <c r="G1777" s="93" t="s">
        <v>7185</v>
      </c>
      <c r="H1777" s="93" t="s">
        <v>400</v>
      </c>
      <c r="I1777" s="93" t="s">
        <v>111</v>
      </c>
      <c r="J1777" s="93" t="s">
        <v>7105</v>
      </c>
      <c r="K1777" s="93" t="s">
        <v>111</v>
      </c>
      <c r="L1777" s="93" t="s">
        <v>111</v>
      </c>
      <c r="M1777" s="93" t="s">
        <v>111</v>
      </c>
      <c r="N1777" s="93" t="s">
        <v>111</v>
      </c>
      <c r="O1777" s="93" t="s">
        <v>111</v>
      </c>
      <c r="P1777" s="93" t="s">
        <v>111</v>
      </c>
      <c r="Q1777" s="93" t="s">
        <v>111</v>
      </c>
      <c r="R1777" s="93" t="s">
        <v>228</v>
      </c>
      <c r="S1777" s="93" t="s">
        <v>111</v>
      </c>
      <c r="T1777" s="93" t="s">
        <v>115</v>
      </c>
      <c r="U1777" s="93" t="s">
        <v>116</v>
      </c>
      <c r="V1777" s="94">
        <v>44610.173611111109</v>
      </c>
      <c r="W1777" s="93" t="s">
        <v>7336</v>
      </c>
      <c r="X1777" s="93" t="s">
        <v>24</v>
      </c>
    </row>
    <row r="1778" spans="1:24" hidden="1" x14ac:dyDescent="0.15">
      <c r="A1778" s="93" t="s">
        <v>1051</v>
      </c>
      <c r="B1778" s="93" t="s">
        <v>7346</v>
      </c>
      <c r="C1778" s="410">
        <v>88</v>
      </c>
      <c r="D1778" s="93" t="s">
        <v>24</v>
      </c>
      <c r="E1778" s="93" t="s">
        <v>24</v>
      </c>
      <c r="F1778" s="93" t="s">
        <v>7</v>
      </c>
      <c r="G1778" s="93" t="s">
        <v>7185</v>
      </c>
      <c r="H1778" s="93" t="s">
        <v>400</v>
      </c>
      <c r="I1778" s="93" t="s">
        <v>111</v>
      </c>
      <c r="J1778" s="93" t="s">
        <v>7105</v>
      </c>
      <c r="K1778" s="93" t="s">
        <v>111</v>
      </c>
      <c r="L1778" s="93" t="s">
        <v>111</v>
      </c>
      <c r="M1778" s="93" t="s">
        <v>111</v>
      </c>
      <c r="N1778" s="93" t="s">
        <v>111</v>
      </c>
      <c r="O1778" s="93" t="s">
        <v>111</v>
      </c>
      <c r="P1778" s="93" t="s">
        <v>111</v>
      </c>
      <c r="Q1778" s="93" t="s">
        <v>111</v>
      </c>
      <c r="R1778" s="93" t="s">
        <v>228</v>
      </c>
      <c r="S1778" s="93" t="s">
        <v>111</v>
      </c>
      <c r="T1778" s="93" t="s">
        <v>115</v>
      </c>
      <c r="U1778" s="93" t="s">
        <v>116</v>
      </c>
      <c r="V1778" s="94">
        <v>44610.179861111108</v>
      </c>
      <c r="W1778" s="93" t="s">
        <v>7336</v>
      </c>
      <c r="X1778" s="93" t="s">
        <v>24</v>
      </c>
    </row>
    <row r="1779" spans="1:24" hidden="1" x14ac:dyDescent="0.15">
      <c r="A1779" s="93" t="s">
        <v>1052</v>
      </c>
      <c r="B1779" s="93" t="s">
        <v>1053</v>
      </c>
      <c r="C1779" s="410">
        <v>22</v>
      </c>
      <c r="D1779" s="93" t="s">
        <v>24</v>
      </c>
      <c r="E1779" s="93" t="s">
        <v>24</v>
      </c>
      <c r="F1779" s="93" t="s">
        <v>7</v>
      </c>
      <c r="G1779" s="93" t="s">
        <v>7185</v>
      </c>
      <c r="H1779" s="93" t="s">
        <v>400</v>
      </c>
      <c r="I1779" s="93" t="s">
        <v>111</v>
      </c>
      <c r="J1779" s="93" t="s">
        <v>7105</v>
      </c>
      <c r="K1779" s="93" t="s">
        <v>111</v>
      </c>
      <c r="L1779" s="93" t="s">
        <v>111</v>
      </c>
      <c r="M1779" s="93" t="s">
        <v>111</v>
      </c>
      <c r="N1779" s="93" t="s">
        <v>111</v>
      </c>
      <c r="O1779" s="93" t="s">
        <v>111</v>
      </c>
      <c r="P1779" s="93" t="s">
        <v>111</v>
      </c>
      <c r="Q1779" s="93" t="s">
        <v>111</v>
      </c>
      <c r="R1779" s="93" t="s">
        <v>228</v>
      </c>
      <c r="S1779" s="93" t="s">
        <v>111</v>
      </c>
      <c r="T1779" s="93" t="s">
        <v>115</v>
      </c>
      <c r="U1779" s="93" t="s">
        <v>116</v>
      </c>
      <c r="V1779" s="94">
        <v>44610.203472222223</v>
      </c>
      <c r="W1779" s="93" t="s">
        <v>7336</v>
      </c>
      <c r="X1779" s="93" t="s">
        <v>24</v>
      </c>
    </row>
    <row r="1780" spans="1:24" hidden="1" x14ac:dyDescent="0.15">
      <c r="A1780" s="93" t="s">
        <v>1054</v>
      </c>
      <c r="B1780" s="93" t="s">
        <v>7347</v>
      </c>
      <c r="C1780" s="410">
        <v>57</v>
      </c>
      <c r="D1780" s="93" t="s">
        <v>24</v>
      </c>
      <c r="E1780" s="93" t="s">
        <v>24</v>
      </c>
      <c r="F1780" s="93" t="s">
        <v>7</v>
      </c>
      <c r="G1780" s="93" t="s">
        <v>7185</v>
      </c>
      <c r="H1780" s="93" t="s">
        <v>400</v>
      </c>
      <c r="I1780" s="93" t="s">
        <v>111</v>
      </c>
      <c r="J1780" s="93" t="s">
        <v>7105</v>
      </c>
      <c r="K1780" s="93" t="s">
        <v>111</v>
      </c>
      <c r="L1780" s="93" t="s">
        <v>111</v>
      </c>
      <c r="M1780" s="93" t="s">
        <v>111</v>
      </c>
      <c r="N1780" s="93" t="s">
        <v>111</v>
      </c>
      <c r="O1780" s="93" t="s">
        <v>111</v>
      </c>
      <c r="P1780" s="93" t="s">
        <v>111</v>
      </c>
      <c r="Q1780" s="93" t="s">
        <v>111</v>
      </c>
      <c r="R1780" s="93" t="s">
        <v>228</v>
      </c>
      <c r="S1780" s="93" t="s">
        <v>111</v>
      </c>
      <c r="T1780" s="93" t="s">
        <v>115</v>
      </c>
      <c r="U1780" s="93" t="s">
        <v>116</v>
      </c>
      <c r="V1780" s="94">
        <v>44610.163194444445</v>
      </c>
      <c r="W1780" s="93" t="s">
        <v>7336</v>
      </c>
      <c r="X1780" s="93" t="s">
        <v>24</v>
      </c>
    </row>
    <row r="1781" spans="1:24" hidden="1" x14ac:dyDescent="0.15">
      <c r="A1781" s="93" t="s">
        <v>1055</v>
      </c>
      <c r="B1781" s="93" t="s">
        <v>7348</v>
      </c>
      <c r="C1781" s="410">
        <v>88</v>
      </c>
      <c r="D1781" s="93" t="s">
        <v>24</v>
      </c>
      <c r="E1781" s="93" t="s">
        <v>24</v>
      </c>
      <c r="F1781" s="93" t="s">
        <v>7</v>
      </c>
      <c r="G1781" s="93" t="s">
        <v>7185</v>
      </c>
      <c r="H1781" s="93" t="s">
        <v>400</v>
      </c>
      <c r="I1781" s="93" t="s">
        <v>111</v>
      </c>
      <c r="J1781" s="93" t="s">
        <v>7105</v>
      </c>
      <c r="K1781" s="93" t="s">
        <v>111</v>
      </c>
      <c r="L1781" s="93" t="s">
        <v>111</v>
      </c>
      <c r="M1781" s="93" t="s">
        <v>111</v>
      </c>
      <c r="N1781" s="93" t="s">
        <v>111</v>
      </c>
      <c r="O1781" s="93" t="s">
        <v>111</v>
      </c>
      <c r="P1781" s="93" t="s">
        <v>111</v>
      </c>
      <c r="Q1781" s="93" t="s">
        <v>111</v>
      </c>
      <c r="R1781" s="93" t="s">
        <v>228</v>
      </c>
      <c r="S1781" s="93" t="s">
        <v>111</v>
      </c>
      <c r="T1781" s="93" t="s">
        <v>115</v>
      </c>
      <c r="U1781" s="93" t="s">
        <v>116</v>
      </c>
      <c r="V1781" s="94">
        <v>44610.195138888892</v>
      </c>
      <c r="W1781" s="93" t="s">
        <v>7336</v>
      </c>
      <c r="X1781" s="93" t="s">
        <v>24</v>
      </c>
    </row>
    <row r="1782" spans="1:24" hidden="1" x14ac:dyDescent="0.15">
      <c r="A1782" s="93" t="s">
        <v>1056</v>
      </c>
      <c r="B1782" s="93" t="s">
        <v>1057</v>
      </c>
      <c r="C1782" s="410">
        <v>22</v>
      </c>
      <c r="D1782" s="93" t="s">
        <v>24</v>
      </c>
      <c r="E1782" s="93" t="s">
        <v>24</v>
      </c>
      <c r="F1782" s="93" t="s">
        <v>7</v>
      </c>
      <c r="G1782" s="93" t="s">
        <v>7185</v>
      </c>
      <c r="H1782" s="93" t="s">
        <v>400</v>
      </c>
      <c r="I1782" s="93" t="s">
        <v>111</v>
      </c>
      <c r="J1782" s="93" t="s">
        <v>7105</v>
      </c>
      <c r="K1782" s="93" t="s">
        <v>111</v>
      </c>
      <c r="L1782" s="93" t="s">
        <v>111</v>
      </c>
      <c r="M1782" s="93" t="s">
        <v>111</v>
      </c>
      <c r="N1782" s="93" t="s">
        <v>111</v>
      </c>
      <c r="O1782" s="93" t="s">
        <v>111</v>
      </c>
      <c r="P1782" s="93" t="s">
        <v>111</v>
      </c>
      <c r="Q1782" s="93" t="s">
        <v>111</v>
      </c>
      <c r="R1782" s="93" t="s">
        <v>228</v>
      </c>
      <c r="S1782" s="93" t="s">
        <v>111</v>
      </c>
      <c r="T1782" s="93" t="s">
        <v>115</v>
      </c>
      <c r="U1782" s="93" t="s">
        <v>116</v>
      </c>
      <c r="V1782" s="94">
        <v>44610.179861111108</v>
      </c>
      <c r="W1782" s="93" t="s">
        <v>7336</v>
      </c>
      <c r="X1782" s="93" t="s">
        <v>24</v>
      </c>
    </row>
    <row r="1783" spans="1:24" hidden="1" x14ac:dyDescent="0.15">
      <c r="A1783" s="93" t="s">
        <v>1058</v>
      </c>
      <c r="B1783" s="93" t="s">
        <v>7349</v>
      </c>
      <c r="C1783" s="410">
        <v>57</v>
      </c>
      <c r="D1783" s="93" t="s">
        <v>24</v>
      </c>
      <c r="E1783" s="93" t="s">
        <v>24</v>
      </c>
      <c r="F1783" s="93" t="s">
        <v>7</v>
      </c>
      <c r="G1783" s="93" t="s">
        <v>7185</v>
      </c>
      <c r="H1783" s="93" t="s">
        <v>400</v>
      </c>
      <c r="I1783" s="93" t="s">
        <v>111</v>
      </c>
      <c r="J1783" s="93" t="s">
        <v>7105</v>
      </c>
      <c r="K1783" s="93" t="s">
        <v>111</v>
      </c>
      <c r="L1783" s="93" t="s">
        <v>111</v>
      </c>
      <c r="M1783" s="93" t="s">
        <v>111</v>
      </c>
      <c r="N1783" s="93" t="s">
        <v>111</v>
      </c>
      <c r="O1783" s="93" t="s">
        <v>111</v>
      </c>
      <c r="P1783" s="93" t="s">
        <v>111</v>
      </c>
      <c r="Q1783" s="93" t="s">
        <v>111</v>
      </c>
      <c r="R1783" s="93" t="s">
        <v>228</v>
      </c>
      <c r="S1783" s="93" t="s">
        <v>111</v>
      </c>
      <c r="T1783" s="93" t="s">
        <v>115</v>
      </c>
      <c r="U1783" s="93" t="s">
        <v>116</v>
      </c>
      <c r="V1783" s="94">
        <v>44610.201388888891</v>
      </c>
      <c r="W1783" s="93" t="s">
        <v>7336</v>
      </c>
      <c r="X1783" s="93" t="s">
        <v>24</v>
      </c>
    </row>
    <row r="1784" spans="1:24" hidden="1" x14ac:dyDescent="0.15">
      <c r="A1784" s="93" t="s">
        <v>1059</v>
      </c>
      <c r="B1784" s="93" t="s">
        <v>7350</v>
      </c>
      <c r="C1784" s="410">
        <v>88</v>
      </c>
      <c r="D1784" s="93" t="s">
        <v>24</v>
      </c>
      <c r="E1784" s="93" t="s">
        <v>24</v>
      </c>
      <c r="F1784" s="93" t="s">
        <v>7</v>
      </c>
      <c r="G1784" s="93" t="s">
        <v>7185</v>
      </c>
      <c r="H1784" s="93" t="s">
        <v>400</v>
      </c>
      <c r="I1784" s="93" t="s">
        <v>111</v>
      </c>
      <c r="J1784" s="93" t="s">
        <v>7105</v>
      </c>
      <c r="K1784" s="93" t="s">
        <v>111</v>
      </c>
      <c r="L1784" s="93" t="s">
        <v>111</v>
      </c>
      <c r="M1784" s="93" t="s">
        <v>111</v>
      </c>
      <c r="N1784" s="93" t="s">
        <v>111</v>
      </c>
      <c r="O1784" s="93" t="s">
        <v>111</v>
      </c>
      <c r="P1784" s="93" t="s">
        <v>111</v>
      </c>
      <c r="Q1784" s="93" t="s">
        <v>111</v>
      </c>
      <c r="R1784" s="93" t="s">
        <v>228</v>
      </c>
      <c r="S1784" s="93" t="s">
        <v>111</v>
      </c>
      <c r="T1784" s="93" t="s">
        <v>115</v>
      </c>
      <c r="U1784" s="93" t="s">
        <v>116</v>
      </c>
      <c r="V1784" s="94">
        <v>44610.201388888891</v>
      </c>
      <c r="W1784" s="93" t="s">
        <v>7336</v>
      </c>
      <c r="X1784" s="93" t="s">
        <v>24</v>
      </c>
    </row>
    <row r="1785" spans="1:24" hidden="1" x14ac:dyDescent="0.15">
      <c r="A1785" s="93" t="s">
        <v>1060</v>
      </c>
      <c r="B1785" s="93" t="s">
        <v>1061</v>
      </c>
      <c r="C1785" s="410">
        <v>15</v>
      </c>
      <c r="D1785" s="93" t="s">
        <v>24</v>
      </c>
      <c r="E1785" s="93" t="s">
        <v>24</v>
      </c>
      <c r="F1785" s="93" t="s">
        <v>7</v>
      </c>
      <c r="G1785" s="93" t="s">
        <v>7185</v>
      </c>
      <c r="H1785" s="93" t="s">
        <v>400</v>
      </c>
      <c r="I1785" s="93" t="s">
        <v>111</v>
      </c>
      <c r="J1785" s="93" t="s">
        <v>7105</v>
      </c>
      <c r="K1785" s="93" t="s">
        <v>111</v>
      </c>
      <c r="L1785" s="93" t="s">
        <v>111</v>
      </c>
      <c r="M1785" s="93" t="s">
        <v>111</v>
      </c>
      <c r="N1785" s="93" t="s">
        <v>111</v>
      </c>
      <c r="O1785" s="93" t="s">
        <v>111</v>
      </c>
      <c r="P1785" s="93" t="s">
        <v>111</v>
      </c>
      <c r="Q1785" s="93" t="s">
        <v>111</v>
      </c>
      <c r="R1785" s="93" t="s">
        <v>228</v>
      </c>
      <c r="S1785" s="93" t="s">
        <v>111</v>
      </c>
      <c r="T1785" s="93" t="s">
        <v>115</v>
      </c>
      <c r="U1785" s="93" t="s">
        <v>116</v>
      </c>
      <c r="V1785" s="94">
        <v>44610.195138888892</v>
      </c>
      <c r="W1785" s="93" t="s">
        <v>7336</v>
      </c>
      <c r="X1785" s="93" t="s">
        <v>24</v>
      </c>
    </row>
    <row r="1786" spans="1:24" hidden="1" x14ac:dyDescent="0.15">
      <c r="A1786" s="93" t="s">
        <v>1062</v>
      </c>
      <c r="B1786" s="93" t="s">
        <v>7351</v>
      </c>
      <c r="C1786" s="410">
        <v>39</v>
      </c>
      <c r="D1786" s="93" t="s">
        <v>24</v>
      </c>
      <c r="E1786" s="93" t="s">
        <v>24</v>
      </c>
      <c r="F1786" s="93" t="s">
        <v>7</v>
      </c>
      <c r="G1786" s="93" t="s">
        <v>7185</v>
      </c>
      <c r="H1786" s="93" t="s">
        <v>400</v>
      </c>
      <c r="I1786" s="93" t="s">
        <v>111</v>
      </c>
      <c r="J1786" s="93" t="s">
        <v>7105</v>
      </c>
      <c r="K1786" s="93" t="s">
        <v>111</v>
      </c>
      <c r="L1786" s="93" t="s">
        <v>111</v>
      </c>
      <c r="M1786" s="93" t="s">
        <v>111</v>
      </c>
      <c r="N1786" s="93" t="s">
        <v>111</v>
      </c>
      <c r="O1786" s="93" t="s">
        <v>111</v>
      </c>
      <c r="P1786" s="93" t="s">
        <v>111</v>
      </c>
      <c r="Q1786" s="93" t="s">
        <v>111</v>
      </c>
      <c r="R1786" s="93" t="s">
        <v>228</v>
      </c>
      <c r="S1786" s="93" t="s">
        <v>111</v>
      </c>
      <c r="T1786" s="93" t="s">
        <v>115</v>
      </c>
      <c r="U1786" s="93" t="s">
        <v>116</v>
      </c>
      <c r="V1786" s="94">
        <v>44610.179861111108</v>
      </c>
      <c r="W1786" s="93" t="s">
        <v>7336</v>
      </c>
      <c r="X1786" s="93" t="s">
        <v>24</v>
      </c>
    </row>
    <row r="1787" spans="1:24" hidden="1" x14ac:dyDescent="0.15">
      <c r="A1787" s="93" t="s">
        <v>1063</v>
      </c>
      <c r="B1787" s="93" t="s">
        <v>7352</v>
      </c>
      <c r="C1787" s="410">
        <v>60</v>
      </c>
      <c r="D1787" s="93" t="s">
        <v>24</v>
      </c>
      <c r="E1787" s="93" t="s">
        <v>24</v>
      </c>
      <c r="F1787" s="93" t="s">
        <v>7</v>
      </c>
      <c r="G1787" s="93" t="s">
        <v>7185</v>
      </c>
      <c r="H1787" s="93" t="s">
        <v>400</v>
      </c>
      <c r="I1787" s="93" t="s">
        <v>111</v>
      </c>
      <c r="J1787" s="93" t="s">
        <v>7105</v>
      </c>
      <c r="K1787" s="93" t="s">
        <v>111</v>
      </c>
      <c r="L1787" s="93" t="s">
        <v>111</v>
      </c>
      <c r="M1787" s="93" t="s">
        <v>111</v>
      </c>
      <c r="N1787" s="93" t="s">
        <v>111</v>
      </c>
      <c r="O1787" s="93" t="s">
        <v>111</v>
      </c>
      <c r="P1787" s="93" t="s">
        <v>111</v>
      </c>
      <c r="Q1787" s="93" t="s">
        <v>111</v>
      </c>
      <c r="R1787" s="93" t="s">
        <v>228</v>
      </c>
      <c r="S1787" s="93" t="s">
        <v>111</v>
      </c>
      <c r="T1787" s="93" t="s">
        <v>115</v>
      </c>
      <c r="U1787" s="93" t="s">
        <v>116</v>
      </c>
      <c r="V1787" s="94">
        <v>44610.196527777778</v>
      </c>
      <c r="W1787" s="93" t="s">
        <v>7336</v>
      </c>
      <c r="X1787" s="93" t="s">
        <v>24</v>
      </c>
    </row>
    <row r="1788" spans="1:24" hidden="1" x14ac:dyDescent="0.15">
      <c r="A1788" s="93" t="s">
        <v>1064</v>
      </c>
      <c r="B1788" s="93" t="s">
        <v>1065</v>
      </c>
      <c r="C1788" s="410">
        <v>22</v>
      </c>
      <c r="D1788" s="93" t="s">
        <v>24</v>
      </c>
      <c r="E1788" s="93" t="s">
        <v>24</v>
      </c>
      <c r="F1788" s="93" t="s">
        <v>7</v>
      </c>
      <c r="G1788" s="93" t="s">
        <v>7185</v>
      </c>
      <c r="H1788" s="93" t="s">
        <v>400</v>
      </c>
      <c r="I1788" s="93" t="s">
        <v>111</v>
      </c>
      <c r="J1788" s="93" t="s">
        <v>7105</v>
      </c>
      <c r="K1788" s="93" t="s">
        <v>111</v>
      </c>
      <c r="L1788" s="93" t="s">
        <v>111</v>
      </c>
      <c r="M1788" s="93" t="s">
        <v>111</v>
      </c>
      <c r="N1788" s="93" t="s">
        <v>111</v>
      </c>
      <c r="O1788" s="93" t="s">
        <v>111</v>
      </c>
      <c r="P1788" s="93" t="s">
        <v>111</v>
      </c>
      <c r="Q1788" s="93" t="s">
        <v>111</v>
      </c>
      <c r="R1788" s="93" t="s">
        <v>228</v>
      </c>
      <c r="S1788" s="93" t="s">
        <v>111</v>
      </c>
      <c r="T1788" s="93" t="s">
        <v>115</v>
      </c>
      <c r="U1788" s="93" t="s">
        <v>116</v>
      </c>
      <c r="V1788" s="94">
        <v>44610.140972222223</v>
      </c>
      <c r="W1788" s="93" t="s">
        <v>7336</v>
      </c>
      <c r="X1788" s="93" t="s">
        <v>24</v>
      </c>
    </row>
    <row r="1789" spans="1:24" hidden="1" x14ac:dyDescent="0.15">
      <c r="A1789" s="93" t="s">
        <v>1066</v>
      </c>
      <c r="B1789" s="93" t="s">
        <v>7353</v>
      </c>
      <c r="C1789" s="410">
        <v>57</v>
      </c>
      <c r="D1789" s="93" t="s">
        <v>24</v>
      </c>
      <c r="E1789" s="93" t="s">
        <v>24</v>
      </c>
      <c r="F1789" s="93" t="s">
        <v>7</v>
      </c>
      <c r="G1789" s="93" t="s">
        <v>7185</v>
      </c>
      <c r="H1789" s="93" t="s">
        <v>400</v>
      </c>
      <c r="I1789" s="93" t="s">
        <v>111</v>
      </c>
      <c r="J1789" s="93" t="s">
        <v>7105</v>
      </c>
      <c r="K1789" s="93" t="s">
        <v>111</v>
      </c>
      <c r="L1789" s="93" t="s">
        <v>111</v>
      </c>
      <c r="M1789" s="93" t="s">
        <v>111</v>
      </c>
      <c r="N1789" s="93" t="s">
        <v>111</v>
      </c>
      <c r="O1789" s="93" t="s">
        <v>111</v>
      </c>
      <c r="P1789" s="93" t="s">
        <v>111</v>
      </c>
      <c r="Q1789" s="93" t="s">
        <v>111</v>
      </c>
      <c r="R1789" s="93" t="s">
        <v>228</v>
      </c>
      <c r="S1789" s="93" t="s">
        <v>111</v>
      </c>
      <c r="T1789" s="93" t="s">
        <v>115</v>
      </c>
      <c r="U1789" s="93" t="s">
        <v>116</v>
      </c>
      <c r="V1789" s="94">
        <v>44610.147222222222</v>
      </c>
      <c r="W1789" s="93" t="s">
        <v>7336</v>
      </c>
      <c r="X1789" s="93" t="s">
        <v>24</v>
      </c>
    </row>
    <row r="1790" spans="1:24" hidden="1" x14ac:dyDescent="0.15">
      <c r="A1790" s="93" t="s">
        <v>1067</v>
      </c>
      <c r="B1790" s="93" t="s">
        <v>7354</v>
      </c>
      <c r="C1790" s="410">
        <v>88</v>
      </c>
      <c r="D1790" s="93" t="s">
        <v>24</v>
      </c>
      <c r="E1790" s="93" t="s">
        <v>24</v>
      </c>
      <c r="F1790" s="93" t="s">
        <v>7</v>
      </c>
      <c r="G1790" s="93" t="s">
        <v>7185</v>
      </c>
      <c r="H1790" s="93" t="s">
        <v>400</v>
      </c>
      <c r="I1790" s="93" t="s">
        <v>111</v>
      </c>
      <c r="J1790" s="93" t="s">
        <v>7105</v>
      </c>
      <c r="K1790" s="93" t="s">
        <v>111</v>
      </c>
      <c r="L1790" s="93" t="s">
        <v>111</v>
      </c>
      <c r="M1790" s="93" t="s">
        <v>111</v>
      </c>
      <c r="N1790" s="93" t="s">
        <v>111</v>
      </c>
      <c r="O1790" s="93" t="s">
        <v>111</v>
      </c>
      <c r="P1790" s="93" t="s">
        <v>111</v>
      </c>
      <c r="Q1790" s="93" t="s">
        <v>111</v>
      </c>
      <c r="R1790" s="93" t="s">
        <v>228</v>
      </c>
      <c r="S1790" s="93" t="s">
        <v>111</v>
      </c>
      <c r="T1790" s="93" t="s">
        <v>115</v>
      </c>
      <c r="U1790" s="93" t="s">
        <v>116</v>
      </c>
      <c r="V1790" s="94">
        <v>44610.179861111108</v>
      </c>
      <c r="W1790" s="93" t="s">
        <v>7336</v>
      </c>
      <c r="X1790" s="93" t="s">
        <v>24</v>
      </c>
    </row>
    <row r="1791" spans="1:24" hidden="1" x14ac:dyDescent="0.15">
      <c r="A1791" s="93" t="s">
        <v>1044</v>
      </c>
      <c r="B1791" s="93" t="s">
        <v>1045</v>
      </c>
      <c r="C1791" s="410">
        <v>17</v>
      </c>
      <c r="D1791" s="93" t="s">
        <v>24</v>
      </c>
      <c r="E1791" s="93" t="s">
        <v>24</v>
      </c>
      <c r="F1791" s="93" t="s">
        <v>7</v>
      </c>
      <c r="G1791" s="93" t="s">
        <v>7185</v>
      </c>
      <c r="H1791" s="93" t="s">
        <v>400</v>
      </c>
      <c r="I1791" s="93" t="s">
        <v>111</v>
      </c>
      <c r="J1791" s="93" t="s">
        <v>7105</v>
      </c>
      <c r="K1791" s="93" t="s">
        <v>111</v>
      </c>
      <c r="L1791" s="93" t="s">
        <v>111</v>
      </c>
      <c r="M1791" s="93" t="s">
        <v>111</v>
      </c>
      <c r="N1791" s="93" t="s">
        <v>111</v>
      </c>
      <c r="O1791" s="93" t="s">
        <v>111</v>
      </c>
      <c r="P1791" s="93" t="s">
        <v>111</v>
      </c>
      <c r="Q1791" s="93" t="s">
        <v>111</v>
      </c>
      <c r="R1791" s="93" t="s">
        <v>228</v>
      </c>
      <c r="S1791" s="93" t="s">
        <v>111</v>
      </c>
      <c r="T1791" s="93" t="s">
        <v>115</v>
      </c>
      <c r="U1791" s="93" t="s">
        <v>116</v>
      </c>
      <c r="V1791" s="94">
        <v>44610.155555555553</v>
      </c>
      <c r="W1791" s="93" t="s">
        <v>7336</v>
      </c>
      <c r="X1791" s="93" t="s">
        <v>24</v>
      </c>
    </row>
    <row r="1792" spans="1:24" hidden="1" x14ac:dyDescent="0.15">
      <c r="A1792" s="93" t="s">
        <v>1046</v>
      </c>
      <c r="B1792" s="93" t="s">
        <v>7355</v>
      </c>
      <c r="C1792" s="410">
        <v>44</v>
      </c>
      <c r="D1792" s="93" t="s">
        <v>24</v>
      </c>
      <c r="E1792" s="93" t="s">
        <v>24</v>
      </c>
      <c r="F1792" s="93" t="s">
        <v>7</v>
      </c>
      <c r="G1792" s="93" t="s">
        <v>7185</v>
      </c>
      <c r="H1792" s="93" t="s">
        <v>400</v>
      </c>
      <c r="I1792" s="93" t="s">
        <v>111</v>
      </c>
      <c r="J1792" s="93" t="s">
        <v>7105</v>
      </c>
      <c r="K1792" s="93" t="s">
        <v>111</v>
      </c>
      <c r="L1792" s="93" t="s">
        <v>111</v>
      </c>
      <c r="M1792" s="93" t="s">
        <v>111</v>
      </c>
      <c r="N1792" s="93" t="s">
        <v>111</v>
      </c>
      <c r="O1792" s="93" t="s">
        <v>111</v>
      </c>
      <c r="P1792" s="93" t="s">
        <v>111</v>
      </c>
      <c r="Q1792" s="93" t="s">
        <v>111</v>
      </c>
      <c r="R1792" s="93" t="s">
        <v>228</v>
      </c>
      <c r="S1792" s="93" t="s">
        <v>111</v>
      </c>
      <c r="T1792" s="93" t="s">
        <v>115</v>
      </c>
      <c r="U1792" s="93" t="s">
        <v>116</v>
      </c>
      <c r="V1792" s="94">
        <v>44610.13958333333</v>
      </c>
      <c r="W1792" s="93" t="s">
        <v>7336</v>
      </c>
      <c r="X1792" s="93" t="s">
        <v>24</v>
      </c>
    </row>
    <row r="1793" spans="1:24" hidden="1" x14ac:dyDescent="0.15">
      <c r="A1793" s="93" t="s">
        <v>1047</v>
      </c>
      <c r="B1793" s="93" t="s">
        <v>7356</v>
      </c>
      <c r="C1793" s="410">
        <v>68</v>
      </c>
      <c r="D1793" s="93" t="s">
        <v>24</v>
      </c>
      <c r="E1793" s="93" t="s">
        <v>24</v>
      </c>
      <c r="F1793" s="93" t="s">
        <v>7</v>
      </c>
      <c r="G1793" s="93" t="s">
        <v>7185</v>
      </c>
      <c r="H1793" s="93" t="s">
        <v>400</v>
      </c>
      <c r="I1793" s="93" t="s">
        <v>111</v>
      </c>
      <c r="J1793" s="93" t="s">
        <v>7105</v>
      </c>
      <c r="K1793" s="93" t="s">
        <v>111</v>
      </c>
      <c r="L1793" s="93" t="s">
        <v>111</v>
      </c>
      <c r="M1793" s="93" t="s">
        <v>111</v>
      </c>
      <c r="N1793" s="93" t="s">
        <v>111</v>
      </c>
      <c r="O1793" s="93" t="s">
        <v>111</v>
      </c>
      <c r="P1793" s="93" t="s">
        <v>111</v>
      </c>
      <c r="Q1793" s="93" t="s">
        <v>111</v>
      </c>
      <c r="R1793" s="93" t="s">
        <v>228</v>
      </c>
      <c r="S1793" s="93" t="s">
        <v>111</v>
      </c>
      <c r="T1793" s="93" t="s">
        <v>115</v>
      </c>
      <c r="U1793" s="93" t="s">
        <v>116</v>
      </c>
      <c r="V1793" s="94">
        <v>44610.203472222223</v>
      </c>
      <c r="W1793" s="93" t="s">
        <v>7336</v>
      </c>
      <c r="X1793" s="93" t="s">
        <v>24</v>
      </c>
    </row>
    <row r="1794" spans="1:24" hidden="1" x14ac:dyDescent="0.15">
      <c r="A1794" s="93" t="s">
        <v>1068</v>
      </c>
      <c r="B1794" s="93" t="s">
        <v>1069</v>
      </c>
      <c r="C1794" s="410">
        <v>33</v>
      </c>
      <c r="D1794" s="93" t="s">
        <v>24</v>
      </c>
      <c r="E1794" s="93" t="s">
        <v>24</v>
      </c>
      <c r="F1794" s="93" t="s">
        <v>7</v>
      </c>
      <c r="G1794" s="93" t="s">
        <v>7185</v>
      </c>
      <c r="H1794" s="93" t="s">
        <v>400</v>
      </c>
      <c r="I1794" s="93" t="s">
        <v>111</v>
      </c>
      <c r="J1794" s="93" t="s">
        <v>118</v>
      </c>
      <c r="K1794" s="93">
        <v>3</v>
      </c>
      <c r="L1794" s="93" t="s">
        <v>111</v>
      </c>
      <c r="M1794" s="93" t="s">
        <v>111</v>
      </c>
      <c r="N1794" s="93" t="s">
        <v>111</v>
      </c>
      <c r="O1794" s="93" t="s">
        <v>111</v>
      </c>
      <c r="P1794" s="93" t="s">
        <v>111</v>
      </c>
      <c r="Q1794" s="93" t="s">
        <v>111</v>
      </c>
      <c r="R1794" s="93" t="s">
        <v>228</v>
      </c>
      <c r="S1794" s="93" t="s">
        <v>2</v>
      </c>
      <c r="T1794" s="93" t="s">
        <v>115</v>
      </c>
      <c r="U1794" s="93" t="s">
        <v>116</v>
      </c>
      <c r="V1794" s="94">
        <v>44610.148611111108</v>
      </c>
      <c r="W1794" s="93" t="s">
        <v>7336</v>
      </c>
      <c r="X1794" s="93" t="s">
        <v>24</v>
      </c>
    </row>
    <row r="1795" spans="1:24" hidden="1" x14ac:dyDescent="0.15">
      <c r="A1795" s="93" t="s">
        <v>1070</v>
      </c>
      <c r="B1795" s="93" t="s">
        <v>3843</v>
      </c>
      <c r="C1795" s="410">
        <v>85</v>
      </c>
      <c r="D1795" s="93" t="s">
        <v>24</v>
      </c>
      <c r="E1795" s="93" t="s">
        <v>24</v>
      </c>
      <c r="F1795" s="93" t="s">
        <v>7</v>
      </c>
      <c r="G1795" s="93" t="s">
        <v>7185</v>
      </c>
      <c r="H1795" s="93" t="s">
        <v>400</v>
      </c>
      <c r="I1795" s="93" t="s">
        <v>111</v>
      </c>
      <c r="J1795" s="93" t="s">
        <v>118</v>
      </c>
      <c r="K1795" s="93">
        <v>3</v>
      </c>
      <c r="L1795" s="93" t="s">
        <v>111</v>
      </c>
      <c r="M1795" s="93" t="s">
        <v>111</v>
      </c>
      <c r="N1795" s="93" t="s">
        <v>111</v>
      </c>
      <c r="O1795" s="93" t="s">
        <v>111</v>
      </c>
      <c r="P1795" s="93" t="s">
        <v>111</v>
      </c>
      <c r="Q1795" s="93" t="s">
        <v>111</v>
      </c>
      <c r="R1795" s="93" t="s">
        <v>228</v>
      </c>
      <c r="S1795" s="93" t="s">
        <v>2</v>
      </c>
      <c r="T1795" s="93" t="s">
        <v>115</v>
      </c>
      <c r="U1795" s="93" t="s">
        <v>116</v>
      </c>
      <c r="V1795" s="94">
        <v>44610.156944444447</v>
      </c>
      <c r="W1795" s="93" t="s">
        <v>7336</v>
      </c>
      <c r="X1795" s="93" t="s">
        <v>24</v>
      </c>
    </row>
    <row r="1796" spans="1:24" hidden="1" x14ac:dyDescent="0.15">
      <c r="A1796" s="93" t="s">
        <v>1071</v>
      </c>
      <c r="B1796" s="93" t="s">
        <v>3844</v>
      </c>
      <c r="C1796" s="410">
        <v>132</v>
      </c>
      <c r="D1796" s="93" t="s">
        <v>24</v>
      </c>
      <c r="E1796" s="93" t="s">
        <v>24</v>
      </c>
      <c r="F1796" s="93" t="s">
        <v>7</v>
      </c>
      <c r="G1796" s="93" t="s">
        <v>7185</v>
      </c>
      <c r="H1796" s="93" t="s">
        <v>400</v>
      </c>
      <c r="I1796" s="93" t="s">
        <v>111</v>
      </c>
      <c r="J1796" s="93" t="s">
        <v>118</v>
      </c>
      <c r="K1796" s="93">
        <v>3</v>
      </c>
      <c r="L1796" s="93" t="s">
        <v>111</v>
      </c>
      <c r="M1796" s="93" t="s">
        <v>111</v>
      </c>
      <c r="N1796" s="93" t="s">
        <v>111</v>
      </c>
      <c r="O1796" s="93" t="s">
        <v>111</v>
      </c>
      <c r="P1796" s="93" t="s">
        <v>111</v>
      </c>
      <c r="Q1796" s="93" t="s">
        <v>111</v>
      </c>
      <c r="R1796" s="93" t="s">
        <v>228</v>
      </c>
      <c r="S1796" s="93" t="s">
        <v>2</v>
      </c>
      <c r="T1796" s="93" t="s">
        <v>115</v>
      </c>
      <c r="U1796" s="93" t="s">
        <v>116</v>
      </c>
      <c r="V1796" s="94">
        <v>44610.189583333333</v>
      </c>
      <c r="W1796" s="93" t="s">
        <v>7336</v>
      </c>
      <c r="X1796" s="93" t="s">
        <v>24</v>
      </c>
    </row>
    <row r="1797" spans="1:24" hidden="1" x14ac:dyDescent="0.15">
      <c r="A1797" s="93" t="s">
        <v>964</v>
      </c>
      <c r="B1797" s="93" t="s">
        <v>7357</v>
      </c>
      <c r="C1797" s="410">
        <v>11</v>
      </c>
      <c r="D1797" s="93" t="s">
        <v>24</v>
      </c>
      <c r="E1797" s="93" t="s">
        <v>24</v>
      </c>
      <c r="F1797" s="93" t="s">
        <v>7</v>
      </c>
      <c r="G1797" s="93" t="s">
        <v>7185</v>
      </c>
      <c r="H1797" s="93" t="s">
        <v>400</v>
      </c>
      <c r="I1797" s="93" t="s">
        <v>111</v>
      </c>
      <c r="J1797" s="93" t="s">
        <v>7105</v>
      </c>
      <c r="K1797" s="93" t="s">
        <v>111</v>
      </c>
      <c r="L1797" s="93" t="s">
        <v>111</v>
      </c>
      <c r="M1797" s="93" t="s">
        <v>111</v>
      </c>
      <c r="N1797" s="93" t="s">
        <v>111</v>
      </c>
      <c r="O1797" s="93" t="s">
        <v>111</v>
      </c>
      <c r="P1797" s="93" t="s">
        <v>111</v>
      </c>
      <c r="Q1797" s="93" t="s">
        <v>111</v>
      </c>
      <c r="R1797" s="93" t="s">
        <v>228</v>
      </c>
      <c r="S1797" s="93" t="s">
        <v>2</v>
      </c>
      <c r="T1797" s="93" t="s">
        <v>115</v>
      </c>
      <c r="U1797" s="93" t="s">
        <v>116</v>
      </c>
      <c r="V1797" s="94">
        <v>44610.15347222222</v>
      </c>
      <c r="W1797" s="93" t="s">
        <v>7072</v>
      </c>
      <c r="X1797" s="93" t="s">
        <v>24</v>
      </c>
    </row>
    <row r="1798" spans="1:24" hidden="1" x14ac:dyDescent="0.15">
      <c r="A1798" s="93" t="s">
        <v>965</v>
      </c>
      <c r="B1798" s="93" t="s">
        <v>7358</v>
      </c>
      <c r="C1798" s="410">
        <v>29</v>
      </c>
      <c r="D1798" s="93" t="s">
        <v>24</v>
      </c>
      <c r="E1798" s="93" t="s">
        <v>24</v>
      </c>
      <c r="F1798" s="93" t="s">
        <v>7</v>
      </c>
      <c r="G1798" s="93" t="s">
        <v>7185</v>
      </c>
      <c r="H1798" s="93" t="s">
        <v>400</v>
      </c>
      <c r="I1798" s="93" t="s">
        <v>111</v>
      </c>
      <c r="J1798" s="93" t="s">
        <v>7105</v>
      </c>
      <c r="K1798" s="93" t="s">
        <v>111</v>
      </c>
      <c r="L1798" s="93" t="s">
        <v>111</v>
      </c>
      <c r="M1798" s="93" t="s">
        <v>111</v>
      </c>
      <c r="N1798" s="93" t="s">
        <v>111</v>
      </c>
      <c r="O1798" s="93" t="s">
        <v>111</v>
      </c>
      <c r="P1798" s="93" t="s">
        <v>111</v>
      </c>
      <c r="Q1798" s="93" t="s">
        <v>111</v>
      </c>
      <c r="R1798" s="93" t="s">
        <v>228</v>
      </c>
      <c r="S1798" s="93" t="s">
        <v>2</v>
      </c>
      <c r="T1798" s="93" t="s">
        <v>115</v>
      </c>
      <c r="U1798" s="93" t="s">
        <v>116</v>
      </c>
      <c r="V1798" s="94">
        <v>44610.188194444447</v>
      </c>
      <c r="W1798" s="93" t="s">
        <v>7072</v>
      </c>
      <c r="X1798" s="93" t="s">
        <v>24</v>
      </c>
    </row>
    <row r="1799" spans="1:24" hidden="1" x14ac:dyDescent="0.15">
      <c r="A1799" s="93" t="s">
        <v>966</v>
      </c>
      <c r="B1799" s="93" t="s">
        <v>7359</v>
      </c>
      <c r="C1799" s="410">
        <v>44</v>
      </c>
      <c r="D1799" s="93" t="s">
        <v>24</v>
      </c>
      <c r="E1799" s="93" t="s">
        <v>24</v>
      </c>
      <c r="F1799" s="93" t="s">
        <v>7</v>
      </c>
      <c r="G1799" s="93" t="s">
        <v>7185</v>
      </c>
      <c r="H1799" s="93" t="s">
        <v>400</v>
      </c>
      <c r="I1799" s="93" t="s">
        <v>111</v>
      </c>
      <c r="J1799" s="93" t="s">
        <v>7105</v>
      </c>
      <c r="K1799" s="93" t="s">
        <v>111</v>
      </c>
      <c r="L1799" s="93" t="s">
        <v>111</v>
      </c>
      <c r="M1799" s="93" t="s">
        <v>111</v>
      </c>
      <c r="N1799" s="93" t="s">
        <v>111</v>
      </c>
      <c r="O1799" s="93" t="s">
        <v>111</v>
      </c>
      <c r="P1799" s="93" t="s">
        <v>111</v>
      </c>
      <c r="Q1799" s="93" t="s">
        <v>111</v>
      </c>
      <c r="R1799" s="93" t="s">
        <v>228</v>
      </c>
      <c r="S1799" s="93" t="s">
        <v>2</v>
      </c>
      <c r="T1799" s="93" t="s">
        <v>115</v>
      </c>
      <c r="U1799" s="93" t="s">
        <v>116</v>
      </c>
      <c r="V1799" s="94">
        <v>44610.193055555559</v>
      </c>
      <c r="W1799" s="93" t="s">
        <v>7072</v>
      </c>
      <c r="X1799" s="93" t="s">
        <v>24</v>
      </c>
    </row>
    <row r="1800" spans="1:24" hidden="1" x14ac:dyDescent="0.15">
      <c r="A1800" s="93" t="s">
        <v>967</v>
      </c>
      <c r="B1800" s="93" t="s">
        <v>7360</v>
      </c>
      <c r="C1800" s="410">
        <v>15</v>
      </c>
      <c r="D1800" s="93" t="s">
        <v>24</v>
      </c>
      <c r="E1800" s="93" t="s">
        <v>24</v>
      </c>
      <c r="F1800" s="93" t="s">
        <v>7</v>
      </c>
      <c r="G1800" s="93" t="s">
        <v>7185</v>
      </c>
      <c r="H1800" s="93" t="s">
        <v>400</v>
      </c>
      <c r="I1800" s="93" t="s">
        <v>111</v>
      </c>
      <c r="J1800" s="93" t="s">
        <v>7105</v>
      </c>
      <c r="K1800" s="93" t="s">
        <v>111</v>
      </c>
      <c r="L1800" s="93" t="s">
        <v>111</v>
      </c>
      <c r="M1800" s="93" t="s">
        <v>111</v>
      </c>
      <c r="N1800" s="93" t="s">
        <v>111</v>
      </c>
      <c r="O1800" s="93" t="s">
        <v>111</v>
      </c>
      <c r="P1800" s="93" t="s">
        <v>111</v>
      </c>
      <c r="Q1800" s="93" t="s">
        <v>111</v>
      </c>
      <c r="R1800" s="93" t="s">
        <v>228</v>
      </c>
      <c r="S1800" s="93" t="s">
        <v>2</v>
      </c>
      <c r="T1800" s="93" t="s">
        <v>115</v>
      </c>
      <c r="U1800" s="93" t="s">
        <v>116</v>
      </c>
      <c r="V1800" s="94">
        <v>44610.188888888886</v>
      </c>
      <c r="W1800" s="93" t="s">
        <v>7072</v>
      </c>
      <c r="X1800" s="93" t="s">
        <v>24</v>
      </c>
    </row>
    <row r="1801" spans="1:24" hidden="1" x14ac:dyDescent="0.15">
      <c r="A1801" s="93" t="s">
        <v>968</v>
      </c>
      <c r="B1801" s="93" t="s">
        <v>7361</v>
      </c>
      <c r="C1801" s="410">
        <v>39</v>
      </c>
      <c r="D1801" s="93" t="s">
        <v>24</v>
      </c>
      <c r="E1801" s="93" t="s">
        <v>24</v>
      </c>
      <c r="F1801" s="93" t="s">
        <v>7</v>
      </c>
      <c r="G1801" s="93" t="s">
        <v>7185</v>
      </c>
      <c r="H1801" s="93" t="s">
        <v>400</v>
      </c>
      <c r="I1801" s="93" t="s">
        <v>111</v>
      </c>
      <c r="J1801" s="93" t="s">
        <v>7105</v>
      </c>
      <c r="K1801" s="93" t="s">
        <v>111</v>
      </c>
      <c r="L1801" s="93" t="s">
        <v>111</v>
      </c>
      <c r="M1801" s="93" t="s">
        <v>111</v>
      </c>
      <c r="N1801" s="93" t="s">
        <v>111</v>
      </c>
      <c r="O1801" s="93" t="s">
        <v>111</v>
      </c>
      <c r="P1801" s="93" t="s">
        <v>111</v>
      </c>
      <c r="Q1801" s="93" t="s">
        <v>111</v>
      </c>
      <c r="R1801" s="93" t="s">
        <v>228</v>
      </c>
      <c r="S1801" s="93" t="s">
        <v>2</v>
      </c>
      <c r="T1801" s="93" t="s">
        <v>115</v>
      </c>
      <c r="U1801" s="93" t="s">
        <v>116</v>
      </c>
      <c r="V1801" s="94">
        <v>44610.178472222222</v>
      </c>
      <c r="W1801" s="93" t="s">
        <v>7072</v>
      </c>
      <c r="X1801" s="93" t="s">
        <v>24</v>
      </c>
    </row>
    <row r="1802" spans="1:24" hidden="1" x14ac:dyDescent="0.15">
      <c r="A1802" s="93" t="s">
        <v>969</v>
      </c>
      <c r="B1802" s="93" t="s">
        <v>7362</v>
      </c>
      <c r="C1802" s="410">
        <v>60</v>
      </c>
      <c r="D1802" s="93" t="s">
        <v>24</v>
      </c>
      <c r="E1802" s="93" t="s">
        <v>24</v>
      </c>
      <c r="F1802" s="93" t="s">
        <v>7</v>
      </c>
      <c r="G1802" s="93" t="s">
        <v>7185</v>
      </c>
      <c r="H1802" s="93" t="s">
        <v>400</v>
      </c>
      <c r="I1802" s="93" t="s">
        <v>111</v>
      </c>
      <c r="J1802" s="93" t="s">
        <v>7105</v>
      </c>
      <c r="K1802" s="93" t="s">
        <v>111</v>
      </c>
      <c r="L1802" s="93" t="s">
        <v>111</v>
      </c>
      <c r="M1802" s="93" t="s">
        <v>111</v>
      </c>
      <c r="N1802" s="93" t="s">
        <v>111</v>
      </c>
      <c r="O1802" s="93" t="s">
        <v>111</v>
      </c>
      <c r="P1802" s="93" t="s">
        <v>111</v>
      </c>
      <c r="Q1802" s="93" t="s">
        <v>111</v>
      </c>
      <c r="R1802" s="93" t="s">
        <v>228</v>
      </c>
      <c r="S1802" s="93" t="s">
        <v>2</v>
      </c>
      <c r="T1802" s="93" t="s">
        <v>115</v>
      </c>
      <c r="U1802" s="93" t="s">
        <v>116</v>
      </c>
      <c r="V1802" s="94">
        <v>44610.178472222222</v>
      </c>
      <c r="W1802" s="93" t="s">
        <v>7072</v>
      </c>
      <c r="X1802" s="93" t="s">
        <v>24</v>
      </c>
    </row>
    <row r="1803" spans="1:24" hidden="1" x14ac:dyDescent="0.15">
      <c r="A1803" s="93" t="s">
        <v>970</v>
      </c>
      <c r="B1803" s="93" t="s">
        <v>7363</v>
      </c>
      <c r="C1803" s="410">
        <v>20</v>
      </c>
      <c r="D1803" s="93" t="s">
        <v>24</v>
      </c>
      <c r="E1803" s="93" t="s">
        <v>24</v>
      </c>
      <c r="F1803" s="93" t="s">
        <v>7</v>
      </c>
      <c r="G1803" s="93" t="s">
        <v>7185</v>
      </c>
      <c r="H1803" s="93" t="s">
        <v>400</v>
      </c>
      <c r="I1803" s="93" t="s">
        <v>111</v>
      </c>
      <c r="J1803" s="93" t="s">
        <v>7105</v>
      </c>
      <c r="K1803" s="93" t="s">
        <v>111</v>
      </c>
      <c r="L1803" s="93" t="s">
        <v>111</v>
      </c>
      <c r="M1803" s="93" t="s">
        <v>111</v>
      </c>
      <c r="N1803" s="93" t="s">
        <v>111</v>
      </c>
      <c r="O1803" s="93" t="s">
        <v>111</v>
      </c>
      <c r="P1803" s="93" t="s">
        <v>111</v>
      </c>
      <c r="Q1803" s="93" t="s">
        <v>111</v>
      </c>
      <c r="R1803" s="93" t="s">
        <v>228</v>
      </c>
      <c r="S1803" s="93" t="s">
        <v>2</v>
      </c>
      <c r="T1803" s="93" t="s">
        <v>115</v>
      </c>
      <c r="U1803" s="93" t="s">
        <v>116</v>
      </c>
      <c r="V1803" s="94">
        <v>44610.178472222222</v>
      </c>
      <c r="W1803" s="93" t="s">
        <v>7072</v>
      </c>
      <c r="X1803" s="93" t="s">
        <v>24</v>
      </c>
    </row>
    <row r="1804" spans="1:24" hidden="1" x14ac:dyDescent="0.15">
      <c r="A1804" s="93" t="s">
        <v>971</v>
      </c>
      <c r="B1804" s="93" t="s">
        <v>7364</v>
      </c>
      <c r="C1804" s="410">
        <v>51</v>
      </c>
      <c r="D1804" s="93" t="s">
        <v>24</v>
      </c>
      <c r="E1804" s="93" t="s">
        <v>24</v>
      </c>
      <c r="F1804" s="93" t="s">
        <v>7</v>
      </c>
      <c r="G1804" s="93" t="s">
        <v>7185</v>
      </c>
      <c r="H1804" s="93" t="s">
        <v>400</v>
      </c>
      <c r="I1804" s="93" t="s">
        <v>111</v>
      </c>
      <c r="J1804" s="93" t="s">
        <v>7105</v>
      </c>
      <c r="K1804" s="93" t="s">
        <v>111</v>
      </c>
      <c r="L1804" s="93" t="s">
        <v>111</v>
      </c>
      <c r="M1804" s="93" t="s">
        <v>111</v>
      </c>
      <c r="N1804" s="93" t="s">
        <v>111</v>
      </c>
      <c r="O1804" s="93" t="s">
        <v>111</v>
      </c>
      <c r="P1804" s="93" t="s">
        <v>111</v>
      </c>
      <c r="Q1804" s="93" t="s">
        <v>111</v>
      </c>
      <c r="R1804" s="93" t="s">
        <v>228</v>
      </c>
      <c r="S1804" s="93" t="s">
        <v>2</v>
      </c>
      <c r="T1804" s="93" t="s">
        <v>115</v>
      </c>
      <c r="U1804" s="93" t="s">
        <v>116</v>
      </c>
      <c r="V1804" s="94">
        <v>44610.145138888889</v>
      </c>
      <c r="W1804" s="93" t="s">
        <v>7072</v>
      </c>
      <c r="X1804" s="93" t="s">
        <v>24</v>
      </c>
    </row>
    <row r="1805" spans="1:24" hidden="1" x14ac:dyDescent="0.15">
      <c r="A1805" s="93" t="s">
        <v>972</v>
      </c>
      <c r="B1805" s="93" t="s">
        <v>7365</v>
      </c>
      <c r="C1805" s="410">
        <v>80</v>
      </c>
      <c r="D1805" s="93" t="s">
        <v>24</v>
      </c>
      <c r="E1805" s="93" t="s">
        <v>24</v>
      </c>
      <c r="F1805" s="93" t="s">
        <v>7</v>
      </c>
      <c r="G1805" s="93" t="s">
        <v>7185</v>
      </c>
      <c r="H1805" s="93" t="s">
        <v>400</v>
      </c>
      <c r="I1805" s="93" t="s">
        <v>111</v>
      </c>
      <c r="J1805" s="93" t="s">
        <v>7105</v>
      </c>
      <c r="K1805" s="93" t="s">
        <v>111</v>
      </c>
      <c r="L1805" s="93" t="s">
        <v>111</v>
      </c>
      <c r="M1805" s="93" t="s">
        <v>111</v>
      </c>
      <c r="N1805" s="93" t="s">
        <v>111</v>
      </c>
      <c r="O1805" s="93" t="s">
        <v>111</v>
      </c>
      <c r="P1805" s="93" t="s">
        <v>111</v>
      </c>
      <c r="Q1805" s="93" t="s">
        <v>111</v>
      </c>
      <c r="R1805" s="93" t="s">
        <v>228</v>
      </c>
      <c r="S1805" s="93" t="s">
        <v>2</v>
      </c>
      <c r="T1805" s="93" t="s">
        <v>115</v>
      </c>
      <c r="U1805" s="93" t="s">
        <v>116</v>
      </c>
      <c r="V1805" s="94">
        <v>44610.152777777781</v>
      </c>
      <c r="W1805" s="93" t="s">
        <v>7072</v>
      </c>
      <c r="X1805" s="93" t="s">
        <v>24</v>
      </c>
    </row>
    <row r="1806" spans="1:24" hidden="1" x14ac:dyDescent="0.15">
      <c r="A1806" s="93" t="s">
        <v>973</v>
      </c>
      <c r="B1806" s="93" t="s">
        <v>7366</v>
      </c>
      <c r="C1806" s="410">
        <v>28</v>
      </c>
      <c r="D1806" s="93" t="s">
        <v>24</v>
      </c>
      <c r="E1806" s="93" t="s">
        <v>24</v>
      </c>
      <c r="F1806" s="93" t="s">
        <v>7</v>
      </c>
      <c r="G1806" s="93" t="s">
        <v>7185</v>
      </c>
      <c r="H1806" s="93" t="s">
        <v>400</v>
      </c>
      <c r="I1806" s="93" t="s">
        <v>111</v>
      </c>
      <c r="J1806" s="93" t="s">
        <v>7105</v>
      </c>
      <c r="K1806" s="93" t="s">
        <v>111</v>
      </c>
      <c r="L1806" s="93" t="s">
        <v>111</v>
      </c>
      <c r="M1806" s="93" t="s">
        <v>111</v>
      </c>
      <c r="N1806" s="93" t="s">
        <v>111</v>
      </c>
      <c r="O1806" s="93" t="s">
        <v>111</v>
      </c>
      <c r="P1806" s="93" t="s">
        <v>111</v>
      </c>
      <c r="Q1806" s="93" t="s">
        <v>111</v>
      </c>
      <c r="R1806" s="93" t="s">
        <v>228</v>
      </c>
      <c r="S1806" s="93" t="s">
        <v>2</v>
      </c>
      <c r="T1806" s="93" t="s">
        <v>115</v>
      </c>
      <c r="U1806" s="93" t="s">
        <v>116</v>
      </c>
      <c r="V1806" s="94">
        <v>44610.193055555559</v>
      </c>
      <c r="W1806" s="93" t="s">
        <v>7072</v>
      </c>
      <c r="X1806" s="93" t="s">
        <v>24</v>
      </c>
    </row>
    <row r="1807" spans="1:24" hidden="1" x14ac:dyDescent="0.15">
      <c r="A1807" s="93" t="s">
        <v>974</v>
      </c>
      <c r="B1807" s="93" t="s">
        <v>7367</v>
      </c>
      <c r="C1807" s="410">
        <v>72</v>
      </c>
      <c r="D1807" s="93" t="s">
        <v>24</v>
      </c>
      <c r="E1807" s="93" t="s">
        <v>24</v>
      </c>
      <c r="F1807" s="93" t="s">
        <v>7</v>
      </c>
      <c r="G1807" s="93" t="s">
        <v>7185</v>
      </c>
      <c r="H1807" s="93" t="s">
        <v>400</v>
      </c>
      <c r="I1807" s="93" t="s">
        <v>111</v>
      </c>
      <c r="J1807" s="93" t="s">
        <v>7105</v>
      </c>
      <c r="K1807" s="93" t="s">
        <v>111</v>
      </c>
      <c r="L1807" s="93" t="s">
        <v>111</v>
      </c>
      <c r="M1807" s="93" t="s">
        <v>111</v>
      </c>
      <c r="N1807" s="93" t="s">
        <v>111</v>
      </c>
      <c r="O1807" s="93" t="s">
        <v>111</v>
      </c>
      <c r="P1807" s="93" t="s">
        <v>111</v>
      </c>
      <c r="Q1807" s="93" t="s">
        <v>111</v>
      </c>
      <c r="R1807" s="93" t="s">
        <v>228</v>
      </c>
      <c r="S1807" s="93" t="s">
        <v>2</v>
      </c>
      <c r="T1807" s="93" t="s">
        <v>115</v>
      </c>
      <c r="U1807" s="93" t="s">
        <v>116</v>
      </c>
      <c r="V1807" s="94">
        <v>44610.17083333333</v>
      </c>
      <c r="W1807" s="93" t="s">
        <v>7072</v>
      </c>
      <c r="X1807" s="93" t="s">
        <v>24</v>
      </c>
    </row>
    <row r="1808" spans="1:24" hidden="1" x14ac:dyDescent="0.15">
      <c r="A1808" s="93" t="s">
        <v>975</v>
      </c>
      <c r="B1808" s="93" t="s">
        <v>7368</v>
      </c>
      <c r="C1808" s="410">
        <v>112</v>
      </c>
      <c r="D1808" s="93" t="s">
        <v>24</v>
      </c>
      <c r="E1808" s="93" t="s">
        <v>24</v>
      </c>
      <c r="F1808" s="93" t="s">
        <v>7</v>
      </c>
      <c r="G1808" s="93" t="s">
        <v>7185</v>
      </c>
      <c r="H1808" s="93" t="s">
        <v>400</v>
      </c>
      <c r="I1808" s="93" t="s">
        <v>111</v>
      </c>
      <c r="J1808" s="93" t="s">
        <v>7105</v>
      </c>
      <c r="K1808" s="93" t="s">
        <v>111</v>
      </c>
      <c r="L1808" s="93" t="s">
        <v>111</v>
      </c>
      <c r="M1808" s="93" t="s">
        <v>111</v>
      </c>
      <c r="N1808" s="93" t="s">
        <v>111</v>
      </c>
      <c r="O1808" s="93" t="s">
        <v>111</v>
      </c>
      <c r="P1808" s="93" t="s">
        <v>111</v>
      </c>
      <c r="Q1808" s="93" t="s">
        <v>111</v>
      </c>
      <c r="R1808" s="93" t="s">
        <v>228</v>
      </c>
      <c r="S1808" s="93" t="s">
        <v>2</v>
      </c>
      <c r="T1808" s="93" t="s">
        <v>115</v>
      </c>
      <c r="U1808" s="93" t="s">
        <v>116</v>
      </c>
      <c r="V1808" s="94">
        <v>44610.188888888886</v>
      </c>
      <c r="W1808" s="93" t="s">
        <v>7072</v>
      </c>
      <c r="X1808" s="93" t="s">
        <v>24</v>
      </c>
    </row>
    <row r="1809" spans="1:24" hidden="1" x14ac:dyDescent="0.15">
      <c r="A1809" s="93" t="s">
        <v>976</v>
      </c>
      <c r="B1809" s="93" t="s">
        <v>7369</v>
      </c>
      <c r="C1809" s="410">
        <v>22</v>
      </c>
      <c r="D1809" s="93" t="s">
        <v>24</v>
      </c>
      <c r="E1809" s="93" t="s">
        <v>24</v>
      </c>
      <c r="F1809" s="93" t="s">
        <v>7</v>
      </c>
      <c r="G1809" s="93" t="s">
        <v>7185</v>
      </c>
      <c r="H1809" s="93" t="s">
        <v>400</v>
      </c>
      <c r="I1809" s="93" t="s">
        <v>111</v>
      </c>
      <c r="J1809" s="93" t="s">
        <v>7105</v>
      </c>
      <c r="K1809" s="93" t="s">
        <v>111</v>
      </c>
      <c r="L1809" s="93" t="s">
        <v>111</v>
      </c>
      <c r="M1809" s="93" t="s">
        <v>111</v>
      </c>
      <c r="N1809" s="93" t="s">
        <v>111</v>
      </c>
      <c r="O1809" s="93" t="s">
        <v>111</v>
      </c>
      <c r="P1809" s="93" t="s">
        <v>111</v>
      </c>
      <c r="Q1809" s="93" t="s">
        <v>111</v>
      </c>
      <c r="R1809" s="93" t="s">
        <v>228</v>
      </c>
      <c r="S1809" s="93" t="s">
        <v>2</v>
      </c>
      <c r="T1809" s="93" t="s">
        <v>115</v>
      </c>
      <c r="U1809" s="93" t="s">
        <v>116</v>
      </c>
      <c r="V1809" s="94">
        <v>44610.210416666669</v>
      </c>
      <c r="W1809" s="93" t="s">
        <v>7072</v>
      </c>
      <c r="X1809" s="93" t="s">
        <v>24</v>
      </c>
    </row>
    <row r="1810" spans="1:24" hidden="1" x14ac:dyDescent="0.15">
      <c r="A1810" s="93" t="s">
        <v>977</v>
      </c>
      <c r="B1810" s="93" t="s">
        <v>7370</v>
      </c>
      <c r="C1810" s="410">
        <v>57</v>
      </c>
      <c r="D1810" s="93" t="s">
        <v>24</v>
      </c>
      <c r="E1810" s="93" t="s">
        <v>24</v>
      </c>
      <c r="F1810" s="93" t="s">
        <v>7</v>
      </c>
      <c r="G1810" s="93" t="s">
        <v>7185</v>
      </c>
      <c r="H1810" s="93" t="s">
        <v>400</v>
      </c>
      <c r="I1810" s="93" t="s">
        <v>111</v>
      </c>
      <c r="J1810" s="93" t="s">
        <v>7105</v>
      </c>
      <c r="K1810" s="93" t="s">
        <v>111</v>
      </c>
      <c r="L1810" s="93" t="s">
        <v>111</v>
      </c>
      <c r="M1810" s="93" t="s">
        <v>111</v>
      </c>
      <c r="N1810" s="93" t="s">
        <v>111</v>
      </c>
      <c r="O1810" s="93" t="s">
        <v>111</v>
      </c>
      <c r="P1810" s="93" t="s">
        <v>111</v>
      </c>
      <c r="Q1810" s="93" t="s">
        <v>111</v>
      </c>
      <c r="R1810" s="93" t="s">
        <v>228</v>
      </c>
      <c r="S1810" s="93" t="s">
        <v>2</v>
      </c>
      <c r="T1810" s="93" t="s">
        <v>115</v>
      </c>
      <c r="U1810" s="93" t="s">
        <v>116</v>
      </c>
      <c r="V1810" s="94">
        <v>44610.152777777781</v>
      </c>
      <c r="W1810" s="93" t="s">
        <v>7072</v>
      </c>
      <c r="X1810" s="93" t="s">
        <v>24</v>
      </c>
    </row>
    <row r="1811" spans="1:24" hidden="1" x14ac:dyDescent="0.15">
      <c r="A1811" s="93" t="s">
        <v>978</v>
      </c>
      <c r="B1811" s="93" t="s">
        <v>7371</v>
      </c>
      <c r="C1811" s="410">
        <v>88</v>
      </c>
      <c r="D1811" s="93" t="s">
        <v>24</v>
      </c>
      <c r="E1811" s="93" t="s">
        <v>24</v>
      </c>
      <c r="F1811" s="93" t="s">
        <v>7</v>
      </c>
      <c r="G1811" s="93" t="s">
        <v>7185</v>
      </c>
      <c r="H1811" s="93" t="s">
        <v>400</v>
      </c>
      <c r="I1811" s="93" t="s">
        <v>111</v>
      </c>
      <c r="J1811" s="93" t="s">
        <v>7105</v>
      </c>
      <c r="K1811" s="93" t="s">
        <v>111</v>
      </c>
      <c r="L1811" s="93" t="s">
        <v>111</v>
      </c>
      <c r="M1811" s="93" t="s">
        <v>111</v>
      </c>
      <c r="N1811" s="93" t="s">
        <v>111</v>
      </c>
      <c r="O1811" s="93" t="s">
        <v>111</v>
      </c>
      <c r="P1811" s="93" t="s">
        <v>111</v>
      </c>
      <c r="Q1811" s="93" t="s">
        <v>111</v>
      </c>
      <c r="R1811" s="93" t="s">
        <v>228</v>
      </c>
      <c r="S1811" s="93" t="s">
        <v>2</v>
      </c>
      <c r="T1811" s="93" t="s">
        <v>115</v>
      </c>
      <c r="U1811" s="93" t="s">
        <v>116</v>
      </c>
      <c r="V1811" s="94">
        <v>44610.144444444442</v>
      </c>
      <c r="W1811" s="93" t="s">
        <v>7072</v>
      </c>
      <c r="X1811" s="93" t="s">
        <v>24</v>
      </c>
    </row>
    <row r="1812" spans="1:24" hidden="1" x14ac:dyDescent="0.15">
      <c r="A1812" s="93" t="s">
        <v>979</v>
      </c>
      <c r="B1812" s="93" t="s">
        <v>7372</v>
      </c>
      <c r="C1812" s="410">
        <v>31</v>
      </c>
      <c r="D1812" s="93" t="s">
        <v>24</v>
      </c>
      <c r="E1812" s="93" t="s">
        <v>24</v>
      </c>
      <c r="F1812" s="93" t="s">
        <v>7</v>
      </c>
      <c r="G1812" s="93" t="s">
        <v>7185</v>
      </c>
      <c r="H1812" s="93" t="s">
        <v>400</v>
      </c>
      <c r="I1812" s="93" t="s">
        <v>111</v>
      </c>
      <c r="J1812" s="93" t="s">
        <v>7105</v>
      </c>
      <c r="K1812" s="93" t="s">
        <v>111</v>
      </c>
      <c r="L1812" s="93" t="s">
        <v>111</v>
      </c>
      <c r="M1812" s="93" t="s">
        <v>111</v>
      </c>
      <c r="N1812" s="93" t="s">
        <v>111</v>
      </c>
      <c r="O1812" s="93" t="s">
        <v>111</v>
      </c>
      <c r="P1812" s="93" t="s">
        <v>111</v>
      </c>
      <c r="Q1812" s="93" t="s">
        <v>111</v>
      </c>
      <c r="R1812" s="93" t="s">
        <v>228</v>
      </c>
      <c r="S1812" s="93" t="s">
        <v>2</v>
      </c>
      <c r="T1812" s="93" t="s">
        <v>115</v>
      </c>
      <c r="U1812" s="93" t="s">
        <v>116</v>
      </c>
      <c r="V1812" s="94">
        <v>44610.15347222222</v>
      </c>
      <c r="W1812" s="93" t="s">
        <v>7072</v>
      </c>
      <c r="X1812" s="93" t="s">
        <v>24</v>
      </c>
    </row>
    <row r="1813" spans="1:24" hidden="1" x14ac:dyDescent="0.15">
      <c r="A1813" s="93" t="s">
        <v>980</v>
      </c>
      <c r="B1813" s="93" t="s">
        <v>7373</v>
      </c>
      <c r="C1813" s="410">
        <v>80</v>
      </c>
      <c r="D1813" s="93" t="s">
        <v>24</v>
      </c>
      <c r="E1813" s="93" t="s">
        <v>24</v>
      </c>
      <c r="F1813" s="93" t="s">
        <v>7</v>
      </c>
      <c r="G1813" s="93" t="s">
        <v>7185</v>
      </c>
      <c r="H1813" s="93" t="s">
        <v>400</v>
      </c>
      <c r="I1813" s="93" t="s">
        <v>111</v>
      </c>
      <c r="J1813" s="93" t="s">
        <v>7105</v>
      </c>
      <c r="K1813" s="93" t="s">
        <v>111</v>
      </c>
      <c r="L1813" s="93" t="s">
        <v>111</v>
      </c>
      <c r="M1813" s="93" t="s">
        <v>111</v>
      </c>
      <c r="N1813" s="93" t="s">
        <v>111</v>
      </c>
      <c r="O1813" s="93" t="s">
        <v>111</v>
      </c>
      <c r="P1813" s="93" t="s">
        <v>111</v>
      </c>
      <c r="Q1813" s="93" t="s">
        <v>111</v>
      </c>
      <c r="R1813" s="93" t="s">
        <v>228</v>
      </c>
      <c r="S1813" s="93" t="s">
        <v>2</v>
      </c>
      <c r="T1813" s="93" t="s">
        <v>115</v>
      </c>
      <c r="U1813" s="93" t="s">
        <v>116</v>
      </c>
      <c r="V1813" s="94">
        <v>44610.178472222222</v>
      </c>
      <c r="W1813" s="93" t="s">
        <v>7072</v>
      </c>
      <c r="X1813" s="93" t="s">
        <v>24</v>
      </c>
    </row>
    <row r="1814" spans="1:24" hidden="1" x14ac:dyDescent="0.15">
      <c r="A1814" s="93" t="s">
        <v>981</v>
      </c>
      <c r="B1814" s="93" t="s">
        <v>7374</v>
      </c>
      <c r="C1814" s="410">
        <v>124</v>
      </c>
      <c r="D1814" s="93" t="s">
        <v>24</v>
      </c>
      <c r="E1814" s="93" t="s">
        <v>24</v>
      </c>
      <c r="F1814" s="93" t="s">
        <v>7</v>
      </c>
      <c r="G1814" s="93" t="s">
        <v>7185</v>
      </c>
      <c r="H1814" s="93" t="s">
        <v>400</v>
      </c>
      <c r="I1814" s="93" t="s">
        <v>111</v>
      </c>
      <c r="J1814" s="93" t="s">
        <v>7105</v>
      </c>
      <c r="K1814" s="93" t="s">
        <v>111</v>
      </c>
      <c r="L1814" s="93" t="s">
        <v>111</v>
      </c>
      <c r="M1814" s="93" t="s">
        <v>111</v>
      </c>
      <c r="N1814" s="93" t="s">
        <v>111</v>
      </c>
      <c r="O1814" s="93" t="s">
        <v>111</v>
      </c>
      <c r="P1814" s="93" t="s">
        <v>111</v>
      </c>
      <c r="Q1814" s="93" t="s">
        <v>111</v>
      </c>
      <c r="R1814" s="93" t="s">
        <v>228</v>
      </c>
      <c r="S1814" s="93" t="s">
        <v>2</v>
      </c>
      <c r="T1814" s="93" t="s">
        <v>115</v>
      </c>
      <c r="U1814" s="93" t="s">
        <v>116</v>
      </c>
      <c r="V1814" s="94">
        <v>44610.188888888886</v>
      </c>
      <c r="W1814" s="93" t="s">
        <v>7072</v>
      </c>
      <c r="X1814" s="93" t="s">
        <v>24</v>
      </c>
    </row>
    <row r="1815" spans="1:24" hidden="1" x14ac:dyDescent="0.15">
      <c r="A1815" s="93" t="s">
        <v>5994</v>
      </c>
      <c r="B1815" s="93" t="s">
        <v>7375</v>
      </c>
      <c r="C1815" s="410">
        <v>65</v>
      </c>
      <c r="D1815" s="93" t="s">
        <v>24</v>
      </c>
      <c r="E1815" s="93" t="s">
        <v>24</v>
      </c>
      <c r="F1815" s="93" t="s">
        <v>7</v>
      </c>
      <c r="G1815" s="93" t="s">
        <v>7185</v>
      </c>
      <c r="H1815" s="93" t="s">
        <v>400</v>
      </c>
      <c r="I1815" s="93" t="s">
        <v>111</v>
      </c>
      <c r="J1815" s="93" t="s">
        <v>7105</v>
      </c>
      <c r="K1815" s="93" t="s">
        <v>111</v>
      </c>
      <c r="L1815" s="93" t="s">
        <v>111</v>
      </c>
      <c r="M1815" s="93" t="s">
        <v>111</v>
      </c>
      <c r="N1815" s="93" t="s">
        <v>111</v>
      </c>
      <c r="O1815" s="93" t="s">
        <v>111</v>
      </c>
      <c r="P1815" s="93" t="s">
        <v>111</v>
      </c>
      <c r="Q1815" s="93" t="s">
        <v>111</v>
      </c>
      <c r="R1815" s="93" t="s">
        <v>228</v>
      </c>
      <c r="S1815" s="93" t="s">
        <v>2</v>
      </c>
      <c r="T1815" s="93" t="s">
        <v>115</v>
      </c>
      <c r="U1815" s="93" t="s">
        <v>116</v>
      </c>
      <c r="V1815" s="94">
        <v>44610.138888888891</v>
      </c>
      <c r="W1815" s="93" t="s">
        <v>7072</v>
      </c>
      <c r="X1815" s="93" t="s">
        <v>24</v>
      </c>
    </row>
    <row r="1816" spans="1:24" hidden="1" x14ac:dyDescent="0.15">
      <c r="A1816" s="93" t="s">
        <v>982</v>
      </c>
      <c r="B1816" s="93" t="s">
        <v>7376</v>
      </c>
      <c r="C1816" s="410">
        <v>166</v>
      </c>
      <c r="D1816" s="93" t="s">
        <v>24</v>
      </c>
      <c r="E1816" s="93" t="s">
        <v>24</v>
      </c>
      <c r="F1816" s="93" t="s">
        <v>7</v>
      </c>
      <c r="G1816" s="93" t="s">
        <v>7185</v>
      </c>
      <c r="H1816" s="93" t="s">
        <v>400</v>
      </c>
      <c r="I1816" s="93" t="s">
        <v>111</v>
      </c>
      <c r="J1816" s="93" t="s">
        <v>7105</v>
      </c>
      <c r="K1816" s="93" t="s">
        <v>111</v>
      </c>
      <c r="L1816" s="93" t="s">
        <v>111</v>
      </c>
      <c r="M1816" s="93" t="s">
        <v>111</v>
      </c>
      <c r="N1816" s="93" t="s">
        <v>111</v>
      </c>
      <c r="O1816" s="93" t="s">
        <v>111</v>
      </c>
      <c r="P1816" s="93" t="s">
        <v>111</v>
      </c>
      <c r="Q1816" s="93" t="s">
        <v>111</v>
      </c>
      <c r="R1816" s="93" t="s">
        <v>228</v>
      </c>
      <c r="S1816" s="93" t="s">
        <v>2</v>
      </c>
      <c r="T1816" s="93" t="s">
        <v>115</v>
      </c>
      <c r="U1816" s="93" t="s">
        <v>116</v>
      </c>
      <c r="V1816" s="94">
        <v>44610.188888888886</v>
      </c>
      <c r="W1816" s="93" t="s">
        <v>7072</v>
      </c>
      <c r="X1816" s="93" t="s">
        <v>24</v>
      </c>
    </row>
    <row r="1817" spans="1:24" hidden="1" x14ac:dyDescent="0.15">
      <c r="A1817" s="93" t="s">
        <v>983</v>
      </c>
      <c r="B1817" s="93" t="s">
        <v>7377</v>
      </c>
      <c r="C1817" s="410">
        <v>260</v>
      </c>
      <c r="D1817" s="93" t="s">
        <v>24</v>
      </c>
      <c r="E1817" s="93" t="s">
        <v>24</v>
      </c>
      <c r="F1817" s="93" t="s">
        <v>7</v>
      </c>
      <c r="G1817" s="93" t="s">
        <v>7185</v>
      </c>
      <c r="H1817" s="93" t="s">
        <v>400</v>
      </c>
      <c r="I1817" s="93" t="s">
        <v>111</v>
      </c>
      <c r="J1817" s="93" t="s">
        <v>7105</v>
      </c>
      <c r="K1817" s="93" t="s">
        <v>111</v>
      </c>
      <c r="L1817" s="93" t="s">
        <v>111</v>
      </c>
      <c r="M1817" s="93" t="s">
        <v>111</v>
      </c>
      <c r="N1817" s="93" t="s">
        <v>111</v>
      </c>
      <c r="O1817" s="93" t="s">
        <v>111</v>
      </c>
      <c r="P1817" s="93" t="s">
        <v>111</v>
      </c>
      <c r="Q1817" s="93" t="s">
        <v>111</v>
      </c>
      <c r="R1817" s="93" t="s">
        <v>228</v>
      </c>
      <c r="S1817" s="93" t="s">
        <v>2</v>
      </c>
      <c r="T1817" s="93" t="s">
        <v>115</v>
      </c>
      <c r="U1817" s="93" t="s">
        <v>116</v>
      </c>
      <c r="V1817" s="94">
        <v>44610.193749999999</v>
      </c>
      <c r="W1817" s="93" t="s">
        <v>7072</v>
      </c>
      <c r="X1817" s="93" t="s">
        <v>24</v>
      </c>
    </row>
    <row r="1818" spans="1:24" hidden="1" x14ac:dyDescent="0.15">
      <c r="A1818" s="93" t="s">
        <v>984</v>
      </c>
      <c r="B1818" s="93" t="s">
        <v>7378</v>
      </c>
      <c r="C1818" s="410">
        <v>39</v>
      </c>
      <c r="D1818" s="93" t="s">
        <v>24</v>
      </c>
      <c r="E1818" s="93" t="s">
        <v>24</v>
      </c>
      <c r="F1818" s="93" t="s">
        <v>7</v>
      </c>
      <c r="G1818" s="93" t="s">
        <v>7185</v>
      </c>
      <c r="H1818" s="93" t="s">
        <v>400</v>
      </c>
      <c r="I1818" s="93" t="s">
        <v>111</v>
      </c>
      <c r="J1818" s="93" t="s">
        <v>7105</v>
      </c>
      <c r="K1818" s="93" t="s">
        <v>111</v>
      </c>
      <c r="L1818" s="93" t="s">
        <v>111</v>
      </c>
      <c r="M1818" s="93" t="s">
        <v>111</v>
      </c>
      <c r="N1818" s="93" t="s">
        <v>111</v>
      </c>
      <c r="O1818" s="93" t="s">
        <v>111</v>
      </c>
      <c r="P1818" s="93" t="s">
        <v>111</v>
      </c>
      <c r="Q1818" s="93" t="s">
        <v>111</v>
      </c>
      <c r="R1818" s="93" t="s">
        <v>228</v>
      </c>
      <c r="S1818" s="93" t="s">
        <v>2</v>
      </c>
      <c r="T1818" s="93" t="s">
        <v>115</v>
      </c>
      <c r="U1818" s="93" t="s">
        <v>116</v>
      </c>
      <c r="V1818" s="94">
        <v>44610.138888888891</v>
      </c>
      <c r="W1818" s="93" t="s">
        <v>7072</v>
      </c>
      <c r="X1818" s="93" t="s">
        <v>24</v>
      </c>
    </row>
    <row r="1819" spans="1:24" hidden="1" x14ac:dyDescent="0.15">
      <c r="A1819" s="93" t="s">
        <v>985</v>
      </c>
      <c r="B1819" s="93" t="s">
        <v>7379</v>
      </c>
      <c r="C1819" s="410">
        <v>100</v>
      </c>
      <c r="D1819" s="93" t="s">
        <v>24</v>
      </c>
      <c r="E1819" s="93" t="s">
        <v>24</v>
      </c>
      <c r="F1819" s="93" t="s">
        <v>7</v>
      </c>
      <c r="G1819" s="93" t="s">
        <v>7185</v>
      </c>
      <c r="H1819" s="93" t="s">
        <v>400</v>
      </c>
      <c r="I1819" s="93" t="s">
        <v>111</v>
      </c>
      <c r="J1819" s="93" t="s">
        <v>7105</v>
      </c>
      <c r="K1819" s="93" t="s">
        <v>111</v>
      </c>
      <c r="L1819" s="93" t="s">
        <v>111</v>
      </c>
      <c r="M1819" s="93" t="s">
        <v>111</v>
      </c>
      <c r="N1819" s="93" t="s">
        <v>111</v>
      </c>
      <c r="O1819" s="93" t="s">
        <v>111</v>
      </c>
      <c r="P1819" s="93" t="s">
        <v>111</v>
      </c>
      <c r="Q1819" s="93" t="s">
        <v>111</v>
      </c>
      <c r="R1819" s="93" t="s">
        <v>228</v>
      </c>
      <c r="S1819" s="93" t="s">
        <v>2</v>
      </c>
      <c r="T1819" s="93" t="s">
        <v>115</v>
      </c>
      <c r="U1819" s="93" t="s">
        <v>116</v>
      </c>
      <c r="V1819" s="94">
        <v>44610.13958333333</v>
      </c>
      <c r="W1819" s="93" t="s">
        <v>7072</v>
      </c>
      <c r="X1819" s="93" t="s">
        <v>24</v>
      </c>
    </row>
    <row r="1820" spans="1:24" hidden="1" x14ac:dyDescent="0.15">
      <c r="A1820" s="93" t="s">
        <v>986</v>
      </c>
      <c r="B1820" s="93" t="s">
        <v>7380</v>
      </c>
      <c r="C1820" s="410">
        <v>156</v>
      </c>
      <c r="D1820" s="93" t="s">
        <v>24</v>
      </c>
      <c r="E1820" s="93" t="s">
        <v>24</v>
      </c>
      <c r="F1820" s="93" t="s">
        <v>7</v>
      </c>
      <c r="G1820" s="93" t="s">
        <v>7185</v>
      </c>
      <c r="H1820" s="93" t="s">
        <v>400</v>
      </c>
      <c r="I1820" s="93" t="s">
        <v>111</v>
      </c>
      <c r="J1820" s="93" t="s">
        <v>7105</v>
      </c>
      <c r="K1820" s="93" t="s">
        <v>111</v>
      </c>
      <c r="L1820" s="93" t="s">
        <v>111</v>
      </c>
      <c r="M1820" s="93" t="s">
        <v>111</v>
      </c>
      <c r="N1820" s="93" t="s">
        <v>111</v>
      </c>
      <c r="O1820" s="93" t="s">
        <v>111</v>
      </c>
      <c r="P1820" s="93" t="s">
        <v>111</v>
      </c>
      <c r="Q1820" s="93" t="s">
        <v>111</v>
      </c>
      <c r="R1820" s="93" t="s">
        <v>228</v>
      </c>
      <c r="S1820" s="93" t="s">
        <v>2</v>
      </c>
      <c r="T1820" s="93" t="s">
        <v>115</v>
      </c>
      <c r="U1820" s="93" t="s">
        <v>116</v>
      </c>
      <c r="V1820" s="94">
        <v>44610.171527777777</v>
      </c>
      <c r="W1820" s="93" t="s">
        <v>7072</v>
      </c>
      <c r="X1820" s="93" t="s">
        <v>24</v>
      </c>
    </row>
    <row r="1821" spans="1:24" hidden="1" x14ac:dyDescent="0.15">
      <c r="A1821" s="93" t="s">
        <v>987</v>
      </c>
      <c r="B1821" s="93" t="s">
        <v>7381</v>
      </c>
      <c r="C1821" s="410">
        <v>57</v>
      </c>
      <c r="D1821" s="93" t="s">
        <v>24</v>
      </c>
      <c r="E1821" s="93" t="s">
        <v>24</v>
      </c>
      <c r="F1821" s="93" t="s">
        <v>7</v>
      </c>
      <c r="G1821" s="93" t="s">
        <v>7185</v>
      </c>
      <c r="H1821" s="93" t="s">
        <v>400</v>
      </c>
      <c r="I1821" s="93" t="s">
        <v>111</v>
      </c>
      <c r="J1821" s="93" t="s">
        <v>7105</v>
      </c>
      <c r="K1821" s="93" t="s">
        <v>111</v>
      </c>
      <c r="L1821" s="93" t="s">
        <v>111</v>
      </c>
      <c r="M1821" s="93" t="s">
        <v>111</v>
      </c>
      <c r="N1821" s="93" t="s">
        <v>111</v>
      </c>
      <c r="O1821" s="93" t="s">
        <v>111</v>
      </c>
      <c r="P1821" s="93" t="s">
        <v>111</v>
      </c>
      <c r="Q1821" s="93" t="s">
        <v>111</v>
      </c>
      <c r="R1821" s="93" t="s">
        <v>228</v>
      </c>
      <c r="S1821" s="93" t="s">
        <v>2</v>
      </c>
      <c r="T1821" s="93" t="s">
        <v>115</v>
      </c>
      <c r="U1821" s="93" t="s">
        <v>116</v>
      </c>
      <c r="V1821" s="94">
        <v>44610.13958333333</v>
      </c>
      <c r="W1821" s="93" t="s">
        <v>7072</v>
      </c>
      <c r="X1821" s="93" t="s">
        <v>24</v>
      </c>
    </row>
    <row r="1822" spans="1:24" hidden="1" x14ac:dyDescent="0.15">
      <c r="A1822" s="93" t="s">
        <v>988</v>
      </c>
      <c r="B1822" s="93" t="s">
        <v>7382</v>
      </c>
      <c r="C1822" s="410">
        <v>146</v>
      </c>
      <c r="D1822" s="93" t="s">
        <v>24</v>
      </c>
      <c r="E1822" s="93" t="s">
        <v>24</v>
      </c>
      <c r="F1822" s="93" t="s">
        <v>7</v>
      </c>
      <c r="G1822" s="93" t="s">
        <v>7185</v>
      </c>
      <c r="H1822" s="93" t="s">
        <v>400</v>
      </c>
      <c r="I1822" s="93" t="s">
        <v>111</v>
      </c>
      <c r="J1822" s="93" t="s">
        <v>7105</v>
      </c>
      <c r="K1822" s="93" t="s">
        <v>111</v>
      </c>
      <c r="L1822" s="93" t="s">
        <v>111</v>
      </c>
      <c r="M1822" s="93" t="s">
        <v>111</v>
      </c>
      <c r="N1822" s="93" t="s">
        <v>111</v>
      </c>
      <c r="O1822" s="93" t="s">
        <v>111</v>
      </c>
      <c r="P1822" s="93" t="s">
        <v>111</v>
      </c>
      <c r="Q1822" s="93" t="s">
        <v>111</v>
      </c>
      <c r="R1822" s="93" t="s">
        <v>228</v>
      </c>
      <c r="S1822" s="93" t="s">
        <v>2</v>
      </c>
      <c r="T1822" s="93" t="s">
        <v>115</v>
      </c>
      <c r="U1822" s="93" t="s">
        <v>116</v>
      </c>
      <c r="V1822" s="94">
        <v>44610.211111111108</v>
      </c>
      <c r="W1822" s="93" t="s">
        <v>7072</v>
      </c>
      <c r="X1822" s="93" t="s">
        <v>24</v>
      </c>
    </row>
    <row r="1823" spans="1:24" hidden="1" x14ac:dyDescent="0.15">
      <c r="A1823" s="93" t="s">
        <v>989</v>
      </c>
      <c r="B1823" s="93" t="s">
        <v>7383</v>
      </c>
      <c r="C1823" s="410">
        <v>228</v>
      </c>
      <c r="D1823" s="93" t="s">
        <v>24</v>
      </c>
      <c r="E1823" s="93" t="s">
        <v>24</v>
      </c>
      <c r="F1823" s="93" t="s">
        <v>7</v>
      </c>
      <c r="G1823" s="93" t="s">
        <v>7185</v>
      </c>
      <c r="H1823" s="93" t="s">
        <v>400</v>
      </c>
      <c r="I1823" s="93" t="s">
        <v>111</v>
      </c>
      <c r="J1823" s="93" t="s">
        <v>7105</v>
      </c>
      <c r="K1823" s="93" t="s">
        <v>111</v>
      </c>
      <c r="L1823" s="93" t="s">
        <v>111</v>
      </c>
      <c r="M1823" s="93" t="s">
        <v>111</v>
      </c>
      <c r="N1823" s="93" t="s">
        <v>111</v>
      </c>
      <c r="O1823" s="93" t="s">
        <v>111</v>
      </c>
      <c r="P1823" s="93" t="s">
        <v>111</v>
      </c>
      <c r="Q1823" s="93" t="s">
        <v>111</v>
      </c>
      <c r="R1823" s="93" t="s">
        <v>228</v>
      </c>
      <c r="S1823" s="93" t="s">
        <v>2</v>
      </c>
      <c r="T1823" s="93" t="s">
        <v>115</v>
      </c>
      <c r="U1823" s="93" t="s">
        <v>116</v>
      </c>
      <c r="V1823" s="94">
        <v>44610.145138888889</v>
      </c>
      <c r="W1823" s="93" t="s">
        <v>7072</v>
      </c>
      <c r="X1823" s="93" t="s">
        <v>24</v>
      </c>
    </row>
    <row r="1824" spans="1:24" hidden="1" x14ac:dyDescent="0.15">
      <c r="A1824" s="93" t="s">
        <v>990</v>
      </c>
      <c r="B1824" s="93" t="s">
        <v>7384</v>
      </c>
      <c r="C1824" s="410">
        <v>57</v>
      </c>
      <c r="D1824" s="93" t="s">
        <v>24</v>
      </c>
      <c r="E1824" s="93" t="s">
        <v>24</v>
      </c>
      <c r="F1824" s="93" t="s">
        <v>7</v>
      </c>
      <c r="G1824" s="93" t="s">
        <v>7185</v>
      </c>
      <c r="H1824" s="93" t="s">
        <v>400</v>
      </c>
      <c r="I1824" s="93" t="s">
        <v>111</v>
      </c>
      <c r="J1824" s="93" t="s">
        <v>7105</v>
      </c>
      <c r="K1824" s="93" t="s">
        <v>111</v>
      </c>
      <c r="L1824" s="93" t="s">
        <v>111</v>
      </c>
      <c r="M1824" s="93" t="s">
        <v>111</v>
      </c>
      <c r="N1824" s="93" t="s">
        <v>111</v>
      </c>
      <c r="O1824" s="93" t="s">
        <v>111</v>
      </c>
      <c r="P1824" s="93" t="s">
        <v>111</v>
      </c>
      <c r="Q1824" s="93" t="s">
        <v>111</v>
      </c>
      <c r="R1824" s="93" t="s">
        <v>228</v>
      </c>
      <c r="S1824" s="93" t="s">
        <v>2</v>
      </c>
      <c r="T1824" s="93" t="s">
        <v>115</v>
      </c>
      <c r="U1824" s="93" t="s">
        <v>116</v>
      </c>
      <c r="V1824" s="94">
        <v>44610.13958333333</v>
      </c>
      <c r="W1824" s="93" t="s">
        <v>7072</v>
      </c>
      <c r="X1824" s="93" t="s">
        <v>24</v>
      </c>
    </row>
    <row r="1825" spans="1:24" hidden="1" x14ac:dyDescent="0.15">
      <c r="A1825" s="93" t="s">
        <v>991</v>
      </c>
      <c r="B1825" s="93" t="s">
        <v>7385</v>
      </c>
      <c r="C1825" s="410">
        <v>146</v>
      </c>
      <c r="D1825" s="93" t="s">
        <v>24</v>
      </c>
      <c r="E1825" s="93" t="s">
        <v>24</v>
      </c>
      <c r="F1825" s="93" t="s">
        <v>7</v>
      </c>
      <c r="G1825" s="93" t="s">
        <v>7185</v>
      </c>
      <c r="H1825" s="93" t="s">
        <v>400</v>
      </c>
      <c r="I1825" s="93" t="s">
        <v>111</v>
      </c>
      <c r="J1825" s="93" t="s">
        <v>7105</v>
      </c>
      <c r="K1825" s="93" t="s">
        <v>111</v>
      </c>
      <c r="L1825" s="93" t="s">
        <v>111</v>
      </c>
      <c r="M1825" s="93" t="s">
        <v>111</v>
      </c>
      <c r="N1825" s="93" t="s">
        <v>111</v>
      </c>
      <c r="O1825" s="93" t="s">
        <v>111</v>
      </c>
      <c r="P1825" s="93" t="s">
        <v>111</v>
      </c>
      <c r="Q1825" s="93" t="s">
        <v>111</v>
      </c>
      <c r="R1825" s="93" t="s">
        <v>228</v>
      </c>
      <c r="S1825" s="93" t="s">
        <v>2</v>
      </c>
      <c r="T1825" s="93" t="s">
        <v>115</v>
      </c>
      <c r="U1825" s="93" t="s">
        <v>116</v>
      </c>
      <c r="V1825" s="94">
        <v>44610.13958333333</v>
      </c>
      <c r="W1825" s="93" t="s">
        <v>7072</v>
      </c>
      <c r="X1825" s="93" t="s">
        <v>24</v>
      </c>
    </row>
    <row r="1826" spans="1:24" hidden="1" x14ac:dyDescent="0.15">
      <c r="A1826" s="93" t="s">
        <v>992</v>
      </c>
      <c r="B1826" s="93" t="s">
        <v>7386</v>
      </c>
      <c r="C1826" s="410">
        <v>228</v>
      </c>
      <c r="D1826" s="93" t="s">
        <v>24</v>
      </c>
      <c r="E1826" s="93" t="s">
        <v>24</v>
      </c>
      <c r="F1826" s="93" t="s">
        <v>7</v>
      </c>
      <c r="G1826" s="93" t="s">
        <v>7185</v>
      </c>
      <c r="H1826" s="93" t="s">
        <v>400</v>
      </c>
      <c r="I1826" s="93" t="s">
        <v>111</v>
      </c>
      <c r="J1826" s="93" t="s">
        <v>7105</v>
      </c>
      <c r="K1826" s="93" t="s">
        <v>111</v>
      </c>
      <c r="L1826" s="93" t="s">
        <v>111</v>
      </c>
      <c r="M1826" s="93" t="s">
        <v>111</v>
      </c>
      <c r="N1826" s="93" t="s">
        <v>111</v>
      </c>
      <c r="O1826" s="93" t="s">
        <v>111</v>
      </c>
      <c r="P1826" s="93" t="s">
        <v>111</v>
      </c>
      <c r="Q1826" s="93" t="s">
        <v>111</v>
      </c>
      <c r="R1826" s="93" t="s">
        <v>228</v>
      </c>
      <c r="S1826" s="93" t="s">
        <v>2</v>
      </c>
      <c r="T1826" s="93" t="s">
        <v>115</v>
      </c>
      <c r="U1826" s="93" t="s">
        <v>116</v>
      </c>
      <c r="V1826" s="94">
        <v>44610.211111111108</v>
      </c>
      <c r="W1826" s="93" t="s">
        <v>7072</v>
      </c>
      <c r="X1826" s="93" t="s">
        <v>24</v>
      </c>
    </row>
    <row r="1827" spans="1:24" hidden="1" x14ac:dyDescent="0.15">
      <c r="A1827" s="93" t="s">
        <v>993</v>
      </c>
      <c r="B1827" s="93" t="s">
        <v>7387</v>
      </c>
      <c r="C1827" s="410">
        <v>78</v>
      </c>
      <c r="D1827" s="93" t="s">
        <v>24</v>
      </c>
      <c r="E1827" s="93" t="s">
        <v>24</v>
      </c>
      <c r="F1827" s="93" t="s">
        <v>7</v>
      </c>
      <c r="G1827" s="93" t="s">
        <v>7185</v>
      </c>
      <c r="H1827" s="93" t="s">
        <v>400</v>
      </c>
      <c r="I1827" s="93" t="s">
        <v>111</v>
      </c>
      <c r="J1827" s="93" t="s">
        <v>7105</v>
      </c>
      <c r="K1827" s="93" t="s">
        <v>111</v>
      </c>
      <c r="L1827" s="93" t="s">
        <v>111</v>
      </c>
      <c r="M1827" s="93" t="s">
        <v>111</v>
      </c>
      <c r="N1827" s="93" t="s">
        <v>111</v>
      </c>
      <c r="O1827" s="93" t="s">
        <v>111</v>
      </c>
      <c r="P1827" s="93" t="s">
        <v>111</v>
      </c>
      <c r="Q1827" s="93" t="s">
        <v>111</v>
      </c>
      <c r="R1827" s="93" t="s">
        <v>228</v>
      </c>
      <c r="S1827" s="93" t="s">
        <v>2</v>
      </c>
      <c r="T1827" s="93" t="s">
        <v>115</v>
      </c>
      <c r="U1827" s="93" t="s">
        <v>116</v>
      </c>
      <c r="V1827" s="94">
        <v>44610.158333333333</v>
      </c>
      <c r="W1827" s="93" t="s">
        <v>7072</v>
      </c>
      <c r="X1827" s="93" t="s">
        <v>24</v>
      </c>
    </row>
    <row r="1828" spans="1:24" hidden="1" x14ac:dyDescent="0.15">
      <c r="A1828" s="93" t="s">
        <v>994</v>
      </c>
      <c r="B1828" s="93" t="s">
        <v>7388</v>
      </c>
      <c r="C1828" s="410">
        <v>199</v>
      </c>
      <c r="D1828" s="93" t="s">
        <v>24</v>
      </c>
      <c r="E1828" s="93" t="s">
        <v>24</v>
      </c>
      <c r="F1828" s="93" t="s">
        <v>7</v>
      </c>
      <c r="G1828" s="93" t="s">
        <v>7185</v>
      </c>
      <c r="H1828" s="93" t="s">
        <v>400</v>
      </c>
      <c r="I1828" s="93" t="s">
        <v>111</v>
      </c>
      <c r="J1828" s="93" t="s">
        <v>7105</v>
      </c>
      <c r="K1828" s="93" t="s">
        <v>111</v>
      </c>
      <c r="L1828" s="93" t="s">
        <v>111</v>
      </c>
      <c r="M1828" s="93" t="s">
        <v>111</v>
      </c>
      <c r="N1828" s="93" t="s">
        <v>111</v>
      </c>
      <c r="O1828" s="93" t="s">
        <v>111</v>
      </c>
      <c r="P1828" s="93" t="s">
        <v>111</v>
      </c>
      <c r="Q1828" s="93" t="s">
        <v>111</v>
      </c>
      <c r="R1828" s="93" t="s">
        <v>228</v>
      </c>
      <c r="S1828" s="93" t="s">
        <v>2</v>
      </c>
      <c r="T1828" s="93" t="s">
        <v>115</v>
      </c>
      <c r="U1828" s="93" t="s">
        <v>116</v>
      </c>
      <c r="V1828" s="94">
        <v>44610.15347222222</v>
      </c>
      <c r="W1828" s="93" t="s">
        <v>7072</v>
      </c>
      <c r="X1828" s="93" t="s">
        <v>24</v>
      </c>
    </row>
    <row r="1829" spans="1:24" hidden="1" x14ac:dyDescent="0.15">
      <c r="A1829" s="93" t="s">
        <v>995</v>
      </c>
      <c r="B1829" s="93" t="s">
        <v>7389</v>
      </c>
      <c r="C1829" s="410">
        <v>312</v>
      </c>
      <c r="D1829" s="93" t="s">
        <v>24</v>
      </c>
      <c r="E1829" s="93" t="s">
        <v>24</v>
      </c>
      <c r="F1829" s="93" t="s">
        <v>7</v>
      </c>
      <c r="G1829" s="93" t="s">
        <v>7185</v>
      </c>
      <c r="H1829" s="93" t="s">
        <v>400</v>
      </c>
      <c r="I1829" s="93" t="s">
        <v>111</v>
      </c>
      <c r="J1829" s="93" t="s">
        <v>7105</v>
      </c>
      <c r="K1829" s="93" t="s">
        <v>111</v>
      </c>
      <c r="L1829" s="93" t="s">
        <v>111</v>
      </c>
      <c r="M1829" s="93" t="s">
        <v>111</v>
      </c>
      <c r="N1829" s="93" t="s">
        <v>111</v>
      </c>
      <c r="O1829" s="93" t="s">
        <v>111</v>
      </c>
      <c r="P1829" s="93" t="s">
        <v>111</v>
      </c>
      <c r="Q1829" s="93" t="s">
        <v>111</v>
      </c>
      <c r="R1829" s="93" t="s">
        <v>228</v>
      </c>
      <c r="S1829" s="93" t="s">
        <v>2</v>
      </c>
      <c r="T1829" s="93" t="s">
        <v>115</v>
      </c>
      <c r="U1829" s="93" t="s">
        <v>116</v>
      </c>
      <c r="V1829" s="94">
        <v>44610.178472222222</v>
      </c>
      <c r="W1829" s="93" t="s">
        <v>7072</v>
      </c>
      <c r="X1829" s="93" t="s">
        <v>24</v>
      </c>
    </row>
    <row r="1830" spans="1:24" hidden="1" x14ac:dyDescent="0.15">
      <c r="A1830" s="93" t="s">
        <v>996</v>
      </c>
      <c r="B1830" s="93" t="s">
        <v>7390</v>
      </c>
      <c r="C1830" s="410">
        <v>70</v>
      </c>
      <c r="D1830" s="93" t="s">
        <v>24</v>
      </c>
      <c r="E1830" s="93" t="s">
        <v>24</v>
      </c>
      <c r="F1830" s="93" t="s">
        <v>7</v>
      </c>
      <c r="G1830" s="93" t="s">
        <v>7185</v>
      </c>
      <c r="H1830" s="93" t="s">
        <v>400</v>
      </c>
      <c r="I1830" s="93" t="s">
        <v>111</v>
      </c>
      <c r="J1830" s="93" t="s">
        <v>7105</v>
      </c>
      <c r="K1830" s="93" t="s">
        <v>111</v>
      </c>
      <c r="L1830" s="93" t="s">
        <v>111</v>
      </c>
      <c r="M1830" s="93" t="s">
        <v>111</v>
      </c>
      <c r="N1830" s="93" t="s">
        <v>111</v>
      </c>
      <c r="O1830" s="93" t="s">
        <v>111</v>
      </c>
      <c r="P1830" s="93" t="s">
        <v>111</v>
      </c>
      <c r="Q1830" s="93" t="s">
        <v>111</v>
      </c>
      <c r="R1830" s="93" t="s">
        <v>228</v>
      </c>
      <c r="S1830" s="93" t="s">
        <v>2</v>
      </c>
      <c r="T1830" s="93" t="s">
        <v>115</v>
      </c>
      <c r="U1830" s="93" t="s">
        <v>116</v>
      </c>
      <c r="V1830" s="94">
        <v>44610.211111111108</v>
      </c>
      <c r="W1830" s="93" t="s">
        <v>7072</v>
      </c>
      <c r="X1830" s="93" t="s">
        <v>24</v>
      </c>
    </row>
    <row r="1831" spans="1:24" hidden="1" x14ac:dyDescent="0.15">
      <c r="A1831" s="93" t="s">
        <v>997</v>
      </c>
      <c r="B1831" s="93" t="s">
        <v>7391</v>
      </c>
      <c r="C1831" s="410">
        <v>179</v>
      </c>
      <c r="D1831" s="93" t="s">
        <v>24</v>
      </c>
      <c r="E1831" s="93" t="s">
        <v>24</v>
      </c>
      <c r="F1831" s="93" t="s">
        <v>7</v>
      </c>
      <c r="G1831" s="93" t="s">
        <v>7185</v>
      </c>
      <c r="H1831" s="93" t="s">
        <v>400</v>
      </c>
      <c r="I1831" s="93" t="s">
        <v>111</v>
      </c>
      <c r="J1831" s="93" t="s">
        <v>7105</v>
      </c>
      <c r="K1831" s="93" t="s">
        <v>111</v>
      </c>
      <c r="L1831" s="93" t="s">
        <v>111</v>
      </c>
      <c r="M1831" s="93" t="s">
        <v>111</v>
      </c>
      <c r="N1831" s="93" t="s">
        <v>111</v>
      </c>
      <c r="O1831" s="93" t="s">
        <v>111</v>
      </c>
      <c r="P1831" s="93" t="s">
        <v>111</v>
      </c>
      <c r="Q1831" s="93" t="s">
        <v>111</v>
      </c>
      <c r="R1831" s="93" t="s">
        <v>228</v>
      </c>
      <c r="S1831" s="93" t="s">
        <v>2</v>
      </c>
      <c r="T1831" s="93" t="s">
        <v>115</v>
      </c>
      <c r="U1831" s="93" t="s">
        <v>116</v>
      </c>
      <c r="V1831" s="94">
        <v>44610.161111111112</v>
      </c>
      <c r="W1831" s="93" t="s">
        <v>7072</v>
      </c>
      <c r="X1831" s="93" t="s">
        <v>24</v>
      </c>
    </row>
    <row r="1832" spans="1:24" hidden="1" x14ac:dyDescent="0.15">
      <c r="A1832" s="93" t="s">
        <v>998</v>
      </c>
      <c r="B1832" s="93" t="s">
        <v>7392</v>
      </c>
      <c r="C1832" s="410">
        <v>280</v>
      </c>
      <c r="D1832" s="93" t="s">
        <v>24</v>
      </c>
      <c r="E1832" s="93" t="s">
        <v>24</v>
      </c>
      <c r="F1832" s="93" t="s">
        <v>7</v>
      </c>
      <c r="G1832" s="93" t="s">
        <v>7185</v>
      </c>
      <c r="H1832" s="93" t="s">
        <v>400</v>
      </c>
      <c r="I1832" s="93" t="s">
        <v>111</v>
      </c>
      <c r="J1832" s="93" t="s">
        <v>7105</v>
      </c>
      <c r="K1832" s="93" t="s">
        <v>111</v>
      </c>
      <c r="L1832" s="93" t="s">
        <v>111</v>
      </c>
      <c r="M1832" s="93" t="s">
        <v>111</v>
      </c>
      <c r="N1832" s="93" t="s">
        <v>111</v>
      </c>
      <c r="O1832" s="93" t="s">
        <v>111</v>
      </c>
      <c r="P1832" s="93" t="s">
        <v>111</v>
      </c>
      <c r="Q1832" s="93" t="s">
        <v>111</v>
      </c>
      <c r="R1832" s="93" t="s">
        <v>228</v>
      </c>
      <c r="S1832" s="93" t="s">
        <v>2</v>
      </c>
      <c r="T1832" s="93" t="s">
        <v>115</v>
      </c>
      <c r="U1832" s="93" t="s">
        <v>116</v>
      </c>
      <c r="V1832" s="94">
        <v>44610.211805555555</v>
      </c>
      <c r="W1832" s="93" t="s">
        <v>7072</v>
      </c>
      <c r="X1832" s="93" t="s">
        <v>24</v>
      </c>
    </row>
    <row r="1833" spans="1:24" hidden="1" x14ac:dyDescent="0.15">
      <c r="A1833" s="93" t="s">
        <v>3845</v>
      </c>
      <c r="B1833" s="93" t="s">
        <v>3846</v>
      </c>
      <c r="C1833" s="410">
        <v>11</v>
      </c>
      <c r="D1833" s="93" t="s">
        <v>24</v>
      </c>
      <c r="E1833" s="93" t="s">
        <v>24</v>
      </c>
      <c r="F1833" s="93" t="s">
        <v>7</v>
      </c>
      <c r="G1833" s="93" t="s">
        <v>7185</v>
      </c>
      <c r="H1833" s="93" t="s">
        <v>400</v>
      </c>
      <c r="I1833" s="93" t="s">
        <v>111</v>
      </c>
      <c r="J1833" s="93" t="s">
        <v>118</v>
      </c>
      <c r="K1833" s="93">
        <v>3</v>
      </c>
      <c r="L1833" s="93" t="s">
        <v>111</v>
      </c>
      <c r="M1833" s="93" t="s">
        <v>111</v>
      </c>
      <c r="N1833" s="93" t="s">
        <v>111</v>
      </c>
      <c r="O1833" s="93" t="s">
        <v>111</v>
      </c>
      <c r="P1833" s="93" t="s">
        <v>111</v>
      </c>
      <c r="Q1833" s="93" t="s">
        <v>111</v>
      </c>
      <c r="R1833" s="93" t="s">
        <v>228</v>
      </c>
      <c r="S1833" s="93" t="s">
        <v>2</v>
      </c>
      <c r="T1833" s="93" t="s">
        <v>115</v>
      </c>
      <c r="U1833" s="93" t="s">
        <v>116</v>
      </c>
      <c r="V1833" s="94">
        <v>44610.156944444447</v>
      </c>
      <c r="W1833" s="93" t="s">
        <v>1170</v>
      </c>
      <c r="X1833" s="93" t="s">
        <v>24</v>
      </c>
    </row>
    <row r="1834" spans="1:24" hidden="1" x14ac:dyDescent="0.15">
      <c r="A1834" s="93" t="s">
        <v>3847</v>
      </c>
      <c r="B1834" s="93" t="s">
        <v>3848</v>
      </c>
      <c r="C1834" s="410">
        <v>29</v>
      </c>
      <c r="D1834" s="93" t="s">
        <v>24</v>
      </c>
      <c r="E1834" s="93" t="s">
        <v>24</v>
      </c>
      <c r="F1834" s="93" t="s">
        <v>7</v>
      </c>
      <c r="G1834" s="93" t="s">
        <v>7185</v>
      </c>
      <c r="H1834" s="93" t="s">
        <v>400</v>
      </c>
      <c r="I1834" s="93" t="s">
        <v>111</v>
      </c>
      <c r="J1834" s="93" t="s">
        <v>118</v>
      </c>
      <c r="K1834" s="93">
        <v>3</v>
      </c>
      <c r="L1834" s="93" t="s">
        <v>111</v>
      </c>
      <c r="M1834" s="93" t="s">
        <v>111</v>
      </c>
      <c r="N1834" s="93" t="s">
        <v>111</v>
      </c>
      <c r="O1834" s="93" t="s">
        <v>111</v>
      </c>
      <c r="P1834" s="93" t="s">
        <v>111</v>
      </c>
      <c r="Q1834" s="93" t="s">
        <v>111</v>
      </c>
      <c r="R1834" s="93" t="s">
        <v>228</v>
      </c>
      <c r="S1834" s="93" t="s">
        <v>2</v>
      </c>
      <c r="T1834" s="93" t="s">
        <v>115</v>
      </c>
      <c r="U1834" s="93" t="s">
        <v>116</v>
      </c>
      <c r="V1834" s="94">
        <v>44610.14166666667</v>
      </c>
      <c r="W1834" s="93" t="s">
        <v>1170</v>
      </c>
      <c r="X1834" s="93" t="s">
        <v>24</v>
      </c>
    </row>
    <row r="1835" spans="1:24" hidden="1" x14ac:dyDescent="0.15">
      <c r="A1835" s="93" t="s">
        <v>3849</v>
      </c>
      <c r="B1835" s="93" t="s">
        <v>3850</v>
      </c>
      <c r="C1835" s="410">
        <v>44</v>
      </c>
      <c r="D1835" s="93" t="s">
        <v>24</v>
      </c>
      <c r="E1835" s="93" t="s">
        <v>24</v>
      </c>
      <c r="F1835" s="93" t="s">
        <v>7</v>
      </c>
      <c r="G1835" s="93" t="s">
        <v>7185</v>
      </c>
      <c r="H1835" s="93" t="s">
        <v>400</v>
      </c>
      <c r="I1835" s="93" t="s">
        <v>111</v>
      </c>
      <c r="J1835" s="93" t="s">
        <v>118</v>
      </c>
      <c r="K1835" s="93">
        <v>3</v>
      </c>
      <c r="L1835" s="93" t="s">
        <v>111</v>
      </c>
      <c r="M1835" s="93" t="s">
        <v>111</v>
      </c>
      <c r="N1835" s="93" t="s">
        <v>111</v>
      </c>
      <c r="O1835" s="93" t="s">
        <v>111</v>
      </c>
      <c r="P1835" s="93" t="s">
        <v>111</v>
      </c>
      <c r="Q1835" s="93" t="s">
        <v>111</v>
      </c>
      <c r="R1835" s="93" t="s">
        <v>228</v>
      </c>
      <c r="S1835" s="93" t="s">
        <v>2</v>
      </c>
      <c r="T1835" s="93" t="s">
        <v>115</v>
      </c>
      <c r="U1835" s="93" t="s">
        <v>116</v>
      </c>
      <c r="V1835" s="94">
        <v>44610.156944444447</v>
      </c>
      <c r="W1835" s="93" t="s">
        <v>1170</v>
      </c>
      <c r="X1835" s="93" t="s">
        <v>24</v>
      </c>
    </row>
    <row r="1836" spans="1:24" hidden="1" x14ac:dyDescent="0.15">
      <c r="A1836" s="93" t="s">
        <v>3851</v>
      </c>
      <c r="B1836" s="93" t="s">
        <v>3852</v>
      </c>
      <c r="C1836" s="410">
        <v>26</v>
      </c>
      <c r="D1836" s="93" t="s">
        <v>24</v>
      </c>
      <c r="E1836" s="93" t="s">
        <v>24</v>
      </c>
      <c r="F1836" s="93" t="s">
        <v>7</v>
      </c>
      <c r="G1836" s="93" t="s">
        <v>7185</v>
      </c>
      <c r="H1836" s="93" t="s">
        <v>400</v>
      </c>
      <c r="I1836" s="93" t="s">
        <v>111</v>
      </c>
      <c r="J1836" s="93" t="s">
        <v>118</v>
      </c>
      <c r="K1836" s="93">
        <v>3</v>
      </c>
      <c r="L1836" s="93" t="s">
        <v>111</v>
      </c>
      <c r="M1836" s="93" t="s">
        <v>111</v>
      </c>
      <c r="N1836" s="93" t="s">
        <v>111</v>
      </c>
      <c r="O1836" s="93" t="s">
        <v>111</v>
      </c>
      <c r="P1836" s="93" t="s">
        <v>111</v>
      </c>
      <c r="Q1836" s="93" t="s">
        <v>111</v>
      </c>
      <c r="R1836" s="93" t="s">
        <v>228</v>
      </c>
      <c r="S1836" s="93" t="s">
        <v>2</v>
      </c>
      <c r="T1836" s="93" t="s">
        <v>115</v>
      </c>
      <c r="U1836" s="93" t="s">
        <v>116</v>
      </c>
      <c r="V1836" s="94">
        <v>44610.197222222225</v>
      </c>
      <c r="W1836" s="93" t="s">
        <v>1170</v>
      </c>
      <c r="X1836" s="93" t="s">
        <v>24</v>
      </c>
    </row>
    <row r="1837" spans="1:24" hidden="1" x14ac:dyDescent="0.15">
      <c r="A1837" s="93" t="s">
        <v>3853</v>
      </c>
      <c r="B1837" s="93" t="s">
        <v>3854</v>
      </c>
      <c r="C1837" s="410">
        <v>67</v>
      </c>
      <c r="D1837" s="93" t="s">
        <v>24</v>
      </c>
      <c r="E1837" s="93" t="s">
        <v>24</v>
      </c>
      <c r="F1837" s="93" t="s">
        <v>7</v>
      </c>
      <c r="G1837" s="93" t="s">
        <v>7185</v>
      </c>
      <c r="H1837" s="93" t="s">
        <v>400</v>
      </c>
      <c r="I1837" s="93" t="s">
        <v>111</v>
      </c>
      <c r="J1837" s="93" t="s">
        <v>118</v>
      </c>
      <c r="K1837" s="93">
        <v>3</v>
      </c>
      <c r="L1837" s="93" t="s">
        <v>111</v>
      </c>
      <c r="M1837" s="93" t="s">
        <v>111</v>
      </c>
      <c r="N1837" s="93" t="s">
        <v>111</v>
      </c>
      <c r="O1837" s="93" t="s">
        <v>111</v>
      </c>
      <c r="P1837" s="93" t="s">
        <v>111</v>
      </c>
      <c r="Q1837" s="93" t="s">
        <v>111</v>
      </c>
      <c r="R1837" s="93" t="s">
        <v>228</v>
      </c>
      <c r="S1837" s="93" t="s">
        <v>2</v>
      </c>
      <c r="T1837" s="93" t="s">
        <v>115</v>
      </c>
      <c r="U1837" s="93" t="s">
        <v>116</v>
      </c>
      <c r="V1837" s="94">
        <v>44610.189583333333</v>
      </c>
      <c r="W1837" s="93" t="s">
        <v>1170</v>
      </c>
      <c r="X1837" s="93" t="s">
        <v>24</v>
      </c>
    </row>
    <row r="1838" spans="1:24" hidden="1" x14ac:dyDescent="0.15">
      <c r="A1838" s="93" t="s">
        <v>3855</v>
      </c>
      <c r="B1838" s="93" t="s">
        <v>3856</v>
      </c>
      <c r="C1838" s="410">
        <v>104</v>
      </c>
      <c r="D1838" s="93" t="s">
        <v>24</v>
      </c>
      <c r="E1838" s="93" t="s">
        <v>24</v>
      </c>
      <c r="F1838" s="93" t="s">
        <v>7</v>
      </c>
      <c r="G1838" s="93" t="s">
        <v>7185</v>
      </c>
      <c r="H1838" s="93" t="s">
        <v>400</v>
      </c>
      <c r="I1838" s="93" t="s">
        <v>111</v>
      </c>
      <c r="J1838" s="93" t="s">
        <v>118</v>
      </c>
      <c r="K1838" s="93">
        <v>3</v>
      </c>
      <c r="L1838" s="93" t="s">
        <v>111</v>
      </c>
      <c r="M1838" s="93" t="s">
        <v>111</v>
      </c>
      <c r="N1838" s="93" t="s">
        <v>111</v>
      </c>
      <c r="O1838" s="93" t="s">
        <v>111</v>
      </c>
      <c r="P1838" s="93" t="s">
        <v>111</v>
      </c>
      <c r="Q1838" s="93" t="s">
        <v>111</v>
      </c>
      <c r="R1838" s="93" t="s">
        <v>228</v>
      </c>
      <c r="S1838" s="93" t="s">
        <v>2</v>
      </c>
      <c r="T1838" s="93" t="s">
        <v>115</v>
      </c>
      <c r="U1838" s="93" t="s">
        <v>116</v>
      </c>
      <c r="V1838" s="94">
        <v>44610.148611111108</v>
      </c>
      <c r="W1838" s="93" t="s">
        <v>1170</v>
      </c>
      <c r="X1838" s="93" t="s">
        <v>24</v>
      </c>
    </row>
    <row r="1839" spans="1:24" hidden="1" x14ac:dyDescent="0.15">
      <c r="A1839" s="93" t="s">
        <v>3857</v>
      </c>
      <c r="B1839" s="93" t="s">
        <v>3858</v>
      </c>
      <c r="C1839" s="410">
        <v>52</v>
      </c>
      <c r="D1839" s="93" t="s">
        <v>24</v>
      </c>
      <c r="E1839" s="93" t="s">
        <v>24</v>
      </c>
      <c r="F1839" s="93" t="s">
        <v>7</v>
      </c>
      <c r="G1839" s="93" t="s">
        <v>7185</v>
      </c>
      <c r="H1839" s="93" t="s">
        <v>400</v>
      </c>
      <c r="I1839" s="93" t="s">
        <v>111</v>
      </c>
      <c r="J1839" s="93" t="s">
        <v>118</v>
      </c>
      <c r="K1839" s="93">
        <v>3</v>
      </c>
      <c r="L1839" s="93" t="s">
        <v>111</v>
      </c>
      <c r="M1839" s="93" t="s">
        <v>111</v>
      </c>
      <c r="N1839" s="93" t="s">
        <v>111</v>
      </c>
      <c r="O1839" s="93" t="s">
        <v>111</v>
      </c>
      <c r="P1839" s="93" t="s">
        <v>111</v>
      </c>
      <c r="Q1839" s="93" t="s">
        <v>111</v>
      </c>
      <c r="R1839" s="93" t="s">
        <v>228</v>
      </c>
      <c r="S1839" s="93" t="s">
        <v>2</v>
      </c>
      <c r="T1839" s="93" t="s">
        <v>115</v>
      </c>
      <c r="U1839" s="93" t="s">
        <v>116</v>
      </c>
      <c r="V1839" s="94">
        <v>44610.14166666667</v>
      </c>
      <c r="W1839" s="93" t="s">
        <v>1170</v>
      </c>
      <c r="X1839" s="93" t="s">
        <v>24</v>
      </c>
    </row>
    <row r="1840" spans="1:24" hidden="1" x14ac:dyDescent="0.15">
      <c r="A1840" s="93" t="s">
        <v>3859</v>
      </c>
      <c r="B1840" s="93" t="s">
        <v>3860</v>
      </c>
      <c r="C1840" s="410">
        <v>133</v>
      </c>
      <c r="D1840" s="93" t="s">
        <v>24</v>
      </c>
      <c r="E1840" s="93" t="s">
        <v>24</v>
      </c>
      <c r="F1840" s="93" t="s">
        <v>7</v>
      </c>
      <c r="G1840" s="93" t="s">
        <v>7185</v>
      </c>
      <c r="H1840" s="93" t="s">
        <v>400</v>
      </c>
      <c r="I1840" s="93" t="s">
        <v>111</v>
      </c>
      <c r="J1840" s="93" t="s">
        <v>118</v>
      </c>
      <c r="K1840" s="93">
        <v>3</v>
      </c>
      <c r="L1840" s="93" t="s">
        <v>111</v>
      </c>
      <c r="M1840" s="93" t="s">
        <v>111</v>
      </c>
      <c r="N1840" s="93" t="s">
        <v>111</v>
      </c>
      <c r="O1840" s="93" t="s">
        <v>111</v>
      </c>
      <c r="P1840" s="93" t="s">
        <v>111</v>
      </c>
      <c r="Q1840" s="93" t="s">
        <v>111</v>
      </c>
      <c r="R1840" s="93" t="s">
        <v>228</v>
      </c>
      <c r="S1840" s="93" t="s">
        <v>2</v>
      </c>
      <c r="T1840" s="93" t="s">
        <v>115</v>
      </c>
      <c r="U1840" s="93" t="s">
        <v>116</v>
      </c>
      <c r="V1840" s="94">
        <v>44610.156944444447</v>
      </c>
      <c r="W1840" s="93" t="s">
        <v>1170</v>
      </c>
      <c r="X1840" s="93" t="s">
        <v>24</v>
      </c>
    </row>
    <row r="1841" spans="1:24" hidden="1" x14ac:dyDescent="0.15">
      <c r="A1841" s="93" t="s">
        <v>858</v>
      </c>
      <c r="B1841" s="93" t="s">
        <v>859</v>
      </c>
      <c r="C1841" s="410">
        <v>208</v>
      </c>
      <c r="D1841" s="93" t="s">
        <v>24</v>
      </c>
      <c r="E1841" s="93" t="s">
        <v>24</v>
      </c>
      <c r="F1841" s="93" t="s">
        <v>7</v>
      </c>
      <c r="G1841" s="93" t="s">
        <v>7185</v>
      </c>
      <c r="H1841" s="93" t="s">
        <v>400</v>
      </c>
      <c r="I1841" s="93" t="s">
        <v>111</v>
      </c>
      <c r="J1841" s="93" t="s">
        <v>118</v>
      </c>
      <c r="K1841" s="93">
        <v>3</v>
      </c>
      <c r="L1841" s="93" t="s">
        <v>111</v>
      </c>
      <c r="M1841" s="93" t="s">
        <v>111</v>
      </c>
      <c r="N1841" s="93" t="s">
        <v>111</v>
      </c>
      <c r="O1841" s="93" t="s">
        <v>111</v>
      </c>
      <c r="P1841" s="93" t="s">
        <v>111</v>
      </c>
      <c r="Q1841" s="93" t="s">
        <v>111</v>
      </c>
      <c r="R1841" s="93" t="s">
        <v>228</v>
      </c>
      <c r="S1841" s="93" t="s">
        <v>2</v>
      </c>
      <c r="T1841" s="93" t="s">
        <v>115</v>
      </c>
      <c r="U1841" s="93" t="s">
        <v>116</v>
      </c>
      <c r="V1841" s="94">
        <v>44610.174305555556</v>
      </c>
      <c r="W1841" s="93" t="s">
        <v>402</v>
      </c>
      <c r="X1841" s="93" t="s">
        <v>24</v>
      </c>
    </row>
    <row r="1842" spans="1:24" hidden="1" x14ac:dyDescent="0.15">
      <c r="A1842" s="93" t="s">
        <v>421</v>
      </c>
      <c r="B1842" s="93" t="s">
        <v>422</v>
      </c>
      <c r="C1842" s="410">
        <v>19</v>
      </c>
      <c r="D1842" s="93" t="s">
        <v>24</v>
      </c>
      <c r="E1842" s="93" t="s">
        <v>24</v>
      </c>
      <c r="F1842" s="93" t="s">
        <v>7</v>
      </c>
      <c r="G1842" s="93" t="s">
        <v>7185</v>
      </c>
      <c r="H1842" s="93" t="s">
        <v>118</v>
      </c>
      <c r="I1842" s="93" t="s">
        <v>111</v>
      </c>
      <c r="J1842" s="93" t="s">
        <v>7105</v>
      </c>
      <c r="K1842" s="93" t="s">
        <v>111</v>
      </c>
      <c r="L1842" s="93" t="s">
        <v>111</v>
      </c>
      <c r="M1842" s="93" t="s">
        <v>111</v>
      </c>
      <c r="N1842" s="93" t="s">
        <v>111</v>
      </c>
      <c r="O1842" s="93" t="s">
        <v>111</v>
      </c>
      <c r="P1842" s="93" t="s">
        <v>111</v>
      </c>
      <c r="Q1842" s="93" t="s">
        <v>111</v>
      </c>
      <c r="R1842" s="93" t="s">
        <v>111</v>
      </c>
      <c r="S1842" s="93" t="s">
        <v>2</v>
      </c>
      <c r="T1842" s="93" t="s">
        <v>111</v>
      </c>
      <c r="U1842" s="93" t="s">
        <v>116</v>
      </c>
      <c r="V1842" s="94">
        <v>44596.661805555559</v>
      </c>
      <c r="W1842" s="93" t="s">
        <v>7072</v>
      </c>
      <c r="X1842" s="93" t="s">
        <v>24</v>
      </c>
    </row>
    <row r="1843" spans="1:24" hidden="1" x14ac:dyDescent="0.15">
      <c r="A1843" s="93" t="s">
        <v>423</v>
      </c>
      <c r="B1843" s="93" t="s">
        <v>424</v>
      </c>
      <c r="C1843" s="410">
        <v>49</v>
      </c>
      <c r="D1843" s="93" t="s">
        <v>24</v>
      </c>
      <c r="E1843" s="93" t="s">
        <v>24</v>
      </c>
      <c r="F1843" s="93" t="s">
        <v>7</v>
      </c>
      <c r="G1843" s="93" t="s">
        <v>7185</v>
      </c>
      <c r="H1843" s="93" t="s">
        <v>118</v>
      </c>
      <c r="I1843" s="93" t="s">
        <v>111</v>
      </c>
      <c r="J1843" s="93" t="s">
        <v>7105</v>
      </c>
      <c r="K1843" s="93" t="s">
        <v>111</v>
      </c>
      <c r="L1843" s="93" t="s">
        <v>111</v>
      </c>
      <c r="M1843" s="93" t="s">
        <v>111</v>
      </c>
      <c r="N1843" s="93" t="s">
        <v>111</v>
      </c>
      <c r="O1843" s="93" t="s">
        <v>111</v>
      </c>
      <c r="P1843" s="93" t="s">
        <v>111</v>
      </c>
      <c r="Q1843" s="93" t="s">
        <v>111</v>
      </c>
      <c r="R1843" s="93" t="s">
        <v>111</v>
      </c>
      <c r="S1843" s="93" t="s">
        <v>2</v>
      </c>
      <c r="T1843" s="93" t="s">
        <v>111</v>
      </c>
      <c r="U1843" s="93" t="s">
        <v>116</v>
      </c>
      <c r="V1843" s="94">
        <v>44596.693055555559</v>
      </c>
      <c r="W1843" s="93" t="s">
        <v>7072</v>
      </c>
      <c r="X1843" s="93" t="s">
        <v>24</v>
      </c>
    </row>
    <row r="1844" spans="1:24" hidden="1" x14ac:dyDescent="0.15">
      <c r="A1844" s="93" t="s">
        <v>425</v>
      </c>
      <c r="B1844" s="93" t="s">
        <v>426</v>
      </c>
      <c r="C1844" s="410">
        <v>76</v>
      </c>
      <c r="D1844" s="93" t="s">
        <v>24</v>
      </c>
      <c r="E1844" s="93" t="s">
        <v>24</v>
      </c>
      <c r="F1844" s="93" t="s">
        <v>7</v>
      </c>
      <c r="G1844" s="93" t="s">
        <v>7185</v>
      </c>
      <c r="H1844" s="93" t="s">
        <v>118</v>
      </c>
      <c r="I1844" s="93" t="s">
        <v>111</v>
      </c>
      <c r="J1844" s="93" t="s">
        <v>7105</v>
      </c>
      <c r="K1844" s="93" t="s">
        <v>111</v>
      </c>
      <c r="L1844" s="93" t="s">
        <v>111</v>
      </c>
      <c r="M1844" s="93" t="s">
        <v>111</v>
      </c>
      <c r="N1844" s="93" t="s">
        <v>111</v>
      </c>
      <c r="O1844" s="93" t="s">
        <v>111</v>
      </c>
      <c r="P1844" s="93" t="s">
        <v>111</v>
      </c>
      <c r="Q1844" s="93" t="s">
        <v>111</v>
      </c>
      <c r="R1844" s="93" t="s">
        <v>111</v>
      </c>
      <c r="S1844" s="93" t="s">
        <v>2</v>
      </c>
      <c r="T1844" s="93" t="s">
        <v>111</v>
      </c>
      <c r="U1844" s="93" t="s">
        <v>116</v>
      </c>
      <c r="V1844" s="94">
        <v>44596.654166666667</v>
      </c>
      <c r="W1844" s="93" t="s">
        <v>7072</v>
      </c>
      <c r="X1844" s="93" t="s">
        <v>24</v>
      </c>
    </row>
    <row r="1845" spans="1:24" hidden="1" x14ac:dyDescent="0.15">
      <c r="A1845" s="93" t="s">
        <v>427</v>
      </c>
      <c r="B1845" s="93" t="s">
        <v>428</v>
      </c>
      <c r="C1845" s="410">
        <v>95</v>
      </c>
      <c r="D1845" s="93" t="s">
        <v>24</v>
      </c>
      <c r="E1845" s="93" t="s">
        <v>24</v>
      </c>
      <c r="F1845" s="93" t="s">
        <v>7</v>
      </c>
      <c r="G1845" s="93" t="s">
        <v>7185</v>
      </c>
      <c r="H1845" s="93" t="s">
        <v>118</v>
      </c>
      <c r="I1845" s="93" t="s">
        <v>111</v>
      </c>
      <c r="J1845" s="93" t="s">
        <v>7105</v>
      </c>
      <c r="K1845" s="93" t="s">
        <v>111</v>
      </c>
      <c r="L1845" s="93" t="s">
        <v>111</v>
      </c>
      <c r="M1845" s="93" t="s">
        <v>111</v>
      </c>
      <c r="N1845" s="93" t="s">
        <v>111</v>
      </c>
      <c r="O1845" s="93" t="s">
        <v>111</v>
      </c>
      <c r="P1845" s="93" t="s">
        <v>111</v>
      </c>
      <c r="Q1845" s="93" t="s">
        <v>111</v>
      </c>
      <c r="R1845" s="93" t="s">
        <v>111</v>
      </c>
      <c r="S1845" s="93" t="s">
        <v>2</v>
      </c>
      <c r="T1845" s="93" t="s">
        <v>111</v>
      </c>
      <c r="U1845" s="93" t="s">
        <v>116</v>
      </c>
      <c r="V1845" s="94">
        <v>44596.68472222222</v>
      </c>
      <c r="W1845" s="93" t="s">
        <v>7072</v>
      </c>
      <c r="X1845" s="93" t="s">
        <v>24</v>
      </c>
    </row>
    <row r="1846" spans="1:24" hidden="1" x14ac:dyDescent="0.15">
      <c r="A1846" s="93" t="s">
        <v>429</v>
      </c>
      <c r="B1846" s="93" t="s">
        <v>430</v>
      </c>
      <c r="C1846" s="410">
        <v>243</v>
      </c>
      <c r="D1846" s="93" t="s">
        <v>24</v>
      </c>
      <c r="E1846" s="93" t="s">
        <v>24</v>
      </c>
      <c r="F1846" s="93" t="s">
        <v>7</v>
      </c>
      <c r="G1846" s="93" t="s">
        <v>7185</v>
      </c>
      <c r="H1846" s="93" t="s">
        <v>118</v>
      </c>
      <c r="I1846" s="93" t="s">
        <v>111</v>
      </c>
      <c r="J1846" s="93" t="s">
        <v>7105</v>
      </c>
      <c r="K1846" s="93" t="s">
        <v>111</v>
      </c>
      <c r="L1846" s="93" t="s">
        <v>111</v>
      </c>
      <c r="M1846" s="93" t="s">
        <v>111</v>
      </c>
      <c r="N1846" s="93" t="s">
        <v>111</v>
      </c>
      <c r="O1846" s="93" t="s">
        <v>111</v>
      </c>
      <c r="P1846" s="93" t="s">
        <v>111</v>
      </c>
      <c r="Q1846" s="93" t="s">
        <v>111</v>
      </c>
      <c r="R1846" s="93" t="s">
        <v>111</v>
      </c>
      <c r="S1846" s="93" t="s">
        <v>2</v>
      </c>
      <c r="T1846" s="93" t="s">
        <v>111</v>
      </c>
      <c r="U1846" s="93" t="s">
        <v>116</v>
      </c>
      <c r="V1846" s="94">
        <v>44596.640277777777</v>
      </c>
      <c r="W1846" s="93" t="s">
        <v>7072</v>
      </c>
      <c r="X1846" s="93" t="s">
        <v>24</v>
      </c>
    </row>
    <row r="1847" spans="1:24" hidden="1" x14ac:dyDescent="0.15">
      <c r="A1847" s="93" t="s">
        <v>431</v>
      </c>
      <c r="B1847" s="93" t="s">
        <v>432</v>
      </c>
      <c r="C1847" s="410">
        <v>380</v>
      </c>
      <c r="D1847" s="93" t="s">
        <v>24</v>
      </c>
      <c r="E1847" s="93" t="s">
        <v>24</v>
      </c>
      <c r="F1847" s="93" t="s">
        <v>7</v>
      </c>
      <c r="G1847" s="93" t="s">
        <v>7185</v>
      </c>
      <c r="H1847" s="93" t="s">
        <v>118</v>
      </c>
      <c r="I1847" s="93" t="s">
        <v>111</v>
      </c>
      <c r="J1847" s="93" t="s">
        <v>7105</v>
      </c>
      <c r="K1847" s="93" t="s">
        <v>111</v>
      </c>
      <c r="L1847" s="93" t="s">
        <v>111</v>
      </c>
      <c r="M1847" s="93" t="s">
        <v>111</v>
      </c>
      <c r="N1847" s="93" t="s">
        <v>111</v>
      </c>
      <c r="O1847" s="93" t="s">
        <v>111</v>
      </c>
      <c r="P1847" s="93" t="s">
        <v>111</v>
      </c>
      <c r="Q1847" s="93" t="s">
        <v>111</v>
      </c>
      <c r="R1847" s="93" t="s">
        <v>111</v>
      </c>
      <c r="S1847" s="93" t="s">
        <v>2</v>
      </c>
      <c r="T1847" s="93" t="s">
        <v>111</v>
      </c>
      <c r="U1847" s="93" t="s">
        <v>116</v>
      </c>
      <c r="V1847" s="94">
        <v>44596.693055555559</v>
      </c>
      <c r="W1847" s="93" t="s">
        <v>7072</v>
      </c>
      <c r="X1847" s="93" t="s">
        <v>24</v>
      </c>
    </row>
    <row r="1848" spans="1:24" hidden="1" x14ac:dyDescent="0.15">
      <c r="A1848" s="93" t="s">
        <v>433</v>
      </c>
      <c r="B1848" s="93" t="s">
        <v>434</v>
      </c>
      <c r="C1848" s="410">
        <v>30</v>
      </c>
      <c r="D1848" s="93" t="s">
        <v>24</v>
      </c>
      <c r="E1848" s="93" t="s">
        <v>24</v>
      </c>
      <c r="F1848" s="93" t="s">
        <v>7</v>
      </c>
      <c r="G1848" s="93" t="s">
        <v>7185</v>
      </c>
      <c r="H1848" s="93" t="s">
        <v>118</v>
      </c>
      <c r="I1848" s="93" t="s">
        <v>111</v>
      </c>
      <c r="J1848" s="93" t="s">
        <v>118</v>
      </c>
      <c r="K1848" s="93">
        <v>3</v>
      </c>
      <c r="L1848" s="93" t="s">
        <v>111</v>
      </c>
      <c r="M1848" s="93" t="s">
        <v>111</v>
      </c>
      <c r="N1848" s="93" t="s">
        <v>111</v>
      </c>
      <c r="O1848" s="93" t="s">
        <v>111</v>
      </c>
      <c r="P1848" s="93" t="s">
        <v>111</v>
      </c>
      <c r="Q1848" s="93" t="s">
        <v>111</v>
      </c>
      <c r="R1848" s="93" t="s">
        <v>111</v>
      </c>
      <c r="S1848" s="93" t="s">
        <v>2</v>
      </c>
      <c r="T1848" s="93" t="s">
        <v>111</v>
      </c>
      <c r="U1848" s="93" t="s">
        <v>116</v>
      </c>
      <c r="V1848" s="94">
        <v>44596.654861111114</v>
      </c>
      <c r="W1848" s="93" t="s">
        <v>7072</v>
      </c>
      <c r="X1848" s="93" t="s">
        <v>24</v>
      </c>
    </row>
    <row r="1849" spans="1:24" hidden="1" x14ac:dyDescent="0.15">
      <c r="A1849" s="93" t="s">
        <v>435</v>
      </c>
      <c r="B1849" s="93" t="s">
        <v>436</v>
      </c>
      <c r="C1849" s="410">
        <v>77</v>
      </c>
      <c r="D1849" s="93" t="s">
        <v>24</v>
      </c>
      <c r="E1849" s="93" t="s">
        <v>24</v>
      </c>
      <c r="F1849" s="93" t="s">
        <v>7</v>
      </c>
      <c r="G1849" s="93" t="s">
        <v>7185</v>
      </c>
      <c r="H1849" s="93" t="s">
        <v>118</v>
      </c>
      <c r="I1849" s="93" t="s">
        <v>111</v>
      </c>
      <c r="J1849" s="93" t="s">
        <v>7105</v>
      </c>
      <c r="K1849" s="93" t="s">
        <v>111</v>
      </c>
      <c r="L1849" s="93" t="s">
        <v>111</v>
      </c>
      <c r="M1849" s="93" t="s">
        <v>111</v>
      </c>
      <c r="N1849" s="93" t="s">
        <v>111</v>
      </c>
      <c r="O1849" s="93" t="s">
        <v>111</v>
      </c>
      <c r="P1849" s="93" t="s">
        <v>111</v>
      </c>
      <c r="Q1849" s="93" t="s">
        <v>111</v>
      </c>
      <c r="R1849" s="93" t="s">
        <v>111</v>
      </c>
      <c r="S1849" s="93" t="s">
        <v>2</v>
      </c>
      <c r="T1849" s="93" t="s">
        <v>111</v>
      </c>
      <c r="U1849" s="93" t="s">
        <v>116</v>
      </c>
      <c r="V1849" s="94">
        <v>44596.65</v>
      </c>
      <c r="W1849" s="93" t="s">
        <v>7072</v>
      </c>
      <c r="X1849" s="93" t="s">
        <v>24</v>
      </c>
    </row>
    <row r="1850" spans="1:24" hidden="1" x14ac:dyDescent="0.15">
      <c r="A1850" s="93" t="s">
        <v>437</v>
      </c>
      <c r="B1850" s="93" t="s">
        <v>438</v>
      </c>
      <c r="C1850" s="410">
        <v>120</v>
      </c>
      <c r="D1850" s="93" t="s">
        <v>24</v>
      </c>
      <c r="E1850" s="93" t="s">
        <v>24</v>
      </c>
      <c r="F1850" s="93" t="s">
        <v>7</v>
      </c>
      <c r="G1850" s="93" t="s">
        <v>7185</v>
      </c>
      <c r="H1850" s="93" t="s">
        <v>118</v>
      </c>
      <c r="I1850" s="93" t="s">
        <v>111</v>
      </c>
      <c r="J1850" s="93" t="s">
        <v>7105</v>
      </c>
      <c r="K1850" s="93" t="s">
        <v>111</v>
      </c>
      <c r="L1850" s="93" t="s">
        <v>111</v>
      </c>
      <c r="M1850" s="93" t="s">
        <v>111</v>
      </c>
      <c r="N1850" s="93" t="s">
        <v>111</v>
      </c>
      <c r="O1850" s="93" t="s">
        <v>111</v>
      </c>
      <c r="P1850" s="93" t="s">
        <v>111</v>
      </c>
      <c r="Q1850" s="93" t="s">
        <v>111</v>
      </c>
      <c r="R1850" s="93" t="s">
        <v>111</v>
      </c>
      <c r="S1850" s="93" t="s">
        <v>2</v>
      </c>
      <c r="T1850" s="93" t="s">
        <v>111</v>
      </c>
      <c r="U1850" s="93" t="s">
        <v>116</v>
      </c>
      <c r="V1850" s="94">
        <v>44596.645833333336</v>
      </c>
      <c r="W1850" s="93" t="s">
        <v>7072</v>
      </c>
      <c r="X1850" s="93" t="s">
        <v>24</v>
      </c>
    </row>
    <row r="1851" spans="1:24" hidden="1" x14ac:dyDescent="0.15">
      <c r="A1851" s="93" t="s">
        <v>439</v>
      </c>
      <c r="B1851" s="93" t="s">
        <v>440</v>
      </c>
      <c r="C1851" s="410">
        <v>56</v>
      </c>
      <c r="D1851" s="93" t="s">
        <v>24</v>
      </c>
      <c r="E1851" s="93" t="s">
        <v>24</v>
      </c>
      <c r="F1851" s="93" t="s">
        <v>7</v>
      </c>
      <c r="G1851" s="93" t="s">
        <v>7185</v>
      </c>
      <c r="H1851" s="93" t="s">
        <v>118</v>
      </c>
      <c r="I1851" s="93" t="s">
        <v>111</v>
      </c>
      <c r="J1851" s="93" t="s">
        <v>7105</v>
      </c>
      <c r="K1851" s="93" t="s">
        <v>111</v>
      </c>
      <c r="L1851" s="93" t="s">
        <v>111</v>
      </c>
      <c r="M1851" s="93" t="s">
        <v>111</v>
      </c>
      <c r="N1851" s="93" t="s">
        <v>111</v>
      </c>
      <c r="O1851" s="93" t="s">
        <v>111</v>
      </c>
      <c r="P1851" s="93" t="s">
        <v>111</v>
      </c>
      <c r="Q1851" s="93" t="s">
        <v>111</v>
      </c>
      <c r="R1851" s="93" t="s">
        <v>111</v>
      </c>
      <c r="S1851" s="93" t="s">
        <v>2</v>
      </c>
      <c r="T1851" s="93" t="s">
        <v>111</v>
      </c>
      <c r="U1851" s="93" t="s">
        <v>116</v>
      </c>
      <c r="V1851" s="94">
        <v>44596.65</v>
      </c>
      <c r="W1851" s="93" t="s">
        <v>7072</v>
      </c>
      <c r="X1851" s="93" t="s">
        <v>24</v>
      </c>
    </row>
    <row r="1852" spans="1:24" hidden="1" x14ac:dyDescent="0.15">
      <c r="A1852" s="93" t="s">
        <v>441</v>
      </c>
      <c r="B1852" s="93" t="s">
        <v>442</v>
      </c>
      <c r="C1852" s="410">
        <v>143</v>
      </c>
      <c r="D1852" s="93" t="s">
        <v>24</v>
      </c>
      <c r="E1852" s="93" t="s">
        <v>24</v>
      </c>
      <c r="F1852" s="93" t="s">
        <v>7</v>
      </c>
      <c r="G1852" s="93" t="s">
        <v>7185</v>
      </c>
      <c r="H1852" s="93" t="s">
        <v>118</v>
      </c>
      <c r="I1852" s="93" t="s">
        <v>111</v>
      </c>
      <c r="J1852" s="93" t="s">
        <v>118</v>
      </c>
      <c r="K1852" s="93">
        <v>3</v>
      </c>
      <c r="L1852" s="93" t="s">
        <v>111</v>
      </c>
      <c r="M1852" s="93" t="s">
        <v>111</v>
      </c>
      <c r="N1852" s="93" t="s">
        <v>111</v>
      </c>
      <c r="O1852" s="93" t="s">
        <v>111</v>
      </c>
      <c r="P1852" s="93" t="s">
        <v>111</v>
      </c>
      <c r="Q1852" s="93" t="s">
        <v>111</v>
      </c>
      <c r="R1852" s="93" t="s">
        <v>228</v>
      </c>
      <c r="S1852" s="93" t="s">
        <v>2</v>
      </c>
      <c r="T1852" s="93" t="s">
        <v>115</v>
      </c>
      <c r="U1852" s="93" t="s">
        <v>116</v>
      </c>
      <c r="V1852" s="94">
        <v>44596.65902777778</v>
      </c>
      <c r="W1852" s="93" t="s">
        <v>7072</v>
      </c>
      <c r="X1852" s="93" t="s">
        <v>24</v>
      </c>
    </row>
    <row r="1853" spans="1:24" hidden="1" x14ac:dyDescent="0.15">
      <c r="A1853" s="93" t="s">
        <v>443</v>
      </c>
      <c r="B1853" s="93" t="s">
        <v>444</v>
      </c>
      <c r="C1853" s="410">
        <v>224</v>
      </c>
      <c r="D1853" s="93" t="s">
        <v>24</v>
      </c>
      <c r="E1853" s="93" t="s">
        <v>24</v>
      </c>
      <c r="F1853" s="93" t="s">
        <v>7</v>
      </c>
      <c r="G1853" s="93" t="s">
        <v>7185</v>
      </c>
      <c r="H1853" s="93" t="s">
        <v>118</v>
      </c>
      <c r="I1853" s="93" t="s">
        <v>111</v>
      </c>
      <c r="J1853" s="93" t="s">
        <v>7105</v>
      </c>
      <c r="K1853" s="93" t="s">
        <v>111</v>
      </c>
      <c r="L1853" s="93" t="s">
        <v>111</v>
      </c>
      <c r="M1853" s="93" t="s">
        <v>111</v>
      </c>
      <c r="N1853" s="93" t="s">
        <v>111</v>
      </c>
      <c r="O1853" s="93" t="s">
        <v>111</v>
      </c>
      <c r="P1853" s="93" t="s">
        <v>111</v>
      </c>
      <c r="Q1853" s="93" t="s">
        <v>111</v>
      </c>
      <c r="R1853" s="93" t="s">
        <v>111</v>
      </c>
      <c r="S1853" s="93" t="s">
        <v>2</v>
      </c>
      <c r="T1853" s="93" t="s">
        <v>111</v>
      </c>
      <c r="U1853" s="93" t="s">
        <v>116</v>
      </c>
      <c r="V1853" s="94">
        <v>44596.667361111111</v>
      </c>
      <c r="W1853" s="93" t="s">
        <v>7072</v>
      </c>
      <c r="X1853" s="93" t="s">
        <v>24</v>
      </c>
    </row>
    <row r="1854" spans="1:24" hidden="1" x14ac:dyDescent="0.15">
      <c r="A1854" s="93" t="s">
        <v>445</v>
      </c>
      <c r="B1854" s="93" t="s">
        <v>446</v>
      </c>
      <c r="C1854" s="410">
        <v>69</v>
      </c>
      <c r="D1854" s="93" t="s">
        <v>24</v>
      </c>
      <c r="E1854" s="93" t="s">
        <v>24</v>
      </c>
      <c r="F1854" s="93" t="s">
        <v>7</v>
      </c>
      <c r="G1854" s="93" t="s">
        <v>7185</v>
      </c>
      <c r="H1854" s="93" t="s">
        <v>118</v>
      </c>
      <c r="I1854" s="93" t="s">
        <v>111</v>
      </c>
      <c r="J1854" s="93" t="s">
        <v>118</v>
      </c>
      <c r="K1854" s="93">
        <v>3</v>
      </c>
      <c r="L1854" s="93" t="s">
        <v>111</v>
      </c>
      <c r="M1854" s="93" t="s">
        <v>111</v>
      </c>
      <c r="N1854" s="93" t="s">
        <v>111</v>
      </c>
      <c r="O1854" s="93" t="s">
        <v>111</v>
      </c>
      <c r="P1854" s="93" t="s">
        <v>111</v>
      </c>
      <c r="Q1854" s="93" t="s">
        <v>111</v>
      </c>
      <c r="R1854" s="93" t="s">
        <v>111</v>
      </c>
      <c r="S1854" s="93" t="s">
        <v>2</v>
      </c>
      <c r="T1854" s="93" t="s">
        <v>111</v>
      </c>
      <c r="U1854" s="93" t="s">
        <v>116</v>
      </c>
      <c r="V1854" s="94">
        <v>44596.693749999999</v>
      </c>
      <c r="W1854" s="93" t="s">
        <v>7072</v>
      </c>
      <c r="X1854" s="93" t="s">
        <v>24</v>
      </c>
    </row>
    <row r="1855" spans="1:24" hidden="1" x14ac:dyDescent="0.15">
      <c r="A1855" s="93" t="s">
        <v>447</v>
      </c>
      <c r="B1855" s="93" t="s">
        <v>448</v>
      </c>
      <c r="C1855" s="410">
        <v>176</v>
      </c>
      <c r="D1855" s="93" t="s">
        <v>24</v>
      </c>
      <c r="E1855" s="93" t="s">
        <v>24</v>
      </c>
      <c r="F1855" s="93" t="s">
        <v>7</v>
      </c>
      <c r="G1855" s="93" t="s">
        <v>7185</v>
      </c>
      <c r="H1855" s="93" t="s">
        <v>118</v>
      </c>
      <c r="I1855" s="93" t="s">
        <v>111</v>
      </c>
      <c r="J1855" s="93" t="s">
        <v>7105</v>
      </c>
      <c r="K1855" s="93" t="s">
        <v>111</v>
      </c>
      <c r="L1855" s="93" t="s">
        <v>111</v>
      </c>
      <c r="M1855" s="93" t="s">
        <v>111</v>
      </c>
      <c r="N1855" s="93" t="s">
        <v>111</v>
      </c>
      <c r="O1855" s="93" t="s">
        <v>111</v>
      </c>
      <c r="P1855" s="93" t="s">
        <v>111</v>
      </c>
      <c r="Q1855" s="93" t="s">
        <v>111</v>
      </c>
      <c r="R1855" s="93" t="s">
        <v>111</v>
      </c>
      <c r="S1855" s="93" t="s">
        <v>2</v>
      </c>
      <c r="T1855" s="93" t="s">
        <v>111</v>
      </c>
      <c r="U1855" s="93" t="s">
        <v>116</v>
      </c>
      <c r="V1855" s="94">
        <v>44596.662499999999</v>
      </c>
      <c r="W1855" s="93" t="s">
        <v>7072</v>
      </c>
      <c r="X1855" s="93" t="s">
        <v>24</v>
      </c>
    </row>
    <row r="1856" spans="1:24" hidden="1" x14ac:dyDescent="0.15">
      <c r="A1856" s="93" t="s">
        <v>449</v>
      </c>
      <c r="B1856" s="93" t="s">
        <v>450</v>
      </c>
      <c r="C1856" s="410">
        <v>276</v>
      </c>
      <c r="D1856" s="93" t="s">
        <v>24</v>
      </c>
      <c r="E1856" s="93" t="s">
        <v>24</v>
      </c>
      <c r="F1856" s="93" t="s">
        <v>7</v>
      </c>
      <c r="G1856" s="93" t="s">
        <v>7185</v>
      </c>
      <c r="H1856" s="93" t="s">
        <v>118</v>
      </c>
      <c r="I1856" s="93" t="s">
        <v>111</v>
      </c>
      <c r="J1856" s="93" t="s">
        <v>7105</v>
      </c>
      <c r="K1856" s="93" t="s">
        <v>111</v>
      </c>
      <c r="L1856" s="93" t="s">
        <v>111</v>
      </c>
      <c r="M1856" s="93" t="s">
        <v>111</v>
      </c>
      <c r="N1856" s="93" t="s">
        <v>111</v>
      </c>
      <c r="O1856" s="93" t="s">
        <v>111</v>
      </c>
      <c r="P1856" s="93" t="s">
        <v>111</v>
      </c>
      <c r="Q1856" s="93" t="s">
        <v>111</v>
      </c>
      <c r="R1856" s="93" t="s">
        <v>111</v>
      </c>
      <c r="S1856" s="93" t="s">
        <v>2</v>
      </c>
      <c r="T1856" s="93" t="s">
        <v>111</v>
      </c>
      <c r="U1856" s="93" t="s">
        <v>116</v>
      </c>
      <c r="V1856" s="94">
        <v>44596.693749999999</v>
      </c>
      <c r="W1856" s="93" t="s">
        <v>7072</v>
      </c>
      <c r="X1856" s="93" t="s">
        <v>24</v>
      </c>
    </row>
    <row r="1857" spans="1:24" hidden="1" x14ac:dyDescent="0.15">
      <c r="A1857" s="93" t="s">
        <v>224</v>
      </c>
      <c r="B1857" s="93" t="s">
        <v>860</v>
      </c>
      <c r="C1857" s="410">
        <v>32</v>
      </c>
      <c r="D1857" s="93" t="s">
        <v>24</v>
      </c>
      <c r="E1857" s="93" t="s">
        <v>24</v>
      </c>
      <c r="F1857" s="93" t="s">
        <v>7</v>
      </c>
      <c r="G1857" s="93" t="s">
        <v>7185</v>
      </c>
      <c r="H1857" s="93" t="s">
        <v>400</v>
      </c>
      <c r="I1857" s="93" t="s">
        <v>111</v>
      </c>
      <c r="J1857" s="93" t="s">
        <v>7105</v>
      </c>
      <c r="K1857" s="93" t="s">
        <v>111</v>
      </c>
      <c r="L1857" s="93" t="s">
        <v>111</v>
      </c>
      <c r="M1857" s="93" t="s">
        <v>111</v>
      </c>
      <c r="N1857" s="93" t="s">
        <v>111</v>
      </c>
      <c r="O1857" s="93" t="s">
        <v>111</v>
      </c>
      <c r="P1857" s="93" t="s">
        <v>111</v>
      </c>
      <c r="Q1857" s="93" t="s">
        <v>111</v>
      </c>
      <c r="R1857" s="93" t="s">
        <v>111</v>
      </c>
      <c r="S1857" s="93" t="s">
        <v>2</v>
      </c>
      <c r="T1857" s="93" t="s">
        <v>111</v>
      </c>
      <c r="U1857" s="93" t="s">
        <v>116</v>
      </c>
      <c r="V1857" s="94">
        <v>44596.658333333333</v>
      </c>
      <c r="W1857" s="93" t="s">
        <v>7072</v>
      </c>
      <c r="X1857" s="93" t="s">
        <v>24</v>
      </c>
    </row>
    <row r="1858" spans="1:24" hidden="1" x14ac:dyDescent="0.15">
      <c r="A1858" s="93" t="s">
        <v>225</v>
      </c>
      <c r="B1858" s="93" t="s">
        <v>861</v>
      </c>
      <c r="C1858" s="410">
        <v>82</v>
      </c>
      <c r="D1858" s="93" t="s">
        <v>24</v>
      </c>
      <c r="E1858" s="93" t="s">
        <v>24</v>
      </c>
      <c r="F1858" s="93" t="s">
        <v>7</v>
      </c>
      <c r="G1858" s="93" t="s">
        <v>7185</v>
      </c>
      <c r="H1858" s="93" t="s">
        <v>400</v>
      </c>
      <c r="I1858" s="93" t="s">
        <v>111</v>
      </c>
      <c r="J1858" s="93" t="s">
        <v>7105</v>
      </c>
      <c r="K1858" s="93" t="s">
        <v>111</v>
      </c>
      <c r="L1858" s="93" t="s">
        <v>111</v>
      </c>
      <c r="M1858" s="93" t="s">
        <v>111</v>
      </c>
      <c r="N1858" s="93" t="s">
        <v>111</v>
      </c>
      <c r="O1858" s="93" t="s">
        <v>111</v>
      </c>
      <c r="P1858" s="93" t="s">
        <v>111</v>
      </c>
      <c r="Q1858" s="93" t="s">
        <v>111</v>
      </c>
      <c r="R1858" s="93" t="s">
        <v>111</v>
      </c>
      <c r="S1858" s="93" t="s">
        <v>2</v>
      </c>
      <c r="T1858" s="93" t="s">
        <v>111</v>
      </c>
      <c r="U1858" s="93" t="s">
        <v>116</v>
      </c>
      <c r="V1858" s="94">
        <v>44596.685416666667</v>
      </c>
      <c r="W1858" s="93" t="s">
        <v>7072</v>
      </c>
      <c r="X1858" s="93" t="s">
        <v>24</v>
      </c>
    </row>
    <row r="1859" spans="1:24" hidden="1" x14ac:dyDescent="0.15">
      <c r="A1859" s="93" t="s">
        <v>226</v>
      </c>
      <c r="B1859" s="93" t="s">
        <v>862</v>
      </c>
      <c r="C1859" s="410">
        <v>128</v>
      </c>
      <c r="D1859" s="93" t="s">
        <v>24</v>
      </c>
      <c r="E1859" s="93" t="s">
        <v>24</v>
      </c>
      <c r="F1859" s="93" t="s">
        <v>7</v>
      </c>
      <c r="G1859" s="93" t="s">
        <v>7185</v>
      </c>
      <c r="H1859" s="93" t="s">
        <v>400</v>
      </c>
      <c r="I1859" s="93" t="s">
        <v>111</v>
      </c>
      <c r="J1859" s="93" t="s">
        <v>7105</v>
      </c>
      <c r="K1859" s="93" t="s">
        <v>111</v>
      </c>
      <c r="L1859" s="93" t="s">
        <v>111</v>
      </c>
      <c r="M1859" s="93" t="s">
        <v>111</v>
      </c>
      <c r="N1859" s="93" t="s">
        <v>111</v>
      </c>
      <c r="O1859" s="93" t="s">
        <v>111</v>
      </c>
      <c r="P1859" s="93" t="s">
        <v>111</v>
      </c>
      <c r="Q1859" s="93" t="s">
        <v>111</v>
      </c>
      <c r="R1859" s="93" t="s">
        <v>111</v>
      </c>
      <c r="S1859" s="93" t="s">
        <v>2</v>
      </c>
      <c r="T1859" s="93" t="s">
        <v>111</v>
      </c>
      <c r="U1859" s="93" t="s">
        <v>116</v>
      </c>
      <c r="V1859" s="94">
        <v>44596.696527777778</v>
      </c>
      <c r="W1859" s="93" t="s">
        <v>7072</v>
      </c>
      <c r="X1859" s="93" t="s">
        <v>24</v>
      </c>
    </row>
    <row r="1860" spans="1:24" hidden="1" x14ac:dyDescent="0.15">
      <c r="A1860" s="93" t="s">
        <v>7393</v>
      </c>
      <c r="B1860" s="93" t="s">
        <v>7394</v>
      </c>
      <c r="C1860" s="410">
        <v>39</v>
      </c>
      <c r="D1860" s="93" t="s">
        <v>24</v>
      </c>
      <c r="E1860" s="93" t="s">
        <v>24</v>
      </c>
      <c r="F1860" s="93" t="s">
        <v>7</v>
      </c>
      <c r="G1860" s="93" t="s">
        <v>7185</v>
      </c>
      <c r="H1860" s="93" t="s">
        <v>400</v>
      </c>
      <c r="I1860" s="93" t="s">
        <v>111</v>
      </c>
      <c r="J1860" s="93" t="s">
        <v>118</v>
      </c>
      <c r="K1860" s="93">
        <v>3</v>
      </c>
      <c r="L1860" s="93" t="s">
        <v>111</v>
      </c>
      <c r="M1860" s="93" t="s">
        <v>111</v>
      </c>
      <c r="N1860" s="93" t="s">
        <v>111</v>
      </c>
      <c r="O1860" s="93" t="s">
        <v>111</v>
      </c>
      <c r="P1860" s="93" t="s">
        <v>111</v>
      </c>
      <c r="Q1860" s="93" t="s">
        <v>111</v>
      </c>
      <c r="R1860" s="93" t="s">
        <v>228</v>
      </c>
      <c r="S1860" s="93" t="s">
        <v>2</v>
      </c>
      <c r="T1860" s="93" t="s">
        <v>115</v>
      </c>
      <c r="U1860" s="93" t="s">
        <v>116</v>
      </c>
      <c r="V1860" s="94">
        <v>44602.490972222222</v>
      </c>
      <c r="W1860" s="93" t="s">
        <v>402</v>
      </c>
      <c r="X1860" s="93" t="s">
        <v>24</v>
      </c>
    </row>
    <row r="1861" spans="1:24" hidden="1" x14ac:dyDescent="0.15">
      <c r="A1861" s="93" t="s">
        <v>7395</v>
      </c>
      <c r="B1861" s="93" t="s">
        <v>7396</v>
      </c>
      <c r="C1861" s="410">
        <v>100</v>
      </c>
      <c r="D1861" s="93" t="s">
        <v>24</v>
      </c>
      <c r="E1861" s="93" t="s">
        <v>24</v>
      </c>
      <c r="F1861" s="93" t="s">
        <v>7</v>
      </c>
      <c r="G1861" s="93" t="s">
        <v>7185</v>
      </c>
      <c r="H1861" s="93" t="s">
        <v>400</v>
      </c>
      <c r="I1861" s="93" t="s">
        <v>111</v>
      </c>
      <c r="J1861" s="93" t="s">
        <v>118</v>
      </c>
      <c r="K1861" s="93">
        <v>3</v>
      </c>
      <c r="L1861" s="93" t="s">
        <v>111</v>
      </c>
      <c r="M1861" s="93" t="s">
        <v>111</v>
      </c>
      <c r="N1861" s="93" t="s">
        <v>111</v>
      </c>
      <c r="O1861" s="93" t="s">
        <v>111</v>
      </c>
      <c r="P1861" s="93" t="s">
        <v>111</v>
      </c>
      <c r="Q1861" s="93" t="s">
        <v>111</v>
      </c>
      <c r="R1861" s="93" t="s">
        <v>228</v>
      </c>
      <c r="S1861" s="93" t="s">
        <v>2</v>
      </c>
      <c r="T1861" s="93" t="s">
        <v>111</v>
      </c>
      <c r="U1861" s="93" t="s">
        <v>116</v>
      </c>
      <c r="V1861" s="94">
        <v>44602.490972222222</v>
      </c>
      <c r="W1861" s="93" t="s">
        <v>402</v>
      </c>
      <c r="X1861" s="93" t="s">
        <v>24</v>
      </c>
    </row>
    <row r="1862" spans="1:24" hidden="1" x14ac:dyDescent="0.15">
      <c r="A1862" s="93" t="s">
        <v>7397</v>
      </c>
      <c r="B1862" s="93" t="s">
        <v>7398</v>
      </c>
      <c r="C1862" s="410">
        <v>156</v>
      </c>
      <c r="D1862" s="93" t="s">
        <v>24</v>
      </c>
      <c r="E1862" s="93" t="s">
        <v>24</v>
      </c>
      <c r="F1862" s="93" t="s">
        <v>7</v>
      </c>
      <c r="G1862" s="93" t="s">
        <v>7185</v>
      </c>
      <c r="H1862" s="93" t="s">
        <v>400</v>
      </c>
      <c r="I1862" s="93" t="s">
        <v>111</v>
      </c>
      <c r="J1862" s="93" t="s">
        <v>118</v>
      </c>
      <c r="K1862" s="93">
        <v>3</v>
      </c>
      <c r="L1862" s="93" t="s">
        <v>111</v>
      </c>
      <c r="M1862" s="93" t="s">
        <v>111</v>
      </c>
      <c r="N1862" s="93" t="s">
        <v>111</v>
      </c>
      <c r="O1862" s="93" t="s">
        <v>111</v>
      </c>
      <c r="P1862" s="93" t="s">
        <v>111</v>
      </c>
      <c r="Q1862" s="93" t="s">
        <v>111</v>
      </c>
      <c r="R1862" s="93" t="s">
        <v>228</v>
      </c>
      <c r="S1862" s="93" t="s">
        <v>2</v>
      </c>
      <c r="T1862" s="93" t="s">
        <v>115</v>
      </c>
      <c r="U1862" s="93" t="s">
        <v>116</v>
      </c>
      <c r="V1862" s="94">
        <v>44602.490972222222</v>
      </c>
      <c r="W1862" s="93" t="s">
        <v>402</v>
      </c>
      <c r="X1862" s="93" t="s">
        <v>24</v>
      </c>
    </row>
    <row r="1863" spans="1:24" hidden="1" x14ac:dyDescent="0.15">
      <c r="A1863" s="93" t="s">
        <v>451</v>
      </c>
      <c r="B1863" s="93" t="s">
        <v>452</v>
      </c>
      <c r="C1863" s="410">
        <v>61</v>
      </c>
      <c r="D1863" s="93" t="s">
        <v>24</v>
      </c>
      <c r="E1863" s="93" t="s">
        <v>24</v>
      </c>
      <c r="F1863" s="93" t="s">
        <v>7</v>
      </c>
      <c r="G1863" s="93" t="s">
        <v>7185</v>
      </c>
      <c r="H1863" s="93" t="s">
        <v>118</v>
      </c>
      <c r="I1863" s="93" t="s">
        <v>111</v>
      </c>
      <c r="J1863" s="93" t="s">
        <v>7105</v>
      </c>
      <c r="K1863" s="93" t="s">
        <v>111</v>
      </c>
      <c r="L1863" s="93" t="s">
        <v>111</v>
      </c>
      <c r="M1863" s="93" t="s">
        <v>111</v>
      </c>
      <c r="N1863" s="93" t="s">
        <v>111</v>
      </c>
      <c r="O1863" s="93" t="s">
        <v>111</v>
      </c>
      <c r="P1863" s="93" t="s">
        <v>111</v>
      </c>
      <c r="Q1863" s="93" t="s">
        <v>111</v>
      </c>
      <c r="R1863" s="93" t="s">
        <v>111</v>
      </c>
      <c r="S1863" s="93" t="s">
        <v>2</v>
      </c>
      <c r="T1863" s="93" t="s">
        <v>111</v>
      </c>
      <c r="U1863" s="93" t="s">
        <v>116</v>
      </c>
      <c r="V1863" s="94">
        <v>44596.658333333333</v>
      </c>
      <c r="W1863" s="93" t="s">
        <v>7072</v>
      </c>
      <c r="X1863" s="93" t="s">
        <v>24</v>
      </c>
    </row>
    <row r="1864" spans="1:24" hidden="1" x14ac:dyDescent="0.15">
      <c r="A1864" s="93" t="s">
        <v>453</v>
      </c>
      <c r="B1864" s="93" t="s">
        <v>454</v>
      </c>
      <c r="C1864" s="410">
        <v>156</v>
      </c>
      <c r="D1864" s="93" t="s">
        <v>24</v>
      </c>
      <c r="E1864" s="93" t="s">
        <v>24</v>
      </c>
      <c r="F1864" s="93" t="s">
        <v>7</v>
      </c>
      <c r="G1864" s="93" t="s">
        <v>7185</v>
      </c>
      <c r="H1864" s="93" t="s">
        <v>118</v>
      </c>
      <c r="I1864" s="93" t="s">
        <v>111</v>
      </c>
      <c r="J1864" s="93" t="s">
        <v>7105</v>
      </c>
      <c r="K1864" s="93" t="s">
        <v>111</v>
      </c>
      <c r="L1864" s="93" t="s">
        <v>111</v>
      </c>
      <c r="M1864" s="93" t="s">
        <v>111</v>
      </c>
      <c r="N1864" s="93" t="s">
        <v>111</v>
      </c>
      <c r="O1864" s="93" t="s">
        <v>111</v>
      </c>
      <c r="P1864" s="93" t="s">
        <v>111</v>
      </c>
      <c r="Q1864" s="93" t="s">
        <v>111</v>
      </c>
      <c r="R1864" s="93" t="s">
        <v>111</v>
      </c>
      <c r="S1864" s="93" t="s">
        <v>2</v>
      </c>
      <c r="T1864" s="93" t="s">
        <v>111</v>
      </c>
      <c r="U1864" s="93" t="s">
        <v>116</v>
      </c>
      <c r="V1864" s="94">
        <v>44596.685416666667</v>
      </c>
      <c r="W1864" s="93" t="s">
        <v>7072</v>
      </c>
      <c r="X1864" s="93" t="s">
        <v>24</v>
      </c>
    </row>
    <row r="1865" spans="1:24" hidden="1" x14ac:dyDescent="0.15">
      <c r="A1865" s="93" t="s">
        <v>455</v>
      </c>
      <c r="B1865" s="93" t="s">
        <v>456</v>
      </c>
      <c r="C1865" s="410">
        <v>244</v>
      </c>
      <c r="D1865" s="93" t="s">
        <v>24</v>
      </c>
      <c r="E1865" s="93" t="s">
        <v>24</v>
      </c>
      <c r="F1865" s="93" t="s">
        <v>7</v>
      </c>
      <c r="G1865" s="93" t="s">
        <v>7185</v>
      </c>
      <c r="H1865" s="93" t="s">
        <v>118</v>
      </c>
      <c r="I1865" s="93" t="s">
        <v>111</v>
      </c>
      <c r="J1865" s="93" t="s">
        <v>7105</v>
      </c>
      <c r="K1865" s="93" t="s">
        <v>111</v>
      </c>
      <c r="L1865" s="93" t="s">
        <v>111</v>
      </c>
      <c r="M1865" s="93" t="s">
        <v>111</v>
      </c>
      <c r="N1865" s="93" t="s">
        <v>111</v>
      </c>
      <c r="O1865" s="93" t="s">
        <v>111</v>
      </c>
      <c r="P1865" s="93" t="s">
        <v>111</v>
      </c>
      <c r="Q1865" s="93" t="s">
        <v>111</v>
      </c>
      <c r="R1865" s="93" t="s">
        <v>111</v>
      </c>
      <c r="S1865" s="93" t="s">
        <v>2</v>
      </c>
      <c r="T1865" s="93" t="s">
        <v>111</v>
      </c>
      <c r="U1865" s="93" t="s">
        <v>116</v>
      </c>
      <c r="V1865" s="94">
        <v>44596.645138888889</v>
      </c>
      <c r="W1865" s="93" t="s">
        <v>7072</v>
      </c>
      <c r="X1865" s="93" t="s">
        <v>24</v>
      </c>
    </row>
    <row r="1866" spans="1:24" hidden="1" x14ac:dyDescent="0.15">
      <c r="A1866" s="93" t="s">
        <v>21</v>
      </c>
      <c r="B1866" s="93" t="s">
        <v>13</v>
      </c>
      <c r="C1866" s="410">
        <v>16</v>
      </c>
      <c r="D1866" s="93" t="s">
        <v>24</v>
      </c>
      <c r="E1866" s="93" t="s">
        <v>24</v>
      </c>
      <c r="F1866" s="93" t="s">
        <v>7</v>
      </c>
      <c r="G1866" s="93" t="s">
        <v>7185</v>
      </c>
      <c r="H1866" s="93" t="s">
        <v>400</v>
      </c>
      <c r="I1866" s="93" t="s">
        <v>111</v>
      </c>
      <c r="J1866" s="93" t="s">
        <v>7105</v>
      </c>
      <c r="K1866" s="93" t="s">
        <v>111</v>
      </c>
      <c r="L1866" s="93" t="s">
        <v>111</v>
      </c>
      <c r="M1866" s="93" t="s">
        <v>111</v>
      </c>
      <c r="N1866" s="93" t="s">
        <v>111</v>
      </c>
      <c r="O1866" s="93" t="s">
        <v>111</v>
      </c>
      <c r="P1866" s="93" t="s">
        <v>111</v>
      </c>
      <c r="Q1866" s="93" t="s">
        <v>111</v>
      </c>
      <c r="R1866" s="93" t="s">
        <v>111</v>
      </c>
      <c r="S1866" s="93" t="s">
        <v>2</v>
      </c>
      <c r="T1866" s="93" t="s">
        <v>111</v>
      </c>
      <c r="U1866" s="93" t="s">
        <v>116</v>
      </c>
      <c r="V1866" s="94">
        <v>44596.685416666667</v>
      </c>
      <c r="W1866" s="93" t="s">
        <v>7072</v>
      </c>
      <c r="X1866" s="93" t="s">
        <v>24</v>
      </c>
    </row>
    <row r="1867" spans="1:24" hidden="1" x14ac:dyDescent="0.15">
      <c r="A1867" s="93" t="s">
        <v>22</v>
      </c>
      <c r="B1867" s="93" t="s">
        <v>14</v>
      </c>
      <c r="C1867" s="410">
        <v>41</v>
      </c>
      <c r="D1867" s="93" t="s">
        <v>24</v>
      </c>
      <c r="E1867" s="93" t="s">
        <v>24</v>
      </c>
      <c r="F1867" s="93" t="s">
        <v>7</v>
      </c>
      <c r="G1867" s="93" t="s">
        <v>7185</v>
      </c>
      <c r="H1867" s="93" t="s">
        <v>400</v>
      </c>
      <c r="I1867" s="93" t="s">
        <v>111</v>
      </c>
      <c r="J1867" s="93" t="s">
        <v>7105</v>
      </c>
      <c r="K1867" s="93" t="s">
        <v>111</v>
      </c>
      <c r="L1867" s="93" t="s">
        <v>111</v>
      </c>
      <c r="M1867" s="93" t="s">
        <v>111</v>
      </c>
      <c r="N1867" s="93" t="s">
        <v>111</v>
      </c>
      <c r="O1867" s="93" t="s">
        <v>111</v>
      </c>
      <c r="P1867" s="93" t="s">
        <v>111</v>
      </c>
      <c r="Q1867" s="93" t="s">
        <v>111</v>
      </c>
      <c r="R1867" s="93" t="s">
        <v>111</v>
      </c>
      <c r="S1867" s="93" t="s">
        <v>2</v>
      </c>
      <c r="T1867" s="93" t="s">
        <v>111</v>
      </c>
      <c r="U1867" s="93" t="s">
        <v>116</v>
      </c>
      <c r="V1867" s="94">
        <v>44596.696527777778</v>
      </c>
      <c r="W1867" s="93" t="s">
        <v>7072</v>
      </c>
      <c r="X1867" s="93" t="s">
        <v>24</v>
      </c>
    </row>
    <row r="1868" spans="1:24" hidden="1" x14ac:dyDescent="0.15">
      <c r="A1868" s="93" t="s">
        <v>23</v>
      </c>
      <c r="B1868" s="93" t="s">
        <v>15</v>
      </c>
      <c r="C1868" s="410">
        <v>64</v>
      </c>
      <c r="D1868" s="93" t="s">
        <v>24</v>
      </c>
      <c r="E1868" s="93" t="s">
        <v>24</v>
      </c>
      <c r="F1868" s="93" t="s">
        <v>126</v>
      </c>
      <c r="G1868" s="93" t="s">
        <v>7185</v>
      </c>
      <c r="H1868" s="93" t="s">
        <v>400</v>
      </c>
      <c r="I1868" s="93" t="s">
        <v>111</v>
      </c>
      <c r="J1868" s="93" t="s">
        <v>7105</v>
      </c>
      <c r="K1868" s="93" t="s">
        <v>111</v>
      </c>
      <c r="L1868" s="93" t="s">
        <v>111</v>
      </c>
      <c r="M1868" s="93" t="s">
        <v>111</v>
      </c>
      <c r="N1868" s="93" t="s">
        <v>111</v>
      </c>
      <c r="O1868" s="93" t="s">
        <v>111</v>
      </c>
      <c r="P1868" s="93" t="s">
        <v>111</v>
      </c>
      <c r="Q1868" s="93" t="s">
        <v>111</v>
      </c>
      <c r="R1868" s="93" t="s">
        <v>111</v>
      </c>
      <c r="S1868" s="93" t="s">
        <v>2</v>
      </c>
      <c r="T1868" s="93" t="s">
        <v>111</v>
      </c>
      <c r="U1868" s="93" t="s">
        <v>116</v>
      </c>
      <c r="V1868" s="94">
        <v>44596.666666666664</v>
      </c>
      <c r="W1868" s="93" t="s">
        <v>7072</v>
      </c>
      <c r="X1868" s="93" t="s">
        <v>24</v>
      </c>
    </row>
    <row r="1869" spans="1:24" hidden="1" x14ac:dyDescent="0.15">
      <c r="A1869" s="93" t="s">
        <v>457</v>
      </c>
      <c r="B1869" s="93" t="s">
        <v>458</v>
      </c>
      <c r="C1869" s="410">
        <v>17</v>
      </c>
      <c r="D1869" s="93" t="s">
        <v>24</v>
      </c>
      <c r="E1869" s="93" t="s">
        <v>24</v>
      </c>
      <c r="F1869" s="93" t="s">
        <v>7</v>
      </c>
      <c r="G1869" s="93" t="s">
        <v>7185</v>
      </c>
      <c r="H1869" s="93" t="s">
        <v>400</v>
      </c>
      <c r="I1869" s="93" t="s">
        <v>111</v>
      </c>
      <c r="J1869" s="93" t="s">
        <v>7105</v>
      </c>
      <c r="K1869" s="93" t="s">
        <v>111</v>
      </c>
      <c r="L1869" s="93" t="s">
        <v>111</v>
      </c>
      <c r="M1869" s="93" t="s">
        <v>111</v>
      </c>
      <c r="N1869" s="93" t="s">
        <v>111</v>
      </c>
      <c r="O1869" s="93" t="s">
        <v>111</v>
      </c>
      <c r="P1869" s="93" t="s">
        <v>111</v>
      </c>
      <c r="Q1869" s="93" t="s">
        <v>111</v>
      </c>
      <c r="R1869" s="93" t="s">
        <v>111</v>
      </c>
      <c r="S1869" s="93" t="s">
        <v>2</v>
      </c>
      <c r="T1869" s="93" t="s">
        <v>111</v>
      </c>
      <c r="U1869" s="93" t="s">
        <v>116</v>
      </c>
      <c r="V1869" s="94">
        <v>44596.658333333333</v>
      </c>
      <c r="W1869" s="93" t="s">
        <v>7072</v>
      </c>
      <c r="X1869" s="93" t="s">
        <v>24</v>
      </c>
    </row>
    <row r="1870" spans="1:24" hidden="1" x14ac:dyDescent="0.15">
      <c r="A1870" s="93" t="s">
        <v>459</v>
      </c>
      <c r="B1870" s="93" t="s">
        <v>460</v>
      </c>
      <c r="C1870" s="410">
        <v>44</v>
      </c>
      <c r="D1870" s="93" t="s">
        <v>24</v>
      </c>
      <c r="E1870" s="93" t="s">
        <v>24</v>
      </c>
      <c r="F1870" s="93" t="s">
        <v>7</v>
      </c>
      <c r="G1870" s="93" t="s">
        <v>7185</v>
      </c>
      <c r="H1870" s="93" t="s">
        <v>400</v>
      </c>
      <c r="I1870" s="93" t="s">
        <v>111</v>
      </c>
      <c r="J1870" s="93" t="s">
        <v>7105</v>
      </c>
      <c r="K1870" s="93" t="s">
        <v>111</v>
      </c>
      <c r="L1870" s="93" t="s">
        <v>111</v>
      </c>
      <c r="M1870" s="93" t="s">
        <v>111</v>
      </c>
      <c r="N1870" s="93" t="s">
        <v>111</v>
      </c>
      <c r="O1870" s="93" t="s">
        <v>111</v>
      </c>
      <c r="P1870" s="93" t="s">
        <v>111</v>
      </c>
      <c r="Q1870" s="93" t="s">
        <v>111</v>
      </c>
      <c r="R1870" s="93" t="s">
        <v>111</v>
      </c>
      <c r="S1870" s="93" t="s">
        <v>2</v>
      </c>
      <c r="T1870" s="93" t="s">
        <v>111</v>
      </c>
      <c r="U1870" s="93" t="s">
        <v>116</v>
      </c>
      <c r="V1870" s="94">
        <v>44596.658333333333</v>
      </c>
      <c r="W1870" s="93" t="s">
        <v>7072</v>
      </c>
      <c r="X1870" s="93" t="s">
        <v>24</v>
      </c>
    </row>
    <row r="1871" spans="1:24" hidden="1" x14ac:dyDescent="0.15">
      <c r="A1871" s="93" t="s">
        <v>461</v>
      </c>
      <c r="B1871" s="93" t="s">
        <v>462</v>
      </c>
      <c r="C1871" s="410">
        <v>68</v>
      </c>
      <c r="D1871" s="93" t="s">
        <v>24</v>
      </c>
      <c r="E1871" s="93" t="s">
        <v>24</v>
      </c>
      <c r="F1871" s="93" t="s">
        <v>7</v>
      </c>
      <c r="G1871" s="93" t="s">
        <v>7185</v>
      </c>
      <c r="H1871" s="93" t="s">
        <v>400</v>
      </c>
      <c r="I1871" s="93" t="s">
        <v>111</v>
      </c>
      <c r="J1871" s="93" t="s">
        <v>7105</v>
      </c>
      <c r="K1871" s="93" t="s">
        <v>111</v>
      </c>
      <c r="L1871" s="93" t="s">
        <v>111</v>
      </c>
      <c r="M1871" s="93" t="s">
        <v>111</v>
      </c>
      <c r="N1871" s="93" t="s">
        <v>111</v>
      </c>
      <c r="O1871" s="93" t="s">
        <v>111</v>
      </c>
      <c r="P1871" s="93" t="s">
        <v>111</v>
      </c>
      <c r="Q1871" s="93" t="s">
        <v>111</v>
      </c>
      <c r="R1871" s="93" t="s">
        <v>111</v>
      </c>
      <c r="S1871" s="93" t="s">
        <v>2</v>
      </c>
      <c r="T1871" s="93" t="s">
        <v>111</v>
      </c>
      <c r="U1871" s="93" t="s">
        <v>116</v>
      </c>
      <c r="V1871" s="94">
        <v>44596.649305555555</v>
      </c>
      <c r="W1871" s="93" t="s">
        <v>7072</v>
      </c>
      <c r="X1871" s="93" t="s">
        <v>24</v>
      </c>
    </row>
    <row r="1872" spans="1:24" hidden="1" x14ac:dyDescent="0.15">
      <c r="A1872" s="93" t="s">
        <v>463</v>
      </c>
      <c r="B1872" s="93" t="s">
        <v>27</v>
      </c>
      <c r="C1872" s="410">
        <v>25.53</v>
      </c>
      <c r="D1872" s="93" t="s">
        <v>24</v>
      </c>
      <c r="E1872" s="93" t="s">
        <v>24</v>
      </c>
      <c r="F1872" s="93" t="s">
        <v>7</v>
      </c>
      <c r="G1872" s="93" t="s">
        <v>7185</v>
      </c>
      <c r="H1872" s="93" t="s">
        <v>400</v>
      </c>
      <c r="I1872" s="93" t="s">
        <v>111</v>
      </c>
      <c r="J1872" s="93" t="s">
        <v>7105</v>
      </c>
      <c r="K1872" s="93" t="s">
        <v>111</v>
      </c>
      <c r="L1872" s="93" t="s">
        <v>111</v>
      </c>
      <c r="M1872" s="93" t="s">
        <v>111</v>
      </c>
      <c r="N1872" s="93" t="s">
        <v>111</v>
      </c>
      <c r="O1872" s="93" t="s">
        <v>111</v>
      </c>
      <c r="P1872" s="93" t="s">
        <v>111</v>
      </c>
      <c r="Q1872" s="93" t="s">
        <v>111</v>
      </c>
      <c r="R1872" s="93" t="s">
        <v>111</v>
      </c>
      <c r="S1872" s="93" t="s">
        <v>2</v>
      </c>
      <c r="T1872" s="93" t="s">
        <v>111</v>
      </c>
      <c r="U1872" s="93" t="s">
        <v>116</v>
      </c>
      <c r="V1872" s="94">
        <v>44596.689583333333</v>
      </c>
      <c r="W1872" s="93" t="s">
        <v>7072</v>
      </c>
      <c r="X1872" s="93" t="s">
        <v>24</v>
      </c>
    </row>
    <row r="1873" spans="1:24" hidden="1" x14ac:dyDescent="0.15">
      <c r="A1873" s="93" t="s">
        <v>464</v>
      </c>
      <c r="B1873" s="93" t="s">
        <v>28</v>
      </c>
      <c r="C1873" s="410">
        <v>65.55</v>
      </c>
      <c r="D1873" s="93" t="s">
        <v>24</v>
      </c>
      <c r="E1873" s="93" t="s">
        <v>24</v>
      </c>
      <c r="F1873" s="93" t="s">
        <v>7</v>
      </c>
      <c r="G1873" s="93" t="s">
        <v>7185</v>
      </c>
      <c r="H1873" s="93" t="s">
        <v>400</v>
      </c>
      <c r="I1873" s="93" t="s">
        <v>111</v>
      </c>
      <c r="J1873" s="93" t="s">
        <v>7105</v>
      </c>
      <c r="K1873" s="93" t="s">
        <v>111</v>
      </c>
      <c r="L1873" s="93" t="s">
        <v>111</v>
      </c>
      <c r="M1873" s="93" t="s">
        <v>111</v>
      </c>
      <c r="N1873" s="93" t="s">
        <v>111</v>
      </c>
      <c r="O1873" s="93" t="s">
        <v>111</v>
      </c>
      <c r="P1873" s="93" t="s">
        <v>111</v>
      </c>
      <c r="Q1873" s="93" t="s">
        <v>111</v>
      </c>
      <c r="R1873" s="93" t="s">
        <v>111</v>
      </c>
      <c r="S1873" s="93" t="s">
        <v>2</v>
      </c>
      <c r="T1873" s="93" t="s">
        <v>111</v>
      </c>
      <c r="U1873" s="93" t="s">
        <v>116</v>
      </c>
      <c r="V1873" s="94">
        <v>44596.666666666664</v>
      </c>
      <c r="W1873" s="93" t="s">
        <v>7072</v>
      </c>
      <c r="X1873" s="93" t="s">
        <v>24</v>
      </c>
    </row>
    <row r="1874" spans="1:24" hidden="1" x14ac:dyDescent="0.15">
      <c r="A1874" s="93" t="s">
        <v>465</v>
      </c>
      <c r="B1874" s="93" t="s">
        <v>29</v>
      </c>
      <c r="C1874" s="410">
        <v>102.12</v>
      </c>
      <c r="D1874" s="93" t="s">
        <v>24</v>
      </c>
      <c r="E1874" s="93" t="s">
        <v>24</v>
      </c>
      <c r="F1874" s="93" t="s">
        <v>7</v>
      </c>
      <c r="G1874" s="93" t="s">
        <v>7185</v>
      </c>
      <c r="H1874" s="93" t="s">
        <v>400</v>
      </c>
      <c r="I1874" s="93" t="s">
        <v>111</v>
      </c>
      <c r="J1874" s="93" t="s">
        <v>7105</v>
      </c>
      <c r="K1874" s="93" t="s">
        <v>111</v>
      </c>
      <c r="L1874" s="93" t="s">
        <v>111</v>
      </c>
      <c r="M1874" s="93" t="s">
        <v>111</v>
      </c>
      <c r="N1874" s="93" t="s">
        <v>111</v>
      </c>
      <c r="O1874" s="93" t="s">
        <v>111</v>
      </c>
      <c r="P1874" s="93" t="s">
        <v>111</v>
      </c>
      <c r="Q1874" s="93" t="s">
        <v>111</v>
      </c>
      <c r="R1874" s="93" t="s">
        <v>111</v>
      </c>
      <c r="S1874" s="93" t="s">
        <v>2</v>
      </c>
      <c r="T1874" s="93" t="s">
        <v>111</v>
      </c>
      <c r="U1874" s="93" t="s">
        <v>116</v>
      </c>
      <c r="V1874" s="94">
        <v>44596.693055555559</v>
      </c>
      <c r="W1874" s="93" t="s">
        <v>7072</v>
      </c>
      <c r="X1874" s="93" t="s">
        <v>24</v>
      </c>
    </row>
    <row r="1875" spans="1:24" hidden="1" x14ac:dyDescent="0.15">
      <c r="A1875" s="93" t="s">
        <v>84</v>
      </c>
      <c r="B1875" s="93" t="s">
        <v>227</v>
      </c>
      <c r="C1875" s="410">
        <v>17</v>
      </c>
      <c r="D1875" s="93" t="s">
        <v>24</v>
      </c>
      <c r="E1875" s="93" t="s">
        <v>24</v>
      </c>
      <c r="F1875" s="93" t="s">
        <v>7</v>
      </c>
      <c r="G1875" s="93" t="s">
        <v>7185</v>
      </c>
      <c r="H1875" s="93" t="s">
        <v>400</v>
      </c>
      <c r="I1875" s="93" t="s">
        <v>111</v>
      </c>
      <c r="J1875" s="93" t="s">
        <v>118</v>
      </c>
      <c r="K1875" s="93">
        <v>3</v>
      </c>
      <c r="L1875" s="93" t="s">
        <v>111</v>
      </c>
      <c r="M1875" s="93" t="s">
        <v>111</v>
      </c>
      <c r="N1875" s="93" t="s">
        <v>111</v>
      </c>
      <c r="O1875" s="93" t="s">
        <v>111</v>
      </c>
      <c r="P1875" s="93" t="s">
        <v>111</v>
      </c>
      <c r="Q1875" s="93" t="s">
        <v>111</v>
      </c>
      <c r="R1875" s="93" t="s">
        <v>228</v>
      </c>
      <c r="S1875" s="93" t="s">
        <v>2</v>
      </c>
      <c r="T1875" s="93" t="s">
        <v>115</v>
      </c>
      <c r="U1875" s="93" t="s">
        <v>116</v>
      </c>
      <c r="V1875" s="94">
        <v>44610.14166666667</v>
      </c>
      <c r="W1875" s="93" t="s">
        <v>7336</v>
      </c>
      <c r="X1875" s="93" t="s">
        <v>24</v>
      </c>
    </row>
    <row r="1876" spans="1:24" hidden="1" x14ac:dyDescent="0.15">
      <c r="A1876" s="93" t="s">
        <v>85</v>
      </c>
      <c r="B1876" s="93" t="s">
        <v>229</v>
      </c>
      <c r="C1876" s="410">
        <v>44</v>
      </c>
      <c r="D1876" s="93" t="s">
        <v>24</v>
      </c>
      <c r="E1876" s="93" t="s">
        <v>24</v>
      </c>
      <c r="F1876" s="93" t="s">
        <v>7</v>
      </c>
      <c r="G1876" s="93" t="s">
        <v>7185</v>
      </c>
      <c r="H1876" s="93" t="s">
        <v>400</v>
      </c>
      <c r="I1876" s="93" t="s">
        <v>111</v>
      </c>
      <c r="J1876" s="93" t="s">
        <v>118</v>
      </c>
      <c r="K1876" s="93">
        <v>3</v>
      </c>
      <c r="L1876" s="93" t="s">
        <v>111</v>
      </c>
      <c r="M1876" s="93" t="s">
        <v>111</v>
      </c>
      <c r="N1876" s="93" t="s">
        <v>111</v>
      </c>
      <c r="O1876" s="93" t="s">
        <v>111</v>
      </c>
      <c r="P1876" s="93" t="s">
        <v>111</v>
      </c>
      <c r="Q1876" s="93" t="s">
        <v>111</v>
      </c>
      <c r="R1876" s="93" t="s">
        <v>228</v>
      </c>
      <c r="S1876" s="93" t="s">
        <v>2</v>
      </c>
      <c r="T1876" s="93" t="s">
        <v>115</v>
      </c>
      <c r="U1876" s="93" t="s">
        <v>116</v>
      </c>
      <c r="V1876" s="94">
        <v>44610.165972222225</v>
      </c>
      <c r="W1876" s="93" t="s">
        <v>7336</v>
      </c>
      <c r="X1876" s="93" t="s">
        <v>24</v>
      </c>
    </row>
    <row r="1877" spans="1:24" hidden="1" x14ac:dyDescent="0.15">
      <c r="A1877" s="93" t="s">
        <v>86</v>
      </c>
      <c r="B1877" s="93" t="s">
        <v>230</v>
      </c>
      <c r="C1877" s="410">
        <v>68</v>
      </c>
      <c r="D1877" s="93" t="s">
        <v>24</v>
      </c>
      <c r="E1877" s="93" t="s">
        <v>24</v>
      </c>
      <c r="F1877" s="93" t="s">
        <v>7</v>
      </c>
      <c r="G1877" s="93" t="s">
        <v>7185</v>
      </c>
      <c r="H1877" s="93" t="s">
        <v>400</v>
      </c>
      <c r="I1877" s="93" t="s">
        <v>111</v>
      </c>
      <c r="J1877" s="93" t="s">
        <v>118</v>
      </c>
      <c r="K1877" s="93">
        <v>3</v>
      </c>
      <c r="L1877" s="93" t="s">
        <v>111</v>
      </c>
      <c r="M1877" s="93" t="s">
        <v>111</v>
      </c>
      <c r="N1877" s="93" t="s">
        <v>111</v>
      </c>
      <c r="O1877" s="93" t="s">
        <v>111</v>
      </c>
      <c r="P1877" s="93" t="s">
        <v>111</v>
      </c>
      <c r="Q1877" s="93" t="s">
        <v>111</v>
      </c>
      <c r="R1877" s="93" t="s">
        <v>228</v>
      </c>
      <c r="S1877" s="93" t="s">
        <v>2</v>
      </c>
      <c r="T1877" s="93" t="s">
        <v>115</v>
      </c>
      <c r="U1877" s="93" t="s">
        <v>116</v>
      </c>
      <c r="V1877" s="94">
        <v>44610.211805555555</v>
      </c>
      <c r="W1877" s="93" t="s">
        <v>7336</v>
      </c>
      <c r="X1877" s="93" t="s">
        <v>24</v>
      </c>
    </row>
    <row r="1878" spans="1:24" hidden="1" x14ac:dyDescent="0.15">
      <c r="A1878" s="93" t="s">
        <v>6454</v>
      </c>
      <c r="B1878" s="93" t="s">
        <v>6455</v>
      </c>
      <c r="C1878" s="410">
        <v>28</v>
      </c>
      <c r="D1878" s="93" t="s">
        <v>24</v>
      </c>
      <c r="E1878" s="93" t="s">
        <v>24</v>
      </c>
      <c r="F1878" s="93" t="s">
        <v>7</v>
      </c>
      <c r="G1878" s="93" t="s">
        <v>7185</v>
      </c>
      <c r="H1878" s="93" t="s">
        <v>400</v>
      </c>
      <c r="I1878" s="93" t="s">
        <v>111</v>
      </c>
      <c r="J1878" s="93" t="s">
        <v>118</v>
      </c>
      <c r="K1878" s="93">
        <v>3</v>
      </c>
      <c r="L1878" s="93" t="s">
        <v>111</v>
      </c>
      <c r="M1878" s="93" t="s">
        <v>111</v>
      </c>
      <c r="N1878" s="93" t="s">
        <v>111</v>
      </c>
      <c r="O1878" s="93" t="s">
        <v>111</v>
      </c>
      <c r="P1878" s="93" t="s">
        <v>111</v>
      </c>
      <c r="Q1878" s="93" t="s">
        <v>111</v>
      </c>
      <c r="R1878" s="93" t="s">
        <v>228</v>
      </c>
      <c r="S1878" s="93" t="s">
        <v>2</v>
      </c>
      <c r="T1878" s="93" t="s">
        <v>115</v>
      </c>
      <c r="U1878" s="93" t="s">
        <v>116</v>
      </c>
      <c r="V1878" s="94">
        <v>44596.655555555553</v>
      </c>
      <c r="W1878" s="93" t="s">
        <v>7336</v>
      </c>
      <c r="X1878" s="93" t="s">
        <v>24</v>
      </c>
    </row>
    <row r="1879" spans="1:24" hidden="1" x14ac:dyDescent="0.15">
      <c r="A1879" s="93" t="s">
        <v>6456</v>
      </c>
      <c r="B1879" s="93" t="s">
        <v>6457</v>
      </c>
      <c r="C1879" s="410">
        <v>72</v>
      </c>
      <c r="D1879" s="93" t="s">
        <v>24</v>
      </c>
      <c r="E1879" s="93" t="s">
        <v>24</v>
      </c>
      <c r="F1879" s="93" t="s">
        <v>7</v>
      </c>
      <c r="G1879" s="93" t="s">
        <v>7185</v>
      </c>
      <c r="H1879" s="93" t="s">
        <v>400</v>
      </c>
      <c r="I1879" s="93" t="s">
        <v>111</v>
      </c>
      <c r="J1879" s="93" t="s">
        <v>118</v>
      </c>
      <c r="K1879" s="93">
        <v>3</v>
      </c>
      <c r="L1879" s="93" t="s">
        <v>111</v>
      </c>
      <c r="M1879" s="93" t="s">
        <v>111</v>
      </c>
      <c r="N1879" s="93" t="s">
        <v>111</v>
      </c>
      <c r="O1879" s="93" t="s">
        <v>111</v>
      </c>
      <c r="P1879" s="93" t="s">
        <v>111</v>
      </c>
      <c r="Q1879" s="93" t="s">
        <v>111</v>
      </c>
      <c r="R1879" s="93" t="s">
        <v>228</v>
      </c>
      <c r="S1879" s="93" t="s">
        <v>2</v>
      </c>
      <c r="T1879" s="93" t="s">
        <v>115</v>
      </c>
      <c r="U1879" s="93" t="s">
        <v>116</v>
      </c>
      <c r="V1879" s="94">
        <v>44602.490972222222</v>
      </c>
      <c r="W1879" s="93" t="s">
        <v>7336</v>
      </c>
      <c r="X1879" s="93" t="s">
        <v>24</v>
      </c>
    </row>
    <row r="1880" spans="1:24" hidden="1" x14ac:dyDescent="0.15">
      <c r="A1880" s="93" t="s">
        <v>6458</v>
      </c>
      <c r="B1880" s="93" t="s">
        <v>6459</v>
      </c>
      <c r="C1880" s="410">
        <v>112</v>
      </c>
      <c r="D1880" s="93" t="s">
        <v>24</v>
      </c>
      <c r="E1880" s="93" t="s">
        <v>24</v>
      </c>
      <c r="F1880" s="93" t="s">
        <v>7</v>
      </c>
      <c r="G1880" s="93" t="s">
        <v>7185</v>
      </c>
      <c r="H1880" s="93" t="s">
        <v>400</v>
      </c>
      <c r="I1880" s="93" t="s">
        <v>111</v>
      </c>
      <c r="J1880" s="93" t="s">
        <v>118</v>
      </c>
      <c r="K1880" s="93">
        <v>3</v>
      </c>
      <c r="L1880" s="93" t="s">
        <v>111</v>
      </c>
      <c r="M1880" s="93" t="s">
        <v>111</v>
      </c>
      <c r="N1880" s="93" t="s">
        <v>111</v>
      </c>
      <c r="O1880" s="93" t="s">
        <v>111</v>
      </c>
      <c r="P1880" s="93" t="s">
        <v>111</v>
      </c>
      <c r="Q1880" s="93" t="s">
        <v>111</v>
      </c>
      <c r="R1880" s="93" t="s">
        <v>228</v>
      </c>
      <c r="S1880" s="93" t="s">
        <v>2</v>
      </c>
      <c r="T1880" s="93" t="s">
        <v>115</v>
      </c>
      <c r="U1880" s="93" t="s">
        <v>116</v>
      </c>
      <c r="V1880" s="94">
        <v>44596.650694444441</v>
      </c>
      <c r="W1880" s="93" t="s">
        <v>7336</v>
      </c>
      <c r="X1880" s="93" t="s">
        <v>24</v>
      </c>
    </row>
    <row r="1881" spans="1:24" hidden="1" x14ac:dyDescent="0.15">
      <c r="A1881" s="93" t="s">
        <v>59</v>
      </c>
      <c r="B1881" s="93" t="s">
        <v>60</v>
      </c>
      <c r="C1881" s="410">
        <v>47</v>
      </c>
      <c r="D1881" s="93" t="s">
        <v>24</v>
      </c>
      <c r="E1881" s="93" t="s">
        <v>24</v>
      </c>
      <c r="F1881" s="93" t="s">
        <v>7</v>
      </c>
      <c r="G1881" s="93" t="s">
        <v>7185</v>
      </c>
      <c r="H1881" s="93" t="s">
        <v>400</v>
      </c>
      <c r="I1881" s="93" t="s">
        <v>111</v>
      </c>
      <c r="J1881" s="93" t="s">
        <v>118</v>
      </c>
      <c r="K1881" s="93">
        <v>3</v>
      </c>
      <c r="L1881" s="93" t="s">
        <v>111</v>
      </c>
      <c r="M1881" s="93" t="s">
        <v>111</v>
      </c>
      <c r="N1881" s="93" t="s">
        <v>111</v>
      </c>
      <c r="O1881" s="93" t="s">
        <v>111</v>
      </c>
      <c r="P1881" s="93" t="s">
        <v>111</v>
      </c>
      <c r="Q1881" s="93" t="s">
        <v>111</v>
      </c>
      <c r="R1881" s="93" t="s">
        <v>228</v>
      </c>
      <c r="S1881" s="93" t="s">
        <v>2</v>
      </c>
      <c r="T1881" s="93" t="s">
        <v>115</v>
      </c>
      <c r="U1881" s="93" t="s">
        <v>116</v>
      </c>
      <c r="V1881" s="94">
        <v>44610.188888888886</v>
      </c>
      <c r="W1881" s="93" t="s">
        <v>7336</v>
      </c>
      <c r="X1881" s="93" t="s">
        <v>24</v>
      </c>
    </row>
    <row r="1882" spans="1:24" hidden="1" x14ac:dyDescent="0.15">
      <c r="A1882" s="93" t="s">
        <v>61</v>
      </c>
      <c r="B1882" s="93" t="s">
        <v>62</v>
      </c>
      <c r="C1882" s="410">
        <v>120</v>
      </c>
      <c r="D1882" s="93" t="s">
        <v>24</v>
      </c>
      <c r="E1882" s="93" t="s">
        <v>24</v>
      </c>
      <c r="F1882" s="93" t="s">
        <v>7</v>
      </c>
      <c r="G1882" s="93" t="s">
        <v>7185</v>
      </c>
      <c r="H1882" s="93" t="s">
        <v>400</v>
      </c>
      <c r="I1882" s="93" t="s">
        <v>111</v>
      </c>
      <c r="J1882" s="93" t="s">
        <v>118</v>
      </c>
      <c r="K1882" s="93">
        <v>3</v>
      </c>
      <c r="L1882" s="93" t="s">
        <v>111</v>
      </c>
      <c r="M1882" s="93" t="s">
        <v>111</v>
      </c>
      <c r="N1882" s="93" t="s">
        <v>111</v>
      </c>
      <c r="O1882" s="93" t="s">
        <v>111</v>
      </c>
      <c r="P1882" s="93" t="s">
        <v>111</v>
      </c>
      <c r="Q1882" s="93" t="s">
        <v>111</v>
      </c>
      <c r="R1882" s="93" t="s">
        <v>228</v>
      </c>
      <c r="S1882" s="93" t="s">
        <v>2</v>
      </c>
      <c r="T1882" s="93" t="s">
        <v>115</v>
      </c>
      <c r="U1882" s="93" t="s">
        <v>116</v>
      </c>
      <c r="V1882" s="94">
        <v>44610.211805555555</v>
      </c>
      <c r="W1882" s="93" t="s">
        <v>7336</v>
      </c>
      <c r="X1882" s="93" t="s">
        <v>24</v>
      </c>
    </row>
    <row r="1883" spans="1:24" hidden="1" x14ac:dyDescent="0.15">
      <c r="A1883" s="93" t="s">
        <v>63</v>
      </c>
      <c r="B1883" s="93" t="s">
        <v>64</v>
      </c>
      <c r="C1883" s="410">
        <v>188</v>
      </c>
      <c r="D1883" s="93" t="s">
        <v>24</v>
      </c>
      <c r="E1883" s="93" t="s">
        <v>24</v>
      </c>
      <c r="F1883" s="93" t="s">
        <v>7</v>
      </c>
      <c r="G1883" s="93" t="s">
        <v>7185</v>
      </c>
      <c r="H1883" s="93" t="s">
        <v>400</v>
      </c>
      <c r="I1883" s="93" t="s">
        <v>111</v>
      </c>
      <c r="J1883" s="93" t="s">
        <v>118</v>
      </c>
      <c r="K1883" s="93">
        <v>3</v>
      </c>
      <c r="L1883" s="93" t="s">
        <v>111</v>
      </c>
      <c r="M1883" s="93" t="s">
        <v>111</v>
      </c>
      <c r="N1883" s="93" t="s">
        <v>111</v>
      </c>
      <c r="O1883" s="93" t="s">
        <v>111</v>
      </c>
      <c r="P1883" s="93" t="s">
        <v>111</v>
      </c>
      <c r="Q1883" s="93" t="s">
        <v>111</v>
      </c>
      <c r="R1883" s="93" t="s">
        <v>228</v>
      </c>
      <c r="S1883" s="93" t="s">
        <v>2</v>
      </c>
      <c r="T1883" s="93" t="s">
        <v>115</v>
      </c>
      <c r="U1883" s="93" t="s">
        <v>116</v>
      </c>
      <c r="V1883" s="94">
        <v>44610.14166666667</v>
      </c>
      <c r="W1883" s="93" t="s">
        <v>7336</v>
      </c>
      <c r="X1883" s="93" t="s">
        <v>24</v>
      </c>
    </row>
    <row r="1884" spans="1:24" hidden="1" x14ac:dyDescent="0.15">
      <c r="A1884" s="93" t="s">
        <v>7399</v>
      </c>
      <c r="B1884" s="93" t="s">
        <v>7400</v>
      </c>
      <c r="C1884" s="410">
        <v>180</v>
      </c>
      <c r="D1884" s="93" t="s">
        <v>24</v>
      </c>
      <c r="E1884" s="93" t="s">
        <v>24</v>
      </c>
      <c r="F1884" s="93" t="s">
        <v>399</v>
      </c>
      <c r="G1884" s="93" t="s">
        <v>7185</v>
      </c>
      <c r="H1884" s="93" t="s">
        <v>400</v>
      </c>
      <c r="I1884" s="93" t="s">
        <v>111</v>
      </c>
      <c r="J1884" s="93" t="s">
        <v>7105</v>
      </c>
      <c r="K1884" s="93" t="s">
        <v>111</v>
      </c>
      <c r="L1884" s="93" t="s">
        <v>111</v>
      </c>
      <c r="M1884" s="93" t="s">
        <v>111</v>
      </c>
      <c r="N1884" s="93" t="s">
        <v>111</v>
      </c>
      <c r="O1884" s="93" t="s">
        <v>111</v>
      </c>
      <c r="P1884" s="93" t="s">
        <v>111</v>
      </c>
      <c r="Q1884" s="93" t="s">
        <v>111</v>
      </c>
      <c r="R1884" s="93" t="s">
        <v>228</v>
      </c>
      <c r="S1884" s="93" t="s">
        <v>111</v>
      </c>
      <c r="T1884" s="93" t="s">
        <v>115</v>
      </c>
      <c r="U1884" s="93" t="s">
        <v>116</v>
      </c>
      <c r="V1884" s="94">
        <v>44610.162499999999</v>
      </c>
      <c r="W1884" s="93" t="s">
        <v>7072</v>
      </c>
      <c r="X1884" s="93" t="s">
        <v>24</v>
      </c>
    </row>
    <row r="1885" spans="1:24" hidden="1" x14ac:dyDescent="0.15">
      <c r="A1885" s="93" t="s">
        <v>7401</v>
      </c>
      <c r="B1885" s="93" t="s">
        <v>7402</v>
      </c>
      <c r="C1885" s="410">
        <v>459</v>
      </c>
      <c r="D1885" s="93" t="s">
        <v>24</v>
      </c>
      <c r="E1885" s="93" t="s">
        <v>24</v>
      </c>
      <c r="F1885" s="93" t="s">
        <v>399</v>
      </c>
      <c r="G1885" s="93" t="s">
        <v>7185</v>
      </c>
      <c r="H1885" s="93" t="s">
        <v>400</v>
      </c>
      <c r="I1885" s="93" t="s">
        <v>111</v>
      </c>
      <c r="J1885" s="93" t="s">
        <v>7105</v>
      </c>
      <c r="K1885" s="93" t="s">
        <v>111</v>
      </c>
      <c r="L1885" s="93" t="s">
        <v>111</v>
      </c>
      <c r="M1885" s="93" t="s">
        <v>111</v>
      </c>
      <c r="N1885" s="93" t="s">
        <v>111</v>
      </c>
      <c r="O1885" s="93" t="s">
        <v>111</v>
      </c>
      <c r="P1885" s="93" t="s">
        <v>111</v>
      </c>
      <c r="Q1885" s="93" t="s">
        <v>111</v>
      </c>
      <c r="R1885" s="93" t="s">
        <v>228</v>
      </c>
      <c r="S1885" s="93" t="s">
        <v>111</v>
      </c>
      <c r="T1885" s="93" t="s">
        <v>115</v>
      </c>
      <c r="U1885" s="93" t="s">
        <v>116</v>
      </c>
      <c r="V1885" s="94">
        <v>44610.162499999999</v>
      </c>
      <c r="W1885" s="93" t="s">
        <v>7072</v>
      </c>
      <c r="X1885" s="93" t="s">
        <v>24</v>
      </c>
    </row>
    <row r="1886" spans="1:24" hidden="1" x14ac:dyDescent="0.15">
      <c r="A1886" s="93" t="s">
        <v>7403</v>
      </c>
      <c r="B1886" s="93" t="s">
        <v>7404</v>
      </c>
      <c r="C1886" s="410">
        <v>720</v>
      </c>
      <c r="D1886" s="93" t="s">
        <v>24</v>
      </c>
      <c r="E1886" s="93" t="s">
        <v>24</v>
      </c>
      <c r="F1886" s="93" t="s">
        <v>399</v>
      </c>
      <c r="G1886" s="93" t="s">
        <v>7185</v>
      </c>
      <c r="H1886" s="93" t="s">
        <v>400</v>
      </c>
      <c r="I1886" s="93" t="s">
        <v>111</v>
      </c>
      <c r="J1886" s="93" t="s">
        <v>7105</v>
      </c>
      <c r="K1886" s="93" t="s">
        <v>111</v>
      </c>
      <c r="L1886" s="93" t="s">
        <v>111</v>
      </c>
      <c r="M1886" s="93" t="s">
        <v>111</v>
      </c>
      <c r="N1886" s="93" t="s">
        <v>111</v>
      </c>
      <c r="O1886" s="93" t="s">
        <v>111</v>
      </c>
      <c r="P1886" s="93" t="s">
        <v>111</v>
      </c>
      <c r="Q1886" s="93" t="s">
        <v>111</v>
      </c>
      <c r="R1886" s="93" t="s">
        <v>228</v>
      </c>
      <c r="S1886" s="93" t="s">
        <v>111</v>
      </c>
      <c r="T1886" s="93" t="s">
        <v>115</v>
      </c>
      <c r="U1886" s="93" t="s">
        <v>116</v>
      </c>
      <c r="V1886" s="94">
        <v>44610.172222222223</v>
      </c>
      <c r="W1886" s="93" t="s">
        <v>7072</v>
      </c>
      <c r="X1886" s="93" t="s">
        <v>24</v>
      </c>
    </row>
    <row r="1887" spans="1:24" hidden="1" x14ac:dyDescent="0.15">
      <c r="A1887" s="93" t="s">
        <v>7405</v>
      </c>
      <c r="B1887" s="93" t="s">
        <v>7406</v>
      </c>
      <c r="C1887" s="410">
        <v>12</v>
      </c>
      <c r="D1887" s="93" t="s">
        <v>24</v>
      </c>
      <c r="E1887" s="93" t="s">
        <v>24</v>
      </c>
      <c r="F1887" s="93" t="s">
        <v>399</v>
      </c>
      <c r="G1887" s="93" t="s">
        <v>7185</v>
      </c>
      <c r="H1887" s="93" t="s">
        <v>400</v>
      </c>
      <c r="I1887" s="93" t="s">
        <v>111</v>
      </c>
      <c r="J1887" s="93" t="s">
        <v>7105</v>
      </c>
      <c r="K1887" s="93" t="s">
        <v>111</v>
      </c>
      <c r="L1887" s="93" t="s">
        <v>111</v>
      </c>
      <c r="M1887" s="93" t="s">
        <v>111</v>
      </c>
      <c r="N1887" s="93" t="s">
        <v>111</v>
      </c>
      <c r="O1887" s="93" t="s">
        <v>111</v>
      </c>
      <c r="P1887" s="93" t="s">
        <v>111</v>
      </c>
      <c r="Q1887" s="93" t="s">
        <v>111</v>
      </c>
      <c r="R1887" s="93" t="s">
        <v>228</v>
      </c>
      <c r="S1887" s="93" t="s">
        <v>111</v>
      </c>
      <c r="T1887" s="93" t="s">
        <v>115</v>
      </c>
      <c r="U1887" s="93" t="s">
        <v>116</v>
      </c>
      <c r="V1887" s="94">
        <v>44610.172222222223</v>
      </c>
      <c r="W1887" s="93" t="s">
        <v>7072</v>
      </c>
      <c r="X1887" s="93" t="s">
        <v>24</v>
      </c>
    </row>
    <row r="1888" spans="1:24" hidden="1" x14ac:dyDescent="0.15">
      <c r="A1888" s="93" t="s">
        <v>7407</v>
      </c>
      <c r="B1888" s="93" t="s">
        <v>7408</v>
      </c>
      <c r="C1888" s="410">
        <v>30</v>
      </c>
      <c r="D1888" s="93" t="s">
        <v>24</v>
      </c>
      <c r="E1888" s="93" t="s">
        <v>24</v>
      </c>
      <c r="F1888" s="93" t="s">
        <v>399</v>
      </c>
      <c r="G1888" s="93" t="s">
        <v>7185</v>
      </c>
      <c r="H1888" s="93" t="s">
        <v>400</v>
      </c>
      <c r="I1888" s="93" t="s">
        <v>111</v>
      </c>
      <c r="J1888" s="93" t="s">
        <v>7105</v>
      </c>
      <c r="K1888" s="93" t="s">
        <v>111</v>
      </c>
      <c r="L1888" s="93" t="s">
        <v>111</v>
      </c>
      <c r="M1888" s="93" t="s">
        <v>111</v>
      </c>
      <c r="N1888" s="93" t="s">
        <v>111</v>
      </c>
      <c r="O1888" s="93" t="s">
        <v>111</v>
      </c>
      <c r="P1888" s="93" t="s">
        <v>111</v>
      </c>
      <c r="Q1888" s="93" t="s">
        <v>111</v>
      </c>
      <c r="R1888" s="93" t="s">
        <v>228</v>
      </c>
      <c r="S1888" s="93" t="s">
        <v>111</v>
      </c>
      <c r="T1888" s="93" t="s">
        <v>115</v>
      </c>
      <c r="U1888" s="93" t="s">
        <v>116</v>
      </c>
      <c r="V1888" s="94">
        <v>44610.179166666669</v>
      </c>
      <c r="W1888" s="93" t="s">
        <v>7072</v>
      </c>
      <c r="X1888" s="93" t="s">
        <v>24</v>
      </c>
    </row>
    <row r="1889" spans="1:24" hidden="1" x14ac:dyDescent="0.15">
      <c r="A1889" s="93" t="s">
        <v>7409</v>
      </c>
      <c r="B1889" s="93" t="s">
        <v>7410</v>
      </c>
      <c r="C1889" s="410">
        <v>47</v>
      </c>
      <c r="D1889" s="93" t="s">
        <v>24</v>
      </c>
      <c r="E1889" s="93" t="s">
        <v>24</v>
      </c>
      <c r="F1889" s="93" t="s">
        <v>399</v>
      </c>
      <c r="G1889" s="93" t="s">
        <v>7185</v>
      </c>
      <c r="H1889" s="93" t="s">
        <v>400</v>
      </c>
      <c r="I1889" s="93" t="s">
        <v>111</v>
      </c>
      <c r="J1889" s="93" t="s">
        <v>7105</v>
      </c>
      <c r="K1889" s="93" t="s">
        <v>111</v>
      </c>
      <c r="L1889" s="93" t="s">
        <v>111</v>
      </c>
      <c r="M1889" s="93" t="s">
        <v>111</v>
      </c>
      <c r="N1889" s="93" t="s">
        <v>111</v>
      </c>
      <c r="O1889" s="93" t="s">
        <v>111</v>
      </c>
      <c r="P1889" s="93" t="s">
        <v>111</v>
      </c>
      <c r="Q1889" s="93" t="s">
        <v>111</v>
      </c>
      <c r="R1889" s="93" t="s">
        <v>228</v>
      </c>
      <c r="S1889" s="93" t="s">
        <v>111</v>
      </c>
      <c r="T1889" s="93" t="s">
        <v>115</v>
      </c>
      <c r="U1889" s="93" t="s">
        <v>116</v>
      </c>
      <c r="V1889" s="94">
        <v>44610.162499999999</v>
      </c>
      <c r="W1889" s="93" t="s">
        <v>7072</v>
      </c>
      <c r="X1889" s="93" t="s">
        <v>24</v>
      </c>
    </row>
    <row r="1890" spans="1:24" hidden="1" x14ac:dyDescent="0.15">
      <c r="A1890" s="93" t="s">
        <v>6041</v>
      </c>
      <c r="B1890" s="93" t="s">
        <v>7411</v>
      </c>
      <c r="C1890" s="410">
        <v>5</v>
      </c>
      <c r="D1890" s="93" t="s">
        <v>24</v>
      </c>
      <c r="E1890" s="93" t="s">
        <v>24</v>
      </c>
      <c r="F1890" s="93" t="s">
        <v>7</v>
      </c>
      <c r="G1890" s="93" t="s">
        <v>7185</v>
      </c>
      <c r="H1890" s="93" t="s">
        <v>400</v>
      </c>
      <c r="I1890" s="93" t="s">
        <v>111</v>
      </c>
      <c r="J1890" s="93" t="s">
        <v>7105</v>
      </c>
      <c r="K1890" s="93" t="s">
        <v>111</v>
      </c>
      <c r="L1890" s="93" t="s">
        <v>111</v>
      </c>
      <c r="M1890" s="93" t="s">
        <v>111</v>
      </c>
      <c r="N1890" s="93" t="s">
        <v>111</v>
      </c>
      <c r="O1890" s="93" t="s">
        <v>111</v>
      </c>
      <c r="P1890" s="93" t="s">
        <v>111</v>
      </c>
      <c r="Q1890" s="93" t="s">
        <v>111</v>
      </c>
      <c r="R1890" s="93" t="s">
        <v>228</v>
      </c>
      <c r="S1890" s="93" t="s">
        <v>111</v>
      </c>
      <c r="T1890" s="93" t="s">
        <v>115</v>
      </c>
      <c r="U1890" s="93" t="s">
        <v>116</v>
      </c>
      <c r="V1890" s="94">
        <v>44610.179861111108</v>
      </c>
      <c r="W1890" s="93" t="s">
        <v>7336</v>
      </c>
      <c r="X1890" s="93" t="s">
        <v>24</v>
      </c>
    </row>
    <row r="1891" spans="1:24" hidden="1" x14ac:dyDescent="0.15">
      <c r="A1891" s="93" t="s">
        <v>6042</v>
      </c>
      <c r="B1891" s="93" t="s">
        <v>7412</v>
      </c>
      <c r="C1891" s="410">
        <v>13</v>
      </c>
      <c r="D1891" s="93" t="s">
        <v>24</v>
      </c>
      <c r="E1891" s="93" t="s">
        <v>24</v>
      </c>
      <c r="F1891" s="93" t="s">
        <v>7</v>
      </c>
      <c r="G1891" s="93" t="s">
        <v>7185</v>
      </c>
      <c r="H1891" s="93" t="s">
        <v>400</v>
      </c>
      <c r="I1891" s="93" t="s">
        <v>111</v>
      </c>
      <c r="J1891" s="93" t="s">
        <v>7105</v>
      </c>
      <c r="K1891" s="93" t="s">
        <v>111</v>
      </c>
      <c r="L1891" s="93" t="s">
        <v>111</v>
      </c>
      <c r="M1891" s="93" t="s">
        <v>111</v>
      </c>
      <c r="N1891" s="93" t="s">
        <v>111</v>
      </c>
      <c r="O1891" s="93" t="s">
        <v>111</v>
      </c>
      <c r="P1891" s="93" t="s">
        <v>111</v>
      </c>
      <c r="Q1891" s="93" t="s">
        <v>111</v>
      </c>
      <c r="R1891" s="93" t="s">
        <v>228</v>
      </c>
      <c r="S1891" s="93" t="s">
        <v>111</v>
      </c>
      <c r="T1891" s="93" t="s">
        <v>115</v>
      </c>
      <c r="U1891" s="93" t="s">
        <v>116</v>
      </c>
      <c r="V1891" s="94">
        <v>44610.201388888891</v>
      </c>
      <c r="W1891" s="93" t="s">
        <v>7336</v>
      </c>
      <c r="X1891" s="93" t="s">
        <v>24</v>
      </c>
    </row>
    <row r="1892" spans="1:24" hidden="1" x14ac:dyDescent="0.15">
      <c r="A1892" s="93" t="s">
        <v>6043</v>
      </c>
      <c r="B1892" s="93" t="s">
        <v>7413</v>
      </c>
      <c r="C1892" s="410">
        <v>20</v>
      </c>
      <c r="D1892" s="93" t="s">
        <v>24</v>
      </c>
      <c r="E1892" s="93" t="s">
        <v>24</v>
      </c>
      <c r="F1892" s="93" t="s">
        <v>7</v>
      </c>
      <c r="G1892" s="93" t="s">
        <v>7185</v>
      </c>
      <c r="H1892" s="93" t="s">
        <v>400</v>
      </c>
      <c r="I1892" s="93" t="s">
        <v>111</v>
      </c>
      <c r="J1892" s="93" t="s">
        <v>7105</v>
      </c>
      <c r="K1892" s="93" t="s">
        <v>111</v>
      </c>
      <c r="L1892" s="93" t="s">
        <v>111</v>
      </c>
      <c r="M1892" s="93" t="s">
        <v>111</v>
      </c>
      <c r="N1892" s="93" t="s">
        <v>111</v>
      </c>
      <c r="O1892" s="93" t="s">
        <v>111</v>
      </c>
      <c r="P1892" s="93" t="s">
        <v>111</v>
      </c>
      <c r="Q1892" s="93" t="s">
        <v>111</v>
      </c>
      <c r="R1892" s="93" t="s">
        <v>228</v>
      </c>
      <c r="S1892" s="93" t="s">
        <v>111</v>
      </c>
      <c r="T1892" s="93" t="s">
        <v>115</v>
      </c>
      <c r="U1892" s="93" t="s">
        <v>116</v>
      </c>
      <c r="V1892" s="94">
        <v>44610.195138888892</v>
      </c>
      <c r="W1892" s="93" t="s">
        <v>7336</v>
      </c>
      <c r="X1892" s="93" t="s">
        <v>24</v>
      </c>
    </row>
    <row r="1893" spans="1:24" hidden="1" x14ac:dyDescent="0.15">
      <c r="A1893" s="93" t="s">
        <v>6044</v>
      </c>
      <c r="B1893" s="93" t="s">
        <v>7414</v>
      </c>
      <c r="C1893" s="410">
        <v>4</v>
      </c>
      <c r="D1893" s="93" t="s">
        <v>24</v>
      </c>
      <c r="E1893" s="93" t="s">
        <v>24</v>
      </c>
      <c r="F1893" s="93" t="s">
        <v>7</v>
      </c>
      <c r="G1893" s="93" t="s">
        <v>7185</v>
      </c>
      <c r="H1893" s="93" t="s">
        <v>400</v>
      </c>
      <c r="I1893" s="93" t="s">
        <v>111</v>
      </c>
      <c r="J1893" s="93" t="s">
        <v>7105</v>
      </c>
      <c r="K1893" s="93" t="s">
        <v>111</v>
      </c>
      <c r="L1893" s="93" t="s">
        <v>111</v>
      </c>
      <c r="M1893" s="93" t="s">
        <v>111</v>
      </c>
      <c r="N1893" s="93" t="s">
        <v>111</v>
      </c>
      <c r="O1893" s="93" t="s">
        <v>111</v>
      </c>
      <c r="P1893" s="93" t="s">
        <v>111</v>
      </c>
      <c r="Q1893" s="93" t="s">
        <v>111</v>
      </c>
      <c r="R1893" s="93" t="s">
        <v>228</v>
      </c>
      <c r="S1893" s="93" t="s">
        <v>111</v>
      </c>
      <c r="T1893" s="93" t="s">
        <v>115</v>
      </c>
      <c r="U1893" s="93" t="s">
        <v>116</v>
      </c>
      <c r="V1893" s="94">
        <v>44610.17291666667</v>
      </c>
      <c r="W1893" s="93" t="s">
        <v>7336</v>
      </c>
      <c r="X1893" s="93" t="s">
        <v>24</v>
      </c>
    </row>
    <row r="1894" spans="1:24" hidden="1" x14ac:dyDescent="0.15">
      <c r="A1894" s="93" t="s">
        <v>6045</v>
      </c>
      <c r="B1894" s="93" t="s">
        <v>7415</v>
      </c>
      <c r="C1894" s="410">
        <v>11</v>
      </c>
      <c r="D1894" s="93" t="s">
        <v>24</v>
      </c>
      <c r="E1894" s="93" t="s">
        <v>24</v>
      </c>
      <c r="F1894" s="93" t="s">
        <v>7</v>
      </c>
      <c r="G1894" s="93" t="s">
        <v>7185</v>
      </c>
      <c r="H1894" s="93" t="s">
        <v>400</v>
      </c>
      <c r="I1894" s="93" t="s">
        <v>111</v>
      </c>
      <c r="J1894" s="93" t="s">
        <v>7105</v>
      </c>
      <c r="K1894" s="93" t="s">
        <v>111</v>
      </c>
      <c r="L1894" s="93" t="s">
        <v>111</v>
      </c>
      <c r="M1894" s="93" t="s">
        <v>111</v>
      </c>
      <c r="N1894" s="93" t="s">
        <v>111</v>
      </c>
      <c r="O1894" s="93" t="s">
        <v>111</v>
      </c>
      <c r="P1894" s="93" t="s">
        <v>111</v>
      </c>
      <c r="Q1894" s="93" t="s">
        <v>111</v>
      </c>
      <c r="R1894" s="93" t="s">
        <v>228</v>
      </c>
      <c r="S1894" s="93" t="s">
        <v>111</v>
      </c>
      <c r="T1894" s="93" t="s">
        <v>115</v>
      </c>
      <c r="U1894" s="93" t="s">
        <v>116</v>
      </c>
      <c r="V1894" s="94">
        <v>44610.179861111108</v>
      </c>
      <c r="W1894" s="93" t="s">
        <v>7336</v>
      </c>
      <c r="X1894" s="93" t="s">
        <v>24</v>
      </c>
    </row>
    <row r="1895" spans="1:24" hidden="1" x14ac:dyDescent="0.15">
      <c r="A1895" s="93" t="s">
        <v>6046</v>
      </c>
      <c r="B1895" s="93" t="s">
        <v>7416</v>
      </c>
      <c r="C1895" s="410">
        <v>16</v>
      </c>
      <c r="D1895" s="93" t="s">
        <v>24</v>
      </c>
      <c r="E1895" s="93" t="s">
        <v>24</v>
      </c>
      <c r="F1895" s="93" t="s">
        <v>7</v>
      </c>
      <c r="G1895" s="93" t="s">
        <v>7185</v>
      </c>
      <c r="H1895" s="93" t="s">
        <v>400</v>
      </c>
      <c r="I1895" s="93" t="s">
        <v>111</v>
      </c>
      <c r="J1895" s="93" t="s">
        <v>7105</v>
      </c>
      <c r="K1895" s="93" t="s">
        <v>111</v>
      </c>
      <c r="L1895" s="93" t="s">
        <v>111</v>
      </c>
      <c r="M1895" s="93" t="s">
        <v>111</v>
      </c>
      <c r="N1895" s="93" t="s">
        <v>111</v>
      </c>
      <c r="O1895" s="93" t="s">
        <v>111</v>
      </c>
      <c r="P1895" s="93" t="s">
        <v>111</v>
      </c>
      <c r="Q1895" s="93" t="s">
        <v>111</v>
      </c>
      <c r="R1895" s="93" t="s">
        <v>228</v>
      </c>
      <c r="S1895" s="93" t="s">
        <v>111</v>
      </c>
      <c r="T1895" s="93" t="s">
        <v>115</v>
      </c>
      <c r="U1895" s="93" t="s">
        <v>116</v>
      </c>
      <c r="V1895" s="94">
        <v>44610.163194444445</v>
      </c>
      <c r="W1895" s="93" t="s">
        <v>7336</v>
      </c>
      <c r="X1895" s="93" t="s">
        <v>24</v>
      </c>
    </row>
    <row r="1896" spans="1:24" hidden="1" x14ac:dyDescent="0.15">
      <c r="A1896" s="93" t="s">
        <v>6047</v>
      </c>
      <c r="B1896" s="93" t="s">
        <v>7417</v>
      </c>
      <c r="C1896" s="410">
        <v>6</v>
      </c>
      <c r="D1896" s="93" t="s">
        <v>24</v>
      </c>
      <c r="E1896" s="93" t="s">
        <v>24</v>
      </c>
      <c r="F1896" s="93" t="s">
        <v>7</v>
      </c>
      <c r="G1896" s="93" t="s">
        <v>7185</v>
      </c>
      <c r="H1896" s="93" t="s">
        <v>400</v>
      </c>
      <c r="I1896" s="93" t="s">
        <v>111</v>
      </c>
      <c r="J1896" s="93" t="s">
        <v>7105</v>
      </c>
      <c r="K1896" s="93" t="s">
        <v>111</v>
      </c>
      <c r="L1896" s="93" t="s">
        <v>111</v>
      </c>
      <c r="M1896" s="93" t="s">
        <v>111</v>
      </c>
      <c r="N1896" s="93" t="s">
        <v>111</v>
      </c>
      <c r="O1896" s="93" t="s">
        <v>111</v>
      </c>
      <c r="P1896" s="93" t="s">
        <v>111</v>
      </c>
      <c r="Q1896" s="93" t="s">
        <v>111</v>
      </c>
      <c r="R1896" s="93" t="s">
        <v>228</v>
      </c>
      <c r="S1896" s="93" t="s">
        <v>111</v>
      </c>
      <c r="T1896" s="93" t="s">
        <v>115</v>
      </c>
      <c r="U1896" s="93" t="s">
        <v>116</v>
      </c>
      <c r="V1896" s="94">
        <v>44610.13958333333</v>
      </c>
      <c r="W1896" s="93" t="s">
        <v>7336</v>
      </c>
      <c r="X1896" s="93" t="s">
        <v>24</v>
      </c>
    </row>
    <row r="1897" spans="1:24" hidden="1" x14ac:dyDescent="0.15">
      <c r="A1897" s="93" t="s">
        <v>6048</v>
      </c>
      <c r="B1897" s="93" t="s">
        <v>7418</v>
      </c>
      <c r="C1897" s="410">
        <v>16</v>
      </c>
      <c r="D1897" s="93" t="s">
        <v>24</v>
      </c>
      <c r="E1897" s="93" t="s">
        <v>24</v>
      </c>
      <c r="F1897" s="93" t="s">
        <v>7</v>
      </c>
      <c r="G1897" s="93" t="s">
        <v>7185</v>
      </c>
      <c r="H1897" s="93" t="s">
        <v>400</v>
      </c>
      <c r="I1897" s="93" t="s">
        <v>111</v>
      </c>
      <c r="J1897" s="93" t="s">
        <v>7105</v>
      </c>
      <c r="K1897" s="93" t="s">
        <v>111</v>
      </c>
      <c r="L1897" s="93" t="s">
        <v>111</v>
      </c>
      <c r="M1897" s="93" t="s">
        <v>111</v>
      </c>
      <c r="N1897" s="93" t="s">
        <v>111</v>
      </c>
      <c r="O1897" s="93" t="s">
        <v>111</v>
      </c>
      <c r="P1897" s="93" t="s">
        <v>111</v>
      </c>
      <c r="Q1897" s="93" t="s">
        <v>111</v>
      </c>
      <c r="R1897" s="93" t="s">
        <v>228</v>
      </c>
      <c r="S1897" s="93" t="s">
        <v>111</v>
      </c>
      <c r="T1897" s="93" t="s">
        <v>115</v>
      </c>
      <c r="U1897" s="93" t="s">
        <v>116</v>
      </c>
      <c r="V1897" s="94">
        <v>44610.164583333331</v>
      </c>
      <c r="W1897" s="93" t="s">
        <v>7336</v>
      </c>
      <c r="X1897" s="93" t="s">
        <v>24</v>
      </c>
    </row>
    <row r="1898" spans="1:24" hidden="1" x14ac:dyDescent="0.15">
      <c r="A1898" s="93" t="s">
        <v>6049</v>
      </c>
      <c r="B1898" s="93" t="s">
        <v>7419</v>
      </c>
      <c r="C1898" s="410">
        <v>24</v>
      </c>
      <c r="D1898" s="93" t="s">
        <v>24</v>
      </c>
      <c r="E1898" s="93" t="s">
        <v>24</v>
      </c>
      <c r="F1898" s="93" t="s">
        <v>7</v>
      </c>
      <c r="G1898" s="93" t="s">
        <v>7185</v>
      </c>
      <c r="H1898" s="93" t="s">
        <v>400</v>
      </c>
      <c r="I1898" s="93" t="s">
        <v>111</v>
      </c>
      <c r="J1898" s="93" t="s">
        <v>7105</v>
      </c>
      <c r="K1898" s="93" t="s">
        <v>111</v>
      </c>
      <c r="L1898" s="93" t="s">
        <v>111</v>
      </c>
      <c r="M1898" s="93" t="s">
        <v>111</v>
      </c>
      <c r="N1898" s="93" t="s">
        <v>111</v>
      </c>
      <c r="O1898" s="93" t="s">
        <v>111</v>
      </c>
      <c r="P1898" s="93" t="s">
        <v>111</v>
      </c>
      <c r="Q1898" s="93" t="s">
        <v>111</v>
      </c>
      <c r="R1898" s="93" t="s">
        <v>228</v>
      </c>
      <c r="S1898" s="93" t="s">
        <v>111</v>
      </c>
      <c r="T1898" s="93" t="s">
        <v>115</v>
      </c>
      <c r="U1898" s="93" t="s">
        <v>116</v>
      </c>
      <c r="V1898" s="94">
        <v>44610.196527777778</v>
      </c>
      <c r="W1898" s="93" t="s">
        <v>7336</v>
      </c>
      <c r="X1898" s="93" t="s">
        <v>24</v>
      </c>
    </row>
    <row r="1899" spans="1:24" hidden="1" x14ac:dyDescent="0.15">
      <c r="A1899" s="93" t="s">
        <v>6053</v>
      </c>
      <c r="B1899" s="93" t="s">
        <v>6505</v>
      </c>
      <c r="C1899" s="410">
        <v>10</v>
      </c>
      <c r="D1899" s="93" t="s">
        <v>24</v>
      </c>
      <c r="E1899" s="93" t="s">
        <v>24</v>
      </c>
      <c r="F1899" s="93" t="s">
        <v>7</v>
      </c>
      <c r="G1899" s="93" t="s">
        <v>7185</v>
      </c>
      <c r="H1899" s="93" t="s">
        <v>400</v>
      </c>
      <c r="I1899" s="93" t="s">
        <v>111</v>
      </c>
      <c r="J1899" s="93" t="s">
        <v>7105</v>
      </c>
      <c r="K1899" s="93" t="s">
        <v>111</v>
      </c>
      <c r="L1899" s="93" t="s">
        <v>111</v>
      </c>
      <c r="M1899" s="93" t="s">
        <v>111</v>
      </c>
      <c r="N1899" s="93" t="s">
        <v>111</v>
      </c>
      <c r="O1899" s="93" t="s">
        <v>111</v>
      </c>
      <c r="P1899" s="93" t="s">
        <v>111</v>
      </c>
      <c r="Q1899" s="93" t="s">
        <v>111</v>
      </c>
      <c r="R1899" s="93" t="s">
        <v>228</v>
      </c>
      <c r="S1899" s="93" t="s">
        <v>111</v>
      </c>
      <c r="T1899" s="93" t="s">
        <v>115</v>
      </c>
      <c r="U1899" s="93" t="s">
        <v>116</v>
      </c>
      <c r="V1899" s="94">
        <v>44610.147222222222</v>
      </c>
      <c r="W1899" s="93" t="s">
        <v>7336</v>
      </c>
      <c r="X1899" s="93" t="s">
        <v>24</v>
      </c>
    </row>
    <row r="1900" spans="1:24" hidden="1" x14ac:dyDescent="0.15">
      <c r="A1900" s="93" t="s">
        <v>6054</v>
      </c>
      <c r="B1900" s="93" t="s">
        <v>7420</v>
      </c>
      <c r="C1900" s="410">
        <v>26</v>
      </c>
      <c r="D1900" s="93" t="s">
        <v>24</v>
      </c>
      <c r="E1900" s="93" t="s">
        <v>24</v>
      </c>
      <c r="F1900" s="93" t="s">
        <v>7</v>
      </c>
      <c r="G1900" s="93" t="s">
        <v>7185</v>
      </c>
      <c r="H1900" s="93" t="s">
        <v>400</v>
      </c>
      <c r="I1900" s="93" t="s">
        <v>111</v>
      </c>
      <c r="J1900" s="93" t="s">
        <v>7105</v>
      </c>
      <c r="K1900" s="93" t="s">
        <v>111</v>
      </c>
      <c r="L1900" s="93" t="s">
        <v>111</v>
      </c>
      <c r="M1900" s="93" t="s">
        <v>111</v>
      </c>
      <c r="N1900" s="93" t="s">
        <v>111</v>
      </c>
      <c r="O1900" s="93" t="s">
        <v>111</v>
      </c>
      <c r="P1900" s="93" t="s">
        <v>111</v>
      </c>
      <c r="Q1900" s="93" t="s">
        <v>111</v>
      </c>
      <c r="R1900" s="93" t="s">
        <v>228</v>
      </c>
      <c r="S1900" s="93" t="s">
        <v>111</v>
      </c>
      <c r="T1900" s="93" t="s">
        <v>115</v>
      </c>
      <c r="U1900" s="93" t="s">
        <v>116</v>
      </c>
      <c r="V1900" s="94">
        <v>44610.163194444445</v>
      </c>
      <c r="W1900" s="93" t="s">
        <v>7336</v>
      </c>
      <c r="X1900" s="93" t="s">
        <v>24</v>
      </c>
    </row>
    <row r="1901" spans="1:24" hidden="1" x14ac:dyDescent="0.15">
      <c r="A1901" s="93" t="s">
        <v>6055</v>
      </c>
      <c r="B1901" s="93" t="s">
        <v>7421</v>
      </c>
      <c r="C1901" s="410">
        <v>40</v>
      </c>
      <c r="D1901" s="93" t="s">
        <v>24</v>
      </c>
      <c r="E1901" s="93" t="s">
        <v>24</v>
      </c>
      <c r="F1901" s="93" t="s">
        <v>7</v>
      </c>
      <c r="G1901" s="93" t="s">
        <v>7185</v>
      </c>
      <c r="H1901" s="93" t="s">
        <v>400</v>
      </c>
      <c r="I1901" s="93" t="s">
        <v>111</v>
      </c>
      <c r="J1901" s="93" t="s">
        <v>7105</v>
      </c>
      <c r="K1901" s="93" t="s">
        <v>111</v>
      </c>
      <c r="L1901" s="93" t="s">
        <v>111</v>
      </c>
      <c r="M1901" s="93" t="s">
        <v>111</v>
      </c>
      <c r="N1901" s="93" t="s">
        <v>111</v>
      </c>
      <c r="O1901" s="93" t="s">
        <v>111</v>
      </c>
      <c r="P1901" s="93" t="s">
        <v>111</v>
      </c>
      <c r="Q1901" s="93" t="s">
        <v>111</v>
      </c>
      <c r="R1901" s="93" t="s">
        <v>228</v>
      </c>
      <c r="S1901" s="93" t="s">
        <v>111</v>
      </c>
      <c r="T1901" s="93" t="s">
        <v>115</v>
      </c>
      <c r="U1901" s="93" t="s">
        <v>116</v>
      </c>
      <c r="V1901" s="94">
        <v>44610.203472222223</v>
      </c>
      <c r="W1901" s="93" t="s">
        <v>7336</v>
      </c>
      <c r="X1901" s="93" t="s">
        <v>24</v>
      </c>
    </row>
    <row r="1902" spans="1:24" hidden="1" x14ac:dyDescent="0.15">
      <c r="A1902" s="93" t="s">
        <v>6056</v>
      </c>
      <c r="B1902" s="93" t="s">
        <v>6508</v>
      </c>
      <c r="C1902" s="410">
        <v>10</v>
      </c>
      <c r="D1902" s="93" t="s">
        <v>24</v>
      </c>
      <c r="E1902" s="93" t="s">
        <v>24</v>
      </c>
      <c r="F1902" s="93" t="s">
        <v>7</v>
      </c>
      <c r="G1902" s="93" t="s">
        <v>7185</v>
      </c>
      <c r="H1902" s="93" t="s">
        <v>400</v>
      </c>
      <c r="I1902" s="93" t="s">
        <v>111</v>
      </c>
      <c r="J1902" s="93" t="s">
        <v>7105</v>
      </c>
      <c r="K1902" s="93" t="s">
        <v>111</v>
      </c>
      <c r="L1902" s="93" t="s">
        <v>111</v>
      </c>
      <c r="M1902" s="93" t="s">
        <v>111</v>
      </c>
      <c r="N1902" s="93" t="s">
        <v>111</v>
      </c>
      <c r="O1902" s="93" t="s">
        <v>111</v>
      </c>
      <c r="P1902" s="93" t="s">
        <v>111</v>
      </c>
      <c r="Q1902" s="93" t="s">
        <v>111</v>
      </c>
      <c r="R1902" s="93" t="s">
        <v>228</v>
      </c>
      <c r="S1902" s="93" t="s">
        <v>111</v>
      </c>
      <c r="T1902" s="93" t="s">
        <v>115</v>
      </c>
      <c r="U1902" s="93" t="s">
        <v>116</v>
      </c>
      <c r="V1902" s="94">
        <v>44610.180555555555</v>
      </c>
      <c r="W1902" s="93" t="s">
        <v>7336</v>
      </c>
      <c r="X1902" s="93" t="s">
        <v>24</v>
      </c>
    </row>
    <row r="1903" spans="1:24" hidden="1" x14ac:dyDescent="0.15">
      <c r="A1903" s="93" t="s">
        <v>6057</v>
      </c>
      <c r="B1903" s="93" t="s">
        <v>7422</v>
      </c>
      <c r="C1903" s="410">
        <v>26</v>
      </c>
      <c r="D1903" s="93" t="s">
        <v>24</v>
      </c>
      <c r="E1903" s="93" t="s">
        <v>24</v>
      </c>
      <c r="F1903" s="93" t="s">
        <v>7</v>
      </c>
      <c r="G1903" s="93" t="s">
        <v>7185</v>
      </c>
      <c r="H1903" s="93" t="s">
        <v>400</v>
      </c>
      <c r="I1903" s="93" t="s">
        <v>111</v>
      </c>
      <c r="J1903" s="93" t="s">
        <v>7105</v>
      </c>
      <c r="K1903" s="93" t="s">
        <v>111</v>
      </c>
      <c r="L1903" s="93" t="s">
        <v>111</v>
      </c>
      <c r="M1903" s="93" t="s">
        <v>111</v>
      </c>
      <c r="N1903" s="93" t="s">
        <v>111</v>
      </c>
      <c r="O1903" s="93" t="s">
        <v>111</v>
      </c>
      <c r="P1903" s="93" t="s">
        <v>111</v>
      </c>
      <c r="Q1903" s="93" t="s">
        <v>111</v>
      </c>
      <c r="R1903" s="93" t="s">
        <v>228</v>
      </c>
      <c r="S1903" s="93" t="s">
        <v>111</v>
      </c>
      <c r="T1903" s="93" t="s">
        <v>115</v>
      </c>
      <c r="U1903" s="93" t="s">
        <v>116</v>
      </c>
      <c r="V1903" s="94">
        <v>44610.164583333331</v>
      </c>
      <c r="W1903" s="93" t="s">
        <v>7336</v>
      </c>
      <c r="X1903" s="93" t="s">
        <v>24</v>
      </c>
    </row>
    <row r="1904" spans="1:24" hidden="1" x14ac:dyDescent="0.15">
      <c r="A1904" s="93" t="s">
        <v>6058</v>
      </c>
      <c r="B1904" s="93" t="s">
        <v>7423</v>
      </c>
      <c r="C1904" s="410">
        <v>40</v>
      </c>
      <c r="D1904" s="93" t="s">
        <v>24</v>
      </c>
      <c r="E1904" s="93" t="s">
        <v>24</v>
      </c>
      <c r="F1904" s="93" t="s">
        <v>7</v>
      </c>
      <c r="G1904" s="93" t="s">
        <v>7185</v>
      </c>
      <c r="H1904" s="93" t="s">
        <v>400</v>
      </c>
      <c r="I1904" s="93" t="s">
        <v>111</v>
      </c>
      <c r="J1904" s="93" t="s">
        <v>7105</v>
      </c>
      <c r="K1904" s="93" t="s">
        <v>111</v>
      </c>
      <c r="L1904" s="93" t="s">
        <v>111</v>
      </c>
      <c r="M1904" s="93" t="s">
        <v>111</v>
      </c>
      <c r="N1904" s="93" t="s">
        <v>111</v>
      </c>
      <c r="O1904" s="93" t="s">
        <v>111</v>
      </c>
      <c r="P1904" s="93" t="s">
        <v>111</v>
      </c>
      <c r="Q1904" s="93" t="s">
        <v>111</v>
      </c>
      <c r="R1904" s="93" t="s">
        <v>228</v>
      </c>
      <c r="S1904" s="93" t="s">
        <v>111</v>
      </c>
      <c r="T1904" s="93" t="s">
        <v>115</v>
      </c>
      <c r="U1904" s="93" t="s">
        <v>116</v>
      </c>
      <c r="V1904" s="94">
        <v>44610.140277777777</v>
      </c>
      <c r="W1904" s="93" t="s">
        <v>7336</v>
      </c>
      <c r="X1904" s="93" t="s">
        <v>24</v>
      </c>
    </row>
    <row r="1905" spans="1:24" hidden="1" x14ac:dyDescent="0.15">
      <c r="A1905" s="93" t="s">
        <v>6059</v>
      </c>
      <c r="B1905" s="93" t="s">
        <v>6511</v>
      </c>
      <c r="C1905" s="410">
        <v>10</v>
      </c>
      <c r="D1905" s="93" t="s">
        <v>24</v>
      </c>
      <c r="E1905" s="93" t="s">
        <v>24</v>
      </c>
      <c r="F1905" s="93" t="s">
        <v>7</v>
      </c>
      <c r="G1905" s="93" t="s">
        <v>7185</v>
      </c>
      <c r="H1905" s="93" t="s">
        <v>400</v>
      </c>
      <c r="I1905" s="93" t="s">
        <v>111</v>
      </c>
      <c r="J1905" s="93" t="s">
        <v>7105</v>
      </c>
      <c r="K1905" s="93" t="s">
        <v>111</v>
      </c>
      <c r="L1905" s="93" t="s">
        <v>111</v>
      </c>
      <c r="M1905" s="93" t="s">
        <v>111</v>
      </c>
      <c r="N1905" s="93" t="s">
        <v>111</v>
      </c>
      <c r="O1905" s="93" t="s">
        <v>111</v>
      </c>
      <c r="P1905" s="93" t="s">
        <v>111</v>
      </c>
      <c r="Q1905" s="93" t="s">
        <v>111</v>
      </c>
      <c r="R1905" s="93" t="s">
        <v>228</v>
      </c>
      <c r="S1905" s="93" t="s">
        <v>111</v>
      </c>
      <c r="T1905" s="93" t="s">
        <v>115</v>
      </c>
      <c r="U1905" s="93" t="s">
        <v>116</v>
      </c>
      <c r="V1905" s="94">
        <v>44610.195138888892</v>
      </c>
      <c r="W1905" s="93" t="s">
        <v>7336</v>
      </c>
      <c r="X1905" s="93" t="s">
        <v>24</v>
      </c>
    </row>
    <row r="1906" spans="1:24" hidden="1" x14ac:dyDescent="0.15">
      <c r="A1906" s="93" t="s">
        <v>6060</v>
      </c>
      <c r="B1906" s="93" t="s">
        <v>7424</v>
      </c>
      <c r="C1906" s="410">
        <v>26</v>
      </c>
      <c r="D1906" s="93" t="s">
        <v>24</v>
      </c>
      <c r="E1906" s="93" t="s">
        <v>24</v>
      </c>
      <c r="F1906" s="93" t="s">
        <v>7</v>
      </c>
      <c r="G1906" s="93" t="s">
        <v>7185</v>
      </c>
      <c r="H1906" s="93" t="s">
        <v>400</v>
      </c>
      <c r="I1906" s="93" t="s">
        <v>111</v>
      </c>
      <c r="J1906" s="93" t="s">
        <v>7105</v>
      </c>
      <c r="K1906" s="93" t="s">
        <v>111</v>
      </c>
      <c r="L1906" s="93" t="s">
        <v>111</v>
      </c>
      <c r="M1906" s="93" t="s">
        <v>111</v>
      </c>
      <c r="N1906" s="93" t="s">
        <v>111</v>
      </c>
      <c r="O1906" s="93" t="s">
        <v>111</v>
      </c>
      <c r="P1906" s="93" t="s">
        <v>111</v>
      </c>
      <c r="Q1906" s="93" t="s">
        <v>111</v>
      </c>
      <c r="R1906" s="93" t="s">
        <v>228</v>
      </c>
      <c r="S1906" s="93" t="s">
        <v>111</v>
      </c>
      <c r="T1906" s="93" t="s">
        <v>115</v>
      </c>
      <c r="U1906" s="93" t="s">
        <v>116</v>
      </c>
      <c r="V1906" s="94">
        <v>44610.180555555555</v>
      </c>
      <c r="W1906" s="93" t="s">
        <v>7336</v>
      </c>
      <c r="X1906" s="93" t="s">
        <v>24</v>
      </c>
    </row>
    <row r="1907" spans="1:24" hidden="1" x14ac:dyDescent="0.15">
      <c r="A1907" s="93" t="s">
        <v>6061</v>
      </c>
      <c r="B1907" s="93" t="s">
        <v>7425</v>
      </c>
      <c r="C1907" s="410">
        <v>40</v>
      </c>
      <c r="D1907" s="93" t="s">
        <v>24</v>
      </c>
      <c r="E1907" s="93" t="s">
        <v>24</v>
      </c>
      <c r="F1907" s="93" t="s">
        <v>7</v>
      </c>
      <c r="G1907" s="93" t="s">
        <v>7185</v>
      </c>
      <c r="H1907" s="93" t="s">
        <v>400</v>
      </c>
      <c r="I1907" s="93" t="s">
        <v>111</v>
      </c>
      <c r="J1907" s="93" t="s">
        <v>7105</v>
      </c>
      <c r="K1907" s="93" t="s">
        <v>111</v>
      </c>
      <c r="L1907" s="93" t="s">
        <v>111</v>
      </c>
      <c r="M1907" s="93" t="s">
        <v>111</v>
      </c>
      <c r="N1907" s="93" t="s">
        <v>111</v>
      </c>
      <c r="O1907" s="93" t="s">
        <v>111</v>
      </c>
      <c r="P1907" s="93" t="s">
        <v>111</v>
      </c>
      <c r="Q1907" s="93" t="s">
        <v>111</v>
      </c>
      <c r="R1907" s="93" t="s">
        <v>228</v>
      </c>
      <c r="S1907" s="93" t="s">
        <v>111</v>
      </c>
      <c r="T1907" s="93" t="s">
        <v>115</v>
      </c>
      <c r="U1907" s="93" t="s">
        <v>116</v>
      </c>
      <c r="V1907" s="94">
        <v>44610.201388888891</v>
      </c>
      <c r="W1907" s="93" t="s">
        <v>7336</v>
      </c>
      <c r="X1907" s="93" t="s">
        <v>24</v>
      </c>
    </row>
    <row r="1908" spans="1:24" hidden="1" x14ac:dyDescent="0.15">
      <c r="A1908" s="93" t="s">
        <v>6062</v>
      </c>
      <c r="B1908" s="93" t="s">
        <v>6514</v>
      </c>
      <c r="C1908" s="410">
        <v>7</v>
      </c>
      <c r="D1908" s="93" t="s">
        <v>24</v>
      </c>
      <c r="E1908" s="93" t="s">
        <v>24</v>
      </c>
      <c r="F1908" s="93" t="s">
        <v>7</v>
      </c>
      <c r="G1908" s="93" t="s">
        <v>7185</v>
      </c>
      <c r="H1908" s="93" t="s">
        <v>400</v>
      </c>
      <c r="I1908" s="93" t="s">
        <v>111</v>
      </c>
      <c r="J1908" s="93" t="s">
        <v>7105</v>
      </c>
      <c r="K1908" s="93" t="s">
        <v>111</v>
      </c>
      <c r="L1908" s="93" t="s">
        <v>111</v>
      </c>
      <c r="M1908" s="93" t="s">
        <v>111</v>
      </c>
      <c r="N1908" s="93" t="s">
        <v>111</v>
      </c>
      <c r="O1908" s="93" t="s">
        <v>111</v>
      </c>
      <c r="P1908" s="93" t="s">
        <v>111</v>
      </c>
      <c r="Q1908" s="93" t="s">
        <v>111</v>
      </c>
      <c r="R1908" s="93" t="s">
        <v>228</v>
      </c>
      <c r="S1908" s="93" t="s">
        <v>111</v>
      </c>
      <c r="T1908" s="93" t="s">
        <v>115</v>
      </c>
      <c r="U1908" s="93" t="s">
        <v>116</v>
      </c>
      <c r="V1908" s="94">
        <v>44610.140277777777</v>
      </c>
      <c r="W1908" s="93" t="s">
        <v>7336</v>
      </c>
      <c r="X1908" s="93" t="s">
        <v>24</v>
      </c>
    </row>
    <row r="1909" spans="1:24" hidden="1" x14ac:dyDescent="0.15">
      <c r="A1909" s="93" t="s">
        <v>6063</v>
      </c>
      <c r="B1909" s="93" t="s">
        <v>7426</v>
      </c>
      <c r="C1909" s="410">
        <v>18</v>
      </c>
      <c r="D1909" s="93" t="s">
        <v>24</v>
      </c>
      <c r="E1909" s="93" t="s">
        <v>24</v>
      </c>
      <c r="F1909" s="93" t="s">
        <v>7</v>
      </c>
      <c r="G1909" s="93" t="s">
        <v>7185</v>
      </c>
      <c r="H1909" s="93" t="s">
        <v>400</v>
      </c>
      <c r="I1909" s="93" t="s">
        <v>111</v>
      </c>
      <c r="J1909" s="93" t="s">
        <v>7105</v>
      </c>
      <c r="K1909" s="93" t="s">
        <v>111</v>
      </c>
      <c r="L1909" s="93" t="s">
        <v>111</v>
      </c>
      <c r="M1909" s="93" t="s">
        <v>111</v>
      </c>
      <c r="N1909" s="93" t="s">
        <v>111</v>
      </c>
      <c r="O1909" s="93" t="s">
        <v>111</v>
      </c>
      <c r="P1909" s="93" t="s">
        <v>111</v>
      </c>
      <c r="Q1909" s="93" t="s">
        <v>111</v>
      </c>
      <c r="R1909" s="93" t="s">
        <v>228</v>
      </c>
      <c r="S1909" s="93" t="s">
        <v>111</v>
      </c>
      <c r="T1909" s="93" t="s">
        <v>115</v>
      </c>
      <c r="U1909" s="93" t="s">
        <v>116</v>
      </c>
      <c r="V1909" s="94">
        <v>44610.17291666667</v>
      </c>
      <c r="W1909" s="93" t="s">
        <v>7336</v>
      </c>
      <c r="X1909" s="93" t="s">
        <v>24</v>
      </c>
    </row>
    <row r="1910" spans="1:24" hidden="1" x14ac:dyDescent="0.15">
      <c r="A1910" s="93" t="s">
        <v>6064</v>
      </c>
      <c r="B1910" s="93" t="s">
        <v>7427</v>
      </c>
      <c r="C1910" s="410">
        <v>28</v>
      </c>
      <c r="D1910" s="93" t="s">
        <v>24</v>
      </c>
      <c r="E1910" s="93" t="s">
        <v>24</v>
      </c>
      <c r="F1910" s="93" t="s">
        <v>7</v>
      </c>
      <c r="G1910" s="93" t="s">
        <v>7185</v>
      </c>
      <c r="H1910" s="93" t="s">
        <v>400</v>
      </c>
      <c r="I1910" s="93" t="s">
        <v>111</v>
      </c>
      <c r="J1910" s="93" t="s">
        <v>7105</v>
      </c>
      <c r="K1910" s="93" t="s">
        <v>111</v>
      </c>
      <c r="L1910" s="93" t="s">
        <v>111</v>
      </c>
      <c r="M1910" s="93" t="s">
        <v>111</v>
      </c>
      <c r="N1910" s="93" t="s">
        <v>111</v>
      </c>
      <c r="O1910" s="93" t="s">
        <v>111</v>
      </c>
      <c r="P1910" s="93" t="s">
        <v>111</v>
      </c>
      <c r="Q1910" s="93" t="s">
        <v>111</v>
      </c>
      <c r="R1910" s="93" t="s">
        <v>228</v>
      </c>
      <c r="S1910" s="93" t="s">
        <v>111</v>
      </c>
      <c r="T1910" s="93" t="s">
        <v>115</v>
      </c>
      <c r="U1910" s="93" t="s">
        <v>116</v>
      </c>
      <c r="V1910" s="94">
        <v>44610.180555555555</v>
      </c>
      <c r="W1910" s="93" t="s">
        <v>7336</v>
      </c>
      <c r="X1910" s="93" t="s">
        <v>24</v>
      </c>
    </row>
    <row r="1911" spans="1:24" hidden="1" x14ac:dyDescent="0.15">
      <c r="A1911" s="93" t="s">
        <v>6065</v>
      </c>
      <c r="B1911" s="93" t="s">
        <v>6517</v>
      </c>
      <c r="C1911" s="410">
        <v>10</v>
      </c>
      <c r="D1911" s="93" t="s">
        <v>24</v>
      </c>
      <c r="E1911" s="93" t="s">
        <v>24</v>
      </c>
      <c r="F1911" s="93" t="s">
        <v>7</v>
      </c>
      <c r="G1911" s="93" t="s">
        <v>7185</v>
      </c>
      <c r="H1911" s="93" t="s">
        <v>400</v>
      </c>
      <c r="I1911" s="93" t="s">
        <v>111</v>
      </c>
      <c r="J1911" s="93" t="s">
        <v>7105</v>
      </c>
      <c r="K1911" s="93" t="s">
        <v>111</v>
      </c>
      <c r="L1911" s="93" t="s">
        <v>111</v>
      </c>
      <c r="M1911" s="93" t="s">
        <v>111</v>
      </c>
      <c r="N1911" s="93" t="s">
        <v>111</v>
      </c>
      <c r="O1911" s="93" t="s">
        <v>111</v>
      </c>
      <c r="P1911" s="93" t="s">
        <v>111</v>
      </c>
      <c r="Q1911" s="93" t="s">
        <v>111</v>
      </c>
      <c r="R1911" s="93" t="s">
        <v>228</v>
      </c>
      <c r="S1911" s="93" t="s">
        <v>111</v>
      </c>
      <c r="T1911" s="93" t="s">
        <v>115</v>
      </c>
      <c r="U1911" s="93" t="s">
        <v>116</v>
      </c>
      <c r="V1911" s="94">
        <v>44610.164583333331</v>
      </c>
      <c r="W1911" s="93" t="s">
        <v>7336</v>
      </c>
      <c r="X1911" s="93" t="s">
        <v>24</v>
      </c>
    </row>
    <row r="1912" spans="1:24" hidden="1" x14ac:dyDescent="0.15">
      <c r="A1912" s="93" t="s">
        <v>6066</v>
      </c>
      <c r="B1912" s="93" t="s">
        <v>7428</v>
      </c>
      <c r="C1912" s="410">
        <v>26</v>
      </c>
      <c r="D1912" s="93" t="s">
        <v>24</v>
      </c>
      <c r="E1912" s="93" t="s">
        <v>24</v>
      </c>
      <c r="F1912" s="93" t="s">
        <v>7</v>
      </c>
      <c r="G1912" s="93" t="s">
        <v>7185</v>
      </c>
      <c r="H1912" s="93" t="s">
        <v>400</v>
      </c>
      <c r="I1912" s="93" t="s">
        <v>111</v>
      </c>
      <c r="J1912" s="93" t="s">
        <v>7105</v>
      </c>
      <c r="K1912" s="93" t="s">
        <v>111</v>
      </c>
      <c r="L1912" s="93" t="s">
        <v>111</v>
      </c>
      <c r="M1912" s="93" t="s">
        <v>111</v>
      </c>
      <c r="N1912" s="93" t="s">
        <v>111</v>
      </c>
      <c r="O1912" s="93" t="s">
        <v>111</v>
      </c>
      <c r="P1912" s="93" t="s">
        <v>111</v>
      </c>
      <c r="Q1912" s="93" t="s">
        <v>111</v>
      </c>
      <c r="R1912" s="93" t="s">
        <v>228</v>
      </c>
      <c r="S1912" s="93" t="s">
        <v>111</v>
      </c>
      <c r="T1912" s="93" t="s">
        <v>115</v>
      </c>
      <c r="U1912" s="93" t="s">
        <v>116</v>
      </c>
      <c r="V1912" s="94">
        <v>44610.147222222222</v>
      </c>
      <c r="W1912" s="93" t="s">
        <v>7336</v>
      </c>
      <c r="X1912" s="93" t="s">
        <v>24</v>
      </c>
    </row>
    <row r="1913" spans="1:24" hidden="1" x14ac:dyDescent="0.15">
      <c r="A1913" s="93" t="s">
        <v>6067</v>
      </c>
      <c r="B1913" s="93" t="s">
        <v>7429</v>
      </c>
      <c r="C1913" s="410">
        <v>40</v>
      </c>
      <c r="D1913" s="93" t="s">
        <v>24</v>
      </c>
      <c r="E1913" s="93" t="s">
        <v>24</v>
      </c>
      <c r="F1913" s="93" t="s">
        <v>7</v>
      </c>
      <c r="G1913" s="93" t="s">
        <v>7185</v>
      </c>
      <c r="H1913" s="93" t="s">
        <v>400</v>
      </c>
      <c r="I1913" s="93" t="s">
        <v>111</v>
      </c>
      <c r="J1913" s="93" t="s">
        <v>7105</v>
      </c>
      <c r="K1913" s="93" t="s">
        <v>111</v>
      </c>
      <c r="L1913" s="93" t="s">
        <v>111</v>
      </c>
      <c r="M1913" s="93" t="s">
        <v>111</v>
      </c>
      <c r="N1913" s="93" t="s">
        <v>111</v>
      </c>
      <c r="O1913" s="93" t="s">
        <v>111</v>
      </c>
      <c r="P1913" s="93" t="s">
        <v>111</v>
      </c>
      <c r="Q1913" s="93" t="s">
        <v>111</v>
      </c>
      <c r="R1913" s="93" t="s">
        <v>228</v>
      </c>
      <c r="S1913" s="93" t="s">
        <v>111</v>
      </c>
      <c r="T1913" s="93" t="s">
        <v>115</v>
      </c>
      <c r="U1913" s="93" t="s">
        <v>116</v>
      </c>
      <c r="V1913" s="94">
        <v>44610.203472222223</v>
      </c>
      <c r="W1913" s="93" t="s">
        <v>7336</v>
      </c>
      <c r="X1913" s="93" t="s">
        <v>24</v>
      </c>
    </row>
    <row r="1914" spans="1:24" hidden="1" x14ac:dyDescent="0.15">
      <c r="A1914" s="93" t="s">
        <v>6050</v>
      </c>
      <c r="B1914" s="93" t="s">
        <v>6502</v>
      </c>
      <c r="C1914" s="410">
        <v>8</v>
      </c>
      <c r="D1914" s="93" t="s">
        <v>24</v>
      </c>
      <c r="E1914" s="93" t="s">
        <v>24</v>
      </c>
      <c r="F1914" s="93" t="s">
        <v>7</v>
      </c>
      <c r="G1914" s="93" t="s">
        <v>7185</v>
      </c>
      <c r="H1914" s="93" t="s">
        <v>400</v>
      </c>
      <c r="I1914" s="93" t="s">
        <v>111</v>
      </c>
      <c r="J1914" s="93" t="s">
        <v>7105</v>
      </c>
      <c r="K1914" s="93" t="s">
        <v>111</v>
      </c>
      <c r="L1914" s="93" t="s">
        <v>111</v>
      </c>
      <c r="M1914" s="93" t="s">
        <v>111</v>
      </c>
      <c r="N1914" s="93" t="s">
        <v>111</v>
      </c>
      <c r="O1914" s="93" t="s">
        <v>111</v>
      </c>
      <c r="P1914" s="93" t="s">
        <v>111</v>
      </c>
      <c r="Q1914" s="93" t="s">
        <v>111</v>
      </c>
      <c r="R1914" s="93" t="s">
        <v>228</v>
      </c>
      <c r="S1914" s="93" t="s">
        <v>111</v>
      </c>
      <c r="T1914" s="93" t="s">
        <v>115</v>
      </c>
      <c r="U1914" s="93" t="s">
        <v>116</v>
      </c>
      <c r="V1914" s="94">
        <v>44610.17291666667</v>
      </c>
      <c r="W1914" s="93" t="s">
        <v>7336</v>
      </c>
      <c r="X1914" s="93" t="s">
        <v>24</v>
      </c>
    </row>
    <row r="1915" spans="1:24" hidden="1" x14ac:dyDescent="0.15">
      <c r="A1915" s="93" t="s">
        <v>6051</v>
      </c>
      <c r="B1915" s="93" t="s">
        <v>7430</v>
      </c>
      <c r="C1915" s="410">
        <v>21</v>
      </c>
      <c r="D1915" s="93" t="s">
        <v>24</v>
      </c>
      <c r="E1915" s="93" t="s">
        <v>24</v>
      </c>
      <c r="F1915" s="93" t="s">
        <v>7</v>
      </c>
      <c r="G1915" s="93" t="s">
        <v>7185</v>
      </c>
      <c r="H1915" s="93" t="s">
        <v>400</v>
      </c>
      <c r="I1915" s="93" t="s">
        <v>111</v>
      </c>
      <c r="J1915" s="93" t="s">
        <v>7105</v>
      </c>
      <c r="K1915" s="93" t="s">
        <v>111</v>
      </c>
      <c r="L1915" s="93" t="s">
        <v>111</v>
      </c>
      <c r="M1915" s="93" t="s">
        <v>111</v>
      </c>
      <c r="N1915" s="93" t="s">
        <v>111</v>
      </c>
      <c r="O1915" s="93" t="s">
        <v>111</v>
      </c>
      <c r="P1915" s="93" t="s">
        <v>111</v>
      </c>
      <c r="Q1915" s="93" t="s">
        <v>111</v>
      </c>
      <c r="R1915" s="93" t="s">
        <v>228</v>
      </c>
      <c r="S1915" s="93" t="s">
        <v>111</v>
      </c>
      <c r="T1915" s="93" t="s">
        <v>115</v>
      </c>
      <c r="U1915" s="93" t="s">
        <v>116</v>
      </c>
      <c r="V1915" s="94">
        <v>44610.165277777778</v>
      </c>
      <c r="W1915" s="93" t="s">
        <v>7336</v>
      </c>
      <c r="X1915" s="93" t="s">
        <v>24</v>
      </c>
    </row>
    <row r="1916" spans="1:24" hidden="1" x14ac:dyDescent="0.15">
      <c r="A1916" s="93" t="s">
        <v>6052</v>
      </c>
      <c r="B1916" s="93" t="s">
        <v>7431</v>
      </c>
      <c r="C1916" s="410">
        <v>32</v>
      </c>
      <c r="D1916" s="93" t="s">
        <v>24</v>
      </c>
      <c r="E1916" s="93" t="s">
        <v>24</v>
      </c>
      <c r="F1916" s="93" t="s">
        <v>7</v>
      </c>
      <c r="G1916" s="93" t="s">
        <v>7185</v>
      </c>
      <c r="H1916" s="93" t="s">
        <v>400</v>
      </c>
      <c r="I1916" s="93" t="s">
        <v>111</v>
      </c>
      <c r="J1916" s="93" t="s">
        <v>7105</v>
      </c>
      <c r="K1916" s="93" t="s">
        <v>111</v>
      </c>
      <c r="L1916" s="93" t="s">
        <v>111</v>
      </c>
      <c r="M1916" s="93" t="s">
        <v>111</v>
      </c>
      <c r="N1916" s="93" t="s">
        <v>111</v>
      </c>
      <c r="O1916" s="93" t="s">
        <v>111</v>
      </c>
      <c r="P1916" s="93" t="s">
        <v>111</v>
      </c>
      <c r="Q1916" s="93" t="s">
        <v>111</v>
      </c>
      <c r="R1916" s="93" t="s">
        <v>228</v>
      </c>
      <c r="S1916" s="93" t="s">
        <v>111</v>
      </c>
      <c r="T1916" s="93" t="s">
        <v>115</v>
      </c>
      <c r="U1916" s="93" t="s">
        <v>116</v>
      </c>
      <c r="V1916" s="94">
        <v>44610.163194444445</v>
      </c>
      <c r="W1916" s="93" t="s">
        <v>7336</v>
      </c>
      <c r="X1916" s="93" t="s">
        <v>24</v>
      </c>
    </row>
    <row r="1917" spans="1:24" hidden="1" x14ac:dyDescent="0.15">
      <c r="A1917" s="93" t="s">
        <v>6068</v>
      </c>
      <c r="B1917" s="93" t="s">
        <v>6520</v>
      </c>
      <c r="C1917" s="410">
        <v>15</v>
      </c>
      <c r="D1917" s="93" t="s">
        <v>24</v>
      </c>
      <c r="E1917" s="93" t="s">
        <v>24</v>
      </c>
      <c r="F1917" s="93" t="s">
        <v>7</v>
      </c>
      <c r="G1917" s="93" t="s">
        <v>7185</v>
      </c>
      <c r="H1917" s="93" t="s">
        <v>400</v>
      </c>
      <c r="I1917" s="93" t="s">
        <v>111</v>
      </c>
      <c r="J1917" s="93" t="s">
        <v>7105</v>
      </c>
      <c r="K1917" s="93" t="s">
        <v>111</v>
      </c>
      <c r="L1917" s="93" t="s">
        <v>111</v>
      </c>
      <c r="M1917" s="93" t="s">
        <v>111</v>
      </c>
      <c r="N1917" s="93" t="s">
        <v>111</v>
      </c>
      <c r="O1917" s="93" t="s">
        <v>111</v>
      </c>
      <c r="P1917" s="93" t="s">
        <v>111</v>
      </c>
      <c r="Q1917" s="93" t="s">
        <v>111</v>
      </c>
      <c r="R1917" s="93" t="s">
        <v>228</v>
      </c>
      <c r="S1917" s="93" t="s">
        <v>111</v>
      </c>
      <c r="T1917" s="93" t="s">
        <v>115</v>
      </c>
      <c r="U1917" s="93" t="s">
        <v>116</v>
      </c>
      <c r="V1917" s="94">
        <v>44610.140972222223</v>
      </c>
      <c r="W1917" s="93" t="s">
        <v>7336</v>
      </c>
      <c r="X1917" s="93" t="s">
        <v>24</v>
      </c>
    </row>
    <row r="1918" spans="1:24" hidden="1" x14ac:dyDescent="0.15">
      <c r="A1918" s="93" t="s">
        <v>6069</v>
      </c>
      <c r="B1918" s="93" t="s">
        <v>7432</v>
      </c>
      <c r="C1918" s="410">
        <v>39</v>
      </c>
      <c r="D1918" s="93" t="s">
        <v>24</v>
      </c>
      <c r="E1918" s="93" t="s">
        <v>24</v>
      </c>
      <c r="F1918" s="93" t="s">
        <v>7</v>
      </c>
      <c r="G1918" s="93" t="s">
        <v>7185</v>
      </c>
      <c r="H1918" s="93" t="s">
        <v>400</v>
      </c>
      <c r="I1918" s="93" t="s">
        <v>111</v>
      </c>
      <c r="J1918" s="93" t="s">
        <v>7105</v>
      </c>
      <c r="K1918" s="93" t="s">
        <v>111</v>
      </c>
      <c r="L1918" s="93" t="s">
        <v>111</v>
      </c>
      <c r="M1918" s="93" t="s">
        <v>111</v>
      </c>
      <c r="N1918" s="93" t="s">
        <v>111</v>
      </c>
      <c r="O1918" s="93" t="s">
        <v>111</v>
      </c>
      <c r="P1918" s="93" t="s">
        <v>111</v>
      </c>
      <c r="Q1918" s="93" t="s">
        <v>111</v>
      </c>
      <c r="R1918" s="93" t="s">
        <v>228</v>
      </c>
      <c r="S1918" s="93" t="s">
        <v>111</v>
      </c>
      <c r="T1918" s="93" t="s">
        <v>115</v>
      </c>
      <c r="U1918" s="93" t="s">
        <v>116</v>
      </c>
      <c r="V1918" s="94">
        <v>44610.195833333331</v>
      </c>
      <c r="W1918" s="93" t="s">
        <v>7336</v>
      </c>
      <c r="X1918" s="93" t="s">
        <v>24</v>
      </c>
    </row>
    <row r="1919" spans="1:24" hidden="1" x14ac:dyDescent="0.15">
      <c r="A1919" s="93" t="s">
        <v>6070</v>
      </c>
      <c r="B1919" s="93" t="s">
        <v>7433</v>
      </c>
      <c r="C1919" s="410">
        <v>60</v>
      </c>
      <c r="D1919" s="93" t="s">
        <v>24</v>
      </c>
      <c r="E1919" s="93" t="s">
        <v>24</v>
      </c>
      <c r="F1919" s="93" t="s">
        <v>7</v>
      </c>
      <c r="G1919" s="93" t="s">
        <v>7185</v>
      </c>
      <c r="H1919" s="93" t="s">
        <v>400</v>
      </c>
      <c r="I1919" s="93" t="s">
        <v>111</v>
      </c>
      <c r="J1919" s="93" t="s">
        <v>7105</v>
      </c>
      <c r="K1919" s="93" t="s">
        <v>111</v>
      </c>
      <c r="L1919" s="93" t="s">
        <v>111</v>
      </c>
      <c r="M1919" s="93" t="s">
        <v>111</v>
      </c>
      <c r="N1919" s="93" t="s">
        <v>111</v>
      </c>
      <c r="O1919" s="93" t="s">
        <v>111</v>
      </c>
      <c r="P1919" s="93" t="s">
        <v>111</v>
      </c>
      <c r="Q1919" s="93" t="s">
        <v>111</v>
      </c>
      <c r="R1919" s="93" t="s">
        <v>228</v>
      </c>
      <c r="S1919" s="93" t="s">
        <v>111</v>
      </c>
      <c r="T1919" s="93" t="s">
        <v>115</v>
      </c>
      <c r="U1919" s="93" t="s">
        <v>116</v>
      </c>
      <c r="V1919" s="94">
        <v>44610.17291666667</v>
      </c>
      <c r="W1919" s="93" t="s">
        <v>7336</v>
      </c>
      <c r="X1919" s="93" t="s">
        <v>24</v>
      </c>
    </row>
    <row r="1920" spans="1:24" hidden="1" x14ac:dyDescent="0.15">
      <c r="A1920" s="93" t="s">
        <v>6209</v>
      </c>
      <c r="B1920" s="93" t="s">
        <v>7434</v>
      </c>
      <c r="C1920" s="410">
        <v>5</v>
      </c>
      <c r="D1920" s="93" t="s">
        <v>24</v>
      </c>
      <c r="E1920" s="93" t="s">
        <v>24</v>
      </c>
      <c r="F1920" s="93" t="s">
        <v>7</v>
      </c>
      <c r="G1920" s="93" t="s">
        <v>7185</v>
      </c>
      <c r="H1920" s="93" t="s">
        <v>400</v>
      </c>
      <c r="I1920" s="93" t="s">
        <v>111</v>
      </c>
      <c r="J1920" s="93" t="s">
        <v>7105</v>
      </c>
      <c r="K1920" s="93" t="s">
        <v>111</v>
      </c>
      <c r="L1920" s="93" t="s">
        <v>111</v>
      </c>
      <c r="M1920" s="93" t="s">
        <v>111</v>
      </c>
      <c r="N1920" s="93" t="s">
        <v>111</v>
      </c>
      <c r="O1920" s="93" t="s">
        <v>111</v>
      </c>
      <c r="P1920" s="93" t="s">
        <v>111</v>
      </c>
      <c r="Q1920" s="93" t="s">
        <v>111</v>
      </c>
      <c r="R1920" s="93" t="s">
        <v>228</v>
      </c>
      <c r="S1920" s="93" t="s">
        <v>111</v>
      </c>
      <c r="T1920" s="93" t="s">
        <v>115</v>
      </c>
      <c r="U1920" s="93" t="s">
        <v>116</v>
      </c>
      <c r="V1920" s="94">
        <v>44610.15625</v>
      </c>
      <c r="W1920" s="93" t="s">
        <v>7336</v>
      </c>
      <c r="X1920" s="93" t="s">
        <v>24</v>
      </c>
    </row>
    <row r="1921" spans="1:24" hidden="1" x14ac:dyDescent="0.15">
      <c r="A1921" s="93" t="s">
        <v>6210</v>
      </c>
      <c r="B1921" s="93" t="s">
        <v>7435</v>
      </c>
      <c r="C1921" s="410">
        <v>13</v>
      </c>
      <c r="D1921" s="93" t="s">
        <v>24</v>
      </c>
      <c r="E1921" s="93" t="s">
        <v>24</v>
      </c>
      <c r="F1921" s="93" t="s">
        <v>7</v>
      </c>
      <c r="G1921" s="93" t="s">
        <v>7185</v>
      </c>
      <c r="H1921" s="93" t="s">
        <v>400</v>
      </c>
      <c r="I1921" s="93" t="s">
        <v>111</v>
      </c>
      <c r="J1921" s="93" t="s">
        <v>7105</v>
      </c>
      <c r="K1921" s="93" t="s">
        <v>111</v>
      </c>
      <c r="L1921" s="93" t="s">
        <v>111</v>
      </c>
      <c r="M1921" s="93" t="s">
        <v>111</v>
      </c>
      <c r="N1921" s="93" t="s">
        <v>111</v>
      </c>
      <c r="O1921" s="93" t="s">
        <v>111</v>
      </c>
      <c r="P1921" s="93" t="s">
        <v>111</v>
      </c>
      <c r="Q1921" s="93" t="s">
        <v>111</v>
      </c>
      <c r="R1921" s="93" t="s">
        <v>228</v>
      </c>
      <c r="S1921" s="93" t="s">
        <v>111</v>
      </c>
      <c r="T1921" s="93" t="s">
        <v>115</v>
      </c>
      <c r="U1921" s="93" t="s">
        <v>116</v>
      </c>
      <c r="V1921" s="94">
        <v>44610.20416666667</v>
      </c>
      <c r="W1921" s="93" t="s">
        <v>7336</v>
      </c>
      <c r="X1921" s="93" t="s">
        <v>24</v>
      </c>
    </row>
    <row r="1922" spans="1:24" hidden="1" x14ac:dyDescent="0.15">
      <c r="A1922" s="93" t="s">
        <v>6211</v>
      </c>
      <c r="B1922" s="93" t="s">
        <v>7436</v>
      </c>
      <c r="C1922" s="410">
        <v>20</v>
      </c>
      <c r="D1922" s="93" t="s">
        <v>24</v>
      </c>
      <c r="E1922" s="93" t="s">
        <v>24</v>
      </c>
      <c r="F1922" s="93" t="s">
        <v>7</v>
      </c>
      <c r="G1922" s="93" t="s">
        <v>7185</v>
      </c>
      <c r="H1922" s="93" t="s">
        <v>400</v>
      </c>
      <c r="I1922" s="93" t="s">
        <v>111</v>
      </c>
      <c r="J1922" s="93" t="s">
        <v>7105</v>
      </c>
      <c r="K1922" s="93" t="s">
        <v>111</v>
      </c>
      <c r="L1922" s="93" t="s">
        <v>111</v>
      </c>
      <c r="M1922" s="93" t="s">
        <v>111</v>
      </c>
      <c r="N1922" s="93" t="s">
        <v>111</v>
      </c>
      <c r="O1922" s="93" t="s">
        <v>111</v>
      </c>
      <c r="P1922" s="93" t="s">
        <v>111</v>
      </c>
      <c r="Q1922" s="93" t="s">
        <v>111</v>
      </c>
      <c r="R1922" s="93" t="s">
        <v>228</v>
      </c>
      <c r="S1922" s="93" t="s">
        <v>111</v>
      </c>
      <c r="T1922" s="93" t="s">
        <v>115</v>
      </c>
      <c r="U1922" s="93" t="s">
        <v>116</v>
      </c>
      <c r="V1922" s="94">
        <v>44610.165277777778</v>
      </c>
      <c r="W1922" s="93" t="s">
        <v>7336</v>
      </c>
      <c r="X1922" s="93" t="s">
        <v>24</v>
      </c>
    </row>
    <row r="1923" spans="1:24" hidden="1" x14ac:dyDescent="0.15">
      <c r="A1923" s="93" t="s">
        <v>6206</v>
      </c>
      <c r="B1923" s="93" t="s">
        <v>7437</v>
      </c>
      <c r="C1923" s="410">
        <v>12</v>
      </c>
      <c r="D1923" s="93" t="s">
        <v>24</v>
      </c>
      <c r="E1923" s="93" t="s">
        <v>24</v>
      </c>
      <c r="F1923" s="93" t="s">
        <v>7</v>
      </c>
      <c r="G1923" s="93" t="s">
        <v>7185</v>
      </c>
      <c r="H1923" s="93" t="s">
        <v>400</v>
      </c>
      <c r="I1923" s="93" t="s">
        <v>111</v>
      </c>
      <c r="J1923" s="93" t="s">
        <v>7105</v>
      </c>
      <c r="K1923" s="93" t="s">
        <v>111</v>
      </c>
      <c r="L1923" s="93" t="s">
        <v>111</v>
      </c>
      <c r="M1923" s="93" t="s">
        <v>111</v>
      </c>
      <c r="N1923" s="93" t="s">
        <v>111</v>
      </c>
      <c r="O1923" s="93" t="s">
        <v>111</v>
      </c>
      <c r="P1923" s="93" t="s">
        <v>111</v>
      </c>
      <c r="Q1923" s="93" t="s">
        <v>111</v>
      </c>
      <c r="R1923" s="93" t="s">
        <v>228</v>
      </c>
      <c r="S1923" s="93" t="s">
        <v>111</v>
      </c>
      <c r="T1923" s="93" t="s">
        <v>115</v>
      </c>
      <c r="U1923" s="93" t="s">
        <v>116</v>
      </c>
      <c r="V1923" s="94">
        <v>44610.147916666669</v>
      </c>
      <c r="W1923" s="93" t="s">
        <v>7336</v>
      </c>
      <c r="X1923" s="93" t="s">
        <v>24</v>
      </c>
    </row>
    <row r="1924" spans="1:24" hidden="1" x14ac:dyDescent="0.15">
      <c r="A1924" s="93" t="s">
        <v>6207</v>
      </c>
      <c r="B1924" s="93" t="s">
        <v>7438</v>
      </c>
      <c r="C1924" s="410">
        <v>31</v>
      </c>
      <c r="D1924" s="93" t="s">
        <v>24</v>
      </c>
      <c r="E1924" s="93" t="s">
        <v>24</v>
      </c>
      <c r="F1924" s="93" t="s">
        <v>7</v>
      </c>
      <c r="G1924" s="93" t="s">
        <v>7185</v>
      </c>
      <c r="H1924" s="93" t="s">
        <v>400</v>
      </c>
      <c r="I1924" s="93" t="s">
        <v>111</v>
      </c>
      <c r="J1924" s="93" t="s">
        <v>7105</v>
      </c>
      <c r="K1924" s="93" t="s">
        <v>111</v>
      </c>
      <c r="L1924" s="93" t="s">
        <v>111</v>
      </c>
      <c r="M1924" s="93" t="s">
        <v>111</v>
      </c>
      <c r="N1924" s="93" t="s">
        <v>111</v>
      </c>
      <c r="O1924" s="93" t="s">
        <v>111</v>
      </c>
      <c r="P1924" s="93" t="s">
        <v>111</v>
      </c>
      <c r="Q1924" s="93" t="s">
        <v>111</v>
      </c>
      <c r="R1924" s="93" t="s">
        <v>228</v>
      </c>
      <c r="S1924" s="93" t="s">
        <v>111</v>
      </c>
      <c r="T1924" s="93" t="s">
        <v>115</v>
      </c>
      <c r="U1924" s="93" t="s">
        <v>116</v>
      </c>
      <c r="V1924" s="94">
        <v>44610.15625</v>
      </c>
      <c r="W1924" s="93" t="s">
        <v>7336</v>
      </c>
      <c r="X1924" s="93" t="s">
        <v>24</v>
      </c>
    </row>
    <row r="1925" spans="1:24" hidden="1" x14ac:dyDescent="0.15">
      <c r="A1925" s="93" t="s">
        <v>6208</v>
      </c>
      <c r="B1925" s="93" t="s">
        <v>7439</v>
      </c>
      <c r="C1925" s="410">
        <v>48</v>
      </c>
      <c r="D1925" s="93" t="s">
        <v>24</v>
      </c>
      <c r="E1925" s="93" t="s">
        <v>24</v>
      </c>
      <c r="F1925" s="93" t="s">
        <v>7</v>
      </c>
      <c r="G1925" s="93" t="s">
        <v>7185</v>
      </c>
      <c r="H1925" s="93" t="s">
        <v>400</v>
      </c>
      <c r="I1925" s="93" t="s">
        <v>111</v>
      </c>
      <c r="J1925" s="93" t="s">
        <v>7105</v>
      </c>
      <c r="K1925" s="93" t="s">
        <v>111</v>
      </c>
      <c r="L1925" s="93" t="s">
        <v>111</v>
      </c>
      <c r="M1925" s="93" t="s">
        <v>111</v>
      </c>
      <c r="N1925" s="93" t="s">
        <v>111</v>
      </c>
      <c r="O1925" s="93" t="s">
        <v>111</v>
      </c>
      <c r="P1925" s="93" t="s">
        <v>111</v>
      </c>
      <c r="Q1925" s="93" t="s">
        <v>111</v>
      </c>
      <c r="R1925" s="93" t="s">
        <v>228</v>
      </c>
      <c r="S1925" s="93" t="s">
        <v>111</v>
      </c>
      <c r="T1925" s="93" t="s">
        <v>115</v>
      </c>
      <c r="U1925" s="93" t="s">
        <v>116</v>
      </c>
      <c r="V1925" s="94">
        <v>44610.20416666667</v>
      </c>
      <c r="W1925" s="93" t="s">
        <v>7336</v>
      </c>
      <c r="X1925" s="93" t="s">
        <v>24</v>
      </c>
    </row>
    <row r="1926" spans="1:24" hidden="1" x14ac:dyDescent="0.15">
      <c r="A1926" s="93" t="s">
        <v>6203</v>
      </c>
      <c r="B1926" s="93" t="s">
        <v>7440</v>
      </c>
      <c r="C1926" s="410">
        <v>24</v>
      </c>
      <c r="D1926" s="93" t="s">
        <v>24</v>
      </c>
      <c r="E1926" s="93" t="s">
        <v>24</v>
      </c>
      <c r="F1926" s="93" t="s">
        <v>7</v>
      </c>
      <c r="G1926" s="93" t="s">
        <v>7185</v>
      </c>
      <c r="H1926" s="93" t="s">
        <v>400</v>
      </c>
      <c r="I1926" s="93" t="s">
        <v>111</v>
      </c>
      <c r="J1926" s="93" t="s">
        <v>7105</v>
      </c>
      <c r="K1926" s="93" t="s">
        <v>111</v>
      </c>
      <c r="L1926" s="93" t="s">
        <v>111</v>
      </c>
      <c r="M1926" s="93" t="s">
        <v>111</v>
      </c>
      <c r="N1926" s="93" t="s">
        <v>111</v>
      </c>
      <c r="O1926" s="93" t="s">
        <v>111</v>
      </c>
      <c r="P1926" s="93" t="s">
        <v>111</v>
      </c>
      <c r="Q1926" s="93" t="s">
        <v>111</v>
      </c>
      <c r="R1926" s="93" t="s">
        <v>228</v>
      </c>
      <c r="S1926" s="93" t="s">
        <v>111</v>
      </c>
      <c r="T1926" s="93" t="s">
        <v>115</v>
      </c>
      <c r="U1926" s="93" t="s">
        <v>116</v>
      </c>
      <c r="V1926" s="94">
        <v>44610.197222222225</v>
      </c>
      <c r="W1926" s="93" t="s">
        <v>7336</v>
      </c>
      <c r="X1926" s="93" t="s">
        <v>24</v>
      </c>
    </row>
    <row r="1927" spans="1:24" hidden="1" x14ac:dyDescent="0.15">
      <c r="A1927" s="93" t="s">
        <v>6204</v>
      </c>
      <c r="B1927" s="93" t="s">
        <v>7441</v>
      </c>
      <c r="C1927" s="410">
        <v>62</v>
      </c>
      <c r="D1927" s="93" t="s">
        <v>24</v>
      </c>
      <c r="E1927" s="93" t="s">
        <v>24</v>
      </c>
      <c r="F1927" s="93" t="s">
        <v>7</v>
      </c>
      <c r="G1927" s="93" t="s">
        <v>7185</v>
      </c>
      <c r="H1927" s="93" t="s">
        <v>400</v>
      </c>
      <c r="I1927" s="93" t="s">
        <v>111</v>
      </c>
      <c r="J1927" s="93" t="s">
        <v>7105</v>
      </c>
      <c r="K1927" s="93" t="s">
        <v>111</v>
      </c>
      <c r="L1927" s="93" t="s">
        <v>111</v>
      </c>
      <c r="M1927" s="93" t="s">
        <v>111</v>
      </c>
      <c r="N1927" s="93" t="s">
        <v>111</v>
      </c>
      <c r="O1927" s="93" t="s">
        <v>111</v>
      </c>
      <c r="P1927" s="93" t="s">
        <v>111</v>
      </c>
      <c r="Q1927" s="93" t="s">
        <v>111</v>
      </c>
      <c r="R1927" s="93" t="s">
        <v>228</v>
      </c>
      <c r="S1927" s="93" t="s">
        <v>111</v>
      </c>
      <c r="T1927" s="93" t="s">
        <v>115</v>
      </c>
      <c r="U1927" s="93" t="s">
        <v>116</v>
      </c>
      <c r="V1927" s="94">
        <v>44610.14166666667</v>
      </c>
      <c r="W1927" s="93" t="s">
        <v>7336</v>
      </c>
      <c r="X1927" s="93" t="s">
        <v>24</v>
      </c>
    </row>
    <row r="1928" spans="1:24" hidden="1" x14ac:dyDescent="0.15">
      <c r="A1928" s="93" t="s">
        <v>6205</v>
      </c>
      <c r="B1928" s="93" t="s">
        <v>7442</v>
      </c>
      <c r="C1928" s="410">
        <v>96</v>
      </c>
      <c r="D1928" s="93" t="s">
        <v>24</v>
      </c>
      <c r="E1928" s="93" t="s">
        <v>24</v>
      </c>
      <c r="F1928" s="93" t="s">
        <v>7</v>
      </c>
      <c r="G1928" s="93" t="s">
        <v>7185</v>
      </c>
      <c r="H1928" s="93" t="s">
        <v>400</v>
      </c>
      <c r="I1928" s="93" t="s">
        <v>111</v>
      </c>
      <c r="J1928" s="93" t="s">
        <v>7105</v>
      </c>
      <c r="K1928" s="93" t="s">
        <v>111</v>
      </c>
      <c r="L1928" s="93" t="s">
        <v>111</v>
      </c>
      <c r="M1928" s="93" t="s">
        <v>111</v>
      </c>
      <c r="N1928" s="93" t="s">
        <v>111</v>
      </c>
      <c r="O1928" s="93" t="s">
        <v>111</v>
      </c>
      <c r="P1928" s="93" t="s">
        <v>111</v>
      </c>
      <c r="Q1928" s="93" t="s">
        <v>111</v>
      </c>
      <c r="R1928" s="93" t="s">
        <v>228</v>
      </c>
      <c r="S1928" s="93" t="s">
        <v>111</v>
      </c>
      <c r="T1928" s="93" t="s">
        <v>115</v>
      </c>
      <c r="U1928" s="93" t="s">
        <v>116</v>
      </c>
      <c r="V1928" s="94">
        <v>44610.147916666669</v>
      </c>
      <c r="W1928" s="93" t="s">
        <v>7336</v>
      </c>
      <c r="X1928" s="93" t="s">
        <v>24</v>
      </c>
    </row>
    <row r="1929" spans="1:24" hidden="1" x14ac:dyDescent="0.15">
      <c r="A1929" s="93" t="s">
        <v>7443</v>
      </c>
      <c r="B1929" s="93" t="s">
        <v>7444</v>
      </c>
      <c r="C1929" s="410">
        <v>18</v>
      </c>
      <c r="D1929" s="93" t="s">
        <v>24</v>
      </c>
      <c r="E1929" s="93" t="s">
        <v>24</v>
      </c>
      <c r="F1929" s="93" t="s">
        <v>7</v>
      </c>
      <c r="G1929" s="93" t="s">
        <v>7185</v>
      </c>
      <c r="H1929" s="93" t="s">
        <v>400</v>
      </c>
      <c r="I1929" s="93" t="s">
        <v>111</v>
      </c>
      <c r="J1929" s="93" t="s">
        <v>118</v>
      </c>
      <c r="K1929" s="93">
        <v>3</v>
      </c>
      <c r="L1929" s="93" t="s">
        <v>111</v>
      </c>
      <c r="M1929" s="93" t="s">
        <v>111</v>
      </c>
      <c r="N1929" s="93" t="s">
        <v>111</v>
      </c>
      <c r="O1929" s="93" t="s">
        <v>111</v>
      </c>
      <c r="P1929" s="93" t="s">
        <v>111</v>
      </c>
      <c r="Q1929" s="93" t="s">
        <v>111</v>
      </c>
      <c r="R1929" s="93" t="s">
        <v>228</v>
      </c>
      <c r="S1929" s="93" t="s">
        <v>2</v>
      </c>
      <c r="T1929" s="93" t="s">
        <v>115</v>
      </c>
      <c r="U1929" s="93" t="s">
        <v>116</v>
      </c>
      <c r="V1929" s="94">
        <v>44602.490972222222</v>
      </c>
      <c r="W1929" s="93" t="s">
        <v>402</v>
      </c>
      <c r="X1929" s="93" t="s">
        <v>24</v>
      </c>
    </row>
    <row r="1930" spans="1:24" hidden="1" x14ac:dyDescent="0.15">
      <c r="A1930" s="93" t="s">
        <v>7445</v>
      </c>
      <c r="B1930" s="93" t="s">
        <v>7444</v>
      </c>
      <c r="C1930" s="410">
        <v>46</v>
      </c>
      <c r="D1930" s="93" t="s">
        <v>24</v>
      </c>
      <c r="E1930" s="93" t="s">
        <v>24</v>
      </c>
      <c r="F1930" s="93" t="s">
        <v>7</v>
      </c>
      <c r="G1930" s="93" t="s">
        <v>7185</v>
      </c>
      <c r="H1930" s="93" t="s">
        <v>400</v>
      </c>
      <c r="I1930" s="93" t="s">
        <v>111</v>
      </c>
      <c r="J1930" s="93" t="s">
        <v>118</v>
      </c>
      <c r="K1930" s="93">
        <v>3</v>
      </c>
      <c r="L1930" s="93" t="s">
        <v>111</v>
      </c>
      <c r="M1930" s="93" t="s">
        <v>111</v>
      </c>
      <c r="N1930" s="93" t="s">
        <v>111</v>
      </c>
      <c r="O1930" s="93" t="s">
        <v>111</v>
      </c>
      <c r="P1930" s="93" t="s">
        <v>111</v>
      </c>
      <c r="Q1930" s="93" t="s">
        <v>111</v>
      </c>
      <c r="R1930" s="93" t="s">
        <v>228</v>
      </c>
      <c r="S1930" s="93" t="s">
        <v>2</v>
      </c>
      <c r="T1930" s="93" t="s">
        <v>115</v>
      </c>
      <c r="U1930" s="93" t="s">
        <v>116</v>
      </c>
      <c r="V1930" s="94">
        <v>44602.490972222222</v>
      </c>
      <c r="W1930" s="93" t="s">
        <v>402</v>
      </c>
      <c r="X1930" s="93" t="s">
        <v>24</v>
      </c>
    </row>
    <row r="1931" spans="1:24" hidden="1" x14ac:dyDescent="0.15">
      <c r="A1931" s="93" t="s">
        <v>7446</v>
      </c>
      <c r="B1931" s="93" t="s">
        <v>7447</v>
      </c>
      <c r="C1931" s="410">
        <v>72</v>
      </c>
      <c r="D1931" s="93" t="s">
        <v>24</v>
      </c>
      <c r="E1931" s="93" t="s">
        <v>24</v>
      </c>
      <c r="F1931" s="93" t="s">
        <v>7</v>
      </c>
      <c r="G1931" s="93" t="s">
        <v>7185</v>
      </c>
      <c r="H1931" s="93" t="s">
        <v>400</v>
      </c>
      <c r="I1931" s="93" t="s">
        <v>111</v>
      </c>
      <c r="J1931" s="93" t="s">
        <v>118</v>
      </c>
      <c r="K1931" s="93">
        <v>3</v>
      </c>
      <c r="L1931" s="93" t="s">
        <v>111</v>
      </c>
      <c r="M1931" s="93" t="s">
        <v>111</v>
      </c>
      <c r="N1931" s="93" t="s">
        <v>111</v>
      </c>
      <c r="O1931" s="93" t="s">
        <v>111</v>
      </c>
      <c r="P1931" s="93" t="s">
        <v>111</v>
      </c>
      <c r="Q1931" s="93" t="s">
        <v>111</v>
      </c>
      <c r="R1931" s="93" t="s">
        <v>228</v>
      </c>
      <c r="S1931" s="93" t="s">
        <v>2</v>
      </c>
      <c r="T1931" s="93" t="s">
        <v>115</v>
      </c>
      <c r="U1931" s="93" t="s">
        <v>116</v>
      </c>
      <c r="V1931" s="94">
        <v>44602.490972222222</v>
      </c>
      <c r="W1931" s="93" t="s">
        <v>402</v>
      </c>
      <c r="X1931" s="93" t="s">
        <v>24</v>
      </c>
    </row>
    <row r="1932" spans="1:24" hidden="1" x14ac:dyDescent="0.15">
      <c r="A1932" s="93" t="s">
        <v>6074</v>
      </c>
      <c r="B1932" s="93" t="s">
        <v>6526</v>
      </c>
      <c r="C1932" s="410">
        <v>8</v>
      </c>
      <c r="D1932" s="93" t="s">
        <v>24</v>
      </c>
      <c r="E1932" s="93" t="s">
        <v>24</v>
      </c>
      <c r="F1932" s="93" t="s">
        <v>7</v>
      </c>
      <c r="G1932" s="93" t="s">
        <v>7185</v>
      </c>
      <c r="H1932" s="93" t="s">
        <v>400</v>
      </c>
      <c r="I1932" s="93" t="s">
        <v>111</v>
      </c>
      <c r="J1932" s="93" t="s">
        <v>7105</v>
      </c>
      <c r="K1932" s="93" t="s">
        <v>111</v>
      </c>
      <c r="L1932" s="93" t="s">
        <v>111</v>
      </c>
      <c r="M1932" s="93" t="s">
        <v>111</v>
      </c>
      <c r="N1932" s="93" t="s">
        <v>111</v>
      </c>
      <c r="O1932" s="93" t="s">
        <v>111</v>
      </c>
      <c r="P1932" s="93" t="s">
        <v>111</v>
      </c>
      <c r="Q1932" s="93" t="s">
        <v>111</v>
      </c>
      <c r="R1932" s="93" t="s">
        <v>228</v>
      </c>
      <c r="S1932" s="93" t="s">
        <v>111</v>
      </c>
      <c r="T1932" s="93" t="s">
        <v>115</v>
      </c>
      <c r="U1932" s="93" t="s">
        <v>116</v>
      </c>
      <c r="V1932" s="94">
        <v>44610.180555555555</v>
      </c>
      <c r="W1932" s="93" t="s">
        <v>7336</v>
      </c>
      <c r="X1932" s="93" t="s">
        <v>24</v>
      </c>
    </row>
    <row r="1933" spans="1:24" hidden="1" x14ac:dyDescent="0.15">
      <c r="A1933" s="93" t="s">
        <v>6075</v>
      </c>
      <c r="B1933" s="93" t="s">
        <v>7448</v>
      </c>
      <c r="C1933" s="410">
        <v>21</v>
      </c>
      <c r="D1933" s="93" t="s">
        <v>24</v>
      </c>
      <c r="E1933" s="93" t="s">
        <v>24</v>
      </c>
      <c r="F1933" s="93" t="s">
        <v>7</v>
      </c>
      <c r="G1933" s="93" t="s">
        <v>7185</v>
      </c>
      <c r="H1933" s="93" t="s">
        <v>400</v>
      </c>
      <c r="I1933" s="93" t="s">
        <v>111</v>
      </c>
      <c r="J1933" s="93" t="s">
        <v>7105</v>
      </c>
      <c r="K1933" s="93" t="s">
        <v>111</v>
      </c>
      <c r="L1933" s="93" t="s">
        <v>111</v>
      </c>
      <c r="M1933" s="93" t="s">
        <v>111</v>
      </c>
      <c r="N1933" s="93" t="s">
        <v>111</v>
      </c>
      <c r="O1933" s="93" t="s">
        <v>111</v>
      </c>
      <c r="P1933" s="93" t="s">
        <v>111</v>
      </c>
      <c r="Q1933" s="93" t="s">
        <v>111</v>
      </c>
      <c r="R1933" s="93" t="s">
        <v>228</v>
      </c>
      <c r="S1933" s="93" t="s">
        <v>111</v>
      </c>
      <c r="T1933" s="93" t="s">
        <v>115</v>
      </c>
      <c r="U1933" s="93" t="s">
        <v>116</v>
      </c>
      <c r="V1933" s="94">
        <v>44610.163194444445</v>
      </c>
      <c r="W1933" s="93" t="s">
        <v>7336</v>
      </c>
      <c r="X1933" s="93" t="s">
        <v>24</v>
      </c>
    </row>
    <row r="1934" spans="1:24" hidden="1" x14ac:dyDescent="0.15">
      <c r="A1934" s="93" t="s">
        <v>6076</v>
      </c>
      <c r="B1934" s="93" t="s">
        <v>7449</v>
      </c>
      <c r="C1934" s="410">
        <v>32</v>
      </c>
      <c r="D1934" s="93" t="s">
        <v>24</v>
      </c>
      <c r="E1934" s="93" t="s">
        <v>24</v>
      </c>
      <c r="F1934" s="93" t="s">
        <v>7</v>
      </c>
      <c r="G1934" s="93" t="s">
        <v>7185</v>
      </c>
      <c r="H1934" s="93" t="s">
        <v>400</v>
      </c>
      <c r="I1934" s="93" t="s">
        <v>111</v>
      </c>
      <c r="J1934" s="93" t="s">
        <v>7105</v>
      </c>
      <c r="K1934" s="93" t="s">
        <v>111</v>
      </c>
      <c r="L1934" s="93" t="s">
        <v>111</v>
      </c>
      <c r="M1934" s="93" t="s">
        <v>111</v>
      </c>
      <c r="N1934" s="93" t="s">
        <v>111</v>
      </c>
      <c r="O1934" s="93" t="s">
        <v>111</v>
      </c>
      <c r="P1934" s="93" t="s">
        <v>111</v>
      </c>
      <c r="Q1934" s="93" t="s">
        <v>111</v>
      </c>
      <c r="R1934" s="93" t="s">
        <v>228</v>
      </c>
      <c r="S1934" s="93" t="s">
        <v>111</v>
      </c>
      <c r="T1934" s="93" t="s">
        <v>115</v>
      </c>
      <c r="U1934" s="93" t="s">
        <v>116</v>
      </c>
      <c r="V1934" s="94">
        <v>44609.340277777781</v>
      </c>
      <c r="W1934" s="93" t="s">
        <v>7336</v>
      </c>
      <c r="X1934" s="93" t="s">
        <v>24</v>
      </c>
    </row>
    <row r="1935" spans="1:24" hidden="1" x14ac:dyDescent="0.15">
      <c r="A1935" s="93" t="s">
        <v>6529</v>
      </c>
      <c r="B1935" s="93" t="s">
        <v>6530</v>
      </c>
      <c r="C1935" s="410">
        <v>13</v>
      </c>
      <c r="D1935" s="93" t="s">
        <v>24</v>
      </c>
      <c r="E1935" s="93" t="s">
        <v>24</v>
      </c>
      <c r="F1935" s="93" t="s">
        <v>7</v>
      </c>
      <c r="G1935" s="93" t="s">
        <v>7185</v>
      </c>
      <c r="H1935" s="93" t="s">
        <v>400</v>
      </c>
      <c r="I1935" s="93" t="s">
        <v>111</v>
      </c>
      <c r="J1935" s="93" t="s">
        <v>118</v>
      </c>
      <c r="K1935" s="93">
        <v>3</v>
      </c>
      <c r="L1935" s="93" t="s">
        <v>111</v>
      </c>
      <c r="M1935" s="93" t="s">
        <v>111</v>
      </c>
      <c r="N1935" s="93" t="s">
        <v>111</v>
      </c>
      <c r="O1935" s="93" t="s">
        <v>111</v>
      </c>
      <c r="P1935" s="93" t="s">
        <v>111</v>
      </c>
      <c r="Q1935" s="93" t="s">
        <v>111</v>
      </c>
      <c r="R1935" s="93" t="s">
        <v>228</v>
      </c>
      <c r="S1935" s="93" t="s">
        <v>2</v>
      </c>
      <c r="T1935" s="93" t="s">
        <v>115</v>
      </c>
      <c r="U1935" s="93" t="s">
        <v>116</v>
      </c>
      <c r="V1935" s="94">
        <v>44596.64166666667</v>
      </c>
      <c r="W1935" s="93" t="s">
        <v>7336</v>
      </c>
      <c r="X1935" s="93" t="s">
        <v>24</v>
      </c>
    </row>
    <row r="1936" spans="1:24" hidden="1" x14ac:dyDescent="0.15">
      <c r="A1936" s="93" t="s">
        <v>6531</v>
      </c>
      <c r="B1936" s="93" t="s">
        <v>6532</v>
      </c>
      <c r="C1936" s="410">
        <v>34</v>
      </c>
      <c r="D1936" s="93" t="s">
        <v>24</v>
      </c>
      <c r="E1936" s="93" t="s">
        <v>24</v>
      </c>
      <c r="F1936" s="93" t="s">
        <v>7</v>
      </c>
      <c r="G1936" s="93" t="s">
        <v>7185</v>
      </c>
      <c r="H1936" s="93" t="s">
        <v>400</v>
      </c>
      <c r="I1936" s="93" t="s">
        <v>111</v>
      </c>
      <c r="J1936" s="93" t="s">
        <v>118</v>
      </c>
      <c r="K1936" s="93">
        <v>3</v>
      </c>
      <c r="L1936" s="93" t="s">
        <v>111</v>
      </c>
      <c r="M1936" s="93" t="s">
        <v>111</v>
      </c>
      <c r="N1936" s="93" t="s">
        <v>111</v>
      </c>
      <c r="O1936" s="93" t="s">
        <v>111</v>
      </c>
      <c r="P1936" s="93" t="s">
        <v>111</v>
      </c>
      <c r="Q1936" s="93" t="s">
        <v>111</v>
      </c>
      <c r="R1936" s="93" t="s">
        <v>228</v>
      </c>
      <c r="S1936" s="93" t="s">
        <v>2</v>
      </c>
      <c r="T1936" s="93" t="s">
        <v>115</v>
      </c>
      <c r="U1936" s="93" t="s">
        <v>116</v>
      </c>
      <c r="V1936" s="94">
        <v>44596.646527777775</v>
      </c>
      <c r="W1936" s="93" t="s">
        <v>7336</v>
      </c>
      <c r="X1936" s="93" t="s">
        <v>24</v>
      </c>
    </row>
    <row r="1937" spans="1:24" hidden="1" x14ac:dyDescent="0.15">
      <c r="A1937" s="93" t="s">
        <v>6533</v>
      </c>
      <c r="B1937" s="93" t="s">
        <v>6534</v>
      </c>
      <c r="C1937" s="410">
        <v>52</v>
      </c>
      <c r="D1937" s="93" t="s">
        <v>24</v>
      </c>
      <c r="E1937" s="93" t="s">
        <v>24</v>
      </c>
      <c r="F1937" s="93" t="s">
        <v>7</v>
      </c>
      <c r="G1937" s="93" t="s">
        <v>7185</v>
      </c>
      <c r="H1937" s="93" t="s">
        <v>400</v>
      </c>
      <c r="I1937" s="93" t="s">
        <v>111</v>
      </c>
      <c r="J1937" s="93" t="s">
        <v>118</v>
      </c>
      <c r="K1937" s="93">
        <v>3</v>
      </c>
      <c r="L1937" s="93" t="s">
        <v>111</v>
      </c>
      <c r="M1937" s="93" t="s">
        <v>111</v>
      </c>
      <c r="N1937" s="93" t="s">
        <v>111</v>
      </c>
      <c r="O1937" s="93" t="s">
        <v>111</v>
      </c>
      <c r="P1937" s="93" t="s">
        <v>111</v>
      </c>
      <c r="Q1937" s="93" t="s">
        <v>111</v>
      </c>
      <c r="R1937" s="93" t="s">
        <v>228</v>
      </c>
      <c r="S1937" s="93" t="s">
        <v>2</v>
      </c>
      <c r="T1937" s="93" t="s">
        <v>115</v>
      </c>
      <c r="U1937" s="93" t="s">
        <v>116</v>
      </c>
      <c r="V1937" s="94">
        <v>44596.682638888888</v>
      </c>
      <c r="W1937" s="93" t="s">
        <v>7336</v>
      </c>
      <c r="X1937" s="93" t="s">
        <v>24</v>
      </c>
    </row>
    <row r="1938" spans="1:24" hidden="1" x14ac:dyDescent="0.15">
      <c r="A1938" s="93" t="s">
        <v>6071</v>
      </c>
      <c r="B1938" s="93" t="s">
        <v>6523</v>
      </c>
      <c r="C1938" s="410">
        <v>22</v>
      </c>
      <c r="D1938" s="93" t="s">
        <v>24</v>
      </c>
      <c r="E1938" s="93" t="s">
        <v>24</v>
      </c>
      <c r="F1938" s="93" t="s">
        <v>7</v>
      </c>
      <c r="G1938" s="93" t="s">
        <v>7185</v>
      </c>
      <c r="H1938" s="93" t="s">
        <v>400</v>
      </c>
      <c r="I1938" s="93" t="s">
        <v>111</v>
      </c>
      <c r="J1938" s="93" t="s">
        <v>7105</v>
      </c>
      <c r="K1938" s="93" t="s">
        <v>111</v>
      </c>
      <c r="L1938" s="93" t="s">
        <v>111</v>
      </c>
      <c r="M1938" s="93" t="s">
        <v>111</v>
      </c>
      <c r="N1938" s="93" t="s">
        <v>111</v>
      </c>
      <c r="O1938" s="93" t="s">
        <v>111</v>
      </c>
      <c r="P1938" s="93" t="s">
        <v>111</v>
      </c>
      <c r="Q1938" s="93" t="s">
        <v>111</v>
      </c>
      <c r="R1938" s="93" t="s">
        <v>228</v>
      </c>
      <c r="S1938" s="93" t="s">
        <v>111</v>
      </c>
      <c r="T1938" s="93" t="s">
        <v>115</v>
      </c>
      <c r="U1938" s="93" t="s">
        <v>116</v>
      </c>
      <c r="V1938" s="94">
        <v>44610.195833333331</v>
      </c>
      <c r="W1938" s="93" t="s">
        <v>7336</v>
      </c>
      <c r="X1938" s="93" t="s">
        <v>24</v>
      </c>
    </row>
    <row r="1939" spans="1:24" hidden="1" x14ac:dyDescent="0.15">
      <c r="A1939" s="93" t="s">
        <v>6072</v>
      </c>
      <c r="B1939" s="93" t="s">
        <v>7450</v>
      </c>
      <c r="C1939" s="410">
        <v>57</v>
      </c>
      <c r="D1939" s="93" t="s">
        <v>24</v>
      </c>
      <c r="E1939" s="93" t="s">
        <v>24</v>
      </c>
      <c r="F1939" s="93" t="s">
        <v>7</v>
      </c>
      <c r="G1939" s="93" t="s">
        <v>7185</v>
      </c>
      <c r="H1939" s="93" t="s">
        <v>400</v>
      </c>
      <c r="I1939" s="93" t="s">
        <v>111</v>
      </c>
      <c r="J1939" s="93" t="s">
        <v>7105</v>
      </c>
      <c r="K1939" s="93" t="s">
        <v>111</v>
      </c>
      <c r="L1939" s="93" t="s">
        <v>111</v>
      </c>
      <c r="M1939" s="93" t="s">
        <v>111</v>
      </c>
      <c r="N1939" s="93" t="s">
        <v>111</v>
      </c>
      <c r="O1939" s="93" t="s">
        <v>111</v>
      </c>
      <c r="P1939" s="93" t="s">
        <v>111</v>
      </c>
      <c r="Q1939" s="93" t="s">
        <v>111</v>
      </c>
      <c r="R1939" s="93" t="s">
        <v>228</v>
      </c>
      <c r="S1939" s="93" t="s">
        <v>111</v>
      </c>
      <c r="T1939" s="93" t="s">
        <v>115</v>
      </c>
      <c r="U1939" s="93" t="s">
        <v>116</v>
      </c>
      <c r="V1939" s="94">
        <v>44610.154166666667</v>
      </c>
      <c r="W1939" s="93" t="s">
        <v>7336</v>
      </c>
      <c r="X1939" s="93" t="s">
        <v>24</v>
      </c>
    </row>
    <row r="1940" spans="1:24" hidden="1" x14ac:dyDescent="0.15">
      <c r="A1940" s="93" t="s">
        <v>6073</v>
      </c>
      <c r="B1940" s="93" t="s">
        <v>7451</v>
      </c>
      <c r="C1940" s="410">
        <v>88</v>
      </c>
      <c r="D1940" s="93" t="s">
        <v>24</v>
      </c>
      <c r="E1940" s="93" t="s">
        <v>24</v>
      </c>
      <c r="F1940" s="93" t="s">
        <v>7</v>
      </c>
      <c r="G1940" s="93" t="s">
        <v>7185</v>
      </c>
      <c r="H1940" s="93" t="s">
        <v>400</v>
      </c>
      <c r="I1940" s="93" t="s">
        <v>111</v>
      </c>
      <c r="J1940" s="93" t="s">
        <v>7105</v>
      </c>
      <c r="K1940" s="93" t="s">
        <v>111</v>
      </c>
      <c r="L1940" s="93" t="s">
        <v>111</v>
      </c>
      <c r="M1940" s="93" t="s">
        <v>111</v>
      </c>
      <c r="N1940" s="93" t="s">
        <v>111</v>
      </c>
      <c r="O1940" s="93" t="s">
        <v>111</v>
      </c>
      <c r="P1940" s="93" t="s">
        <v>111</v>
      </c>
      <c r="Q1940" s="93" t="s">
        <v>111</v>
      </c>
      <c r="R1940" s="93" t="s">
        <v>228</v>
      </c>
      <c r="S1940" s="93" t="s">
        <v>111</v>
      </c>
      <c r="T1940" s="93" t="s">
        <v>115</v>
      </c>
      <c r="U1940" s="93" t="s">
        <v>116</v>
      </c>
      <c r="V1940" s="94">
        <v>44609.339583333334</v>
      </c>
      <c r="W1940" s="93" t="s">
        <v>7336</v>
      </c>
      <c r="X1940" s="93" t="s">
        <v>24</v>
      </c>
    </row>
    <row r="1941" spans="1:24" hidden="1" x14ac:dyDescent="0.15">
      <c r="A1941" s="93" t="s">
        <v>7452</v>
      </c>
      <c r="B1941" s="93" t="s">
        <v>819</v>
      </c>
      <c r="C1941" s="410">
        <v>124.95</v>
      </c>
      <c r="D1941" s="93" t="s">
        <v>24</v>
      </c>
      <c r="E1941" s="93" t="s">
        <v>24</v>
      </c>
      <c r="F1941" s="93" t="s">
        <v>7</v>
      </c>
      <c r="G1941" s="93" t="s">
        <v>7185</v>
      </c>
      <c r="H1941" s="93" t="s">
        <v>400</v>
      </c>
      <c r="I1941" s="93" t="s">
        <v>111</v>
      </c>
      <c r="J1941" s="93" t="s">
        <v>7105</v>
      </c>
      <c r="K1941" s="93" t="s">
        <v>111</v>
      </c>
      <c r="L1941" s="93" t="s">
        <v>111</v>
      </c>
      <c r="M1941" s="93" t="s">
        <v>111</v>
      </c>
      <c r="N1941" s="93" t="s">
        <v>111</v>
      </c>
      <c r="O1941" s="93" t="s">
        <v>111</v>
      </c>
      <c r="P1941" s="93" t="s">
        <v>111</v>
      </c>
      <c r="Q1941" s="93" t="s">
        <v>111</v>
      </c>
      <c r="R1941" s="93" t="s">
        <v>111</v>
      </c>
      <c r="S1941" s="93" t="s">
        <v>2</v>
      </c>
      <c r="T1941" s="93" t="s">
        <v>111</v>
      </c>
      <c r="U1941" s="93" t="s">
        <v>116</v>
      </c>
      <c r="V1941" s="94">
        <v>44596.645833333336</v>
      </c>
      <c r="W1941" s="93" t="s">
        <v>402</v>
      </c>
      <c r="X1941" s="93" t="s">
        <v>24</v>
      </c>
    </row>
    <row r="1942" spans="1:24" hidden="1" x14ac:dyDescent="0.15">
      <c r="A1942" s="93" t="s">
        <v>7453</v>
      </c>
      <c r="B1942" s="93" t="s">
        <v>820</v>
      </c>
      <c r="C1942" s="410">
        <v>249.9</v>
      </c>
      <c r="D1942" s="93" t="s">
        <v>24</v>
      </c>
      <c r="E1942" s="93" t="s">
        <v>24</v>
      </c>
      <c r="F1942" s="93" t="s">
        <v>7</v>
      </c>
      <c r="G1942" s="93" t="s">
        <v>7185</v>
      </c>
      <c r="H1942" s="93" t="s">
        <v>400</v>
      </c>
      <c r="I1942" s="93" t="s">
        <v>111</v>
      </c>
      <c r="J1942" s="93" t="s">
        <v>7105</v>
      </c>
      <c r="K1942" s="93" t="s">
        <v>111</v>
      </c>
      <c r="L1942" s="93" t="s">
        <v>111</v>
      </c>
      <c r="M1942" s="93" t="s">
        <v>111</v>
      </c>
      <c r="N1942" s="93" t="s">
        <v>111</v>
      </c>
      <c r="O1942" s="93" t="s">
        <v>111</v>
      </c>
      <c r="P1942" s="93" t="s">
        <v>111</v>
      </c>
      <c r="Q1942" s="93" t="s">
        <v>111</v>
      </c>
      <c r="R1942" s="93" t="s">
        <v>111</v>
      </c>
      <c r="S1942" s="93" t="s">
        <v>2</v>
      </c>
      <c r="T1942" s="93" t="s">
        <v>111</v>
      </c>
      <c r="U1942" s="93" t="s">
        <v>116</v>
      </c>
      <c r="V1942" s="94">
        <v>44596.697222222225</v>
      </c>
      <c r="W1942" s="93" t="s">
        <v>402</v>
      </c>
      <c r="X1942" s="93" t="s">
        <v>24</v>
      </c>
    </row>
    <row r="1943" spans="1:24" hidden="1" x14ac:dyDescent="0.15">
      <c r="A1943" s="93" t="s">
        <v>7454</v>
      </c>
      <c r="B1943" s="93" t="s">
        <v>822</v>
      </c>
      <c r="C1943" s="410">
        <v>290.7</v>
      </c>
      <c r="D1943" s="93" t="s">
        <v>24</v>
      </c>
      <c r="E1943" s="93" t="s">
        <v>24</v>
      </c>
      <c r="F1943" s="93" t="s">
        <v>7</v>
      </c>
      <c r="G1943" s="93" t="s">
        <v>7185</v>
      </c>
      <c r="H1943" s="93" t="s">
        <v>400</v>
      </c>
      <c r="I1943" s="93" t="s">
        <v>111</v>
      </c>
      <c r="J1943" s="93" t="s">
        <v>7105</v>
      </c>
      <c r="K1943" s="93" t="s">
        <v>111</v>
      </c>
      <c r="L1943" s="93" t="s">
        <v>111</v>
      </c>
      <c r="M1943" s="93" t="s">
        <v>111</v>
      </c>
      <c r="N1943" s="93" t="s">
        <v>111</v>
      </c>
      <c r="O1943" s="93" t="s">
        <v>111</v>
      </c>
      <c r="P1943" s="93" t="s">
        <v>111</v>
      </c>
      <c r="Q1943" s="93" t="s">
        <v>111</v>
      </c>
      <c r="R1943" s="93" t="s">
        <v>111</v>
      </c>
      <c r="S1943" s="93" t="s">
        <v>2</v>
      </c>
      <c r="T1943" s="93" t="s">
        <v>111</v>
      </c>
      <c r="U1943" s="93" t="s">
        <v>116</v>
      </c>
      <c r="V1943" s="94">
        <v>44596.69027777778</v>
      </c>
      <c r="W1943" s="93" t="s">
        <v>402</v>
      </c>
      <c r="X1943" s="93" t="s">
        <v>24</v>
      </c>
    </row>
    <row r="1944" spans="1:24" hidden="1" x14ac:dyDescent="0.15">
      <c r="A1944" s="93" t="s">
        <v>7455</v>
      </c>
      <c r="B1944" s="93" t="s">
        <v>809</v>
      </c>
      <c r="C1944" s="410">
        <v>68</v>
      </c>
      <c r="D1944" s="93" t="s">
        <v>24</v>
      </c>
      <c r="E1944" s="93" t="s">
        <v>24</v>
      </c>
      <c r="F1944" s="93" t="s">
        <v>7</v>
      </c>
      <c r="G1944" s="93" t="s">
        <v>7185</v>
      </c>
      <c r="H1944" s="93" t="s">
        <v>400</v>
      </c>
      <c r="I1944" s="93" t="s">
        <v>111</v>
      </c>
      <c r="J1944" s="93" t="s">
        <v>7105</v>
      </c>
      <c r="K1944" s="93" t="s">
        <v>111</v>
      </c>
      <c r="L1944" s="93" t="s">
        <v>111</v>
      </c>
      <c r="M1944" s="93" t="s">
        <v>111</v>
      </c>
      <c r="N1944" s="93" t="s">
        <v>111</v>
      </c>
      <c r="O1944" s="93" t="s">
        <v>111</v>
      </c>
      <c r="P1944" s="93" t="s">
        <v>111</v>
      </c>
      <c r="Q1944" s="93" t="s">
        <v>111</v>
      </c>
      <c r="R1944" s="93" t="s">
        <v>111</v>
      </c>
      <c r="S1944" s="93" t="s">
        <v>2</v>
      </c>
      <c r="T1944" s="93" t="s">
        <v>111</v>
      </c>
      <c r="U1944" s="93" t="s">
        <v>116</v>
      </c>
      <c r="V1944" s="94">
        <v>44596.662499999999</v>
      </c>
      <c r="W1944" s="93" t="s">
        <v>402</v>
      </c>
      <c r="X1944" s="93" t="s">
        <v>24</v>
      </c>
    </row>
    <row r="1945" spans="1:24" hidden="1" x14ac:dyDescent="0.15">
      <c r="A1945" s="93" t="s">
        <v>7456</v>
      </c>
      <c r="B1945" s="93" t="s">
        <v>826</v>
      </c>
      <c r="C1945" s="410">
        <v>173.4</v>
      </c>
      <c r="D1945" s="93" t="s">
        <v>24</v>
      </c>
      <c r="E1945" s="93" t="s">
        <v>24</v>
      </c>
      <c r="F1945" s="93" t="s">
        <v>7</v>
      </c>
      <c r="G1945" s="93" t="s">
        <v>7185</v>
      </c>
      <c r="H1945" s="93" t="s">
        <v>400</v>
      </c>
      <c r="I1945" s="93" t="s">
        <v>111</v>
      </c>
      <c r="J1945" s="93" t="s">
        <v>7105</v>
      </c>
      <c r="K1945" s="93" t="s">
        <v>111</v>
      </c>
      <c r="L1945" s="93" t="s">
        <v>111</v>
      </c>
      <c r="M1945" s="93" t="s">
        <v>111</v>
      </c>
      <c r="N1945" s="93" t="s">
        <v>111</v>
      </c>
      <c r="O1945" s="93" t="s">
        <v>111</v>
      </c>
      <c r="P1945" s="93" t="s">
        <v>111</v>
      </c>
      <c r="Q1945" s="93" t="s">
        <v>111</v>
      </c>
      <c r="R1945" s="93" t="s">
        <v>111</v>
      </c>
      <c r="S1945" s="93" t="s">
        <v>2</v>
      </c>
      <c r="T1945" s="93" t="s">
        <v>111</v>
      </c>
      <c r="U1945" s="93" t="s">
        <v>116</v>
      </c>
      <c r="V1945" s="94">
        <v>44596.662499999999</v>
      </c>
      <c r="W1945" s="93" t="s">
        <v>402</v>
      </c>
      <c r="X1945" s="93" t="s">
        <v>24</v>
      </c>
    </row>
    <row r="1946" spans="1:24" hidden="1" x14ac:dyDescent="0.15">
      <c r="A1946" s="93" t="s">
        <v>7457</v>
      </c>
      <c r="B1946" s="93" t="s">
        <v>810</v>
      </c>
      <c r="C1946" s="410">
        <v>88</v>
      </c>
      <c r="D1946" s="93" t="s">
        <v>24</v>
      </c>
      <c r="E1946" s="93" t="s">
        <v>24</v>
      </c>
      <c r="F1946" s="93" t="s">
        <v>7</v>
      </c>
      <c r="G1946" s="93" t="s">
        <v>7185</v>
      </c>
      <c r="H1946" s="93" t="s">
        <v>400</v>
      </c>
      <c r="I1946" s="93" t="s">
        <v>111</v>
      </c>
      <c r="J1946" s="93" t="s">
        <v>7105</v>
      </c>
      <c r="K1946" s="93" t="s">
        <v>111</v>
      </c>
      <c r="L1946" s="93" t="s">
        <v>111</v>
      </c>
      <c r="M1946" s="93" t="s">
        <v>111</v>
      </c>
      <c r="N1946" s="93" t="s">
        <v>111</v>
      </c>
      <c r="O1946" s="93" t="s">
        <v>111</v>
      </c>
      <c r="P1946" s="93" t="s">
        <v>111</v>
      </c>
      <c r="Q1946" s="93" t="s">
        <v>111</v>
      </c>
      <c r="R1946" s="93" t="s">
        <v>111</v>
      </c>
      <c r="S1946" s="93" t="s">
        <v>2</v>
      </c>
      <c r="T1946" s="93" t="s">
        <v>111</v>
      </c>
      <c r="U1946" s="93" t="s">
        <v>116</v>
      </c>
      <c r="V1946" s="94">
        <v>44596.689583333333</v>
      </c>
      <c r="W1946" s="93" t="s">
        <v>402</v>
      </c>
      <c r="X1946" s="93" t="s">
        <v>24</v>
      </c>
    </row>
    <row r="1947" spans="1:24" hidden="1" x14ac:dyDescent="0.15">
      <c r="A1947" s="93" t="s">
        <v>7458</v>
      </c>
      <c r="B1947" s="93" t="s">
        <v>828</v>
      </c>
      <c r="C1947" s="410">
        <v>224.4</v>
      </c>
      <c r="D1947" s="93" t="s">
        <v>24</v>
      </c>
      <c r="E1947" s="93" t="s">
        <v>24</v>
      </c>
      <c r="F1947" s="93" t="s">
        <v>7</v>
      </c>
      <c r="G1947" s="93" t="s">
        <v>7185</v>
      </c>
      <c r="H1947" s="93" t="s">
        <v>400</v>
      </c>
      <c r="I1947" s="93" t="s">
        <v>111</v>
      </c>
      <c r="J1947" s="93" t="s">
        <v>7105</v>
      </c>
      <c r="K1947" s="93" t="s">
        <v>111</v>
      </c>
      <c r="L1947" s="93" t="s">
        <v>111</v>
      </c>
      <c r="M1947" s="93" t="s">
        <v>111</v>
      </c>
      <c r="N1947" s="93" t="s">
        <v>111</v>
      </c>
      <c r="O1947" s="93" t="s">
        <v>111</v>
      </c>
      <c r="P1947" s="93" t="s">
        <v>111</v>
      </c>
      <c r="Q1947" s="93" t="s">
        <v>111</v>
      </c>
      <c r="R1947" s="93" t="s">
        <v>111</v>
      </c>
      <c r="S1947" s="93" t="s">
        <v>2</v>
      </c>
      <c r="T1947" s="93" t="s">
        <v>111</v>
      </c>
      <c r="U1947" s="93" t="s">
        <v>116</v>
      </c>
      <c r="V1947" s="94">
        <v>44596.667361111111</v>
      </c>
      <c r="W1947" s="93" t="s">
        <v>402</v>
      </c>
      <c r="X1947" s="93" t="s">
        <v>24</v>
      </c>
    </row>
    <row r="1948" spans="1:24" hidden="1" x14ac:dyDescent="0.15">
      <c r="A1948" s="93" t="s">
        <v>7459</v>
      </c>
      <c r="B1948" s="93" t="s">
        <v>830</v>
      </c>
      <c r="C1948" s="410">
        <v>165.75</v>
      </c>
      <c r="D1948" s="93" t="s">
        <v>24</v>
      </c>
      <c r="E1948" s="93" t="s">
        <v>24</v>
      </c>
      <c r="F1948" s="93" t="s">
        <v>7</v>
      </c>
      <c r="G1948" s="93" t="s">
        <v>7185</v>
      </c>
      <c r="H1948" s="93" t="s">
        <v>400</v>
      </c>
      <c r="I1948" s="93" t="s">
        <v>111</v>
      </c>
      <c r="J1948" s="93" t="s">
        <v>7105</v>
      </c>
      <c r="K1948" s="93" t="s">
        <v>111</v>
      </c>
      <c r="L1948" s="93" t="s">
        <v>111</v>
      </c>
      <c r="M1948" s="93" t="s">
        <v>111</v>
      </c>
      <c r="N1948" s="93" t="s">
        <v>111</v>
      </c>
      <c r="O1948" s="93" t="s">
        <v>111</v>
      </c>
      <c r="P1948" s="93" t="s">
        <v>111</v>
      </c>
      <c r="Q1948" s="93" t="s">
        <v>111</v>
      </c>
      <c r="R1948" s="93" t="s">
        <v>111</v>
      </c>
      <c r="S1948" s="93" t="s">
        <v>2</v>
      </c>
      <c r="T1948" s="93" t="s">
        <v>111</v>
      </c>
      <c r="U1948" s="93" t="s">
        <v>116</v>
      </c>
      <c r="V1948" s="94">
        <v>44596.662499999999</v>
      </c>
      <c r="W1948" s="93" t="s">
        <v>402</v>
      </c>
      <c r="X1948" s="93" t="s">
        <v>24</v>
      </c>
    </row>
    <row r="1949" spans="1:24" hidden="1" x14ac:dyDescent="0.15">
      <c r="A1949" s="93" t="s">
        <v>7460</v>
      </c>
      <c r="B1949" s="93" t="s">
        <v>832</v>
      </c>
      <c r="C1949" s="410">
        <v>283.05</v>
      </c>
      <c r="D1949" s="93" t="s">
        <v>24</v>
      </c>
      <c r="E1949" s="93" t="s">
        <v>24</v>
      </c>
      <c r="F1949" s="93" t="s">
        <v>7</v>
      </c>
      <c r="G1949" s="93" t="s">
        <v>7185</v>
      </c>
      <c r="H1949" s="93" t="s">
        <v>400</v>
      </c>
      <c r="I1949" s="93" t="s">
        <v>111</v>
      </c>
      <c r="J1949" s="93" t="s">
        <v>7105</v>
      </c>
      <c r="K1949" s="93" t="s">
        <v>111</v>
      </c>
      <c r="L1949" s="93" t="s">
        <v>111</v>
      </c>
      <c r="M1949" s="93" t="s">
        <v>111</v>
      </c>
      <c r="N1949" s="93" t="s">
        <v>111</v>
      </c>
      <c r="O1949" s="93" t="s">
        <v>111</v>
      </c>
      <c r="P1949" s="93" t="s">
        <v>111</v>
      </c>
      <c r="Q1949" s="93" t="s">
        <v>111</v>
      </c>
      <c r="R1949" s="93" t="s">
        <v>111</v>
      </c>
      <c r="S1949" s="93" t="s">
        <v>2</v>
      </c>
      <c r="T1949" s="93" t="s">
        <v>111</v>
      </c>
      <c r="U1949" s="93" t="s">
        <v>116</v>
      </c>
      <c r="V1949" s="94">
        <v>44596.654861111114</v>
      </c>
      <c r="W1949" s="93" t="s">
        <v>402</v>
      </c>
      <c r="X1949" s="93" t="s">
        <v>24</v>
      </c>
    </row>
    <row r="1950" spans="1:24" hidden="1" x14ac:dyDescent="0.15">
      <c r="A1950" s="93" t="s">
        <v>7461</v>
      </c>
      <c r="B1950" s="93" t="s">
        <v>834</v>
      </c>
      <c r="C1950" s="410">
        <v>290.7</v>
      </c>
      <c r="D1950" s="93" t="s">
        <v>24</v>
      </c>
      <c r="E1950" s="93" t="s">
        <v>24</v>
      </c>
      <c r="F1950" s="93" t="s">
        <v>7</v>
      </c>
      <c r="G1950" s="93" t="s">
        <v>7185</v>
      </c>
      <c r="H1950" s="93" t="s">
        <v>400</v>
      </c>
      <c r="I1950" s="93" t="s">
        <v>111</v>
      </c>
      <c r="J1950" s="93" t="s">
        <v>7105</v>
      </c>
      <c r="K1950" s="93" t="s">
        <v>111</v>
      </c>
      <c r="L1950" s="93" t="s">
        <v>111</v>
      </c>
      <c r="M1950" s="93" t="s">
        <v>111</v>
      </c>
      <c r="N1950" s="93" t="s">
        <v>111</v>
      </c>
      <c r="O1950" s="93" t="s">
        <v>111</v>
      </c>
      <c r="P1950" s="93" t="s">
        <v>111</v>
      </c>
      <c r="Q1950" s="93" t="s">
        <v>111</v>
      </c>
      <c r="R1950" s="93" t="s">
        <v>111</v>
      </c>
      <c r="S1950" s="93" t="s">
        <v>2</v>
      </c>
      <c r="T1950" s="93" t="s">
        <v>111</v>
      </c>
      <c r="U1950" s="93" t="s">
        <v>116</v>
      </c>
      <c r="V1950" s="94">
        <v>44596.640972222223</v>
      </c>
      <c r="W1950" s="93" t="s">
        <v>402</v>
      </c>
      <c r="X1950" s="93" t="s">
        <v>24</v>
      </c>
    </row>
    <row r="1951" spans="1:24" hidden="1" x14ac:dyDescent="0.15">
      <c r="A1951" s="93" t="s">
        <v>7462</v>
      </c>
      <c r="B1951" s="93" t="s">
        <v>836</v>
      </c>
      <c r="C1951" s="410">
        <v>326.39999999999998</v>
      </c>
      <c r="D1951" s="93" t="s">
        <v>24</v>
      </c>
      <c r="E1951" s="93" t="s">
        <v>24</v>
      </c>
      <c r="F1951" s="93" t="s">
        <v>7</v>
      </c>
      <c r="G1951" s="93" t="s">
        <v>7185</v>
      </c>
      <c r="H1951" s="93" t="s">
        <v>400</v>
      </c>
      <c r="I1951" s="93" t="s">
        <v>111</v>
      </c>
      <c r="J1951" s="93" t="s">
        <v>7105</v>
      </c>
      <c r="K1951" s="93" t="s">
        <v>111</v>
      </c>
      <c r="L1951" s="93" t="s">
        <v>111</v>
      </c>
      <c r="M1951" s="93" t="s">
        <v>111</v>
      </c>
      <c r="N1951" s="93" t="s">
        <v>111</v>
      </c>
      <c r="O1951" s="93" t="s">
        <v>111</v>
      </c>
      <c r="P1951" s="93" t="s">
        <v>111</v>
      </c>
      <c r="Q1951" s="93" t="s">
        <v>111</v>
      </c>
      <c r="R1951" s="93" t="s">
        <v>111</v>
      </c>
      <c r="S1951" s="93" t="s">
        <v>2</v>
      </c>
      <c r="T1951" s="93" t="s">
        <v>111</v>
      </c>
      <c r="U1951" s="93" t="s">
        <v>116</v>
      </c>
      <c r="V1951" s="94">
        <v>44596.654861111114</v>
      </c>
      <c r="W1951" s="93" t="s">
        <v>402</v>
      </c>
      <c r="X1951" s="93" t="s">
        <v>24</v>
      </c>
    </row>
    <row r="1952" spans="1:24" hidden="1" x14ac:dyDescent="0.15">
      <c r="A1952" s="93" t="s">
        <v>7463</v>
      </c>
      <c r="B1952" s="93" t="s">
        <v>838</v>
      </c>
      <c r="C1952" s="410">
        <v>550.79999999999995</v>
      </c>
      <c r="D1952" s="93" t="s">
        <v>24</v>
      </c>
      <c r="E1952" s="93" t="s">
        <v>24</v>
      </c>
      <c r="F1952" s="93" t="s">
        <v>7</v>
      </c>
      <c r="G1952" s="93" t="s">
        <v>7185</v>
      </c>
      <c r="H1952" s="93" t="s">
        <v>400</v>
      </c>
      <c r="I1952" s="93" t="s">
        <v>111</v>
      </c>
      <c r="J1952" s="93" t="s">
        <v>7105</v>
      </c>
      <c r="K1952" s="93" t="s">
        <v>111</v>
      </c>
      <c r="L1952" s="93" t="s">
        <v>111</v>
      </c>
      <c r="M1952" s="93" t="s">
        <v>111</v>
      </c>
      <c r="N1952" s="93" t="s">
        <v>111</v>
      </c>
      <c r="O1952" s="93" t="s">
        <v>111</v>
      </c>
      <c r="P1952" s="93" t="s">
        <v>111</v>
      </c>
      <c r="Q1952" s="93" t="s">
        <v>111</v>
      </c>
      <c r="R1952" s="93" t="s">
        <v>111</v>
      </c>
      <c r="S1952" s="93" t="s">
        <v>2</v>
      </c>
      <c r="T1952" s="93" t="s">
        <v>111</v>
      </c>
      <c r="U1952" s="93" t="s">
        <v>116</v>
      </c>
      <c r="V1952" s="94">
        <v>44596.65</v>
      </c>
      <c r="W1952" s="93" t="s">
        <v>402</v>
      </c>
      <c r="X1952" s="93" t="s">
        <v>24</v>
      </c>
    </row>
    <row r="1953" spans="1:24" hidden="1" x14ac:dyDescent="0.15">
      <c r="A1953" s="93" t="s">
        <v>7464</v>
      </c>
      <c r="B1953" s="93" t="s">
        <v>840</v>
      </c>
      <c r="C1953" s="410">
        <v>58.65</v>
      </c>
      <c r="D1953" s="93" t="s">
        <v>24</v>
      </c>
      <c r="E1953" s="93" t="s">
        <v>24</v>
      </c>
      <c r="F1953" s="93" t="s">
        <v>7</v>
      </c>
      <c r="G1953" s="93" t="s">
        <v>7185</v>
      </c>
      <c r="H1953" s="93" t="s">
        <v>400</v>
      </c>
      <c r="I1953" s="93" t="s">
        <v>111</v>
      </c>
      <c r="J1953" s="93" t="s">
        <v>7105</v>
      </c>
      <c r="K1953" s="93" t="s">
        <v>111</v>
      </c>
      <c r="L1953" s="93" t="s">
        <v>111</v>
      </c>
      <c r="M1953" s="93" t="s">
        <v>111</v>
      </c>
      <c r="N1953" s="93" t="s">
        <v>111</v>
      </c>
      <c r="O1953" s="93" t="s">
        <v>111</v>
      </c>
      <c r="P1953" s="93" t="s">
        <v>111</v>
      </c>
      <c r="Q1953" s="93" t="s">
        <v>111</v>
      </c>
      <c r="R1953" s="93" t="s">
        <v>111</v>
      </c>
      <c r="S1953" s="93" t="s">
        <v>2</v>
      </c>
      <c r="T1953" s="93" t="s">
        <v>111</v>
      </c>
      <c r="U1953" s="93" t="s">
        <v>116</v>
      </c>
      <c r="V1953" s="94">
        <v>44596.668055555558</v>
      </c>
      <c r="W1953" s="93" t="s">
        <v>402</v>
      </c>
      <c r="X1953" s="93" t="s">
        <v>24</v>
      </c>
    </row>
    <row r="1954" spans="1:24" hidden="1" x14ac:dyDescent="0.15">
      <c r="A1954" s="93" t="s">
        <v>7465</v>
      </c>
      <c r="B1954" s="93" t="s">
        <v>842</v>
      </c>
      <c r="C1954" s="410">
        <v>132.6</v>
      </c>
      <c r="D1954" s="93" t="s">
        <v>24</v>
      </c>
      <c r="E1954" s="93" t="s">
        <v>24</v>
      </c>
      <c r="F1954" s="93" t="s">
        <v>7</v>
      </c>
      <c r="G1954" s="93" t="s">
        <v>7185</v>
      </c>
      <c r="H1954" s="93" t="s">
        <v>400</v>
      </c>
      <c r="I1954" s="93" t="s">
        <v>111</v>
      </c>
      <c r="J1954" s="93" t="s">
        <v>7105</v>
      </c>
      <c r="K1954" s="93" t="s">
        <v>111</v>
      </c>
      <c r="L1954" s="93" t="s">
        <v>111</v>
      </c>
      <c r="M1954" s="93" t="s">
        <v>111</v>
      </c>
      <c r="N1954" s="93" t="s">
        <v>111</v>
      </c>
      <c r="O1954" s="93" t="s">
        <v>111</v>
      </c>
      <c r="P1954" s="93" t="s">
        <v>111</v>
      </c>
      <c r="Q1954" s="93" t="s">
        <v>111</v>
      </c>
      <c r="R1954" s="93" t="s">
        <v>111</v>
      </c>
      <c r="S1954" s="93" t="s">
        <v>2</v>
      </c>
      <c r="T1954" s="93" t="s">
        <v>111</v>
      </c>
      <c r="U1954" s="93" t="s">
        <v>116</v>
      </c>
      <c r="V1954" s="94">
        <v>44596.662499999999</v>
      </c>
      <c r="W1954" s="93" t="s">
        <v>402</v>
      </c>
      <c r="X1954" s="93" t="s">
        <v>24</v>
      </c>
    </row>
    <row r="1955" spans="1:24" hidden="1" x14ac:dyDescent="0.15">
      <c r="A1955" s="93" t="s">
        <v>7466</v>
      </c>
      <c r="B1955" s="93" t="s">
        <v>844</v>
      </c>
      <c r="C1955" s="410">
        <v>640.04999999999995</v>
      </c>
      <c r="D1955" s="93" t="s">
        <v>24</v>
      </c>
      <c r="E1955" s="93" t="s">
        <v>24</v>
      </c>
      <c r="F1955" s="93" t="s">
        <v>7</v>
      </c>
      <c r="G1955" s="93" t="s">
        <v>7185</v>
      </c>
      <c r="H1955" s="93" t="s">
        <v>400</v>
      </c>
      <c r="I1955" s="93" t="s">
        <v>111</v>
      </c>
      <c r="J1955" s="93" t="s">
        <v>7105</v>
      </c>
      <c r="K1955" s="93" t="s">
        <v>111</v>
      </c>
      <c r="L1955" s="93" t="s">
        <v>111</v>
      </c>
      <c r="M1955" s="93" t="s">
        <v>111</v>
      </c>
      <c r="N1955" s="93" t="s">
        <v>111</v>
      </c>
      <c r="O1955" s="93" t="s">
        <v>111</v>
      </c>
      <c r="P1955" s="93" t="s">
        <v>111</v>
      </c>
      <c r="Q1955" s="93" t="s">
        <v>111</v>
      </c>
      <c r="R1955" s="93" t="s">
        <v>111</v>
      </c>
      <c r="S1955" s="93" t="s">
        <v>2</v>
      </c>
      <c r="T1955" s="93" t="s">
        <v>111</v>
      </c>
      <c r="U1955" s="93" t="s">
        <v>116</v>
      </c>
      <c r="V1955" s="94">
        <v>44596.697222222225</v>
      </c>
      <c r="W1955" s="93" t="s">
        <v>402</v>
      </c>
      <c r="X1955" s="93" t="s">
        <v>24</v>
      </c>
    </row>
    <row r="1956" spans="1:24" hidden="1" x14ac:dyDescent="0.15">
      <c r="A1956" s="93" t="s">
        <v>7467</v>
      </c>
      <c r="B1956" s="93" t="s">
        <v>223</v>
      </c>
      <c r="C1956" s="410">
        <v>772.65</v>
      </c>
      <c r="D1956" s="93" t="s">
        <v>24</v>
      </c>
      <c r="E1956" s="93" t="s">
        <v>24</v>
      </c>
      <c r="F1956" s="93" t="s">
        <v>7</v>
      </c>
      <c r="G1956" s="93" t="s">
        <v>7185</v>
      </c>
      <c r="H1956" s="93" t="s">
        <v>400</v>
      </c>
      <c r="I1956" s="93" t="s">
        <v>111</v>
      </c>
      <c r="J1956" s="93" t="s">
        <v>7105</v>
      </c>
      <c r="K1956" s="93" t="s">
        <v>111</v>
      </c>
      <c r="L1956" s="93" t="s">
        <v>111</v>
      </c>
      <c r="M1956" s="93" t="s">
        <v>111</v>
      </c>
      <c r="N1956" s="93" t="s">
        <v>111</v>
      </c>
      <c r="O1956" s="93" t="s">
        <v>111</v>
      </c>
      <c r="P1956" s="93" t="s">
        <v>111</v>
      </c>
      <c r="Q1956" s="93" t="s">
        <v>111</v>
      </c>
      <c r="R1956" s="93" t="s">
        <v>111</v>
      </c>
      <c r="S1956" s="93" t="s">
        <v>2</v>
      </c>
      <c r="T1956" s="93" t="s">
        <v>111</v>
      </c>
      <c r="U1956" s="93" t="s">
        <v>116</v>
      </c>
      <c r="V1956" s="94">
        <v>44596.668055555558</v>
      </c>
      <c r="W1956" s="93" t="s">
        <v>402</v>
      </c>
      <c r="X1956" s="93" t="s">
        <v>24</v>
      </c>
    </row>
    <row r="1957" spans="1:24" hidden="1" x14ac:dyDescent="0.15">
      <c r="A1957" s="93" t="s">
        <v>7468</v>
      </c>
      <c r="B1957" s="93" t="s">
        <v>848</v>
      </c>
      <c r="C1957" s="410">
        <v>1071</v>
      </c>
      <c r="D1957" s="93" t="s">
        <v>24</v>
      </c>
      <c r="E1957" s="93" t="s">
        <v>24</v>
      </c>
      <c r="F1957" s="93" t="s">
        <v>7</v>
      </c>
      <c r="G1957" s="93" t="s">
        <v>7185</v>
      </c>
      <c r="H1957" s="93" t="s">
        <v>400</v>
      </c>
      <c r="I1957" s="93" t="s">
        <v>111</v>
      </c>
      <c r="J1957" s="93" t="s">
        <v>7105</v>
      </c>
      <c r="K1957" s="93" t="s">
        <v>111</v>
      </c>
      <c r="L1957" s="93" t="s">
        <v>111</v>
      </c>
      <c r="M1957" s="93" t="s">
        <v>111</v>
      </c>
      <c r="N1957" s="93" t="s">
        <v>111</v>
      </c>
      <c r="O1957" s="93" t="s">
        <v>111</v>
      </c>
      <c r="P1957" s="93" t="s">
        <v>111</v>
      </c>
      <c r="Q1957" s="93" t="s">
        <v>111</v>
      </c>
      <c r="R1957" s="93" t="s">
        <v>111</v>
      </c>
      <c r="S1957" s="93" t="s">
        <v>2</v>
      </c>
      <c r="T1957" s="93" t="s">
        <v>111</v>
      </c>
      <c r="U1957" s="93" t="s">
        <v>116</v>
      </c>
      <c r="V1957" s="94">
        <v>44596.645833333336</v>
      </c>
      <c r="W1957" s="93" t="s">
        <v>402</v>
      </c>
      <c r="X1957" s="93" t="s">
        <v>24</v>
      </c>
    </row>
    <row r="1958" spans="1:24" hidden="1" x14ac:dyDescent="0.15">
      <c r="A1958" s="93" t="s">
        <v>7469</v>
      </c>
      <c r="B1958" s="93" t="s">
        <v>857</v>
      </c>
      <c r="C1958" s="410">
        <v>535.5</v>
      </c>
      <c r="D1958" s="93" t="s">
        <v>24</v>
      </c>
      <c r="E1958" s="93" t="s">
        <v>24</v>
      </c>
      <c r="F1958" s="93" t="s">
        <v>7</v>
      </c>
      <c r="G1958" s="93" t="s">
        <v>7185</v>
      </c>
      <c r="H1958" s="93" t="s">
        <v>400</v>
      </c>
      <c r="I1958" s="93" t="s">
        <v>111</v>
      </c>
      <c r="J1958" s="93" t="s">
        <v>7105</v>
      </c>
      <c r="K1958" s="93" t="s">
        <v>111</v>
      </c>
      <c r="L1958" s="93" t="s">
        <v>111</v>
      </c>
      <c r="M1958" s="93" t="s">
        <v>111</v>
      </c>
      <c r="N1958" s="93" t="s">
        <v>111</v>
      </c>
      <c r="O1958" s="93" t="s">
        <v>111</v>
      </c>
      <c r="P1958" s="93" t="s">
        <v>111</v>
      </c>
      <c r="Q1958" s="93" t="s">
        <v>111</v>
      </c>
      <c r="R1958" s="93" t="s">
        <v>111</v>
      </c>
      <c r="S1958" s="93" t="s">
        <v>2</v>
      </c>
      <c r="T1958" s="93" t="s">
        <v>111</v>
      </c>
      <c r="U1958" s="93" t="s">
        <v>116</v>
      </c>
      <c r="V1958" s="94">
        <v>44596.694444444445</v>
      </c>
      <c r="W1958" s="93" t="s">
        <v>402</v>
      </c>
      <c r="X1958" s="93" t="s">
        <v>24</v>
      </c>
    </row>
    <row r="1959" spans="1:24" hidden="1" x14ac:dyDescent="0.15">
      <c r="A1959" s="93" t="s">
        <v>231</v>
      </c>
      <c r="B1959" s="93" t="s">
        <v>363</v>
      </c>
      <c r="C1959" s="410">
        <v>13</v>
      </c>
      <c r="D1959" s="93" t="s">
        <v>24</v>
      </c>
      <c r="E1959" s="93" t="s">
        <v>24</v>
      </c>
      <c r="F1959" s="93" t="s">
        <v>126</v>
      </c>
      <c r="G1959" s="93" t="s">
        <v>7183</v>
      </c>
      <c r="H1959" s="93" t="s">
        <v>400</v>
      </c>
      <c r="I1959" s="93" t="s">
        <v>111</v>
      </c>
      <c r="J1959" s="93" t="s">
        <v>7105</v>
      </c>
      <c r="K1959" s="93" t="s">
        <v>111</v>
      </c>
      <c r="L1959" s="93" t="s">
        <v>111</v>
      </c>
      <c r="M1959" s="93" t="s">
        <v>111</v>
      </c>
      <c r="N1959" s="93" t="s">
        <v>111</v>
      </c>
      <c r="O1959" s="93" t="s">
        <v>111</v>
      </c>
      <c r="P1959" s="93" t="s">
        <v>111</v>
      </c>
      <c r="Q1959" s="93" t="s">
        <v>111</v>
      </c>
      <c r="R1959" s="93" t="s">
        <v>111</v>
      </c>
      <c r="S1959" s="93" t="s">
        <v>2</v>
      </c>
      <c r="T1959" s="93" t="s">
        <v>111</v>
      </c>
      <c r="U1959" s="93" t="s">
        <v>116</v>
      </c>
      <c r="V1959" s="94">
        <v>44610.144444444442</v>
      </c>
      <c r="W1959" s="93" t="s">
        <v>7072</v>
      </c>
      <c r="X1959" s="93" t="s">
        <v>24</v>
      </c>
    </row>
    <row r="1960" spans="1:24" hidden="1" x14ac:dyDescent="0.15">
      <c r="A1960" s="93" t="s">
        <v>232</v>
      </c>
      <c r="B1960" s="93" t="s">
        <v>365</v>
      </c>
      <c r="C1960" s="410">
        <v>66</v>
      </c>
      <c r="D1960" s="93" t="s">
        <v>24</v>
      </c>
      <c r="E1960" s="93" t="s">
        <v>24</v>
      </c>
      <c r="F1960" s="93" t="s">
        <v>126</v>
      </c>
      <c r="G1960" s="93" t="s">
        <v>7183</v>
      </c>
      <c r="H1960" s="93" t="s">
        <v>400</v>
      </c>
      <c r="I1960" s="93" t="s">
        <v>111</v>
      </c>
      <c r="J1960" s="93" t="s">
        <v>7105</v>
      </c>
      <c r="K1960" s="93" t="s">
        <v>111</v>
      </c>
      <c r="L1960" s="93" t="s">
        <v>111</v>
      </c>
      <c r="M1960" s="93" t="s">
        <v>111</v>
      </c>
      <c r="N1960" s="93" t="s">
        <v>111</v>
      </c>
      <c r="O1960" s="93" t="s">
        <v>111</v>
      </c>
      <c r="P1960" s="93" t="s">
        <v>111</v>
      </c>
      <c r="Q1960" s="93" t="s">
        <v>111</v>
      </c>
      <c r="R1960" s="93" t="s">
        <v>111</v>
      </c>
      <c r="S1960" s="93" t="s">
        <v>2</v>
      </c>
      <c r="T1960" s="93" t="s">
        <v>111</v>
      </c>
      <c r="U1960" s="93" t="s">
        <v>116</v>
      </c>
      <c r="V1960" s="94">
        <v>44610.210416666669</v>
      </c>
      <c r="W1960" s="93" t="s">
        <v>7072</v>
      </c>
      <c r="X1960" s="93" t="s">
        <v>24</v>
      </c>
    </row>
    <row r="1961" spans="1:24" hidden="1" x14ac:dyDescent="0.15">
      <c r="A1961" s="93" t="s">
        <v>233</v>
      </c>
      <c r="B1961" s="93" t="s">
        <v>367</v>
      </c>
      <c r="C1961" s="410">
        <v>21</v>
      </c>
      <c r="D1961" s="93" t="s">
        <v>24</v>
      </c>
      <c r="E1961" s="93" t="s">
        <v>24</v>
      </c>
      <c r="F1961" s="93" t="s">
        <v>126</v>
      </c>
      <c r="G1961" s="93" t="s">
        <v>7183</v>
      </c>
      <c r="H1961" s="93" t="s">
        <v>400</v>
      </c>
      <c r="I1961" s="93" t="s">
        <v>111</v>
      </c>
      <c r="J1961" s="93" t="s">
        <v>7105</v>
      </c>
      <c r="K1961" s="93" t="s">
        <v>111</v>
      </c>
      <c r="L1961" s="93" t="s">
        <v>111</v>
      </c>
      <c r="M1961" s="93" t="s">
        <v>111</v>
      </c>
      <c r="N1961" s="93" t="s">
        <v>111</v>
      </c>
      <c r="O1961" s="93" t="s">
        <v>111</v>
      </c>
      <c r="P1961" s="93" t="s">
        <v>111</v>
      </c>
      <c r="Q1961" s="93" t="s">
        <v>111</v>
      </c>
      <c r="R1961" s="93" t="s">
        <v>111</v>
      </c>
      <c r="S1961" s="93" t="s">
        <v>2</v>
      </c>
      <c r="T1961" s="93" t="s">
        <v>111</v>
      </c>
      <c r="U1961" s="93" t="s">
        <v>116</v>
      </c>
      <c r="V1961" s="94">
        <v>44610.209722222222</v>
      </c>
      <c r="W1961" s="93" t="s">
        <v>7072</v>
      </c>
      <c r="X1961" s="93" t="s">
        <v>24</v>
      </c>
    </row>
    <row r="1962" spans="1:24" hidden="1" x14ac:dyDescent="0.15">
      <c r="A1962" s="93" t="s">
        <v>234</v>
      </c>
      <c r="B1962" s="93" t="s">
        <v>370</v>
      </c>
      <c r="C1962" s="410">
        <v>39</v>
      </c>
      <c r="D1962" s="93" t="s">
        <v>24</v>
      </c>
      <c r="E1962" s="93" t="s">
        <v>24</v>
      </c>
      <c r="F1962" s="93" t="s">
        <v>126</v>
      </c>
      <c r="G1962" s="93" t="s">
        <v>7183</v>
      </c>
      <c r="H1962" s="93" t="s">
        <v>400</v>
      </c>
      <c r="I1962" s="93" t="s">
        <v>111</v>
      </c>
      <c r="J1962" s="93" t="s">
        <v>7105</v>
      </c>
      <c r="K1962" s="93" t="s">
        <v>111</v>
      </c>
      <c r="L1962" s="93" t="s">
        <v>111</v>
      </c>
      <c r="M1962" s="93" t="s">
        <v>111</v>
      </c>
      <c r="N1962" s="93" t="s">
        <v>111</v>
      </c>
      <c r="O1962" s="93" t="s">
        <v>111</v>
      </c>
      <c r="P1962" s="93" t="s">
        <v>111</v>
      </c>
      <c r="Q1962" s="93" t="s">
        <v>111</v>
      </c>
      <c r="R1962" s="93" t="s">
        <v>111</v>
      </c>
      <c r="S1962" s="93" t="s">
        <v>2</v>
      </c>
      <c r="T1962" s="93" t="s">
        <v>111</v>
      </c>
      <c r="U1962" s="93" t="s">
        <v>116</v>
      </c>
      <c r="V1962" s="94">
        <v>44610.1875</v>
      </c>
      <c r="W1962" s="93" t="s">
        <v>7072</v>
      </c>
      <c r="X1962" s="93" t="s">
        <v>24</v>
      </c>
    </row>
    <row r="1963" spans="1:24" hidden="1" x14ac:dyDescent="0.15">
      <c r="A1963" s="93" t="s">
        <v>235</v>
      </c>
      <c r="B1963" s="93" t="s">
        <v>373</v>
      </c>
      <c r="C1963" s="410">
        <v>48</v>
      </c>
      <c r="D1963" s="93" t="s">
        <v>24</v>
      </c>
      <c r="E1963" s="93" t="s">
        <v>24</v>
      </c>
      <c r="F1963" s="93" t="s">
        <v>126</v>
      </c>
      <c r="G1963" s="93" t="s">
        <v>7183</v>
      </c>
      <c r="H1963" s="93" t="s">
        <v>400</v>
      </c>
      <c r="I1963" s="93" t="s">
        <v>111</v>
      </c>
      <c r="J1963" s="93" t="s">
        <v>7105</v>
      </c>
      <c r="K1963" s="93" t="s">
        <v>111</v>
      </c>
      <c r="L1963" s="93" t="s">
        <v>111</v>
      </c>
      <c r="M1963" s="93" t="s">
        <v>111</v>
      </c>
      <c r="N1963" s="93" t="s">
        <v>111</v>
      </c>
      <c r="O1963" s="93" t="s">
        <v>111</v>
      </c>
      <c r="P1963" s="93" t="s">
        <v>111</v>
      </c>
      <c r="Q1963" s="93" t="s">
        <v>111</v>
      </c>
      <c r="R1963" s="93" t="s">
        <v>111</v>
      </c>
      <c r="S1963" s="93" t="s">
        <v>2</v>
      </c>
      <c r="T1963" s="93" t="s">
        <v>111</v>
      </c>
      <c r="U1963" s="93" t="s">
        <v>116</v>
      </c>
      <c r="V1963" s="94">
        <v>44610.199305555558</v>
      </c>
      <c r="W1963" s="93" t="s">
        <v>7072</v>
      </c>
      <c r="X1963" s="93" t="s">
        <v>24</v>
      </c>
    </row>
    <row r="1964" spans="1:24" hidden="1" x14ac:dyDescent="0.15">
      <c r="A1964" s="93" t="s">
        <v>236</v>
      </c>
      <c r="B1964" s="93" t="s">
        <v>375</v>
      </c>
      <c r="C1964" s="410">
        <v>42</v>
      </c>
      <c r="D1964" s="93" t="s">
        <v>24</v>
      </c>
      <c r="E1964" s="93" t="s">
        <v>24</v>
      </c>
      <c r="F1964" s="93" t="s">
        <v>126</v>
      </c>
      <c r="G1964" s="93" t="s">
        <v>7183</v>
      </c>
      <c r="H1964" s="93" t="s">
        <v>400</v>
      </c>
      <c r="I1964" s="93" t="s">
        <v>111</v>
      </c>
      <c r="J1964" s="93" t="s">
        <v>7105</v>
      </c>
      <c r="K1964" s="93" t="s">
        <v>111</v>
      </c>
      <c r="L1964" s="93" t="s">
        <v>111</v>
      </c>
      <c r="M1964" s="93" t="s">
        <v>111</v>
      </c>
      <c r="N1964" s="93" t="s">
        <v>111</v>
      </c>
      <c r="O1964" s="93" t="s">
        <v>111</v>
      </c>
      <c r="P1964" s="93" t="s">
        <v>111</v>
      </c>
      <c r="Q1964" s="93" t="s">
        <v>111</v>
      </c>
      <c r="R1964" s="93" t="s">
        <v>111</v>
      </c>
      <c r="S1964" s="93" t="s">
        <v>2</v>
      </c>
      <c r="T1964" s="93" t="s">
        <v>111</v>
      </c>
      <c r="U1964" s="93" t="s">
        <v>116</v>
      </c>
      <c r="V1964" s="94">
        <v>44610.17083333333</v>
      </c>
      <c r="W1964" s="93" t="s">
        <v>7072</v>
      </c>
      <c r="X1964" s="93" t="s">
        <v>24</v>
      </c>
    </row>
    <row r="1965" spans="1:24" hidden="1" x14ac:dyDescent="0.15">
      <c r="A1965" s="93" t="s">
        <v>237</v>
      </c>
      <c r="B1965" s="93" t="s">
        <v>804</v>
      </c>
      <c r="C1965" s="410">
        <v>33.81</v>
      </c>
      <c r="D1965" s="93" t="s">
        <v>24</v>
      </c>
      <c r="E1965" s="93" t="s">
        <v>24</v>
      </c>
      <c r="F1965" s="93" t="s">
        <v>126</v>
      </c>
      <c r="G1965" s="93" t="s">
        <v>7183</v>
      </c>
      <c r="H1965" s="93" t="s">
        <v>400</v>
      </c>
      <c r="I1965" s="93" t="s">
        <v>111</v>
      </c>
      <c r="J1965" s="93" t="s">
        <v>7105</v>
      </c>
      <c r="K1965" s="93" t="s">
        <v>111</v>
      </c>
      <c r="L1965" s="93" t="s">
        <v>111</v>
      </c>
      <c r="M1965" s="93" t="s">
        <v>111</v>
      </c>
      <c r="N1965" s="93" t="s">
        <v>111</v>
      </c>
      <c r="O1965" s="93" t="s">
        <v>111</v>
      </c>
      <c r="P1965" s="93" t="s">
        <v>111</v>
      </c>
      <c r="Q1965" s="93" t="s">
        <v>111</v>
      </c>
      <c r="R1965" s="93" t="s">
        <v>111</v>
      </c>
      <c r="S1965" s="93" t="s">
        <v>2</v>
      </c>
      <c r="T1965" s="93" t="s">
        <v>111</v>
      </c>
      <c r="U1965" s="93" t="s">
        <v>116</v>
      </c>
      <c r="V1965" s="94">
        <v>44610.186111111114</v>
      </c>
      <c r="W1965" s="93" t="s">
        <v>7072</v>
      </c>
      <c r="X1965" s="93" t="s">
        <v>24</v>
      </c>
    </row>
    <row r="1966" spans="1:24" hidden="1" x14ac:dyDescent="0.15">
      <c r="A1966" s="93" t="s">
        <v>238</v>
      </c>
      <c r="B1966" s="93" t="s">
        <v>805</v>
      </c>
      <c r="C1966" s="410">
        <v>67.62</v>
      </c>
      <c r="D1966" s="93" t="s">
        <v>24</v>
      </c>
      <c r="E1966" s="93" t="s">
        <v>24</v>
      </c>
      <c r="F1966" s="93" t="s">
        <v>126</v>
      </c>
      <c r="G1966" s="93" t="s">
        <v>7183</v>
      </c>
      <c r="H1966" s="93" t="s">
        <v>400</v>
      </c>
      <c r="I1966" s="93" t="s">
        <v>111</v>
      </c>
      <c r="J1966" s="93" t="s">
        <v>7105</v>
      </c>
      <c r="K1966" s="93" t="s">
        <v>111</v>
      </c>
      <c r="L1966" s="93" t="s">
        <v>111</v>
      </c>
      <c r="M1966" s="93" t="s">
        <v>111</v>
      </c>
      <c r="N1966" s="93" t="s">
        <v>111</v>
      </c>
      <c r="O1966" s="93" t="s">
        <v>111</v>
      </c>
      <c r="P1966" s="93" t="s">
        <v>111</v>
      </c>
      <c r="Q1966" s="93" t="s">
        <v>111</v>
      </c>
      <c r="R1966" s="93" t="s">
        <v>111</v>
      </c>
      <c r="S1966" s="93" t="s">
        <v>2</v>
      </c>
      <c r="T1966" s="93" t="s">
        <v>111</v>
      </c>
      <c r="U1966" s="93" t="s">
        <v>116</v>
      </c>
      <c r="V1966" s="94">
        <v>44610.169444444444</v>
      </c>
      <c r="W1966" s="93" t="s">
        <v>7072</v>
      </c>
      <c r="X1966" s="93" t="s">
        <v>24</v>
      </c>
    </row>
    <row r="1967" spans="1:24" hidden="1" x14ac:dyDescent="0.15">
      <c r="A1967" s="93" t="s">
        <v>239</v>
      </c>
      <c r="B1967" s="93" t="s">
        <v>806</v>
      </c>
      <c r="C1967" s="410">
        <v>78.66</v>
      </c>
      <c r="D1967" s="93" t="s">
        <v>24</v>
      </c>
      <c r="E1967" s="93" t="s">
        <v>24</v>
      </c>
      <c r="F1967" s="93" t="s">
        <v>126</v>
      </c>
      <c r="G1967" s="93" t="s">
        <v>7183</v>
      </c>
      <c r="H1967" s="93" t="s">
        <v>400</v>
      </c>
      <c r="I1967" s="93" t="s">
        <v>111</v>
      </c>
      <c r="J1967" s="93" t="s">
        <v>7105</v>
      </c>
      <c r="K1967" s="93" t="s">
        <v>111</v>
      </c>
      <c r="L1967" s="93" t="s">
        <v>111</v>
      </c>
      <c r="M1967" s="93" t="s">
        <v>111</v>
      </c>
      <c r="N1967" s="93" t="s">
        <v>111</v>
      </c>
      <c r="O1967" s="93" t="s">
        <v>111</v>
      </c>
      <c r="P1967" s="93" t="s">
        <v>111</v>
      </c>
      <c r="Q1967" s="93" t="s">
        <v>111</v>
      </c>
      <c r="R1967" s="93" t="s">
        <v>111</v>
      </c>
      <c r="S1967" s="93" t="s">
        <v>2</v>
      </c>
      <c r="T1967" s="93" t="s">
        <v>111</v>
      </c>
      <c r="U1967" s="93" t="s">
        <v>116</v>
      </c>
      <c r="V1967" s="94">
        <v>44610.138888888891</v>
      </c>
      <c r="W1967" s="93" t="s">
        <v>7072</v>
      </c>
      <c r="X1967" s="93" t="s">
        <v>24</v>
      </c>
    </row>
    <row r="1968" spans="1:24" hidden="1" x14ac:dyDescent="0.15">
      <c r="A1968" s="93" t="s">
        <v>240</v>
      </c>
      <c r="B1968" s="93" t="s">
        <v>863</v>
      </c>
      <c r="C1968" s="410">
        <v>480</v>
      </c>
      <c r="D1968" s="93" t="s">
        <v>24</v>
      </c>
      <c r="E1968" s="93" t="s">
        <v>24</v>
      </c>
      <c r="F1968" s="93" t="s">
        <v>126</v>
      </c>
      <c r="G1968" s="93" t="s">
        <v>7183</v>
      </c>
      <c r="H1968" s="93" t="s">
        <v>400</v>
      </c>
      <c r="I1968" s="93" t="s">
        <v>111</v>
      </c>
      <c r="J1968" s="93" t="s">
        <v>7105</v>
      </c>
      <c r="K1968" s="93" t="s">
        <v>111</v>
      </c>
      <c r="L1968" s="93" t="s">
        <v>111</v>
      </c>
      <c r="M1968" s="93" t="s">
        <v>111</v>
      </c>
      <c r="N1968" s="93" t="s">
        <v>111</v>
      </c>
      <c r="O1968" s="93" t="s">
        <v>111</v>
      </c>
      <c r="P1968" s="93" t="s">
        <v>111</v>
      </c>
      <c r="Q1968" s="93" t="s">
        <v>111</v>
      </c>
      <c r="R1968" s="93" t="s">
        <v>111</v>
      </c>
      <c r="S1968" s="93" t="s">
        <v>2</v>
      </c>
      <c r="T1968" s="93" t="s">
        <v>111</v>
      </c>
      <c r="U1968" s="93" t="s">
        <v>116</v>
      </c>
      <c r="V1968" s="94">
        <v>44610.167361111111</v>
      </c>
      <c r="W1968" s="93" t="s">
        <v>7072</v>
      </c>
      <c r="X1968" s="93" t="s">
        <v>24</v>
      </c>
    </row>
    <row r="1969" spans="1:24" hidden="1" x14ac:dyDescent="0.15">
      <c r="A1969" s="93" t="s">
        <v>241</v>
      </c>
      <c r="B1969" s="93" t="s">
        <v>864</v>
      </c>
      <c r="C1969" s="410">
        <v>2400</v>
      </c>
      <c r="D1969" s="93" t="s">
        <v>24</v>
      </c>
      <c r="E1969" s="93" t="s">
        <v>24</v>
      </c>
      <c r="F1969" s="93" t="s">
        <v>126</v>
      </c>
      <c r="G1969" s="93" t="s">
        <v>7183</v>
      </c>
      <c r="H1969" s="93" t="s">
        <v>400</v>
      </c>
      <c r="I1969" s="93" t="s">
        <v>111</v>
      </c>
      <c r="J1969" s="93" t="s">
        <v>7105</v>
      </c>
      <c r="K1969" s="93" t="s">
        <v>111</v>
      </c>
      <c r="L1969" s="93" t="s">
        <v>111</v>
      </c>
      <c r="M1969" s="93" t="s">
        <v>111</v>
      </c>
      <c r="N1969" s="93" t="s">
        <v>111</v>
      </c>
      <c r="O1969" s="93" t="s">
        <v>111</v>
      </c>
      <c r="P1969" s="93" t="s">
        <v>111</v>
      </c>
      <c r="Q1969" s="93" t="s">
        <v>111</v>
      </c>
      <c r="R1969" s="93" t="s">
        <v>111</v>
      </c>
      <c r="S1969" s="93" t="s">
        <v>2</v>
      </c>
      <c r="T1969" s="93" t="s">
        <v>111</v>
      </c>
      <c r="U1969" s="93" t="s">
        <v>116</v>
      </c>
      <c r="V1969" s="94">
        <v>44610.143055555556</v>
      </c>
      <c r="W1969" s="93" t="s">
        <v>7072</v>
      </c>
      <c r="X1969" s="93" t="s">
        <v>24</v>
      </c>
    </row>
    <row r="1970" spans="1:24" hidden="1" x14ac:dyDescent="0.15">
      <c r="A1970" s="93" t="s">
        <v>242</v>
      </c>
      <c r="B1970" s="93" t="s">
        <v>865</v>
      </c>
      <c r="C1970" s="410">
        <v>180</v>
      </c>
      <c r="D1970" s="93" t="s">
        <v>24</v>
      </c>
      <c r="E1970" s="93" t="s">
        <v>24</v>
      </c>
      <c r="F1970" s="93" t="s">
        <v>126</v>
      </c>
      <c r="G1970" s="93" t="s">
        <v>7183</v>
      </c>
      <c r="H1970" s="93" t="s">
        <v>400</v>
      </c>
      <c r="I1970" s="93" t="s">
        <v>111</v>
      </c>
      <c r="J1970" s="93" t="s">
        <v>7105</v>
      </c>
      <c r="K1970" s="93" t="s">
        <v>111</v>
      </c>
      <c r="L1970" s="93" t="s">
        <v>111</v>
      </c>
      <c r="M1970" s="93" t="s">
        <v>111</v>
      </c>
      <c r="N1970" s="93" t="s">
        <v>111</v>
      </c>
      <c r="O1970" s="93" t="s">
        <v>111</v>
      </c>
      <c r="P1970" s="93" t="s">
        <v>111</v>
      </c>
      <c r="Q1970" s="93" t="s">
        <v>111</v>
      </c>
      <c r="R1970" s="93" t="s">
        <v>111</v>
      </c>
      <c r="S1970" s="93" t="s">
        <v>2</v>
      </c>
      <c r="T1970" s="93" t="s">
        <v>111</v>
      </c>
      <c r="U1970" s="93" t="s">
        <v>116</v>
      </c>
      <c r="V1970" s="94">
        <v>44610.167361111111</v>
      </c>
      <c r="W1970" s="93" t="s">
        <v>7072</v>
      </c>
      <c r="X1970" s="93" t="s">
        <v>24</v>
      </c>
    </row>
    <row r="1971" spans="1:24" hidden="1" x14ac:dyDescent="0.15">
      <c r="A1971" s="93" t="s">
        <v>243</v>
      </c>
      <c r="B1971" s="93" t="s">
        <v>866</v>
      </c>
      <c r="C1971" s="410">
        <v>840</v>
      </c>
      <c r="D1971" s="93" t="s">
        <v>24</v>
      </c>
      <c r="E1971" s="93" t="s">
        <v>24</v>
      </c>
      <c r="F1971" s="93" t="s">
        <v>126</v>
      </c>
      <c r="G1971" s="93" t="s">
        <v>7183</v>
      </c>
      <c r="H1971" s="93" t="s">
        <v>400</v>
      </c>
      <c r="I1971" s="93" t="s">
        <v>111</v>
      </c>
      <c r="J1971" s="93" t="s">
        <v>7105</v>
      </c>
      <c r="K1971" s="93" t="s">
        <v>111</v>
      </c>
      <c r="L1971" s="93" t="s">
        <v>111</v>
      </c>
      <c r="M1971" s="93" t="s">
        <v>111</v>
      </c>
      <c r="N1971" s="93" t="s">
        <v>111</v>
      </c>
      <c r="O1971" s="93" t="s">
        <v>111</v>
      </c>
      <c r="P1971" s="93" t="s">
        <v>111</v>
      </c>
      <c r="Q1971" s="93" t="s">
        <v>111</v>
      </c>
      <c r="R1971" s="93" t="s">
        <v>111</v>
      </c>
      <c r="S1971" s="93" t="s">
        <v>2</v>
      </c>
      <c r="T1971" s="93" t="s">
        <v>111</v>
      </c>
      <c r="U1971" s="93" t="s">
        <v>116</v>
      </c>
      <c r="V1971" s="94">
        <v>44610.143055555556</v>
      </c>
      <c r="W1971" s="93" t="s">
        <v>7072</v>
      </c>
      <c r="X1971" s="93" t="s">
        <v>24</v>
      </c>
    </row>
    <row r="1972" spans="1:24" hidden="1" x14ac:dyDescent="0.15">
      <c r="A1972" s="93" t="s">
        <v>244</v>
      </c>
      <c r="B1972" s="93" t="s">
        <v>867</v>
      </c>
      <c r="C1972" s="410">
        <v>3600</v>
      </c>
      <c r="D1972" s="93" t="s">
        <v>24</v>
      </c>
      <c r="E1972" s="93" t="s">
        <v>24</v>
      </c>
      <c r="F1972" s="93" t="s">
        <v>126</v>
      </c>
      <c r="G1972" s="93" t="s">
        <v>7183</v>
      </c>
      <c r="H1972" s="93" t="s">
        <v>400</v>
      </c>
      <c r="I1972" s="93" t="s">
        <v>111</v>
      </c>
      <c r="J1972" s="93" t="s">
        <v>7105</v>
      </c>
      <c r="K1972" s="93" t="s">
        <v>111</v>
      </c>
      <c r="L1972" s="93" t="s">
        <v>111</v>
      </c>
      <c r="M1972" s="93" t="s">
        <v>111</v>
      </c>
      <c r="N1972" s="93" t="s">
        <v>111</v>
      </c>
      <c r="O1972" s="93" t="s">
        <v>111</v>
      </c>
      <c r="P1972" s="93" t="s">
        <v>111</v>
      </c>
      <c r="Q1972" s="93" t="s">
        <v>111</v>
      </c>
      <c r="R1972" s="93" t="s">
        <v>111</v>
      </c>
      <c r="S1972" s="93" t="s">
        <v>2</v>
      </c>
      <c r="T1972" s="93" t="s">
        <v>111</v>
      </c>
      <c r="U1972" s="93" t="s">
        <v>116</v>
      </c>
      <c r="V1972" s="94">
        <v>44610.206250000003</v>
      </c>
      <c r="W1972" s="93" t="s">
        <v>7072</v>
      </c>
      <c r="X1972" s="93" t="s">
        <v>24</v>
      </c>
    </row>
    <row r="1973" spans="1:24" hidden="1" x14ac:dyDescent="0.15">
      <c r="A1973" s="93" t="s">
        <v>245</v>
      </c>
      <c r="B1973" s="93" t="s">
        <v>868</v>
      </c>
      <c r="C1973" s="410">
        <v>222</v>
      </c>
      <c r="D1973" s="93" t="s">
        <v>24</v>
      </c>
      <c r="E1973" s="93" t="s">
        <v>24</v>
      </c>
      <c r="F1973" s="93" t="s">
        <v>126</v>
      </c>
      <c r="G1973" s="93" t="s">
        <v>7183</v>
      </c>
      <c r="H1973" s="93" t="s">
        <v>400</v>
      </c>
      <c r="I1973" s="93" t="s">
        <v>111</v>
      </c>
      <c r="J1973" s="93" t="s">
        <v>7105</v>
      </c>
      <c r="K1973" s="93" t="s">
        <v>111</v>
      </c>
      <c r="L1973" s="93" t="s">
        <v>111</v>
      </c>
      <c r="M1973" s="93" t="s">
        <v>111</v>
      </c>
      <c r="N1973" s="93" t="s">
        <v>111</v>
      </c>
      <c r="O1973" s="93" t="s">
        <v>111</v>
      </c>
      <c r="P1973" s="93" t="s">
        <v>111</v>
      </c>
      <c r="Q1973" s="93" t="s">
        <v>111</v>
      </c>
      <c r="R1973" s="93" t="s">
        <v>111</v>
      </c>
      <c r="S1973" s="93" t="s">
        <v>2</v>
      </c>
      <c r="T1973" s="93" t="s">
        <v>111</v>
      </c>
      <c r="U1973" s="93" t="s">
        <v>116</v>
      </c>
      <c r="V1973" s="94">
        <v>44610.142361111109</v>
      </c>
      <c r="W1973" s="93" t="s">
        <v>7072</v>
      </c>
      <c r="X1973" s="93" t="s">
        <v>24</v>
      </c>
    </row>
    <row r="1974" spans="1:24" hidden="1" x14ac:dyDescent="0.15">
      <c r="A1974" s="93" t="s">
        <v>246</v>
      </c>
      <c r="B1974" s="93" t="s">
        <v>869</v>
      </c>
      <c r="C1974" s="410">
        <v>1080</v>
      </c>
      <c r="D1974" s="93" t="s">
        <v>24</v>
      </c>
      <c r="E1974" s="93" t="s">
        <v>24</v>
      </c>
      <c r="F1974" s="93" t="s">
        <v>126</v>
      </c>
      <c r="G1974" s="93" t="s">
        <v>7183</v>
      </c>
      <c r="H1974" s="93" t="s">
        <v>400</v>
      </c>
      <c r="I1974" s="93" t="s">
        <v>111</v>
      </c>
      <c r="J1974" s="93" t="s">
        <v>7105</v>
      </c>
      <c r="K1974" s="93" t="s">
        <v>111</v>
      </c>
      <c r="L1974" s="93" t="s">
        <v>111</v>
      </c>
      <c r="M1974" s="93" t="s">
        <v>111</v>
      </c>
      <c r="N1974" s="93" t="s">
        <v>111</v>
      </c>
      <c r="O1974" s="93" t="s">
        <v>111</v>
      </c>
      <c r="P1974" s="93" t="s">
        <v>111</v>
      </c>
      <c r="Q1974" s="93" t="s">
        <v>111</v>
      </c>
      <c r="R1974" s="93" t="s">
        <v>111</v>
      </c>
      <c r="S1974" s="93" t="s">
        <v>2</v>
      </c>
      <c r="T1974" s="93" t="s">
        <v>111</v>
      </c>
      <c r="U1974" s="93" t="s">
        <v>116</v>
      </c>
      <c r="V1974" s="94">
        <v>44610.206250000003</v>
      </c>
      <c r="W1974" s="93" t="s">
        <v>7072</v>
      </c>
      <c r="X1974" s="93" t="s">
        <v>24</v>
      </c>
    </row>
    <row r="1975" spans="1:24" hidden="1" x14ac:dyDescent="0.15">
      <c r="A1975" s="93" t="s">
        <v>247</v>
      </c>
      <c r="B1975" s="93" t="s">
        <v>870</v>
      </c>
      <c r="C1975" s="410">
        <v>4560</v>
      </c>
      <c r="D1975" s="93" t="s">
        <v>24</v>
      </c>
      <c r="E1975" s="93" t="s">
        <v>24</v>
      </c>
      <c r="F1975" s="93" t="s">
        <v>126</v>
      </c>
      <c r="G1975" s="93" t="s">
        <v>7183</v>
      </c>
      <c r="H1975" s="93" t="s">
        <v>400</v>
      </c>
      <c r="I1975" s="93" t="s">
        <v>111</v>
      </c>
      <c r="J1975" s="93" t="s">
        <v>7105</v>
      </c>
      <c r="K1975" s="93" t="s">
        <v>111</v>
      </c>
      <c r="L1975" s="93" t="s">
        <v>111</v>
      </c>
      <c r="M1975" s="93" t="s">
        <v>111</v>
      </c>
      <c r="N1975" s="93" t="s">
        <v>111</v>
      </c>
      <c r="O1975" s="93" t="s">
        <v>111</v>
      </c>
      <c r="P1975" s="93" t="s">
        <v>111</v>
      </c>
      <c r="Q1975" s="93" t="s">
        <v>111</v>
      </c>
      <c r="R1975" s="93" t="s">
        <v>111</v>
      </c>
      <c r="S1975" s="93" t="s">
        <v>2</v>
      </c>
      <c r="T1975" s="93" t="s">
        <v>111</v>
      </c>
      <c r="U1975" s="93" t="s">
        <v>116</v>
      </c>
      <c r="V1975" s="94">
        <v>44610.168055555558</v>
      </c>
      <c r="W1975" s="93" t="s">
        <v>7072</v>
      </c>
      <c r="X1975" s="93" t="s">
        <v>24</v>
      </c>
    </row>
    <row r="1976" spans="1:24" hidden="1" x14ac:dyDescent="0.15">
      <c r="A1976" s="93" t="s">
        <v>248</v>
      </c>
      <c r="B1976" s="93" t="s">
        <v>871</v>
      </c>
      <c r="C1976" s="410">
        <v>264</v>
      </c>
      <c r="D1976" s="93" t="s">
        <v>24</v>
      </c>
      <c r="E1976" s="93" t="s">
        <v>24</v>
      </c>
      <c r="F1976" s="93" t="s">
        <v>126</v>
      </c>
      <c r="G1976" s="93" t="s">
        <v>7183</v>
      </c>
      <c r="H1976" s="93" t="s">
        <v>400</v>
      </c>
      <c r="I1976" s="93" t="s">
        <v>111</v>
      </c>
      <c r="J1976" s="93" t="s">
        <v>7105</v>
      </c>
      <c r="K1976" s="93" t="s">
        <v>111</v>
      </c>
      <c r="L1976" s="93" t="s">
        <v>111</v>
      </c>
      <c r="M1976" s="93" t="s">
        <v>111</v>
      </c>
      <c r="N1976" s="93" t="s">
        <v>111</v>
      </c>
      <c r="O1976" s="93" t="s">
        <v>111</v>
      </c>
      <c r="P1976" s="93" t="s">
        <v>111</v>
      </c>
      <c r="Q1976" s="93" t="s">
        <v>111</v>
      </c>
      <c r="R1976" s="93" t="s">
        <v>111</v>
      </c>
      <c r="S1976" s="93" t="s">
        <v>2</v>
      </c>
      <c r="T1976" s="93" t="s">
        <v>111</v>
      </c>
      <c r="U1976" s="93" t="s">
        <v>116</v>
      </c>
      <c r="V1976" s="94">
        <v>44610.143055555556</v>
      </c>
      <c r="W1976" s="93" t="s">
        <v>7072</v>
      </c>
      <c r="X1976" s="93" t="s">
        <v>24</v>
      </c>
    </row>
    <row r="1977" spans="1:24" hidden="1" x14ac:dyDescent="0.15">
      <c r="A1977" s="93" t="s">
        <v>249</v>
      </c>
      <c r="B1977" s="93" t="s">
        <v>872</v>
      </c>
      <c r="C1977" s="410">
        <v>1260</v>
      </c>
      <c r="D1977" s="93" t="s">
        <v>24</v>
      </c>
      <c r="E1977" s="93" t="s">
        <v>24</v>
      </c>
      <c r="F1977" s="93" t="s">
        <v>126</v>
      </c>
      <c r="G1977" s="93" t="s">
        <v>7183</v>
      </c>
      <c r="H1977" s="93" t="s">
        <v>400</v>
      </c>
      <c r="I1977" s="93" t="s">
        <v>111</v>
      </c>
      <c r="J1977" s="93" t="s">
        <v>7105</v>
      </c>
      <c r="K1977" s="93" t="s">
        <v>111</v>
      </c>
      <c r="L1977" s="93" t="s">
        <v>111</v>
      </c>
      <c r="M1977" s="93" t="s">
        <v>111</v>
      </c>
      <c r="N1977" s="93" t="s">
        <v>111</v>
      </c>
      <c r="O1977" s="93" t="s">
        <v>111</v>
      </c>
      <c r="P1977" s="93" t="s">
        <v>111</v>
      </c>
      <c r="Q1977" s="93" t="s">
        <v>111</v>
      </c>
      <c r="R1977" s="93" t="s">
        <v>111</v>
      </c>
      <c r="S1977" s="93" t="s">
        <v>2</v>
      </c>
      <c r="T1977" s="93" t="s">
        <v>111</v>
      </c>
      <c r="U1977" s="93" t="s">
        <v>116</v>
      </c>
      <c r="V1977" s="94">
        <v>44610.19027777778</v>
      </c>
      <c r="W1977" s="93" t="s">
        <v>7072</v>
      </c>
      <c r="X1977" s="93" t="s">
        <v>24</v>
      </c>
    </row>
    <row r="1978" spans="1:24" hidden="1" x14ac:dyDescent="0.15">
      <c r="A1978" s="93" t="s">
        <v>250</v>
      </c>
      <c r="B1978" s="93" t="s">
        <v>873</v>
      </c>
      <c r="C1978" s="410">
        <v>5400</v>
      </c>
      <c r="D1978" s="93" t="s">
        <v>24</v>
      </c>
      <c r="E1978" s="93" t="s">
        <v>24</v>
      </c>
      <c r="F1978" s="93" t="s">
        <v>126</v>
      </c>
      <c r="G1978" s="93" t="s">
        <v>7183</v>
      </c>
      <c r="H1978" s="93" t="s">
        <v>400</v>
      </c>
      <c r="I1978" s="93" t="s">
        <v>111</v>
      </c>
      <c r="J1978" s="93" t="s">
        <v>7105</v>
      </c>
      <c r="K1978" s="93" t="s">
        <v>111</v>
      </c>
      <c r="L1978" s="93" t="s">
        <v>111</v>
      </c>
      <c r="M1978" s="93" t="s">
        <v>111</v>
      </c>
      <c r="N1978" s="93" t="s">
        <v>111</v>
      </c>
      <c r="O1978" s="93" t="s">
        <v>111</v>
      </c>
      <c r="P1978" s="93" t="s">
        <v>111</v>
      </c>
      <c r="Q1978" s="93" t="s">
        <v>111</v>
      </c>
      <c r="R1978" s="93" t="s">
        <v>111</v>
      </c>
      <c r="S1978" s="93" t="s">
        <v>2</v>
      </c>
      <c r="T1978" s="93" t="s">
        <v>111</v>
      </c>
      <c r="U1978" s="93" t="s">
        <v>116</v>
      </c>
      <c r="V1978" s="94">
        <v>44610.19027777778</v>
      </c>
      <c r="W1978" s="93" t="s">
        <v>7072</v>
      </c>
      <c r="X1978" s="93" t="s">
        <v>24</v>
      </c>
    </row>
    <row r="1979" spans="1:24" hidden="1" x14ac:dyDescent="0.15">
      <c r="A1979" s="93" t="s">
        <v>251</v>
      </c>
      <c r="B1979" s="93" t="s">
        <v>874</v>
      </c>
      <c r="C1979" s="410">
        <v>300</v>
      </c>
      <c r="D1979" s="93" t="s">
        <v>24</v>
      </c>
      <c r="E1979" s="93" t="s">
        <v>24</v>
      </c>
      <c r="F1979" s="93" t="s">
        <v>126</v>
      </c>
      <c r="G1979" s="93" t="s">
        <v>7183</v>
      </c>
      <c r="H1979" s="93" t="s">
        <v>400</v>
      </c>
      <c r="I1979" s="93" t="s">
        <v>111</v>
      </c>
      <c r="J1979" s="93" t="s">
        <v>7105</v>
      </c>
      <c r="K1979" s="93" t="s">
        <v>111</v>
      </c>
      <c r="L1979" s="93" t="s">
        <v>111</v>
      </c>
      <c r="M1979" s="93" t="s">
        <v>111</v>
      </c>
      <c r="N1979" s="93" t="s">
        <v>111</v>
      </c>
      <c r="O1979" s="93" t="s">
        <v>111</v>
      </c>
      <c r="P1979" s="93" t="s">
        <v>111</v>
      </c>
      <c r="Q1979" s="93" t="s">
        <v>111</v>
      </c>
      <c r="R1979" s="93" t="s">
        <v>111</v>
      </c>
      <c r="S1979" s="93" t="s">
        <v>2</v>
      </c>
      <c r="T1979" s="93" t="s">
        <v>111</v>
      </c>
      <c r="U1979" s="93" t="s">
        <v>116</v>
      </c>
      <c r="V1979" s="94">
        <v>44610.189583333333</v>
      </c>
      <c r="W1979" s="93" t="s">
        <v>7072</v>
      </c>
      <c r="X1979" s="93" t="s">
        <v>24</v>
      </c>
    </row>
    <row r="1980" spans="1:24" hidden="1" x14ac:dyDescent="0.15">
      <c r="A1980" s="93" t="s">
        <v>252</v>
      </c>
      <c r="B1980" s="93" t="s">
        <v>875</v>
      </c>
      <c r="C1980" s="410">
        <v>1440</v>
      </c>
      <c r="D1980" s="93" t="s">
        <v>24</v>
      </c>
      <c r="E1980" s="93" t="s">
        <v>24</v>
      </c>
      <c r="F1980" s="93" t="s">
        <v>126</v>
      </c>
      <c r="G1980" s="93" t="s">
        <v>7183</v>
      </c>
      <c r="H1980" s="93" t="s">
        <v>400</v>
      </c>
      <c r="I1980" s="93" t="s">
        <v>111</v>
      </c>
      <c r="J1980" s="93" t="s">
        <v>7105</v>
      </c>
      <c r="K1980" s="93" t="s">
        <v>111</v>
      </c>
      <c r="L1980" s="93" t="s">
        <v>111</v>
      </c>
      <c r="M1980" s="93" t="s">
        <v>111</v>
      </c>
      <c r="N1980" s="93" t="s">
        <v>111</v>
      </c>
      <c r="O1980" s="93" t="s">
        <v>111</v>
      </c>
      <c r="P1980" s="93" t="s">
        <v>111</v>
      </c>
      <c r="Q1980" s="93" t="s">
        <v>111</v>
      </c>
      <c r="R1980" s="93" t="s">
        <v>111</v>
      </c>
      <c r="S1980" s="93" t="s">
        <v>2</v>
      </c>
      <c r="T1980" s="93" t="s">
        <v>111</v>
      </c>
      <c r="U1980" s="93" t="s">
        <v>116</v>
      </c>
      <c r="V1980" s="94">
        <v>44610.175694444442</v>
      </c>
      <c r="W1980" s="93" t="s">
        <v>7072</v>
      </c>
      <c r="X1980" s="93" t="s">
        <v>24</v>
      </c>
    </row>
    <row r="1981" spans="1:24" hidden="1" x14ac:dyDescent="0.15">
      <c r="A1981" s="93" t="s">
        <v>253</v>
      </c>
      <c r="B1981" s="93" t="s">
        <v>876</v>
      </c>
      <c r="C1981" s="410">
        <v>6000</v>
      </c>
      <c r="D1981" s="93" t="s">
        <v>24</v>
      </c>
      <c r="E1981" s="93" t="s">
        <v>24</v>
      </c>
      <c r="F1981" s="93" t="s">
        <v>126</v>
      </c>
      <c r="G1981" s="93" t="s">
        <v>7183</v>
      </c>
      <c r="H1981" s="93" t="s">
        <v>400</v>
      </c>
      <c r="I1981" s="93" t="s">
        <v>111</v>
      </c>
      <c r="J1981" s="93" t="s">
        <v>7105</v>
      </c>
      <c r="K1981" s="93" t="s">
        <v>111</v>
      </c>
      <c r="L1981" s="93" t="s">
        <v>111</v>
      </c>
      <c r="M1981" s="93" t="s">
        <v>111</v>
      </c>
      <c r="N1981" s="93" t="s">
        <v>111</v>
      </c>
      <c r="O1981" s="93" t="s">
        <v>111</v>
      </c>
      <c r="P1981" s="93" t="s">
        <v>111</v>
      </c>
      <c r="Q1981" s="93" t="s">
        <v>111</v>
      </c>
      <c r="R1981" s="93" t="s">
        <v>111</v>
      </c>
      <c r="S1981" s="93" t="s">
        <v>2</v>
      </c>
      <c r="T1981" s="93" t="s">
        <v>111</v>
      </c>
      <c r="U1981" s="93" t="s">
        <v>116</v>
      </c>
      <c r="V1981" s="94">
        <v>44610.175694444442</v>
      </c>
      <c r="W1981" s="93" t="s">
        <v>7072</v>
      </c>
      <c r="X1981" s="93" t="s">
        <v>24</v>
      </c>
    </row>
    <row r="1982" spans="1:24" hidden="1" x14ac:dyDescent="0.15">
      <c r="A1982" s="93" t="s">
        <v>254</v>
      </c>
      <c r="B1982" s="93" t="s">
        <v>877</v>
      </c>
      <c r="C1982" s="410">
        <v>336</v>
      </c>
      <c r="D1982" s="93" t="s">
        <v>24</v>
      </c>
      <c r="E1982" s="93" t="s">
        <v>24</v>
      </c>
      <c r="F1982" s="93" t="s">
        <v>126</v>
      </c>
      <c r="G1982" s="93" t="s">
        <v>7183</v>
      </c>
      <c r="H1982" s="93" t="s">
        <v>400</v>
      </c>
      <c r="I1982" s="93" t="s">
        <v>111</v>
      </c>
      <c r="J1982" s="93" t="s">
        <v>7105</v>
      </c>
      <c r="K1982" s="93" t="s">
        <v>111</v>
      </c>
      <c r="L1982" s="93" t="s">
        <v>111</v>
      </c>
      <c r="M1982" s="93" t="s">
        <v>111</v>
      </c>
      <c r="N1982" s="93" t="s">
        <v>111</v>
      </c>
      <c r="O1982" s="93" t="s">
        <v>111</v>
      </c>
      <c r="P1982" s="93" t="s">
        <v>111</v>
      </c>
      <c r="Q1982" s="93" t="s">
        <v>111</v>
      </c>
      <c r="R1982" s="93" t="s">
        <v>111</v>
      </c>
      <c r="S1982" s="93" t="s">
        <v>2</v>
      </c>
      <c r="T1982" s="93" t="s">
        <v>111</v>
      </c>
      <c r="U1982" s="93" t="s">
        <v>116</v>
      </c>
      <c r="V1982" s="94">
        <v>44610.175000000003</v>
      </c>
      <c r="W1982" s="93" t="s">
        <v>7072</v>
      </c>
      <c r="X1982" s="93" t="s">
        <v>24</v>
      </c>
    </row>
    <row r="1983" spans="1:24" hidden="1" x14ac:dyDescent="0.15">
      <c r="A1983" s="93" t="s">
        <v>255</v>
      </c>
      <c r="B1983" s="93" t="s">
        <v>878</v>
      </c>
      <c r="C1983" s="410">
        <v>1680</v>
      </c>
      <c r="D1983" s="93" t="s">
        <v>24</v>
      </c>
      <c r="E1983" s="93" t="s">
        <v>24</v>
      </c>
      <c r="F1983" s="93" t="s">
        <v>126</v>
      </c>
      <c r="G1983" s="93" t="s">
        <v>7183</v>
      </c>
      <c r="H1983" s="93" t="s">
        <v>400</v>
      </c>
      <c r="I1983" s="93" t="s">
        <v>111</v>
      </c>
      <c r="J1983" s="93" t="s">
        <v>7105</v>
      </c>
      <c r="K1983" s="93" t="s">
        <v>111</v>
      </c>
      <c r="L1983" s="93" t="s">
        <v>111</v>
      </c>
      <c r="M1983" s="93" t="s">
        <v>111</v>
      </c>
      <c r="N1983" s="93" t="s">
        <v>111</v>
      </c>
      <c r="O1983" s="93" t="s">
        <v>111</v>
      </c>
      <c r="P1983" s="93" t="s">
        <v>111</v>
      </c>
      <c r="Q1983" s="93" t="s">
        <v>111</v>
      </c>
      <c r="R1983" s="93" t="s">
        <v>111</v>
      </c>
      <c r="S1983" s="93" t="s">
        <v>2</v>
      </c>
      <c r="T1983" s="93" t="s">
        <v>111</v>
      </c>
      <c r="U1983" s="93" t="s">
        <v>116</v>
      </c>
      <c r="V1983" s="94">
        <v>44610.206250000003</v>
      </c>
      <c r="W1983" s="93" t="s">
        <v>7072</v>
      </c>
      <c r="X1983" s="93" t="s">
        <v>24</v>
      </c>
    </row>
    <row r="1984" spans="1:24" hidden="1" x14ac:dyDescent="0.15">
      <c r="A1984" s="93" t="s">
        <v>256</v>
      </c>
      <c r="B1984" s="93" t="s">
        <v>879</v>
      </c>
      <c r="C1984" s="410">
        <v>372</v>
      </c>
      <c r="D1984" s="93" t="s">
        <v>24</v>
      </c>
      <c r="E1984" s="93" t="s">
        <v>24</v>
      </c>
      <c r="F1984" s="93" t="s">
        <v>126</v>
      </c>
      <c r="G1984" s="93" t="s">
        <v>7183</v>
      </c>
      <c r="H1984" s="93" t="s">
        <v>400</v>
      </c>
      <c r="I1984" s="93" t="s">
        <v>111</v>
      </c>
      <c r="J1984" s="93" t="s">
        <v>7105</v>
      </c>
      <c r="K1984" s="93" t="s">
        <v>111</v>
      </c>
      <c r="L1984" s="93" t="s">
        <v>111</v>
      </c>
      <c r="M1984" s="93" t="s">
        <v>111</v>
      </c>
      <c r="N1984" s="93" t="s">
        <v>111</v>
      </c>
      <c r="O1984" s="93" t="s">
        <v>111</v>
      </c>
      <c r="P1984" s="93" t="s">
        <v>111</v>
      </c>
      <c r="Q1984" s="93" t="s">
        <v>111</v>
      </c>
      <c r="R1984" s="93" t="s">
        <v>111</v>
      </c>
      <c r="S1984" s="93" t="s">
        <v>2</v>
      </c>
      <c r="T1984" s="93" t="s">
        <v>111</v>
      </c>
      <c r="U1984" s="93" t="s">
        <v>116</v>
      </c>
      <c r="V1984" s="94">
        <v>44610.149305555555</v>
      </c>
      <c r="W1984" s="93" t="s">
        <v>7072</v>
      </c>
      <c r="X1984" s="93" t="s">
        <v>24</v>
      </c>
    </row>
    <row r="1985" spans="1:24" hidden="1" x14ac:dyDescent="0.15">
      <c r="A1985" s="93" t="s">
        <v>257</v>
      </c>
      <c r="B1985" s="93" t="s">
        <v>880</v>
      </c>
      <c r="C1985" s="410">
        <v>1862</v>
      </c>
      <c r="D1985" s="93" t="s">
        <v>24</v>
      </c>
      <c r="E1985" s="93" t="s">
        <v>24</v>
      </c>
      <c r="F1985" s="93" t="s">
        <v>126</v>
      </c>
      <c r="G1985" s="93" t="s">
        <v>7183</v>
      </c>
      <c r="H1985" s="93" t="s">
        <v>400</v>
      </c>
      <c r="I1985" s="93" t="s">
        <v>111</v>
      </c>
      <c r="J1985" s="93" t="s">
        <v>7105</v>
      </c>
      <c r="K1985" s="93" t="s">
        <v>111</v>
      </c>
      <c r="L1985" s="93" t="s">
        <v>111</v>
      </c>
      <c r="M1985" s="93" t="s">
        <v>111</v>
      </c>
      <c r="N1985" s="93" t="s">
        <v>111</v>
      </c>
      <c r="O1985" s="93" t="s">
        <v>111</v>
      </c>
      <c r="P1985" s="93" t="s">
        <v>111</v>
      </c>
      <c r="Q1985" s="93" t="s">
        <v>111</v>
      </c>
      <c r="R1985" s="93" t="s">
        <v>111</v>
      </c>
      <c r="S1985" s="93" t="s">
        <v>2</v>
      </c>
      <c r="T1985" s="93" t="s">
        <v>111</v>
      </c>
      <c r="U1985" s="93" t="s">
        <v>116</v>
      </c>
      <c r="V1985" s="94">
        <v>44610.184027777781</v>
      </c>
      <c r="W1985" s="93" t="s">
        <v>7072</v>
      </c>
      <c r="X1985" s="93" t="s">
        <v>24</v>
      </c>
    </row>
    <row r="1986" spans="1:24" hidden="1" x14ac:dyDescent="0.15">
      <c r="A1986" s="93" t="s">
        <v>258</v>
      </c>
      <c r="B1986" s="93" t="s">
        <v>881</v>
      </c>
      <c r="C1986" s="410">
        <v>408</v>
      </c>
      <c r="D1986" s="93" t="s">
        <v>24</v>
      </c>
      <c r="E1986" s="93" t="s">
        <v>24</v>
      </c>
      <c r="F1986" s="93" t="s">
        <v>126</v>
      </c>
      <c r="G1986" s="93" t="s">
        <v>7183</v>
      </c>
      <c r="H1986" s="93" t="s">
        <v>400</v>
      </c>
      <c r="I1986" s="93" t="s">
        <v>111</v>
      </c>
      <c r="J1986" s="93" t="s">
        <v>7105</v>
      </c>
      <c r="K1986" s="93" t="s">
        <v>111</v>
      </c>
      <c r="L1986" s="93" t="s">
        <v>111</v>
      </c>
      <c r="M1986" s="93" t="s">
        <v>111</v>
      </c>
      <c r="N1986" s="93" t="s">
        <v>111</v>
      </c>
      <c r="O1986" s="93" t="s">
        <v>111</v>
      </c>
      <c r="P1986" s="93" t="s">
        <v>111</v>
      </c>
      <c r="Q1986" s="93" t="s">
        <v>111</v>
      </c>
      <c r="R1986" s="93" t="s">
        <v>111</v>
      </c>
      <c r="S1986" s="93" t="s">
        <v>2</v>
      </c>
      <c r="T1986" s="93" t="s">
        <v>111</v>
      </c>
      <c r="U1986" s="93" t="s">
        <v>116</v>
      </c>
      <c r="V1986" s="94">
        <v>44610.183333333334</v>
      </c>
      <c r="W1986" s="93" t="s">
        <v>7072</v>
      </c>
      <c r="X1986" s="93" t="s">
        <v>24</v>
      </c>
    </row>
    <row r="1987" spans="1:24" hidden="1" x14ac:dyDescent="0.15">
      <c r="A1987" s="93" t="s">
        <v>259</v>
      </c>
      <c r="B1987" s="93" t="s">
        <v>882</v>
      </c>
      <c r="C1987" s="410">
        <v>2040</v>
      </c>
      <c r="D1987" s="93" t="s">
        <v>24</v>
      </c>
      <c r="E1987" s="93" t="s">
        <v>24</v>
      </c>
      <c r="F1987" s="93" t="s">
        <v>126</v>
      </c>
      <c r="G1987" s="93" t="s">
        <v>7183</v>
      </c>
      <c r="H1987" s="93" t="s">
        <v>400</v>
      </c>
      <c r="I1987" s="93" t="s">
        <v>111</v>
      </c>
      <c r="J1987" s="93" t="s">
        <v>7105</v>
      </c>
      <c r="K1987" s="93" t="s">
        <v>111</v>
      </c>
      <c r="L1987" s="93" t="s">
        <v>111</v>
      </c>
      <c r="M1987" s="93" t="s">
        <v>111</v>
      </c>
      <c r="N1987" s="93" t="s">
        <v>111</v>
      </c>
      <c r="O1987" s="93" t="s">
        <v>111</v>
      </c>
      <c r="P1987" s="93" t="s">
        <v>111</v>
      </c>
      <c r="Q1987" s="93" t="s">
        <v>111</v>
      </c>
      <c r="R1987" s="93" t="s">
        <v>111</v>
      </c>
      <c r="S1987" s="93" t="s">
        <v>2</v>
      </c>
      <c r="T1987" s="93" t="s">
        <v>111</v>
      </c>
      <c r="U1987" s="93" t="s">
        <v>116</v>
      </c>
      <c r="V1987" s="94">
        <v>44610.136805555558</v>
      </c>
      <c r="W1987" s="93" t="s">
        <v>7072</v>
      </c>
      <c r="X1987" s="93" t="s">
        <v>24</v>
      </c>
    </row>
    <row r="1988" spans="1:24" hidden="1" x14ac:dyDescent="0.15">
      <c r="A1988" s="93" t="s">
        <v>260</v>
      </c>
      <c r="B1988" s="93" t="s">
        <v>883</v>
      </c>
      <c r="C1988" s="410">
        <v>444</v>
      </c>
      <c r="D1988" s="93" t="s">
        <v>24</v>
      </c>
      <c r="E1988" s="93" t="s">
        <v>24</v>
      </c>
      <c r="F1988" s="93" t="s">
        <v>126</v>
      </c>
      <c r="G1988" s="93" t="s">
        <v>7183</v>
      </c>
      <c r="H1988" s="93" t="s">
        <v>400</v>
      </c>
      <c r="I1988" s="93" t="s">
        <v>111</v>
      </c>
      <c r="J1988" s="93" t="s">
        <v>7105</v>
      </c>
      <c r="K1988" s="93" t="s">
        <v>111</v>
      </c>
      <c r="L1988" s="93" t="s">
        <v>111</v>
      </c>
      <c r="M1988" s="93" t="s">
        <v>111</v>
      </c>
      <c r="N1988" s="93" t="s">
        <v>111</v>
      </c>
      <c r="O1988" s="93" t="s">
        <v>111</v>
      </c>
      <c r="P1988" s="93" t="s">
        <v>111</v>
      </c>
      <c r="Q1988" s="93" t="s">
        <v>111</v>
      </c>
      <c r="R1988" s="93" t="s">
        <v>111</v>
      </c>
      <c r="S1988" s="93" t="s">
        <v>2</v>
      </c>
      <c r="T1988" s="93" t="s">
        <v>111</v>
      </c>
      <c r="U1988" s="93" t="s">
        <v>116</v>
      </c>
      <c r="V1988" s="94">
        <v>44610.206250000003</v>
      </c>
      <c r="W1988" s="93" t="s">
        <v>7072</v>
      </c>
      <c r="X1988" s="93" t="s">
        <v>24</v>
      </c>
    </row>
    <row r="1989" spans="1:24" hidden="1" x14ac:dyDescent="0.15">
      <c r="A1989" s="93" t="s">
        <v>261</v>
      </c>
      <c r="B1989" s="93" t="s">
        <v>884</v>
      </c>
      <c r="C1989" s="410">
        <v>2223</v>
      </c>
      <c r="D1989" s="93" t="s">
        <v>24</v>
      </c>
      <c r="E1989" s="93" t="s">
        <v>24</v>
      </c>
      <c r="F1989" s="93" t="s">
        <v>126</v>
      </c>
      <c r="G1989" s="93" t="s">
        <v>7183</v>
      </c>
      <c r="H1989" s="93" t="s">
        <v>400</v>
      </c>
      <c r="I1989" s="93" t="s">
        <v>111</v>
      </c>
      <c r="J1989" s="93" t="s">
        <v>7105</v>
      </c>
      <c r="K1989" s="93" t="s">
        <v>111</v>
      </c>
      <c r="L1989" s="93" t="s">
        <v>111</v>
      </c>
      <c r="M1989" s="93" t="s">
        <v>111</v>
      </c>
      <c r="N1989" s="93" t="s">
        <v>111</v>
      </c>
      <c r="O1989" s="93" t="s">
        <v>111</v>
      </c>
      <c r="P1989" s="93" t="s">
        <v>111</v>
      </c>
      <c r="Q1989" s="93" t="s">
        <v>111</v>
      </c>
      <c r="R1989" s="93" t="s">
        <v>111</v>
      </c>
      <c r="S1989" s="93" t="s">
        <v>2</v>
      </c>
      <c r="T1989" s="93" t="s">
        <v>111</v>
      </c>
      <c r="U1989" s="93" t="s">
        <v>116</v>
      </c>
      <c r="V1989" s="94">
        <v>44610.15902777778</v>
      </c>
      <c r="W1989" s="93" t="s">
        <v>7072</v>
      </c>
      <c r="X1989" s="93" t="s">
        <v>24</v>
      </c>
    </row>
    <row r="1990" spans="1:24" hidden="1" x14ac:dyDescent="0.15">
      <c r="A1990" s="93" t="s">
        <v>262</v>
      </c>
      <c r="B1990" s="93" t="s">
        <v>807</v>
      </c>
      <c r="C1990" s="410">
        <v>4.83</v>
      </c>
      <c r="D1990" s="93" t="s">
        <v>24</v>
      </c>
      <c r="E1990" s="93" t="s">
        <v>24</v>
      </c>
      <c r="F1990" s="93" t="s">
        <v>126</v>
      </c>
      <c r="G1990" s="93" t="s">
        <v>7185</v>
      </c>
      <c r="H1990" s="93" t="s">
        <v>400</v>
      </c>
      <c r="I1990" s="93" t="s">
        <v>111</v>
      </c>
      <c r="J1990" s="93" t="s">
        <v>7105</v>
      </c>
      <c r="K1990" s="93" t="s">
        <v>111</v>
      </c>
      <c r="L1990" s="93" t="s">
        <v>111</v>
      </c>
      <c r="M1990" s="93" t="s">
        <v>111</v>
      </c>
      <c r="N1990" s="93" t="s">
        <v>111</v>
      </c>
      <c r="O1990" s="93" t="s">
        <v>111</v>
      </c>
      <c r="P1990" s="93" t="s">
        <v>111</v>
      </c>
      <c r="Q1990" s="93" t="s">
        <v>111</v>
      </c>
      <c r="R1990" s="93" t="s">
        <v>111</v>
      </c>
      <c r="S1990" s="93" t="s">
        <v>2</v>
      </c>
      <c r="T1990" s="93" t="s">
        <v>111</v>
      </c>
      <c r="U1990" s="93" t="s">
        <v>116</v>
      </c>
      <c r="V1990" s="94">
        <v>44610.186111111114</v>
      </c>
      <c r="W1990" s="93" t="s">
        <v>7072</v>
      </c>
      <c r="X1990" s="93" t="s">
        <v>24</v>
      </c>
    </row>
    <row r="1991" spans="1:24" hidden="1" x14ac:dyDescent="0.15">
      <c r="A1991" s="93" t="s">
        <v>263</v>
      </c>
      <c r="B1991" s="93" t="s">
        <v>811</v>
      </c>
      <c r="C1991" s="410">
        <v>44.85</v>
      </c>
      <c r="D1991" s="93" t="s">
        <v>24</v>
      </c>
      <c r="E1991" s="93" t="s">
        <v>24</v>
      </c>
      <c r="F1991" s="93" t="s">
        <v>126</v>
      </c>
      <c r="G1991" s="93" t="s">
        <v>7185</v>
      </c>
      <c r="H1991" s="93" t="s">
        <v>400</v>
      </c>
      <c r="I1991" s="93" t="s">
        <v>111</v>
      </c>
      <c r="J1991" s="93" t="s">
        <v>7105</v>
      </c>
      <c r="K1991" s="93" t="s">
        <v>111</v>
      </c>
      <c r="L1991" s="93" t="s">
        <v>111</v>
      </c>
      <c r="M1991" s="93" t="s">
        <v>111</v>
      </c>
      <c r="N1991" s="93" t="s">
        <v>111</v>
      </c>
      <c r="O1991" s="93" t="s">
        <v>111</v>
      </c>
      <c r="P1991" s="93" t="s">
        <v>111</v>
      </c>
      <c r="Q1991" s="93" t="s">
        <v>111</v>
      </c>
      <c r="R1991" s="93" t="s">
        <v>111</v>
      </c>
      <c r="S1991" s="93" t="s">
        <v>2</v>
      </c>
      <c r="T1991" s="93" t="s">
        <v>111</v>
      </c>
      <c r="U1991" s="93" t="s">
        <v>116</v>
      </c>
      <c r="V1991" s="94">
        <v>44610.192361111112</v>
      </c>
      <c r="W1991" s="93" t="s">
        <v>7072</v>
      </c>
      <c r="X1991" s="93" t="s">
        <v>24</v>
      </c>
    </row>
    <row r="1992" spans="1:24" hidden="1" x14ac:dyDescent="0.15">
      <c r="A1992" s="93" t="s">
        <v>264</v>
      </c>
      <c r="B1992" s="93" t="s">
        <v>812</v>
      </c>
      <c r="C1992" s="410">
        <v>76.59</v>
      </c>
      <c r="D1992" s="93" t="s">
        <v>24</v>
      </c>
      <c r="E1992" s="93" t="s">
        <v>24</v>
      </c>
      <c r="F1992" s="93" t="s">
        <v>126</v>
      </c>
      <c r="G1992" s="93" t="s">
        <v>7185</v>
      </c>
      <c r="H1992" s="93" t="s">
        <v>400</v>
      </c>
      <c r="I1992" s="93" t="s">
        <v>111</v>
      </c>
      <c r="J1992" s="93" t="s">
        <v>7105</v>
      </c>
      <c r="K1992" s="93" t="s">
        <v>111</v>
      </c>
      <c r="L1992" s="93" t="s">
        <v>111</v>
      </c>
      <c r="M1992" s="93" t="s">
        <v>111</v>
      </c>
      <c r="N1992" s="93" t="s">
        <v>111</v>
      </c>
      <c r="O1992" s="93" t="s">
        <v>111</v>
      </c>
      <c r="P1992" s="93" t="s">
        <v>111</v>
      </c>
      <c r="Q1992" s="93" t="s">
        <v>111</v>
      </c>
      <c r="R1992" s="93" t="s">
        <v>111</v>
      </c>
      <c r="S1992" s="93" t="s">
        <v>2</v>
      </c>
      <c r="T1992" s="93" t="s">
        <v>111</v>
      </c>
      <c r="U1992" s="93" t="s">
        <v>116</v>
      </c>
      <c r="V1992" s="94">
        <v>44610.177083333336</v>
      </c>
      <c r="W1992" s="93" t="s">
        <v>7072</v>
      </c>
      <c r="X1992" s="93" t="s">
        <v>24</v>
      </c>
    </row>
    <row r="1993" spans="1:24" hidden="1" x14ac:dyDescent="0.15">
      <c r="A1993" s="93" t="s">
        <v>265</v>
      </c>
      <c r="B1993" s="93" t="s">
        <v>813</v>
      </c>
      <c r="C1993" s="410">
        <v>78.66</v>
      </c>
      <c r="D1993" s="93" t="s">
        <v>24</v>
      </c>
      <c r="E1993" s="93" t="s">
        <v>24</v>
      </c>
      <c r="F1993" s="93" t="s">
        <v>126</v>
      </c>
      <c r="G1993" s="93" t="s">
        <v>7185</v>
      </c>
      <c r="H1993" s="93" t="s">
        <v>400</v>
      </c>
      <c r="I1993" s="93" t="s">
        <v>111</v>
      </c>
      <c r="J1993" s="93" t="s">
        <v>7105</v>
      </c>
      <c r="K1993" s="93" t="s">
        <v>111</v>
      </c>
      <c r="L1993" s="93" t="s">
        <v>111</v>
      </c>
      <c r="M1993" s="93" t="s">
        <v>111</v>
      </c>
      <c r="N1993" s="93" t="s">
        <v>111</v>
      </c>
      <c r="O1993" s="93" t="s">
        <v>111</v>
      </c>
      <c r="P1993" s="93" t="s">
        <v>111</v>
      </c>
      <c r="Q1993" s="93" t="s">
        <v>111</v>
      </c>
      <c r="R1993" s="93" t="s">
        <v>111</v>
      </c>
      <c r="S1993" s="93" t="s">
        <v>2</v>
      </c>
      <c r="T1993" s="93" t="s">
        <v>111</v>
      </c>
      <c r="U1993" s="93" t="s">
        <v>116</v>
      </c>
      <c r="V1993" s="94">
        <v>44610.209722222222</v>
      </c>
      <c r="W1993" s="93" t="s">
        <v>7072</v>
      </c>
      <c r="X1993" s="93" t="s">
        <v>24</v>
      </c>
    </row>
    <row r="1994" spans="1:24" hidden="1" x14ac:dyDescent="0.15">
      <c r="A1994" s="93" t="s">
        <v>266</v>
      </c>
      <c r="B1994" s="93" t="s">
        <v>885</v>
      </c>
      <c r="C1994" s="410">
        <v>12</v>
      </c>
      <c r="D1994" s="93" t="s">
        <v>24</v>
      </c>
      <c r="E1994" s="93" t="s">
        <v>24</v>
      </c>
      <c r="F1994" s="93" t="s">
        <v>126</v>
      </c>
      <c r="G1994" s="93" t="s">
        <v>7185</v>
      </c>
      <c r="H1994" s="93" t="s">
        <v>400</v>
      </c>
      <c r="I1994" s="93" t="s">
        <v>111</v>
      </c>
      <c r="J1994" s="93" t="s">
        <v>7105</v>
      </c>
      <c r="K1994" s="93" t="s">
        <v>111</v>
      </c>
      <c r="L1994" s="93" t="s">
        <v>111</v>
      </c>
      <c r="M1994" s="93" t="s">
        <v>111</v>
      </c>
      <c r="N1994" s="93" t="s">
        <v>111</v>
      </c>
      <c r="O1994" s="93" t="s">
        <v>111</v>
      </c>
      <c r="P1994" s="93" t="s">
        <v>111</v>
      </c>
      <c r="Q1994" s="93" t="s">
        <v>111</v>
      </c>
      <c r="R1994" s="93" t="s">
        <v>111</v>
      </c>
      <c r="S1994" s="93" t="s">
        <v>2</v>
      </c>
      <c r="T1994" s="93" t="s">
        <v>111</v>
      </c>
      <c r="U1994" s="93" t="s">
        <v>116</v>
      </c>
      <c r="V1994" s="94">
        <v>44610.144444444442</v>
      </c>
      <c r="W1994" s="93" t="s">
        <v>7072</v>
      </c>
      <c r="X1994" s="93" t="s">
        <v>24</v>
      </c>
    </row>
    <row r="1995" spans="1:24" hidden="1" x14ac:dyDescent="0.15">
      <c r="A1995" s="93" t="s">
        <v>267</v>
      </c>
      <c r="B1995" s="93" t="s">
        <v>814</v>
      </c>
      <c r="C1995" s="410">
        <v>88.32</v>
      </c>
      <c r="D1995" s="93" t="s">
        <v>24</v>
      </c>
      <c r="E1995" s="93" t="s">
        <v>24</v>
      </c>
      <c r="F1995" s="93" t="s">
        <v>126</v>
      </c>
      <c r="G1995" s="93" t="s">
        <v>7185</v>
      </c>
      <c r="H1995" s="93" t="s">
        <v>400</v>
      </c>
      <c r="I1995" s="93" t="s">
        <v>111</v>
      </c>
      <c r="J1995" s="93" t="s">
        <v>7105</v>
      </c>
      <c r="K1995" s="93" t="s">
        <v>111</v>
      </c>
      <c r="L1995" s="93" t="s">
        <v>111</v>
      </c>
      <c r="M1995" s="93" t="s">
        <v>111</v>
      </c>
      <c r="N1995" s="93" t="s">
        <v>111</v>
      </c>
      <c r="O1995" s="93" t="s">
        <v>111</v>
      </c>
      <c r="P1995" s="93" t="s">
        <v>111</v>
      </c>
      <c r="Q1995" s="93" t="s">
        <v>111</v>
      </c>
      <c r="R1995" s="93" t="s">
        <v>111</v>
      </c>
      <c r="S1995" s="93" t="s">
        <v>2</v>
      </c>
      <c r="T1995" s="93" t="s">
        <v>111</v>
      </c>
      <c r="U1995" s="93" t="s">
        <v>116</v>
      </c>
      <c r="V1995" s="94">
        <v>44610.152083333334</v>
      </c>
      <c r="W1995" s="93" t="s">
        <v>7072</v>
      </c>
      <c r="X1995" s="93" t="s">
        <v>24</v>
      </c>
    </row>
    <row r="1996" spans="1:24" hidden="1" x14ac:dyDescent="0.15">
      <c r="A1996" s="93" t="s">
        <v>268</v>
      </c>
      <c r="B1996" s="93" t="s">
        <v>815</v>
      </c>
      <c r="C1996" s="410">
        <v>149.04</v>
      </c>
      <c r="D1996" s="93" t="s">
        <v>24</v>
      </c>
      <c r="E1996" s="93" t="s">
        <v>24</v>
      </c>
      <c r="F1996" s="93" t="s">
        <v>126</v>
      </c>
      <c r="G1996" s="93" t="s">
        <v>7185</v>
      </c>
      <c r="H1996" s="93" t="s">
        <v>400</v>
      </c>
      <c r="I1996" s="93" t="s">
        <v>111</v>
      </c>
      <c r="J1996" s="93" t="s">
        <v>7105</v>
      </c>
      <c r="K1996" s="93" t="s">
        <v>111</v>
      </c>
      <c r="L1996" s="93" t="s">
        <v>111</v>
      </c>
      <c r="M1996" s="93" t="s">
        <v>111</v>
      </c>
      <c r="N1996" s="93" t="s">
        <v>111</v>
      </c>
      <c r="O1996" s="93" t="s">
        <v>111</v>
      </c>
      <c r="P1996" s="93" t="s">
        <v>111</v>
      </c>
      <c r="Q1996" s="93" t="s">
        <v>111</v>
      </c>
      <c r="R1996" s="93" t="s">
        <v>111</v>
      </c>
      <c r="S1996" s="93" t="s">
        <v>2</v>
      </c>
      <c r="T1996" s="93" t="s">
        <v>111</v>
      </c>
      <c r="U1996" s="93" t="s">
        <v>116</v>
      </c>
      <c r="V1996" s="94">
        <v>44610.138888888891</v>
      </c>
      <c r="W1996" s="93" t="s">
        <v>7072</v>
      </c>
      <c r="X1996" s="93" t="s">
        <v>24</v>
      </c>
    </row>
    <row r="1997" spans="1:24" hidden="1" x14ac:dyDescent="0.15">
      <c r="A1997" s="93" t="s">
        <v>269</v>
      </c>
      <c r="B1997" s="93" t="s">
        <v>816</v>
      </c>
      <c r="C1997" s="410">
        <v>35.880000000000003</v>
      </c>
      <c r="D1997" s="93" t="s">
        <v>24</v>
      </c>
      <c r="E1997" s="93" t="s">
        <v>24</v>
      </c>
      <c r="F1997" s="93" t="s">
        <v>126</v>
      </c>
      <c r="G1997" s="93" t="s">
        <v>7185</v>
      </c>
      <c r="H1997" s="93" t="s">
        <v>400</v>
      </c>
      <c r="I1997" s="93" t="s">
        <v>111</v>
      </c>
      <c r="J1997" s="93" t="s">
        <v>7105</v>
      </c>
      <c r="K1997" s="93" t="s">
        <v>111</v>
      </c>
      <c r="L1997" s="93" t="s">
        <v>111</v>
      </c>
      <c r="M1997" s="93" t="s">
        <v>111</v>
      </c>
      <c r="N1997" s="93" t="s">
        <v>111</v>
      </c>
      <c r="O1997" s="93" t="s">
        <v>111</v>
      </c>
      <c r="P1997" s="93" t="s">
        <v>111</v>
      </c>
      <c r="Q1997" s="93" t="s">
        <v>111</v>
      </c>
      <c r="R1997" s="93" t="s">
        <v>111</v>
      </c>
      <c r="S1997" s="93" t="s">
        <v>2</v>
      </c>
      <c r="T1997" s="93" t="s">
        <v>111</v>
      </c>
      <c r="U1997" s="93" t="s">
        <v>116</v>
      </c>
      <c r="V1997" s="94">
        <v>44610.199305555558</v>
      </c>
      <c r="W1997" s="93" t="s">
        <v>7072</v>
      </c>
      <c r="X1997" s="93" t="s">
        <v>24</v>
      </c>
    </row>
    <row r="1998" spans="1:24" hidden="1" x14ac:dyDescent="0.15">
      <c r="A1998" s="93" t="s">
        <v>270</v>
      </c>
      <c r="B1998" s="93" t="s">
        <v>30</v>
      </c>
      <c r="C1998" s="410">
        <v>26</v>
      </c>
      <c r="D1998" s="93" t="s">
        <v>24</v>
      </c>
      <c r="E1998" s="93" t="s">
        <v>24</v>
      </c>
      <c r="F1998" s="93" t="s">
        <v>126</v>
      </c>
      <c r="G1998" s="93" t="s">
        <v>7185</v>
      </c>
      <c r="H1998" s="93" t="s">
        <v>400</v>
      </c>
      <c r="I1998" s="93" t="s">
        <v>111</v>
      </c>
      <c r="J1998" s="93" t="s">
        <v>7105</v>
      </c>
      <c r="K1998" s="93" t="s">
        <v>111</v>
      </c>
      <c r="L1998" s="93" t="s">
        <v>111</v>
      </c>
      <c r="M1998" s="93" t="s">
        <v>111</v>
      </c>
      <c r="N1998" s="93" t="s">
        <v>111</v>
      </c>
      <c r="O1998" s="93" t="s">
        <v>111</v>
      </c>
      <c r="P1998" s="93" t="s">
        <v>111</v>
      </c>
      <c r="Q1998" s="93" t="s">
        <v>111</v>
      </c>
      <c r="R1998" s="93" t="s">
        <v>111</v>
      </c>
      <c r="S1998" s="93" t="s">
        <v>2</v>
      </c>
      <c r="T1998" s="93" t="s">
        <v>111</v>
      </c>
      <c r="U1998" s="93" t="s">
        <v>116</v>
      </c>
      <c r="V1998" s="94">
        <v>44610.158333333333</v>
      </c>
      <c r="W1998" s="93" t="s">
        <v>7072</v>
      </c>
      <c r="X1998" s="93" t="s">
        <v>24</v>
      </c>
    </row>
    <row r="1999" spans="1:24" hidden="1" x14ac:dyDescent="0.15">
      <c r="A1999" s="93" t="s">
        <v>271</v>
      </c>
      <c r="B1999" s="93" t="s">
        <v>818</v>
      </c>
      <c r="C1999" s="410">
        <v>144.9</v>
      </c>
      <c r="D1999" s="93" t="s">
        <v>24</v>
      </c>
      <c r="E1999" s="93" t="s">
        <v>24</v>
      </c>
      <c r="F1999" s="93" t="s">
        <v>126</v>
      </c>
      <c r="G1999" s="93" t="s">
        <v>7185</v>
      </c>
      <c r="H1999" s="93" t="s">
        <v>400</v>
      </c>
      <c r="I1999" s="93" t="s">
        <v>111</v>
      </c>
      <c r="J1999" s="93" t="s">
        <v>7105</v>
      </c>
      <c r="K1999" s="93" t="s">
        <v>111</v>
      </c>
      <c r="L1999" s="93" t="s">
        <v>111</v>
      </c>
      <c r="M1999" s="93" t="s">
        <v>111</v>
      </c>
      <c r="N1999" s="93" t="s">
        <v>111</v>
      </c>
      <c r="O1999" s="93" t="s">
        <v>111</v>
      </c>
      <c r="P1999" s="93" t="s">
        <v>111</v>
      </c>
      <c r="Q1999" s="93" t="s">
        <v>111</v>
      </c>
      <c r="R1999" s="93" t="s">
        <v>111</v>
      </c>
      <c r="S1999" s="93" t="s">
        <v>2</v>
      </c>
      <c r="T1999" s="93" t="s">
        <v>111</v>
      </c>
      <c r="U1999" s="93" t="s">
        <v>116</v>
      </c>
      <c r="V1999" s="94">
        <v>44610.170138888891</v>
      </c>
      <c r="W1999" s="93" t="s">
        <v>7072</v>
      </c>
      <c r="X1999" s="93" t="s">
        <v>24</v>
      </c>
    </row>
    <row r="2000" spans="1:24" hidden="1" x14ac:dyDescent="0.15">
      <c r="A2000" s="93" t="s">
        <v>7470</v>
      </c>
      <c r="B2000" s="93" t="s">
        <v>7471</v>
      </c>
      <c r="C2000" s="410">
        <v>390</v>
      </c>
      <c r="D2000" s="93" t="s">
        <v>24</v>
      </c>
      <c r="E2000" s="93" t="s">
        <v>24</v>
      </c>
      <c r="F2000" s="93" t="s">
        <v>399</v>
      </c>
      <c r="G2000" s="93" t="s">
        <v>7183</v>
      </c>
      <c r="H2000" s="93" t="s">
        <v>400</v>
      </c>
      <c r="I2000" s="93" t="s">
        <v>111</v>
      </c>
      <c r="J2000" s="93" t="s">
        <v>7105</v>
      </c>
      <c r="K2000" s="93" t="s">
        <v>111</v>
      </c>
      <c r="L2000" s="93" t="s">
        <v>111</v>
      </c>
      <c r="M2000" s="93" t="s">
        <v>111</v>
      </c>
      <c r="N2000" s="93" t="s">
        <v>111</v>
      </c>
      <c r="O2000" s="93" t="s">
        <v>111</v>
      </c>
      <c r="P2000" s="93" t="s">
        <v>111</v>
      </c>
      <c r="Q2000" s="93" t="s">
        <v>111</v>
      </c>
      <c r="R2000" s="93" t="s">
        <v>228</v>
      </c>
      <c r="S2000" s="93" t="s">
        <v>111</v>
      </c>
      <c r="T2000" s="93" t="s">
        <v>115</v>
      </c>
      <c r="U2000" s="93" t="s">
        <v>116</v>
      </c>
      <c r="V2000" s="94">
        <v>44610.13958333333</v>
      </c>
      <c r="W2000" s="93" t="s">
        <v>7072</v>
      </c>
      <c r="X2000" s="93" t="s">
        <v>24</v>
      </c>
    </row>
    <row r="2001" spans="1:24" hidden="1" x14ac:dyDescent="0.15">
      <c r="A2001" s="93" t="s">
        <v>7472</v>
      </c>
      <c r="B2001" s="93" t="s">
        <v>7473</v>
      </c>
      <c r="C2001" s="410">
        <v>995</v>
      </c>
      <c r="D2001" s="93" t="s">
        <v>24</v>
      </c>
      <c r="E2001" s="93" t="s">
        <v>24</v>
      </c>
      <c r="F2001" s="93" t="s">
        <v>399</v>
      </c>
      <c r="G2001" s="93" t="s">
        <v>7183</v>
      </c>
      <c r="H2001" s="93" t="s">
        <v>400</v>
      </c>
      <c r="I2001" s="93" t="s">
        <v>111</v>
      </c>
      <c r="J2001" s="93" t="s">
        <v>7105</v>
      </c>
      <c r="K2001" s="93" t="s">
        <v>111</v>
      </c>
      <c r="L2001" s="93" t="s">
        <v>111</v>
      </c>
      <c r="M2001" s="93" t="s">
        <v>111</v>
      </c>
      <c r="N2001" s="93" t="s">
        <v>111</v>
      </c>
      <c r="O2001" s="93" t="s">
        <v>111</v>
      </c>
      <c r="P2001" s="93" t="s">
        <v>111</v>
      </c>
      <c r="Q2001" s="93" t="s">
        <v>111</v>
      </c>
      <c r="R2001" s="93" t="s">
        <v>228</v>
      </c>
      <c r="S2001" s="93" t="s">
        <v>111</v>
      </c>
      <c r="T2001" s="93" t="s">
        <v>115</v>
      </c>
      <c r="U2001" s="93" t="s">
        <v>116</v>
      </c>
      <c r="V2001" s="94">
        <v>44610.194444444445</v>
      </c>
      <c r="W2001" s="93" t="s">
        <v>7072</v>
      </c>
      <c r="X2001" s="93" t="s">
        <v>24</v>
      </c>
    </row>
    <row r="2002" spans="1:24" hidden="1" x14ac:dyDescent="0.15">
      <c r="A2002" s="93" t="s">
        <v>7474</v>
      </c>
      <c r="B2002" s="93" t="s">
        <v>7475</v>
      </c>
      <c r="C2002" s="410">
        <v>1560</v>
      </c>
      <c r="D2002" s="93" t="s">
        <v>24</v>
      </c>
      <c r="E2002" s="93" t="s">
        <v>24</v>
      </c>
      <c r="F2002" s="93" t="s">
        <v>399</v>
      </c>
      <c r="G2002" s="93" t="s">
        <v>7183</v>
      </c>
      <c r="H2002" s="93" t="s">
        <v>400</v>
      </c>
      <c r="I2002" s="93" t="s">
        <v>111</v>
      </c>
      <c r="J2002" s="93" t="s">
        <v>7105</v>
      </c>
      <c r="K2002" s="93" t="s">
        <v>111</v>
      </c>
      <c r="L2002" s="93" t="s">
        <v>111</v>
      </c>
      <c r="M2002" s="93" t="s">
        <v>111</v>
      </c>
      <c r="N2002" s="93" t="s">
        <v>111</v>
      </c>
      <c r="O2002" s="93" t="s">
        <v>111</v>
      </c>
      <c r="P2002" s="93" t="s">
        <v>111</v>
      </c>
      <c r="Q2002" s="93" t="s">
        <v>111</v>
      </c>
      <c r="R2002" s="93" t="s">
        <v>228</v>
      </c>
      <c r="S2002" s="93" t="s">
        <v>111</v>
      </c>
      <c r="T2002" s="93" t="s">
        <v>115</v>
      </c>
      <c r="U2002" s="93" t="s">
        <v>116</v>
      </c>
      <c r="V2002" s="94">
        <v>44610.172222222223</v>
      </c>
      <c r="W2002" s="93" t="s">
        <v>7072</v>
      </c>
      <c r="X2002" s="93" t="s">
        <v>24</v>
      </c>
    </row>
    <row r="2003" spans="1:24" hidden="1" x14ac:dyDescent="0.15">
      <c r="A2003" s="93" t="s">
        <v>7476</v>
      </c>
      <c r="B2003" s="93" t="s">
        <v>7477</v>
      </c>
      <c r="C2003" s="410">
        <v>17</v>
      </c>
      <c r="D2003" s="93" t="s">
        <v>24</v>
      </c>
      <c r="E2003" s="93" t="s">
        <v>24</v>
      </c>
      <c r="F2003" s="93" t="s">
        <v>399</v>
      </c>
      <c r="G2003" s="93" t="s">
        <v>7183</v>
      </c>
      <c r="H2003" s="93" t="s">
        <v>400</v>
      </c>
      <c r="I2003" s="93" t="s">
        <v>111</v>
      </c>
      <c r="J2003" s="93" t="s">
        <v>7105</v>
      </c>
      <c r="K2003" s="93" t="s">
        <v>111</v>
      </c>
      <c r="L2003" s="93" t="s">
        <v>111</v>
      </c>
      <c r="M2003" s="93" t="s">
        <v>111</v>
      </c>
      <c r="N2003" s="93" t="s">
        <v>111</v>
      </c>
      <c r="O2003" s="93" t="s">
        <v>111</v>
      </c>
      <c r="P2003" s="93" t="s">
        <v>111</v>
      </c>
      <c r="Q2003" s="93" t="s">
        <v>111</v>
      </c>
      <c r="R2003" s="93" t="s">
        <v>228</v>
      </c>
      <c r="S2003" s="93" t="s">
        <v>111</v>
      </c>
      <c r="T2003" s="93" t="s">
        <v>115</v>
      </c>
      <c r="U2003" s="93" t="s">
        <v>116</v>
      </c>
      <c r="V2003" s="94">
        <v>44610.179166666669</v>
      </c>
      <c r="W2003" s="93" t="s">
        <v>7072</v>
      </c>
      <c r="X2003" s="93" t="s">
        <v>24</v>
      </c>
    </row>
    <row r="2004" spans="1:24" hidden="1" x14ac:dyDescent="0.15">
      <c r="A2004" s="93" t="s">
        <v>7478</v>
      </c>
      <c r="B2004" s="93" t="s">
        <v>7479</v>
      </c>
      <c r="C2004" s="410">
        <v>44</v>
      </c>
      <c r="D2004" s="93" t="s">
        <v>24</v>
      </c>
      <c r="E2004" s="93" t="s">
        <v>24</v>
      </c>
      <c r="F2004" s="93" t="s">
        <v>399</v>
      </c>
      <c r="G2004" s="93" t="s">
        <v>7183</v>
      </c>
      <c r="H2004" s="93" t="s">
        <v>400</v>
      </c>
      <c r="I2004" s="93" t="s">
        <v>111</v>
      </c>
      <c r="J2004" s="93" t="s">
        <v>7105</v>
      </c>
      <c r="K2004" s="93" t="s">
        <v>111</v>
      </c>
      <c r="L2004" s="93" t="s">
        <v>111</v>
      </c>
      <c r="M2004" s="93" t="s">
        <v>111</v>
      </c>
      <c r="N2004" s="93" t="s">
        <v>111</v>
      </c>
      <c r="O2004" s="93" t="s">
        <v>111</v>
      </c>
      <c r="P2004" s="93" t="s">
        <v>111</v>
      </c>
      <c r="Q2004" s="93" t="s">
        <v>111</v>
      </c>
      <c r="R2004" s="93" t="s">
        <v>228</v>
      </c>
      <c r="S2004" s="93" t="s">
        <v>111</v>
      </c>
      <c r="T2004" s="93" t="s">
        <v>115</v>
      </c>
      <c r="U2004" s="93" t="s">
        <v>116</v>
      </c>
      <c r="V2004" s="94">
        <v>44610.162499999999</v>
      </c>
      <c r="W2004" s="93" t="s">
        <v>7072</v>
      </c>
      <c r="X2004" s="93" t="s">
        <v>24</v>
      </c>
    </row>
    <row r="2005" spans="1:24" hidden="1" x14ac:dyDescent="0.15">
      <c r="A2005" s="93" t="s">
        <v>7480</v>
      </c>
      <c r="B2005" s="93" t="s">
        <v>7481</v>
      </c>
      <c r="C2005" s="410">
        <v>68</v>
      </c>
      <c r="D2005" s="93" t="s">
        <v>24</v>
      </c>
      <c r="E2005" s="93" t="s">
        <v>24</v>
      </c>
      <c r="F2005" s="93" t="s">
        <v>399</v>
      </c>
      <c r="G2005" s="93" t="s">
        <v>7183</v>
      </c>
      <c r="H2005" s="93" t="s">
        <v>400</v>
      </c>
      <c r="I2005" s="93" t="s">
        <v>111</v>
      </c>
      <c r="J2005" s="93" t="s">
        <v>7105</v>
      </c>
      <c r="K2005" s="93" t="s">
        <v>111</v>
      </c>
      <c r="L2005" s="93" t="s">
        <v>111</v>
      </c>
      <c r="M2005" s="93" t="s">
        <v>111</v>
      </c>
      <c r="N2005" s="93" t="s">
        <v>111</v>
      </c>
      <c r="O2005" s="93" t="s">
        <v>111</v>
      </c>
      <c r="P2005" s="93" t="s">
        <v>111</v>
      </c>
      <c r="Q2005" s="93" t="s">
        <v>111</v>
      </c>
      <c r="R2005" s="93" t="s">
        <v>228</v>
      </c>
      <c r="S2005" s="93" t="s">
        <v>111</v>
      </c>
      <c r="T2005" s="93" t="s">
        <v>115</v>
      </c>
      <c r="U2005" s="93" t="s">
        <v>116</v>
      </c>
      <c r="V2005" s="94">
        <v>44610.13958333333</v>
      </c>
      <c r="W2005" s="93" t="s">
        <v>7072</v>
      </c>
      <c r="X2005" s="93" t="s">
        <v>24</v>
      </c>
    </row>
    <row r="2006" spans="1:24" hidden="1" x14ac:dyDescent="0.15">
      <c r="A2006" s="93" t="s">
        <v>272</v>
      </c>
      <c r="B2006" s="93" t="s">
        <v>364</v>
      </c>
      <c r="C2006" s="410">
        <v>34</v>
      </c>
      <c r="D2006" s="93" t="s">
        <v>24</v>
      </c>
      <c r="E2006" s="93" t="s">
        <v>24</v>
      </c>
      <c r="F2006" s="93" t="s">
        <v>126</v>
      </c>
      <c r="G2006" s="93" t="s">
        <v>7183</v>
      </c>
      <c r="H2006" s="93" t="s">
        <v>400</v>
      </c>
      <c r="I2006" s="93" t="s">
        <v>111</v>
      </c>
      <c r="J2006" s="93" t="s">
        <v>7105</v>
      </c>
      <c r="K2006" s="93" t="s">
        <v>111</v>
      </c>
      <c r="L2006" s="93" t="s">
        <v>111</v>
      </c>
      <c r="M2006" s="93" t="s">
        <v>111</v>
      </c>
      <c r="N2006" s="93" t="s">
        <v>111</v>
      </c>
      <c r="O2006" s="93" t="s">
        <v>111</v>
      </c>
      <c r="P2006" s="93" t="s">
        <v>111</v>
      </c>
      <c r="Q2006" s="93" t="s">
        <v>111</v>
      </c>
      <c r="R2006" s="93" t="s">
        <v>111</v>
      </c>
      <c r="S2006" s="93" t="s">
        <v>2</v>
      </c>
      <c r="T2006" s="93" t="s">
        <v>111</v>
      </c>
      <c r="U2006" s="93" t="s">
        <v>116</v>
      </c>
      <c r="V2006" s="94">
        <v>44610.144444444442</v>
      </c>
      <c r="W2006" s="93" t="s">
        <v>7072</v>
      </c>
      <c r="X2006" s="93" t="s">
        <v>24</v>
      </c>
    </row>
    <row r="2007" spans="1:24" hidden="1" x14ac:dyDescent="0.15">
      <c r="A2007" s="93" t="s">
        <v>273</v>
      </c>
      <c r="B2007" s="93" t="s">
        <v>366</v>
      </c>
      <c r="C2007" s="410">
        <v>169</v>
      </c>
      <c r="D2007" s="93" t="s">
        <v>24</v>
      </c>
      <c r="E2007" s="93" t="s">
        <v>24</v>
      </c>
      <c r="F2007" s="93" t="s">
        <v>126</v>
      </c>
      <c r="G2007" s="93" t="s">
        <v>7183</v>
      </c>
      <c r="H2007" s="93" t="s">
        <v>400</v>
      </c>
      <c r="I2007" s="93" t="s">
        <v>111</v>
      </c>
      <c r="J2007" s="93" t="s">
        <v>7105</v>
      </c>
      <c r="K2007" s="93" t="s">
        <v>111</v>
      </c>
      <c r="L2007" s="93" t="s">
        <v>111</v>
      </c>
      <c r="M2007" s="93" t="s">
        <v>111</v>
      </c>
      <c r="N2007" s="93" t="s">
        <v>111</v>
      </c>
      <c r="O2007" s="93" t="s">
        <v>111</v>
      </c>
      <c r="P2007" s="93" t="s">
        <v>111</v>
      </c>
      <c r="Q2007" s="93" t="s">
        <v>111</v>
      </c>
      <c r="R2007" s="93" t="s">
        <v>111</v>
      </c>
      <c r="S2007" s="93" t="s">
        <v>2</v>
      </c>
      <c r="T2007" s="93" t="s">
        <v>111</v>
      </c>
      <c r="U2007" s="93" t="s">
        <v>116</v>
      </c>
      <c r="V2007" s="94">
        <v>44610.210416666669</v>
      </c>
      <c r="W2007" s="93" t="s">
        <v>7072</v>
      </c>
      <c r="X2007" s="93" t="s">
        <v>24</v>
      </c>
    </row>
    <row r="2008" spans="1:24" hidden="1" x14ac:dyDescent="0.15">
      <c r="A2008" s="93" t="s">
        <v>274</v>
      </c>
      <c r="B2008" s="93" t="s">
        <v>368</v>
      </c>
      <c r="C2008" s="410">
        <v>84</v>
      </c>
      <c r="D2008" s="93" t="s">
        <v>24</v>
      </c>
      <c r="E2008" s="93" t="s">
        <v>24</v>
      </c>
      <c r="F2008" s="93" t="s">
        <v>126</v>
      </c>
      <c r="G2008" s="93" t="s">
        <v>7183</v>
      </c>
      <c r="H2008" s="93" t="s">
        <v>400</v>
      </c>
      <c r="I2008" s="93" t="s">
        <v>111</v>
      </c>
      <c r="J2008" s="93" t="s">
        <v>7105</v>
      </c>
      <c r="K2008" s="93" t="s">
        <v>111</v>
      </c>
      <c r="L2008" s="93" t="s">
        <v>111</v>
      </c>
      <c r="M2008" s="93" t="s">
        <v>111</v>
      </c>
      <c r="N2008" s="93" t="s">
        <v>111</v>
      </c>
      <c r="O2008" s="93" t="s">
        <v>111</v>
      </c>
      <c r="P2008" s="93" t="s">
        <v>111</v>
      </c>
      <c r="Q2008" s="93" t="s">
        <v>111</v>
      </c>
      <c r="R2008" s="93" t="s">
        <v>111</v>
      </c>
      <c r="S2008" s="93" t="s">
        <v>2</v>
      </c>
      <c r="T2008" s="93" t="s">
        <v>111</v>
      </c>
      <c r="U2008" s="93" t="s">
        <v>116</v>
      </c>
      <c r="V2008" s="94">
        <v>44610.177777777775</v>
      </c>
      <c r="W2008" s="93" t="s">
        <v>7072</v>
      </c>
      <c r="X2008" s="93" t="s">
        <v>24</v>
      </c>
    </row>
    <row r="2009" spans="1:24" hidden="1" x14ac:dyDescent="0.15">
      <c r="A2009" s="93" t="s">
        <v>275</v>
      </c>
      <c r="B2009" s="93" t="s">
        <v>371</v>
      </c>
      <c r="C2009" s="410">
        <v>156</v>
      </c>
      <c r="D2009" s="93" t="s">
        <v>24</v>
      </c>
      <c r="E2009" s="93" t="s">
        <v>24</v>
      </c>
      <c r="F2009" s="93" t="s">
        <v>126</v>
      </c>
      <c r="G2009" s="93" t="s">
        <v>7183</v>
      </c>
      <c r="H2009" s="93" t="s">
        <v>400</v>
      </c>
      <c r="I2009" s="93" t="s">
        <v>111</v>
      </c>
      <c r="J2009" s="93" t="s">
        <v>7105</v>
      </c>
      <c r="K2009" s="93" t="s">
        <v>111</v>
      </c>
      <c r="L2009" s="93" t="s">
        <v>111</v>
      </c>
      <c r="M2009" s="93" t="s">
        <v>111</v>
      </c>
      <c r="N2009" s="93" t="s">
        <v>111</v>
      </c>
      <c r="O2009" s="93" t="s">
        <v>111</v>
      </c>
      <c r="P2009" s="93" t="s">
        <v>111</v>
      </c>
      <c r="Q2009" s="93" t="s">
        <v>111</v>
      </c>
      <c r="R2009" s="93" t="s">
        <v>111</v>
      </c>
      <c r="S2009" s="93" t="s">
        <v>2</v>
      </c>
      <c r="T2009" s="93" t="s">
        <v>111</v>
      </c>
      <c r="U2009" s="93" t="s">
        <v>116</v>
      </c>
      <c r="V2009" s="94">
        <v>44610.161111111112</v>
      </c>
      <c r="W2009" s="93" t="s">
        <v>7072</v>
      </c>
      <c r="X2009" s="93" t="s">
        <v>24</v>
      </c>
    </row>
    <row r="2010" spans="1:24" hidden="1" x14ac:dyDescent="0.15">
      <c r="A2010" s="93" t="s">
        <v>276</v>
      </c>
      <c r="B2010" s="93" t="s">
        <v>374</v>
      </c>
      <c r="C2010" s="410">
        <v>123</v>
      </c>
      <c r="D2010" s="93" t="s">
        <v>24</v>
      </c>
      <c r="E2010" s="93" t="s">
        <v>24</v>
      </c>
      <c r="F2010" s="93" t="s">
        <v>126</v>
      </c>
      <c r="G2010" s="93" t="s">
        <v>7183</v>
      </c>
      <c r="H2010" s="93" t="s">
        <v>400</v>
      </c>
      <c r="I2010" s="93" t="s">
        <v>111</v>
      </c>
      <c r="J2010" s="93" t="s">
        <v>7105</v>
      </c>
      <c r="K2010" s="93" t="s">
        <v>111</v>
      </c>
      <c r="L2010" s="93" t="s">
        <v>111</v>
      </c>
      <c r="M2010" s="93" t="s">
        <v>111</v>
      </c>
      <c r="N2010" s="93" t="s">
        <v>111</v>
      </c>
      <c r="O2010" s="93" t="s">
        <v>111</v>
      </c>
      <c r="P2010" s="93" t="s">
        <v>111</v>
      </c>
      <c r="Q2010" s="93" t="s">
        <v>111</v>
      </c>
      <c r="R2010" s="93" t="s">
        <v>111</v>
      </c>
      <c r="S2010" s="93" t="s">
        <v>2</v>
      </c>
      <c r="T2010" s="93" t="s">
        <v>111</v>
      </c>
      <c r="U2010" s="93" t="s">
        <v>116</v>
      </c>
      <c r="V2010" s="94">
        <v>44610.210416666669</v>
      </c>
      <c r="W2010" s="93" t="s">
        <v>7072</v>
      </c>
      <c r="X2010" s="93" t="s">
        <v>24</v>
      </c>
    </row>
    <row r="2011" spans="1:24" hidden="1" x14ac:dyDescent="0.15">
      <c r="A2011" s="93" t="s">
        <v>277</v>
      </c>
      <c r="B2011" s="93" t="s">
        <v>376</v>
      </c>
      <c r="C2011" s="410">
        <v>108</v>
      </c>
      <c r="D2011" s="93" t="s">
        <v>24</v>
      </c>
      <c r="E2011" s="93" t="s">
        <v>24</v>
      </c>
      <c r="F2011" s="93" t="s">
        <v>126</v>
      </c>
      <c r="G2011" s="93" t="s">
        <v>7183</v>
      </c>
      <c r="H2011" s="93" t="s">
        <v>400</v>
      </c>
      <c r="I2011" s="93" t="s">
        <v>111</v>
      </c>
      <c r="J2011" s="93" t="s">
        <v>7105</v>
      </c>
      <c r="K2011" s="93" t="s">
        <v>111</v>
      </c>
      <c r="L2011" s="93" t="s">
        <v>111</v>
      </c>
      <c r="M2011" s="93" t="s">
        <v>111</v>
      </c>
      <c r="N2011" s="93" t="s">
        <v>111</v>
      </c>
      <c r="O2011" s="93" t="s">
        <v>111</v>
      </c>
      <c r="P2011" s="93" t="s">
        <v>111</v>
      </c>
      <c r="Q2011" s="93" t="s">
        <v>111</v>
      </c>
      <c r="R2011" s="93" t="s">
        <v>111</v>
      </c>
      <c r="S2011" s="93" t="s">
        <v>2</v>
      </c>
      <c r="T2011" s="93" t="s">
        <v>111</v>
      </c>
      <c r="U2011" s="93" t="s">
        <v>116</v>
      </c>
      <c r="V2011" s="94">
        <v>44610.199305555558</v>
      </c>
      <c r="W2011" s="93" t="s">
        <v>7072</v>
      </c>
      <c r="X2011" s="93" t="s">
        <v>24</v>
      </c>
    </row>
    <row r="2012" spans="1:24" hidden="1" x14ac:dyDescent="0.15">
      <c r="A2012" s="93" t="s">
        <v>278</v>
      </c>
      <c r="B2012" s="93" t="s">
        <v>819</v>
      </c>
      <c r="C2012" s="410">
        <v>86.22</v>
      </c>
      <c r="D2012" s="93" t="s">
        <v>24</v>
      </c>
      <c r="E2012" s="93" t="s">
        <v>24</v>
      </c>
      <c r="F2012" s="93" t="s">
        <v>126</v>
      </c>
      <c r="G2012" s="93" t="s">
        <v>7185</v>
      </c>
      <c r="H2012" s="93" t="s">
        <v>400</v>
      </c>
      <c r="I2012" s="93" t="s">
        <v>111</v>
      </c>
      <c r="J2012" s="93" t="s">
        <v>7105</v>
      </c>
      <c r="K2012" s="93" t="s">
        <v>111</v>
      </c>
      <c r="L2012" s="93" t="s">
        <v>111</v>
      </c>
      <c r="M2012" s="93" t="s">
        <v>111</v>
      </c>
      <c r="N2012" s="93" t="s">
        <v>111</v>
      </c>
      <c r="O2012" s="93" t="s">
        <v>111</v>
      </c>
      <c r="P2012" s="93" t="s">
        <v>111</v>
      </c>
      <c r="Q2012" s="93" t="s">
        <v>111</v>
      </c>
      <c r="R2012" s="93" t="s">
        <v>111</v>
      </c>
      <c r="S2012" s="93" t="s">
        <v>2</v>
      </c>
      <c r="T2012" s="93" t="s">
        <v>111</v>
      </c>
      <c r="U2012" s="93" t="s">
        <v>116</v>
      </c>
      <c r="V2012" s="94">
        <v>44610.169444444444</v>
      </c>
      <c r="W2012" s="93" t="s">
        <v>7072</v>
      </c>
      <c r="X2012" s="93" t="s">
        <v>24</v>
      </c>
    </row>
    <row r="2013" spans="1:24" hidden="1" x14ac:dyDescent="0.15">
      <c r="A2013" s="93" t="s">
        <v>279</v>
      </c>
      <c r="B2013" s="93" t="s">
        <v>886</v>
      </c>
      <c r="C2013" s="410">
        <v>2.39</v>
      </c>
      <c r="D2013" s="93" t="s">
        <v>24</v>
      </c>
      <c r="E2013" s="93" t="s">
        <v>24</v>
      </c>
      <c r="F2013" s="93" t="s">
        <v>126</v>
      </c>
      <c r="G2013" s="93" t="s">
        <v>7183</v>
      </c>
      <c r="H2013" s="93" t="s">
        <v>400</v>
      </c>
      <c r="I2013" s="93" t="s">
        <v>111</v>
      </c>
      <c r="J2013" s="93" t="s">
        <v>7105</v>
      </c>
      <c r="K2013" s="93" t="s">
        <v>111</v>
      </c>
      <c r="L2013" s="93" t="s">
        <v>111</v>
      </c>
      <c r="M2013" s="93" t="s">
        <v>111</v>
      </c>
      <c r="N2013" s="93" t="s">
        <v>111</v>
      </c>
      <c r="O2013" s="93" t="s">
        <v>111</v>
      </c>
      <c r="P2013" s="93" t="s">
        <v>111</v>
      </c>
      <c r="Q2013" s="93" t="s">
        <v>111</v>
      </c>
      <c r="R2013" s="93" t="s">
        <v>111</v>
      </c>
      <c r="S2013" s="93" t="s">
        <v>2</v>
      </c>
      <c r="T2013" s="93" t="s">
        <v>111</v>
      </c>
      <c r="U2013" s="93" t="s">
        <v>116</v>
      </c>
      <c r="V2013" s="94">
        <v>44610.152083333334</v>
      </c>
      <c r="W2013" s="93" t="s">
        <v>7072</v>
      </c>
      <c r="X2013" s="93" t="s">
        <v>24</v>
      </c>
    </row>
    <row r="2014" spans="1:24" hidden="1" x14ac:dyDescent="0.15">
      <c r="A2014" s="93" t="s">
        <v>280</v>
      </c>
      <c r="B2014" s="93" t="s">
        <v>820</v>
      </c>
      <c r="C2014" s="410">
        <v>172.43</v>
      </c>
      <c r="D2014" s="93" t="s">
        <v>24</v>
      </c>
      <c r="E2014" s="93" t="s">
        <v>24</v>
      </c>
      <c r="F2014" s="93" t="s">
        <v>126</v>
      </c>
      <c r="G2014" s="93" t="s">
        <v>7185</v>
      </c>
      <c r="H2014" s="93" t="s">
        <v>400</v>
      </c>
      <c r="I2014" s="93" t="s">
        <v>111</v>
      </c>
      <c r="J2014" s="93" t="s">
        <v>7105</v>
      </c>
      <c r="K2014" s="93" t="s">
        <v>111</v>
      </c>
      <c r="L2014" s="93" t="s">
        <v>111</v>
      </c>
      <c r="M2014" s="93" t="s">
        <v>111</v>
      </c>
      <c r="N2014" s="93" t="s">
        <v>111</v>
      </c>
      <c r="O2014" s="93" t="s">
        <v>111</v>
      </c>
      <c r="P2014" s="93" t="s">
        <v>111</v>
      </c>
      <c r="Q2014" s="93" t="s">
        <v>111</v>
      </c>
      <c r="R2014" s="93" t="s">
        <v>111</v>
      </c>
      <c r="S2014" s="93" t="s">
        <v>2</v>
      </c>
      <c r="T2014" s="93" t="s">
        <v>111</v>
      </c>
      <c r="U2014" s="93" t="s">
        <v>116</v>
      </c>
      <c r="V2014" s="94">
        <v>44610.209027777775</v>
      </c>
      <c r="W2014" s="93" t="s">
        <v>7072</v>
      </c>
      <c r="X2014" s="93" t="s">
        <v>24</v>
      </c>
    </row>
    <row r="2015" spans="1:24" hidden="1" x14ac:dyDescent="0.15">
      <c r="A2015" s="93" t="s">
        <v>281</v>
      </c>
      <c r="B2015" s="93" t="s">
        <v>887</v>
      </c>
      <c r="C2015" s="410">
        <v>4.79</v>
      </c>
      <c r="D2015" s="93" t="s">
        <v>24</v>
      </c>
      <c r="E2015" s="93" t="s">
        <v>24</v>
      </c>
      <c r="F2015" s="93" t="s">
        <v>126</v>
      </c>
      <c r="G2015" s="93" t="s">
        <v>7183</v>
      </c>
      <c r="H2015" s="93" t="s">
        <v>400</v>
      </c>
      <c r="I2015" s="93" t="s">
        <v>111</v>
      </c>
      <c r="J2015" s="93" t="s">
        <v>7105</v>
      </c>
      <c r="K2015" s="93" t="s">
        <v>111</v>
      </c>
      <c r="L2015" s="93" t="s">
        <v>111</v>
      </c>
      <c r="M2015" s="93" t="s">
        <v>111</v>
      </c>
      <c r="N2015" s="93" t="s">
        <v>111</v>
      </c>
      <c r="O2015" s="93" t="s">
        <v>111</v>
      </c>
      <c r="P2015" s="93" t="s">
        <v>111</v>
      </c>
      <c r="Q2015" s="93" t="s">
        <v>111</v>
      </c>
      <c r="R2015" s="93" t="s">
        <v>111</v>
      </c>
      <c r="S2015" s="93" t="s">
        <v>2</v>
      </c>
      <c r="T2015" s="93" t="s">
        <v>111</v>
      </c>
      <c r="U2015" s="93" t="s">
        <v>116</v>
      </c>
      <c r="V2015" s="94">
        <v>44610.209722222222</v>
      </c>
      <c r="W2015" s="93" t="s">
        <v>7072</v>
      </c>
      <c r="X2015" s="93" t="s">
        <v>24</v>
      </c>
    </row>
    <row r="2016" spans="1:24" hidden="1" x14ac:dyDescent="0.15">
      <c r="A2016" s="93" t="s">
        <v>282</v>
      </c>
      <c r="B2016" s="93" t="s">
        <v>822</v>
      </c>
      <c r="C2016" s="410">
        <v>200.58</v>
      </c>
      <c r="D2016" s="93" t="s">
        <v>24</v>
      </c>
      <c r="E2016" s="93" t="s">
        <v>24</v>
      </c>
      <c r="F2016" s="93" t="s">
        <v>126</v>
      </c>
      <c r="G2016" s="93" t="s">
        <v>7185</v>
      </c>
      <c r="H2016" s="93" t="s">
        <v>400</v>
      </c>
      <c r="I2016" s="93" t="s">
        <v>111</v>
      </c>
      <c r="J2016" s="93" t="s">
        <v>7105</v>
      </c>
      <c r="K2016" s="93" t="s">
        <v>111</v>
      </c>
      <c r="L2016" s="93" t="s">
        <v>111</v>
      </c>
      <c r="M2016" s="93" t="s">
        <v>111</v>
      </c>
      <c r="N2016" s="93" t="s">
        <v>111</v>
      </c>
      <c r="O2016" s="93" t="s">
        <v>111</v>
      </c>
      <c r="P2016" s="93" t="s">
        <v>111</v>
      </c>
      <c r="Q2016" s="93" t="s">
        <v>111</v>
      </c>
      <c r="R2016" s="93" t="s">
        <v>111</v>
      </c>
      <c r="S2016" s="93" t="s">
        <v>2</v>
      </c>
      <c r="T2016" s="93" t="s">
        <v>111</v>
      </c>
      <c r="U2016" s="93" t="s">
        <v>116</v>
      </c>
      <c r="V2016" s="94">
        <v>44610.186805555553</v>
      </c>
      <c r="W2016" s="93" t="s">
        <v>7072</v>
      </c>
      <c r="X2016" s="93" t="s">
        <v>24</v>
      </c>
    </row>
    <row r="2017" spans="1:24" hidden="1" x14ac:dyDescent="0.15">
      <c r="A2017" s="93" t="s">
        <v>283</v>
      </c>
      <c r="B2017" s="93" t="s">
        <v>888</v>
      </c>
      <c r="C2017" s="410">
        <v>5.57</v>
      </c>
      <c r="D2017" s="93" t="s">
        <v>24</v>
      </c>
      <c r="E2017" s="93" t="s">
        <v>24</v>
      </c>
      <c r="F2017" s="93" t="s">
        <v>126</v>
      </c>
      <c r="G2017" s="93" t="s">
        <v>7183</v>
      </c>
      <c r="H2017" s="93" t="s">
        <v>400</v>
      </c>
      <c r="I2017" s="93" t="s">
        <v>111</v>
      </c>
      <c r="J2017" s="93" t="s">
        <v>7105</v>
      </c>
      <c r="K2017" s="93" t="s">
        <v>111</v>
      </c>
      <c r="L2017" s="93" t="s">
        <v>111</v>
      </c>
      <c r="M2017" s="93" t="s">
        <v>111</v>
      </c>
      <c r="N2017" s="93" t="s">
        <v>111</v>
      </c>
      <c r="O2017" s="93" t="s">
        <v>111</v>
      </c>
      <c r="P2017" s="93" t="s">
        <v>111</v>
      </c>
      <c r="Q2017" s="93" t="s">
        <v>111</v>
      </c>
      <c r="R2017" s="93" t="s">
        <v>111</v>
      </c>
      <c r="S2017" s="93" t="s">
        <v>2</v>
      </c>
      <c r="T2017" s="93" t="s">
        <v>111</v>
      </c>
      <c r="U2017" s="93" t="s">
        <v>116</v>
      </c>
      <c r="V2017" s="94">
        <v>44610.198611111111</v>
      </c>
      <c r="W2017" s="93" t="s">
        <v>7072</v>
      </c>
      <c r="X2017" s="93" t="s">
        <v>24</v>
      </c>
    </row>
    <row r="2018" spans="1:24" hidden="1" x14ac:dyDescent="0.15">
      <c r="A2018" s="93" t="s">
        <v>284</v>
      </c>
      <c r="B2018" s="93" t="s">
        <v>889</v>
      </c>
      <c r="C2018" s="410">
        <v>1224</v>
      </c>
      <c r="D2018" s="93" t="s">
        <v>24</v>
      </c>
      <c r="E2018" s="93" t="s">
        <v>24</v>
      </c>
      <c r="F2018" s="93" t="s">
        <v>126</v>
      </c>
      <c r="G2018" s="93" t="s">
        <v>7183</v>
      </c>
      <c r="H2018" s="93" t="s">
        <v>400</v>
      </c>
      <c r="I2018" s="93" t="s">
        <v>111</v>
      </c>
      <c r="J2018" s="93" t="s">
        <v>7105</v>
      </c>
      <c r="K2018" s="93" t="s">
        <v>111</v>
      </c>
      <c r="L2018" s="93" t="s">
        <v>111</v>
      </c>
      <c r="M2018" s="93" t="s">
        <v>111</v>
      </c>
      <c r="N2018" s="93" t="s">
        <v>111</v>
      </c>
      <c r="O2018" s="93" t="s">
        <v>111</v>
      </c>
      <c r="P2018" s="93" t="s">
        <v>111</v>
      </c>
      <c r="Q2018" s="93" t="s">
        <v>111</v>
      </c>
      <c r="R2018" s="93" t="s">
        <v>111</v>
      </c>
      <c r="S2018" s="93" t="s">
        <v>2</v>
      </c>
      <c r="T2018" s="93" t="s">
        <v>111</v>
      </c>
      <c r="U2018" s="93" t="s">
        <v>116</v>
      </c>
      <c r="V2018" s="94">
        <v>44610.167361111111</v>
      </c>
      <c r="W2018" s="93" t="s">
        <v>7072</v>
      </c>
      <c r="X2018" s="93" t="s">
        <v>24</v>
      </c>
    </row>
    <row r="2019" spans="1:24" hidden="1" x14ac:dyDescent="0.15">
      <c r="A2019" s="93" t="s">
        <v>285</v>
      </c>
      <c r="B2019" s="93" t="s">
        <v>890</v>
      </c>
      <c r="C2019" s="410">
        <v>6120</v>
      </c>
      <c r="D2019" s="93" t="s">
        <v>24</v>
      </c>
      <c r="E2019" s="93" t="s">
        <v>24</v>
      </c>
      <c r="F2019" s="93" t="s">
        <v>126</v>
      </c>
      <c r="G2019" s="93" t="s">
        <v>7183</v>
      </c>
      <c r="H2019" s="93" t="s">
        <v>400</v>
      </c>
      <c r="I2019" s="93" t="s">
        <v>111</v>
      </c>
      <c r="J2019" s="93" t="s">
        <v>7105</v>
      </c>
      <c r="K2019" s="93" t="s">
        <v>111</v>
      </c>
      <c r="L2019" s="93" t="s">
        <v>111</v>
      </c>
      <c r="M2019" s="93" t="s">
        <v>111</v>
      </c>
      <c r="N2019" s="93" t="s">
        <v>111</v>
      </c>
      <c r="O2019" s="93" t="s">
        <v>111</v>
      </c>
      <c r="P2019" s="93" t="s">
        <v>111</v>
      </c>
      <c r="Q2019" s="93" t="s">
        <v>111</v>
      </c>
      <c r="R2019" s="93" t="s">
        <v>111</v>
      </c>
      <c r="S2019" s="93" t="s">
        <v>2</v>
      </c>
      <c r="T2019" s="93" t="s">
        <v>111</v>
      </c>
      <c r="U2019" s="93" t="s">
        <v>116</v>
      </c>
      <c r="V2019" s="94">
        <v>44610.175694444442</v>
      </c>
      <c r="W2019" s="93" t="s">
        <v>7072</v>
      </c>
      <c r="X2019" s="93" t="s">
        <v>24</v>
      </c>
    </row>
    <row r="2020" spans="1:24" hidden="1" x14ac:dyDescent="0.15">
      <c r="A2020" s="93" t="s">
        <v>286</v>
      </c>
      <c r="B2020" s="93" t="s">
        <v>891</v>
      </c>
      <c r="C2020" s="410">
        <v>459</v>
      </c>
      <c r="D2020" s="93" t="s">
        <v>24</v>
      </c>
      <c r="E2020" s="93" t="s">
        <v>24</v>
      </c>
      <c r="F2020" s="93" t="s">
        <v>126</v>
      </c>
      <c r="G2020" s="93" t="s">
        <v>7183</v>
      </c>
      <c r="H2020" s="93" t="s">
        <v>400</v>
      </c>
      <c r="I2020" s="93" t="s">
        <v>111</v>
      </c>
      <c r="J2020" s="93" t="s">
        <v>7105</v>
      </c>
      <c r="K2020" s="93" t="s">
        <v>111</v>
      </c>
      <c r="L2020" s="93" t="s">
        <v>111</v>
      </c>
      <c r="M2020" s="93" t="s">
        <v>111</v>
      </c>
      <c r="N2020" s="93" t="s">
        <v>111</v>
      </c>
      <c r="O2020" s="93" t="s">
        <v>111</v>
      </c>
      <c r="P2020" s="93" t="s">
        <v>111</v>
      </c>
      <c r="Q2020" s="93" t="s">
        <v>111</v>
      </c>
      <c r="R2020" s="93" t="s">
        <v>111</v>
      </c>
      <c r="S2020" s="93" t="s">
        <v>2</v>
      </c>
      <c r="T2020" s="93" t="s">
        <v>111</v>
      </c>
      <c r="U2020" s="93" t="s">
        <v>116</v>
      </c>
      <c r="V2020" s="94">
        <v>44610.167361111111</v>
      </c>
      <c r="W2020" s="93" t="s">
        <v>7072</v>
      </c>
      <c r="X2020" s="93" t="s">
        <v>24</v>
      </c>
    </row>
    <row r="2021" spans="1:24" hidden="1" x14ac:dyDescent="0.15">
      <c r="A2021" s="93" t="s">
        <v>287</v>
      </c>
      <c r="B2021" s="93" t="s">
        <v>892</v>
      </c>
      <c r="C2021" s="410">
        <v>2142</v>
      </c>
      <c r="D2021" s="93" t="s">
        <v>24</v>
      </c>
      <c r="E2021" s="93" t="s">
        <v>24</v>
      </c>
      <c r="F2021" s="93" t="s">
        <v>126</v>
      </c>
      <c r="G2021" s="93" t="s">
        <v>7183</v>
      </c>
      <c r="H2021" s="93" t="s">
        <v>400</v>
      </c>
      <c r="I2021" s="93" t="s">
        <v>111</v>
      </c>
      <c r="J2021" s="93" t="s">
        <v>7105</v>
      </c>
      <c r="K2021" s="93" t="s">
        <v>111</v>
      </c>
      <c r="L2021" s="93" t="s">
        <v>111</v>
      </c>
      <c r="M2021" s="93" t="s">
        <v>111</v>
      </c>
      <c r="N2021" s="93" t="s">
        <v>111</v>
      </c>
      <c r="O2021" s="93" t="s">
        <v>111</v>
      </c>
      <c r="P2021" s="93" t="s">
        <v>111</v>
      </c>
      <c r="Q2021" s="93" t="s">
        <v>111</v>
      </c>
      <c r="R2021" s="93" t="s">
        <v>111</v>
      </c>
      <c r="S2021" s="93" t="s">
        <v>2</v>
      </c>
      <c r="T2021" s="93" t="s">
        <v>111</v>
      </c>
      <c r="U2021" s="93" t="s">
        <v>116</v>
      </c>
      <c r="V2021" s="94">
        <v>44610.149305555555</v>
      </c>
      <c r="W2021" s="93" t="s">
        <v>7072</v>
      </c>
      <c r="X2021" s="93" t="s">
        <v>24</v>
      </c>
    </row>
    <row r="2022" spans="1:24" hidden="1" x14ac:dyDescent="0.15">
      <c r="A2022" s="93" t="s">
        <v>288</v>
      </c>
      <c r="B2022" s="93" t="s">
        <v>893</v>
      </c>
      <c r="C2022" s="410">
        <v>9180</v>
      </c>
      <c r="D2022" s="93" t="s">
        <v>24</v>
      </c>
      <c r="E2022" s="93" t="s">
        <v>24</v>
      </c>
      <c r="F2022" s="93" t="s">
        <v>126</v>
      </c>
      <c r="G2022" s="93" t="s">
        <v>7183</v>
      </c>
      <c r="H2022" s="93" t="s">
        <v>400</v>
      </c>
      <c r="I2022" s="93" t="s">
        <v>111</v>
      </c>
      <c r="J2022" s="93" t="s">
        <v>7105</v>
      </c>
      <c r="K2022" s="93" t="s">
        <v>111</v>
      </c>
      <c r="L2022" s="93" t="s">
        <v>111</v>
      </c>
      <c r="M2022" s="93" t="s">
        <v>111</v>
      </c>
      <c r="N2022" s="93" t="s">
        <v>111</v>
      </c>
      <c r="O2022" s="93" t="s">
        <v>111</v>
      </c>
      <c r="P2022" s="93" t="s">
        <v>111</v>
      </c>
      <c r="Q2022" s="93" t="s">
        <v>111</v>
      </c>
      <c r="R2022" s="93" t="s">
        <v>111</v>
      </c>
      <c r="S2022" s="93" t="s">
        <v>2</v>
      </c>
      <c r="T2022" s="93" t="s">
        <v>111</v>
      </c>
      <c r="U2022" s="93" t="s">
        <v>116</v>
      </c>
      <c r="V2022" s="94">
        <v>44610.184027777781</v>
      </c>
      <c r="W2022" s="93" t="s">
        <v>7072</v>
      </c>
      <c r="X2022" s="93" t="s">
        <v>24</v>
      </c>
    </row>
    <row r="2023" spans="1:24" hidden="1" x14ac:dyDescent="0.15">
      <c r="A2023" s="93" t="s">
        <v>289</v>
      </c>
      <c r="B2023" s="93" t="s">
        <v>894</v>
      </c>
      <c r="C2023" s="410">
        <v>567</v>
      </c>
      <c r="D2023" s="93" t="s">
        <v>24</v>
      </c>
      <c r="E2023" s="93" t="s">
        <v>24</v>
      </c>
      <c r="F2023" s="93" t="s">
        <v>126</v>
      </c>
      <c r="G2023" s="93" t="s">
        <v>7183</v>
      </c>
      <c r="H2023" s="93" t="s">
        <v>400</v>
      </c>
      <c r="I2023" s="93" t="s">
        <v>111</v>
      </c>
      <c r="J2023" s="93" t="s">
        <v>7105</v>
      </c>
      <c r="K2023" s="93" t="s">
        <v>111</v>
      </c>
      <c r="L2023" s="93" t="s">
        <v>111</v>
      </c>
      <c r="M2023" s="93" t="s">
        <v>111</v>
      </c>
      <c r="N2023" s="93" t="s">
        <v>111</v>
      </c>
      <c r="O2023" s="93" t="s">
        <v>111</v>
      </c>
      <c r="P2023" s="93" t="s">
        <v>111</v>
      </c>
      <c r="Q2023" s="93" t="s">
        <v>111</v>
      </c>
      <c r="R2023" s="93" t="s">
        <v>111</v>
      </c>
      <c r="S2023" s="93" t="s">
        <v>2</v>
      </c>
      <c r="T2023" s="93" t="s">
        <v>111</v>
      </c>
      <c r="U2023" s="93" t="s">
        <v>116</v>
      </c>
      <c r="V2023" s="94">
        <v>44610.149305555555</v>
      </c>
      <c r="W2023" s="93" t="s">
        <v>7072</v>
      </c>
      <c r="X2023" s="93" t="s">
        <v>24</v>
      </c>
    </row>
    <row r="2024" spans="1:24" hidden="1" x14ac:dyDescent="0.15">
      <c r="A2024" s="93" t="s">
        <v>290</v>
      </c>
      <c r="B2024" s="93" t="s">
        <v>895</v>
      </c>
      <c r="C2024" s="410">
        <v>2754</v>
      </c>
      <c r="D2024" s="93" t="s">
        <v>24</v>
      </c>
      <c r="E2024" s="93" t="s">
        <v>24</v>
      </c>
      <c r="F2024" s="93" t="s">
        <v>126</v>
      </c>
      <c r="G2024" s="93" t="s">
        <v>7183</v>
      </c>
      <c r="H2024" s="93" t="s">
        <v>400</v>
      </c>
      <c r="I2024" s="93" t="s">
        <v>111</v>
      </c>
      <c r="J2024" s="93" t="s">
        <v>7105</v>
      </c>
      <c r="K2024" s="93" t="s">
        <v>111</v>
      </c>
      <c r="L2024" s="93" t="s">
        <v>111</v>
      </c>
      <c r="M2024" s="93" t="s">
        <v>111</v>
      </c>
      <c r="N2024" s="93" t="s">
        <v>111</v>
      </c>
      <c r="O2024" s="93" t="s">
        <v>111</v>
      </c>
      <c r="P2024" s="93" t="s">
        <v>111</v>
      </c>
      <c r="Q2024" s="93" t="s">
        <v>111</v>
      </c>
      <c r="R2024" s="93" t="s">
        <v>111</v>
      </c>
      <c r="S2024" s="93" t="s">
        <v>2</v>
      </c>
      <c r="T2024" s="93" t="s">
        <v>111</v>
      </c>
      <c r="U2024" s="93" t="s">
        <v>116</v>
      </c>
      <c r="V2024" s="94">
        <v>44610.183333333334</v>
      </c>
      <c r="W2024" s="93" t="s">
        <v>7072</v>
      </c>
      <c r="X2024" s="93" t="s">
        <v>24</v>
      </c>
    </row>
    <row r="2025" spans="1:24" hidden="1" x14ac:dyDescent="0.15">
      <c r="A2025" s="93" t="s">
        <v>291</v>
      </c>
      <c r="B2025" s="93" t="s">
        <v>896</v>
      </c>
      <c r="C2025" s="410">
        <v>11628</v>
      </c>
      <c r="D2025" s="93" t="s">
        <v>24</v>
      </c>
      <c r="E2025" s="93" t="s">
        <v>24</v>
      </c>
      <c r="F2025" s="93" t="s">
        <v>126</v>
      </c>
      <c r="G2025" s="93" t="s">
        <v>7183</v>
      </c>
      <c r="H2025" s="93" t="s">
        <v>400</v>
      </c>
      <c r="I2025" s="93" t="s">
        <v>111</v>
      </c>
      <c r="J2025" s="93" t="s">
        <v>7105</v>
      </c>
      <c r="K2025" s="93" t="s">
        <v>111</v>
      </c>
      <c r="L2025" s="93" t="s">
        <v>111</v>
      </c>
      <c r="M2025" s="93" t="s">
        <v>111</v>
      </c>
      <c r="N2025" s="93" t="s">
        <v>111</v>
      </c>
      <c r="O2025" s="93" t="s">
        <v>111</v>
      </c>
      <c r="P2025" s="93" t="s">
        <v>111</v>
      </c>
      <c r="Q2025" s="93" t="s">
        <v>111</v>
      </c>
      <c r="R2025" s="93" t="s">
        <v>111</v>
      </c>
      <c r="S2025" s="93" t="s">
        <v>2</v>
      </c>
      <c r="T2025" s="93" t="s">
        <v>111</v>
      </c>
      <c r="U2025" s="93" t="s">
        <v>116</v>
      </c>
      <c r="V2025" s="94">
        <v>44610.15902777778</v>
      </c>
      <c r="W2025" s="93" t="s">
        <v>7072</v>
      </c>
      <c r="X2025" s="93" t="s">
        <v>24</v>
      </c>
    </row>
    <row r="2026" spans="1:24" hidden="1" x14ac:dyDescent="0.15">
      <c r="A2026" s="93" t="s">
        <v>292</v>
      </c>
      <c r="B2026" s="93" t="s">
        <v>897</v>
      </c>
      <c r="C2026" s="410">
        <v>674</v>
      </c>
      <c r="D2026" s="93" t="s">
        <v>24</v>
      </c>
      <c r="E2026" s="93" t="s">
        <v>24</v>
      </c>
      <c r="F2026" s="93" t="s">
        <v>126</v>
      </c>
      <c r="G2026" s="93" t="s">
        <v>7183</v>
      </c>
      <c r="H2026" s="93" t="s">
        <v>400</v>
      </c>
      <c r="I2026" s="93" t="s">
        <v>111</v>
      </c>
      <c r="J2026" s="93" t="s">
        <v>7105</v>
      </c>
      <c r="K2026" s="93" t="s">
        <v>111</v>
      </c>
      <c r="L2026" s="93" t="s">
        <v>111</v>
      </c>
      <c r="M2026" s="93" t="s">
        <v>111</v>
      </c>
      <c r="N2026" s="93" t="s">
        <v>111</v>
      </c>
      <c r="O2026" s="93" t="s">
        <v>111</v>
      </c>
      <c r="P2026" s="93" t="s">
        <v>111</v>
      </c>
      <c r="Q2026" s="93" t="s">
        <v>111</v>
      </c>
      <c r="R2026" s="93" t="s">
        <v>111</v>
      </c>
      <c r="S2026" s="93" t="s">
        <v>2</v>
      </c>
      <c r="T2026" s="93" t="s">
        <v>111</v>
      </c>
      <c r="U2026" s="93" t="s">
        <v>116</v>
      </c>
      <c r="V2026" s="94">
        <v>44610.205555555556</v>
      </c>
      <c r="W2026" s="93" t="s">
        <v>7072</v>
      </c>
      <c r="X2026" s="93" t="s">
        <v>24</v>
      </c>
    </row>
    <row r="2027" spans="1:24" hidden="1" x14ac:dyDescent="0.15">
      <c r="A2027" s="93" t="s">
        <v>293</v>
      </c>
      <c r="B2027" s="93" t="s">
        <v>898</v>
      </c>
      <c r="C2027" s="410">
        <v>3213</v>
      </c>
      <c r="D2027" s="93" t="s">
        <v>24</v>
      </c>
      <c r="E2027" s="93" t="s">
        <v>24</v>
      </c>
      <c r="F2027" s="93" t="s">
        <v>126</v>
      </c>
      <c r="G2027" s="93" t="s">
        <v>7183</v>
      </c>
      <c r="H2027" s="93" t="s">
        <v>400</v>
      </c>
      <c r="I2027" s="93" t="s">
        <v>111</v>
      </c>
      <c r="J2027" s="93" t="s">
        <v>7105</v>
      </c>
      <c r="K2027" s="93" t="s">
        <v>111</v>
      </c>
      <c r="L2027" s="93" t="s">
        <v>111</v>
      </c>
      <c r="M2027" s="93" t="s">
        <v>111</v>
      </c>
      <c r="N2027" s="93" t="s">
        <v>111</v>
      </c>
      <c r="O2027" s="93" t="s">
        <v>111</v>
      </c>
      <c r="P2027" s="93" t="s">
        <v>111</v>
      </c>
      <c r="Q2027" s="93" t="s">
        <v>111</v>
      </c>
      <c r="R2027" s="93" t="s">
        <v>111</v>
      </c>
      <c r="S2027" s="93" t="s">
        <v>2</v>
      </c>
      <c r="T2027" s="93" t="s">
        <v>111</v>
      </c>
      <c r="U2027" s="93" t="s">
        <v>116</v>
      </c>
      <c r="V2027" s="94">
        <v>44610.206250000003</v>
      </c>
      <c r="W2027" s="93" t="s">
        <v>7072</v>
      </c>
      <c r="X2027" s="93" t="s">
        <v>24</v>
      </c>
    </row>
    <row r="2028" spans="1:24" hidden="1" x14ac:dyDescent="0.15">
      <c r="A2028" s="93" t="s">
        <v>294</v>
      </c>
      <c r="B2028" s="93" t="s">
        <v>899</v>
      </c>
      <c r="C2028" s="410">
        <v>13770</v>
      </c>
      <c r="D2028" s="93" t="s">
        <v>24</v>
      </c>
      <c r="E2028" s="93" t="s">
        <v>24</v>
      </c>
      <c r="F2028" s="93" t="s">
        <v>126</v>
      </c>
      <c r="G2028" s="93" t="s">
        <v>7183</v>
      </c>
      <c r="H2028" s="93" t="s">
        <v>400</v>
      </c>
      <c r="I2028" s="93" t="s">
        <v>111</v>
      </c>
      <c r="J2028" s="93" t="s">
        <v>7105</v>
      </c>
      <c r="K2028" s="93" t="s">
        <v>111</v>
      </c>
      <c r="L2028" s="93" t="s">
        <v>111</v>
      </c>
      <c r="M2028" s="93" t="s">
        <v>111</v>
      </c>
      <c r="N2028" s="93" t="s">
        <v>111</v>
      </c>
      <c r="O2028" s="93" t="s">
        <v>111</v>
      </c>
      <c r="P2028" s="93" t="s">
        <v>111</v>
      </c>
      <c r="Q2028" s="93" t="s">
        <v>111</v>
      </c>
      <c r="R2028" s="93" t="s">
        <v>111</v>
      </c>
      <c r="S2028" s="93" t="s">
        <v>2</v>
      </c>
      <c r="T2028" s="93" t="s">
        <v>111</v>
      </c>
      <c r="U2028" s="93" t="s">
        <v>116</v>
      </c>
      <c r="V2028" s="94">
        <v>44610.136805555558</v>
      </c>
      <c r="W2028" s="93" t="s">
        <v>7072</v>
      </c>
      <c r="X2028" s="93" t="s">
        <v>24</v>
      </c>
    </row>
    <row r="2029" spans="1:24" hidden="1" x14ac:dyDescent="0.15">
      <c r="A2029" s="93" t="s">
        <v>295</v>
      </c>
      <c r="B2029" s="93" t="s">
        <v>900</v>
      </c>
      <c r="C2029" s="410">
        <v>765</v>
      </c>
      <c r="D2029" s="93" t="s">
        <v>24</v>
      </c>
      <c r="E2029" s="93" t="s">
        <v>24</v>
      </c>
      <c r="F2029" s="93" t="s">
        <v>126</v>
      </c>
      <c r="G2029" s="93" t="s">
        <v>7183</v>
      </c>
      <c r="H2029" s="93" t="s">
        <v>400</v>
      </c>
      <c r="I2029" s="93" t="s">
        <v>111</v>
      </c>
      <c r="J2029" s="93" t="s">
        <v>7105</v>
      </c>
      <c r="K2029" s="93" t="s">
        <v>111</v>
      </c>
      <c r="L2029" s="93" t="s">
        <v>111</v>
      </c>
      <c r="M2029" s="93" t="s">
        <v>111</v>
      </c>
      <c r="N2029" s="93" t="s">
        <v>111</v>
      </c>
      <c r="O2029" s="93" t="s">
        <v>111</v>
      </c>
      <c r="P2029" s="93" t="s">
        <v>111</v>
      </c>
      <c r="Q2029" s="93" t="s">
        <v>111</v>
      </c>
      <c r="R2029" s="93" t="s">
        <v>111</v>
      </c>
      <c r="S2029" s="93" t="s">
        <v>2</v>
      </c>
      <c r="T2029" s="93" t="s">
        <v>111</v>
      </c>
      <c r="U2029" s="93" t="s">
        <v>116</v>
      </c>
      <c r="V2029" s="94">
        <v>44610.205555555556</v>
      </c>
      <c r="W2029" s="93" t="s">
        <v>7072</v>
      </c>
      <c r="X2029" s="93" t="s">
        <v>24</v>
      </c>
    </row>
    <row r="2030" spans="1:24" hidden="1" x14ac:dyDescent="0.15">
      <c r="A2030" s="93" t="s">
        <v>296</v>
      </c>
      <c r="B2030" s="93" t="s">
        <v>901</v>
      </c>
      <c r="C2030" s="410">
        <v>3672</v>
      </c>
      <c r="D2030" s="93" t="s">
        <v>24</v>
      </c>
      <c r="E2030" s="93" t="s">
        <v>24</v>
      </c>
      <c r="F2030" s="93" t="s">
        <v>126</v>
      </c>
      <c r="G2030" s="93" t="s">
        <v>7183</v>
      </c>
      <c r="H2030" s="93" t="s">
        <v>400</v>
      </c>
      <c r="I2030" s="93" t="s">
        <v>111</v>
      </c>
      <c r="J2030" s="93" t="s">
        <v>7105</v>
      </c>
      <c r="K2030" s="93" t="s">
        <v>111</v>
      </c>
      <c r="L2030" s="93" t="s">
        <v>111</v>
      </c>
      <c r="M2030" s="93" t="s">
        <v>111</v>
      </c>
      <c r="N2030" s="93" t="s">
        <v>111</v>
      </c>
      <c r="O2030" s="93" t="s">
        <v>111</v>
      </c>
      <c r="P2030" s="93" t="s">
        <v>111</v>
      </c>
      <c r="Q2030" s="93" t="s">
        <v>111</v>
      </c>
      <c r="R2030" s="93" t="s">
        <v>111</v>
      </c>
      <c r="S2030" s="93" t="s">
        <v>2</v>
      </c>
      <c r="T2030" s="93" t="s">
        <v>111</v>
      </c>
      <c r="U2030" s="93" t="s">
        <v>116</v>
      </c>
      <c r="V2030" s="94">
        <v>44610.15902777778</v>
      </c>
      <c r="W2030" s="93" t="s">
        <v>7072</v>
      </c>
      <c r="X2030" s="93" t="s">
        <v>24</v>
      </c>
    </row>
    <row r="2031" spans="1:24" hidden="1" x14ac:dyDescent="0.15">
      <c r="A2031" s="93" t="s">
        <v>297</v>
      </c>
      <c r="B2031" s="93" t="s">
        <v>902</v>
      </c>
      <c r="C2031" s="410">
        <v>15300</v>
      </c>
      <c r="D2031" s="93" t="s">
        <v>24</v>
      </c>
      <c r="E2031" s="93" t="s">
        <v>24</v>
      </c>
      <c r="F2031" s="93" t="s">
        <v>126</v>
      </c>
      <c r="G2031" s="93" t="s">
        <v>7183</v>
      </c>
      <c r="H2031" s="93" t="s">
        <v>400</v>
      </c>
      <c r="I2031" s="93" t="s">
        <v>111</v>
      </c>
      <c r="J2031" s="93" t="s">
        <v>7105</v>
      </c>
      <c r="K2031" s="93" t="s">
        <v>111</v>
      </c>
      <c r="L2031" s="93" t="s">
        <v>111</v>
      </c>
      <c r="M2031" s="93" t="s">
        <v>111</v>
      </c>
      <c r="N2031" s="93" t="s">
        <v>111</v>
      </c>
      <c r="O2031" s="93" t="s">
        <v>111</v>
      </c>
      <c r="P2031" s="93" t="s">
        <v>111</v>
      </c>
      <c r="Q2031" s="93" t="s">
        <v>111</v>
      </c>
      <c r="R2031" s="93" t="s">
        <v>111</v>
      </c>
      <c r="S2031" s="93" t="s">
        <v>2</v>
      </c>
      <c r="T2031" s="93" t="s">
        <v>111</v>
      </c>
      <c r="U2031" s="93" t="s">
        <v>116</v>
      </c>
      <c r="V2031" s="94">
        <v>44610.15902777778</v>
      </c>
      <c r="W2031" s="93" t="s">
        <v>7072</v>
      </c>
      <c r="X2031" s="93" t="s">
        <v>24</v>
      </c>
    </row>
    <row r="2032" spans="1:24" hidden="1" x14ac:dyDescent="0.15">
      <c r="A2032" s="93" t="s">
        <v>298</v>
      </c>
      <c r="B2032" s="93" t="s">
        <v>903</v>
      </c>
      <c r="C2032" s="410">
        <v>857</v>
      </c>
      <c r="D2032" s="93" t="s">
        <v>24</v>
      </c>
      <c r="E2032" s="93" t="s">
        <v>24</v>
      </c>
      <c r="F2032" s="93" t="s">
        <v>126</v>
      </c>
      <c r="G2032" s="93" t="s">
        <v>7183</v>
      </c>
      <c r="H2032" s="93" t="s">
        <v>400</v>
      </c>
      <c r="I2032" s="93" t="s">
        <v>111</v>
      </c>
      <c r="J2032" s="93" t="s">
        <v>7105</v>
      </c>
      <c r="K2032" s="93" t="s">
        <v>111</v>
      </c>
      <c r="L2032" s="93" t="s">
        <v>111</v>
      </c>
      <c r="M2032" s="93" t="s">
        <v>111</v>
      </c>
      <c r="N2032" s="93" t="s">
        <v>111</v>
      </c>
      <c r="O2032" s="93" t="s">
        <v>111</v>
      </c>
      <c r="P2032" s="93" t="s">
        <v>111</v>
      </c>
      <c r="Q2032" s="93" t="s">
        <v>111</v>
      </c>
      <c r="R2032" s="93" t="s">
        <v>111</v>
      </c>
      <c r="S2032" s="93" t="s">
        <v>2</v>
      </c>
      <c r="T2032" s="93" t="s">
        <v>111</v>
      </c>
      <c r="U2032" s="93" t="s">
        <v>116</v>
      </c>
      <c r="V2032" s="94">
        <v>44610.15902777778</v>
      </c>
      <c r="W2032" s="93" t="s">
        <v>7072</v>
      </c>
      <c r="X2032" s="93" t="s">
        <v>24</v>
      </c>
    </row>
    <row r="2033" spans="1:24" hidden="1" x14ac:dyDescent="0.15">
      <c r="A2033" s="93" t="s">
        <v>299</v>
      </c>
      <c r="B2033" s="93" t="s">
        <v>904</v>
      </c>
      <c r="C2033" s="410">
        <v>4284</v>
      </c>
      <c r="D2033" s="93" t="s">
        <v>24</v>
      </c>
      <c r="E2033" s="93" t="s">
        <v>24</v>
      </c>
      <c r="F2033" s="93" t="s">
        <v>126</v>
      </c>
      <c r="G2033" s="93" t="s">
        <v>7183</v>
      </c>
      <c r="H2033" s="93" t="s">
        <v>400</v>
      </c>
      <c r="I2033" s="93" t="s">
        <v>111</v>
      </c>
      <c r="J2033" s="93" t="s">
        <v>7105</v>
      </c>
      <c r="K2033" s="93" t="s">
        <v>111</v>
      </c>
      <c r="L2033" s="93" t="s">
        <v>111</v>
      </c>
      <c r="M2033" s="93" t="s">
        <v>111</v>
      </c>
      <c r="N2033" s="93" t="s">
        <v>111</v>
      </c>
      <c r="O2033" s="93" t="s">
        <v>111</v>
      </c>
      <c r="P2033" s="93" t="s">
        <v>111</v>
      </c>
      <c r="Q2033" s="93" t="s">
        <v>111</v>
      </c>
      <c r="R2033" s="93" t="s">
        <v>111</v>
      </c>
      <c r="S2033" s="93" t="s">
        <v>2</v>
      </c>
      <c r="T2033" s="93" t="s">
        <v>111</v>
      </c>
      <c r="U2033" s="93" t="s">
        <v>116</v>
      </c>
      <c r="V2033" s="94">
        <v>44610.149305555555</v>
      </c>
      <c r="W2033" s="93" t="s">
        <v>7072</v>
      </c>
      <c r="X2033" s="93" t="s">
        <v>24</v>
      </c>
    </row>
    <row r="2034" spans="1:24" hidden="1" x14ac:dyDescent="0.15">
      <c r="A2034" s="93" t="s">
        <v>300</v>
      </c>
      <c r="B2034" s="93" t="s">
        <v>905</v>
      </c>
      <c r="C2034" s="410">
        <v>949</v>
      </c>
      <c r="D2034" s="93" t="s">
        <v>24</v>
      </c>
      <c r="E2034" s="93" t="s">
        <v>24</v>
      </c>
      <c r="F2034" s="93" t="s">
        <v>126</v>
      </c>
      <c r="G2034" s="93" t="s">
        <v>7183</v>
      </c>
      <c r="H2034" s="93" t="s">
        <v>400</v>
      </c>
      <c r="I2034" s="93" t="s">
        <v>111</v>
      </c>
      <c r="J2034" s="93" t="s">
        <v>7105</v>
      </c>
      <c r="K2034" s="93" t="s">
        <v>111</v>
      </c>
      <c r="L2034" s="93" t="s">
        <v>111</v>
      </c>
      <c r="M2034" s="93" t="s">
        <v>111</v>
      </c>
      <c r="N2034" s="93" t="s">
        <v>111</v>
      </c>
      <c r="O2034" s="93" t="s">
        <v>111</v>
      </c>
      <c r="P2034" s="93" t="s">
        <v>111</v>
      </c>
      <c r="Q2034" s="93" t="s">
        <v>111</v>
      </c>
      <c r="R2034" s="93" t="s">
        <v>111</v>
      </c>
      <c r="S2034" s="93" t="s">
        <v>2</v>
      </c>
      <c r="T2034" s="93" t="s">
        <v>111</v>
      </c>
      <c r="U2034" s="93" t="s">
        <v>116</v>
      </c>
      <c r="V2034" s="94">
        <v>44610.15902777778</v>
      </c>
      <c r="W2034" s="93" t="s">
        <v>7072</v>
      </c>
      <c r="X2034" s="93" t="s">
        <v>24</v>
      </c>
    </row>
    <row r="2035" spans="1:24" hidden="1" x14ac:dyDescent="0.15">
      <c r="A2035" s="93" t="s">
        <v>301</v>
      </c>
      <c r="B2035" s="93" t="s">
        <v>906</v>
      </c>
      <c r="C2035" s="410">
        <v>4749</v>
      </c>
      <c r="D2035" s="93" t="s">
        <v>24</v>
      </c>
      <c r="E2035" s="93" t="s">
        <v>24</v>
      </c>
      <c r="F2035" s="93" t="s">
        <v>126</v>
      </c>
      <c r="G2035" s="93" t="s">
        <v>7183</v>
      </c>
      <c r="H2035" s="93" t="s">
        <v>400</v>
      </c>
      <c r="I2035" s="93" t="s">
        <v>111</v>
      </c>
      <c r="J2035" s="93" t="s">
        <v>7105</v>
      </c>
      <c r="K2035" s="93" t="s">
        <v>111</v>
      </c>
      <c r="L2035" s="93" t="s">
        <v>111</v>
      </c>
      <c r="M2035" s="93" t="s">
        <v>111</v>
      </c>
      <c r="N2035" s="93" t="s">
        <v>111</v>
      </c>
      <c r="O2035" s="93" t="s">
        <v>111</v>
      </c>
      <c r="P2035" s="93" t="s">
        <v>111</v>
      </c>
      <c r="Q2035" s="93" t="s">
        <v>111</v>
      </c>
      <c r="R2035" s="93" t="s">
        <v>111</v>
      </c>
      <c r="S2035" s="93" t="s">
        <v>2</v>
      </c>
      <c r="T2035" s="93" t="s">
        <v>111</v>
      </c>
      <c r="U2035" s="93" t="s">
        <v>116</v>
      </c>
      <c r="V2035" s="94">
        <v>44610.175694444442</v>
      </c>
      <c r="W2035" s="93" t="s">
        <v>7072</v>
      </c>
      <c r="X2035" s="93" t="s">
        <v>24</v>
      </c>
    </row>
    <row r="2036" spans="1:24" hidden="1" x14ac:dyDescent="0.15">
      <c r="A2036" s="93" t="s">
        <v>302</v>
      </c>
      <c r="B2036" s="93" t="s">
        <v>907</v>
      </c>
      <c r="C2036" s="410">
        <v>1041</v>
      </c>
      <c r="D2036" s="93" t="s">
        <v>24</v>
      </c>
      <c r="E2036" s="93" t="s">
        <v>24</v>
      </c>
      <c r="F2036" s="93" t="s">
        <v>126</v>
      </c>
      <c r="G2036" s="93" t="s">
        <v>7183</v>
      </c>
      <c r="H2036" s="93" t="s">
        <v>400</v>
      </c>
      <c r="I2036" s="93" t="s">
        <v>111</v>
      </c>
      <c r="J2036" s="93" t="s">
        <v>7105</v>
      </c>
      <c r="K2036" s="93" t="s">
        <v>111</v>
      </c>
      <c r="L2036" s="93" t="s">
        <v>111</v>
      </c>
      <c r="M2036" s="93" t="s">
        <v>111</v>
      </c>
      <c r="N2036" s="93" t="s">
        <v>111</v>
      </c>
      <c r="O2036" s="93" t="s">
        <v>111</v>
      </c>
      <c r="P2036" s="93" t="s">
        <v>111</v>
      </c>
      <c r="Q2036" s="93" t="s">
        <v>111</v>
      </c>
      <c r="R2036" s="93" t="s">
        <v>111</v>
      </c>
      <c r="S2036" s="93" t="s">
        <v>2</v>
      </c>
      <c r="T2036" s="93" t="s">
        <v>111</v>
      </c>
      <c r="U2036" s="93" t="s">
        <v>116</v>
      </c>
      <c r="V2036" s="94">
        <v>44610.175000000003</v>
      </c>
      <c r="W2036" s="93" t="s">
        <v>7072</v>
      </c>
      <c r="X2036" s="93" t="s">
        <v>24</v>
      </c>
    </row>
    <row r="2037" spans="1:24" hidden="1" x14ac:dyDescent="0.15">
      <c r="A2037" s="93" t="s">
        <v>303</v>
      </c>
      <c r="B2037" s="93" t="s">
        <v>908</v>
      </c>
      <c r="C2037" s="410">
        <v>5202</v>
      </c>
      <c r="D2037" s="93" t="s">
        <v>24</v>
      </c>
      <c r="E2037" s="93" t="s">
        <v>24</v>
      </c>
      <c r="F2037" s="93" t="s">
        <v>126</v>
      </c>
      <c r="G2037" s="93" t="s">
        <v>7183</v>
      </c>
      <c r="H2037" s="93" t="s">
        <v>400</v>
      </c>
      <c r="I2037" s="93" t="s">
        <v>111</v>
      </c>
      <c r="J2037" s="93" t="s">
        <v>7105</v>
      </c>
      <c r="K2037" s="93" t="s">
        <v>111</v>
      </c>
      <c r="L2037" s="93" t="s">
        <v>111</v>
      </c>
      <c r="M2037" s="93" t="s">
        <v>111</v>
      </c>
      <c r="N2037" s="93" t="s">
        <v>111</v>
      </c>
      <c r="O2037" s="93" t="s">
        <v>111</v>
      </c>
      <c r="P2037" s="93" t="s">
        <v>111</v>
      </c>
      <c r="Q2037" s="93" t="s">
        <v>111</v>
      </c>
      <c r="R2037" s="93" t="s">
        <v>111</v>
      </c>
      <c r="S2037" s="93" t="s">
        <v>2</v>
      </c>
      <c r="T2037" s="93" t="s">
        <v>111</v>
      </c>
      <c r="U2037" s="93" t="s">
        <v>116</v>
      </c>
      <c r="V2037" s="94">
        <v>44610.184027777781</v>
      </c>
      <c r="W2037" s="93" t="s">
        <v>7072</v>
      </c>
      <c r="X2037" s="93" t="s">
        <v>24</v>
      </c>
    </row>
    <row r="2038" spans="1:24" hidden="1" x14ac:dyDescent="0.15">
      <c r="A2038" s="93" t="s">
        <v>304</v>
      </c>
      <c r="B2038" s="93" t="s">
        <v>909</v>
      </c>
      <c r="C2038" s="410">
        <v>1133</v>
      </c>
      <c r="D2038" s="93" t="s">
        <v>24</v>
      </c>
      <c r="E2038" s="93" t="s">
        <v>24</v>
      </c>
      <c r="F2038" s="93" t="s">
        <v>126</v>
      </c>
      <c r="G2038" s="93" t="s">
        <v>7183</v>
      </c>
      <c r="H2038" s="93" t="s">
        <v>400</v>
      </c>
      <c r="I2038" s="93" t="s">
        <v>111</v>
      </c>
      <c r="J2038" s="93" t="s">
        <v>7105</v>
      </c>
      <c r="K2038" s="93" t="s">
        <v>111</v>
      </c>
      <c r="L2038" s="93" t="s">
        <v>111</v>
      </c>
      <c r="M2038" s="93" t="s">
        <v>111</v>
      </c>
      <c r="N2038" s="93" t="s">
        <v>111</v>
      </c>
      <c r="O2038" s="93" t="s">
        <v>111</v>
      </c>
      <c r="P2038" s="93" t="s">
        <v>111</v>
      </c>
      <c r="Q2038" s="93" t="s">
        <v>111</v>
      </c>
      <c r="R2038" s="93" t="s">
        <v>111</v>
      </c>
      <c r="S2038" s="93" t="s">
        <v>2</v>
      </c>
      <c r="T2038" s="93" t="s">
        <v>111</v>
      </c>
      <c r="U2038" s="93" t="s">
        <v>116</v>
      </c>
      <c r="V2038" s="94">
        <v>44610.183333333334</v>
      </c>
      <c r="W2038" s="93" t="s">
        <v>7072</v>
      </c>
      <c r="X2038" s="93" t="s">
        <v>24</v>
      </c>
    </row>
    <row r="2039" spans="1:24" hidden="1" x14ac:dyDescent="0.15">
      <c r="A2039" s="93" t="s">
        <v>305</v>
      </c>
      <c r="B2039" s="93" t="s">
        <v>910</v>
      </c>
      <c r="C2039" s="410">
        <v>5669</v>
      </c>
      <c r="D2039" s="93" t="s">
        <v>24</v>
      </c>
      <c r="E2039" s="93" t="s">
        <v>24</v>
      </c>
      <c r="F2039" s="93" t="s">
        <v>126</v>
      </c>
      <c r="G2039" s="93" t="s">
        <v>7183</v>
      </c>
      <c r="H2039" s="93" t="s">
        <v>400</v>
      </c>
      <c r="I2039" s="93" t="s">
        <v>111</v>
      </c>
      <c r="J2039" s="93" t="s">
        <v>7105</v>
      </c>
      <c r="K2039" s="93" t="s">
        <v>111</v>
      </c>
      <c r="L2039" s="93" t="s">
        <v>111</v>
      </c>
      <c r="M2039" s="93" t="s">
        <v>111</v>
      </c>
      <c r="N2039" s="93" t="s">
        <v>111</v>
      </c>
      <c r="O2039" s="93" t="s">
        <v>111</v>
      </c>
      <c r="P2039" s="93" t="s">
        <v>111</v>
      </c>
      <c r="Q2039" s="93" t="s">
        <v>111</v>
      </c>
      <c r="R2039" s="93" t="s">
        <v>111</v>
      </c>
      <c r="S2039" s="93" t="s">
        <v>2</v>
      </c>
      <c r="T2039" s="93" t="s">
        <v>111</v>
      </c>
      <c r="U2039" s="93" t="s">
        <v>116</v>
      </c>
      <c r="V2039" s="94">
        <v>44610.136805555558</v>
      </c>
      <c r="W2039" s="93" t="s">
        <v>7072</v>
      </c>
      <c r="X2039" s="93" t="s">
        <v>24</v>
      </c>
    </row>
    <row r="2040" spans="1:24" hidden="1" x14ac:dyDescent="0.15">
      <c r="A2040" s="93" t="s">
        <v>306</v>
      </c>
      <c r="B2040" s="93" t="s">
        <v>911</v>
      </c>
      <c r="C2040" s="410">
        <v>0.34</v>
      </c>
      <c r="D2040" s="93" t="s">
        <v>24</v>
      </c>
      <c r="E2040" s="93" t="s">
        <v>24</v>
      </c>
      <c r="F2040" s="93" t="s">
        <v>126</v>
      </c>
      <c r="G2040" s="93" t="s">
        <v>7183</v>
      </c>
      <c r="H2040" s="93" t="s">
        <v>400</v>
      </c>
      <c r="I2040" s="93" t="s">
        <v>111</v>
      </c>
      <c r="J2040" s="93" t="s">
        <v>7105</v>
      </c>
      <c r="K2040" s="93" t="s">
        <v>111</v>
      </c>
      <c r="L2040" s="93" t="s">
        <v>111</v>
      </c>
      <c r="M2040" s="93" t="s">
        <v>111</v>
      </c>
      <c r="N2040" s="93" t="s">
        <v>111</v>
      </c>
      <c r="O2040" s="93" t="s">
        <v>111</v>
      </c>
      <c r="P2040" s="93" t="s">
        <v>111</v>
      </c>
      <c r="Q2040" s="93" t="s">
        <v>111</v>
      </c>
      <c r="R2040" s="93" t="s">
        <v>111</v>
      </c>
      <c r="S2040" s="93" t="s">
        <v>2</v>
      </c>
      <c r="T2040" s="93" t="s">
        <v>111</v>
      </c>
      <c r="U2040" s="93" t="s">
        <v>116</v>
      </c>
      <c r="V2040" s="94">
        <v>44610.152083333334</v>
      </c>
      <c r="W2040" s="93" t="s">
        <v>7072</v>
      </c>
      <c r="X2040" s="93" t="s">
        <v>24</v>
      </c>
    </row>
    <row r="2041" spans="1:24" hidden="1" x14ac:dyDescent="0.15">
      <c r="A2041" s="93" t="s">
        <v>307</v>
      </c>
      <c r="B2041" s="93" t="s">
        <v>826</v>
      </c>
      <c r="C2041" s="410">
        <v>119.65</v>
      </c>
      <c r="D2041" s="93" t="s">
        <v>24</v>
      </c>
      <c r="E2041" s="93" t="s">
        <v>24</v>
      </c>
      <c r="F2041" s="93" t="s">
        <v>126</v>
      </c>
      <c r="G2041" s="93" t="s">
        <v>7185</v>
      </c>
      <c r="H2041" s="93" t="s">
        <v>400</v>
      </c>
      <c r="I2041" s="93" t="s">
        <v>111</v>
      </c>
      <c r="J2041" s="93" t="s">
        <v>7105</v>
      </c>
      <c r="K2041" s="93" t="s">
        <v>111</v>
      </c>
      <c r="L2041" s="93" t="s">
        <v>111</v>
      </c>
      <c r="M2041" s="93" t="s">
        <v>111</v>
      </c>
      <c r="N2041" s="93" t="s">
        <v>111</v>
      </c>
      <c r="O2041" s="93" t="s">
        <v>111</v>
      </c>
      <c r="P2041" s="93" t="s">
        <v>111</v>
      </c>
      <c r="Q2041" s="93" t="s">
        <v>111</v>
      </c>
      <c r="R2041" s="93" t="s">
        <v>111</v>
      </c>
      <c r="S2041" s="93" t="s">
        <v>2</v>
      </c>
      <c r="T2041" s="93" t="s">
        <v>111</v>
      </c>
      <c r="U2041" s="93" t="s">
        <v>116</v>
      </c>
      <c r="V2041" s="94">
        <v>44610.144444444442</v>
      </c>
      <c r="W2041" s="93" t="s">
        <v>7072</v>
      </c>
      <c r="X2041" s="93" t="s">
        <v>24</v>
      </c>
    </row>
    <row r="2042" spans="1:24" hidden="1" x14ac:dyDescent="0.15">
      <c r="A2042" s="93" t="s">
        <v>308</v>
      </c>
      <c r="B2042" s="93" t="s">
        <v>912</v>
      </c>
      <c r="C2042" s="410">
        <v>3.32</v>
      </c>
      <c r="D2042" s="93" t="s">
        <v>24</v>
      </c>
      <c r="E2042" s="93" t="s">
        <v>24</v>
      </c>
      <c r="F2042" s="93" t="s">
        <v>126</v>
      </c>
      <c r="G2042" s="93" t="s">
        <v>7183</v>
      </c>
      <c r="H2042" s="93" t="s">
        <v>400</v>
      </c>
      <c r="I2042" s="93" t="s">
        <v>111</v>
      </c>
      <c r="J2042" s="93" t="s">
        <v>7105</v>
      </c>
      <c r="K2042" s="93" t="s">
        <v>111</v>
      </c>
      <c r="L2042" s="93" t="s">
        <v>111</v>
      </c>
      <c r="M2042" s="93" t="s">
        <v>111</v>
      </c>
      <c r="N2042" s="93" t="s">
        <v>111</v>
      </c>
      <c r="O2042" s="93" t="s">
        <v>111</v>
      </c>
      <c r="P2042" s="93" t="s">
        <v>111</v>
      </c>
      <c r="Q2042" s="93" t="s">
        <v>111</v>
      </c>
      <c r="R2042" s="93" t="s">
        <v>111</v>
      </c>
      <c r="S2042" s="93" t="s">
        <v>2</v>
      </c>
      <c r="T2042" s="93" t="s">
        <v>111</v>
      </c>
      <c r="U2042" s="93" t="s">
        <v>116</v>
      </c>
      <c r="V2042" s="94">
        <v>44610.177777777775</v>
      </c>
      <c r="W2042" s="93" t="s">
        <v>7072</v>
      </c>
      <c r="X2042" s="93" t="s">
        <v>24</v>
      </c>
    </row>
    <row r="2043" spans="1:24" hidden="1" x14ac:dyDescent="0.15">
      <c r="A2043" s="93" t="s">
        <v>309</v>
      </c>
      <c r="B2043" s="93" t="s">
        <v>828</v>
      </c>
      <c r="C2043" s="410">
        <v>154.84</v>
      </c>
      <c r="D2043" s="93" t="s">
        <v>24</v>
      </c>
      <c r="E2043" s="93" t="s">
        <v>24</v>
      </c>
      <c r="F2043" s="93" t="s">
        <v>126</v>
      </c>
      <c r="G2043" s="93" t="s">
        <v>7185</v>
      </c>
      <c r="H2043" s="93" t="s">
        <v>400</v>
      </c>
      <c r="I2043" s="93" t="s">
        <v>111</v>
      </c>
      <c r="J2043" s="93" t="s">
        <v>7105</v>
      </c>
      <c r="K2043" s="93" t="s">
        <v>111</v>
      </c>
      <c r="L2043" s="93" t="s">
        <v>111</v>
      </c>
      <c r="M2043" s="93" t="s">
        <v>111</v>
      </c>
      <c r="N2043" s="93" t="s">
        <v>111</v>
      </c>
      <c r="O2043" s="93" t="s">
        <v>111</v>
      </c>
      <c r="P2043" s="93" t="s">
        <v>111</v>
      </c>
      <c r="Q2043" s="93" t="s">
        <v>111</v>
      </c>
      <c r="R2043" s="93" t="s">
        <v>111</v>
      </c>
      <c r="S2043" s="93" t="s">
        <v>2</v>
      </c>
      <c r="T2043" s="93" t="s">
        <v>111</v>
      </c>
      <c r="U2043" s="93" t="s">
        <v>116</v>
      </c>
      <c r="V2043" s="94">
        <v>44610.152083333334</v>
      </c>
      <c r="W2043" s="93" t="s">
        <v>7072</v>
      </c>
      <c r="X2043" s="93" t="s">
        <v>24</v>
      </c>
    </row>
    <row r="2044" spans="1:24" hidden="1" x14ac:dyDescent="0.15">
      <c r="A2044" s="93" t="s">
        <v>310</v>
      </c>
      <c r="B2044" s="93" t="s">
        <v>913</v>
      </c>
      <c r="C2044" s="410">
        <v>4.3</v>
      </c>
      <c r="D2044" s="93" t="s">
        <v>24</v>
      </c>
      <c r="E2044" s="93" t="s">
        <v>24</v>
      </c>
      <c r="F2044" s="93" t="s">
        <v>126</v>
      </c>
      <c r="G2044" s="93" t="s">
        <v>7183</v>
      </c>
      <c r="H2044" s="93" t="s">
        <v>400</v>
      </c>
      <c r="I2044" s="93" t="s">
        <v>111</v>
      </c>
      <c r="J2044" s="93" t="s">
        <v>7105</v>
      </c>
      <c r="K2044" s="93" t="s">
        <v>111</v>
      </c>
      <c r="L2044" s="93" t="s">
        <v>111</v>
      </c>
      <c r="M2044" s="93" t="s">
        <v>111</v>
      </c>
      <c r="N2044" s="93" t="s">
        <v>111</v>
      </c>
      <c r="O2044" s="93" t="s">
        <v>111</v>
      </c>
      <c r="P2044" s="93" t="s">
        <v>111</v>
      </c>
      <c r="Q2044" s="93" t="s">
        <v>111</v>
      </c>
      <c r="R2044" s="93" t="s">
        <v>111</v>
      </c>
      <c r="S2044" s="93" t="s">
        <v>2</v>
      </c>
      <c r="T2044" s="93" t="s">
        <v>111</v>
      </c>
      <c r="U2044" s="93" t="s">
        <v>116</v>
      </c>
      <c r="V2044" s="94">
        <v>44610.138888888891</v>
      </c>
      <c r="W2044" s="93" t="s">
        <v>7072</v>
      </c>
      <c r="X2044" s="93" t="s">
        <v>24</v>
      </c>
    </row>
    <row r="2045" spans="1:24" hidden="1" x14ac:dyDescent="0.15">
      <c r="A2045" s="93" t="s">
        <v>311</v>
      </c>
      <c r="B2045" s="93" t="s">
        <v>830</v>
      </c>
      <c r="C2045" s="410">
        <v>114.37</v>
      </c>
      <c r="D2045" s="93" t="s">
        <v>24</v>
      </c>
      <c r="E2045" s="93" t="s">
        <v>24</v>
      </c>
      <c r="F2045" s="93" t="s">
        <v>126</v>
      </c>
      <c r="G2045" s="93" t="s">
        <v>7185</v>
      </c>
      <c r="H2045" s="93" t="s">
        <v>400</v>
      </c>
      <c r="I2045" s="93" t="s">
        <v>111</v>
      </c>
      <c r="J2045" s="93" t="s">
        <v>7105</v>
      </c>
      <c r="K2045" s="93" t="s">
        <v>111</v>
      </c>
      <c r="L2045" s="93" t="s">
        <v>111</v>
      </c>
      <c r="M2045" s="93" t="s">
        <v>111</v>
      </c>
      <c r="N2045" s="93" t="s">
        <v>111</v>
      </c>
      <c r="O2045" s="93" t="s">
        <v>111</v>
      </c>
      <c r="P2045" s="93" t="s">
        <v>111</v>
      </c>
      <c r="Q2045" s="93" t="s">
        <v>111</v>
      </c>
      <c r="R2045" s="93" t="s">
        <v>111</v>
      </c>
      <c r="S2045" s="93" t="s">
        <v>2</v>
      </c>
      <c r="T2045" s="93" t="s">
        <v>111</v>
      </c>
      <c r="U2045" s="93" t="s">
        <v>116</v>
      </c>
      <c r="V2045" s="94">
        <v>44610.138194444444</v>
      </c>
      <c r="W2045" s="93" t="s">
        <v>7072</v>
      </c>
      <c r="X2045" s="93" t="s">
        <v>24</v>
      </c>
    </row>
    <row r="2046" spans="1:24" hidden="1" x14ac:dyDescent="0.15">
      <c r="A2046" s="93" t="s">
        <v>312</v>
      </c>
      <c r="B2046" s="93" t="s">
        <v>914</v>
      </c>
      <c r="C2046" s="410">
        <v>3.18</v>
      </c>
      <c r="D2046" s="93" t="s">
        <v>24</v>
      </c>
      <c r="E2046" s="93" t="s">
        <v>24</v>
      </c>
      <c r="F2046" s="93" t="s">
        <v>126</v>
      </c>
      <c r="G2046" s="93" t="s">
        <v>7183</v>
      </c>
      <c r="H2046" s="93" t="s">
        <v>400</v>
      </c>
      <c r="I2046" s="93" t="s">
        <v>111</v>
      </c>
      <c r="J2046" s="93" t="s">
        <v>7105</v>
      </c>
      <c r="K2046" s="93" t="s">
        <v>111</v>
      </c>
      <c r="L2046" s="93" t="s">
        <v>111</v>
      </c>
      <c r="M2046" s="93" t="s">
        <v>111</v>
      </c>
      <c r="N2046" s="93" t="s">
        <v>111</v>
      </c>
      <c r="O2046" s="93" t="s">
        <v>111</v>
      </c>
      <c r="P2046" s="93" t="s">
        <v>111</v>
      </c>
      <c r="Q2046" s="93" t="s">
        <v>111</v>
      </c>
      <c r="R2046" s="93" t="s">
        <v>111</v>
      </c>
      <c r="S2046" s="93" t="s">
        <v>2</v>
      </c>
      <c r="T2046" s="93" t="s">
        <v>111</v>
      </c>
      <c r="U2046" s="93" t="s">
        <v>116</v>
      </c>
      <c r="V2046" s="94">
        <v>44610.152777777781</v>
      </c>
      <c r="W2046" s="93" t="s">
        <v>7072</v>
      </c>
      <c r="X2046" s="93" t="s">
        <v>24</v>
      </c>
    </row>
    <row r="2047" spans="1:24" hidden="1" x14ac:dyDescent="0.15">
      <c r="A2047" s="93" t="s">
        <v>313</v>
      </c>
      <c r="B2047" s="93" t="s">
        <v>832</v>
      </c>
      <c r="C2047" s="410">
        <v>195.3</v>
      </c>
      <c r="D2047" s="93" t="s">
        <v>24</v>
      </c>
      <c r="E2047" s="93" t="s">
        <v>24</v>
      </c>
      <c r="F2047" s="93" t="s">
        <v>126</v>
      </c>
      <c r="G2047" s="93" t="s">
        <v>7185</v>
      </c>
      <c r="H2047" s="93" t="s">
        <v>400</v>
      </c>
      <c r="I2047" s="93" t="s">
        <v>111</v>
      </c>
      <c r="J2047" s="93" t="s">
        <v>7105</v>
      </c>
      <c r="K2047" s="93" t="s">
        <v>111</v>
      </c>
      <c r="L2047" s="93" t="s">
        <v>111</v>
      </c>
      <c r="M2047" s="93" t="s">
        <v>111</v>
      </c>
      <c r="N2047" s="93" t="s">
        <v>111</v>
      </c>
      <c r="O2047" s="93" t="s">
        <v>111</v>
      </c>
      <c r="P2047" s="93" t="s">
        <v>111</v>
      </c>
      <c r="Q2047" s="93" t="s">
        <v>111</v>
      </c>
      <c r="R2047" s="93" t="s">
        <v>111</v>
      </c>
      <c r="S2047" s="93" t="s">
        <v>2</v>
      </c>
      <c r="T2047" s="93" t="s">
        <v>111</v>
      </c>
      <c r="U2047" s="93" t="s">
        <v>116</v>
      </c>
      <c r="V2047" s="94">
        <v>44610.144444444442</v>
      </c>
      <c r="W2047" s="93" t="s">
        <v>7072</v>
      </c>
      <c r="X2047" s="93" t="s">
        <v>24</v>
      </c>
    </row>
    <row r="2048" spans="1:24" hidden="1" x14ac:dyDescent="0.15">
      <c r="A2048" s="93" t="s">
        <v>314</v>
      </c>
      <c r="B2048" s="93" t="s">
        <v>915</v>
      </c>
      <c r="C2048" s="410">
        <v>5.43</v>
      </c>
      <c r="D2048" s="93" t="s">
        <v>24</v>
      </c>
      <c r="E2048" s="93" t="s">
        <v>24</v>
      </c>
      <c r="F2048" s="93" t="s">
        <v>126</v>
      </c>
      <c r="G2048" s="93" t="s">
        <v>7183</v>
      </c>
      <c r="H2048" s="93" t="s">
        <v>400</v>
      </c>
      <c r="I2048" s="93" t="s">
        <v>111</v>
      </c>
      <c r="J2048" s="93" t="s">
        <v>7105</v>
      </c>
      <c r="K2048" s="93" t="s">
        <v>111</v>
      </c>
      <c r="L2048" s="93" t="s">
        <v>111</v>
      </c>
      <c r="M2048" s="93" t="s">
        <v>111</v>
      </c>
      <c r="N2048" s="93" t="s">
        <v>111</v>
      </c>
      <c r="O2048" s="93" t="s">
        <v>111</v>
      </c>
      <c r="P2048" s="93" t="s">
        <v>111</v>
      </c>
      <c r="Q2048" s="93" t="s">
        <v>111</v>
      </c>
      <c r="R2048" s="93" t="s">
        <v>111</v>
      </c>
      <c r="S2048" s="93" t="s">
        <v>2</v>
      </c>
      <c r="T2048" s="93" t="s">
        <v>111</v>
      </c>
      <c r="U2048" s="93" t="s">
        <v>116</v>
      </c>
      <c r="V2048" s="94">
        <v>44610.138888888891</v>
      </c>
      <c r="W2048" s="93" t="s">
        <v>7072</v>
      </c>
      <c r="X2048" s="93" t="s">
        <v>24</v>
      </c>
    </row>
    <row r="2049" spans="1:24" hidden="1" x14ac:dyDescent="0.15">
      <c r="A2049" s="93" t="s">
        <v>315</v>
      </c>
      <c r="B2049" s="93" t="s">
        <v>834</v>
      </c>
      <c r="C2049" s="410">
        <v>200.58</v>
      </c>
      <c r="D2049" s="93" t="s">
        <v>24</v>
      </c>
      <c r="E2049" s="93" t="s">
        <v>24</v>
      </c>
      <c r="F2049" s="93" t="s">
        <v>126</v>
      </c>
      <c r="G2049" s="93" t="s">
        <v>7185</v>
      </c>
      <c r="H2049" s="93" t="s">
        <v>400</v>
      </c>
      <c r="I2049" s="93" t="s">
        <v>111</v>
      </c>
      <c r="J2049" s="93" t="s">
        <v>7105</v>
      </c>
      <c r="K2049" s="93" t="s">
        <v>111</v>
      </c>
      <c r="L2049" s="93" t="s">
        <v>111</v>
      </c>
      <c r="M2049" s="93" t="s">
        <v>111</v>
      </c>
      <c r="N2049" s="93" t="s">
        <v>111</v>
      </c>
      <c r="O2049" s="93" t="s">
        <v>111</v>
      </c>
      <c r="P2049" s="93" t="s">
        <v>111</v>
      </c>
      <c r="Q2049" s="93" t="s">
        <v>111</v>
      </c>
      <c r="R2049" s="93" t="s">
        <v>111</v>
      </c>
      <c r="S2049" s="93" t="s">
        <v>2</v>
      </c>
      <c r="T2049" s="93" t="s">
        <v>111</v>
      </c>
      <c r="U2049" s="93" t="s">
        <v>116</v>
      </c>
      <c r="V2049" s="94">
        <v>44610.186805555553</v>
      </c>
      <c r="W2049" s="93" t="s">
        <v>7072</v>
      </c>
      <c r="X2049" s="93" t="s">
        <v>24</v>
      </c>
    </row>
    <row r="2050" spans="1:24" hidden="1" x14ac:dyDescent="0.15">
      <c r="A2050" s="93" t="s">
        <v>316</v>
      </c>
      <c r="B2050" s="93" t="s">
        <v>916</v>
      </c>
      <c r="C2050" s="410">
        <v>5.57</v>
      </c>
      <c r="D2050" s="93" t="s">
        <v>24</v>
      </c>
      <c r="E2050" s="93" t="s">
        <v>24</v>
      </c>
      <c r="F2050" s="93" t="s">
        <v>126</v>
      </c>
      <c r="G2050" s="93" t="s">
        <v>7183</v>
      </c>
      <c r="H2050" s="93" t="s">
        <v>400</v>
      </c>
      <c r="I2050" s="93" t="s">
        <v>111</v>
      </c>
      <c r="J2050" s="93" t="s">
        <v>7105</v>
      </c>
      <c r="K2050" s="93" t="s">
        <v>111</v>
      </c>
      <c r="L2050" s="93" t="s">
        <v>111</v>
      </c>
      <c r="M2050" s="93" t="s">
        <v>111</v>
      </c>
      <c r="N2050" s="93" t="s">
        <v>111</v>
      </c>
      <c r="O2050" s="93" t="s">
        <v>111</v>
      </c>
      <c r="P2050" s="93" t="s">
        <v>111</v>
      </c>
      <c r="Q2050" s="93" t="s">
        <v>111</v>
      </c>
      <c r="R2050" s="93" t="s">
        <v>111</v>
      </c>
      <c r="S2050" s="93" t="s">
        <v>2</v>
      </c>
      <c r="T2050" s="93" t="s">
        <v>111</v>
      </c>
      <c r="U2050" s="93" t="s">
        <v>116</v>
      </c>
      <c r="V2050" s="94">
        <v>44610.152777777781</v>
      </c>
      <c r="W2050" s="93" t="s">
        <v>7072</v>
      </c>
      <c r="X2050" s="93" t="s">
        <v>24</v>
      </c>
    </row>
    <row r="2051" spans="1:24" hidden="1" x14ac:dyDescent="0.15">
      <c r="A2051" s="93" t="s">
        <v>317</v>
      </c>
      <c r="B2051" s="93" t="s">
        <v>378</v>
      </c>
      <c r="C2051" s="410">
        <v>31</v>
      </c>
      <c r="D2051" s="93" t="s">
        <v>24</v>
      </c>
      <c r="E2051" s="93" t="s">
        <v>24</v>
      </c>
      <c r="F2051" s="93" t="s">
        <v>126</v>
      </c>
      <c r="G2051" s="93" t="s">
        <v>7185</v>
      </c>
      <c r="H2051" s="93" t="s">
        <v>400</v>
      </c>
      <c r="I2051" s="93" t="s">
        <v>111</v>
      </c>
      <c r="J2051" s="93" t="s">
        <v>7105</v>
      </c>
      <c r="K2051" s="93" t="s">
        <v>111</v>
      </c>
      <c r="L2051" s="93" t="s">
        <v>111</v>
      </c>
      <c r="M2051" s="93" t="s">
        <v>111</v>
      </c>
      <c r="N2051" s="93" t="s">
        <v>111</v>
      </c>
      <c r="O2051" s="93" t="s">
        <v>111</v>
      </c>
      <c r="P2051" s="93" t="s">
        <v>111</v>
      </c>
      <c r="Q2051" s="93" t="s">
        <v>111</v>
      </c>
      <c r="R2051" s="93" t="s">
        <v>111</v>
      </c>
      <c r="S2051" s="93" t="s">
        <v>2</v>
      </c>
      <c r="T2051" s="93" t="s">
        <v>111</v>
      </c>
      <c r="U2051" s="93" t="s">
        <v>116</v>
      </c>
      <c r="V2051" s="94">
        <v>44610.1875</v>
      </c>
      <c r="W2051" s="93" t="s">
        <v>7072</v>
      </c>
      <c r="X2051" s="93" t="s">
        <v>24</v>
      </c>
    </row>
    <row r="2052" spans="1:24" hidden="1" x14ac:dyDescent="0.15">
      <c r="A2052" s="93" t="s">
        <v>318</v>
      </c>
      <c r="B2052" s="93" t="s">
        <v>836</v>
      </c>
      <c r="C2052" s="410">
        <v>225.22</v>
      </c>
      <c r="D2052" s="93" t="s">
        <v>24</v>
      </c>
      <c r="E2052" s="93" t="s">
        <v>24</v>
      </c>
      <c r="F2052" s="93" t="s">
        <v>126</v>
      </c>
      <c r="G2052" s="93" t="s">
        <v>7185</v>
      </c>
      <c r="H2052" s="93" t="s">
        <v>400</v>
      </c>
      <c r="I2052" s="93" t="s">
        <v>111</v>
      </c>
      <c r="J2052" s="93" t="s">
        <v>7105</v>
      </c>
      <c r="K2052" s="93" t="s">
        <v>111</v>
      </c>
      <c r="L2052" s="93" t="s">
        <v>111</v>
      </c>
      <c r="M2052" s="93" t="s">
        <v>111</v>
      </c>
      <c r="N2052" s="93" t="s">
        <v>111</v>
      </c>
      <c r="O2052" s="93" t="s">
        <v>111</v>
      </c>
      <c r="P2052" s="93" t="s">
        <v>111</v>
      </c>
      <c r="Q2052" s="93" t="s">
        <v>111</v>
      </c>
      <c r="R2052" s="93" t="s">
        <v>111</v>
      </c>
      <c r="S2052" s="93" t="s">
        <v>2</v>
      </c>
      <c r="T2052" s="93" t="s">
        <v>111</v>
      </c>
      <c r="U2052" s="93" t="s">
        <v>116</v>
      </c>
      <c r="V2052" s="94">
        <v>44610.192361111112</v>
      </c>
      <c r="W2052" s="93" t="s">
        <v>7072</v>
      </c>
      <c r="X2052" s="93" t="s">
        <v>24</v>
      </c>
    </row>
    <row r="2053" spans="1:24" hidden="1" x14ac:dyDescent="0.15">
      <c r="A2053" s="93" t="s">
        <v>319</v>
      </c>
      <c r="B2053" s="93" t="s">
        <v>917</v>
      </c>
      <c r="C2053" s="410">
        <v>6.26</v>
      </c>
      <c r="D2053" s="93" t="s">
        <v>24</v>
      </c>
      <c r="E2053" s="93" t="s">
        <v>24</v>
      </c>
      <c r="F2053" s="93" t="s">
        <v>126</v>
      </c>
      <c r="G2053" s="93" t="s">
        <v>7183</v>
      </c>
      <c r="H2053" s="93" t="s">
        <v>400</v>
      </c>
      <c r="I2053" s="93" t="s">
        <v>111</v>
      </c>
      <c r="J2053" s="93" t="s">
        <v>7105</v>
      </c>
      <c r="K2053" s="93" t="s">
        <v>111</v>
      </c>
      <c r="L2053" s="93" t="s">
        <v>111</v>
      </c>
      <c r="M2053" s="93" t="s">
        <v>111</v>
      </c>
      <c r="N2053" s="93" t="s">
        <v>111</v>
      </c>
      <c r="O2053" s="93" t="s">
        <v>111</v>
      </c>
      <c r="P2053" s="93" t="s">
        <v>111</v>
      </c>
      <c r="Q2053" s="93" t="s">
        <v>111</v>
      </c>
      <c r="R2053" s="93" t="s">
        <v>111</v>
      </c>
      <c r="S2053" s="93" t="s">
        <v>2</v>
      </c>
      <c r="T2053" s="93" t="s">
        <v>111</v>
      </c>
      <c r="U2053" s="93" t="s">
        <v>116</v>
      </c>
      <c r="V2053" s="94">
        <v>44610.17083333333</v>
      </c>
      <c r="W2053" s="93" t="s">
        <v>7072</v>
      </c>
      <c r="X2053" s="93" t="s">
        <v>24</v>
      </c>
    </row>
    <row r="2054" spans="1:24" hidden="1" x14ac:dyDescent="0.15">
      <c r="A2054" s="93" t="s">
        <v>320</v>
      </c>
      <c r="B2054" s="93" t="s">
        <v>838</v>
      </c>
      <c r="C2054" s="410">
        <v>380.05</v>
      </c>
      <c r="D2054" s="93" t="s">
        <v>24</v>
      </c>
      <c r="E2054" s="93" t="s">
        <v>24</v>
      </c>
      <c r="F2054" s="93" t="s">
        <v>126</v>
      </c>
      <c r="G2054" s="93" t="s">
        <v>7185</v>
      </c>
      <c r="H2054" s="93" t="s">
        <v>400</v>
      </c>
      <c r="I2054" s="93" t="s">
        <v>111</v>
      </c>
      <c r="J2054" s="93" t="s">
        <v>7105</v>
      </c>
      <c r="K2054" s="93" t="s">
        <v>111</v>
      </c>
      <c r="L2054" s="93" t="s">
        <v>111</v>
      </c>
      <c r="M2054" s="93" t="s">
        <v>111</v>
      </c>
      <c r="N2054" s="93" t="s">
        <v>111</v>
      </c>
      <c r="O2054" s="93" t="s">
        <v>111</v>
      </c>
      <c r="P2054" s="93" t="s">
        <v>111</v>
      </c>
      <c r="Q2054" s="93" t="s">
        <v>111</v>
      </c>
      <c r="R2054" s="93" t="s">
        <v>111</v>
      </c>
      <c r="S2054" s="93" t="s">
        <v>2</v>
      </c>
      <c r="T2054" s="93" t="s">
        <v>111</v>
      </c>
      <c r="U2054" s="93" t="s">
        <v>116</v>
      </c>
      <c r="V2054" s="94">
        <v>44610.186805555553</v>
      </c>
      <c r="W2054" s="93" t="s">
        <v>7072</v>
      </c>
      <c r="X2054" s="93" t="s">
        <v>24</v>
      </c>
    </row>
    <row r="2055" spans="1:24" hidden="1" x14ac:dyDescent="0.15">
      <c r="A2055" s="93" t="s">
        <v>321</v>
      </c>
      <c r="B2055" s="93" t="s">
        <v>918</v>
      </c>
      <c r="C2055" s="410">
        <v>10.56</v>
      </c>
      <c r="D2055" s="93" t="s">
        <v>24</v>
      </c>
      <c r="E2055" s="93" t="s">
        <v>24</v>
      </c>
      <c r="F2055" s="93" t="s">
        <v>126</v>
      </c>
      <c r="G2055" s="93" t="s">
        <v>7183</v>
      </c>
      <c r="H2055" s="93" t="s">
        <v>400</v>
      </c>
      <c r="I2055" s="93" t="s">
        <v>111</v>
      </c>
      <c r="J2055" s="93" t="s">
        <v>7105</v>
      </c>
      <c r="K2055" s="93" t="s">
        <v>111</v>
      </c>
      <c r="L2055" s="93" t="s">
        <v>111</v>
      </c>
      <c r="M2055" s="93" t="s">
        <v>111</v>
      </c>
      <c r="N2055" s="93" t="s">
        <v>111</v>
      </c>
      <c r="O2055" s="93" t="s">
        <v>111</v>
      </c>
      <c r="P2055" s="93" t="s">
        <v>111</v>
      </c>
      <c r="Q2055" s="93" t="s">
        <v>111</v>
      </c>
      <c r="R2055" s="93" t="s">
        <v>111</v>
      </c>
      <c r="S2055" s="93" t="s">
        <v>2</v>
      </c>
      <c r="T2055" s="93" t="s">
        <v>111</v>
      </c>
      <c r="U2055" s="93" t="s">
        <v>116</v>
      </c>
      <c r="V2055" s="94">
        <v>44610.193055555559</v>
      </c>
      <c r="W2055" s="93" t="s">
        <v>7072</v>
      </c>
      <c r="X2055" s="93" t="s">
        <v>24</v>
      </c>
    </row>
    <row r="2056" spans="1:24" hidden="1" x14ac:dyDescent="0.15">
      <c r="A2056" s="93" t="s">
        <v>322</v>
      </c>
      <c r="B2056" s="93" t="s">
        <v>840</v>
      </c>
      <c r="C2056" s="410">
        <v>40.47</v>
      </c>
      <c r="D2056" s="93" t="s">
        <v>24</v>
      </c>
      <c r="E2056" s="93" t="s">
        <v>24</v>
      </c>
      <c r="F2056" s="93" t="s">
        <v>126</v>
      </c>
      <c r="G2056" s="93" t="s">
        <v>7185</v>
      </c>
      <c r="H2056" s="93" t="s">
        <v>400</v>
      </c>
      <c r="I2056" s="93" t="s">
        <v>111</v>
      </c>
      <c r="J2056" s="93" t="s">
        <v>7105</v>
      </c>
      <c r="K2056" s="93" t="s">
        <v>111</v>
      </c>
      <c r="L2056" s="93" t="s">
        <v>111</v>
      </c>
      <c r="M2056" s="93" t="s">
        <v>111</v>
      </c>
      <c r="N2056" s="93" t="s">
        <v>111</v>
      </c>
      <c r="O2056" s="93" t="s">
        <v>111</v>
      </c>
      <c r="P2056" s="93" t="s">
        <v>111</v>
      </c>
      <c r="Q2056" s="93" t="s">
        <v>111</v>
      </c>
      <c r="R2056" s="93" t="s">
        <v>111</v>
      </c>
      <c r="S2056" s="93" t="s">
        <v>2</v>
      </c>
      <c r="T2056" s="93" t="s">
        <v>111</v>
      </c>
      <c r="U2056" s="93" t="s">
        <v>116</v>
      </c>
      <c r="V2056" s="94">
        <v>44610.170138888891</v>
      </c>
      <c r="W2056" s="93" t="s">
        <v>7072</v>
      </c>
      <c r="X2056" s="93" t="s">
        <v>24</v>
      </c>
    </row>
    <row r="2057" spans="1:24" hidden="1" x14ac:dyDescent="0.15">
      <c r="A2057" s="93" t="s">
        <v>323</v>
      </c>
      <c r="B2057" s="93" t="s">
        <v>919</v>
      </c>
      <c r="C2057" s="410">
        <v>1.1200000000000001</v>
      </c>
      <c r="D2057" s="93" t="s">
        <v>24</v>
      </c>
      <c r="E2057" s="93" t="s">
        <v>24</v>
      </c>
      <c r="F2057" s="93" t="s">
        <v>126</v>
      </c>
      <c r="G2057" s="93" t="s">
        <v>7183</v>
      </c>
      <c r="H2057" s="93" t="s">
        <v>400</v>
      </c>
      <c r="I2057" s="93" t="s">
        <v>111</v>
      </c>
      <c r="J2057" s="93" t="s">
        <v>7105</v>
      </c>
      <c r="K2057" s="93" t="s">
        <v>111</v>
      </c>
      <c r="L2057" s="93" t="s">
        <v>111</v>
      </c>
      <c r="M2057" s="93" t="s">
        <v>111</v>
      </c>
      <c r="N2057" s="93" t="s">
        <v>111</v>
      </c>
      <c r="O2057" s="93" t="s">
        <v>111</v>
      </c>
      <c r="P2057" s="93" t="s">
        <v>111</v>
      </c>
      <c r="Q2057" s="93" t="s">
        <v>111</v>
      </c>
      <c r="R2057" s="93" t="s">
        <v>111</v>
      </c>
      <c r="S2057" s="93" t="s">
        <v>2</v>
      </c>
      <c r="T2057" s="93" t="s">
        <v>111</v>
      </c>
      <c r="U2057" s="93" t="s">
        <v>116</v>
      </c>
      <c r="V2057" s="94">
        <v>44610.193055555559</v>
      </c>
      <c r="W2057" s="93" t="s">
        <v>7072</v>
      </c>
      <c r="X2057" s="93" t="s">
        <v>24</v>
      </c>
    </row>
    <row r="2058" spans="1:24" hidden="1" x14ac:dyDescent="0.15">
      <c r="A2058" s="93" t="s">
        <v>324</v>
      </c>
      <c r="B2058" s="93" t="s">
        <v>842</v>
      </c>
      <c r="C2058" s="410">
        <v>91.49</v>
      </c>
      <c r="D2058" s="93" t="s">
        <v>24</v>
      </c>
      <c r="E2058" s="93" t="s">
        <v>24</v>
      </c>
      <c r="F2058" s="93" t="s">
        <v>126</v>
      </c>
      <c r="G2058" s="93" t="s">
        <v>7185</v>
      </c>
      <c r="H2058" s="93" t="s">
        <v>400</v>
      </c>
      <c r="I2058" s="93" t="s">
        <v>111</v>
      </c>
      <c r="J2058" s="93" t="s">
        <v>7105</v>
      </c>
      <c r="K2058" s="93" t="s">
        <v>111</v>
      </c>
      <c r="L2058" s="93" t="s">
        <v>111</v>
      </c>
      <c r="M2058" s="93" t="s">
        <v>111</v>
      </c>
      <c r="N2058" s="93" t="s">
        <v>111</v>
      </c>
      <c r="O2058" s="93" t="s">
        <v>111</v>
      </c>
      <c r="P2058" s="93" t="s">
        <v>111</v>
      </c>
      <c r="Q2058" s="93" t="s">
        <v>111</v>
      </c>
      <c r="R2058" s="93" t="s">
        <v>111</v>
      </c>
      <c r="S2058" s="93" t="s">
        <v>2</v>
      </c>
      <c r="T2058" s="93" t="s">
        <v>111</v>
      </c>
      <c r="U2058" s="93" t="s">
        <v>116</v>
      </c>
      <c r="V2058" s="94">
        <v>44610.144444444442</v>
      </c>
      <c r="W2058" s="93" t="s">
        <v>7072</v>
      </c>
      <c r="X2058" s="93" t="s">
        <v>24</v>
      </c>
    </row>
    <row r="2059" spans="1:24" hidden="1" x14ac:dyDescent="0.15">
      <c r="A2059" s="93" t="s">
        <v>325</v>
      </c>
      <c r="B2059" s="93" t="s">
        <v>920</v>
      </c>
      <c r="C2059" s="410">
        <v>2.54</v>
      </c>
      <c r="D2059" s="93" t="s">
        <v>24</v>
      </c>
      <c r="E2059" s="93" t="s">
        <v>24</v>
      </c>
      <c r="F2059" s="93" t="s">
        <v>126</v>
      </c>
      <c r="G2059" s="93" t="s">
        <v>7183</v>
      </c>
      <c r="H2059" s="93" t="s">
        <v>400</v>
      </c>
      <c r="I2059" s="93" t="s">
        <v>111</v>
      </c>
      <c r="J2059" s="93" t="s">
        <v>7105</v>
      </c>
      <c r="K2059" s="93" t="s">
        <v>111</v>
      </c>
      <c r="L2059" s="93" t="s">
        <v>111</v>
      </c>
      <c r="M2059" s="93" t="s">
        <v>111</v>
      </c>
      <c r="N2059" s="93" t="s">
        <v>111</v>
      </c>
      <c r="O2059" s="93" t="s">
        <v>111</v>
      </c>
      <c r="P2059" s="93" t="s">
        <v>111</v>
      </c>
      <c r="Q2059" s="93" t="s">
        <v>111</v>
      </c>
      <c r="R2059" s="93" t="s">
        <v>111</v>
      </c>
      <c r="S2059" s="93" t="s">
        <v>2</v>
      </c>
      <c r="T2059" s="93" t="s">
        <v>111</v>
      </c>
      <c r="U2059" s="93" t="s">
        <v>116</v>
      </c>
      <c r="V2059" s="94">
        <v>44610.1875</v>
      </c>
      <c r="W2059" s="93" t="s">
        <v>7072</v>
      </c>
      <c r="X2059" s="93" t="s">
        <v>24</v>
      </c>
    </row>
    <row r="2060" spans="1:24" hidden="1" x14ac:dyDescent="0.15">
      <c r="A2060" s="93" t="s">
        <v>326</v>
      </c>
      <c r="B2060" s="93" t="s">
        <v>32</v>
      </c>
      <c r="C2060" s="410">
        <v>104</v>
      </c>
      <c r="D2060" s="93" t="s">
        <v>24</v>
      </c>
      <c r="E2060" s="93" t="s">
        <v>24</v>
      </c>
      <c r="F2060" s="93" t="s">
        <v>126</v>
      </c>
      <c r="G2060" s="93" t="s">
        <v>7185</v>
      </c>
      <c r="H2060" s="93" t="s">
        <v>400</v>
      </c>
      <c r="I2060" s="93" t="s">
        <v>111</v>
      </c>
      <c r="J2060" s="93" t="s">
        <v>7105</v>
      </c>
      <c r="K2060" s="93" t="s">
        <v>111</v>
      </c>
      <c r="L2060" s="93" t="s">
        <v>111</v>
      </c>
      <c r="M2060" s="93" t="s">
        <v>111</v>
      </c>
      <c r="N2060" s="93" t="s">
        <v>111</v>
      </c>
      <c r="O2060" s="93" t="s">
        <v>111</v>
      </c>
      <c r="P2060" s="93" t="s">
        <v>111</v>
      </c>
      <c r="Q2060" s="93" t="s">
        <v>111</v>
      </c>
      <c r="R2060" s="93" t="s">
        <v>111</v>
      </c>
      <c r="S2060" s="93" t="s">
        <v>2</v>
      </c>
      <c r="T2060" s="93" t="s">
        <v>111</v>
      </c>
      <c r="U2060" s="93" t="s">
        <v>116</v>
      </c>
      <c r="V2060" s="94">
        <v>44610.210416666669</v>
      </c>
      <c r="W2060" s="93" t="s">
        <v>7072</v>
      </c>
      <c r="X2060" s="93" t="s">
        <v>24</v>
      </c>
    </row>
    <row r="2061" spans="1:24" hidden="1" x14ac:dyDescent="0.15">
      <c r="A2061" s="93" t="s">
        <v>327</v>
      </c>
      <c r="B2061" s="93" t="s">
        <v>921</v>
      </c>
      <c r="C2061" s="410">
        <v>1.86</v>
      </c>
      <c r="D2061" s="93" t="s">
        <v>24</v>
      </c>
      <c r="E2061" s="93" t="s">
        <v>24</v>
      </c>
      <c r="F2061" s="93" t="s">
        <v>126</v>
      </c>
      <c r="G2061" s="93" t="s">
        <v>7183</v>
      </c>
      <c r="H2061" s="93" t="s">
        <v>400</v>
      </c>
      <c r="I2061" s="93" t="s">
        <v>111</v>
      </c>
      <c r="J2061" s="93" t="s">
        <v>7105</v>
      </c>
      <c r="K2061" s="93" t="s">
        <v>111</v>
      </c>
      <c r="L2061" s="93" t="s">
        <v>111</v>
      </c>
      <c r="M2061" s="93" t="s">
        <v>111</v>
      </c>
      <c r="N2061" s="93" t="s">
        <v>111</v>
      </c>
      <c r="O2061" s="93" t="s">
        <v>111</v>
      </c>
      <c r="P2061" s="93" t="s">
        <v>111</v>
      </c>
      <c r="Q2061" s="93" t="s">
        <v>111</v>
      </c>
      <c r="R2061" s="93" t="s">
        <v>111</v>
      </c>
      <c r="S2061" s="93" t="s">
        <v>2</v>
      </c>
      <c r="T2061" s="93" t="s">
        <v>111</v>
      </c>
      <c r="U2061" s="93" t="s">
        <v>116</v>
      </c>
      <c r="V2061" s="94">
        <v>44610.17083333333</v>
      </c>
      <c r="W2061" s="93" t="s">
        <v>7072</v>
      </c>
      <c r="X2061" s="93" t="s">
        <v>24</v>
      </c>
    </row>
    <row r="2062" spans="1:24" hidden="1" x14ac:dyDescent="0.15">
      <c r="A2062" s="93" t="s">
        <v>328</v>
      </c>
      <c r="B2062" s="93" t="s">
        <v>844</v>
      </c>
      <c r="C2062" s="410">
        <v>441.63</v>
      </c>
      <c r="D2062" s="93" t="s">
        <v>24</v>
      </c>
      <c r="E2062" s="93" t="s">
        <v>24</v>
      </c>
      <c r="F2062" s="93" t="s">
        <v>126</v>
      </c>
      <c r="G2062" s="93" t="s">
        <v>7185</v>
      </c>
      <c r="H2062" s="93" t="s">
        <v>400</v>
      </c>
      <c r="I2062" s="93" t="s">
        <v>111</v>
      </c>
      <c r="J2062" s="93" t="s">
        <v>7105</v>
      </c>
      <c r="K2062" s="93" t="s">
        <v>111</v>
      </c>
      <c r="L2062" s="93" t="s">
        <v>111</v>
      </c>
      <c r="M2062" s="93" t="s">
        <v>111</v>
      </c>
      <c r="N2062" s="93" t="s">
        <v>111</v>
      </c>
      <c r="O2062" s="93" t="s">
        <v>111</v>
      </c>
      <c r="P2062" s="93" t="s">
        <v>111</v>
      </c>
      <c r="Q2062" s="93" t="s">
        <v>111</v>
      </c>
      <c r="R2062" s="93" t="s">
        <v>111</v>
      </c>
      <c r="S2062" s="93" t="s">
        <v>2</v>
      </c>
      <c r="T2062" s="93" t="s">
        <v>111</v>
      </c>
      <c r="U2062" s="93" t="s">
        <v>116</v>
      </c>
      <c r="V2062" s="94">
        <v>44610.177777777775</v>
      </c>
      <c r="W2062" s="93" t="s">
        <v>7072</v>
      </c>
      <c r="X2062" s="93" t="s">
        <v>24</v>
      </c>
    </row>
    <row r="2063" spans="1:24" hidden="1" x14ac:dyDescent="0.15">
      <c r="A2063" s="93" t="s">
        <v>329</v>
      </c>
      <c r="B2063" s="93" t="s">
        <v>922</v>
      </c>
      <c r="C2063" s="410">
        <v>12.27</v>
      </c>
      <c r="D2063" s="93" t="s">
        <v>24</v>
      </c>
      <c r="E2063" s="93" t="s">
        <v>24</v>
      </c>
      <c r="F2063" s="93" t="s">
        <v>126</v>
      </c>
      <c r="G2063" s="93" t="s">
        <v>7183</v>
      </c>
      <c r="H2063" s="93" t="s">
        <v>400</v>
      </c>
      <c r="I2063" s="93" t="s">
        <v>111</v>
      </c>
      <c r="J2063" s="93" t="s">
        <v>7105</v>
      </c>
      <c r="K2063" s="93" t="s">
        <v>111</v>
      </c>
      <c r="L2063" s="93" t="s">
        <v>111</v>
      </c>
      <c r="M2063" s="93" t="s">
        <v>111</v>
      </c>
      <c r="N2063" s="93" t="s">
        <v>111</v>
      </c>
      <c r="O2063" s="93" t="s">
        <v>111</v>
      </c>
      <c r="P2063" s="93" t="s">
        <v>111</v>
      </c>
      <c r="Q2063" s="93" t="s">
        <v>111</v>
      </c>
      <c r="R2063" s="93" t="s">
        <v>111</v>
      </c>
      <c r="S2063" s="93" t="s">
        <v>2</v>
      </c>
      <c r="T2063" s="93" t="s">
        <v>111</v>
      </c>
      <c r="U2063" s="93" t="s">
        <v>116</v>
      </c>
      <c r="V2063" s="94">
        <v>44610.150694444441</v>
      </c>
      <c r="W2063" s="93" t="s">
        <v>7072</v>
      </c>
      <c r="X2063" s="93" t="s">
        <v>24</v>
      </c>
    </row>
    <row r="2064" spans="1:24" hidden="1" x14ac:dyDescent="0.15">
      <c r="A2064" s="93" t="s">
        <v>330</v>
      </c>
      <c r="B2064" s="93" t="s">
        <v>846</v>
      </c>
      <c r="C2064" s="410">
        <v>533.13</v>
      </c>
      <c r="D2064" s="93" t="s">
        <v>24</v>
      </c>
      <c r="E2064" s="93" t="s">
        <v>24</v>
      </c>
      <c r="F2064" s="93" t="s">
        <v>126</v>
      </c>
      <c r="G2064" s="93" t="s">
        <v>7185</v>
      </c>
      <c r="H2064" s="93" t="s">
        <v>400</v>
      </c>
      <c r="I2064" s="93" t="s">
        <v>111</v>
      </c>
      <c r="J2064" s="93" t="s">
        <v>7105</v>
      </c>
      <c r="K2064" s="93" t="s">
        <v>111</v>
      </c>
      <c r="L2064" s="93" t="s">
        <v>111</v>
      </c>
      <c r="M2064" s="93" t="s">
        <v>111</v>
      </c>
      <c r="N2064" s="93" t="s">
        <v>111</v>
      </c>
      <c r="O2064" s="93" t="s">
        <v>111</v>
      </c>
      <c r="P2064" s="93" t="s">
        <v>111</v>
      </c>
      <c r="Q2064" s="93" t="s">
        <v>111</v>
      </c>
      <c r="R2064" s="93" t="s">
        <v>111</v>
      </c>
      <c r="S2064" s="93" t="s">
        <v>2</v>
      </c>
      <c r="T2064" s="93" t="s">
        <v>111</v>
      </c>
      <c r="U2064" s="93" t="s">
        <v>116</v>
      </c>
      <c r="V2064" s="94">
        <v>44610.209722222222</v>
      </c>
      <c r="W2064" s="93" t="s">
        <v>7072</v>
      </c>
      <c r="X2064" s="93" t="s">
        <v>24</v>
      </c>
    </row>
    <row r="2065" spans="1:24" hidden="1" x14ac:dyDescent="0.15">
      <c r="A2065" s="93" t="s">
        <v>331</v>
      </c>
      <c r="B2065" s="93" t="s">
        <v>923</v>
      </c>
      <c r="C2065" s="410">
        <v>14.81</v>
      </c>
      <c r="D2065" s="93" t="s">
        <v>24</v>
      </c>
      <c r="E2065" s="93" t="s">
        <v>24</v>
      </c>
      <c r="F2065" s="93" t="s">
        <v>126</v>
      </c>
      <c r="G2065" s="93" t="s">
        <v>7183</v>
      </c>
      <c r="H2065" s="93" t="s">
        <v>400</v>
      </c>
      <c r="I2065" s="93" t="s">
        <v>111</v>
      </c>
      <c r="J2065" s="93" t="s">
        <v>7105</v>
      </c>
      <c r="K2065" s="93" t="s">
        <v>111</v>
      </c>
      <c r="L2065" s="93" t="s">
        <v>111</v>
      </c>
      <c r="M2065" s="93" t="s">
        <v>111</v>
      </c>
      <c r="N2065" s="93" t="s">
        <v>111</v>
      </c>
      <c r="O2065" s="93" t="s">
        <v>111</v>
      </c>
      <c r="P2065" s="93" t="s">
        <v>111</v>
      </c>
      <c r="Q2065" s="93" t="s">
        <v>111</v>
      </c>
      <c r="R2065" s="93" t="s">
        <v>111</v>
      </c>
      <c r="S2065" s="93" t="s">
        <v>2</v>
      </c>
      <c r="T2065" s="93" t="s">
        <v>111</v>
      </c>
      <c r="U2065" s="93" t="s">
        <v>116</v>
      </c>
      <c r="V2065" s="94">
        <v>44610.185416666667</v>
      </c>
      <c r="W2065" s="93" t="s">
        <v>7072</v>
      </c>
      <c r="X2065" s="93" t="s">
        <v>24</v>
      </c>
    </row>
    <row r="2066" spans="1:24" hidden="1" x14ac:dyDescent="0.15">
      <c r="A2066" s="93" t="s">
        <v>332</v>
      </c>
      <c r="B2066" s="93" t="s">
        <v>848</v>
      </c>
      <c r="C2066" s="410">
        <v>738.99</v>
      </c>
      <c r="D2066" s="93" t="s">
        <v>24</v>
      </c>
      <c r="E2066" s="93" t="s">
        <v>24</v>
      </c>
      <c r="F2066" s="93" t="s">
        <v>126</v>
      </c>
      <c r="G2066" s="93" t="s">
        <v>7185</v>
      </c>
      <c r="H2066" s="93" t="s">
        <v>400</v>
      </c>
      <c r="I2066" s="93" t="s">
        <v>111</v>
      </c>
      <c r="J2066" s="93" t="s">
        <v>7105</v>
      </c>
      <c r="K2066" s="93" t="s">
        <v>111</v>
      </c>
      <c r="L2066" s="93" t="s">
        <v>111</v>
      </c>
      <c r="M2066" s="93" t="s">
        <v>111</v>
      </c>
      <c r="N2066" s="93" t="s">
        <v>111</v>
      </c>
      <c r="O2066" s="93" t="s">
        <v>111</v>
      </c>
      <c r="P2066" s="93" t="s">
        <v>111</v>
      </c>
      <c r="Q2066" s="93" t="s">
        <v>111</v>
      </c>
      <c r="R2066" s="93" t="s">
        <v>111</v>
      </c>
      <c r="S2066" s="93" t="s">
        <v>2</v>
      </c>
      <c r="T2066" s="93" t="s">
        <v>111</v>
      </c>
      <c r="U2066" s="93" t="s">
        <v>116</v>
      </c>
      <c r="V2066" s="94">
        <v>44610.177777777775</v>
      </c>
      <c r="W2066" s="93" t="s">
        <v>7072</v>
      </c>
      <c r="X2066" s="93" t="s">
        <v>24</v>
      </c>
    </row>
    <row r="2067" spans="1:24" hidden="1" x14ac:dyDescent="0.15">
      <c r="A2067" s="93" t="s">
        <v>333</v>
      </c>
      <c r="B2067" s="93" t="s">
        <v>924</v>
      </c>
      <c r="C2067" s="410">
        <v>20.53</v>
      </c>
      <c r="D2067" s="93" t="s">
        <v>24</v>
      </c>
      <c r="E2067" s="93" t="s">
        <v>24</v>
      </c>
      <c r="F2067" s="93" t="s">
        <v>126</v>
      </c>
      <c r="G2067" s="93" t="s">
        <v>7183</v>
      </c>
      <c r="H2067" s="93" t="s">
        <v>400</v>
      </c>
      <c r="I2067" s="93" t="s">
        <v>111</v>
      </c>
      <c r="J2067" s="93" t="s">
        <v>7105</v>
      </c>
      <c r="K2067" s="93" t="s">
        <v>111</v>
      </c>
      <c r="L2067" s="93" t="s">
        <v>111</v>
      </c>
      <c r="M2067" s="93" t="s">
        <v>111</v>
      </c>
      <c r="N2067" s="93" t="s">
        <v>111</v>
      </c>
      <c r="O2067" s="93" t="s">
        <v>111</v>
      </c>
      <c r="P2067" s="93" t="s">
        <v>111</v>
      </c>
      <c r="Q2067" s="93" t="s">
        <v>111</v>
      </c>
      <c r="R2067" s="93" t="s">
        <v>111</v>
      </c>
      <c r="S2067" s="93" t="s">
        <v>2</v>
      </c>
      <c r="T2067" s="93" t="s">
        <v>111</v>
      </c>
      <c r="U2067" s="93" t="s">
        <v>116</v>
      </c>
      <c r="V2067" s="94">
        <v>44610.168749999997</v>
      </c>
      <c r="W2067" s="93" t="s">
        <v>7072</v>
      </c>
      <c r="X2067" s="93" t="s">
        <v>24</v>
      </c>
    </row>
    <row r="2068" spans="1:24" hidden="1" x14ac:dyDescent="0.15">
      <c r="A2068" s="93" t="s">
        <v>334</v>
      </c>
      <c r="B2068" s="93" t="s">
        <v>850</v>
      </c>
      <c r="C2068" s="410">
        <v>369.5</v>
      </c>
      <c r="D2068" s="93" t="s">
        <v>24</v>
      </c>
      <c r="E2068" s="93" t="s">
        <v>24</v>
      </c>
      <c r="F2068" s="93" t="s">
        <v>126</v>
      </c>
      <c r="G2068" s="93" t="s">
        <v>7185</v>
      </c>
      <c r="H2068" s="93" t="s">
        <v>400</v>
      </c>
      <c r="I2068" s="93" t="s">
        <v>111</v>
      </c>
      <c r="J2068" s="93" t="s">
        <v>7105</v>
      </c>
      <c r="K2068" s="93" t="s">
        <v>111</v>
      </c>
      <c r="L2068" s="93" t="s">
        <v>111</v>
      </c>
      <c r="M2068" s="93" t="s">
        <v>111</v>
      </c>
      <c r="N2068" s="93" t="s">
        <v>111</v>
      </c>
      <c r="O2068" s="93" t="s">
        <v>111</v>
      </c>
      <c r="P2068" s="93" t="s">
        <v>111</v>
      </c>
      <c r="Q2068" s="93" t="s">
        <v>111</v>
      </c>
      <c r="R2068" s="93" t="s">
        <v>111</v>
      </c>
      <c r="S2068" s="93" t="s">
        <v>2</v>
      </c>
      <c r="T2068" s="93" t="s">
        <v>111</v>
      </c>
      <c r="U2068" s="93" t="s">
        <v>116</v>
      </c>
      <c r="V2068" s="94">
        <v>44610.192361111112</v>
      </c>
      <c r="W2068" s="93" t="s">
        <v>7072</v>
      </c>
      <c r="X2068" s="93" t="s">
        <v>24</v>
      </c>
    </row>
    <row r="2069" spans="1:24" hidden="1" x14ac:dyDescent="0.15">
      <c r="A2069" s="93" t="s">
        <v>335</v>
      </c>
      <c r="B2069" s="93" t="s">
        <v>925</v>
      </c>
      <c r="C2069" s="410">
        <v>10.26</v>
      </c>
      <c r="D2069" s="93" t="s">
        <v>24</v>
      </c>
      <c r="E2069" s="93" t="s">
        <v>24</v>
      </c>
      <c r="F2069" s="93" t="s">
        <v>126</v>
      </c>
      <c r="G2069" s="93" t="s">
        <v>7183</v>
      </c>
      <c r="H2069" s="93" t="s">
        <v>400</v>
      </c>
      <c r="I2069" s="93" t="s">
        <v>111</v>
      </c>
      <c r="J2069" s="93" t="s">
        <v>7105</v>
      </c>
      <c r="K2069" s="93" t="s">
        <v>111</v>
      </c>
      <c r="L2069" s="93" t="s">
        <v>111</v>
      </c>
      <c r="M2069" s="93" t="s">
        <v>111</v>
      </c>
      <c r="N2069" s="93" t="s">
        <v>111</v>
      </c>
      <c r="O2069" s="93" t="s">
        <v>111</v>
      </c>
      <c r="P2069" s="93" t="s">
        <v>111</v>
      </c>
      <c r="Q2069" s="93" t="s">
        <v>111</v>
      </c>
      <c r="R2069" s="93" t="s">
        <v>111</v>
      </c>
      <c r="S2069" s="93" t="s">
        <v>2</v>
      </c>
      <c r="T2069" s="93" t="s">
        <v>111</v>
      </c>
      <c r="U2069" s="93" t="s">
        <v>116</v>
      </c>
      <c r="V2069" s="94">
        <v>44610.207638888889</v>
      </c>
      <c r="W2069" s="93" t="s">
        <v>7072</v>
      </c>
      <c r="X2069" s="93" t="s">
        <v>24</v>
      </c>
    </row>
    <row r="2070" spans="1:24" hidden="1" x14ac:dyDescent="0.15">
      <c r="A2070" s="93" t="s">
        <v>336</v>
      </c>
      <c r="B2070" s="93" t="s">
        <v>926</v>
      </c>
      <c r="C2070" s="410">
        <v>0.87</v>
      </c>
      <c r="D2070" s="93" t="s">
        <v>24</v>
      </c>
      <c r="E2070" s="93" t="s">
        <v>24</v>
      </c>
      <c r="F2070" s="93" t="s">
        <v>126</v>
      </c>
      <c r="G2070" s="93" t="s">
        <v>7183</v>
      </c>
      <c r="H2070" s="93" t="s">
        <v>400</v>
      </c>
      <c r="I2070" s="93" t="s">
        <v>111</v>
      </c>
      <c r="J2070" s="93" t="s">
        <v>7105</v>
      </c>
      <c r="K2070" s="93" t="s">
        <v>111</v>
      </c>
      <c r="L2070" s="93" t="s">
        <v>111</v>
      </c>
      <c r="M2070" s="93" t="s">
        <v>111</v>
      </c>
      <c r="N2070" s="93" t="s">
        <v>111</v>
      </c>
      <c r="O2070" s="93" t="s">
        <v>111</v>
      </c>
      <c r="P2070" s="93" t="s">
        <v>111</v>
      </c>
      <c r="Q2070" s="93" t="s">
        <v>111</v>
      </c>
      <c r="R2070" s="93" t="s">
        <v>111</v>
      </c>
      <c r="S2070" s="93" t="s">
        <v>2</v>
      </c>
      <c r="T2070" s="93" t="s">
        <v>111</v>
      </c>
      <c r="U2070" s="93" t="s">
        <v>116</v>
      </c>
      <c r="V2070" s="94">
        <v>44610.169444444444</v>
      </c>
      <c r="W2070" s="93" t="s">
        <v>7072</v>
      </c>
      <c r="X2070" s="93" t="s">
        <v>24</v>
      </c>
    </row>
    <row r="2071" spans="1:24" hidden="1" x14ac:dyDescent="0.15">
      <c r="A2071" s="93" t="s">
        <v>7482</v>
      </c>
      <c r="B2071" s="93" t="s">
        <v>366</v>
      </c>
      <c r="C2071" s="410">
        <v>264</v>
      </c>
      <c r="D2071" s="93" t="s">
        <v>24</v>
      </c>
      <c r="E2071" s="93" t="s">
        <v>24</v>
      </c>
      <c r="F2071" s="93" t="s">
        <v>126</v>
      </c>
      <c r="G2071" s="93" t="s">
        <v>7183</v>
      </c>
      <c r="H2071" s="93" t="s">
        <v>400</v>
      </c>
      <c r="I2071" s="93" t="s">
        <v>111</v>
      </c>
      <c r="J2071" s="93" t="s">
        <v>118</v>
      </c>
      <c r="K2071" s="93">
        <v>3</v>
      </c>
      <c r="L2071" s="93" t="s">
        <v>111</v>
      </c>
      <c r="M2071" s="93" t="s">
        <v>111</v>
      </c>
      <c r="N2071" s="93" t="s">
        <v>111</v>
      </c>
      <c r="O2071" s="93" t="s">
        <v>111</v>
      </c>
      <c r="P2071" s="93" t="s">
        <v>111</v>
      </c>
      <c r="Q2071" s="93" t="s">
        <v>111</v>
      </c>
      <c r="R2071" s="93" t="s">
        <v>228</v>
      </c>
      <c r="S2071" s="93" t="s">
        <v>2</v>
      </c>
      <c r="T2071" s="93" t="s">
        <v>115</v>
      </c>
      <c r="U2071" s="93" t="s">
        <v>116</v>
      </c>
      <c r="V2071" s="94">
        <v>44610.212500000001</v>
      </c>
      <c r="W2071" s="93" t="s">
        <v>7072</v>
      </c>
      <c r="X2071" s="93" t="s">
        <v>24</v>
      </c>
    </row>
    <row r="2072" spans="1:24" hidden="1" x14ac:dyDescent="0.15">
      <c r="A2072" s="93" t="s">
        <v>7483</v>
      </c>
      <c r="B2072" s="93" t="s">
        <v>369</v>
      </c>
      <c r="C2072" s="410">
        <v>84</v>
      </c>
      <c r="D2072" s="93" t="s">
        <v>24</v>
      </c>
      <c r="E2072" s="93" t="s">
        <v>24</v>
      </c>
      <c r="F2072" s="93" t="s">
        <v>126</v>
      </c>
      <c r="G2072" s="93" t="s">
        <v>7183</v>
      </c>
      <c r="H2072" s="93" t="s">
        <v>400</v>
      </c>
      <c r="I2072" s="93" t="s">
        <v>111</v>
      </c>
      <c r="J2072" s="93" t="s">
        <v>118</v>
      </c>
      <c r="K2072" s="93">
        <v>3</v>
      </c>
      <c r="L2072" s="93" t="s">
        <v>111</v>
      </c>
      <c r="M2072" s="93" t="s">
        <v>111</v>
      </c>
      <c r="N2072" s="93" t="s">
        <v>111</v>
      </c>
      <c r="O2072" s="93" t="s">
        <v>111</v>
      </c>
      <c r="P2072" s="93" t="s">
        <v>111</v>
      </c>
      <c r="Q2072" s="93" t="s">
        <v>111</v>
      </c>
      <c r="R2072" s="93" t="s">
        <v>228</v>
      </c>
      <c r="S2072" s="93" t="s">
        <v>2</v>
      </c>
      <c r="T2072" s="93" t="s">
        <v>115</v>
      </c>
      <c r="U2072" s="93" t="s">
        <v>116</v>
      </c>
      <c r="V2072" s="94">
        <v>44610.142361111109</v>
      </c>
      <c r="W2072" s="93" t="s">
        <v>7072</v>
      </c>
      <c r="X2072" s="93" t="s">
        <v>24</v>
      </c>
    </row>
    <row r="2073" spans="1:24" hidden="1" x14ac:dyDescent="0.15">
      <c r="A2073" s="93" t="s">
        <v>7484</v>
      </c>
      <c r="B2073" s="93" t="s">
        <v>372</v>
      </c>
      <c r="C2073" s="410">
        <v>156</v>
      </c>
      <c r="D2073" s="93" t="s">
        <v>24</v>
      </c>
      <c r="E2073" s="93" t="s">
        <v>24</v>
      </c>
      <c r="F2073" s="93" t="s">
        <v>126</v>
      </c>
      <c r="G2073" s="93" t="s">
        <v>7183</v>
      </c>
      <c r="H2073" s="93" t="s">
        <v>400</v>
      </c>
      <c r="I2073" s="93" t="s">
        <v>111</v>
      </c>
      <c r="J2073" s="93" t="s">
        <v>118</v>
      </c>
      <c r="K2073" s="93">
        <v>3</v>
      </c>
      <c r="L2073" s="93" t="s">
        <v>111</v>
      </c>
      <c r="M2073" s="93" t="s">
        <v>111</v>
      </c>
      <c r="N2073" s="93" t="s">
        <v>111</v>
      </c>
      <c r="O2073" s="93" t="s">
        <v>111</v>
      </c>
      <c r="P2073" s="93" t="s">
        <v>111</v>
      </c>
      <c r="Q2073" s="93" t="s">
        <v>111</v>
      </c>
      <c r="R2073" s="93" t="s">
        <v>228</v>
      </c>
      <c r="S2073" s="93" t="s">
        <v>2</v>
      </c>
      <c r="T2073" s="93" t="s">
        <v>115</v>
      </c>
      <c r="U2073" s="93" t="s">
        <v>116</v>
      </c>
      <c r="V2073" s="94">
        <v>44610.174305555556</v>
      </c>
      <c r="W2073" s="93" t="s">
        <v>7072</v>
      </c>
      <c r="X2073" s="93" t="s">
        <v>24</v>
      </c>
    </row>
    <row r="2074" spans="1:24" hidden="1" x14ac:dyDescent="0.15">
      <c r="A2074" s="93" t="s">
        <v>7485</v>
      </c>
      <c r="B2074" s="93" t="s">
        <v>374</v>
      </c>
      <c r="C2074" s="410">
        <v>192</v>
      </c>
      <c r="D2074" s="93" t="s">
        <v>24</v>
      </c>
      <c r="E2074" s="93" t="s">
        <v>24</v>
      </c>
      <c r="F2074" s="93" t="s">
        <v>126</v>
      </c>
      <c r="G2074" s="93" t="s">
        <v>7183</v>
      </c>
      <c r="H2074" s="93" t="s">
        <v>400</v>
      </c>
      <c r="I2074" s="93" t="s">
        <v>111</v>
      </c>
      <c r="J2074" s="93" t="s">
        <v>118</v>
      </c>
      <c r="K2074" s="93">
        <v>3</v>
      </c>
      <c r="L2074" s="93" t="s">
        <v>111</v>
      </c>
      <c r="M2074" s="93" t="s">
        <v>111</v>
      </c>
      <c r="N2074" s="93" t="s">
        <v>111</v>
      </c>
      <c r="O2074" s="93" t="s">
        <v>111</v>
      </c>
      <c r="P2074" s="93" t="s">
        <v>111</v>
      </c>
      <c r="Q2074" s="93" t="s">
        <v>111</v>
      </c>
      <c r="R2074" s="93" t="s">
        <v>228</v>
      </c>
      <c r="S2074" s="93" t="s">
        <v>2</v>
      </c>
      <c r="T2074" s="93" t="s">
        <v>115</v>
      </c>
      <c r="U2074" s="93" t="s">
        <v>116</v>
      </c>
      <c r="V2074" s="94">
        <v>44610.165972222225</v>
      </c>
      <c r="W2074" s="93" t="s">
        <v>7072</v>
      </c>
      <c r="X2074" s="93" t="s">
        <v>24</v>
      </c>
    </row>
    <row r="2075" spans="1:24" hidden="1" x14ac:dyDescent="0.15">
      <c r="A2075" s="93" t="s">
        <v>337</v>
      </c>
      <c r="B2075" s="93" t="s">
        <v>377</v>
      </c>
      <c r="C2075" s="410">
        <v>168</v>
      </c>
      <c r="D2075" s="93" t="s">
        <v>24</v>
      </c>
      <c r="E2075" s="93" t="s">
        <v>24</v>
      </c>
      <c r="F2075" s="93" t="s">
        <v>126</v>
      </c>
      <c r="G2075" s="93" t="s">
        <v>7183</v>
      </c>
      <c r="H2075" s="93" t="s">
        <v>400</v>
      </c>
      <c r="I2075" s="93" t="s">
        <v>111</v>
      </c>
      <c r="J2075" s="93" t="s">
        <v>7105</v>
      </c>
      <c r="K2075" s="93" t="s">
        <v>111</v>
      </c>
      <c r="L2075" s="93" t="s">
        <v>111</v>
      </c>
      <c r="M2075" s="93" t="s">
        <v>111</v>
      </c>
      <c r="N2075" s="93" t="s">
        <v>111</v>
      </c>
      <c r="O2075" s="93" t="s">
        <v>111</v>
      </c>
      <c r="P2075" s="93" t="s">
        <v>111</v>
      </c>
      <c r="Q2075" s="93" t="s">
        <v>111</v>
      </c>
      <c r="R2075" s="93" t="s">
        <v>111</v>
      </c>
      <c r="S2075" s="93" t="s">
        <v>2</v>
      </c>
      <c r="T2075" s="93" t="s">
        <v>111</v>
      </c>
      <c r="U2075" s="93" t="s">
        <v>116</v>
      </c>
      <c r="V2075" s="94">
        <v>44610.185416666667</v>
      </c>
      <c r="W2075" s="93" t="s">
        <v>7072</v>
      </c>
      <c r="X2075" s="93" t="s">
        <v>24</v>
      </c>
    </row>
    <row r="2076" spans="1:24" hidden="1" x14ac:dyDescent="0.15">
      <c r="A2076" s="93" t="s">
        <v>338</v>
      </c>
      <c r="B2076" s="93" t="s">
        <v>927</v>
      </c>
      <c r="C2076" s="410">
        <v>1920</v>
      </c>
      <c r="D2076" s="93" t="s">
        <v>24</v>
      </c>
      <c r="E2076" s="93" t="s">
        <v>24</v>
      </c>
      <c r="F2076" s="93" t="s">
        <v>126</v>
      </c>
      <c r="G2076" s="93" t="s">
        <v>7183</v>
      </c>
      <c r="H2076" s="93" t="s">
        <v>400</v>
      </c>
      <c r="I2076" s="93" t="s">
        <v>111</v>
      </c>
      <c r="J2076" s="93" t="s">
        <v>7105</v>
      </c>
      <c r="K2076" s="93" t="s">
        <v>111</v>
      </c>
      <c r="L2076" s="93" t="s">
        <v>111</v>
      </c>
      <c r="M2076" s="93" t="s">
        <v>111</v>
      </c>
      <c r="N2076" s="93" t="s">
        <v>111</v>
      </c>
      <c r="O2076" s="93" t="s">
        <v>111</v>
      </c>
      <c r="P2076" s="93" t="s">
        <v>111</v>
      </c>
      <c r="Q2076" s="93" t="s">
        <v>111</v>
      </c>
      <c r="R2076" s="93" t="s">
        <v>111</v>
      </c>
      <c r="S2076" s="93" t="s">
        <v>2</v>
      </c>
      <c r="T2076" s="93" t="s">
        <v>111</v>
      </c>
      <c r="U2076" s="93" t="s">
        <v>116</v>
      </c>
      <c r="V2076" s="94">
        <v>44610.175000000003</v>
      </c>
      <c r="W2076" s="93" t="s">
        <v>7072</v>
      </c>
      <c r="X2076" s="93" t="s">
        <v>24</v>
      </c>
    </row>
    <row r="2077" spans="1:24" hidden="1" x14ac:dyDescent="0.15">
      <c r="A2077" s="93" t="s">
        <v>339</v>
      </c>
      <c r="B2077" s="93" t="s">
        <v>928</v>
      </c>
      <c r="C2077" s="410">
        <v>9600</v>
      </c>
      <c r="D2077" s="93" t="s">
        <v>24</v>
      </c>
      <c r="E2077" s="93" t="s">
        <v>24</v>
      </c>
      <c r="F2077" s="93" t="s">
        <v>126</v>
      </c>
      <c r="G2077" s="93" t="s">
        <v>7183</v>
      </c>
      <c r="H2077" s="93" t="s">
        <v>400</v>
      </c>
      <c r="I2077" s="93" t="s">
        <v>111</v>
      </c>
      <c r="J2077" s="93" t="s">
        <v>7105</v>
      </c>
      <c r="K2077" s="93" t="s">
        <v>111</v>
      </c>
      <c r="L2077" s="93" t="s">
        <v>111</v>
      </c>
      <c r="M2077" s="93" t="s">
        <v>111</v>
      </c>
      <c r="N2077" s="93" t="s">
        <v>111</v>
      </c>
      <c r="O2077" s="93" t="s">
        <v>111</v>
      </c>
      <c r="P2077" s="93" t="s">
        <v>111</v>
      </c>
      <c r="Q2077" s="93" t="s">
        <v>111</v>
      </c>
      <c r="R2077" s="93" t="s">
        <v>111</v>
      </c>
      <c r="S2077" s="93" t="s">
        <v>2</v>
      </c>
      <c r="T2077" s="93" t="s">
        <v>111</v>
      </c>
      <c r="U2077" s="93" t="s">
        <v>116</v>
      </c>
      <c r="V2077" s="94">
        <v>44610.19027777778</v>
      </c>
      <c r="W2077" s="93" t="s">
        <v>7072</v>
      </c>
      <c r="X2077" s="93" t="s">
        <v>24</v>
      </c>
    </row>
    <row r="2078" spans="1:24" hidden="1" x14ac:dyDescent="0.15">
      <c r="A2078" s="93" t="s">
        <v>340</v>
      </c>
      <c r="B2078" s="93" t="s">
        <v>929</v>
      </c>
      <c r="C2078" s="410">
        <v>720</v>
      </c>
      <c r="D2078" s="93" t="s">
        <v>24</v>
      </c>
      <c r="E2078" s="93" t="s">
        <v>24</v>
      </c>
      <c r="F2078" s="93" t="s">
        <v>126</v>
      </c>
      <c r="G2078" s="93" t="s">
        <v>7183</v>
      </c>
      <c r="H2078" s="93" t="s">
        <v>400</v>
      </c>
      <c r="I2078" s="93" t="s">
        <v>111</v>
      </c>
      <c r="J2078" s="93" t="s">
        <v>7105</v>
      </c>
      <c r="K2078" s="93" t="s">
        <v>111</v>
      </c>
      <c r="L2078" s="93" t="s">
        <v>111</v>
      </c>
      <c r="M2078" s="93" t="s">
        <v>111</v>
      </c>
      <c r="N2078" s="93" t="s">
        <v>111</v>
      </c>
      <c r="O2078" s="93" t="s">
        <v>111</v>
      </c>
      <c r="P2078" s="93" t="s">
        <v>111</v>
      </c>
      <c r="Q2078" s="93" t="s">
        <v>111</v>
      </c>
      <c r="R2078" s="93" t="s">
        <v>111</v>
      </c>
      <c r="S2078" s="93" t="s">
        <v>2</v>
      </c>
      <c r="T2078" s="93" t="s">
        <v>111</v>
      </c>
      <c r="U2078" s="93" t="s">
        <v>116</v>
      </c>
      <c r="V2078" s="94">
        <v>44610.175000000003</v>
      </c>
      <c r="W2078" s="93" t="s">
        <v>7072</v>
      </c>
      <c r="X2078" s="93" t="s">
        <v>24</v>
      </c>
    </row>
    <row r="2079" spans="1:24" hidden="1" x14ac:dyDescent="0.15">
      <c r="A2079" s="93" t="s">
        <v>341</v>
      </c>
      <c r="B2079" s="93" t="s">
        <v>930</v>
      </c>
      <c r="C2079" s="410">
        <v>3360</v>
      </c>
      <c r="D2079" s="93" t="s">
        <v>24</v>
      </c>
      <c r="E2079" s="93" t="s">
        <v>24</v>
      </c>
      <c r="F2079" s="93" t="s">
        <v>126</v>
      </c>
      <c r="G2079" s="93" t="s">
        <v>7183</v>
      </c>
      <c r="H2079" s="93" t="s">
        <v>400</v>
      </c>
      <c r="I2079" s="93" t="s">
        <v>111</v>
      </c>
      <c r="J2079" s="93" t="s">
        <v>7105</v>
      </c>
      <c r="K2079" s="93" t="s">
        <v>111</v>
      </c>
      <c r="L2079" s="93" t="s">
        <v>111</v>
      </c>
      <c r="M2079" s="93" t="s">
        <v>111</v>
      </c>
      <c r="N2079" s="93" t="s">
        <v>111</v>
      </c>
      <c r="O2079" s="93" t="s">
        <v>111</v>
      </c>
      <c r="P2079" s="93" t="s">
        <v>111</v>
      </c>
      <c r="Q2079" s="93" t="s">
        <v>111</v>
      </c>
      <c r="R2079" s="93" t="s">
        <v>111</v>
      </c>
      <c r="S2079" s="93" t="s">
        <v>2</v>
      </c>
      <c r="T2079" s="93" t="s">
        <v>111</v>
      </c>
      <c r="U2079" s="93" t="s">
        <v>116</v>
      </c>
      <c r="V2079" s="94">
        <v>44610.189583333333</v>
      </c>
      <c r="W2079" s="93" t="s">
        <v>7072</v>
      </c>
      <c r="X2079" s="93" t="s">
        <v>24</v>
      </c>
    </row>
    <row r="2080" spans="1:24" hidden="1" x14ac:dyDescent="0.15">
      <c r="A2080" s="93" t="s">
        <v>342</v>
      </c>
      <c r="B2080" s="93" t="s">
        <v>931</v>
      </c>
      <c r="C2080" s="410">
        <v>14400</v>
      </c>
      <c r="D2080" s="93" t="s">
        <v>24</v>
      </c>
      <c r="E2080" s="93" t="s">
        <v>24</v>
      </c>
      <c r="F2080" s="93" t="s">
        <v>126</v>
      </c>
      <c r="G2080" s="93" t="s">
        <v>7183</v>
      </c>
      <c r="H2080" s="93" t="s">
        <v>400</v>
      </c>
      <c r="I2080" s="93" t="s">
        <v>111</v>
      </c>
      <c r="J2080" s="93" t="s">
        <v>7105</v>
      </c>
      <c r="K2080" s="93" t="s">
        <v>111</v>
      </c>
      <c r="L2080" s="93" t="s">
        <v>111</v>
      </c>
      <c r="M2080" s="93" t="s">
        <v>111</v>
      </c>
      <c r="N2080" s="93" t="s">
        <v>111</v>
      </c>
      <c r="O2080" s="93" t="s">
        <v>111</v>
      </c>
      <c r="P2080" s="93" t="s">
        <v>111</v>
      </c>
      <c r="Q2080" s="93" t="s">
        <v>111</v>
      </c>
      <c r="R2080" s="93" t="s">
        <v>111</v>
      </c>
      <c r="S2080" s="93" t="s">
        <v>2</v>
      </c>
      <c r="T2080" s="93" t="s">
        <v>111</v>
      </c>
      <c r="U2080" s="93" t="s">
        <v>116</v>
      </c>
      <c r="V2080" s="94">
        <v>44610.167361111111</v>
      </c>
      <c r="W2080" s="93" t="s">
        <v>7072</v>
      </c>
      <c r="X2080" s="93" t="s">
        <v>24</v>
      </c>
    </row>
    <row r="2081" spans="1:24" hidden="1" x14ac:dyDescent="0.15">
      <c r="A2081" s="93" t="s">
        <v>343</v>
      </c>
      <c r="B2081" s="93" t="s">
        <v>932</v>
      </c>
      <c r="C2081" s="410">
        <v>888</v>
      </c>
      <c r="D2081" s="93" t="s">
        <v>24</v>
      </c>
      <c r="E2081" s="93" t="s">
        <v>24</v>
      </c>
      <c r="F2081" s="93" t="s">
        <v>126</v>
      </c>
      <c r="G2081" s="93" t="s">
        <v>7183</v>
      </c>
      <c r="H2081" s="93" t="s">
        <v>400</v>
      </c>
      <c r="I2081" s="93" t="s">
        <v>111</v>
      </c>
      <c r="J2081" s="93" t="s">
        <v>7105</v>
      </c>
      <c r="K2081" s="93" t="s">
        <v>111</v>
      </c>
      <c r="L2081" s="93" t="s">
        <v>111</v>
      </c>
      <c r="M2081" s="93" t="s">
        <v>111</v>
      </c>
      <c r="N2081" s="93" t="s">
        <v>111</v>
      </c>
      <c r="O2081" s="93" t="s">
        <v>111</v>
      </c>
      <c r="P2081" s="93" t="s">
        <v>111</v>
      </c>
      <c r="Q2081" s="93" t="s">
        <v>111</v>
      </c>
      <c r="R2081" s="93" t="s">
        <v>111</v>
      </c>
      <c r="S2081" s="93" t="s">
        <v>2</v>
      </c>
      <c r="T2081" s="93" t="s">
        <v>111</v>
      </c>
      <c r="U2081" s="93" t="s">
        <v>116</v>
      </c>
      <c r="V2081" s="94">
        <v>44610.197916666664</v>
      </c>
      <c r="W2081" s="93" t="s">
        <v>7072</v>
      </c>
      <c r="X2081" s="93" t="s">
        <v>24</v>
      </c>
    </row>
    <row r="2082" spans="1:24" hidden="1" x14ac:dyDescent="0.15">
      <c r="A2082" s="93" t="s">
        <v>344</v>
      </c>
      <c r="B2082" s="93" t="s">
        <v>933</v>
      </c>
      <c r="C2082" s="410">
        <v>4320</v>
      </c>
      <c r="D2082" s="93" t="s">
        <v>24</v>
      </c>
      <c r="E2082" s="93" t="s">
        <v>24</v>
      </c>
      <c r="F2082" s="93" t="s">
        <v>126</v>
      </c>
      <c r="G2082" s="93" t="s">
        <v>7183</v>
      </c>
      <c r="H2082" s="93" t="s">
        <v>400</v>
      </c>
      <c r="I2082" s="93" t="s">
        <v>111</v>
      </c>
      <c r="J2082" s="93" t="s">
        <v>7105</v>
      </c>
      <c r="K2082" s="93" t="s">
        <v>111</v>
      </c>
      <c r="L2082" s="93" t="s">
        <v>111</v>
      </c>
      <c r="M2082" s="93" t="s">
        <v>111</v>
      </c>
      <c r="N2082" s="93" t="s">
        <v>111</v>
      </c>
      <c r="O2082" s="93" t="s">
        <v>111</v>
      </c>
      <c r="P2082" s="93" t="s">
        <v>111</v>
      </c>
      <c r="Q2082" s="93" t="s">
        <v>111</v>
      </c>
      <c r="R2082" s="93" t="s">
        <v>111</v>
      </c>
      <c r="S2082" s="93" t="s">
        <v>2</v>
      </c>
      <c r="T2082" s="93" t="s">
        <v>111</v>
      </c>
      <c r="U2082" s="93" t="s">
        <v>116</v>
      </c>
      <c r="V2082" s="94">
        <v>44610.175000000003</v>
      </c>
      <c r="W2082" s="93" t="s">
        <v>7072</v>
      </c>
      <c r="X2082" s="93" t="s">
        <v>24</v>
      </c>
    </row>
    <row r="2083" spans="1:24" hidden="1" x14ac:dyDescent="0.15">
      <c r="A2083" s="93" t="s">
        <v>345</v>
      </c>
      <c r="B2083" s="93" t="s">
        <v>934</v>
      </c>
      <c r="C2083" s="410">
        <v>18240</v>
      </c>
      <c r="D2083" s="93" t="s">
        <v>24</v>
      </c>
      <c r="E2083" s="93" t="s">
        <v>24</v>
      </c>
      <c r="F2083" s="93" t="s">
        <v>126</v>
      </c>
      <c r="G2083" s="93" t="s">
        <v>7183</v>
      </c>
      <c r="H2083" s="93" t="s">
        <v>400</v>
      </c>
      <c r="I2083" s="93" t="s">
        <v>111</v>
      </c>
      <c r="J2083" s="93" t="s">
        <v>7105</v>
      </c>
      <c r="K2083" s="93" t="s">
        <v>111</v>
      </c>
      <c r="L2083" s="93" t="s">
        <v>111</v>
      </c>
      <c r="M2083" s="93" t="s">
        <v>111</v>
      </c>
      <c r="N2083" s="93" t="s">
        <v>111</v>
      </c>
      <c r="O2083" s="93" t="s">
        <v>111</v>
      </c>
      <c r="P2083" s="93" t="s">
        <v>111</v>
      </c>
      <c r="Q2083" s="93" t="s">
        <v>111</v>
      </c>
      <c r="R2083" s="93" t="s">
        <v>111</v>
      </c>
      <c r="S2083" s="93" t="s">
        <v>2</v>
      </c>
      <c r="T2083" s="93" t="s">
        <v>111</v>
      </c>
      <c r="U2083" s="93" t="s">
        <v>116</v>
      </c>
      <c r="V2083" s="94">
        <v>44610.175694444442</v>
      </c>
      <c r="W2083" s="93" t="s">
        <v>7072</v>
      </c>
      <c r="X2083" s="93" t="s">
        <v>24</v>
      </c>
    </row>
    <row r="2084" spans="1:24" hidden="1" x14ac:dyDescent="0.15">
      <c r="A2084" s="93" t="s">
        <v>346</v>
      </c>
      <c r="B2084" s="93" t="s">
        <v>935</v>
      </c>
      <c r="C2084" s="410">
        <v>1056</v>
      </c>
      <c r="D2084" s="93" t="s">
        <v>24</v>
      </c>
      <c r="E2084" s="93" t="s">
        <v>24</v>
      </c>
      <c r="F2084" s="93" t="s">
        <v>126</v>
      </c>
      <c r="G2084" s="93" t="s">
        <v>7183</v>
      </c>
      <c r="H2084" s="93" t="s">
        <v>400</v>
      </c>
      <c r="I2084" s="93" t="s">
        <v>111</v>
      </c>
      <c r="J2084" s="93" t="s">
        <v>7105</v>
      </c>
      <c r="K2084" s="93" t="s">
        <v>111</v>
      </c>
      <c r="L2084" s="93" t="s">
        <v>111</v>
      </c>
      <c r="M2084" s="93" t="s">
        <v>111</v>
      </c>
      <c r="N2084" s="93" t="s">
        <v>111</v>
      </c>
      <c r="O2084" s="93" t="s">
        <v>111</v>
      </c>
      <c r="P2084" s="93" t="s">
        <v>111</v>
      </c>
      <c r="Q2084" s="93" t="s">
        <v>111</v>
      </c>
      <c r="R2084" s="93" t="s">
        <v>111</v>
      </c>
      <c r="S2084" s="93" t="s">
        <v>2</v>
      </c>
      <c r="T2084" s="93" t="s">
        <v>111</v>
      </c>
      <c r="U2084" s="93" t="s">
        <v>116</v>
      </c>
      <c r="V2084" s="94">
        <v>44610.175000000003</v>
      </c>
      <c r="W2084" s="93" t="s">
        <v>7072</v>
      </c>
      <c r="X2084" s="93" t="s">
        <v>24</v>
      </c>
    </row>
    <row r="2085" spans="1:24" hidden="1" x14ac:dyDescent="0.15">
      <c r="A2085" s="93" t="s">
        <v>347</v>
      </c>
      <c r="B2085" s="93" t="s">
        <v>936</v>
      </c>
      <c r="C2085" s="410">
        <v>5040</v>
      </c>
      <c r="D2085" s="93" t="s">
        <v>24</v>
      </c>
      <c r="E2085" s="93" t="s">
        <v>24</v>
      </c>
      <c r="F2085" s="93" t="s">
        <v>126</v>
      </c>
      <c r="G2085" s="93" t="s">
        <v>7183</v>
      </c>
      <c r="H2085" s="93" t="s">
        <v>400</v>
      </c>
      <c r="I2085" s="93" t="s">
        <v>111</v>
      </c>
      <c r="J2085" s="93" t="s">
        <v>7105</v>
      </c>
      <c r="K2085" s="93" t="s">
        <v>111</v>
      </c>
      <c r="L2085" s="93" t="s">
        <v>111</v>
      </c>
      <c r="M2085" s="93" t="s">
        <v>111</v>
      </c>
      <c r="N2085" s="93" t="s">
        <v>111</v>
      </c>
      <c r="O2085" s="93" t="s">
        <v>111</v>
      </c>
      <c r="P2085" s="93" t="s">
        <v>111</v>
      </c>
      <c r="Q2085" s="93" t="s">
        <v>111</v>
      </c>
      <c r="R2085" s="93" t="s">
        <v>111</v>
      </c>
      <c r="S2085" s="93" t="s">
        <v>2</v>
      </c>
      <c r="T2085" s="93" t="s">
        <v>111</v>
      </c>
      <c r="U2085" s="93" t="s">
        <v>116</v>
      </c>
      <c r="V2085" s="94">
        <v>44610.206250000003</v>
      </c>
      <c r="W2085" s="93" t="s">
        <v>7072</v>
      </c>
      <c r="X2085" s="93" t="s">
        <v>24</v>
      </c>
    </row>
    <row r="2086" spans="1:24" hidden="1" x14ac:dyDescent="0.15">
      <c r="A2086" s="93" t="s">
        <v>348</v>
      </c>
      <c r="B2086" s="93" t="s">
        <v>937</v>
      </c>
      <c r="C2086" s="410">
        <v>21600</v>
      </c>
      <c r="D2086" s="93" t="s">
        <v>24</v>
      </c>
      <c r="E2086" s="93" t="s">
        <v>24</v>
      </c>
      <c r="F2086" s="93" t="s">
        <v>126</v>
      </c>
      <c r="G2086" s="93" t="s">
        <v>7183</v>
      </c>
      <c r="H2086" s="93" t="s">
        <v>400</v>
      </c>
      <c r="I2086" s="93" t="s">
        <v>111</v>
      </c>
      <c r="J2086" s="93" t="s">
        <v>7105</v>
      </c>
      <c r="K2086" s="93" t="s">
        <v>111</v>
      </c>
      <c r="L2086" s="93" t="s">
        <v>111</v>
      </c>
      <c r="M2086" s="93" t="s">
        <v>111</v>
      </c>
      <c r="N2086" s="93" t="s">
        <v>111</v>
      </c>
      <c r="O2086" s="93" t="s">
        <v>111</v>
      </c>
      <c r="P2086" s="93" t="s">
        <v>111</v>
      </c>
      <c r="Q2086" s="93" t="s">
        <v>111</v>
      </c>
      <c r="R2086" s="93" t="s">
        <v>111</v>
      </c>
      <c r="S2086" s="93" t="s">
        <v>2</v>
      </c>
      <c r="T2086" s="93" t="s">
        <v>111</v>
      </c>
      <c r="U2086" s="93" t="s">
        <v>116</v>
      </c>
      <c r="V2086" s="94">
        <v>44610.206250000003</v>
      </c>
      <c r="W2086" s="93" t="s">
        <v>7072</v>
      </c>
      <c r="X2086" s="93" t="s">
        <v>24</v>
      </c>
    </row>
    <row r="2087" spans="1:24" hidden="1" x14ac:dyDescent="0.15">
      <c r="A2087" s="93" t="s">
        <v>349</v>
      </c>
      <c r="B2087" s="93" t="s">
        <v>938</v>
      </c>
      <c r="C2087" s="410">
        <v>1200</v>
      </c>
      <c r="D2087" s="93" t="s">
        <v>24</v>
      </c>
      <c r="E2087" s="93" t="s">
        <v>24</v>
      </c>
      <c r="F2087" s="93" t="s">
        <v>126</v>
      </c>
      <c r="G2087" s="93" t="s">
        <v>7183</v>
      </c>
      <c r="H2087" s="93" t="s">
        <v>400</v>
      </c>
      <c r="I2087" s="93" t="s">
        <v>111</v>
      </c>
      <c r="J2087" s="93" t="s">
        <v>7105</v>
      </c>
      <c r="K2087" s="93" t="s">
        <v>111</v>
      </c>
      <c r="L2087" s="93" t="s">
        <v>111</v>
      </c>
      <c r="M2087" s="93" t="s">
        <v>111</v>
      </c>
      <c r="N2087" s="93" t="s">
        <v>111</v>
      </c>
      <c r="O2087" s="93" t="s">
        <v>111</v>
      </c>
      <c r="P2087" s="93" t="s">
        <v>111</v>
      </c>
      <c r="Q2087" s="93" t="s">
        <v>111</v>
      </c>
      <c r="R2087" s="93" t="s">
        <v>111</v>
      </c>
      <c r="S2087" s="93" t="s">
        <v>2</v>
      </c>
      <c r="T2087" s="93" t="s">
        <v>111</v>
      </c>
      <c r="U2087" s="93" t="s">
        <v>116</v>
      </c>
      <c r="V2087" s="94">
        <v>44610.205555555556</v>
      </c>
      <c r="W2087" s="93" t="s">
        <v>7072</v>
      </c>
      <c r="X2087" s="93" t="s">
        <v>24</v>
      </c>
    </row>
    <row r="2088" spans="1:24" hidden="1" x14ac:dyDescent="0.15">
      <c r="A2088" s="93" t="s">
        <v>350</v>
      </c>
      <c r="B2088" s="93" t="s">
        <v>939</v>
      </c>
      <c r="C2088" s="410">
        <v>5760</v>
      </c>
      <c r="D2088" s="93" t="s">
        <v>24</v>
      </c>
      <c r="E2088" s="93" t="s">
        <v>24</v>
      </c>
      <c r="F2088" s="93" t="s">
        <v>126</v>
      </c>
      <c r="G2088" s="93" t="s">
        <v>7183</v>
      </c>
      <c r="H2088" s="93" t="s">
        <v>400</v>
      </c>
      <c r="I2088" s="93" t="s">
        <v>111</v>
      </c>
      <c r="J2088" s="93" t="s">
        <v>7105</v>
      </c>
      <c r="K2088" s="93" t="s">
        <v>111</v>
      </c>
      <c r="L2088" s="93" t="s">
        <v>111</v>
      </c>
      <c r="M2088" s="93" t="s">
        <v>111</v>
      </c>
      <c r="N2088" s="93" t="s">
        <v>111</v>
      </c>
      <c r="O2088" s="93" t="s">
        <v>111</v>
      </c>
      <c r="P2088" s="93" t="s">
        <v>111</v>
      </c>
      <c r="Q2088" s="93" t="s">
        <v>111</v>
      </c>
      <c r="R2088" s="93" t="s">
        <v>111</v>
      </c>
      <c r="S2088" s="93" t="s">
        <v>2</v>
      </c>
      <c r="T2088" s="93" t="s">
        <v>111</v>
      </c>
      <c r="U2088" s="93" t="s">
        <v>116</v>
      </c>
      <c r="V2088" s="94">
        <v>44610.136805555558</v>
      </c>
      <c r="W2088" s="93" t="s">
        <v>7072</v>
      </c>
      <c r="X2088" s="93" t="s">
        <v>24</v>
      </c>
    </row>
    <row r="2089" spans="1:24" hidden="1" x14ac:dyDescent="0.15">
      <c r="A2089" s="93" t="s">
        <v>351</v>
      </c>
      <c r="B2089" s="93" t="s">
        <v>940</v>
      </c>
      <c r="C2089" s="410">
        <v>24000</v>
      </c>
      <c r="D2089" s="93" t="s">
        <v>24</v>
      </c>
      <c r="E2089" s="93" t="s">
        <v>24</v>
      </c>
      <c r="F2089" s="93" t="s">
        <v>126</v>
      </c>
      <c r="G2089" s="93" t="s">
        <v>7183</v>
      </c>
      <c r="H2089" s="93" t="s">
        <v>400</v>
      </c>
      <c r="I2089" s="93" t="s">
        <v>111</v>
      </c>
      <c r="J2089" s="93" t="s">
        <v>7105</v>
      </c>
      <c r="K2089" s="93" t="s">
        <v>111</v>
      </c>
      <c r="L2089" s="93" t="s">
        <v>111</v>
      </c>
      <c r="M2089" s="93" t="s">
        <v>111</v>
      </c>
      <c r="N2089" s="93" t="s">
        <v>111</v>
      </c>
      <c r="O2089" s="93" t="s">
        <v>111</v>
      </c>
      <c r="P2089" s="93" t="s">
        <v>111</v>
      </c>
      <c r="Q2089" s="93" t="s">
        <v>111</v>
      </c>
      <c r="R2089" s="93" t="s">
        <v>111</v>
      </c>
      <c r="S2089" s="93" t="s">
        <v>2</v>
      </c>
      <c r="T2089" s="93" t="s">
        <v>111</v>
      </c>
      <c r="U2089" s="93" t="s">
        <v>116</v>
      </c>
      <c r="V2089" s="94">
        <v>44610.137499999997</v>
      </c>
      <c r="W2089" s="93" t="s">
        <v>7072</v>
      </c>
      <c r="X2089" s="93" t="s">
        <v>24</v>
      </c>
    </row>
    <row r="2090" spans="1:24" hidden="1" x14ac:dyDescent="0.15">
      <c r="A2090" s="93" t="s">
        <v>352</v>
      </c>
      <c r="B2090" s="93" t="s">
        <v>941</v>
      </c>
      <c r="C2090" s="410">
        <v>1344</v>
      </c>
      <c r="D2090" s="93" t="s">
        <v>24</v>
      </c>
      <c r="E2090" s="93" t="s">
        <v>24</v>
      </c>
      <c r="F2090" s="93" t="s">
        <v>126</v>
      </c>
      <c r="G2090" s="93" t="s">
        <v>7183</v>
      </c>
      <c r="H2090" s="93" t="s">
        <v>400</v>
      </c>
      <c r="I2090" s="93" t="s">
        <v>111</v>
      </c>
      <c r="J2090" s="93" t="s">
        <v>7105</v>
      </c>
      <c r="K2090" s="93" t="s">
        <v>111</v>
      </c>
      <c r="L2090" s="93" t="s">
        <v>111</v>
      </c>
      <c r="M2090" s="93" t="s">
        <v>111</v>
      </c>
      <c r="N2090" s="93" t="s">
        <v>111</v>
      </c>
      <c r="O2090" s="93" t="s">
        <v>111</v>
      </c>
      <c r="P2090" s="93" t="s">
        <v>111</v>
      </c>
      <c r="Q2090" s="93" t="s">
        <v>111</v>
      </c>
      <c r="R2090" s="93" t="s">
        <v>111</v>
      </c>
      <c r="S2090" s="93" t="s">
        <v>2</v>
      </c>
      <c r="T2090" s="93" t="s">
        <v>111</v>
      </c>
      <c r="U2090" s="93" t="s">
        <v>116</v>
      </c>
      <c r="V2090" s="94">
        <v>44610.183333333334</v>
      </c>
      <c r="W2090" s="93" t="s">
        <v>7072</v>
      </c>
      <c r="X2090" s="93" t="s">
        <v>24</v>
      </c>
    </row>
    <row r="2091" spans="1:24" hidden="1" x14ac:dyDescent="0.15">
      <c r="A2091" s="93" t="s">
        <v>353</v>
      </c>
      <c r="B2091" s="93" t="s">
        <v>942</v>
      </c>
      <c r="C2091" s="410">
        <v>6720</v>
      </c>
      <c r="D2091" s="93" t="s">
        <v>24</v>
      </c>
      <c r="E2091" s="93" t="s">
        <v>24</v>
      </c>
      <c r="F2091" s="93" t="s">
        <v>126</v>
      </c>
      <c r="G2091" s="93" t="s">
        <v>7183</v>
      </c>
      <c r="H2091" s="93" t="s">
        <v>400</v>
      </c>
      <c r="I2091" s="93" t="s">
        <v>111</v>
      </c>
      <c r="J2091" s="93" t="s">
        <v>7105</v>
      </c>
      <c r="K2091" s="93" t="s">
        <v>111</v>
      </c>
      <c r="L2091" s="93" t="s">
        <v>111</v>
      </c>
      <c r="M2091" s="93" t="s">
        <v>111</v>
      </c>
      <c r="N2091" s="93" t="s">
        <v>111</v>
      </c>
      <c r="O2091" s="93" t="s">
        <v>111</v>
      </c>
      <c r="P2091" s="93" t="s">
        <v>111</v>
      </c>
      <c r="Q2091" s="93" t="s">
        <v>111</v>
      </c>
      <c r="R2091" s="93" t="s">
        <v>111</v>
      </c>
      <c r="S2091" s="93" t="s">
        <v>2</v>
      </c>
      <c r="T2091" s="93" t="s">
        <v>111</v>
      </c>
      <c r="U2091" s="93" t="s">
        <v>116</v>
      </c>
      <c r="V2091" s="94">
        <v>44610.136805555558</v>
      </c>
      <c r="W2091" s="93" t="s">
        <v>7072</v>
      </c>
      <c r="X2091" s="93" t="s">
        <v>24</v>
      </c>
    </row>
    <row r="2092" spans="1:24" hidden="1" x14ac:dyDescent="0.15">
      <c r="A2092" s="93" t="s">
        <v>354</v>
      </c>
      <c r="B2092" s="93" t="s">
        <v>943</v>
      </c>
      <c r="C2092" s="410">
        <v>1488</v>
      </c>
      <c r="D2092" s="93" t="s">
        <v>24</v>
      </c>
      <c r="E2092" s="93" t="s">
        <v>24</v>
      </c>
      <c r="F2092" s="93" t="s">
        <v>126</v>
      </c>
      <c r="G2092" s="93" t="s">
        <v>7183</v>
      </c>
      <c r="H2092" s="93" t="s">
        <v>400</v>
      </c>
      <c r="I2092" s="93" t="s">
        <v>111</v>
      </c>
      <c r="J2092" s="93" t="s">
        <v>7105</v>
      </c>
      <c r="K2092" s="93" t="s">
        <v>111</v>
      </c>
      <c r="L2092" s="93" t="s">
        <v>111</v>
      </c>
      <c r="M2092" s="93" t="s">
        <v>111</v>
      </c>
      <c r="N2092" s="93" t="s">
        <v>111</v>
      </c>
      <c r="O2092" s="93" t="s">
        <v>111</v>
      </c>
      <c r="P2092" s="93" t="s">
        <v>111</v>
      </c>
      <c r="Q2092" s="93" t="s">
        <v>111</v>
      </c>
      <c r="R2092" s="93" t="s">
        <v>111</v>
      </c>
      <c r="S2092" s="93" t="s">
        <v>2</v>
      </c>
      <c r="T2092" s="93" t="s">
        <v>111</v>
      </c>
      <c r="U2092" s="93" t="s">
        <v>116</v>
      </c>
      <c r="V2092" s="94">
        <v>44610.206250000003</v>
      </c>
      <c r="W2092" s="93" t="s">
        <v>7072</v>
      </c>
      <c r="X2092" s="93" t="s">
        <v>24</v>
      </c>
    </row>
    <row r="2093" spans="1:24" hidden="1" x14ac:dyDescent="0.15">
      <c r="A2093" s="93" t="s">
        <v>355</v>
      </c>
      <c r="B2093" s="93" t="s">
        <v>944</v>
      </c>
      <c r="C2093" s="410">
        <v>7448</v>
      </c>
      <c r="D2093" s="93" t="s">
        <v>24</v>
      </c>
      <c r="E2093" s="93" t="s">
        <v>24</v>
      </c>
      <c r="F2093" s="93" t="s">
        <v>126</v>
      </c>
      <c r="G2093" s="93" t="s">
        <v>7183</v>
      </c>
      <c r="H2093" s="93" t="s">
        <v>400</v>
      </c>
      <c r="I2093" s="93" t="s">
        <v>111</v>
      </c>
      <c r="J2093" s="93" t="s">
        <v>7105</v>
      </c>
      <c r="K2093" s="93" t="s">
        <v>111</v>
      </c>
      <c r="L2093" s="93" t="s">
        <v>111</v>
      </c>
      <c r="M2093" s="93" t="s">
        <v>111</v>
      </c>
      <c r="N2093" s="93" t="s">
        <v>111</v>
      </c>
      <c r="O2093" s="93" t="s">
        <v>111</v>
      </c>
      <c r="P2093" s="93" t="s">
        <v>111</v>
      </c>
      <c r="Q2093" s="93" t="s">
        <v>111</v>
      </c>
      <c r="R2093" s="93" t="s">
        <v>111</v>
      </c>
      <c r="S2093" s="93" t="s">
        <v>2</v>
      </c>
      <c r="T2093" s="93" t="s">
        <v>111</v>
      </c>
      <c r="U2093" s="93" t="s">
        <v>116</v>
      </c>
      <c r="V2093" s="94">
        <v>44610.143055555556</v>
      </c>
      <c r="W2093" s="93" t="s">
        <v>7072</v>
      </c>
      <c r="X2093" s="93" t="s">
        <v>24</v>
      </c>
    </row>
    <row r="2094" spans="1:24" hidden="1" x14ac:dyDescent="0.15">
      <c r="A2094" s="93" t="s">
        <v>356</v>
      </c>
      <c r="B2094" s="93" t="s">
        <v>945</v>
      </c>
      <c r="C2094" s="410">
        <v>1632</v>
      </c>
      <c r="D2094" s="93" t="s">
        <v>24</v>
      </c>
      <c r="E2094" s="93" t="s">
        <v>24</v>
      </c>
      <c r="F2094" s="93" t="s">
        <v>126</v>
      </c>
      <c r="G2094" s="93" t="s">
        <v>7183</v>
      </c>
      <c r="H2094" s="93" t="s">
        <v>400</v>
      </c>
      <c r="I2094" s="93" t="s">
        <v>111</v>
      </c>
      <c r="J2094" s="93" t="s">
        <v>7105</v>
      </c>
      <c r="K2094" s="93" t="s">
        <v>111</v>
      </c>
      <c r="L2094" s="93" t="s">
        <v>111</v>
      </c>
      <c r="M2094" s="93" t="s">
        <v>111</v>
      </c>
      <c r="N2094" s="93" t="s">
        <v>111</v>
      </c>
      <c r="O2094" s="93" t="s">
        <v>111</v>
      </c>
      <c r="P2094" s="93" t="s">
        <v>111</v>
      </c>
      <c r="Q2094" s="93" t="s">
        <v>111</v>
      </c>
      <c r="R2094" s="93" t="s">
        <v>111</v>
      </c>
      <c r="S2094" s="93" t="s">
        <v>2</v>
      </c>
      <c r="T2094" s="93" t="s">
        <v>111</v>
      </c>
      <c r="U2094" s="93" t="s">
        <v>116</v>
      </c>
      <c r="V2094" s="94">
        <v>44610.143055555556</v>
      </c>
      <c r="W2094" s="93" t="s">
        <v>7072</v>
      </c>
      <c r="X2094" s="93" t="s">
        <v>24</v>
      </c>
    </row>
    <row r="2095" spans="1:24" hidden="1" x14ac:dyDescent="0.15">
      <c r="A2095" s="93" t="s">
        <v>357</v>
      </c>
      <c r="B2095" s="93" t="s">
        <v>946</v>
      </c>
      <c r="C2095" s="410">
        <v>8160</v>
      </c>
      <c r="D2095" s="93" t="s">
        <v>24</v>
      </c>
      <c r="E2095" s="93" t="s">
        <v>24</v>
      </c>
      <c r="F2095" s="93" t="s">
        <v>126</v>
      </c>
      <c r="G2095" s="93" t="s">
        <v>7183</v>
      </c>
      <c r="H2095" s="93" t="s">
        <v>400</v>
      </c>
      <c r="I2095" s="93" t="s">
        <v>111</v>
      </c>
      <c r="J2095" s="93" t="s">
        <v>7105</v>
      </c>
      <c r="K2095" s="93" t="s">
        <v>111</v>
      </c>
      <c r="L2095" s="93" t="s">
        <v>111</v>
      </c>
      <c r="M2095" s="93" t="s">
        <v>111</v>
      </c>
      <c r="N2095" s="93" t="s">
        <v>111</v>
      </c>
      <c r="O2095" s="93" t="s">
        <v>111</v>
      </c>
      <c r="P2095" s="93" t="s">
        <v>111</v>
      </c>
      <c r="Q2095" s="93" t="s">
        <v>111</v>
      </c>
      <c r="R2095" s="93" t="s">
        <v>111</v>
      </c>
      <c r="S2095" s="93" t="s">
        <v>2</v>
      </c>
      <c r="T2095" s="93" t="s">
        <v>111</v>
      </c>
      <c r="U2095" s="93" t="s">
        <v>116</v>
      </c>
      <c r="V2095" s="94">
        <v>44610.15</v>
      </c>
      <c r="W2095" s="93" t="s">
        <v>7072</v>
      </c>
      <c r="X2095" s="93" t="s">
        <v>24</v>
      </c>
    </row>
    <row r="2096" spans="1:24" hidden="1" x14ac:dyDescent="0.15">
      <c r="A2096" s="93" t="s">
        <v>358</v>
      </c>
      <c r="B2096" s="93" t="s">
        <v>947</v>
      </c>
      <c r="C2096" s="410">
        <v>1776</v>
      </c>
      <c r="D2096" s="93" t="s">
        <v>24</v>
      </c>
      <c r="E2096" s="93" t="s">
        <v>24</v>
      </c>
      <c r="F2096" s="93" t="s">
        <v>126</v>
      </c>
      <c r="G2096" s="93" t="s">
        <v>7183</v>
      </c>
      <c r="H2096" s="93" t="s">
        <v>400</v>
      </c>
      <c r="I2096" s="93" t="s">
        <v>111</v>
      </c>
      <c r="J2096" s="93" t="s">
        <v>7105</v>
      </c>
      <c r="K2096" s="93" t="s">
        <v>111</v>
      </c>
      <c r="L2096" s="93" t="s">
        <v>111</v>
      </c>
      <c r="M2096" s="93" t="s">
        <v>111</v>
      </c>
      <c r="N2096" s="93" t="s">
        <v>111</v>
      </c>
      <c r="O2096" s="93" t="s">
        <v>111</v>
      </c>
      <c r="P2096" s="93" t="s">
        <v>111</v>
      </c>
      <c r="Q2096" s="93" t="s">
        <v>111</v>
      </c>
      <c r="R2096" s="93" t="s">
        <v>111</v>
      </c>
      <c r="S2096" s="93" t="s">
        <v>2</v>
      </c>
      <c r="T2096" s="93" t="s">
        <v>111</v>
      </c>
      <c r="U2096" s="93" t="s">
        <v>116</v>
      </c>
      <c r="V2096" s="94">
        <v>44610.157638888886</v>
      </c>
      <c r="W2096" s="93" t="s">
        <v>7072</v>
      </c>
      <c r="X2096" s="93" t="s">
        <v>24</v>
      </c>
    </row>
    <row r="2097" spans="1:24" hidden="1" x14ac:dyDescent="0.15">
      <c r="A2097" s="93" t="s">
        <v>359</v>
      </c>
      <c r="B2097" s="93" t="s">
        <v>948</v>
      </c>
      <c r="C2097" s="410">
        <v>8892</v>
      </c>
      <c r="D2097" s="93" t="s">
        <v>24</v>
      </c>
      <c r="E2097" s="93" t="s">
        <v>24</v>
      </c>
      <c r="F2097" s="93" t="s">
        <v>126</v>
      </c>
      <c r="G2097" s="93" t="s">
        <v>7183</v>
      </c>
      <c r="H2097" s="93" t="s">
        <v>400</v>
      </c>
      <c r="I2097" s="93" t="s">
        <v>111</v>
      </c>
      <c r="J2097" s="93" t="s">
        <v>7105</v>
      </c>
      <c r="K2097" s="93" t="s">
        <v>111</v>
      </c>
      <c r="L2097" s="93" t="s">
        <v>111</v>
      </c>
      <c r="M2097" s="93" t="s">
        <v>111</v>
      </c>
      <c r="N2097" s="93" t="s">
        <v>111</v>
      </c>
      <c r="O2097" s="93" t="s">
        <v>111</v>
      </c>
      <c r="P2097" s="93" t="s">
        <v>111</v>
      </c>
      <c r="Q2097" s="93" t="s">
        <v>111</v>
      </c>
      <c r="R2097" s="93" t="s">
        <v>111</v>
      </c>
      <c r="S2097" s="93" t="s">
        <v>2</v>
      </c>
      <c r="T2097" s="93" t="s">
        <v>111</v>
      </c>
      <c r="U2097" s="93" t="s">
        <v>116</v>
      </c>
      <c r="V2097" s="94">
        <v>44610.175694444442</v>
      </c>
      <c r="W2097" s="93" t="s">
        <v>7072</v>
      </c>
      <c r="X2097" s="93" t="s">
        <v>24</v>
      </c>
    </row>
    <row r="2098" spans="1:24" hidden="1" x14ac:dyDescent="0.15">
      <c r="A2098" s="93" t="s">
        <v>360</v>
      </c>
      <c r="B2098" s="93" t="s">
        <v>379</v>
      </c>
      <c r="C2098" s="410">
        <v>48</v>
      </c>
      <c r="D2098" s="93" t="s">
        <v>24</v>
      </c>
      <c r="E2098" s="93" t="s">
        <v>24</v>
      </c>
      <c r="F2098" s="93" t="s">
        <v>126</v>
      </c>
      <c r="G2098" s="93" t="s">
        <v>7183</v>
      </c>
      <c r="H2098" s="93" t="s">
        <v>400</v>
      </c>
      <c r="I2098" s="93" t="s">
        <v>111</v>
      </c>
      <c r="J2098" s="93" t="s">
        <v>7105</v>
      </c>
      <c r="K2098" s="93" t="s">
        <v>111</v>
      </c>
      <c r="L2098" s="93" t="s">
        <v>111</v>
      </c>
      <c r="M2098" s="93" t="s">
        <v>111</v>
      </c>
      <c r="N2098" s="93" t="s">
        <v>111</v>
      </c>
      <c r="O2098" s="93" t="s">
        <v>111</v>
      </c>
      <c r="P2098" s="93" t="s">
        <v>111</v>
      </c>
      <c r="Q2098" s="93" t="s">
        <v>111</v>
      </c>
      <c r="R2098" s="93" t="s">
        <v>111</v>
      </c>
      <c r="S2098" s="93" t="s">
        <v>2</v>
      </c>
      <c r="T2098" s="93" t="s">
        <v>111</v>
      </c>
      <c r="U2098" s="93" t="s">
        <v>116</v>
      </c>
      <c r="V2098" s="94">
        <v>44610.1875</v>
      </c>
      <c r="W2098" s="93" t="s">
        <v>7072</v>
      </c>
      <c r="X2098" s="93" t="s">
        <v>24</v>
      </c>
    </row>
    <row r="2099" spans="1:24" hidden="1" x14ac:dyDescent="0.15">
      <c r="A2099" s="93" t="s">
        <v>361</v>
      </c>
      <c r="B2099" s="93" t="s">
        <v>949</v>
      </c>
      <c r="C2099" s="410">
        <v>0.8</v>
      </c>
      <c r="D2099" s="93" t="s">
        <v>24</v>
      </c>
      <c r="E2099" s="93" t="s">
        <v>24</v>
      </c>
      <c r="F2099" s="93" t="s">
        <v>126</v>
      </c>
      <c r="G2099" s="93" t="s">
        <v>7183</v>
      </c>
      <c r="H2099" s="93" t="s">
        <v>400</v>
      </c>
      <c r="I2099" s="93" t="s">
        <v>111</v>
      </c>
      <c r="J2099" s="93" t="s">
        <v>7105</v>
      </c>
      <c r="K2099" s="93" t="s">
        <v>111</v>
      </c>
      <c r="L2099" s="93" t="s">
        <v>111</v>
      </c>
      <c r="M2099" s="93" t="s">
        <v>111</v>
      </c>
      <c r="N2099" s="93" t="s">
        <v>111</v>
      </c>
      <c r="O2099" s="93" t="s">
        <v>111</v>
      </c>
      <c r="P2099" s="93" t="s">
        <v>111</v>
      </c>
      <c r="Q2099" s="93" t="s">
        <v>111</v>
      </c>
      <c r="R2099" s="93" t="s">
        <v>111</v>
      </c>
      <c r="S2099" s="93" t="s">
        <v>2</v>
      </c>
      <c r="T2099" s="93" t="s">
        <v>111</v>
      </c>
      <c r="U2099" s="93" t="s">
        <v>116</v>
      </c>
      <c r="V2099" s="94">
        <v>44610.144444444442</v>
      </c>
      <c r="W2099" s="93" t="s">
        <v>7072</v>
      </c>
      <c r="X2099" s="93" t="s">
        <v>24</v>
      </c>
    </row>
    <row r="2100" spans="1:24" hidden="1" x14ac:dyDescent="0.15">
      <c r="A2100" s="93" t="s">
        <v>362</v>
      </c>
      <c r="B2100" s="93" t="s">
        <v>950</v>
      </c>
      <c r="C2100" s="410">
        <v>1.73</v>
      </c>
      <c r="D2100" s="93" t="s">
        <v>24</v>
      </c>
      <c r="E2100" s="93" t="s">
        <v>24</v>
      </c>
      <c r="F2100" s="93" t="s">
        <v>126</v>
      </c>
      <c r="G2100" s="93" t="s">
        <v>7183</v>
      </c>
      <c r="H2100" s="93" t="s">
        <v>400</v>
      </c>
      <c r="I2100" s="93" t="s">
        <v>111</v>
      </c>
      <c r="J2100" s="93" t="s">
        <v>7105</v>
      </c>
      <c r="K2100" s="93" t="s">
        <v>111</v>
      </c>
      <c r="L2100" s="93" t="s">
        <v>111</v>
      </c>
      <c r="M2100" s="93" t="s">
        <v>111</v>
      </c>
      <c r="N2100" s="93" t="s">
        <v>111</v>
      </c>
      <c r="O2100" s="93" t="s">
        <v>111</v>
      </c>
      <c r="P2100" s="93" t="s">
        <v>111</v>
      </c>
      <c r="Q2100" s="93" t="s">
        <v>111</v>
      </c>
      <c r="R2100" s="93" t="s">
        <v>111</v>
      </c>
      <c r="S2100" s="93" t="s">
        <v>2</v>
      </c>
      <c r="T2100" s="93" t="s">
        <v>111</v>
      </c>
      <c r="U2100" s="93" t="s">
        <v>116</v>
      </c>
      <c r="V2100" s="94">
        <v>44610.199305555558</v>
      </c>
      <c r="W2100" s="93" t="s">
        <v>7072</v>
      </c>
      <c r="X2100" s="93" t="s">
        <v>24</v>
      </c>
    </row>
    <row r="2101" spans="1:24" hidden="1" x14ac:dyDescent="0.15">
      <c r="A2101" s="93" t="s">
        <v>6119</v>
      </c>
      <c r="B2101" s="93" t="s">
        <v>7486</v>
      </c>
      <c r="C2101" s="410">
        <v>7</v>
      </c>
      <c r="D2101" s="93" t="s">
        <v>24</v>
      </c>
      <c r="E2101" s="93" t="s">
        <v>24</v>
      </c>
      <c r="F2101" s="93" t="s">
        <v>399</v>
      </c>
      <c r="G2101" s="93" t="s">
        <v>7183</v>
      </c>
      <c r="H2101" s="93" t="s">
        <v>400</v>
      </c>
      <c r="I2101" s="93" t="s">
        <v>111</v>
      </c>
      <c r="J2101" s="93" t="s">
        <v>7105</v>
      </c>
      <c r="K2101" s="93" t="s">
        <v>111</v>
      </c>
      <c r="L2101" s="93" t="s">
        <v>111</v>
      </c>
      <c r="M2101" s="93" t="s">
        <v>111</v>
      </c>
      <c r="N2101" s="93" t="s">
        <v>111</v>
      </c>
      <c r="O2101" s="93" t="s">
        <v>111</v>
      </c>
      <c r="P2101" s="93" t="s">
        <v>111</v>
      </c>
      <c r="Q2101" s="93" t="s">
        <v>111</v>
      </c>
      <c r="R2101" s="93" t="s">
        <v>228</v>
      </c>
      <c r="S2101" s="93" t="s">
        <v>111</v>
      </c>
      <c r="T2101" s="93" t="s">
        <v>115</v>
      </c>
      <c r="U2101" s="93" t="s">
        <v>116</v>
      </c>
      <c r="V2101" s="94">
        <v>44610.203472222223</v>
      </c>
      <c r="W2101" s="93" t="s">
        <v>7072</v>
      </c>
      <c r="X2101" s="93" t="s">
        <v>24</v>
      </c>
    </row>
    <row r="2102" spans="1:24" hidden="1" x14ac:dyDescent="0.15">
      <c r="A2102" s="93" t="s">
        <v>6121</v>
      </c>
      <c r="B2102" s="93" t="s">
        <v>7487</v>
      </c>
      <c r="C2102" s="410">
        <v>18</v>
      </c>
      <c r="D2102" s="93" t="s">
        <v>24</v>
      </c>
      <c r="E2102" s="93" t="s">
        <v>24</v>
      </c>
      <c r="F2102" s="93" t="s">
        <v>399</v>
      </c>
      <c r="G2102" s="93" t="s">
        <v>7183</v>
      </c>
      <c r="H2102" s="93" t="s">
        <v>400</v>
      </c>
      <c r="I2102" s="93" t="s">
        <v>111</v>
      </c>
      <c r="J2102" s="93" t="s">
        <v>7105</v>
      </c>
      <c r="K2102" s="93" t="s">
        <v>111</v>
      </c>
      <c r="L2102" s="93" t="s">
        <v>111</v>
      </c>
      <c r="M2102" s="93" t="s">
        <v>111</v>
      </c>
      <c r="N2102" s="93" t="s">
        <v>111</v>
      </c>
      <c r="O2102" s="93" t="s">
        <v>111</v>
      </c>
      <c r="P2102" s="93" t="s">
        <v>111</v>
      </c>
      <c r="Q2102" s="93" t="s">
        <v>111</v>
      </c>
      <c r="R2102" s="93" t="s">
        <v>228</v>
      </c>
      <c r="S2102" s="93" t="s">
        <v>111</v>
      </c>
      <c r="T2102" s="93" t="s">
        <v>115</v>
      </c>
      <c r="U2102" s="93" t="s">
        <v>116</v>
      </c>
      <c r="V2102" s="94">
        <v>44610.165277777778</v>
      </c>
      <c r="W2102" s="93" t="s">
        <v>7072</v>
      </c>
      <c r="X2102" s="93" t="s">
        <v>24</v>
      </c>
    </row>
    <row r="2103" spans="1:24" hidden="1" x14ac:dyDescent="0.15">
      <c r="A2103" s="93" t="s">
        <v>6123</v>
      </c>
      <c r="B2103" s="93" t="s">
        <v>7488</v>
      </c>
      <c r="C2103" s="410">
        <v>28</v>
      </c>
      <c r="D2103" s="93" t="s">
        <v>24</v>
      </c>
      <c r="E2103" s="93" t="s">
        <v>24</v>
      </c>
      <c r="F2103" s="93" t="s">
        <v>399</v>
      </c>
      <c r="G2103" s="93" t="s">
        <v>7183</v>
      </c>
      <c r="H2103" s="93" t="s">
        <v>400</v>
      </c>
      <c r="I2103" s="93" t="s">
        <v>111</v>
      </c>
      <c r="J2103" s="93" t="s">
        <v>7105</v>
      </c>
      <c r="K2103" s="93" t="s">
        <v>111</v>
      </c>
      <c r="L2103" s="93" t="s">
        <v>111</v>
      </c>
      <c r="M2103" s="93" t="s">
        <v>111</v>
      </c>
      <c r="N2103" s="93" t="s">
        <v>111</v>
      </c>
      <c r="O2103" s="93" t="s">
        <v>111</v>
      </c>
      <c r="P2103" s="93" t="s">
        <v>111</v>
      </c>
      <c r="Q2103" s="93" t="s">
        <v>111</v>
      </c>
      <c r="R2103" s="93" t="s">
        <v>228</v>
      </c>
      <c r="S2103" s="93" t="s">
        <v>111</v>
      </c>
      <c r="T2103" s="93" t="s">
        <v>115</v>
      </c>
      <c r="U2103" s="93" t="s">
        <v>116</v>
      </c>
      <c r="V2103" s="94">
        <v>44610.195833333331</v>
      </c>
      <c r="W2103" s="93" t="s">
        <v>7072</v>
      </c>
      <c r="X2103" s="93" t="s">
        <v>24</v>
      </c>
    </row>
    <row r="2104" spans="1:24" hidden="1" x14ac:dyDescent="0.15">
      <c r="A2104" s="93" t="s">
        <v>6125</v>
      </c>
      <c r="B2104" s="93" t="s">
        <v>7489</v>
      </c>
      <c r="C2104" s="410">
        <v>6</v>
      </c>
      <c r="D2104" s="93" t="s">
        <v>24</v>
      </c>
      <c r="E2104" s="93" t="s">
        <v>24</v>
      </c>
      <c r="F2104" s="93" t="s">
        <v>399</v>
      </c>
      <c r="G2104" s="93" t="s">
        <v>7183</v>
      </c>
      <c r="H2104" s="93" t="s">
        <v>400</v>
      </c>
      <c r="I2104" s="93" t="s">
        <v>111</v>
      </c>
      <c r="J2104" s="93" t="s">
        <v>7105</v>
      </c>
      <c r="K2104" s="93" t="s">
        <v>111</v>
      </c>
      <c r="L2104" s="93" t="s">
        <v>111</v>
      </c>
      <c r="M2104" s="93" t="s">
        <v>111</v>
      </c>
      <c r="N2104" s="93" t="s">
        <v>111</v>
      </c>
      <c r="O2104" s="93" t="s">
        <v>111</v>
      </c>
      <c r="P2104" s="93" t="s">
        <v>111</v>
      </c>
      <c r="Q2104" s="93" t="s">
        <v>111</v>
      </c>
      <c r="R2104" s="93" t="s">
        <v>228</v>
      </c>
      <c r="S2104" s="93" t="s">
        <v>111</v>
      </c>
      <c r="T2104" s="93" t="s">
        <v>115</v>
      </c>
      <c r="U2104" s="93" t="s">
        <v>116</v>
      </c>
      <c r="V2104" s="94">
        <v>44610.140972222223</v>
      </c>
      <c r="W2104" s="93" t="s">
        <v>7072</v>
      </c>
      <c r="X2104" s="93" t="s">
        <v>24</v>
      </c>
    </row>
    <row r="2105" spans="1:24" hidden="1" x14ac:dyDescent="0.15">
      <c r="A2105" s="93" t="s">
        <v>6127</v>
      </c>
      <c r="B2105" s="93" t="s">
        <v>7490</v>
      </c>
      <c r="C2105" s="410">
        <v>16</v>
      </c>
      <c r="D2105" s="93" t="s">
        <v>24</v>
      </c>
      <c r="E2105" s="93" t="s">
        <v>24</v>
      </c>
      <c r="F2105" s="93" t="s">
        <v>399</v>
      </c>
      <c r="G2105" s="93" t="s">
        <v>7183</v>
      </c>
      <c r="H2105" s="93" t="s">
        <v>400</v>
      </c>
      <c r="I2105" s="93" t="s">
        <v>111</v>
      </c>
      <c r="J2105" s="93" t="s">
        <v>7105</v>
      </c>
      <c r="K2105" s="93" t="s">
        <v>111</v>
      </c>
      <c r="L2105" s="93" t="s">
        <v>111</v>
      </c>
      <c r="M2105" s="93" t="s">
        <v>111</v>
      </c>
      <c r="N2105" s="93" t="s">
        <v>111</v>
      </c>
      <c r="O2105" s="93" t="s">
        <v>111</v>
      </c>
      <c r="P2105" s="93" t="s">
        <v>111</v>
      </c>
      <c r="Q2105" s="93" t="s">
        <v>111</v>
      </c>
      <c r="R2105" s="93" t="s">
        <v>228</v>
      </c>
      <c r="S2105" s="93" t="s">
        <v>111</v>
      </c>
      <c r="T2105" s="93" t="s">
        <v>115</v>
      </c>
      <c r="U2105" s="93" t="s">
        <v>116</v>
      </c>
      <c r="V2105" s="94">
        <v>44610.201388888891</v>
      </c>
      <c r="W2105" s="93" t="s">
        <v>7072</v>
      </c>
      <c r="X2105" s="93" t="s">
        <v>24</v>
      </c>
    </row>
    <row r="2106" spans="1:24" hidden="1" x14ac:dyDescent="0.15">
      <c r="A2106" s="93" t="s">
        <v>6129</v>
      </c>
      <c r="B2106" s="93" t="s">
        <v>7491</v>
      </c>
      <c r="C2106" s="410">
        <v>24</v>
      </c>
      <c r="D2106" s="93" t="s">
        <v>24</v>
      </c>
      <c r="E2106" s="93" t="s">
        <v>24</v>
      </c>
      <c r="F2106" s="93" t="s">
        <v>399</v>
      </c>
      <c r="G2106" s="93" t="s">
        <v>7183</v>
      </c>
      <c r="H2106" s="93" t="s">
        <v>400</v>
      </c>
      <c r="I2106" s="93" t="s">
        <v>111</v>
      </c>
      <c r="J2106" s="93" t="s">
        <v>7105</v>
      </c>
      <c r="K2106" s="93" t="s">
        <v>111</v>
      </c>
      <c r="L2106" s="93" t="s">
        <v>111</v>
      </c>
      <c r="M2106" s="93" t="s">
        <v>111</v>
      </c>
      <c r="N2106" s="93" t="s">
        <v>111</v>
      </c>
      <c r="O2106" s="93" t="s">
        <v>111</v>
      </c>
      <c r="P2106" s="93" t="s">
        <v>111</v>
      </c>
      <c r="Q2106" s="93" t="s">
        <v>111</v>
      </c>
      <c r="R2106" s="93" t="s">
        <v>228</v>
      </c>
      <c r="S2106" s="93" t="s">
        <v>111</v>
      </c>
      <c r="T2106" s="93" t="s">
        <v>115</v>
      </c>
      <c r="U2106" s="93" t="s">
        <v>116</v>
      </c>
      <c r="V2106" s="94">
        <v>44610.15625</v>
      </c>
      <c r="W2106" s="93" t="s">
        <v>7072</v>
      </c>
      <c r="X2106" s="93" t="s">
        <v>24</v>
      </c>
    </row>
    <row r="2107" spans="1:24" hidden="1" x14ac:dyDescent="0.15">
      <c r="A2107" s="93" t="s">
        <v>6131</v>
      </c>
      <c r="B2107" s="93" t="s">
        <v>7492</v>
      </c>
      <c r="C2107" s="410">
        <v>9</v>
      </c>
      <c r="D2107" s="93" t="s">
        <v>24</v>
      </c>
      <c r="E2107" s="93" t="s">
        <v>24</v>
      </c>
      <c r="F2107" s="93" t="s">
        <v>399</v>
      </c>
      <c r="G2107" s="93" t="s">
        <v>7183</v>
      </c>
      <c r="H2107" s="93" t="s">
        <v>400</v>
      </c>
      <c r="I2107" s="93" t="s">
        <v>111</v>
      </c>
      <c r="J2107" s="93" t="s">
        <v>7105</v>
      </c>
      <c r="K2107" s="93" t="s">
        <v>111</v>
      </c>
      <c r="L2107" s="93" t="s">
        <v>111</v>
      </c>
      <c r="M2107" s="93" t="s">
        <v>111</v>
      </c>
      <c r="N2107" s="93" t="s">
        <v>111</v>
      </c>
      <c r="O2107" s="93" t="s">
        <v>111</v>
      </c>
      <c r="P2107" s="93" t="s">
        <v>111</v>
      </c>
      <c r="Q2107" s="93" t="s">
        <v>111</v>
      </c>
      <c r="R2107" s="93" t="s">
        <v>228</v>
      </c>
      <c r="S2107" s="93" t="s">
        <v>111</v>
      </c>
      <c r="T2107" s="93" t="s">
        <v>115</v>
      </c>
      <c r="U2107" s="93" t="s">
        <v>116</v>
      </c>
      <c r="V2107" s="94">
        <v>44610.145833333336</v>
      </c>
      <c r="W2107" s="93" t="s">
        <v>7072</v>
      </c>
      <c r="X2107" s="93" t="s">
        <v>24</v>
      </c>
    </row>
    <row r="2108" spans="1:24" hidden="1" x14ac:dyDescent="0.15">
      <c r="A2108" s="93" t="s">
        <v>6133</v>
      </c>
      <c r="B2108" s="93" t="s">
        <v>7493</v>
      </c>
      <c r="C2108" s="410">
        <v>23</v>
      </c>
      <c r="D2108" s="93" t="s">
        <v>24</v>
      </c>
      <c r="E2108" s="93" t="s">
        <v>24</v>
      </c>
      <c r="F2108" s="93" t="s">
        <v>399</v>
      </c>
      <c r="G2108" s="93" t="s">
        <v>7183</v>
      </c>
      <c r="H2108" s="93" t="s">
        <v>400</v>
      </c>
      <c r="I2108" s="93" t="s">
        <v>111</v>
      </c>
      <c r="J2108" s="93" t="s">
        <v>7105</v>
      </c>
      <c r="K2108" s="93" t="s">
        <v>111</v>
      </c>
      <c r="L2108" s="93" t="s">
        <v>111</v>
      </c>
      <c r="M2108" s="93" t="s">
        <v>111</v>
      </c>
      <c r="N2108" s="93" t="s">
        <v>111</v>
      </c>
      <c r="O2108" s="93" t="s">
        <v>111</v>
      </c>
      <c r="P2108" s="93" t="s">
        <v>111</v>
      </c>
      <c r="Q2108" s="93" t="s">
        <v>111</v>
      </c>
      <c r="R2108" s="93" t="s">
        <v>228</v>
      </c>
      <c r="S2108" s="93" t="s">
        <v>111</v>
      </c>
      <c r="T2108" s="93" t="s">
        <v>115</v>
      </c>
      <c r="U2108" s="93" t="s">
        <v>116</v>
      </c>
      <c r="V2108" s="94">
        <v>44610.180555555555</v>
      </c>
      <c r="W2108" s="93" t="s">
        <v>7072</v>
      </c>
      <c r="X2108" s="93" t="s">
        <v>24</v>
      </c>
    </row>
    <row r="2109" spans="1:24" hidden="1" x14ac:dyDescent="0.15">
      <c r="A2109" s="93" t="s">
        <v>6135</v>
      </c>
      <c r="B2109" s="93" t="s">
        <v>7494</v>
      </c>
      <c r="C2109" s="410">
        <v>36</v>
      </c>
      <c r="D2109" s="93" t="s">
        <v>24</v>
      </c>
      <c r="E2109" s="93" t="s">
        <v>24</v>
      </c>
      <c r="F2109" s="93" t="s">
        <v>399</v>
      </c>
      <c r="G2109" s="93" t="s">
        <v>7183</v>
      </c>
      <c r="H2109" s="93" t="s">
        <v>400</v>
      </c>
      <c r="I2109" s="93" t="s">
        <v>111</v>
      </c>
      <c r="J2109" s="93" t="s">
        <v>7105</v>
      </c>
      <c r="K2109" s="93" t="s">
        <v>111</v>
      </c>
      <c r="L2109" s="93" t="s">
        <v>111</v>
      </c>
      <c r="M2109" s="93" t="s">
        <v>111</v>
      </c>
      <c r="N2109" s="93" t="s">
        <v>111</v>
      </c>
      <c r="O2109" s="93" t="s">
        <v>111</v>
      </c>
      <c r="P2109" s="93" t="s">
        <v>111</v>
      </c>
      <c r="Q2109" s="93" t="s">
        <v>111</v>
      </c>
      <c r="R2109" s="93" t="s">
        <v>228</v>
      </c>
      <c r="S2109" s="93" t="s">
        <v>111</v>
      </c>
      <c r="T2109" s="93" t="s">
        <v>115</v>
      </c>
      <c r="U2109" s="93" t="s">
        <v>116</v>
      </c>
      <c r="V2109" s="94">
        <v>44610.201388888891</v>
      </c>
      <c r="W2109" s="93" t="s">
        <v>7072</v>
      </c>
      <c r="X2109" s="93" t="s">
        <v>24</v>
      </c>
    </row>
    <row r="2110" spans="1:24" hidden="1" x14ac:dyDescent="0.15">
      <c r="A2110" s="93" t="s">
        <v>6143</v>
      </c>
      <c r="B2110" s="93" t="s">
        <v>7495</v>
      </c>
      <c r="C2110" s="410">
        <v>15</v>
      </c>
      <c r="D2110" s="93" t="s">
        <v>24</v>
      </c>
      <c r="E2110" s="93" t="s">
        <v>24</v>
      </c>
      <c r="F2110" s="93" t="s">
        <v>399</v>
      </c>
      <c r="G2110" s="93" t="s">
        <v>7183</v>
      </c>
      <c r="H2110" s="93" t="s">
        <v>400</v>
      </c>
      <c r="I2110" s="93" t="s">
        <v>111</v>
      </c>
      <c r="J2110" s="93" t="s">
        <v>7105</v>
      </c>
      <c r="K2110" s="93" t="s">
        <v>111</v>
      </c>
      <c r="L2110" s="93" t="s">
        <v>111</v>
      </c>
      <c r="M2110" s="93" t="s">
        <v>111</v>
      </c>
      <c r="N2110" s="93" t="s">
        <v>111</v>
      </c>
      <c r="O2110" s="93" t="s">
        <v>111</v>
      </c>
      <c r="P2110" s="93" t="s">
        <v>111</v>
      </c>
      <c r="Q2110" s="93" t="s">
        <v>111</v>
      </c>
      <c r="R2110" s="93" t="s">
        <v>228</v>
      </c>
      <c r="S2110" s="93" t="s">
        <v>111</v>
      </c>
      <c r="T2110" s="93" t="s">
        <v>115</v>
      </c>
      <c r="U2110" s="93" t="s">
        <v>116</v>
      </c>
      <c r="V2110" s="94">
        <v>44610.140277777777</v>
      </c>
      <c r="W2110" s="93" t="s">
        <v>7072</v>
      </c>
      <c r="X2110" s="93" t="s">
        <v>24</v>
      </c>
    </row>
    <row r="2111" spans="1:24" hidden="1" x14ac:dyDescent="0.15">
      <c r="A2111" s="93" t="s">
        <v>6145</v>
      </c>
      <c r="B2111" s="93" t="s">
        <v>7496</v>
      </c>
      <c r="C2111" s="410">
        <v>39</v>
      </c>
      <c r="D2111" s="93" t="s">
        <v>24</v>
      </c>
      <c r="E2111" s="93" t="s">
        <v>24</v>
      </c>
      <c r="F2111" s="93" t="s">
        <v>399</v>
      </c>
      <c r="G2111" s="93" t="s">
        <v>7183</v>
      </c>
      <c r="H2111" s="93" t="s">
        <v>400</v>
      </c>
      <c r="I2111" s="93" t="s">
        <v>111</v>
      </c>
      <c r="J2111" s="93" t="s">
        <v>7105</v>
      </c>
      <c r="K2111" s="93" t="s">
        <v>111</v>
      </c>
      <c r="L2111" s="93" t="s">
        <v>111</v>
      </c>
      <c r="M2111" s="93" t="s">
        <v>111</v>
      </c>
      <c r="N2111" s="93" t="s">
        <v>111</v>
      </c>
      <c r="O2111" s="93" t="s">
        <v>111</v>
      </c>
      <c r="P2111" s="93" t="s">
        <v>111</v>
      </c>
      <c r="Q2111" s="93" t="s">
        <v>111</v>
      </c>
      <c r="R2111" s="93" t="s">
        <v>228</v>
      </c>
      <c r="S2111" s="93" t="s">
        <v>111</v>
      </c>
      <c r="T2111" s="93" t="s">
        <v>115</v>
      </c>
      <c r="U2111" s="93" t="s">
        <v>116</v>
      </c>
      <c r="V2111" s="94">
        <v>44610.145833333336</v>
      </c>
      <c r="W2111" s="93" t="s">
        <v>7072</v>
      </c>
      <c r="X2111" s="93" t="s">
        <v>24</v>
      </c>
    </row>
    <row r="2112" spans="1:24" hidden="1" x14ac:dyDescent="0.15">
      <c r="A2112" s="93" t="s">
        <v>6147</v>
      </c>
      <c r="B2112" s="93" t="s">
        <v>7497</v>
      </c>
      <c r="C2112" s="410">
        <v>60</v>
      </c>
      <c r="D2112" s="93" t="s">
        <v>24</v>
      </c>
      <c r="E2112" s="93" t="s">
        <v>24</v>
      </c>
      <c r="F2112" s="93" t="s">
        <v>399</v>
      </c>
      <c r="G2112" s="93" t="s">
        <v>7183</v>
      </c>
      <c r="H2112" s="93" t="s">
        <v>400</v>
      </c>
      <c r="I2112" s="93" t="s">
        <v>111</v>
      </c>
      <c r="J2112" s="93" t="s">
        <v>7105</v>
      </c>
      <c r="K2112" s="93" t="s">
        <v>111</v>
      </c>
      <c r="L2112" s="93" t="s">
        <v>111</v>
      </c>
      <c r="M2112" s="93" t="s">
        <v>111</v>
      </c>
      <c r="N2112" s="93" t="s">
        <v>111</v>
      </c>
      <c r="O2112" s="93" t="s">
        <v>111</v>
      </c>
      <c r="P2112" s="93" t="s">
        <v>111</v>
      </c>
      <c r="Q2112" s="93" t="s">
        <v>111</v>
      </c>
      <c r="R2112" s="93" t="s">
        <v>228</v>
      </c>
      <c r="S2112" s="93" t="s">
        <v>111</v>
      </c>
      <c r="T2112" s="93" t="s">
        <v>115</v>
      </c>
      <c r="U2112" s="93" t="s">
        <v>116</v>
      </c>
      <c r="V2112" s="94">
        <v>44610.180555555555</v>
      </c>
      <c r="W2112" s="93" t="s">
        <v>7072</v>
      </c>
      <c r="X2112" s="93" t="s">
        <v>24</v>
      </c>
    </row>
    <row r="2113" spans="1:24" hidden="1" x14ac:dyDescent="0.15">
      <c r="A2113" s="93" t="s">
        <v>6149</v>
      </c>
      <c r="B2113" s="93" t="s">
        <v>7498</v>
      </c>
      <c r="C2113" s="410">
        <v>15</v>
      </c>
      <c r="D2113" s="93" t="s">
        <v>24</v>
      </c>
      <c r="E2113" s="93" t="s">
        <v>24</v>
      </c>
      <c r="F2113" s="93" t="s">
        <v>399</v>
      </c>
      <c r="G2113" s="93" t="s">
        <v>7183</v>
      </c>
      <c r="H2113" s="93" t="s">
        <v>400</v>
      </c>
      <c r="I2113" s="93" t="s">
        <v>111</v>
      </c>
      <c r="J2113" s="93" t="s">
        <v>7105</v>
      </c>
      <c r="K2113" s="93" t="s">
        <v>111</v>
      </c>
      <c r="L2113" s="93" t="s">
        <v>111</v>
      </c>
      <c r="M2113" s="93" t="s">
        <v>111</v>
      </c>
      <c r="N2113" s="93" t="s">
        <v>111</v>
      </c>
      <c r="O2113" s="93" t="s">
        <v>111</v>
      </c>
      <c r="P2113" s="93" t="s">
        <v>111</v>
      </c>
      <c r="Q2113" s="93" t="s">
        <v>111</v>
      </c>
      <c r="R2113" s="93" t="s">
        <v>228</v>
      </c>
      <c r="S2113" s="93" t="s">
        <v>111</v>
      </c>
      <c r="T2113" s="93" t="s">
        <v>115</v>
      </c>
      <c r="U2113" s="93" t="s">
        <v>116</v>
      </c>
      <c r="V2113" s="94">
        <v>44610.201388888891</v>
      </c>
      <c r="W2113" s="93" t="s">
        <v>7072</v>
      </c>
      <c r="X2113" s="93" t="s">
        <v>24</v>
      </c>
    </row>
    <row r="2114" spans="1:24" hidden="1" x14ac:dyDescent="0.15">
      <c r="A2114" s="93" t="s">
        <v>6151</v>
      </c>
      <c r="B2114" s="93" t="s">
        <v>7499</v>
      </c>
      <c r="C2114" s="410">
        <v>39</v>
      </c>
      <c r="D2114" s="93" t="s">
        <v>24</v>
      </c>
      <c r="E2114" s="93" t="s">
        <v>24</v>
      </c>
      <c r="F2114" s="93" t="s">
        <v>399</v>
      </c>
      <c r="G2114" s="93" t="s">
        <v>7183</v>
      </c>
      <c r="H2114" s="93" t="s">
        <v>400</v>
      </c>
      <c r="I2114" s="93" t="s">
        <v>111</v>
      </c>
      <c r="J2114" s="93" t="s">
        <v>7105</v>
      </c>
      <c r="K2114" s="93" t="s">
        <v>111</v>
      </c>
      <c r="L2114" s="93" t="s">
        <v>111</v>
      </c>
      <c r="M2114" s="93" t="s">
        <v>111</v>
      </c>
      <c r="N2114" s="93" t="s">
        <v>111</v>
      </c>
      <c r="O2114" s="93" t="s">
        <v>111</v>
      </c>
      <c r="P2114" s="93" t="s">
        <v>111</v>
      </c>
      <c r="Q2114" s="93" t="s">
        <v>111</v>
      </c>
      <c r="R2114" s="93" t="s">
        <v>228</v>
      </c>
      <c r="S2114" s="93" t="s">
        <v>111</v>
      </c>
      <c r="T2114" s="93" t="s">
        <v>115</v>
      </c>
      <c r="U2114" s="93" t="s">
        <v>116</v>
      </c>
      <c r="V2114" s="94">
        <v>44610.20416666667</v>
      </c>
      <c r="W2114" s="93" t="s">
        <v>7072</v>
      </c>
      <c r="X2114" s="93" t="s">
        <v>24</v>
      </c>
    </row>
    <row r="2115" spans="1:24" hidden="1" x14ac:dyDescent="0.15">
      <c r="A2115" s="93" t="s">
        <v>6153</v>
      </c>
      <c r="B2115" s="93" t="s">
        <v>7500</v>
      </c>
      <c r="C2115" s="410">
        <v>60</v>
      </c>
      <c r="D2115" s="93" t="s">
        <v>24</v>
      </c>
      <c r="E2115" s="93" t="s">
        <v>24</v>
      </c>
      <c r="F2115" s="93" t="s">
        <v>399</v>
      </c>
      <c r="G2115" s="93" t="s">
        <v>7183</v>
      </c>
      <c r="H2115" s="93" t="s">
        <v>400</v>
      </c>
      <c r="I2115" s="93" t="s">
        <v>111</v>
      </c>
      <c r="J2115" s="93" t="s">
        <v>7105</v>
      </c>
      <c r="K2115" s="93" t="s">
        <v>111</v>
      </c>
      <c r="L2115" s="93" t="s">
        <v>111</v>
      </c>
      <c r="M2115" s="93" t="s">
        <v>111</v>
      </c>
      <c r="N2115" s="93" t="s">
        <v>111</v>
      </c>
      <c r="O2115" s="93" t="s">
        <v>111</v>
      </c>
      <c r="P2115" s="93" t="s">
        <v>111</v>
      </c>
      <c r="Q2115" s="93" t="s">
        <v>111</v>
      </c>
      <c r="R2115" s="93" t="s">
        <v>228</v>
      </c>
      <c r="S2115" s="93" t="s">
        <v>111</v>
      </c>
      <c r="T2115" s="93" t="s">
        <v>115</v>
      </c>
      <c r="U2115" s="93" t="s">
        <v>116</v>
      </c>
      <c r="V2115" s="94">
        <v>44610.165277777778</v>
      </c>
      <c r="W2115" s="93" t="s">
        <v>7072</v>
      </c>
      <c r="X2115" s="93" t="s">
        <v>24</v>
      </c>
    </row>
    <row r="2116" spans="1:24" hidden="1" x14ac:dyDescent="0.15">
      <c r="A2116" s="93" t="s">
        <v>6155</v>
      </c>
      <c r="B2116" s="93" t="s">
        <v>7501</v>
      </c>
      <c r="C2116" s="410">
        <v>15</v>
      </c>
      <c r="D2116" s="93" t="s">
        <v>24</v>
      </c>
      <c r="E2116" s="93" t="s">
        <v>24</v>
      </c>
      <c r="F2116" s="93" t="s">
        <v>399</v>
      </c>
      <c r="G2116" s="93" t="s">
        <v>7183</v>
      </c>
      <c r="H2116" s="93" t="s">
        <v>400</v>
      </c>
      <c r="I2116" s="93" t="s">
        <v>111</v>
      </c>
      <c r="J2116" s="93" t="s">
        <v>7105</v>
      </c>
      <c r="K2116" s="93" t="s">
        <v>111</v>
      </c>
      <c r="L2116" s="93" t="s">
        <v>111</v>
      </c>
      <c r="M2116" s="93" t="s">
        <v>111</v>
      </c>
      <c r="N2116" s="93" t="s">
        <v>111</v>
      </c>
      <c r="O2116" s="93" t="s">
        <v>111</v>
      </c>
      <c r="P2116" s="93" t="s">
        <v>111</v>
      </c>
      <c r="Q2116" s="93" t="s">
        <v>111</v>
      </c>
      <c r="R2116" s="93" t="s">
        <v>228</v>
      </c>
      <c r="S2116" s="93" t="s">
        <v>111</v>
      </c>
      <c r="T2116" s="93" t="s">
        <v>115</v>
      </c>
      <c r="U2116" s="93" t="s">
        <v>116</v>
      </c>
      <c r="V2116" s="94">
        <v>44610.147222222222</v>
      </c>
      <c r="W2116" s="93" t="s">
        <v>7072</v>
      </c>
      <c r="X2116" s="93" t="s">
        <v>24</v>
      </c>
    </row>
    <row r="2117" spans="1:24" hidden="1" x14ac:dyDescent="0.15">
      <c r="A2117" s="93" t="s">
        <v>6157</v>
      </c>
      <c r="B2117" s="93" t="s">
        <v>7502</v>
      </c>
      <c r="C2117" s="410">
        <v>39</v>
      </c>
      <c r="D2117" s="93" t="s">
        <v>24</v>
      </c>
      <c r="E2117" s="93" t="s">
        <v>24</v>
      </c>
      <c r="F2117" s="93" t="s">
        <v>399</v>
      </c>
      <c r="G2117" s="93" t="s">
        <v>7183</v>
      </c>
      <c r="H2117" s="93" t="s">
        <v>400</v>
      </c>
      <c r="I2117" s="93" t="s">
        <v>111</v>
      </c>
      <c r="J2117" s="93" t="s">
        <v>7105</v>
      </c>
      <c r="K2117" s="93" t="s">
        <v>111</v>
      </c>
      <c r="L2117" s="93" t="s">
        <v>111</v>
      </c>
      <c r="M2117" s="93" t="s">
        <v>111</v>
      </c>
      <c r="N2117" s="93" t="s">
        <v>111</v>
      </c>
      <c r="O2117" s="93" t="s">
        <v>111</v>
      </c>
      <c r="P2117" s="93" t="s">
        <v>111</v>
      </c>
      <c r="Q2117" s="93" t="s">
        <v>111</v>
      </c>
      <c r="R2117" s="93" t="s">
        <v>228</v>
      </c>
      <c r="S2117" s="93" t="s">
        <v>111</v>
      </c>
      <c r="T2117" s="93" t="s">
        <v>115</v>
      </c>
      <c r="U2117" s="93" t="s">
        <v>116</v>
      </c>
      <c r="V2117" s="94">
        <v>44610.201388888891</v>
      </c>
      <c r="W2117" s="93" t="s">
        <v>7072</v>
      </c>
      <c r="X2117" s="93" t="s">
        <v>24</v>
      </c>
    </row>
    <row r="2118" spans="1:24" hidden="1" x14ac:dyDescent="0.15">
      <c r="A2118" s="93" t="s">
        <v>6159</v>
      </c>
      <c r="B2118" s="93" t="s">
        <v>7503</v>
      </c>
      <c r="C2118" s="410">
        <v>60</v>
      </c>
      <c r="D2118" s="93" t="s">
        <v>24</v>
      </c>
      <c r="E2118" s="93" t="s">
        <v>24</v>
      </c>
      <c r="F2118" s="93" t="s">
        <v>399</v>
      </c>
      <c r="G2118" s="93" t="s">
        <v>7183</v>
      </c>
      <c r="H2118" s="93" t="s">
        <v>400</v>
      </c>
      <c r="I2118" s="93" t="s">
        <v>111</v>
      </c>
      <c r="J2118" s="93" t="s">
        <v>7105</v>
      </c>
      <c r="K2118" s="93" t="s">
        <v>111</v>
      </c>
      <c r="L2118" s="93" t="s">
        <v>111</v>
      </c>
      <c r="M2118" s="93" t="s">
        <v>111</v>
      </c>
      <c r="N2118" s="93" t="s">
        <v>111</v>
      </c>
      <c r="O2118" s="93" t="s">
        <v>111</v>
      </c>
      <c r="P2118" s="93" t="s">
        <v>111</v>
      </c>
      <c r="Q2118" s="93" t="s">
        <v>111</v>
      </c>
      <c r="R2118" s="93" t="s">
        <v>228</v>
      </c>
      <c r="S2118" s="93" t="s">
        <v>111</v>
      </c>
      <c r="T2118" s="93" t="s">
        <v>115</v>
      </c>
      <c r="U2118" s="93" t="s">
        <v>116</v>
      </c>
      <c r="V2118" s="94">
        <v>44610.15625</v>
      </c>
      <c r="W2118" s="93" t="s">
        <v>7072</v>
      </c>
      <c r="X2118" s="93" t="s">
        <v>24</v>
      </c>
    </row>
    <row r="2119" spans="1:24" hidden="1" x14ac:dyDescent="0.15">
      <c r="A2119" s="93" t="s">
        <v>6161</v>
      </c>
      <c r="B2119" s="93" t="s">
        <v>7504</v>
      </c>
      <c r="C2119" s="410">
        <v>10</v>
      </c>
      <c r="D2119" s="93" t="s">
        <v>24</v>
      </c>
      <c r="E2119" s="93" t="s">
        <v>24</v>
      </c>
      <c r="F2119" s="93" t="s">
        <v>399</v>
      </c>
      <c r="G2119" s="93" t="s">
        <v>7183</v>
      </c>
      <c r="H2119" s="93" t="s">
        <v>400</v>
      </c>
      <c r="I2119" s="93" t="s">
        <v>111</v>
      </c>
      <c r="J2119" s="93" t="s">
        <v>7105</v>
      </c>
      <c r="K2119" s="93" t="s">
        <v>111</v>
      </c>
      <c r="L2119" s="93" t="s">
        <v>111</v>
      </c>
      <c r="M2119" s="93" t="s">
        <v>111</v>
      </c>
      <c r="N2119" s="93" t="s">
        <v>111</v>
      </c>
      <c r="O2119" s="93" t="s">
        <v>111</v>
      </c>
      <c r="P2119" s="93" t="s">
        <v>111</v>
      </c>
      <c r="Q2119" s="93" t="s">
        <v>111</v>
      </c>
      <c r="R2119" s="93" t="s">
        <v>228</v>
      </c>
      <c r="S2119" s="93" t="s">
        <v>111</v>
      </c>
      <c r="T2119" s="93" t="s">
        <v>115</v>
      </c>
      <c r="U2119" s="93" t="s">
        <v>116</v>
      </c>
      <c r="V2119" s="94">
        <v>44610.154166666667</v>
      </c>
      <c r="W2119" s="93" t="s">
        <v>7072</v>
      </c>
      <c r="X2119" s="93" t="s">
        <v>24</v>
      </c>
    </row>
    <row r="2120" spans="1:24" hidden="1" x14ac:dyDescent="0.15">
      <c r="A2120" s="93" t="s">
        <v>6163</v>
      </c>
      <c r="B2120" s="93" t="s">
        <v>7505</v>
      </c>
      <c r="C2120" s="410">
        <v>26</v>
      </c>
      <c r="D2120" s="93" t="s">
        <v>24</v>
      </c>
      <c r="E2120" s="93" t="s">
        <v>24</v>
      </c>
      <c r="F2120" s="93" t="s">
        <v>399</v>
      </c>
      <c r="G2120" s="93" t="s">
        <v>7183</v>
      </c>
      <c r="H2120" s="93" t="s">
        <v>400</v>
      </c>
      <c r="I2120" s="93" t="s">
        <v>111</v>
      </c>
      <c r="J2120" s="93" t="s">
        <v>7105</v>
      </c>
      <c r="K2120" s="93" t="s">
        <v>111</v>
      </c>
      <c r="L2120" s="93" t="s">
        <v>111</v>
      </c>
      <c r="M2120" s="93" t="s">
        <v>111</v>
      </c>
      <c r="N2120" s="93" t="s">
        <v>111</v>
      </c>
      <c r="O2120" s="93" t="s">
        <v>111</v>
      </c>
      <c r="P2120" s="93" t="s">
        <v>111</v>
      </c>
      <c r="Q2120" s="93" t="s">
        <v>111</v>
      </c>
      <c r="R2120" s="93" t="s">
        <v>228</v>
      </c>
      <c r="S2120" s="93" t="s">
        <v>111</v>
      </c>
      <c r="T2120" s="93" t="s">
        <v>115</v>
      </c>
      <c r="U2120" s="93" t="s">
        <v>116</v>
      </c>
      <c r="V2120" s="94">
        <v>44610.20416666667</v>
      </c>
      <c r="W2120" s="93" t="s">
        <v>7072</v>
      </c>
      <c r="X2120" s="93" t="s">
        <v>24</v>
      </c>
    </row>
    <row r="2121" spans="1:24" hidden="1" x14ac:dyDescent="0.15">
      <c r="A2121" s="93" t="s">
        <v>6165</v>
      </c>
      <c r="B2121" s="93" t="s">
        <v>7506</v>
      </c>
      <c r="C2121" s="410">
        <v>40</v>
      </c>
      <c r="D2121" s="93" t="s">
        <v>24</v>
      </c>
      <c r="E2121" s="93" t="s">
        <v>24</v>
      </c>
      <c r="F2121" s="93" t="s">
        <v>399</v>
      </c>
      <c r="G2121" s="93" t="s">
        <v>7183</v>
      </c>
      <c r="H2121" s="93" t="s">
        <v>400</v>
      </c>
      <c r="I2121" s="93" t="s">
        <v>111</v>
      </c>
      <c r="J2121" s="93" t="s">
        <v>7105</v>
      </c>
      <c r="K2121" s="93" t="s">
        <v>111</v>
      </c>
      <c r="L2121" s="93" t="s">
        <v>111</v>
      </c>
      <c r="M2121" s="93" t="s">
        <v>111</v>
      </c>
      <c r="N2121" s="93" t="s">
        <v>111</v>
      </c>
      <c r="O2121" s="93" t="s">
        <v>111</v>
      </c>
      <c r="P2121" s="93" t="s">
        <v>111</v>
      </c>
      <c r="Q2121" s="93" t="s">
        <v>111</v>
      </c>
      <c r="R2121" s="93" t="s">
        <v>228</v>
      </c>
      <c r="S2121" s="93" t="s">
        <v>111</v>
      </c>
      <c r="T2121" s="93" t="s">
        <v>115</v>
      </c>
      <c r="U2121" s="93" t="s">
        <v>116</v>
      </c>
      <c r="V2121" s="94">
        <v>44610.163194444445</v>
      </c>
      <c r="W2121" s="93" t="s">
        <v>7072</v>
      </c>
      <c r="X2121" s="93" t="s">
        <v>24</v>
      </c>
    </row>
    <row r="2122" spans="1:24" hidden="1" x14ac:dyDescent="0.15">
      <c r="A2122" s="93" t="s">
        <v>6167</v>
      </c>
      <c r="B2122" s="93" t="s">
        <v>7507</v>
      </c>
      <c r="C2122" s="410">
        <v>15</v>
      </c>
      <c r="D2122" s="93" t="s">
        <v>24</v>
      </c>
      <c r="E2122" s="93" t="s">
        <v>24</v>
      </c>
      <c r="F2122" s="93" t="s">
        <v>399</v>
      </c>
      <c r="G2122" s="93" t="s">
        <v>7183</v>
      </c>
      <c r="H2122" s="93" t="s">
        <v>400</v>
      </c>
      <c r="I2122" s="93" t="s">
        <v>111</v>
      </c>
      <c r="J2122" s="93" t="s">
        <v>7105</v>
      </c>
      <c r="K2122" s="93" t="s">
        <v>111</v>
      </c>
      <c r="L2122" s="93" t="s">
        <v>111</v>
      </c>
      <c r="M2122" s="93" t="s">
        <v>111</v>
      </c>
      <c r="N2122" s="93" t="s">
        <v>111</v>
      </c>
      <c r="O2122" s="93" t="s">
        <v>111</v>
      </c>
      <c r="P2122" s="93" t="s">
        <v>111</v>
      </c>
      <c r="Q2122" s="93" t="s">
        <v>111</v>
      </c>
      <c r="R2122" s="93" t="s">
        <v>228</v>
      </c>
      <c r="S2122" s="93" t="s">
        <v>111</v>
      </c>
      <c r="T2122" s="93" t="s">
        <v>115</v>
      </c>
      <c r="U2122" s="93" t="s">
        <v>116</v>
      </c>
      <c r="V2122" s="94">
        <v>44610.140277777777</v>
      </c>
      <c r="W2122" s="93" t="s">
        <v>7072</v>
      </c>
      <c r="X2122" s="93" t="s">
        <v>24</v>
      </c>
    </row>
    <row r="2123" spans="1:24" hidden="1" x14ac:dyDescent="0.15">
      <c r="A2123" s="93" t="s">
        <v>6169</v>
      </c>
      <c r="B2123" s="93" t="s">
        <v>7508</v>
      </c>
      <c r="C2123" s="410">
        <v>39</v>
      </c>
      <c r="D2123" s="93" t="s">
        <v>24</v>
      </c>
      <c r="E2123" s="93" t="s">
        <v>24</v>
      </c>
      <c r="F2123" s="93" t="s">
        <v>399</v>
      </c>
      <c r="G2123" s="93" t="s">
        <v>7183</v>
      </c>
      <c r="H2123" s="93" t="s">
        <v>400</v>
      </c>
      <c r="I2123" s="93" t="s">
        <v>111</v>
      </c>
      <c r="J2123" s="93" t="s">
        <v>7105</v>
      </c>
      <c r="K2123" s="93" t="s">
        <v>111</v>
      </c>
      <c r="L2123" s="93" t="s">
        <v>111</v>
      </c>
      <c r="M2123" s="93" t="s">
        <v>111</v>
      </c>
      <c r="N2123" s="93" t="s">
        <v>111</v>
      </c>
      <c r="O2123" s="93" t="s">
        <v>111</v>
      </c>
      <c r="P2123" s="93" t="s">
        <v>111</v>
      </c>
      <c r="Q2123" s="93" t="s">
        <v>111</v>
      </c>
      <c r="R2123" s="93" t="s">
        <v>228</v>
      </c>
      <c r="S2123" s="93" t="s">
        <v>111</v>
      </c>
      <c r="T2123" s="93" t="s">
        <v>115</v>
      </c>
      <c r="U2123" s="93" t="s">
        <v>116</v>
      </c>
      <c r="V2123" s="94">
        <v>44610.145833333336</v>
      </c>
      <c r="W2123" s="93" t="s">
        <v>7072</v>
      </c>
      <c r="X2123" s="93" t="s">
        <v>24</v>
      </c>
    </row>
    <row r="2124" spans="1:24" hidden="1" x14ac:dyDescent="0.15">
      <c r="A2124" s="93" t="s">
        <v>6171</v>
      </c>
      <c r="B2124" s="93" t="s">
        <v>7509</v>
      </c>
      <c r="C2124" s="410">
        <v>60</v>
      </c>
      <c r="D2124" s="93" t="s">
        <v>24</v>
      </c>
      <c r="E2124" s="93" t="s">
        <v>24</v>
      </c>
      <c r="F2124" s="93" t="s">
        <v>399</v>
      </c>
      <c r="G2124" s="93" t="s">
        <v>7183</v>
      </c>
      <c r="H2124" s="93" t="s">
        <v>400</v>
      </c>
      <c r="I2124" s="93" t="s">
        <v>111</v>
      </c>
      <c r="J2124" s="93" t="s">
        <v>7105</v>
      </c>
      <c r="K2124" s="93" t="s">
        <v>111</v>
      </c>
      <c r="L2124" s="93" t="s">
        <v>111</v>
      </c>
      <c r="M2124" s="93" t="s">
        <v>111</v>
      </c>
      <c r="N2124" s="93" t="s">
        <v>111</v>
      </c>
      <c r="O2124" s="93" t="s">
        <v>111</v>
      </c>
      <c r="P2124" s="93" t="s">
        <v>111</v>
      </c>
      <c r="Q2124" s="93" t="s">
        <v>111</v>
      </c>
      <c r="R2124" s="93" t="s">
        <v>228</v>
      </c>
      <c r="S2124" s="93" t="s">
        <v>111</v>
      </c>
      <c r="T2124" s="93" t="s">
        <v>115</v>
      </c>
      <c r="U2124" s="93" t="s">
        <v>116</v>
      </c>
      <c r="V2124" s="94">
        <v>44610.180555555555</v>
      </c>
      <c r="W2124" s="93" t="s">
        <v>7072</v>
      </c>
      <c r="X2124" s="93" t="s">
        <v>24</v>
      </c>
    </row>
    <row r="2125" spans="1:24" hidden="1" x14ac:dyDescent="0.15">
      <c r="A2125" s="93" t="s">
        <v>6137</v>
      </c>
      <c r="B2125" s="93" t="s">
        <v>7510</v>
      </c>
      <c r="C2125" s="410">
        <v>12</v>
      </c>
      <c r="D2125" s="93" t="s">
        <v>24</v>
      </c>
      <c r="E2125" s="93" t="s">
        <v>24</v>
      </c>
      <c r="F2125" s="93" t="s">
        <v>399</v>
      </c>
      <c r="G2125" s="93" t="s">
        <v>7183</v>
      </c>
      <c r="H2125" s="93" t="s">
        <v>400</v>
      </c>
      <c r="I2125" s="93" t="s">
        <v>111</v>
      </c>
      <c r="J2125" s="93" t="s">
        <v>7105</v>
      </c>
      <c r="K2125" s="93" t="s">
        <v>111</v>
      </c>
      <c r="L2125" s="93" t="s">
        <v>111</v>
      </c>
      <c r="M2125" s="93" t="s">
        <v>111</v>
      </c>
      <c r="N2125" s="93" t="s">
        <v>111</v>
      </c>
      <c r="O2125" s="93" t="s">
        <v>111</v>
      </c>
      <c r="P2125" s="93" t="s">
        <v>111</v>
      </c>
      <c r="Q2125" s="93" t="s">
        <v>111</v>
      </c>
      <c r="R2125" s="93" t="s">
        <v>228</v>
      </c>
      <c r="S2125" s="93" t="s">
        <v>111</v>
      </c>
      <c r="T2125" s="93" t="s">
        <v>115</v>
      </c>
      <c r="U2125" s="93" t="s">
        <v>116</v>
      </c>
      <c r="V2125" s="94">
        <v>44610.201388888891</v>
      </c>
      <c r="W2125" s="93" t="s">
        <v>7072</v>
      </c>
      <c r="X2125" s="93" t="s">
        <v>24</v>
      </c>
    </row>
    <row r="2126" spans="1:24" hidden="1" x14ac:dyDescent="0.15">
      <c r="A2126" s="93" t="s">
        <v>6139</v>
      </c>
      <c r="B2126" s="93" t="s">
        <v>7511</v>
      </c>
      <c r="C2126" s="410">
        <v>31</v>
      </c>
      <c r="D2126" s="93" t="s">
        <v>24</v>
      </c>
      <c r="E2126" s="93" t="s">
        <v>24</v>
      </c>
      <c r="F2126" s="93" t="s">
        <v>399</v>
      </c>
      <c r="G2126" s="93" t="s">
        <v>7183</v>
      </c>
      <c r="H2126" s="93" t="s">
        <v>400</v>
      </c>
      <c r="I2126" s="93" t="s">
        <v>111</v>
      </c>
      <c r="J2126" s="93" t="s">
        <v>7105</v>
      </c>
      <c r="K2126" s="93" t="s">
        <v>111</v>
      </c>
      <c r="L2126" s="93" t="s">
        <v>111</v>
      </c>
      <c r="M2126" s="93" t="s">
        <v>111</v>
      </c>
      <c r="N2126" s="93" t="s">
        <v>111</v>
      </c>
      <c r="O2126" s="93" t="s">
        <v>111</v>
      </c>
      <c r="P2126" s="93" t="s">
        <v>111</v>
      </c>
      <c r="Q2126" s="93" t="s">
        <v>111</v>
      </c>
      <c r="R2126" s="93" t="s">
        <v>228</v>
      </c>
      <c r="S2126" s="93" t="s">
        <v>111</v>
      </c>
      <c r="T2126" s="93" t="s">
        <v>115</v>
      </c>
      <c r="U2126" s="93" t="s">
        <v>116</v>
      </c>
      <c r="V2126" s="94">
        <v>44610.163194444445</v>
      </c>
      <c r="W2126" s="93" t="s">
        <v>7072</v>
      </c>
      <c r="X2126" s="93" t="s">
        <v>24</v>
      </c>
    </row>
    <row r="2127" spans="1:24" hidden="1" x14ac:dyDescent="0.15">
      <c r="A2127" s="93" t="s">
        <v>6141</v>
      </c>
      <c r="B2127" s="93" t="s">
        <v>7512</v>
      </c>
      <c r="C2127" s="410">
        <v>48</v>
      </c>
      <c r="D2127" s="93" t="s">
        <v>24</v>
      </c>
      <c r="E2127" s="93" t="s">
        <v>24</v>
      </c>
      <c r="F2127" s="93" t="s">
        <v>399</v>
      </c>
      <c r="G2127" s="93" t="s">
        <v>7183</v>
      </c>
      <c r="H2127" s="93" t="s">
        <v>400</v>
      </c>
      <c r="I2127" s="93" t="s">
        <v>111</v>
      </c>
      <c r="J2127" s="93" t="s">
        <v>7105</v>
      </c>
      <c r="K2127" s="93" t="s">
        <v>111</v>
      </c>
      <c r="L2127" s="93" t="s">
        <v>111</v>
      </c>
      <c r="M2127" s="93" t="s">
        <v>111</v>
      </c>
      <c r="N2127" s="93" t="s">
        <v>111</v>
      </c>
      <c r="O2127" s="93" t="s">
        <v>111</v>
      </c>
      <c r="P2127" s="93" t="s">
        <v>111</v>
      </c>
      <c r="Q2127" s="93" t="s">
        <v>111</v>
      </c>
      <c r="R2127" s="93" t="s">
        <v>228</v>
      </c>
      <c r="S2127" s="93" t="s">
        <v>111</v>
      </c>
      <c r="T2127" s="93" t="s">
        <v>115</v>
      </c>
      <c r="U2127" s="93" t="s">
        <v>116</v>
      </c>
      <c r="V2127" s="94">
        <v>44610.154166666667</v>
      </c>
      <c r="W2127" s="93" t="s">
        <v>7072</v>
      </c>
      <c r="X2127" s="93" t="s">
        <v>24</v>
      </c>
    </row>
    <row r="2128" spans="1:24" hidden="1" x14ac:dyDescent="0.15">
      <c r="A2128" s="93" t="s">
        <v>6173</v>
      </c>
      <c r="B2128" s="93" t="s">
        <v>7513</v>
      </c>
      <c r="C2128" s="410">
        <v>23</v>
      </c>
      <c r="D2128" s="93" t="s">
        <v>24</v>
      </c>
      <c r="E2128" s="93" t="s">
        <v>24</v>
      </c>
      <c r="F2128" s="93" t="s">
        <v>399</v>
      </c>
      <c r="G2128" s="93" t="s">
        <v>7183</v>
      </c>
      <c r="H2128" s="93" t="s">
        <v>400</v>
      </c>
      <c r="I2128" s="93" t="s">
        <v>111</v>
      </c>
      <c r="J2128" s="93" t="s">
        <v>7105</v>
      </c>
      <c r="K2128" s="93" t="s">
        <v>111</v>
      </c>
      <c r="L2128" s="93" t="s">
        <v>111</v>
      </c>
      <c r="M2128" s="93" t="s">
        <v>111</v>
      </c>
      <c r="N2128" s="93" t="s">
        <v>111</v>
      </c>
      <c r="O2128" s="93" t="s">
        <v>111</v>
      </c>
      <c r="P2128" s="93" t="s">
        <v>111</v>
      </c>
      <c r="Q2128" s="93" t="s">
        <v>111</v>
      </c>
      <c r="R2128" s="93" t="s">
        <v>228</v>
      </c>
      <c r="S2128" s="93" t="s">
        <v>111</v>
      </c>
      <c r="T2128" s="93" t="s">
        <v>115</v>
      </c>
      <c r="U2128" s="93" t="s">
        <v>116</v>
      </c>
      <c r="V2128" s="94">
        <v>44610.196527777778</v>
      </c>
      <c r="W2128" s="93" t="s">
        <v>7072</v>
      </c>
      <c r="X2128" s="93" t="s">
        <v>24</v>
      </c>
    </row>
    <row r="2129" spans="1:24" hidden="1" x14ac:dyDescent="0.15">
      <c r="A2129" s="93" t="s">
        <v>6175</v>
      </c>
      <c r="B2129" s="93" t="s">
        <v>7514</v>
      </c>
      <c r="C2129" s="410">
        <v>59</v>
      </c>
      <c r="D2129" s="93" t="s">
        <v>24</v>
      </c>
      <c r="E2129" s="93" t="s">
        <v>24</v>
      </c>
      <c r="F2129" s="93" t="s">
        <v>399</v>
      </c>
      <c r="G2129" s="93" t="s">
        <v>7183</v>
      </c>
      <c r="H2129" s="93" t="s">
        <v>400</v>
      </c>
      <c r="I2129" s="93" t="s">
        <v>111</v>
      </c>
      <c r="J2129" s="93" t="s">
        <v>7105</v>
      </c>
      <c r="K2129" s="93" t="s">
        <v>111</v>
      </c>
      <c r="L2129" s="93" t="s">
        <v>111</v>
      </c>
      <c r="M2129" s="93" t="s">
        <v>111</v>
      </c>
      <c r="N2129" s="93" t="s">
        <v>111</v>
      </c>
      <c r="O2129" s="93" t="s">
        <v>111</v>
      </c>
      <c r="P2129" s="93" t="s">
        <v>111</v>
      </c>
      <c r="Q2129" s="93" t="s">
        <v>111</v>
      </c>
      <c r="R2129" s="93" t="s">
        <v>228</v>
      </c>
      <c r="S2129" s="93" t="s">
        <v>111</v>
      </c>
      <c r="T2129" s="93" t="s">
        <v>115</v>
      </c>
      <c r="U2129" s="93" t="s">
        <v>116</v>
      </c>
      <c r="V2129" s="94">
        <v>44610.14166666667</v>
      </c>
      <c r="W2129" s="93" t="s">
        <v>7072</v>
      </c>
      <c r="X2129" s="93" t="s">
        <v>24</v>
      </c>
    </row>
    <row r="2130" spans="1:24" hidden="1" x14ac:dyDescent="0.15">
      <c r="A2130" s="93" t="s">
        <v>6177</v>
      </c>
      <c r="B2130" s="93" t="s">
        <v>7515</v>
      </c>
      <c r="C2130" s="410">
        <v>92</v>
      </c>
      <c r="D2130" s="93" t="s">
        <v>24</v>
      </c>
      <c r="E2130" s="93" t="s">
        <v>24</v>
      </c>
      <c r="F2130" s="93" t="s">
        <v>399</v>
      </c>
      <c r="G2130" s="93" t="s">
        <v>7183</v>
      </c>
      <c r="H2130" s="93" t="s">
        <v>400</v>
      </c>
      <c r="I2130" s="93" t="s">
        <v>111</v>
      </c>
      <c r="J2130" s="93" t="s">
        <v>7105</v>
      </c>
      <c r="K2130" s="93" t="s">
        <v>111</v>
      </c>
      <c r="L2130" s="93" t="s">
        <v>111</v>
      </c>
      <c r="M2130" s="93" t="s">
        <v>111</v>
      </c>
      <c r="N2130" s="93" t="s">
        <v>111</v>
      </c>
      <c r="O2130" s="93" t="s">
        <v>111</v>
      </c>
      <c r="P2130" s="93" t="s">
        <v>111</v>
      </c>
      <c r="Q2130" s="93" t="s">
        <v>111</v>
      </c>
      <c r="R2130" s="93" t="s">
        <v>228</v>
      </c>
      <c r="S2130" s="93" t="s">
        <v>111</v>
      </c>
      <c r="T2130" s="93" t="s">
        <v>115</v>
      </c>
      <c r="U2130" s="93" t="s">
        <v>116</v>
      </c>
      <c r="V2130" s="94">
        <v>44610.147222222222</v>
      </c>
      <c r="W2130" s="93" t="s">
        <v>7072</v>
      </c>
      <c r="X2130" s="93" t="s">
        <v>24</v>
      </c>
    </row>
    <row r="2131" spans="1:24" hidden="1" x14ac:dyDescent="0.15">
      <c r="A2131" s="93" t="s">
        <v>6915</v>
      </c>
      <c r="B2131" s="93" t="s">
        <v>7516</v>
      </c>
      <c r="C2131" s="410">
        <v>8</v>
      </c>
      <c r="D2131" s="93" t="s">
        <v>24</v>
      </c>
      <c r="E2131" s="93" t="s">
        <v>24</v>
      </c>
      <c r="F2131" s="93" t="s">
        <v>399</v>
      </c>
      <c r="G2131" s="93" t="s">
        <v>7183</v>
      </c>
      <c r="H2131" s="93" t="s">
        <v>400</v>
      </c>
      <c r="I2131" s="93" t="s">
        <v>111</v>
      </c>
      <c r="J2131" s="93" t="s">
        <v>7105</v>
      </c>
      <c r="K2131" s="93" t="s">
        <v>111</v>
      </c>
      <c r="L2131" s="93" t="s">
        <v>111</v>
      </c>
      <c r="M2131" s="93" t="s">
        <v>111</v>
      </c>
      <c r="N2131" s="93" t="s">
        <v>111</v>
      </c>
      <c r="O2131" s="93" t="s">
        <v>111</v>
      </c>
      <c r="P2131" s="93" t="s">
        <v>111</v>
      </c>
      <c r="Q2131" s="93" t="s">
        <v>111</v>
      </c>
      <c r="R2131" s="93" t="s">
        <v>228</v>
      </c>
      <c r="S2131" s="93" t="s">
        <v>111</v>
      </c>
      <c r="T2131" s="93" t="s">
        <v>115</v>
      </c>
      <c r="U2131" s="93" t="s">
        <v>116</v>
      </c>
      <c r="V2131" s="94">
        <v>44610.181944444441</v>
      </c>
      <c r="W2131" s="93" t="s">
        <v>7072</v>
      </c>
      <c r="X2131" s="93" t="s">
        <v>24</v>
      </c>
    </row>
    <row r="2132" spans="1:24" hidden="1" x14ac:dyDescent="0.15">
      <c r="A2132" s="93" t="s">
        <v>6917</v>
      </c>
      <c r="B2132" s="93" t="s">
        <v>7517</v>
      </c>
      <c r="C2132" s="410">
        <v>21</v>
      </c>
      <c r="D2132" s="93" t="s">
        <v>24</v>
      </c>
      <c r="E2132" s="93" t="s">
        <v>24</v>
      </c>
      <c r="F2132" s="93" t="s">
        <v>399</v>
      </c>
      <c r="G2132" s="93" t="s">
        <v>7183</v>
      </c>
      <c r="H2132" s="93" t="s">
        <v>400</v>
      </c>
      <c r="I2132" s="93" t="s">
        <v>111</v>
      </c>
      <c r="J2132" s="93" t="s">
        <v>7105</v>
      </c>
      <c r="K2132" s="93" t="s">
        <v>111</v>
      </c>
      <c r="L2132" s="93" t="s">
        <v>111</v>
      </c>
      <c r="M2132" s="93" t="s">
        <v>111</v>
      </c>
      <c r="N2132" s="93" t="s">
        <v>111</v>
      </c>
      <c r="O2132" s="93" t="s">
        <v>111</v>
      </c>
      <c r="P2132" s="93" t="s">
        <v>111</v>
      </c>
      <c r="Q2132" s="93" t="s">
        <v>111</v>
      </c>
      <c r="R2132" s="93" t="s">
        <v>228</v>
      </c>
      <c r="S2132" s="93" t="s">
        <v>111</v>
      </c>
      <c r="T2132" s="93" t="s">
        <v>115</v>
      </c>
      <c r="U2132" s="93" t="s">
        <v>116</v>
      </c>
      <c r="V2132" s="94">
        <v>44610.202777777777</v>
      </c>
      <c r="W2132" s="93" t="s">
        <v>7072</v>
      </c>
      <c r="X2132" s="93" t="s">
        <v>24</v>
      </c>
    </row>
    <row r="2133" spans="1:24" hidden="1" x14ac:dyDescent="0.15">
      <c r="A2133" s="93" t="s">
        <v>6919</v>
      </c>
      <c r="B2133" s="93" t="s">
        <v>7518</v>
      </c>
      <c r="C2133" s="410">
        <v>32</v>
      </c>
      <c r="D2133" s="93" t="s">
        <v>24</v>
      </c>
      <c r="E2133" s="93" t="s">
        <v>24</v>
      </c>
      <c r="F2133" s="93" t="s">
        <v>399</v>
      </c>
      <c r="G2133" s="93" t="s">
        <v>7183</v>
      </c>
      <c r="H2133" s="93" t="s">
        <v>400</v>
      </c>
      <c r="I2133" s="93" t="s">
        <v>111</v>
      </c>
      <c r="J2133" s="93" t="s">
        <v>7105</v>
      </c>
      <c r="K2133" s="93" t="s">
        <v>111</v>
      </c>
      <c r="L2133" s="93" t="s">
        <v>111</v>
      </c>
      <c r="M2133" s="93" t="s">
        <v>111</v>
      </c>
      <c r="N2133" s="93" t="s">
        <v>111</v>
      </c>
      <c r="O2133" s="93" t="s">
        <v>111</v>
      </c>
      <c r="P2133" s="93" t="s">
        <v>111</v>
      </c>
      <c r="Q2133" s="93" t="s">
        <v>111</v>
      </c>
      <c r="R2133" s="93" t="s">
        <v>228</v>
      </c>
      <c r="S2133" s="93" t="s">
        <v>111</v>
      </c>
      <c r="T2133" s="93" t="s">
        <v>115</v>
      </c>
      <c r="U2133" s="93" t="s">
        <v>116</v>
      </c>
      <c r="V2133" s="94">
        <v>44610.172222222223</v>
      </c>
      <c r="W2133" s="93" t="s">
        <v>7072</v>
      </c>
      <c r="X2133" s="93" t="s">
        <v>24</v>
      </c>
    </row>
    <row r="2134" spans="1:24" hidden="1" x14ac:dyDescent="0.15">
      <c r="A2134" s="93" t="s">
        <v>6921</v>
      </c>
      <c r="B2134" s="93" t="s">
        <v>7519</v>
      </c>
      <c r="C2134" s="410">
        <v>11</v>
      </c>
      <c r="D2134" s="93" t="s">
        <v>24</v>
      </c>
      <c r="E2134" s="93" t="s">
        <v>24</v>
      </c>
      <c r="F2134" s="93" t="s">
        <v>399</v>
      </c>
      <c r="G2134" s="93" t="s">
        <v>7183</v>
      </c>
      <c r="H2134" s="93" t="s">
        <v>400</v>
      </c>
      <c r="I2134" s="93" t="s">
        <v>111</v>
      </c>
      <c r="J2134" s="93" t="s">
        <v>7105</v>
      </c>
      <c r="K2134" s="93" t="s">
        <v>111</v>
      </c>
      <c r="L2134" s="93" t="s">
        <v>111</v>
      </c>
      <c r="M2134" s="93" t="s">
        <v>111</v>
      </c>
      <c r="N2134" s="93" t="s">
        <v>111</v>
      </c>
      <c r="O2134" s="93" t="s">
        <v>111</v>
      </c>
      <c r="P2134" s="93" t="s">
        <v>111</v>
      </c>
      <c r="Q2134" s="93" t="s">
        <v>111</v>
      </c>
      <c r="R2134" s="93" t="s">
        <v>228</v>
      </c>
      <c r="S2134" s="93" t="s">
        <v>111</v>
      </c>
      <c r="T2134" s="93" t="s">
        <v>115</v>
      </c>
      <c r="U2134" s="93" t="s">
        <v>116</v>
      </c>
      <c r="V2134" s="94">
        <v>44610.164583333331</v>
      </c>
      <c r="W2134" s="93" t="s">
        <v>7072</v>
      </c>
      <c r="X2134" s="93" t="s">
        <v>24</v>
      </c>
    </row>
    <row r="2135" spans="1:24" hidden="1" x14ac:dyDescent="0.15">
      <c r="A2135" s="93" t="s">
        <v>6923</v>
      </c>
      <c r="B2135" s="93" t="s">
        <v>7520</v>
      </c>
      <c r="C2135" s="410">
        <v>29</v>
      </c>
      <c r="D2135" s="93" t="s">
        <v>24</v>
      </c>
      <c r="E2135" s="93" t="s">
        <v>24</v>
      </c>
      <c r="F2135" s="93" t="s">
        <v>399</v>
      </c>
      <c r="G2135" s="93" t="s">
        <v>7183</v>
      </c>
      <c r="H2135" s="93" t="s">
        <v>400</v>
      </c>
      <c r="I2135" s="93" t="s">
        <v>111</v>
      </c>
      <c r="J2135" s="93" t="s">
        <v>7105</v>
      </c>
      <c r="K2135" s="93" t="s">
        <v>111</v>
      </c>
      <c r="L2135" s="93" t="s">
        <v>111</v>
      </c>
      <c r="M2135" s="93" t="s">
        <v>111</v>
      </c>
      <c r="N2135" s="93" t="s">
        <v>111</v>
      </c>
      <c r="O2135" s="93" t="s">
        <v>111</v>
      </c>
      <c r="P2135" s="93" t="s">
        <v>111</v>
      </c>
      <c r="Q2135" s="93" t="s">
        <v>111</v>
      </c>
      <c r="R2135" s="93" t="s">
        <v>228</v>
      </c>
      <c r="S2135" s="93" t="s">
        <v>111</v>
      </c>
      <c r="T2135" s="93" t="s">
        <v>115</v>
      </c>
      <c r="U2135" s="93" t="s">
        <v>116</v>
      </c>
      <c r="V2135" s="94">
        <v>44610.181944444441</v>
      </c>
      <c r="W2135" s="93" t="s">
        <v>7072</v>
      </c>
      <c r="X2135" s="93" t="s">
        <v>24</v>
      </c>
    </row>
    <row r="2136" spans="1:24" hidden="1" x14ac:dyDescent="0.15">
      <c r="A2136" s="93" t="s">
        <v>6925</v>
      </c>
      <c r="B2136" s="93" t="s">
        <v>7521</v>
      </c>
      <c r="C2136" s="410">
        <v>44</v>
      </c>
      <c r="D2136" s="93" t="s">
        <v>24</v>
      </c>
      <c r="E2136" s="93" t="s">
        <v>24</v>
      </c>
      <c r="F2136" s="93" t="s">
        <v>399</v>
      </c>
      <c r="G2136" s="93" t="s">
        <v>7183</v>
      </c>
      <c r="H2136" s="93" t="s">
        <v>400</v>
      </c>
      <c r="I2136" s="93" t="s">
        <v>111</v>
      </c>
      <c r="J2136" s="93" t="s">
        <v>7105</v>
      </c>
      <c r="K2136" s="93" t="s">
        <v>111</v>
      </c>
      <c r="L2136" s="93" t="s">
        <v>111</v>
      </c>
      <c r="M2136" s="93" t="s">
        <v>111</v>
      </c>
      <c r="N2136" s="93" t="s">
        <v>111</v>
      </c>
      <c r="O2136" s="93" t="s">
        <v>111</v>
      </c>
      <c r="P2136" s="93" t="s">
        <v>111</v>
      </c>
      <c r="Q2136" s="93" t="s">
        <v>111</v>
      </c>
      <c r="R2136" s="93" t="s">
        <v>228</v>
      </c>
      <c r="S2136" s="93" t="s">
        <v>111</v>
      </c>
      <c r="T2136" s="93" t="s">
        <v>115</v>
      </c>
      <c r="U2136" s="93" t="s">
        <v>116</v>
      </c>
      <c r="V2136" s="94">
        <v>44610.161805555559</v>
      </c>
      <c r="W2136" s="93" t="s">
        <v>7072</v>
      </c>
      <c r="X2136" s="93" t="s">
        <v>24</v>
      </c>
    </row>
    <row r="2137" spans="1:24" hidden="1" x14ac:dyDescent="0.15">
      <c r="A2137" s="93" t="s">
        <v>6927</v>
      </c>
      <c r="B2137" s="93" t="s">
        <v>7522</v>
      </c>
      <c r="C2137" s="410">
        <v>14</v>
      </c>
      <c r="D2137" s="93" t="s">
        <v>24</v>
      </c>
      <c r="E2137" s="93" t="s">
        <v>24</v>
      </c>
      <c r="F2137" s="93" t="s">
        <v>399</v>
      </c>
      <c r="G2137" s="93" t="s">
        <v>7183</v>
      </c>
      <c r="H2137" s="93" t="s">
        <v>400</v>
      </c>
      <c r="I2137" s="93" t="s">
        <v>111</v>
      </c>
      <c r="J2137" s="93" t="s">
        <v>7105</v>
      </c>
      <c r="K2137" s="93" t="s">
        <v>111</v>
      </c>
      <c r="L2137" s="93" t="s">
        <v>111</v>
      </c>
      <c r="M2137" s="93" t="s">
        <v>111</v>
      </c>
      <c r="N2137" s="93" t="s">
        <v>111</v>
      </c>
      <c r="O2137" s="93" t="s">
        <v>111</v>
      </c>
      <c r="P2137" s="93" t="s">
        <v>111</v>
      </c>
      <c r="Q2137" s="93" t="s">
        <v>111</v>
      </c>
      <c r="R2137" s="93" t="s">
        <v>228</v>
      </c>
      <c r="S2137" s="93" t="s">
        <v>111</v>
      </c>
      <c r="T2137" s="93" t="s">
        <v>115</v>
      </c>
      <c r="U2137" s="93" t="s">
        <v>116</v>
      </c>
      <c r="V2137" s="94">
        <v>44610.145138888889</v>
      </c>
      <c r="W2137" s="93" t="s">
        <v>7072</v>
      </c>
      <c r="X2137" s="93" t="s">
        <v>24</v>
      </c>
    </row>
    <row r="2138" spans="1:24" hidden="1" x14ac:dyDescent="0.15">
      <c r="A2138" s="93" t="s">
        <v>6929</v>
      </c>
      <c r="B2138" s="93" t="s">
        <v>7523</v>
      </c>
      <c r="C2138" s="410">
        <v>36</v>
      </c>
      <c r="D2138" s="93" t="s">
        <v>24</v>
      </c>
      <c r="E2138" s="93" t="s">
        <v>24</v>
      </c>
      <c r="F2138" s="93" t="s">
        <v>399</v>
      </c>
      <c r="G2138" s="93" t="s">
        <v>7183</v>
      </c>
      <c r="H2138" s="93" t="s">
        <v>400</v>
      </c>
      <c r="I2138" s="93" t="s">
        <v>111</v>
      </c>
      <c r="J2138" s="93" t="s">
        <v>7105</v>
      </c>
      <c r="K2138" s="93" t="s">
        <v>111</v>
      </c>
      <c r="L2138" s="93" t="s">
        <v>111</v>
      </c>
      <c r="M2138" s="93" t="s">
        <v>111</v>
      </c>
      <c r="N2138" s="93" t="s">
        <v>111</v>
      </c>
      <c r="O2138" s="93" t="s">
        <v>111</v>
      </c>
      <c r="P2138" s="93" t="s">
        <v>111</v>
      </c>
      <c r="Q2138" s="93" t="s">
        <v>111</v>
      </c>
      <c r="R2138" s="93" t="s">
        <v>228</v>
      </c>
      <c r="S2138" s="93" t="s">
        <v>111</v>
      </c>
      <c r="T2138" s="93" t="s">
        <v>115</v>
      </c>
      <c r="U2138" s="93" t="s">
        <v>116</v>
      </c>
      <c r="V2138" s="94">
        <v>44610.146527777775</v>
      </c>
      <c r="W2138" s="93" t="s">
        <v>7072</v>
      </c>
      <c r="X2138" s="93" t="s">
        <v>24</v>
      </c>
    </row>
    <row r="2139" spans="1:24" hidden="1" x14ac:dyDescent="0.15">
      <c r="A2139" s="93" t="s">
        <v>6931</v>
      </c>
      <c r="B2139" s="93" t="s">
        <v>7524</v>
      </c>
      <c r="C2139" s="410">
        <v>56</v>
      </c>
      <c r="D2139" s="93" t="s">
        <v>24</v>
      </c>
      <c r="E2139" s="93" t="s">
        <v>24</v>
      </c>
      <c r="F2139" s="93" t="s">
        <v>399</v>
      </c>
      <c r="G2139" s="93" t="s">
        <v>7183</v>
      </c>
      <c r="H2139" s="93" t="s">
        <v>400</v>
      </c>
      <c r="I2139" s="93" t="s">
        <v>111</v>
      </c>
      <c r="J2139" s="93" t="s">
        <v>7105</v>
      </c>
      <c r="K2139" s="93" t="s">
        <v>111</v>
      </c>
      <c r="L2139" s="93" t="s">
        <v>111</v>
      </c>
      <c r="M2139" s="93" t="s">
        <v>111</v>
      </c>
      <c r="N2139" s="93" t="s">
        <v>111</v>
      </c>
      <c r="O2139" s="93" t="s">
        <v>111</v>
      </c>
      <c r="P2139" s="93" t="s">
        <v>111</v>
      </c>
      <c r="Q2139" s="93" t="s">
        <v>111</v>
      </c>
      <c r="R2139" s="93" t="s">
        <v>228</v>
      </c>
      <c r="S2139" s="93" t="s">
        <v>111</v>
      </c>
      <c r="T2139" s="93" t="s">
        <v>115</v>
      </c>
      <c r="U2139" s="93" t="s">
        <v>116</v>
      </c>
      <c r="V2139" s="94">
        <v>44610.181944444441</v>
      </c>
      <c r="W2139" s="93" t="s">
        <v>7072</v>
      </c>
      <c r="X2139" s="93" t="s">
        <v>24</v>
      </c>
    </row>
    <row r="2140" spans="1:24" hidden="1" x14ac:dyDescent="0.15">
      <c r="A2140" s="93" t="s">
        <v>6933</v>
      </c>
      <c r="B2140" s="93" t="s">
        <v>7525</v>
      </c>
      <c r="C2140" s="410">
        <v>20</v>
      </c>
      <c r="D2140" s="93" t="s">
        <v>24</v>
      </c>
      <c r="E2140" s="93" t="s">
        <v>24</v>
      </c>
      <c r="F2140" s="93" t="s">
        <v>399</v>
      </c>
      <c r="G2140" s="93" t="s">
        <v>7183</v>
      </c>
      <c r="H2140" s="93" t="s">
        <v>400</v>
      </c>
      <c r="I2140" s="93" t="s">
        <v>111</v>
      </c>
      <c r="J2140" s="93" t="s">
        <v>7105</v>
      </c>
      <c r="K2140" s="93" t="s">
        <v>111</v>
      </c>
      <c r="L2140" s="93" t="s">
        <v>111</v>
      </c>
      <c r="M2140" s="93" t="s">
        <v>111</v>
      </c>
      <c r="N2140" s="93" t="s">
        <v>111</v>
      </c>
      <c r="O2140" s="93" t="s">
        <v>111</v>
      </c>
      <c r="P2140" s="93" t="s">
        <v>111</v>
      </c>
      <c r="Q2140" s="93" t="s">
        <v>111</v>
      </c>
      <c r="R2140" s="93" t="s">
        <v>228</v>
      </c>
      <c r="S2140" s="93" t="s">
        <v>111</v>
      </c>
      <c r="T2140" s="93" t="s">
        <v>115</v>
      </c>
      <c r="U2140" s="93" t="s">
        <v>116</v>
      </c>
      <c r="V2140" s="94">
        <v>44610.194444444445</v>
      </c>
      <c r="W2140" s="93" t="s">
        <v>7072</v>
      </c>
      <c r="X2140" s="93" t="s">
        <v>24</v>
      </c>
    </row>
    <row r="2141" spans="1:24" hidden="1" x14ac:dyDescent="0.15">
      <c r="A2141" s="93" t="s">
        <v>6935</v>
      </c>
      <c r="B2141" s="93" t="s">
        <v>7526</v>
      </c>
      <c r="C2141" s="410">
        <v>51</v>
      </c>
      <c r="D2141" s="93" t="s">
        <v>24</v>
      </c>
      <c r="E2141" s="93" t="s">
        <v>24</v>
      </c>
      <c r="F2141" s="93" t="s">
        <v>399</v>
      </c>
      <c r="G2141" s="93" t="s">
        <v>7183</v>
      </c>
      <c r="H2141" s="93" t="s">
        <v>400</v>
      </c>
      <c r="I2141" s="93" t="s">
        <v>111</v>
      </c>
      <c r="J2141" s="93" t="s">
        <v>7105</v>
      </c>
      <c r="K2141" s="93" t="s">
        <v>111</v>
      </c>
      <c r="L2141" s="93" t="s">
        <v>111</v>
      </c>
      <c r="M2141" s="93" t="s">
        <v>111</v>
      </c>
      <c r="N2141" s="93" t="s">
        <v>111</v>
      </c>
      <c r="O2141" s="93" t="s">
        <v>111</v>
      </c>
      <c r="P2141" s="93" t="s">
        <v>111</v>
      </c>
      <c r="Q2141" s="93" t="s">
        <v>111</v>
      </c>
      <c r="R2141" s="93" t="s">
        <v>228</v>
      </c>
      <c r="S2141" s="93" t="s">
        <v>111</v>
      </c>
      <c r="T2141" s="93" t="s">
        <v>115</v>
      </c>
      <c r="U2141" s="93" t="s">
        <v>116</v>
      </c>
      <c r="V2141" s="94">
        <v>44610.140277777777</v>
      </c>
      <c r="W2141" s="93" t="s">
        <v>7072</v>
      </c>
      <c r="X2141" s="93" t="s">
        <v>24</v>
      </c>
    </row>
    <row r="2142" spans="1:24" hidden="1" x14ac:dyDescent="0.15">
      <c r="A2142" s="93" t="s">
        <v>6937</v>
      </c>
      <c r="B2142" s="93" t="s">
        <v>7527</v>
      </c>
      <c r="C2142" s="410">
        <v>80</v>
      </c>
      <c r="D2142" s="93" t="s">
        <v>24</v>
      </c>
      <c r="E2142" s="93" t="s">
        <v>24</v>
      </c>
      <c r="F2142" s="93" t="s">
        <v>399</v>
      </c>
      <c r="G2142" s="93" t="s">
        <v>7183</v>
      </c>
      <c r="H2142" s="93" t="s">
        <v>400</v>
      </c>
      <c r="I2142" s="93" t="s">
        <v>111</v>
      </c>
      <c r="J2142" s="93" t="s">
        <v>7105</v>
      </c>
      <c r="K2142" s="93" t="s">
        <v>111</v>
      </c>
      <c r="L2142" s="93" t="s">
        <v>111</v>
      </c>
      <c r="M2142" s="93" t="s">
        <v>111</v>
      </c>
      <c r="N2142" s="93" t="s">
        <v>111</v>
      </c>
      <c r="O2142" s="93" t="s">
        <v>111</v>
      </c>
      <c r="P2142" s="93" t="s">
        <v>111</v>
      </c>
      <c r="Q2142" s="93" t="s">
        <v>111</v>
      </c>
      <c r="R2142" s="93" t="s">
        <v>228</v>
      </c>
      <c r="S2142" s="93" t="s">
        <v>111</v>
      </c>
      <c r="T2142" s="93" t="s">
        <v>115</v>
      </c>
      <c r="U2142" s="93" t="s">
        <v>116</v>
      </c>
      <c r="V2142" s="94">
        <v>44610.140972222223</v>
      </c>
      <c r="W2142" s="93" t="s">
        <v>7072</v>
      </c>
      <c r="X2142" s="93" t="s">
        <v>24</v>
      </c>
    </row>
    <row r="2143" spans="1:24" hidden="1" x14ac:dyDescent="0.15">
      <c r="A2143" s="93" t="s">
        <v>6897</v>
      </c>
      <c r="B2143" s="93" t="s">
        <v>7528</v>
      </c>
      <c r="C2143" s="410">
        <v>15</v>
      </c>
      <c r="D2143" s="93" t="s">
        <v>24</v>
      </c>
      <c r="E2143" s="93" t="s">
        <v>24</v>
      </c>
      <c r="F2143" s="93" t="s">
        <v>399</v>
      </c>
      <c r="G2143" s="93" t="s">
        <v>7183</v>
      </c>
      <c r="H2143" s="93" t="s">
        <v>400</v>
      </c>
      <c r="I2143" s="93" t="s">
        <v>111</v>
      </c>
      <c r="J2143" s="93" t="s">
        <v>7105</v>
      </c>
      <c r="K2143" s="93" t="s">
        <v>111</v>
      </c>
      <c r="L2143" s="93" t="s">
        <v>111</v>
      </c>
      <c r="M2143" s="93" t="s">
        <v>111</v>
      </c>
      <c r="N2143" s="93" t="s">
        <v>111</v>
      </c>
      <c r="O2143" s="93" t="s">
        <v>111</v>
      </c>
      <c r="P2143" s="93" t="s">
        <v>111</v>
      </c>
      <c r="Q2143" s="93" t="s">
        <v>111</v>
      </c>
      <c r="R2143" s="93" t="s">
        <v>228</v>
      </c>
      <c r="S2143" s="93" t="s">
        <v>111</v>
      </c>
      <c r="T2143" s="93" t="s">
        <v>115</v>
      </c>
      <c r="U2143" s="93" t="s">
        <v>116</v>
      </c>
      <c r="V2143" s="94">
        <v>44610.181944444441</v>
      </c>
      <c r="W2143" s="93" t="s">
        <v>7072</v>
      </c>
      <c r="X2143" s="93" t="s">
        <v>24</v>
      </c>
    </row>
    <row r="2144" spans="1:24" hidden="1" x14ac:dyDescent="0.15">
      <c r="A2144" s="93" t="s">
        <v>6899</v>
      </c>
      <c r="B2144" s="93" t="s">
        <v>7529</v>
      </c>
      <c r="C2144" s="410">
        <v>39</v>
      </c>
      <c r="D2144" s="93" t="s">
        <v>24</v>
      </c>
      <c r="E2144" s="93" t="s">
        <v>24</v>
      </c>
      <c r="F2144" s="93" t="s">
        <v>399</v>
      </c>
      <c r="G2144" s="93" t="s">
        <v>7183</v>
      </c>
      <c r="H2144" s="93" t="s">
        <v>400</v>
      </c>
      <c r="I2144" s="93" t="s">
        <v>111</v>
      </c>
      <c r="J2144" s="93" t="s">
        <v>7105</v>
      </c>
      <c r="K2144" s="93" t="s">
        <v>111</v>
      </c>
      <c r="L2144" s="93" t="s">
        <v>111</v>
      </c>
      <c r="M2144" s="93" t="s">
        <v>111</v>
      </c>
      <c r="N2144" s="93" t="s">
        <v>111</v>
      </c>
      <c r="O2144" s="93" t="s">
        <v>111</v>
      </c>
      <c r="P2144" s="93" t="s">
        <v>111</v>
      </c>
      <c r="Q2144" s="93" t="s">
        <v>111</v>
      </c>
      <c r="R2144" s="93" t="s">
        <v>228</v>
      </c>
      <c r="S2144" s="93" t="s">
        <v>111</v>
      </c>
      <c r="T2144" s="93" t="s">
        <v>115</v>
      </c>
      <c r="U2144" s="93" t="s">
        <v>116</v>
      </c>
      <c r="V2144" s="94">
        <v>44610.154166666667</v>
      </c>
      <c r="W2144" s="93" t="s">
        <v>7072</v>
      </c>
      <c r="X2144" s="93" t="s">
        <v>24</v>
      </c>
    </row>
    <row r="2145" spans="1:24" hidden="1" x14ac:dyDescent="0.15">
      <c r="A2145" s="93" t="s">
        <v>6901</v>
      </c>
      <c r="B2145" s="93" t="s">
        <v>7530</v>
      </c>
      <c r="C2145" s="410">
        <v>60</v>
      </c>
      <c r="D2145" s="93" t="s">
        <v>24</v>
      </c>
      <c r="E2145" s="93" t="s">
        <v>24</v>
      </c>
      <c r="F2145" s="93" t="s">
        <v>399</v>
      </c>
      <c r="G2145" s="93" t="s">
        <v>7183</v>
      </c>
      <c r="H2145" s="93" t="s">
        <v>400</v>
      </c>
      <c r="I2145" s="93" t="s">
        <v>111</v>
      </c>
      <c r="J2145" s="93" t="s">
        <v>7105</v>
      </c>
      <c r="K2145" s="93" t="s">
        <v>111</v>
      </c>
      <c r="L2145" s="93" t="s">
        <v>111</v>
      </c>
      <c r="M2145" s="93" t="s">
        <v>111</v>
      </c>
      <c r="N2145" s="93" t="s">
        <v>111</v>
      </c>
      <c r="O2145" s="93" t="s">
        <v>111</v>
      </c>
      <c r="P2145" s="93" t="s">
        <v>111</v>
      </c>
      <c r="Q2145" s="93" t="s">
        <v>111</v>
      </c>
      <c r="R2145" s="93" t="s">
        <v>228</v>
      </c>
      <c r="S2145" s="93" t="s">
        <v>111</v>
      </c>
      <c r="T2145" s="93" t="s">
        <v>115</v>
      </c>
      <c r="U2145" s="93" t="s">
        <v>116</v>
      </c>
      <c r="V2145" s="94">
        <v>44610.2</v>
      </c>
      <c r="W2145" s="93" t="s">
        <v>7072</v>
      </c>
      <c r="X2145" s="93" t="s">
        <v>24</v>
      </c>
    </row>
    <row r="2146" spans="1:24" hidden="1" x14ac:dyDescent="0.15">
      <c r="A2146" s="93" t="s">
        <v>6903</v>
      </c>
      <c r="B2146" s="93" t="s">
        <v>7531</v>
      </c>
      <c r="C2146" s="410">
        <v>21</v>
      </c>
      <c r="D2146" s="93" t="s">
        <v>24</v>
      </c>
      <c r="E2146" s="93" t="s">
        <v>24</v>
      </c>
      <c r="F2146" s="93" t="s">
        <v>399</v>
      </c>
      <c r="G2146" s="93" t="s">
        <v>7183</v>
      </c>
      <c r="H2146" s="93" t="s">
        <v>400</v>
      </c>
      <c r="I2146" s="93" t="s">
        <v>111</v>
      </c>
      <c r="J2146" s="93" t="s">
        <v>7105</v>
      </c>
      <c r="K2146" s="93" t="s">
        <v>111</v>
      </c>
      <c r="L2146" s="93" t="s">
        <v>111</v>
      </c>
      <c r="M2146" s="93" t="s">
        <v>111</v>
      </c>
      <c r="N2146" s="93" t="s">
        <v>111</v>
      </c>
      <c r="O2146" s="93" t="s">
        <v>111</v>
      </c>
      <c r="P2146" s="93" t="s">
        <v>111</v>
      </c>
      <c r="Q2146" s="93" t="s">
        <v>111</v>
      </c>
      <c r="R2146" s="93" t="s">
        <v>228</v>
      </c>
      <c r="S2146" s="93" t="s">
        <v>111</v>
      </c>
      <c r="T2146" s="93" t="s">
        <v>115</v>
      </c>
      <c r="U2146" s="93" t="s">
        <v>116</v>
      </c>
      <c r="V2146" s="94">
        <v>44610.146527777775</v>
      </c>
      <c r="W2146" s="93" t="s">
        <v>7072</v>
      </c>
      <c r="X2146" s="93" t="s">
        <v>24</v>
      </c>
    </row>
    <row r="2147" spans="1:24" hidden="1" x14ac:dyDescent="0.15">
      <c r="A2147" s="93" t="s">
        <v>6905</v>
      </c>
      <c r="B2147" s="93" t="s">
        <v>7532</v>
      </c>
      <c r="C2147" s="410">
        <v>54</v>
      </c>
      <c r="D2147" s="93" t="s">
        <v>24</v>
      </c>
      <c r="E2147" s="93" t="s">
        <v>24</v>
      </c>
      <c r="F2147" s="93" t="s">
        <v>399</v>
      </c>
      <c r="G2147" s="93" t="s">
        <v>7183</v>
      </c>
      <c r="H2147" s="93" t="s">
        <v>400</v>
      </c>
      <c r="I2147" s="93" t="s">
        <v>111</v>
      </c>
      <c r="J2147" s="93" t="s">
        <v>7105</v>
      </c>
      <c r="K2147" s="93" t="s">
        <v>111</v>
      </c>
      <c r="L2147" s="93" t="s">
        <v>111</v>
      </c>
      <c r="M2147" s="93" t="s">
        <v>111</v>
      </c>
      <c r="N2147" s="93" t="s">
        <v>111</v>
      </c>
      <c r="O2147" s="93" t="s">
        <v>111</v>
      </c>
      <c r="P2147" s="93" t="s">
        <v>111</v>
      </c>
      <c r="Q2147" s="93" t="s">
        <v>111</v>
      </c>
      <c r="R2147" s="93" t="s">
        <v>228</v>
      </c>
      <c r="S2147" s="93" t="s">
        <v>111</v>
      </c>
      <c r="T2147" s="93" t="s">
        <v>115</v>
      </c>
      <c r="U2147" s="93" t="s">
        <v>116</v>
      </c>
      <c r="V2147" s="94">
        <v>44610.181944444441</v>
      </c>
      <c r="W2147" s="93" t="s">
        <v>7072</v>
      </c>
      <c r="X2147" s="93" t="s">
        <v>24</v>
      </c>
    </row>
    <row r="2148" spans="1:24" hidden="1" x14ac:dyDescent="0.15">
      <c r="A2148" s="93" t="s">
        <v>6907</v>
      </c>
      <c r="B2148" s="93" t="s">
        <v>7533</v>
      </c>
      <c r="C2148" s="410">
        <v>84</v>
      </c>
      <c r="D2148" s="93" t="s">
        <v>24</v>
      </c>
      <c r="E2148" s="93" t="s">
        <v>24</v>
      </c>
      <c r="F2148" s="93" t="s">
        <v>399</v>
      </c>
      <c r="G2148" s="93" t="s">
        <v>7183</v>
      </c>
      <c r="H2148" s="93" t="s">
        <v>400</v>
      </c>
      <c r="I2148" s="93" t="s">
        <v>111</v>
      </c>
      <c r="J2148" s="93" t="s">
        <v>7105</v>
      </c>
      <c r="K2148" s="93" t="s">
        <v>111</v>
      </c>
      <c r="L2148" s="93" t="s">
        <v>111</v>
      </c>
      <c r="M2148" s="93" t="s">
        <v>111</v>
      </c>
      <c r="N2148" s="93" t="s">
        <v>111</v>
      </c>
      <c r="O2148" s="93" t="s">
        <v>111</v>
      </c>
      <c r="P2148" s="93" t="s">
        <v>111</v>
      </c>
      <c r="Q2148" s="93" t="s">
        <v>111</v>
      </c>
      <c r="R2148" s="93" t="s">
        <v>228</v>
      </c>
      <c r="S2148" s="93" t="s">
        <v>111</v>
      </c>
      <c r="T2148" s="93" t="s">
        <v>115</v>
      </c>
      <c r="U2148" s="93" t="s">
        <v>116</v>
      </c>
      <c r="V2148" s="94">
        <v>44610.202777777777</v>
      </c>
      <c r="W2148" s="93" t="s">
        <v>7072</v>
      </c>
      <c r="X2148" s="93" t="s">
        <v>24</v>
      </c>
    </row>
    <row r="2149" spans="1:24" hidden="1" x14ac:dyDescent="0.15">
      <c r="A2149" s="93" t="s">
        <v>6909</v>
      </c>
      <c r="B2149" s="93" t="s">
        <v>7534</v>
      </c>
      <c r="C2149" s="410">
        <v>45</v>
      </c>
      <c r="D2149" s="93" t="s">
        <v>24</v>
      </c>
      <c r="E2149" s="93" t="s">
        <v>24</v>
      </c>
      <c r="F2149" s="93" t="s">
        <v>399</v>
      </c>
      <c r="G2149" s="93" t="s">
        <v>7183</v>
      </c>
      <c r="H2149" s="93" t="s">
        <v>400</v>
      </c>
      <c r="I2149" s="93" t="s">
        <v>111</v>
      </c>
      <c r="J2149" s="93" t="s">
        <v>7105</v>
      </c>
      <c r="K2149" s="93" t="s">
        <v>111</v>
      </c>
      <c r="L2149" s="93" t="s">
        <v>111</v>
      </c>
      <c r="M2149" s="93" t="s">
        <v>111</v>
      </c>
      <c r="N2149" s="93" t="s">
        <v>111</v>
      </c>
      <c r="O2149" s="93" t="s">
        <v>111</v>
      </c>
      <c r="P2149" s="93" t="s">
        <v>111</v>
      </c>
      <c r="Q2149" s="93" t="s">
        <v>111</v>
      </c>
      <c r="R2149" s="93" t="s">
        <v>228</v>
      </c>
      <c r="S2149" s="93" t="s">
        <v>111</v>
      </c>
      <c r="T2149" s="93" t="s">
        <v>115</v>
      </c>
      <c r="U2149" s="93" t="s">
        <v>116</v>
      </c>
      <c r="V2149" s="94">
        <v>44610.154166666667</v>
      </c>
      <c r="W2149" s="93" t="s">
        <v>7072</v>
      </c>
      <c r="X2149" s="93" t="s">
        <v>24</v>
      </c>
    </row>
    <row r="2150" spans="1:24" hidden="1" x14ac:dyDescent="0.15">
      <c r="A2150" s="93" t="s">
        <v>6911</v>
      </c>
      <c r="B2150" s="93" t="s">
        <v>7535</v>
      </c>
      <c r="C2150" s="410">
        <v>115</v>
      </c>
      <c r="D2150" s="93" t="s">
        <v>24</v>
      </c>
      <c r="E2150" s="93" t="s">
        <v>24</v>
      </c>
      <c r="F2150" s="93" t="s">
        <v>399</v>
      </c>
      <c r="G2150" s="93" t="s">
        <v>7183</v>
      </c>
      <c r="H2150" s="93" t="s">
        <v>400</v>
      </c>
      <c r="I2150" s="93" t="s">
        <v>111</v>
      </c>
      <c r="J2150" s="93" t="s">
        <v>7105</v>
      </c>
      <c r="K2150" s="93" t="s">
        <v>111</v>
      </c>
      <c r="L2150" s="93" t="s">
        <v>111</v>
      </c>
      <c r="M2150" s="93" t="s">
        <v>111</v>
      </c>
      <c r="N2150" s="93" t="s">
        <v>111</v>
      </c>
      <c r="O2150" s="93" t="s">
        <v>111</v>
      </c>
      <c r="P2150" s="93" t="s">
        <v>111</v>
      </c>
      <c r="Q2150" s="93" t="s">
        <v>111</v>
      </c>
      <c r="R2150" s="93" t="s">
        <v>228</v>
      </c>
      <c r="S2150" s="93" t="s">
        <v>111</v>
      </c>
      <c r="T2150" s="93" t="s">
        <v>115</v>
      </c>
      <c r="U2150" s="93" t="s">
        <v>116</v>
      </c>
      <c r="V2150" s="94">
        <v>44610.146527777775</v>
      </c>
      <c r="W2150" s="93" t="s">
        <v>7072</v>
      </c>
      <c r="X2150" s="93" t="s">
        <v>24</v>
      </c>
    </row>
    <row r="2151" spans="1:24" hidden="1" x14ac:dyDescent="0.15">
      <c r="A2151" s="93" t="s">
        <v>6913</v>
      </c>
      <c r="B2151" s="93" t="s">
        <v>7536</v>
      </c>
      <c r="C2151" s="410">
        <v>180</v>
      </c>
      <c r="D2151" s="93" t="s">
        <v>24</v>
      </c>
      <c r="E2151" s="93" t="s">
        <v>24</v>
      </c>
      <c r="F2151" s="93" t="s">
        <v>399</v>
      </c>
      <c r="G2151" s="93" t="s">
        <v>7183</v>
      </c>
      <c r="H2151" s="93" t="s">
        <v>400</v>
      </c>
      <c r="I2151" s="93" t="s">
        <v>111</v>
      </c>
      <c r="J2151" s="93" t="s">
        <v>7105</v>
      </c>
      <c r="K2151" s="93" t="s">
        <v>111</v>
      </c>
      <c r="L2151" s="93" t="s">
        <v>111</v>
      </c>
      <c r="M2151" s="93" t="s">
        <v>111</v>
      </c>
      <c r="N2151" s="93" t="s">
        <v>111</v>
      </c>
      <c r="O2151" s="93" t="s">
        <v>111</v>
      </c>
      <c r="P2151" s="93" t="s">
        <v>111</v>
      </c>
      <c r="Q2151" s="93" t="s">
        <v>111</v>
      </c>
      <c r="R2151" s="93" t="s">
        <v>228</v>
      </c>
      <c r="S2151" s="93" t="s">
        <v>111</v>
      </c>
      <c r="T2151" s="93" t="s">
        <v>115</v>
      </c>
      <c r="U2151" s="93" t="s">
        <v>116</v>
      </c>
      <c r="V2151" s="94">
        <v>44610.20208333333</v>
      </c>
      <c r="W2151" s="93" t="s">
        <v>7072</v>
      </c>
      <c r="X2151" s="93" t="s">
        <v>24</v>
      </c>
    </row>
    <row r="2152" spans="1:24" hidden="1" x14ac:dyDescent="0.15">
      <c r="A2152" s="93" t="s">
        <v>6939</v>
      </c>
      <c r="B2152" s="93" t="s">
        <v>7537</v>
      </c>
      <c r="C2152" s="410">
        <v>27</v>
      </c>
      <c r="D2152" s="93" t="s">
        <v>24</v>
      </c>
      <c r="E2152" s="93" t="s">
        <v>24</v>
      </c>
      <c r="F2152" s="93" t="s">
        <v>399</v>
      </c>
      <c r="G2152" s="93" t="s">
        <v>7183</v>
      </c>
      <c r="H2152" s="93" t="s">
        <v>400</v>
      </c>
      <c r="I2152" s="93" t="s">
        <v>111</v>
      </c>
      <c r="J2152" s="93" t="s">
        <v>7105</v>
      </c>
      <c r="K2152" s="93" t="s">
        <v>111</v>
      </c>
      <c r="L2152" s="93" t="s">
        <v>111</v>
      </c>
      <c r="M2152" s="93" t="s">
        <v>111</v>
      </c>
      <c r="N2152" s="93" t="s">
        <v>111</v>
      </c>
      <c r="O2152" s="93" t="s">
        <v>111</v>
      </c>
      <c r="P2152" s="93" t="s">
        <v>111</v>
      </c>
      <c r="Q2152" s="93" t="s">
        <v>111</v>
      </c>
      <c r="R2152" s="93" t="s">
        <v>228</v>
      </c>
      <c r="S2152" s="93" t="s">
        <v>111</v>
      </c>
      <c r="T2152" s="93" t="s">
        <v>115</v>
      </c>
      <c r="U2152" s="93" t="s">
        <v>116</v>
      </c>
      <c r="V2152" s="94">
        <v>44610.164583333331</v>
      </c>
      <c r="W2152" s="93" t="s">
        <v>7072</v>
      </c>
      <c r="X2152" s="93" t="s">
        <v>24</v>
      </c>
    </row>
    <row r="2153" spans="1:24" hidden="1" x14ac:dyDescent="0.15">
      <c r="A2153" s="93" t="s">
        <v>6941</v>
      </c>
      <c r="B2153" s="93" t="s">
        <v>7538</v>
      </c>
      <c r="C2153" s="410">
        <v>69</v>
      </c>
      <c r="D2153" s="93" t="s">
        <v>24</v>
      </c>
      <c r="E2153" s="93" t="s">
        <v>24</v>
      </c>
      <c r="F2153" s="93" t="s">
        <v>399</v>
      </c>
      <c r="G2153" s="93" t="s">
        <v>7183</v>
      </c>
      <c r="H2153" s="93" t="s">
        <v>400</v>
      </c>
      <c r="I2153" s="93" t="s">
        <v>111</v>
      </c>
      <c r="J2153" s="93" t="s">
        <v>7105</v>
      </c>
      <c r="K2153" s="93" t="s">
        <v>111</v>
      </c>
      <c r="L2153" s="93" t="s">
        <v>111</v>
      </c>
      <c r="M2153" s="93" t="s">
        <v>111</v>
      </c>
      <c r="N2153" s="93" t="s">
        <v>111</v>
      </c>
      <c r="O2153" s="93" t="s">
        <v>111</v>
      </c>
      <c r="P2153" s="93" t="s">
        <v>111</v>
      </c>
      <c r="Q2153" s="93" t="s">
        <v>111</v>
      </c>
      <c r="R2153" s="93" t="s">
        <v>228</v>
      </c>
      <c r="S2153" s="93" t="s">
        <v>111</v>
      </c>
      <c r="T2153" s="93" t="s">
        <v>115</v>
      </c>
      <c r="U2153" s="93" t="s">
        <v>116</v>
      </c>
      <c r="V2153" s="94">
        <v>44610.163888888892</v>
      </c>
      <c r="W2153" s="93" t="s">
        <v>7072</v>
      </c>
      <c r="X2153" s="93" t="s">
        <v>24</v>
      </c>
    </row>
    <row r="2154" spans="1:24" hidden="1" x14ac:dyDescent="0.15">
      <c r="A2154" s="93" t="s">
        <v>6943</v>
      </c>
      <c r="B2154" s="93" t="s">
        <v>7539</v>
      </c>
      <c r="C2154" s="410">
        <v>108</v>
      </c>
      <c r="D2154" s="93" t="s">
        <v>24</v>
      </c>
      <c r="E2154" s="93" t="s">
        <v>24</v>
      </c>
      <c r="F2154" s="93" t="s">
        <v>399</v>
      </c>
      <c r="G2154" s="93" t="s">
        <v>7183</v>
      </c>
      <c r="H2154" s="93" t="s">
        <v>400</v>
      </c>
      <c r="I2154" s="93" t="s">
        <v>111</v>
      </c>
      <c r="J2154" s="93" t="s">
        <v>7105</v>
      </c>
      <c r="K2154" s="93" t="s">
        <v>111</v>
      </c>
      <c r="L2154" s="93" t="s">
        <v>111</v>
      </c>
      <c r="M2154" s="93" t="s">
        <v>111</v>
      </c>
      <c r="N2154" s="93" t="s">
        <v>111</v>
      </c>
      <c r="O2154" s="93" t="s">
        <v>111</v>
      </c>
      <c r="P2154" s="93" t="s">
        <v>111</v>
      </c>
      <c r="Q2154" s="93" t="s">
        <v>111</v>
      </c>
      <c r="R2154" s="93" t="s">
        <v>228</v>
      </c>
      <c r="S2154" s="93" t="s">
        <v>111</v>
      </c>
      <c r="T2154" s="93" t="s">
        <v>115</v>
      </c>
      <c r="U2154" s="93" t="s">
        <v>116</v>
      </c>
      <c r="V2154" s="94">
        <v>44610.200694444444</v>
      </c>
      <c r="W2154" s="93" t="s">
        <v>7072</v>
      </c>
      <c r="X2154" s="93" t="s">
        <v>24</v>
      </c>
    </row>
    <row r="2155" spans="1:24" hidden="1" x14ac:dyDescent="0.15">
      <c r="A2155" s="93" t="s">
        <v>6945</v>
      </c>
      <c r="B2155" s="93" t="s">
        <v>7540</v>
      </c>
      <c r="C2155" s="410">
        <v>39</v>
      </c>
      <c r="D2155" s="93" t="s">
        <v>24</v>
      </c>
      <c r="E2155" s="93" t="s">
        <v>24</v>
      </c>
      <c r="F2155" s="93" t="s">
        <v>399</v>
      </c>
      <c r="G2155" s="93" t="s">
        <v>7183</v>
      </c>
      <c r="H2155" s="93" t="s">
        <v>400</v>
      </c>
      <c r="I2155" s="93" t="s">
        <v>111</v>
      </c>
      <c r="J2155" s="93" t="s">
        <v>7105</v>
      </c>
      <c r="K2155" s="93" t="s">
        <v>111</v>
      </c>
      <c r="L2155" s="93" t="s">
        <v>111</v>
      </c>
      <c r="M2155" s="93" t="s">
        <v>111</v>
      </c>
      <c r="N2155" s="93" t="s">
        <v>111</v>
      </c>
      <c r="O2155" s="93" t="s">
        <v>111</v>
      </c>
      <c r="P2155" s="93" t="s">
        <v>111</v>
      </c>
      <c r="Q2155" s="93" t="s">
        <v>111</v>
      </c>
      <c r="R2155" s="93" t="s">
        <v>228</v>
      </c>
      <c r="S2155" s="93" t="s">
        <v>111</v>
      </c>
      <c r="T2155" s="93" t="s">
        <v>115</v>
      </c>
      <c r="U2155" s="93" t="s">
        <v>116</v>
      </c>
      <c r="V2155" s="94">
        <v>44610.20208333333</v>
      </c>
      <c r="W2155" s="93" t="s">
        <v>7072</v>
      </c>
      <c r="X2155" s="93" t="s">
        <v>24</v>
      </c>
    </row>
    <row r="2156" spans="1:24" hidden="1" x14ac:dyDescent="0.15">
      <c r="A2156" s="93" t="s">
        <v>6947</v>
      </c>
      <c r="B2156" s="93" t="s">
        <v>7541</v>
      </c>
      <c r="C2156" s="410">
        <v>100</v>
      </c>
      <c r="D2156" s="93" t="s">
        <v>24</v>
      </c>
      <c r="E2156" s="93" t="s">
        <v>24</v>
      </c>
      <c r="F2156" s="93" t="s">
        <v>399</v>
      </c>
      <c r="G2156" s="93" t="s">
        <v>7183</v>
      </c>
      <c r="H2156" s="93" t="s">
        <v>400</v>
      </c>
      <c r="I2156" s="93" t="s">
        <v>111</v>
      </c>
      <c r="J2156" s="93" t="s">
        <v>7105</v>
      </c>
      <c r="K2156" s="93" t="s">
        <v>111</v>
      </c>
      <c r="L2156" s="93" t="s">
        <v>111</v>
      </c>
      <c r="M2156" s="93" t="s">
        <v>111</v>
      </c>
      <c r="N2156" s="93" t="s">
        <v>111</v>
      </c>
      <c r="O2156" s="93" t="s">
        <v>111</v>
      </c>
      <c r="P2156" s="93" t="s">
        <v>111</v>
      </c>
      <c r="Q2156" s="93" t="s">
        <v>111</v>
      </c>
      <c r="R2156" s="93" t="s">
        <v>228</v>
      </c>
      <c r="S2156" s="93" t="s">
        <v>111</v>
      </c>
      <c r="T2156" s="93" t="s">
        <v>115</v>
      </c>
      <c r="U2156" s="93" t="s">
        <v>116</v>
      </c>
      <c r="V2156" s="94">
        <v>44610.140972222223</v>
      </c>
      <c r="W2156" s="93" t="s">
        <v>7072</v>
      </c>
      <c r="X2156" s="93" t="s">
        <v>24</v>
      </c>
    </row>
    <row r="2157" spans="1:24" hidden="1" x14ac:dyDescent="0.15">
      <c r="A2157" s="93" t="s">
        <v>6949</v>
      </c>
      <c r="B2157" s="93" t="s">
        <v>7542</v>
      </c>
      <c r="C2157" s="410">
        <v>156</v>
      </c>
      <c r="D2157" s="93" t="s">
        <v>24</v>
      </c>
      <c r="E2157" s="93" t="s">
        <v>24</v>
      </c>
      <c r="F2157" s="93" t="s">
        <v>399</v>
      </c>
      <c r="G2157" s="93" t="s">
        <v>7183</v>
      </c>
      <c r="H2157" s="93" t="s">
        <v>400</v>
      </c>
      <c r="I2157" s="93" t="s">
        <v>111</v>
      </c>
      <c r="J2157" s="93" t="s">
        <v>7105</v>
      </c>
      <c r="K2157" s="93" t="s">
        <v>111</v>
      </c>
      <c r="L2157" s="93" t="s">
        <v>111</v>
      </c>
      <c r="M2157" s="93" t="s">
        <v>111</v>
      </c>
      <c r="N2157" s="93" t="s">
        <v>111</v>
      </c>
      <c r="O2157" s="93" t="s">
        <v>111</v>
      </c>
      <c r="P2157" s="93" t="s">
        <v>111</v>
      </c>
      <c r="Q2157" s="93" t="s">
        <v>111</v>
      </c>
      <c r="R2157" s="93" t="s">
        <v>228</v>
      </c>
      <c r="S2157" s="93" t="s">
        <v>111</v>
      </c>
      <c r="T2157" s="93" t="s">
        <v>115</v>
      </c>
      <c r="U2157" s="93" t="s">
        <v>116</v>
      </c>
      <c r="V2157" s="94">
        <v>44610.179166666669</v>
      </c>
      <c r="W2157" s="93" t="s">
        <v>7072</v>
      </c>
      <c r="X2157" s="93" t="s">
        <v>24</v>
      </c>
    </row>
    <row r="2158" spans="1:24" hidden="1" x14ac:dyDescent="0.15">
      <c r="A2158" s="93" t="s">
        <v>6951</v>
      </c>
      <c r="B2158" s="93" t="s">
        <v>7543</v>
      </c>
      <c r="C2158" s="410">
        <v>39</v>
      </c>
      <c r="D2158" s="93" t="s">
        <v>24</v>
      </c>
      <c r="E2158" s="93" t="s">
        <v>24</v>
      </c>
      <c r="F2158" s="93" t="s">
        <v>399</v>
      </c>
      <c r="G2158" s="93" t="s">
        <v>7183</v>
      </c>
      <c r="H2158" s="93" t="s">
        <v>400</v>
      </c>
      <c r="I2158" s="93" t="s">
        <v>111</v>
      </c>
      <c r="J2158" s="93" t="s">
        <v>7105</v>
      </c>
      <c r="K2158" s="93" t="s">
        <v>111</v>
      </c>
      <c r="L2158" s="93" t="s">
        <v>111</v>
      </c>
      <c r="M2158" s="93" t="s">
        <v>111</v>
      </c>
      <c r="N2158" s="93" t="s">
        <v>111</v>
      </c>
      <c r="O2158" s="93" t="s">
        <v>111</v>
      </c>
      <c r="P2158" s="93" t="s">
        <v>111</v>
      </c>
      <c r="Q2158" s="93" t="s">
        <v>111</v>
      </c>
      <c r="R2158" s="93" t="s">
        <v>228</v>
      </c>
      <c r="S2158" s="93" t="s">
        <v>111</v>
      </c>
      <c r="T2158" s="93" t="s">
        <v>115</v>
      </c>
      <c r="U2158" s="93" t="s">
        <v>116</v>
      </c>
      <c r="V2158" s="94">
        <v>44610.200694444444</v>
      </c>
      <c r="W2158" s="93" t="s">
        <v>7072</v>
      </c>
      <c r="X2158" s="93" t="s">
        <v>24</v>
      </c>
    </row>
    <row r="2159" spans="1:24" hidden="1" x14ac:dyDescent="0.15">
      <c r="A2159" s="93" t="s">
        <v>6953</v>
      </c>
      <c r="B2159" s="93" t="s">
        <v>7544</v>
      </c>
      <c r="C2159" s="410">
        <v>100</v>
      </c>
      <c r="D2159" s="93" t="s">
        <v>24</v>
      </c>
      <c r="E2159" s="93" t="s">
        <v>24</v>
      </c>
      <c r="F2159" s="93" t="s">
        <v>399</v>
      </c>
      <c r="G2159" s="93" t="s">
        <v>7183</v>
      </c>
      <c r="H2159" s="93" t="s">
        <v>400</v>
      </c>
      <c r="I2159" s="93" t="s">
        <v>111</v>
      </c>
      <c r="J2159" s="93" t="s">
        <v>7105</v>
      </c>
      <c r="K2159" s="93" t="s">
        <v>111</v>
      </c>
      <c r="L2159" s="93" t="s">
        <v>111</v>
      </c>
      <c r="M2159" s="93" t="s">
        <v>111</v>
      </c>
      <c r="N2159" s="93" t="s">
        <v>111</v>
      </c>
      <c r="O2159" s="93" t="s">
        <v>111</v>
      </c>
      <c r="P2159" s="93" t="s">
        <v>111</v>
      </c>
      <c r="Q2159" s="93" t="s">
        <v>111</v>
      </c>
      <c r="R2159" s="93" t="s">
        <v>228</v>
      </c>
      <c r="S2159" s="93" t="s">
        <v>111</v>
      </c>
      <c r="T2159" s="93" t="s">
        <v>115</v>
      </c>
      <c r="U2159" s="93" t="s">
        <v>116</v>
      </c>
      <c r="V2159" s="94">
        <v>44610.20208333333</v>
      </c>
      <c r="W2159" s="93" t="s">
        <v>7072</v>
      </c>
      <c r="X2159" s="93" t="s">
        <v>24</v>
      </c>
    </row>
    <row r="2160" spans="1:24" hidden="1" x14ac:dyDescent="0.15">
      <c r="A2160" s="93" t="s">
        <v>6955</v>
      </c>
      <c r="B2160" s="93" t="s">
        <v>7545</v>
      </c>
      <c r="C2160" s="410">
        <v>156</v>
      </c>
      <c r="D2160" s="93" t="s">
        <v>24</v>
      </c>
      <c r="E2160" s="93" t="s">
        <v>24</v>
      </c>
      <c r="F2160" s="93" t="s">
        <v>399</v>
      </c>
      <c r="G2160" s="93" t="s">
        <v>7183</v>
      </c>
      <c r="H2160" s="93" t="s">
        <v>400</v>
      </c>
      <c r="I2160" s="93" t="s">
        <v>111</v>
      </c>
      <c r="J2160" s="93" t="s">
        <v>7105</v>
      </c>
      <c r="K2160" s="93" t="s">
        <v>111</v>
      </c>
      <c r="L2160" s="93" t="s">
        <v>111</v>
      </c>
      <c r="M2160" s="93" t="s">
        <v>111</v>
      </c>
      <c r="N2160" s="93" t="s">
        <v>111</v>
      </c>
      <c r="O2160" s="93" t="s">
        <v>111</v>
      </c>
      <c r="P2160" s="93" t="s">
        <v>111</v>
      </c>
      <c r="Q2160" s="93" t="s">
        <v>111</v>
      </c>
      <c r="R2160" s="93" t="s">
        <v>228</v>
      </c>
      <c r="S2160" s="93" t="s">
        <v>111</v>
      </c>
      <c r="T2160" s="93" t="s">
        <v>115</v>
      </c>
      <c r="U2160" s="93" t="s">
        <v>116</v>
      </c>
      <c r="V2160" s="94">
        <v>44610.145138888889</v>
      </c>
      <c r="W2160" s="93" t="s">
        <v>7072</v>
      </c>
      <c r="X2160" s="93" t="s">
        <v>24</v>
      </c>
    </row>
    <row r="2161" spans="1:24" hidden="1" x14ac:dyDescent="0.15">
      <c r="A2161" s="93" t="s">
        <v>6957</v>
      </c>
      <c r="B2161" s="93" t="s">
        <v>7546</v>
      </c>
      <c r="C2161" s="410">
        <v>54</v>
      </c>
      <c r="D2161" s="93" t="s">
        <v>24</v>
      </c>
      <c r="E2161" s="93" t="s">
        <v>24</v>
      </c>
      <c r="F2161" s="93" t="s">
        <v>399</v>
      </c>
      <c r="G2161" s="93" t="s">
        <v>7183</v>
      </c>
      <c r="H2161" s="93" t="s">
        <v>400</v>
      </c>
      <c r="I2161" s="93" t="s">
        <v>111</v>
      </c>
      <c r="J2161" s="93" t="s">
        <v>7105</v>
      </c>
      <c r="K2161" s="93" t="s">
        <v>111</v>
      </c>
      <c r="L2161" s="93" t="s">
        <v>111</v>
      </c>
      <c r="M2161" s="93" t="s">
        <v>111</v>
      </c>
      <c r="N2161" s="93" t="s">
        <v>111</v>
      </c>
      <c r="O2161" s="93" t="s">
        <v>111</v>
      </c>
      <c r="P2161" s="93" t="s">
        <v>111</v>
      </c>
      <c r="Q2161" s="93" t="s">
        <v>111</v>
      </c>
      <c r="R2161" s="93" t="s">
        <v>228</v>
      </c>
      <c r="S2161" s="93" t="s">
        <v>111</v>
      </c>
      <c r="T2161" s="93" t="s">
        <v>115</v>
      </c>
      <c r="U2161" s="93" t="s">
        <v>116</v>
      </c>
      <c r="V2161" s="94">
        <v>44610.155555555553</v>
      </c>
      <c r="W2161" s="93" t="s">
        <v>7072</v>
      </c>
      <c r="X2161" s="93" t="s">
        <v>24</v>
      </c>
    </row>
    <row r="2162" spans="1:24" hidden="1" x14ac:dyDescent="0.15">
      <c r="A2162" s="93" t="s">
        <v>6959</v>
      </c>
      <c r="B2162" s="93" t="s">
        <v>7547</v>
      </c>
      <c r="C2162" s="410">
        <v>138</v>
      </c>
      <c r="D2162" s="93" t="s">
        <v>24</v>
      </c>
      <c r="E2162" s="93" t="s">
        <v>24</v>
      </c>
      <c r="F2162" s="93" t="s">
        <v>399</v>
      </c>
      <c r="G2162" s="93" t="s">
        <v>7183</v>
      </c>
      <c r="H2162" s="93" t="s">
        <v>400</v>
      </c>
      <c r="I2162" s="93" t="s">
        <v>111</v>
      </c>
      <c r="J2162" s="93" t="s">
        <v>7105</v>
      </c>
      <c r="K2162" s="93" t="s">
        <v>111</v>
      </c>
      <c r="L2162" s="93" t="s">
        <v>111</v>
      </c>
      <c r="M2162" s="93" t="s">
        <v>111</v>
      </c>
      <c r="N2162" s="93" t="s">
        <v>111</v>
      </c>
      <c r="O2162" s="93" t="s">
        <v>111</v>
      </c>
      <c r="P2162" s="93" t="s">
        <v>111</v>
      </c>
      <c r="Q2162" s="93" t="s">
        <v>111</v>
      </c>
      <c r="R2162" s="93" t="s">
        <v>228</v>
      </c>
      <c r="S2162" s="93" t="s">
        <v>111</v>
      </c>
      <c r="T2162" s="93" t="s">
        <v>115</v>
      </c>
      <c r="U2162" s="93" t="s">
        <v>116</v>
      </c>
      <c r="V2162" s="94">
        <v>44610.155555555553</v>
      </c>
      <c r="W2162" s="93" t="s">
        <v>7072</v>
      </c>
      <c r="X2162" s="93" t="s">
        <v>24</v>
      </c>
    </row>
    <row r="2163" spans="1:24" hidden="1" x14ac:dyDescent="0.15">
      <c r="A2163" s="93" t="s">
        <v>6961</v>
      </c>
      <c r="B2163" s="93" t="s">
        <v>7548</v>
      </c>
      <c r="C2163" s="410">
        <v>216</v>
      </c>
      <c r="D2163" s="93" t="s">
        <v>24</v>
      </c>
      <c r="E2163" s="93" t="s">
        <v>24</v>
      </c>
      <c r="F2163" s="93" t="s">
        <v>399</v>
      </c>
      <c r="G2163" s="93" t="s">
        <v>7183</v>
      </c>
      <c r="H2163" s="93" t="s">
        <v>400</v>
      </c>
      <c r="I2163" s="93" t="s">
        <v>111</v>
      </c>
      <c r="J2163" s="93" t="s">
        <v>7105</v>
      </c>
      <c r="K2163" s="93" t="s">
        <v>111</v>
      </c>
      <c r="L2163" s="93" t="s">
        <v>111</v>
      </c>
      <c r="M2163" s="93" t="s">
        <v>111</v>
      </c>
      <c r="N2163" s="93" t="s">
        <v>111</v>
      </c>
      <c r="O2163" s="93" t="s">
        <v>111</v>
      </c>
      <c r="P2163" s="93" t="s">
        <v>111</v>
      </c>
      <c r="Q2163" s="93" t="s">
        <v>111</v>
      </c>
      <c r="R2163" s="93" t="s">
        <v>228</v>
      </c>
      <c r="S2163" s="93" t="s">
        <v>111</v>
      </c>
      <c r="T2163" s="93" t="s">
        <v>115</v>
      </c>
      <c r="U2163" s="93" t="s">
        <v>116</v>
      </c>
      <c r="V2163" s="94">
        <v>44610.20208333333</v>
      </c>
      <c r="W2163" s="93" t="s">
        <v>7072</v>
      </c>
      <c r="X2163" s="93" t="s">
        <v>24</v>
      </c>
    </row>
    <row r="2164" spans="1:24" hidden="1" x14ac:dyDescent="0.15">
      <c r="A2164" s="93" t="s">
        <v>6963</v>
      </c>
      <c r="B2164" s="93" t="s">
        <v>7549</v>
      </c>
      <c r="C2164" s="410">
        <v>48</v>
      </c>
      <c r="D2164" s="93" t="s">
        <v>24</v>
      </c>
      <c r="E2164" s="93" t="s">
        <v>24</v>
      </c>
      <c r="F2164" s="93" t="s">
        <v>399</v>
      </c>
      <c r="G2164" s="93" t="s">
        <v>7183</v>
      </c>
      <c r="H2164" s="93" t="s">
        <v>400</v>
      </c>
      <c r="I2164" s="93" t="s">
        <v>111</v>
      </c>
      <c r="J2164" s="93" t="s">
        <v>7105</v>
      </c>
      <c r="K2164" s="93" t="s">
        <v>111</v>
      </c>
      <c r="L2164" s="93" t="s">
        <v>111</v>
      </c>
      <c r="M2164" s="93" t="s">
        <v>111</v>
      </c>
      <c r="N2164" s="93" t="s">
        <v>111</v>
      </c>
      <c r="O2164" s="93" t="s">
        <v>111</v>
      </c>
      <c r="P2164" s="93" t="s">
        <v>111</v>
      </c>
      <c r="Q2164" s="93" t="s">
        <v>111</v>
      </c>
      <c r="R2164" s="93" t="s">
        <v>228</v>
      </c>
      <c r="S2164" s="93" t="s">
        <v>111</v>
      </c>
      <c r="T2164" s="93" t="s">
        <v>115</v>
      </c>
      <c r="U2164" s="93" t="s">
        <v>116</v>
      </c>
      <c r="V2164" s="94">
        <v>44610.179166666669</v>
      </c>
      <c r="W2164" s="93" t="s">
        <v>7072</v>
      </c>
      <c r="X2164" s="93" t="s">
        <v>24</v>
      </c>
    </row>
    <row r="2165" spans="1:24" hidden="1" x14ac:dyDescent="0.15">
      <c r="A2165" s="93" t="s">
        <v>6965</v>
      </c>
      <c r="B2165" s="93" t="s">
        <v>7550</v>
      </c>
      <c r="C2165" s="410">
        <v>123</v>
      </c>
      <c r="D2165" s="93" t="s">
        <v>24</v>
      </c>
      <c r="E2165" s="93" t="s">
        <v>24</v>
      </c>
      <c r="F2165" s="93" t="s">
        <v>399</v>
      </c>
      <c r="G2165" s="93" t="s">
        <v>7183</v>
      </c>
      <c r="H2165" s="93" t="s">
        <v>400</v>
      </c>
      <c r="I2165" s="93" t="s">
        <v>111</v>
      </c>
      <c r="J2165" s="93" t="s">
        <v>7105</v>
      </c>
      <c r="K2165" s="93" t="s">
        <v>111</v>
      </c>
      <c r="L2165" s="93" t="s">
        <v>111</v>
      </c>
      <c r="M2165" s="93" t="s">
        <v>111</v>
      </c>
      <c r="N2165" s="93" t="s">
        <v>111</v>
      </c>
      <c r="O2165" s="93" t="s">
        <v>111</v>
      </c>
      <c r="P2165" s="93" t="s">
        <v>111</v>
      </c>
      <c r="Q2165" s="93" t="s">
        <v>111</v>
      </c>
      <c r="R2165" s="93" t="s">
        <v>228</v>
      </c>
      <c r="S2165" s="93" t="s">
        <v>111</v>
      </c>
      <c r="T2165" s="93" t="s">
        <v>115</v>
      </c>
      <c r="U2165" s="93" t="s">
        <v>116</v>
      </c>
      <c r="V2165" s="94">
        <v>44610.195833333331</v>
      </c>
      <c r="W2165" s="93" t="s">
        <v>7072</v>
      </c>
      <c r="X2165" s="93" t="s">
        <v>24</v>
      </c>
    </row>
    <row r="2166" spans="1:24" hidden="1" x14ac:dyDescent="0.15">
      <c r="A2166" s="93" t="s">
        <v>6967</v>
      </c>
      <c r="B2166" s="93" t="s">
        <v>7551</v>
      </c>
      <c r="C2166" s="410">
        <v>192</v>
      </c>
      <c r="D2166" s="93" t="s">
        <v>24</v>
      </c>
      <c r="E2166" s="93" t="s">
        <v>24</v>
      </c>
      <c r="F2166" s="93" t="s">
        <v>399</v>
      </c>
      <c r="G2166" s="93" t="s">
        <v>7183</v>
      </c>
      <c r="H2166" s="93" t="s">
        <v>400</v>
      </c>
      <c r="I2166" s="93" t="s">
        <v>111</v>
      </c>
      <c r="J2166" s="93" t="s">
        <v>7105</v>
      </c>
      <c r="K2166" s="93" t="s">
        <v>111</v>
      </c>
      <c r="L2166" s="93" t="s">
        <v>111</v>
      </c>
      <c r="M2166" s="93" t="s">
        <v>111</v>
      </c>
      <c r="N2166" s="93" t="s">
        <v>111</v>
      </c>
      <c r="O2166" s="93" t="s">
        <v>111</v>
      </c>
      <c r="P2166" s="93" t="s">
        <v>111</v>
      </c>
      <c r="Q2166" s="93" t="s">
        <v>111</v>
      </c>
      <c r="R2166" s="93" t="s">
        <v>228</v>
      </c>
      <c r="S2166" s="93" t="s">
        <v>111</v>
      </c>
      <c r="T2166" s="93" t="s">
        <v>115</v>
      </c>
      <c r="U2166" s="93" t="s">
        <v>116</v>
      </c>
      <c r="V2166" s="94">
        <v>44610.200694444444</v>
      </c>
      <c r="W2166" s="93" t="s">
        <v>7072</v>
      </c>
      <c r="X2166" s="93" t="s">
        <v>24</v>
      </c>
    </row>
    <row r="2167" spans="1:24" hidden="1" x14ac:dyDescent="0.15">
      <c r="A2167" s="93" t="s">
        <v>6969</v>
      </c>
      <c r="B2167" s="93" t="s">
        <v>7552</v>
      </c>
      <c r="C2167" s="410">
        <v>45</v>
      </c>
      <c r="D2167" s="93" t="s">
        <v>24</v>
      </c>
      <c r="E2167" s="93" t="s">
        <v>24</v>
      </c>
      <c r="F2167" s="93" t="s">
        <v>399</v>
      </c>
      <c r="G2167" s="93" t="s">
        <v>7183</v>
      </c>
      <c r="H2167" s="93" t="s">
        <v>400</v>
      </c>
      <c r="I2167" s="93" t="s">
        <v>111</v>
      </c>
      <c r="J2167" s="93" t="s">
        <v>7105</v>
      </c>
      <c r="K2167" s="93" t="s">
        <v>111</v>
      </c>
      <c r="L2167" s="93" t="s">
        <v>111</v>
      </c>
      <c r="M2167" s="93" t="s">
        <v>111</v>
      </c>
      <c r="N2167" s="93" t="s">
        <v>111</v>
      </c>
      <c r="O2167" s="93" t="s">
        <v>111</v>
      </c>
      <c r="P2167" s="93" t="s">
        <v>111</v>
      </c>
      <c r="Q2167" s="93" t="s">
        <v>111</v>
      </c>
      <c r="R2167" s="93" t="s">
        <v>228</v>
      </c>
      <c r="S2167" s="93" t="s">
        <v>111</v>
      </c>
      <c r="T2167" s="93" t="s">
        <v>115</v>
      </c>
      <c r="U2167" s="93" t="s">
        <v>116</v>
      </c>
      <c r="V2167" s="94">
        <v>44610.173611111109</v>
      </c>
      <c r="W2167" s="93" t="s">
        <v>7072</v>
      </c>
      <c r="X2167" s="93" t="s">
        <v>24</v>
      </c>
    </row>
    <row r="2168" spans="1:24" hidden="1" x14ac:dyDescent="0.15">
      <c r="A2168" s="93" t="s">
        <v>6971</v>
      </c>
      <c r="B2168" s="93" t="s">
        <v>7553</v>
      </c>
      <c r="C2168" s="410">
        <v>115</v>
      </c>
      <c r="D2168" s="93" t="s">
        <v>24</v>
      </c>
      <c r="E2168" s="93" t="s">
        <v>24</v>
      </c>
      <c r="F2168" s="93" t="s">
        <v>399</v>
      </c>
      <c r="G2168" s="93" t="s">
        <v>7183</v>
      </c>
      <c r="H2168" s="93" t="s">
        <v>400</v>
      </c>
      <c r="I2168" s="93" t="s">
        <v>111</v>
      </c>
      <c r="J2168" s="93" t="s">
        <v>7105</v>
      </c>
      <c r="K2168" s="93" t="s">
        <v>111</v>
      </c>
      <c r="L2168" s="93" t="s">
        <v>111</v>
      </c>
      <c r="M2168" s="93" t="s">
        <v>111</v>
      </c>
      <c r="N2168" s="93" t="s">
        <v>111</v>
      </c>
      <c r="O2168" s="93" t="s">
        <v>111</v>
      </c>
      <c r="P2168" s="93" t="s">
        <v>111</v>
      </c>
      <c r="Q2168" s="93" t="s">
        <v>111</v>
      </c>
      <c r="R2168" s="93" t="s">
        <v>228</v>
      </c>
      <c r="S2168" s="93" t="s">
        <v>111</v>
      </c>
      <c r="T2168" s="93" t="s">
        <v>115</v>
      </c>
      <c r="U2168" s="93" t="s">
        <v>116</v>
      </c>
      <c r="V2168" s="94">
        <v>44610.202777777777</v>
      </c>
      <c r="W2168" s="93" t="s">
        <v>7072</v>
      </c>
      <c r="X2168" s="93" t="s">
        <v>24</v>
      </c>
    </row>
    <row r="2169" spans="1:24" hidden="1" x14ac:dyDescent="0.15">
      <c r="A2169" s="93" t="s">
        <v>6973</v>
      </c>
      <c r="B2169" s="93" t="s">
        <v>7554</v>
      </c>
      <c r="C2169" s="410">
        <v>180</v>
      </c>
      <c r="D2169" s="93" t="s">
        <v>24</v>
      </c>
      <c r="E2169" s="93" t="s">
        <v>24</v>
      </c>
      <c r="F2169" s="93" t="s">
        <v>399</v>
      </c>
      <c r="G2169" s="93" t="s">
        <v>7183</v>
      </c>
      <c r="H2169" s="93" t="s">
        <v>400</v>
      </c>
      <c r="I2169" s="93" t="s">
        <v>111</v>
      </c>
      <c r="J2169" s="93" t="s">
        <v>7105</v>
      </c>
      <c r="K2169" s="93" t="s">
        <v>111</v>
      </c>
      <c r="L2169" s="93" t="s">
        <v>111</v>
      </c>
      <c r="M2169" s="93" t="s">
        <v>111</v>
      </c>
      <c r="N2169" s="93" t="s">
        <v>111</v>
      </c>
      <c r="O2169" s="93" t="s">
        <v>111</v>
      </c>
      <c r="P2169" s="93" t="s">
        <v>111</v>
      </c>
      <c r="Q2169" s="93" t="s">
        <v>111</v>
      </c>
      <c r="R2169" s="93" t="s">
        <v>228</v>
      </c>
      <c r="S2169" s="93" t="s">
        <v>111</v>
      </c>
      <c r="T2169" s="93" t="s">
        <v>115</v>
      </c>
      <c r="U2169" s="93" t="s">
        <v>116</v>
      </c>
      <c r="V2169" s="94">
        <v>44610.164583333331</v>
      </c>
      <c r="W2169" s="93" t="s">
        <v>7072</v>
      </c>
      <c r="X2169" s="93" t="s">
        <v>24</v>
      </c>
    </row>
    <row r="2170" spans="1:24" hidden="1" x14ac:dyDescent="0.15">
      <c r="A2170" s="93" t="s">
        <v>6975</v>
      </c>
      <c r="B2170" s="93" t="s">
        <v>7555</v>
      </c>
      <c r="C2170" s="410">
        <v>66</v>
      </c>
      <c r="D2170" s="93" t="s">
        <v>24</v>
      </c>
      <c r="E2170" s="93" t="s">
        <v>24</v>
      </c>
      <c r="F2170" s="93" t="s">
        <v>399</v>
      </c>
      <c r="G2170" s="93" t="s">
        <v>7183</v>
      </c>
      <c r="H2170" s="93" t="s">
        <v>400</v>
      </c>
      <c r="I2170" s="93" t="s">
        <v>111</v>
      </c>
      <c r="J2170" s="93" t="s">
        <v>7105</v>
      </c>
      <c r="K2170" s="93" t="s">
        <v>111</v>
      </c>
      <c r="L2170" s="93" t="s">
        <v>111</v>
      </c>
      <c r="M2170" s="93" t="s">
        <v>111</v>
      </c>
      <c r="N2170" s="93" t="s">
        <v>111</v>
      </c>
      <c r="O2170" s="93" t="s">
        <v>111</v>
      </c>
      <c r="P2170" s="93" t="s">
        <v>111</v>
      </c>
      <c r="Q2170" s="93" t="s">
        <v>111</v>
      </c>
      <c r="R2170" s="93" t="s">
        <v>228</v>
      </c>
      <c r="S2170" s="93" t="s">
        <v>111</v>
      </c>
      <c r="T2170" s="93" t="s">
        <v>115</v>
      </c>
      <c r="U2170" s="93" t="s">
        <v>116</v>
      </c>
      <c r="V2170" s="94">
        <v>44610.179166666669</v>
      </c>
      <c r="W2170" s="93" t="s">
        <v>7072</v>
      </c>
      <c r="X2170" s="93" t="s">
        <v>24</v>
      </c>
    </row>
    <row r="2171" spans="1:24" hidden="1" x14ac:dyDescent="0.15">
      <c r="A2171" s="93" t="s">
        <v>6977</v>
      </c>
      <c r="B2171" s="93" t="s">
        <v>7556</v>
      </c>
      <c r="C2171" s="410">
        <v>169</v>
      </c>
      <c r="D2171" s="93" t="s">
        <v>24</v>
      </c>
      <c r="E2171" s="93" t="s">
        <v>24</v>
      </c>
      <c r="F2171" s="93" t="s">
        <v>399</v>
      </c>
      <c r="G2171" s="93" t="s">
        <v>7183</v>
      </c>
      <c r="H2171" s="93" t="s">
        <v>400</v>
      </c>
      <c r="I2171" s="93" t="s">
        <v>111</v>
      </c>
      <c r="J2171" s="93" t="s">
        <v>7105</v>
      </c>
      <c r="K2171" s="93" t="s">
        <v>111</v>
      </c>
      <c r="L2171" s="93" t="s">
        <v>111</v>
      </c>
      <c r="M2171" s="93" t="s">
        <v>111</v>
      </c>
      <c r="N2171" s="93" t="s">
        <v>111</v>
      </c>
      <c r="O2171" s="93" t="s">
        <v>111</v>
      </c>
      <c r="P2171" s="93" t="s">
        <v>111</v>
      </c>
      <c r="Q2171" s="93" t="s">
        <v>111</v>
      </c>
      <c r="R2171" s="93" t="s">
        <v>228</v>
      </c>
      <c r="S2171" s="93" t="s">
        <v>111</v>
      </c>
      <c r="T2171" s="93" t="s">
        <v>115</v>
      </c>
      <c r="U2171" s="93" t="s">
        <v>116</v>
      </c>
      <c r="V2171" s="94">
        <v>44610.146527777775</v>
      </c>
      <c r="W2171" s="93" t="s">
        <v>7072</v>
      </c>
      <c r="X2171" s="93" t="s">
        <v>24</v>
      </c>
    </row>
    <row r="2172" spans="1:24" hidden="1" x14ac:dyDescent="0.15">
      <c r="A2172" s="93" t="s">
        <v>6979</v>
      </c>
      <c r="B2172" s="93" t="s">
        <v>7557</v>
      </c>
      <c r="C2172" s="410">
        <v>264</v>
      </c>
      <c r="D2172" s="93" t="s">
        <v>24</v>
      </c>
      <c r="E2172" s="93" t="s">
        <v>24</v>
      </c>
      <c r="F2172" s="93" t="s">
        <v>399</v>
      </c>
      <c r="G2172" s="93" t="s">
        <v>7183</v>
      </c>
      <c r="H2172" s="93" t="s">
        <v>400</v>
      </c>
      <c r="I2172" s="93" t="s">
        <v>111</v>
      </c>
      <c r="J2172" s="93" t="s">
        <v>7105</v>
      </c>
      <c r="K2172" s="93" t="s">
        <v>111</v>
      </c>
      <c r="L2172" s="93" t="s">
        <v>111</v>
      </c>
      <c r="M2172" s="93" t="s">
        <v>111</v>
      </c>
      <c r="N2172" s="93" t="s">
        <v>111</v>
      </c>
      <c r="O2172" s="93" t="s">
        <v>111</v>
      </c>
      <c r="P2172" s="93" t="s">
        <v>111</v>
      </c>
      <c r="Q2172" s="93" t="s">
        <v>111</v>
      </c>
      <c r="R2172" s="93" t="s">
        <v>228</v>
      </c>
      <c r="S2172" s="93" t="s">
        <v>111</v>
      </c>
      <c r="T2172" s="93" t="s">
        <v>115</v>
      </c>
      <c r="U2172" s="93" t="s">
        <v>116</v>
      </c>
      <c r="V2172" s="94">
        <v>44610.147222222222</v>
      </c>
      <c r="W2172" s="93" t="s">
        <v>7072</v>
      </c>
      <c r="X2172" s="93" t="s">
        <v>24</v>
      </c>
    </row>
    <row r="2173" spans="1:24" hidden="1" x14ac:dyDescent="0.15">
      <c r="A2173" s="93" t="s">
        <v>6981</v>
      </c>
      <c r="B2173" s="93" t="s">
        <v>7558</v>
      </c>
      <c r="C2173" s="410">
        <v>69</v>
      </c>
      <c r="D2173" s="93" t="s">
        <v>24</v>
      </c>
      <c r="E2173" s="93" t="s">
        <v>24</v>
      </c>
      <c r="F2173" s="93" t="s">
        <v>399</v>
      </c>
      <c r="G2173" s="93" t="s">
        <v>7183</v>
      </c>
      <c r="H2173" s="93" t="s">
        <v>400</v>
      </c>
      <c r="I2173" s="93" t="s">
        <v>111</v>
      </c>
      <c r="J2173" s="93" t="s">
        <v>7105</v>
      </c>
      <c r="K2173" s="93" t="s">
        <v>111</v>
      </c>
      <c r="L2173" s="93" t="s">
        <v>111</v>
      </c>
      <c r="M2173" s="93" t="s">
        <v>111</v>
      </c>
      <c r="N2173" s="93" t="s">
        <v>111</v>
      </c>
      <c r="O2173" s="93" t="s">
        <v>111</v>
      </c>
      <c r="P2173" s="93" t="s">
        <v>111</v>
      </c>
      <c r="Q2173" s="93" t="s">
        <v>111</v>
      </c>
      <c r="R2173" s="93" t="s">
        <v>228</v>
      </c>
      <c r="S2173" s="93" t="s">
        <v>111</v>
      </c>
      <c r="T2173" s="93" t="s">
        <v>115</v>
      </c>
      <c r="U2173" s="93" t="s">
        <v>116</v>
      </c>
      <c r="V2173" s="94">
        <v>44610.194444444445</v>
      </c>
      <c r="W2173" s="93" t="s">
        <v>7072</v>
      </c>
      <c r="X2173" s="93" t="s">
        <v>24</v>
      </c>
    </row>
    <row r="2174" spans="1:24" hidden="1" x14ac:dyDescent="0.15">
      <c r="A2174" s="93" t="s">
        <v>6983</v>
      </c>
      <c r="B2174" s="93" t="s">
        <v>7559</v>
      </c>
      <c r="C2174" s="410">
        <v>176</v>
      </c>
      <c r="D2174" s="93" t="s">
        <v>24</v>
      </c>
      <c r="E2174" s="93" t="s">
        <v>24</v>
      </c>
      <c r="F2174" s="93" t="s">
        <v>399</v>
      </c>
      <c r="G2174" s="93" t="s">
        <v>7183</v>
      </c>
      <c r="H2174" s="93" t="s">
        <v>400</v>
      </c>
      <c r="I2174" s="93" t="s">
        <v>111</v>
      </c>
      <c r="J2174" s="93" t="s">
        <v>7105</v>
      </c>
      <c r="K2174" s="93" t="s">
        <v>111</v>
      </c>
      <c r="L2174" s="93" t="s">
        <v>111</v>
      </c>
      <c r="M2174" s="93" t="s">
        <v>111</v>
      </c>
      <c r="N2174" s="93" t="s">
        <v>111</v>
      </c>
      <c r="O2174" s="93" t="s">
        <v>111</v>
      </c>
      <c r="P2174" s="93" t="s">
        <v>111</v>
      </c>
      <c r="Q2174" s="93" t="s">
        <v>111</v>
      </c>
      <c r="R2174" s="93" t="s">
        <v>228</v>
      </c>
      <c r="S2174" s="93" t="s">
        <v>111</v>
      </c>
      <c r="T2174" s="93" t="s">
        <v>115</v>
      </c>
      <c r="U2174" s="93" t="s">
        <v>116</v>
      </c>
      <c r="V2174" s="94">
        <v>44610.195833333331</v>
      </c>
      <c r="W2174" s="93" t="s">
        <v>7072</v>
      </c>
      <c r="X2174" s="93" t="s">
        <v>24</v>
      </c>
    </row>
    <row r="2175" spans="1:24" hidden="1" x14ac:dyDescent="0.15">
      <c r="A2175" s="93" t="s">
        <v>6985</v>
      </c>
      <c r="B2175" s="93" t="s">
        <v>7560</v>
      </c>
      <c r="C2175" s="410">
        <v>276</v>
      </c>
      <c r="D2175" s="93" t="s">
        <v>24</v>
      </c>
      <c r="E2175" s="93" t="s">
        <v>24</v>
      </c>
      <c r="F2175" s="93" t="s">
        <v>399</v>
      </c>
      <c r="G2175" s="93" t="s">
        <v>7183</v>
      </c>
      <c r="H2175" s="93" t="s">
        <v>400</v>
      </c>
      <c r="I2175" s="93" t="s">
        <v>111</v>
      </c>
      <c r="J2175" s="93" t="s">
        <v>7105</v>
      </c>
      <c r="K2175" s="93" t="s">
        <v>111</v>
      </c>
      <c r="L2175" s="93" t="s">
        <v>111</v>
      </c>
      <c r="M2175" s="93" t="s">
        <v>111</v>
      </c>
      <c r="N2175" s="93" t="s">
        <v>111</v>
      </c>
      <c r="O2175" s="93" t="s">
        <v>111</v>
      </c>
      <c r="P2175" s="93" t="s">
        <v>111</v>
      </c>
      <c r="Q2175" s="93" t="s">
        <v>111</v>
      </c>
      <c r="R2175" s="93" t="s">
        <v>228</v>
      </c>
      <c r="S2175" s="93" t="s">
        <v>111</v>
      </c>
      <c r="T2175" s="93" t="s">
        <v>115</v>
      </c>
      <c r="U2175" s="93" t="s">
        <v>116</v>
      </c>
      <c r="V2175" s="94">
        <v>44610.140277777777</v>
      </c>
      <c r="W2175" s="93" t="s">
        <v>7072</v>
      </c>
      <c r="X2175" s="93" t="s">
        <v>24</v>
      </c>
    </row>
    <row r="2176" spans="1:24" hidden="1" x14ac:dyDescent="0.15">
      <c r="A2176" s="93" t="s">
        <v>7017</v>
      </c>
      <c r="B2176" s="93" t="s">
        <v>7561</v>
      </c>
      <c r="C2176" s="410">
        <v>8</v>
      </c>
      <c r="D2176" s="93" t="s">
        <v>24</v>
      </c>
      <c r="E2176" s="93" t="s">
        <v>24</v>
      </c>
      <c r="F2176" s="93" t="s">
        <v>7</v>
      </c>
      <c r="G2176" s="93" t="s">
        <v>7183</v>
      </c>
      <c r="H2176" s="93" t="s">
        <v>400</v>
      </c>
      <c r="I2176" s="93" t="s">
        <v>111</v>
      </c>
      <c r="J2176" s="93" t="s">
        <v>7105</v>
      </c>
      <c r="K2176" s="93" t="s">
        <v>111</v>
      </c>
      <c r="L2176" s="93" t="s">
        <v>111</v>
      </c>
      <c r="M2176" s="93" t="s">
        <v>111</v>
      </c>
      <c r="N2176" s="93" t="s">
        <v>111</v>
      </c>
      <c r="O2176" s="93" t="s">
        <v>111</v>
      </c>
      <c r="P2176" s="93" t="s">
        <v>111</v>
      </c>
      <c r="Q2176" s="93" t="s">
        <v>111</v>
      </c>
      <c r="R2176" s="93" t="s">
        <v>228</v>
      </c>
      <c r="S2176" s="93" t="s">
        <v>111</v>
      </c>
      <c r="T2176" s="93" t="s">
        <v>115</v>
      </c>
      <c r="U2176" s="93" t="s">
        <v>116</v>
      </c>
      <c r="V2176" s="94">
        <v>44610.20416666667</v>
      </c>
      <c r="W2176" s="93" t="s">
        <v>7072</v>
      </c>
      <c r="X2176" s="93" t="s">
        <v>24</v>
      </c>
    </row>
    <row r="2177" spans="1:24" hidden="1" x14ac:dyDescent="0.15">
      <c r="A2177" s="93" t="s">
        <v>7019</v>
      </c>
      <c r="B2177" s="93" t="s">
        <v>7562</v>
      </c>
      <c r="C2177" s="410">
        <v>21</v>
      </c>
      <c r="D2177" s="93" t="s">
        <v>24</v>
      </c>
      <c r="E2177" s="93" t="s">
        <v>24</v>
      </c>
      <c r="F2177" s="93" t="s">
        <v>7</v>
      </c>
      <c r="G2177" s="93" t="s">
        <v>7183</v>
      </c>
      <c r="H2177" s="93" t="s">
        <v>400</v>
      </c>
      <c r="I2177" s="93" t="s">
        <v>111</v>
      </c>
      <c r="J2177" s="93" t="s">
        <v>7105</v>
      </c>
      <c r="K2177" s="93" t="s">
        <v>111</v>
      </c>
      <c r="L2177" s="93" t="s">
        <v>111</v>
      </c>
      <c r="M2177" s="93" t="s">
        <v>111</v>
      </c>
      <c r="N2177" s="93" t="s">
        <v>111</v>
      </c>
      <c r="O2177" s="93" t="s">
        <v>111</v>
      </c>
      <c r="P2177" s="93" t="s">
        <v>111</v>
      </c>
      <c r="Q2177" s="93" t="s">
        <v>111</v>
      </c>
      <c r="R2177" s="93" t="s">
        <v>228</v>
      </c>
      <c r="S2177" s="93" t="s">
        <v>111</v>
      </c>
      <c r="T2177" s="93" t="s">
        <v>115</v>
      </c>
      <c r="U2177" s="93" t="s">
        <v>116</v>
      </c>
      <c r="V2177" s="94">
        <v>44610.165277777778</v>
      </c>
      <c r="W2177" s="93" t="s">
        <v>7072</v>
      </c>
      <c r="X2177" s="93" t="s">
        <v>24</v>
      </c>
    </row>
    <row r="2178" spans="1:24" hidden="1" x14ac:dyDescent="0.15">
      <c r="A2178" s="93" t="s">
        <v>7021</v>
      </c>
      <c r="B2178" s="93" t="s">
        <v>7563</v>
      </c>
      <c r="C2178" s="410">
        <v>32</v>
      </c>
      <c r="D2178" s="93" t="s">
        <v>24</v>
      </c>
      <c r="E2178" s="93" t="s">
        <v>24</v>
      </c>
      <c r="F2178" s="93" t="s">
        <v>7</v>
      </c>
      <c r="G2178" s="93" t="s">
        <v>7183</v>
      </c>
      <c r="H2178" s="93" t="s">
        <v>400</v>
      </c>
      <c r="I2178" s="93" t="s">
        <v>111</v>
      </c>
      <c r="J2178" s="93" t="s">
        <v>7105</v>
      </c>
      <c r="K2178" s="93" t="s">
        <v>111</v>
      </c>
      <c r="L2178" s="93" t="s">
        <v>111</v>
      </c>
      <c r="M2178" s="93" t="s">
        <v>111</v>
      </c>
      <c r="N2178" s="93" t="s">
        <v>111</v>
      </c>
      <c r="O2178" s="93" t="s">
        <v>111</v>
      </c>
      <c r="P2178" s="93" t="s">
        <v>111</v>
      </c>
      <c r="Q2178" s="93" t="s">
        <v>111</v>
      </c>
      <c r="R2178" s="93" t="s">
        <v>228</v>
      </c>
      <c r="S2178" s="93" t="s">
        <v>111</v>
      </c>
      <c r="T2178" s="93" t="s">
        <v>115</v>
      </c>
      <c r="U2178" s="93" t="s">
        <v>116</v>
      </c>
      <c r="V2178" s="94">
        <v>44610.197222222225</v>
      </c>
      <c r="W2178" s="93" t="s">
        <v>7072</v>
      </c>
      <c r="X2178" s="93" t="s">
        <v>24</v>
      </c>
    </row>
    <row r="2179" spans="1:24" hidden="1" x14ac:dyDescent="0.15">
      <c r="A2179" s="93" t="s">
        <v>7011</v>
      </c>
      <c r="B2179" s="93" t="s">
        <v>7564</v>
      </c>
      <c r="C2179" s="410">
        <v>18</v>
      </c>
      <c r="D2179" s="93" t="s">
        <v>24</v>
      </c>
      <c r="E2179" s="93" t="s">
        <v>24</v>
      </c>
      <c r="F2179" s="93" t="s">
        <v>7</v>
      </c>
      <c r="G2179" s="93" t="s">
        <v>7183</v>
      </c>
      <c r="H2179" s="93" t="s">
        <v>400</v>
      </c>
      <c r="I2179" s="93" t="s">
        <v>111</v>
      </c>
      <c r="J2179" s="93" t="s">
        <v>7105</v>
      </c>
      <c r="K2179" s="93" t="s">
        <v>111</v>
      </c>
      <c r="L2179" s="93" t="s">
        <v>111</v>
      </c>
      <c r="M2179" s="93" t="s">
        <v>111</v>
      </c>
      <c r="N2179" s="93" t="s">
        <v>111</v>
      </c>
      <c r="O2179" s="93" t="s">
        <v>111</v>
      </c>
      <c r="P2179" s="93" t="s">
        <v>111</v>
      </c>
      <c r="Q2179" s="93" t="s">
        <v>111</v>
      </c>
      <c r="R2179" s="93" t="s">
        <v>228</v>
      </c>
      <c r="S2179" s="93" t="s">
        <v>111</v>
      </c>
      <c r="T2179" s="93" t="s">
        <v>115</v>
      </c>
      <c r="U2179" s="93" t="s">
        <v>116</v>
      </c>
      <c r="V2179" s="94">
        <v>44610.15625</v>
      </c>
      <c r="W2179" s="93" t="s">
        <v>7072</v>
      </c>
      <c r="X2179" s="93" t="s">
        <v>24</v>
      </c>
    </row>
    <row r="2180" spans="1:24" hidden="1" x14ac:dyDescent="0.15">
      <c r="A2180" s="93" t="s">
        <v>7013</v>
      </c>
      <c r="B2180" s="93" t="s">
        <v>7565</v>
      </c>
      <c r="C2180" s="410">
        <v>46</v>
      </c>
      <c r="D2180" s="93" t="s">
        <v>24</v>
      </c>
      <c r="E2180" s="93" t="s">
        <v>24</v>
      </c>
      <c r="F2180" s="93" t="s">
        <v>7</v>
      </c>
      <c r="G2180" s="93" t="s">
        <v>7183</v>
      </c>
      <c r="H2180" s="93" t="s">
        <v>400</v>
      </c>
      <c r="I2180" s="93" t="s">
        <v>111</v>
      </c>
      <c r="J2180" s="93" t="s">
        <v>7105</v>
      </c>
      <c r="K2180" s="93" t="s">
        <v>111</v>
      </c>
      <c r="L2180" s="93" t="s">
        <v>111</v>
      </c>
      <c r="M2180" s="93" t="s">
        <v>111</v>
      </c>
      <c r="N2180" s="93" t="s">
        <v>111</v>
      </c>
      <c r="O2180" s="93" t="s">
        <v>111</v>
      </c>
      <c r="P2180" s="93" t="s">
        <v>111</v>
      </c>
      <c r="Q2180" s="93" t="s">
        <v>111</v>
      </c>
      <c r="R2180" s="93" t="s">
        <v>228</v>
      </c>
      <c r="S2180" s="93" t="s">
        <v>111</v>
      </c>
      <c r="T2180" s="93" t="s">
        <v>115</v>
      </c>
      <c r="U2180" s="93" t="s">
        <v>116</v>
      </c>
      <c r="V2180" s="94">
        <v>44610.204861111109</v>
      </c>
      <c r="W2180" s="93" t="s">
        <v>7072</v>
      </c>
      <c r="X2180" s="93" t="s">
        <v>24</v>
      </c>
    </row>
    <row r="2181" spans="1:24" hidden="1" x14ac:dyDescent="0.15">
      <c r="A2181" s="93" t="s">
        <v>7015</v>
      </c>
      <c r="B2181" s="93" t="s">
        <v>7566</v>
      </c>
      <c r="C2181" s="410">
        <v>72</v>
      </c>
      <c r="D2181" s="93" t="s">
        <v>24</v>
      </c>
      <c r="E2181" s="93" t="s">
        <v>24</v>
      </c>
      <c r="F2181" s="93" t="s">
        <v>7</v>
      </c>
      <c r="G2181" s="93" t="s">
        <v>7183</v>
      </c>
      <c r="H2181" s="93" t="s">
        <v>400</v>
      </c>
      <c r="I2181" s="93" t="s">
        <v>111</v>
      </c>
      <c r="J2181" s="93" t="s">
        <v>7105</v>
      </c>
      <c r="K2181" s="93" t="s">
        <v>111</v>
      </c>
      <c r="L2181" s="93" t="s">
        <v>111</v>
      </c>
      <c r="M2181" s="93" t="s">
        <v>111</v>
      </c>
      <c r="N2181" s="93" t="s">
        <v>111</v>
      </c>
      <c r="O2181" s="93" t="s">
        <v>111</v>
      </c>
      <c r="P2181" s="93" t="s">
        <v>111</v>
      </c>
      <c r="Q2181" s="93" t="s">
        <v>111</v>
      </c>
      <c r="R2181" s="93" t="s">
        <v>228</v>
      </c>
      <c r="S2181" s="93" t="s">
        <v>111</v>
      </c>
      <c r="T2181" s="93" t="s">
        <v>115</v>
      </c>
      <c r="U2181" s="93" t="s">
        <v>116</v>
      </c>
      <c r="V2181" s="94">
        <v>44610.197222222225</v>
      </c>
      <c r="W2181" s="93" t="s">
        <v>7072</v>
      </c>
      <c r="X2181" s="93" t="s">
        <v>24</v>
      </c>
    </row>
    <row r="2182" spans="1:24" hidden="1" x14ac:dyDescent="0.15">
      <c r="A2182" s="93" t="s">
        <v>7005</v>
      </c>
      <c r="B2182" s="93" t="s">
        <v>7567</v>
      </c>
      <c r="C2182" s="410">
        <v>36</v>
      </c>
      <c r="D2182" s="93" t="s">
        <v>24</v>
      </c>
      <c r="E2182" s="93" t="s">
        <v>24</v>
      </c>
      <c r="F2182" s="93" t="s">
        <v>7</v>
      </c>
      <c r="G2182" s="93" t="s">
        <v>7183</v>
      </c>
      <c r="H2182" s="93" t="s">
        <v>400</v>
      </c>
      <c r="I2182" s="93" t="s">
        <v>111</v>
      </c>
      <c r="J2182" s="93" t="s">
        <v>7105</v>
      </c>
      <c r="K2182" s="93" t="s">
        <v>111</v>
      </c>
      <c r="L2182" s="93" t="s">
        <v>111</v>
      </c>
      <c r="M2182" s="93" t="s">
        <v>111</v>
      </c>
      <c r="N2182" s="93" t="s">
        <v>111</v>
      </c>
      <c r="O2182" s="93" t="s">
        <v>111</v>
      </c>
      <c r="P2182" s="93" t="s">
        <v>111</v>
      </c>
      <c r="Q2182" s="93" t="s">
        <v>111</v>
      </c>
      <c r="R2182" s="93" t="s">
        <v>228</v>
      </c>
      <c r="S2182" s="93" t="s">
        <v>111</v>
      </c>
      <c r="T2182" s="93" t="s">
        <v>115</v>
      </c>
      <c r="U2182" s="93" t="s">
        <v>116</v>
      </c>
      <c r="V2182" s="94">
        <v>44610.211805555555</v>
      </c>
      <c r="W2182" s="93" t="s">
        <v>7072</v>
      </c>
      <c r="X2182" s="93" t="s">
        <v>24</v>
      </c>
    </row>
    <row r="2183" spans="1:24" hidden="1" x14ac:dyDescent="0.15">
      <c r="A2183" s="93" t="s">
        <v>7007</v>
      </c>
      <c r="B2183" s="93" t="s">
        <v>7568</v>
      </c>
      <c r="C2183" s="410">
        <v>92</v>
      </c>
      <c r="D2183" s="93" t="s">
        <v>24</v>
      </c>
      <c r="E2183" s="93" t="s">
        <v>24</v>
      </c>
      <c r="F2183" s="93" t="s">
        <v>7</v>
      </c>
      <c r="G2183" s="93" t="s">
        <v>7183</v>
      </c>
      <c r="H2183" s="93" t="s">
        <v>400</v>
      </c>
      <c r="I2183" s="93" t="s">
        <v>111</v>
      </c>
      <c r="J2183" s="93" t="s">
        <v>7105</v>
      </c>
      <c r="K2183" s="93" t="s">
        <v>111</v>
      </c>
      <c r="L2183" s="93" t="s">
        <v>111</v>
      </c>
      <c r="M2183" s="93" t="s">
        <v>111</v>
      </c>
      <c r="N2183" s="93" t="s">
        <v>111</v>
      </c>
      <c r="O2183" s="93" t="s">
        <v>111</v>
      </c>
      <c r="P2183" s="93" t="s">
        <v>111</v>
      </c>
      <c r="Q2183" s="93" t="s">
        <v>111</v>
      </c>
      <c r="R2183" s="93" t="s">
        <v>228</v>
      </c>
      <c r="S2183" s="93" t="s">
        <v>111</v>
      </c>
      <c r="T2183" s="93" t="s">
        <v>115</v>
      </c>
      <c r="U2183" s="93" t="s">
        <v>116</v>
      </c>
      <c r="V2183" s="94">
        <v>44610.147916666669</v>
      </c>
      <c r="W2183" s="93" t="s">
        <v>7072</v>
      </c>
      <c r="X2183" s="93" t="s">
        <v>24</v>
      </c>
    </row>
    <row r="2184" spans="1:24" hidden="1" x14ac:dyDescent="0.15">
      <c r="A2184" s="93" t="s">
        <v>7009</v>
      </c>
      <c r="B2184" s="93" t="s">
        <v>7569</v>
      </c>
      <c r="C2184" s="410">
        <v>144</v>
      </c>
      <c r="D2184" s="93" t="s">
        <v>24</v>
      </c>
      <c r="E2184" s="93" t="s">
        <v>24</v>
      </c>
      <c r="F2184" s="93" t="s">
        <v>7</v>
      </c>
      <c r="G2184" s="93" t="s">
        <v>7183</v>
      </c>
      <c r="H2184" s="93" t="s">
        <v>400</v>
      </c>
      <c r="I2184" s="93" t="s">
        <v>111</v>
      </c>
      <c r="J2184" s="93" t="s">
        <v>7105</v>
      </c>
      <c r="K2184" s="93" t="s">
        <v>111</v>
      </c>
      <c r="L2184" s="93" t="s">
        <v>111</v>
      </c>
      <c r="M2184" s="93" t="s">
        <v>111</v>
      </c>
      <c r="N2184" s="93" t="s">
        <v>111</v>
      </c>
      <c r="O2184" s="93" t="s">
        <v>111</v>
      </c>
      <c r="P2184" s="93" t="s">
        <v>111</v>
      </c>
      <c r="Q2184" s="93" t="s">
        <v>111</v>
      </c>
      <c r="R2184" s="93" t="s">
        <v>228</v>
      </c>
      <c r="S2184" s="93" t="s">
        <v>111</v>
      </c>
      <c r="T2184" s="93" t="s">
        <v>115</v>
      </c>
      <c r="U2184" s="93" t="s">
        <v>116</v>
      </c>
      <c r="V2184" s="94">
        <v>44610.204861111109</v>
      </c>
      <c r="W2184" s="93" t="s">
        <v>7072</v>
      </c>
      <c r="X2184" s="93" t="s">
        <v>24</v>
      </c>
    </row>
    <row r="2185" spans="1:24" hidden="1" x14ac:dyDescent="0.15">
      <c r="A2185" s="93" t="s">
        <v>6185</v>
      </c>
      <c r="B2185" s="93" t="s">
        <v>7570</v>
      </c>
      <c r="C2185" s="410">
        <v>12</v>
      </c>
      <c r="D2185" s="93" t="s">
        <v>24</v>
      </c>
      <c r="E2185" s="93" t="s">
        <v>24</v>
      </c>
      <c r="F2185" s="93" t="s">
        <v>399</v>
      </c>
      <c r="G2185" s="93" t="s">
        <v>7183</v>
      </c>
      <c r="H2185" s="93" t="s">
        <v>400</v>
      </c>
      <c r="I2185" s="93" t="s">
        <v>111</v>
      </c>
      <c r="J2185" s="93" t="s">
        <v>7105</v>
      </c>
      <c r="K2185" s="93" t="s">
        <v>111</v>
      </c>
      <c r="L2185" s="93" t="s">
        <v>111</v>
      </c>
      <c r="M2185" s="93" t="s">
        <v>111</v>
      </c>
      <c r="N2185" s="93" t="s">
        <v>111</v>
      </c>
      <c r="O2185" s="93" t="s">
        <v>111</v>
      </c>
      <c r="P2185" s="93" t="s">
        <v>111</v>
      </c>
      <c r="Q2185" s="93" t="s">
        <v>111</v>
      </c>
      <c r="R2185" s="93" t="s">
        <v>228</v>
      </c>
      <c r="S2185" s="93" t="s">
        <v>111</v>
      </c>
      <c r="T2185" s="93" t="s">
        <v>115</v>
      </c>
      <c r="U2185" s="93" t="s">
        <v>116</v>
      </c>
      <c r="V2185" s="94">
        <v>44610.145833333336</v>
      </c>
      <c r="W2185" s="93" t="s">
        <v>7072</v>
      </c>
      <c r="X2185" s="93" t="s">
        <v>24</v>
      </c>
    </row>
    <row r="2186" spans="1:24" hidden="1" x14ac:dyDescent="0.15">
      <c r="A2186" s="93" t="s">
        <v>6187</v>
      </c>
      <c r="B2186" s="93" t="s">
        <v>7571</v>
      </c>
      <c r="C2186" s="410">
        <v>31</v>
      </c>
      <c r="D2186" s="93" t="s">
        <v>24</v>
      </c>
      <c r="E2186" s="93" t="s">
        <v>24</v>
      </c>
      <c r="F2186" s="93" t="s">
        <v>399</v>
      </c>
      <c r="G2186" s="93" t="s">
        <v>7183</v>
      </c>
      <c r="H2186" s="93" t="s">
        <v>400</v>
      </c>
      <c r="I2186" s="93" t="s">
        <v>111</v>
      </c>
      <c r="J2186" s="93" t="s">
        <v>7105</v>
      </c>
      <c r="K2186" s="93" t="s">
        <v>111</v>
      </c>
      <c r="L2186" s="93" t="s">
        <v>111</v>
      </c>
      <c r="M2186" s="93" t="s">
        <v>111</v>
      </c>
      <c r="N2186" s="93" t="s">
        <v>111</v>
      </c>
      <c r="O2186" s="93" t="s">
        <v>111</v>
      </c>
      <c r="P2186" s="93" t="s">
        <v>111</v>
      </c>
      <c r="Q2186" s="93" t="s">
        <v>111</v>
      </c>
      <c r="R2186" s="93" t="s">
        <v>228</v>
      </c>
      <c r="S2186" s="93" t="s">
        <v>111</v>
      </c>
      <c r="T2186" s="93" t="s">
        <v>115</v>
      </c>
      <c r="U2186" s="93" t="s">
        <v>116</v>
      </c>
      <c r="V2186" s="94">
        <v>44610.20416666667</v>
      </c>
      <c r="W2186" s="93" t="s">
        <v>7072</v>
      </c>
      <c r="X2186" s="93" t="s">
        <v>24</v>
      </c>
    </row>
    <row r="2187" spans="1:24" hidden="1" x14ac:dyDescent="0.15">
      <c r="A2187" s="93" t="s">
        <v>6189</v>
      </c>
      <c r="B2187" s="93" t="s">
        <v>7572</v>
      </c>
      <c r="C2187" s="410">
        <v>48</v>
      </c>
      <c r="D2187" s="93" t="s">
        <v>24</v>
      </c>
      <c r="E2187" s="93" t="s">
        <v>24</v>
      </c>
      <c r="F2187" s="93" t="s">
        <v>399</v>
      </c>
      <c r="G2187" s="93" t="s">
        <v>7183</v>
      </c>
      <c r="H2187" s="93" t="s">
        <v>400</v>
      </c>
      <c r="I2187" s="93" t="s">
        <v>111</v>
      </c>
      <c r="J2187" s="93" t="s">
        <v>7105</v>
      </c>
      <c r="K2187" s="93" t="s">
        <v>111</v>
      </c>
      <c r="L2187" s="93" t="s">
        <v>111</v>
      </c>
      <c r="M2187" s="93" t="s">
        <v>111</v>
      </c>
      <c r="N2187" s="93" t="s">
        <v>111</v>
      </c>
      <c r="O2187" s="93" t="s">
        <v>111</v>
      </c>
      <c r="P2187" s="93" t="s">
        <v>111</v>
      </c>
      <c r="Q2187" s="93" t="s">
        <v>111</v>
      </c>
      <c r="R2187" s="93" t="s">
        <v>228</v>
      </c>
      <c r="S2187" s="93" t="s">
        <v>111</v>
      </c>
      <c r="T2187" s="93" t="s">
        <v>115</v>
      </c>
      <c r="U2187" s="93" t="s">
        <v>116</v>
      </c>
      <c r="V2187" s="94">
        <v>44610.20208333333</v>
      </c>
      <c r="W2187" s="93" t="s">
        <v>7072</v>
      </c>
      <c r="X2187" s="93" t="s">
        <v>24</v>
      </c>
    </row>
    <row r="2188" spans="1:24" hidden="1" x14ac:dyDescent="0.15">
      <c r="A2188" s="93" t="s">
        <v>6179</v>
      </c>
      <c r="B2188" s="93" t="s">
        <v>7573</v>
      </c>
      <c r="C2188" s="410">
        <v>33</v>
      </c>
      <c r="D2188" s="93" t="s">
        <v>24</v>
      </c>
      <c r="E2188" s="93" t="s">
        <v>24</v>
      </c>
      <c r="F2188" s="93" t="s">
        <v>399</v>
      </c>
      <c r="G2188" s="93" t="s">
        <v>7183</v>
      </c>
      <c r="H2188" s="93" t="s">
        <v>400</v>
      </c>
      <c r="I2188" s="93" t="s">
        <v>111</v>
      </c>
      <c r="J2188" s="93" t="s">
        <v>7105</v>
      </c>
      <c r="K2188" s="93" t="s">
        <v>111</v>
      </c>
      <c r="L2188" s="93" t="s">
        <v>111</v>
      </c>
      <c r="M2188" s="93" t="s">
        <v>111</v>
      </c>
      <c r="N2188" s="93" t="s">
        <v>111</v>
      </c>
      <c r="O2188" s="93" t="s">
        <v>111</v>
      </c>
      <c r="P2188" s="93" t="s">
        <v>111</v>
      </c>
      <c r="Q2188" s="93" t="s">
        <v>111</v>
      </c>
      <c r="R2188" s="93" t="s">
        <v>228</v>
      </c>
      <c r="S2188" s="93" t="s">
        <v>111</v>
      </c>
      <c r="T2188" s="93" t="s">
        <v>115</v>
      </c>
      <c r="U2188" s="93" t="s">
        <v>116</v>
      </c>
      <c r="V2188" s="94">
        <v>44610.165277777778</v>
      </c>
      <c r="W2188" s="93" t="s">
        <v>7072</v>
      </c>
      <c r="X2188" s="93" t="s">
        <v>24</v>
      </c>
    </row>
    <row r="2189" spans="1:24" hidden="1" x14ac:dyDescent="0.15">
      <c r="A2189" s="93" t="s">
        <v>6181</v>
      </c>
      <c r="B2189" s="93" t="s">
        <v>7574</v>
      </c>
      <c r="C2189" s="410">
        <v>85</v>
      </c>
      <c r="D2189" s="93" t="s">
        <v>24</v>
      </c>
      <c r="E2189" s="93" t="s">
        <v>24</v>
      </c>
      <c r="F2189" s="93" t="s">
        <v>399</v>
      </c>
      <c r="G2189" s="93" t="s">
        <v>7183</v>
      </c>
      <c r="H2189" s="93" t="s">
        <v>400</v>
      </c>
      <c r="I2189" s="93" t="s">
        <v>111</v>
      </c>
      <c r="J2189" s="93" t="s">
        <v>7105</v>
      </c>
      <c r="K2189" s="93" t="s">
        <v>111</v>
      </c>
      <c r="L2189" s="93" t="s">
        <v>111</v>
      </c>
      <c r="M2189" s="93" t="s">
        <v>111</v>
      </c>
      <c r="N2189" s="93" t="s">
        <v>111</v>
      </c>
      <c r="O2189" s="93" t="s">
        <v>111</v>
      </c>
      <c r="P2189" s="93" t="s">
        <v>111</v>
      </c>
      <c r="Q2189" s="93" t="s">
        <v>111</v>
      </c>
      <c r="R2189" s="93" t="s">
        <v>228</v>
      </c>
      <c r="S2189" s="93" t="s">
        <v>111</v>
      </c>
      <c r="T2189" s="93" t="s">
        <v>115</v>
      </c>
      <c r="U2189" s="93" t="s">
        <v>116</v>
      </c>
      <c r="V2189" s="94">
        <v>44610.154861111114</v>
      </c>
      <c r="W2189" s="93" t="s">
        <v>7072</v>
      </c>
      <c r="X2189" s="93" t="s">
        <v>24</v>
      </c>
    </row>
    <row r="2190" spans="1:24" hidden="1" x14ac:dyDescent="0.15">
      <c r="A2190" s="93" t="s">
        <v>6183</v>
      </c>
      <c r="B2190" s="93" t="s">
        <v>7575</v>
      </c>
      <c r="C2190" s="410">
        <v>132</v>
      </c>
      <c r="D2190" s="93" t="s">
        <v>24</v>
      </c>
      <c r="E2190" s="93" t="s">
        <v>24</v>
      </c>
      <c r="F2190" s="93" t="s">
        <v>399</v>
      </c>
      <c r="G2190" s="93" t="s">
        <v>7183</v>
      </c>
      <c r="H2190" s="93" t="s">
        <v>400</v>
      </c>
      <c r="I2190" s="93" t="s">
        <v>111</v>
      </c>
      <c r="J2190" s="93" t="s">
        <v>7105</v>
      </c>
      <c r="K2190" s="93" t="s">
        <v>111</v>
      </c>
      <c r="L2190" s="93" t="s">
        <v>111</v>
      </c>
      <c r="M2190" s="93" t="s">
        <v>111</v>
      </c>
      <c r="N2190" s="93" t="s">
        <v>111</v>
      </c>
      <c r="O2190" s="93" t="s">
        <v>111</v>
      </c>
      <c r="P2190" s="93" t="s">
        <v>111</v>
      </c>
      <c r="Q2190" s="93" t="s">
        <v>111</v>
      </c>
      <c r="R2190" s="93" t="s">
        <v>228</v>
      </c>
      <c r="S2190" s="93" t="s">
        <v>111</v>
      </c>
      <c r="T2190" s="93" t="s">
        <v>115</v>
      </c>
      <c r="U2190" s="93" t="s">
        <v>116</v>
      </c>
      <c r="V2190" s="94">
        <v>44610.180555555555</v>
      </c>
      <c r="W2190" s="93" t="s">
        <v>7072</v>
      </c>
      <c r="X2190" s="93" t="s">
        <v>24</v>
      </c>
    </row>
    <row r="2191" spans="1:24" hidden="1" x14ac:dyDescent="0.15">
      <c r="A2191" s="93" t="s">
        <v>7576</v>
      </c>
      <c r="B2191" s="93" t="s">
        <v>7577</v>
      </c>
      <c r="C2191" s="410">
        <v>13</v>
      </c>
      <c r="D2191" s="93" t="s">
        <v>24</v>
      </c>
      <c r="E2191" s="93" t="s">
        <v>24</v>
      </c>
      <c r="F2191" s="93" t="s">
        <v>7</v>
      </c>
      <c r="G2191" s="93" t="s">
        <v>7183</v>
      </c>
      <c r="H2191" s="93" t="s">
        <v>400</v>
      </c>
      <c r="I2191" s="93" t="s">
        <v>111</v>
      </c>
      <c r="J2191" s="93" t="s">
        <v>7105</v>
      </c>
      <c r="K2191" s="93" t="s">
        <v>111</v>
      </c>
      <c r="L2191" s="93" t="s">
        <v>111</v>
      </c>
      <c r="M2191" s="93" t="s">
        <v>111</v>
      </c>
      <c r="N2191" s="93" t="s">
        <v>111</v>
      </c>
      <c r="O2191" s="93" t="s">
        <v>111</v>
      </c>
      <c r="P2191" s="93" t="s">
        <v>111</v>
      </c>
      <c r="Q2191" s="93" t="s">
        <v>111</v>
      </c>
      <c r="R2191" s="93" t="s">
        <v>111</v>
      </c>
      <c r="S2191" s="93" t="s">
        <v>111</v>
      </c>
      <c r="T2191" s="93" t="s">
        <v>111</v>
      </c>
      <c r="U2191" s="93" t="s">
        <v>116</v>
      </c>
      <c r="V2191" s="94">
        <v>44596.665972222225</v>
      </c>
      <c r="W2191" s="93" t="s">
        <v>402</v>
      </c>
      <c r="X2191" s="93" t="s">
        <v>24</v>
      </c>
    </row>
    <row r="2192" spans="1:24" hidden="1" x14ac:dyDescent="0.15">
      <c r="A2192" s="93" t="s">
        <v>7578</v>
      </c>
      <c r="B2192" s="93" t="s">
        <v>7579</v>
      </c>
      <c r="C2192" s="410">
        <v>34</v>
      </c>
      <c r="D2192" s="93" t="s">
        <v>24</v>
      </c>
      <c r="E2192" s="93" t="s">
        <v>24</v>
      </c>
      <c r="F2192" s="93" t="s">
        <v>7</v>
      </c>
      <c r="G2192" s="93" t="s">
        <v>7183</v>
      </c>
      <c r="H2192" s="93" t="s">
        <v>400</v>
      </c>
      <c r="I2192" s="93" t="s">
        <v>111</v>
      </c>
      <c r="J2192" s="93" t="s">
        <v>7105</v>
      </c>
      <c r="K2192" s="93" t="s">
        <v>111</v>
      </c>
      <c r="L2192" s="93" t="s">
        <v>111</v>
      </c>
      <c r="M2192" s="93" t="s">
        <v>111</v>
      </c>
      <c r="N2192" s="93" t="s">
        <v>111</v>
      </c>
      <c r="O2192" s="93" t="s">
        <v>111</v>
      </c>
      <c r="P2192" s="93" t="s">
        <v>111</v>
      </c>
      <c r="Q2192" s="93" t="s">
        <v>111</v>
      </c>
      <c r="R2192" s="93" t="s">
        <v>111</v>
      </c>
      <c r="S2192" s="93" t="s">
        <v>111</v>
      </c>
      <c r="T2192" s="93" t="s">
        <v>111</v>
      </c>
      <c r="U2192" s="93" t="s">
        <v>116</v>
      </c>
      <c r="V2192" s="94">
        <v>44596.693055555559</v>
      </c>
      <c r="W2192" s="93" t="s">
        <v>402</v>
      </c>
      <c r="X2192" s="93" t="s">
        <v>24</v>
      </c>
    </row>
    <row r="2193" spans="1:24" hidden="1" x14ac:dyDescent="0.15">
      <c r="A2193" s="93" t="s">
        <v>7580</v>
      </c>
      <c r="B2193" s="93" t="s">
        <v>7581</v>
      </c>
      <c r="C2193" s="410">
        <v>52</v>
      </c>
      <c r="D2193" s="93" t="s">
        <v>24</v>
      </c>
      <c r="E2193" s="93" t="s">
        <v>24</v>
      </c>
      <c r="F2193" s="93" t="s">
        <v>7</v>
      </c>
      <c r="G2193" s="93" t="s">
        <v>7183</v>
      </c>
      <c r="H2193" s="93" t="s">
        <v>400</v>
      </c>
      <c r="I2193" s="93" t="s">
        <v>111</v>
      </c>
      <c r="J2193" s="93" t="s">
        <v>7105</v>
      </c>
      <c r="K2193" s="93" t="s">
        <v>111</v>
      </c>
      <c r="L2193" s="93" t="s">
        <v>111</v>
      </c>
      <c r="M2193" s="93" t="s">
        <v>111</v>
      </c>
      <c r="N2193" s="93" t="s">
        <v>111</v>
      </c>
      <c r="O2193" s="93" t="s">
        <v>111</v>
      </c>
      <c r="P2193" s="93" t="s">
        <v>111</v>
      </c>
      <c r="Q2193" s="93" t="s">
        <v>111</v>
      </c>
      <c r="R2193" s="93" t="s">
        <v>111</v>
      </c>
      <c r="S2193" s="93" t="s">
        <v>111</v>
      </c>
      <c r="T2193" s="93" t="s">
        <v>111</v>
      </c>
      <c r="U2193" s="93" t="s">
        <v>116</v>
      </c>
      <c r="V2193" s="94">
        <v>44596.65347222222</v>
      </c>
      <c r="W2193" s="93" t="s">
        <v>402</v>
      </c>
      <c r="X2193" s="93" t="s">
        <v>24</v>
      </c>
    </row>
    <row r="2194" spans="1:24" hidden="1" x14ac:dyDescent="0.15">
      <c r="A2194" s="93" t="s">
        <v>7582</v>
      </c>
      <c r="B2194" s="93" t="s">
        <v>7583</v>
      </c>
      <c r="C2194" s="410">
        <v>66</v>
      </c>
      <c r="D2194" s="93" t="s">
        <v>24</v>
      </c>
      <c r="E2194" s="93" t="s">
        <v>24</v>
      </c>
      <c r="F2194" s="93" t="s">
        <v>7</v>
      </c>
      <c r="G2194" s="93" t="s">
        <v>7183</v>
      </c>
      <c r="H2194" s="93" t="s">
        <v>400</v>
      </c>
      <c r="I2194" s="93" t="s">
        <v>111</v>
      </c>
      <c r="J2194" s="93" t="s">
        <v>7105</v>
      </c>
      <c r="K2194" s="93" t="s">
        <v>111</v>
      </c>
      <c r="L2194" s="93" t="s">
        <v>111</v>
      </c>
      <c r="M2194" s="93" t="s">
        <v>111</v>
      </c>
      <c r="N2194" s="93" t="s">
        <v>111</v>
      </c>
      <c r="O2194" s="93" t="s">
        <v>111</v>
      </c>
      <c r="P2194" s="93" t="s">
        <v>111</v>
      </c>
      <c r="Q2194" s="93" t="s">
        <v>111</v>
      </c>
      <c r="R2194" s="93" t="s">
        <v>111</v>
      </c>
      <c r="S2194" s="93" t="s">
        <v>111</v>
      </c>
      <c r="T2194" s="93" t="s">
        <v>111</v>
      </c>
      <c r="U2194" s="93" t="s">
        <v>116</v>
      </c>
      <c r="V2194" s="94">
        <v>44596.684027777781</v>
      </c>
      <c r="W2194" s="93" t="s">
        <v>402</v>
      </c>
      <c r="X2194" s="93" t="s">
        <v>24</v>
      </c>
    </row>
    <row r="2195" spans="1:24" hidden="1" x14ac:dyDescent="0.15">
      <c r="A2195" s="93" t="s">
        <v>7584</v>
      </c>
      <c r="B2195" s="93" t="s">
        <v>7585</v>
      </c>
      <c r="C2195" s="410">
        <v>169</v>
      </c>
      <c r="D2195" s="93" t="s">
        <v>24</v>
      </c>
      <c r="E2195" s="93" t="s">
        <v>24</v>
      </c>
      <c r="F2195" s="93" t="s">
        <v>7</v>
      </c>
      <c r="G2195" s="93" t="s">
        <v>7183</v>
      </c>
      <c r="H2195" s="93" t="s">
        <v>400</v>
      </c>
      <c r="I2195" s="93" t="s">
        <v>111</v>
      </c>
      <c r="J2195" s="93" t="s">
        <v>7105</v>
      </c>
      <c r="K2195" s="93" t="s">
        <v>111</v>
      </c>
      <c r="L2195" s="93" t="s">
        <v>111</v>
      </c>
      <c r="M2195" s="93" t="s">
        <v>111</v>
      </c>
      <c r="N2195" s="93" t="s">
        <v>111</v>
      </c>
      <c r="O2195" s="93" t="s">
        <v>111</v>
      </c>
      <c r="P2195" s="93" t="s">
        <v>111</v>
      </c>
      <c r="Q2195" s="93" t="s">
        <v>111</v>
      </c>
      <c r="R2195" s="93" t="s">
        <v>111</v>
      </c>
      <c r="S2195" s="93" t="s">
        <v>111</v>
      </c>
      <c r="T2195" s="93" t="s">
        <v>111</v>
      </c>
      <c r="U2195" s="93" t="s">
        <v>116</v>
      </c>
      <c r="V2195" s="94">
        <v>44596.63958333333</v>
      </c>
      <c r="W2195" s="93" t="s">
        <v>402</v>
      </c>
      <c r="X2195" s="93" t="s">
        <v>24</v>
      </c>
    </row>
    <row r="2196" spans="1:24" hidden="1" x14ac:dyDescent="0.15">
      <c r="A2196" s="93" t="s">
        <v>7586</v>
      </c>
      <c r="B2196" s="93" t="s">
        <v>7587</v>
      </c>
      <c r="C2196" s="410">
        <v>264</v>
      </c>
      <c r="D2196" s="93" t="s">
        <v>24</v>
      </c>
      <c r="E2196" s="93" t="s">
        <v>24</v>
      </c>
      <c r="F2196" s="93" t="s">
        <v>7</v>
      </c>
      <c r="G2196" s="93" t="s">
        <v>7183</v>
      </c>
      <c r="H2196" s="93" t="s">
        <v>400</v>
      </c>
      <c r="I2196" s="93" t="s">
        <v>111</v>
      </c>
      <c r="J2196" s="93" t="s">
        <v>7105</v>
      </c>
      <c r="K2196" s="93" t="s">
        <v>111</v>
      </c>
      <c r="L2196" s="93" t="s">
        <v>111</v>
      </c>
      <c r="M2196" s="93" t="s">
        <v>111</v>
      </c>
      <c r="N2196" s="93" t="s">
        <v>111</v>
      </c>
      <c r="O2196" s="93" t="s">
        <v>111</v>
      </c>
      <c r="P2196" s="93" t="s">
        <v>111</v>
      </c>
      <c r="Q2196" s="93" t="s">
        <v>111</v>
      </c>
      <c r="R2196" s="93" t="s">
        <v>111</v>
      </c>
      <c r="S2196" s="93" t="s">
        <v>111</v>
      </c>
      <c r="T2196" s="93" t="s">
        <v>111</v>
      </c>
      <c r="U2196" s="93" t="s">
        <v>116</v>
      </c>
      <c r="V2196" s="94">
        <v>44596.693055555559</v>
      </c>
      <c r="W2196" s="93" t="s">
        <v>402</v>
      </c>
      <c r="X2196" s="93" t="s">
        <v>24</v>
      </c>
    </row>
    <row r="2197" spans="1:24" hidden="1" x14ac:dyDescent="0.15">
      <c r="A2197" s="93" t="s">
        <v>7588</v>
      </c>
      <c r="B2197" s="93" t="s">
        <v>7589</v>
      </c>
      <c r="C2197" s="410">
        <v>21</v>
      </c>
      <c r="D2197" s="93" t="s">
        <v>24</v>
      </c>
      <c r="E2197" s="93" t="s">
        <v>24</v>
      </c>
      <c r="F2197" s="93" t="s">
        <v>7</v>
      </c>
      <c r="G2197" s="93" t="s">
        <v>7183</v>
      </c>
      <c r="H2197" s="93" t="s">
        <v>400</v>
      </c>
      <c r="I2197" s="93" t="s">
        <v>111</v>
      </c>
      <c r="J2197" s="93" t="s">
        <v>7105</v>
      </c>
      <c r="K2197" s="93" t="s">
        <v>111</v>
      </c>
      <c r="L2197" s="93" t="s">
        <v>111</v>
      </c>
      <c r="M2197" s="93" t="s">
        <v>111</v>
      </c>
      <c r="N2197" s="93" t="s">
        <v>111</v>
      </c>
      <c r="O2197" s="93" t="s">
        <v>111</v>
      </c>
      <c r="P2197" s="93" t="s">
        <v>111</v>
      </c>
      <c r="Q2197" s="93" t="s">
        <v>111</v>
      </c>
      <c r="R2197" s="93" t="s">
        <v>111</v>
      </c>
      <c r="S2197" s="93" t="s">
        <v>111</v>
      </c>
      <c r="T2197" s="93" t="s">
        <v>111</v>
      </c>
      <c r="U2197" s="93" t="s">
        <v>116</v>
      </c>
      <c r="V2197" s="94">
        <v>44596.640277777777</v>
      </c>
      <c r="W2197" s="93" t="s">
        <v>402</v>
      </c>
      <c r="X2197" s="93" t="s">
        <v>24</v>
      </c>
    </row>
    <row r="2198" spans="1:24" hidden="1" x14ac:dyDescent="0.15">
      <c r="A2198" s="93" t="s">
        <v>7590</v>
      </c>
      <c r="B2198" s="93" t="s">
        <v>7591</v>
      </c>
      <c r="C2198" s="410">
        <v>54</v>
      </c>
      <c r="D2198" s="93" t="s">
        <v>24</v>
      </c>
      <c r="E2198" s="93" t="s">
        <v>24</v>
      </c>
      <c r="F2198" s="93" t="s">
        <v>7</v>
      </c>
      <c r="G2198" s="93" t="s">
        <v>7183</v>
      </c>
      <c r="H2198" s="93" t="s">
        <v>400</v>
      </c>
      <c r="I2198" s="93" t="s">
        <v>111</v>
      </c>
      <c r="J2198" s="93" t="s">
        <v>7105</v>
      </c>
      <c r="K2198" s="93" t="s">
        <v>111</v>
      </c>
      <c r="L2198" s="93" t="s">
        <v>111</v>
      </c>
      <c r="M2198" s="93" t="s">
        <v>111</v>
      </c>
      <c r="N2198" s="93" t="s">
        <v>111</v>
      </c>
      <c r="O2198" s="93" t="s">
        <v>111</v>
      </c>
      <c r="P2198" s="93" t="s">
        <v>111</v>
      </c>
      <c r="Q2198" s="93" t="s">
        <v>111</v>
      </c>
      <c r="R2198" s="93" t="s">
        <v>111</v>
      </c>
      <c r="S2198" s="93" t="s">
        <v>111</v>
      </c>
      <c r="T2198" s="93" t="s">
        <v>111</v>
      </c>
      <c r="U2198" s="93" t="s">
        <v>116</v>
      </c>
      <c r="V2198" s="94">
        <v>44596.657638888886</v>
      </c>
      <c r="W2198" s="93" t="s">
        <v>402</v>
      </c>
      <c r="X2198" s="93" t="s">
        <v>24</v>
      </c>
    </row>
    <row r="2199" spans="1:24" hidden="1" x14ac:dyDescent="0.15">
      <c r="A2199" s="93" t="s">
        <v>7592</v>
      </c>
      <c r="B2199" s="93" t="s">
        <v>7593</v>
      </c>
      <c r="C2199" s="410">
        <v>84</v>
      </c>
      <c r="D2199" s="93" t="s">
        <v>24</v>
      </c>
      <c r="E2199" s="93" t="s">
        <v>24</v>
      </c>
      <c r="F2199" s="93" t="s">
        <v>7</v>
      </c>
      <c r="G2199" s="93" t="s">
        <v>7183</v>
      </c>
      <c r="H2199" s="93" t="s">
        <v>400</v>
      </c>
      <c r="I2199" s="93" t="s">
        <v>111</v>
      </c>
      <c r="J2199" s="93" t="s">
        <v>7105</v>
      </c>
      <c r="K2199" s="93" t="s">
        <v>111</v>
      </c>
      <c r="L2199" s="93" t="s">
        <v>111</v>
      </c>
      <c r="M2199" s="93" t="s">
        <v>111</v>
      </c>
      <c r="N2199" s="93" t="s">
        <v>111</v>
      </c>
      <c r="O2199" s="93" t="s">
        <v>111</v>
      </c>
      <c r="P2199" s="93" t="s">
        <v>111</v>
      </c>
      <c r="Q2199" s="93" t="s">
        <v>111</v>
      </c>
      <c r="R2199" s="93" t="s">
        <v>111</v>
      </c>
      <c r="S2199" s="93" t="s">
        <v>2</v>
      </c>
      <c r="T2199" s="93" t="s">
        <v>111</v>
      </c>
      <c r="U2199" s="93" t="s">
        <v>116</v>
      </c>
      <c r="V2199" s="94">
        <v>44596.63958333333</v>
      </c>
      <c r="W2199" s="93" t="s">
        <v>402</v>
      </c>
      <c r="X2199" s="93" t="s">
        <v>24</v>
      </c>
    </row>
    <row r="2200" spans="1:24" hidden="1" x14ac:dyDescent="0.15">
      <c r="A2200" s="93" t="s">
        <v>7594</v>
      </c>
      <c r="B2200" s="93" t="s">
        <v>7595</v>
      </c>
      <c r="C2200" s="410">
        <v>39</v>
      </c>
      <c r="D2200" s="93" t="s">
        <v>24</v>
      </c>
      <c r="E2200" s="93" t="s">
        <v>24</v>
      </c>
      <c r="F2200" s="93" t="s">
        <v>7</v>
      </c>
      <c r="G2200" s="93" t="s">
        <v>7183</v>
      </c>
      <c r="H2200" s="93" t="s">
        <v>400</v>
      </c>
      <c r="I2200" s="93" t="s">
        <v>111</v>
      </c>
      <c r="J2200" s="93" t="s">
        <v>7105</v>
      </c>
      <c r="K2200" s="93" t="s">
        <v>111</v>
      </c>
      <c r="L2200" s="93" t="s">
        <v>111</v>
      </c>
      <c r="M2200" s="93" t="s">
        <v>111</v>
      </c>
      <c r="N2200" s="93" t="s">
        <v>111</v>
      </c>
      <c r="O2200" s="93" t="s">
        <v>111</v>
      </c>
      <c r="P2200" s="93" t="s">
        <v>111</v>
      </c>
      <c r="Q2200" s="93" t="s">
        <v>111</v>
      </c>
      <c r="R2200" s="93" t="s">
        <v>111</v>
      </c>
      <c r="S2200" s="93" t="s">
        <v>2</v>
      </c>
      <c r="T2200" s="93" t="s">
        <v>111</v>
      </c>
      <c r="U2200" s="93" t="s">
        <v>116</v>
      </c>
      <c r="V2200" s="94">
        <v>44596.689583333333</v>
      </c>
      <c r="W2200" s="93" t="s">
        <v>402</v>
      </c>
      <c r="X2200" s="93" t="s">
        <v>24</v>
      </c>
    </row>
    <row r="2201" spans="1:24" hidden="1" x14ac:dyDescent="0.15">
      <c r="A2201" s="93" t="s">
        <v>7596</v>
      </c>
      <c r="B2201" s="93" t="s">
        <v>7597</v>
      </c>
      <c r="C2201" s="410">
        <v>100</v>
      </c>
      <c r="D2201" s="93" t="s">
        <v>24</v>
      </c>
      <c r="E2201" s="93" t="s">
        <v>24</v>
      </c>
      <c r="F2201" s="93" t="s">
        <v>7</v>
      </c>
      <c r="G2201" s="93" t="s">
        <v>7183</v>
      </c>
      <c r="H2201" s="93" t="s">
        <v>400</v>
      </c>
      <c r="I2201" s="93" t="s">
        <v>111</v>
      </c>
      <c r="J2201" s="93" t="s">
        <v>7105</v>
      </c>
      <c r="K2201" s="93" t="s">
        <v>111</v>
      </c>
      <c r="L2201" s="93" t="s">
        <v>111</v>
      </c>
      <c r="M2201" s="93" t="s">
        <v>111</v>
      </c>
      <c r="N2201" s="93" t="s">
        <v>111</v>
      </c>
      <c r="O2201" s="93" t="s">
        <v>111</v>
      </c>
      <c r="P2201" s="93" t="s">
        <v>111</v>
      </c>
      <c r="Q2201" s="93" t="s">
        <v>111</v>
      </c>
      <c r="R2201" s="93" t="s">
        <v>111</v>
      </c>
      <c r="S2201" s="93" t="s">
        <v>111</v>
      </c>
      <c r="T2201" s="93" t="s">
        <v>111</v>
      </c>
      <c r="U2201" s="93" t="s">
        <v>116</v>
      </c>
      <c r="V2201" s="94">
        <v>44596.68472222222</v>
      </c>
      <c r="W2201" s="93" t="s">
        <v>402</v>
      </c>
      <c r="X2201" s="93" t="s">
        <v>24</v>
      </c>
    </row>
    <row r="2202" spans="1:24" hidden="1" x14ac:dyDescent="0.15">
      <c r="A2202" s="93" t="s">
        <v>7598</v>
      </c>
      <c r="B2202" s="93" t="s">
        <v>7599</v>
      </c>
      <c r="C2202" s="410">
        <v>156</v>
      </c>
      <c r="D2202" s="93" t="s">
        <v>24</v>
      </c>
      <c r="E2202" s="93" t="s">
        <v>24</v>
      </c>
      <c r="F2202" s="93" t="s">
        <v>7</v>
      </c>
      <c r="G2202" s="93" t="s">
        <v>7183</v>
      </c>
      <c r="H2202" s="93" t="s">
        <v>400</v>
      </c>
      <c r="I2202" s="93" t="s">
        <v>111</v>
      </c>
      <c r="J2202" s="93" t="s">
        <v>7105</v>
      </c>
      <c r="K2202" s="93" t="s">
        <v>111</v>
      </c>
      <c r="L2202" s="93" t="s">
        <v>111</v>
      </c>
      <c r="M2202" s="93" t="s">
        <v>111</v>
      </c>
      <c r="N2202" s="93" t="s">
        <v>111</v>
      </c>
      <c r="O2202" s="93" t="s">
        <v>111</v>
      </c>
      <c r="P2202" s="93" t="s">
        <v>111</v>
      </c>
      <c r="Q2202" s="93" t="s">
        <v>111</v>
      </c>
      <c r="R2202" s="93" t="s">
        <v>111</v>
      </c>
      <c r="S2202" s="93" t="s">
        <v>111</v>
      </c>
      <c r="T2202" s="93" t="s">
        <v>111</v>
      </c>
      <c r="U2202" s="93" t="s">
        <v>116</v>
      </c>
      <c r="V2202" s="94">
        <v>44596.645138888889</v>
      </c>
      <c r="W2202" s="93" t="s">
        <v>402</v>
      </c>
      <c r="X2202" s="93" t="s">
        <v>24</v>
      </c>
    </row>
    <row r="2203" spans="1:24" hidden="1" x14ac:dyDescent="0.15">
      <c r="A2203" s="93" t="s">
        <v>7600</v>
      </c>
      <c r="B2203" s="93" t="s">
        <v>7601</v>
      </c>
      <c r="C2203" s="410">
        <v>48</v>
      </c>
      <c r="D2203" s="93" t="s">
        <v>24</v>
      </c>
      <c r="E2203" s="93" t="s">
        <v>24</v>
      </c>
      <c r="F2203" s="93" t="s">
        <v>7</v>
      </c>
      <c r="G2203" s="93" t="s">
        <v>7183</v>
      </c>
      <c r="H2203" s="93" t="s">
        <v>400</v>
      </c>
      <c r="I2203" s="93" t="s">
        <v>111</v>
      </c>
      <c r="J2203" s="93" t="s">
        <v>7105</v>
      </c>
      <c r="K2203" s="93" t="s">
        <v>111</v>
      </c>
      <c r="L2203" s="93" t="s">
        <v>111</v>
      </c>
      <c r="M2203" s="93" t="s">
        <v>111</v>
      </c>
      <c r="N2203" s="93" t="s">
        <v>111</v>
      </c>
      <c r="O2203" s="93" t="s">
        <v>111</v>
      </c>
      <c r="P2203" s="93" t="s">
        <v>111</v>
      </c>
      <c r="Q2203" s="93" t="s">
        <v>111</v>
      </c>
      <c r="R2203" s="93" t="s">
        <v>111</v>
      </c>
      <c r="S2203" s="93" t="s">
        <v>111</v>
      </c>
      <c r="T2203" s="93" t="s">
        <v>111</v>
      </c>
      <c r="U2203" s="93" t="s">
        <v>116</v>
      </c>
      <c r="V2203" s="94">
        <v>44596.68472222222</v>
      </c>
      <c r="W2203" s="93" t="s">
        <v>402</v>
      </c>
      <c r="X2203" s="93" t="s">
        <v>24</v>
      </c>
    </row>
    <row r="2204" spans="1:24" hidden="1" x14ac:dyDescent="0.15">
      <c r="A2204" s="93" t="s">
        <v>7602</v>
      </c>
      <c r="B2204" s="93" t="s">
        <v>7603</v>
      </c>
      <c r="C2204" s="410">
        <v>123</v>
      </c>
      <c r="D2204" s="93" t="s">
        <v>24</v>
      </c>
      <c r="E2204" s="93" t="s">
        <v>24</v>
      </c>
      <c r="F2204" s="93" t="s">
        <v>7</v>
      </c>
      <c r="G2204" s="93" t="s">
        <v>7183</v>
      </c>
      <c r="H2204" s="93" t="s">
        <v>400</v>
      </c>
      <c r="I2204" s="93" t="s">
        <v>111</v>
      </c>
      <c r="J2204" s="93" t="s">
        <v>7105</v>
      </c>
      <c r="K2204" s="93" t="s">
        <v>111</v>
      </c>
      <c r="L2204" s="93" t="s">
        <v>111</v>
      </c>
      <c r="M2204" s="93" t="s">
        <v>111</v>
      </c>
      <c r="N2204" s="93" t="s">
        <v>111</v>
      </c>
      <c r="O2204" s="93" t="s">
        <v>111</v>
      </c>
      <c r="P2204" s="93" t="s">
        <v>111</v>
      </c>
      <c r="Q2204" s="93" t="s">
        <v>111</v>
      </c>
      <c r="R2204" s="93" t="s">
        <v>111</v>
      </c>
      <c r="S2204" s="93" t="s">
        <v>111</v>
      </c>
      <c r="T2204" s="93" t="s">
        <v>111</v>
      </c>
      <c r="U2204" s="93" t="s">
        <v>116</v>
      </c>
      <c r="V2204" s="94">
        <v>44596.696527777778</v>
      </c>
      <c r="W2204" s="93" t="s">
        <v>402</v>
      </c>
      <c r="X2204" s="93" t="s">
        <v>24</v>
      </c>
    </row>
    <row r="2205" spans="1:24" hidden="1" x14ac:dyDescent="0.15">
      <c r="A2205" s="93" t="s">
        <v>7604</v>
      </c>
      <c r="B2205" s="93" t="s">
        <v>7605</v>
      </c>
      <c r="C2205" s="410">
        <v>192</v>
      </c>
      <c r="D2205" s="93" t="s">
        <v>24</v>
      </c>
      <c r="E2205" s="93" t="s">
        <v>24</v>
      </c>
      <c r="F2205" s="93" t="s">
        <v>7</v>
      </c>
      <c r="G2205" s="93" t="s">
        <v>7183</v>
      </c>
      <c r="H2205" s="93" t="s">
        <v>400</v>
      </c>
      <c r="I2205" s="93" t="s">
        <v>111</v>
      </c>
      <c r="J2205" s="93" t="s">
        <v>7105</v>
      </c>
      <c r="K2205" s="93" t="s">
        <v>111</v>
      </c>
      <c r="L2205" s="93" t="s">
        <v>111</v>
      </c>
      <c r="M2205" s="93" t="s">
        <v>111</v>
      </c>
      <c r="N2205" s="93" t="s">
        <v>111</v>
      </c>
      <c r="O2205" s="93" t="s">
        <v>111</v>
      </c>
      <c r="P2205" s="93" t="s">
        <v>111</v>
      </c>
      <c r="Q2205" s="93" t="s">
        <v>111</v>
      </c>
      <c r="R2205" s="93" t="s">
        <v>111</v>
      </c>
      <c r="S2205" s="93" t="s">
        <v>111</v>
      </c>
      <c r="T2205" s="93" t="s">
        <v>111</v>
      </c>
      <c r="U2205" s="93" t="s">
        <v>116</v>
      </c>
      <c r="V2205" s="94">
        <v>44596.688888888886</v>
      </c>
      <c r="W2205" s="93" t="s">
        <v>402</v>
      </c>
      <c r="X2205" s="93" t="s">
        <v>24</v>
      </c>
    </row>
    <row r="2206" spans="1:24" hidden="1" x14ac:dyDescent="0.15">
      <c r="A2206" s="93" t="s">
        <v>7606</v>
      </c>
      <c r="B2206" s="93" t="s">
        <v>7607</v>
      </c>
      <c r="C2206" s="410">
        <v>42</v>
      </c>
      <c r="D2206" s="93" t="s">
        <v>24</v>
      </c>
      <c r="E2206" s="93" t="s">
        <v>24</v>
      </c>
      <c r="F2206" s="93" t="s">
        <v>7</v>
      </c>
      <c r="G2206" s="93" t="s">
        <v>7183</v>
      </c>
      <c r="H2206" s="93" t="s">
        <v>400</v>
      </c>
      <c r="I2206" s="93" t="s">
        <v>111</v>
      </c>
      <c r="J2206" s="93" t="s">
        <v>7105</v>
      </c>
      <c r="K2206" s="93" t="s">
        <v>111</v>
      </c>
      <c r="L2206" s="93" t="s">
        <v>111</v>
      </c>
      <c r="M2206" s="93" t="s">
        <v>111</v>
      </c>
      <c r="N2206" s="93" t="s">
        <v>111</v>
      </c>
      <c r="O2206" s="93" t="s">
        <v>111</v>
      </c>
      <c r="P2206" s="93" t="s">
        <v>111</v>
      </c>
      <c r="Q2206" s="93" t="s">
        <v>111</v>
      </c>
      <c r="R2206" s="93" t="s">
        <v>111</v>
      </c>
      <c r="S2206" s="93" t="s">
        <v>111</v>
      </c>
      <c r="T2206" s="93" t="s">
        <v>111</v>
      </c>
      <c r="U2206" s="93" t="s">
        <v>116</v>
      </c>
      <c r="V2206" s="94">
        <v>44596.688888888886</v>
      </c>
      <c r="W2206" s="93" t="s">
        <v>402</v>
      </c>
      <c r="X2206" s="93" t="s">
        <v>24</v>
      </c>
    </row>
    <row r="2207" spans="1:24" hidden="1" x14ac:dyDescent="0.15">
      <c r="A2207" s="93" t="s">
        <v>7608</v>
      </c>
      <c r="B2207" s="93" t="s">
        <v>7609</v>
      </c>
      <c r="C2207" s="410">
        <v>108</v>
      </c>
      <c r="D2207" s="93" t="s">
        <v>24</v>
      </c>
      <c r="E2207" s="93" t="s">
        <v>24</v>
      </c>
      <c r="F2207" s="93" t="s">
        <v>7</v>
      </c>
      <c r="G2207" s="93" t="s">
        <v>7183</v>
      </c>
      <c r="H2207" s="93" t="s">
        <v>400</v>
      </c>
      <c r="I2207" s="93" t="s">
        <v>111</v>
      </c>
      <c r="J2207" s="93" t="s">
        <v>7105</v>
      </c>
      <c r="K2207" s="93" t="s">
        <v>111</v>
      </c>
      <c r="L2207" s="93" t="s">
        <v>111</v>
      </c>
      <c r="M2207" s="93" t="s">
        <v>111</v>
      </c>
      <c r="N2207" s="93" t="s">
        <v>111</v>
      </c>
      <c r="O2207" s="93" t="s">
        <v>111</v>
      </c>
      <c r="P2207" s="93" t="s">
        <v>111</v>
      </c>
      <c r="Q2207" s="93" t="s">
        <v>111</v>
      </c>
      <c r="R2207" s="93" t="s">
        <v>111</v>
      </c>
      <c r="S2207" s="93" t="s">
        <v>111</v>
      </c>
      <c r="T2207" s="93" t="s">
        <v>111</v>
      </c>
      <c r="U2207" s="93" t="s">
        <v>116</v>
      </c>
      <c r="V2207" s="94">
        <v>44596.68472222222</v>
      </c>
      <c r="W2207" s="93" t="s">
        <v>402</v>
      </c>
      <c r="X2207" s="93" t="s">
        <v>24</v>
      </c>
    </row>
    <row r="2208" spans="1:24" hidden="1" x14ac:dyDescent="0.15">
      <c r="A2208" s="93" t="s">
        <v>7610</v>
      </c>
      <c r="B2208" s="93" t="s">
        <v>7611</v>
      </c>
      <c r="C2208" s="410">
        <v>168</v>
      </c>
      <c r="D2208" s="93" t="s">
        <v>24</v>
      </c>
      <c r="E2208" s="93" t="s">
        <v>24</v>
      </c>
      <c r="F2208" s="93" t="s">
        <v>7</v>
      </c>
      <c r="G2208" s="93" t="s">
        <v>7183</v>
      </c>
      <c r="H2208" s="93" t="s">
        <v>400</v>
      </c>
      <c r="I2208" s="93" t="s">
        <v>111</v>
      </c>
      <c r="J2208" s="93" t="s">
        <v>7105</v>
      </c>
      <c r="K2208" s="93" t="s">
        <v>111</v>
      </c>
      <c r="L2208" s="93" t="s">
        <v>111</v>
      </c>
      <c r="M2208" s="93" t="s">
        <v>111</v>
      </c>
      <c r="N2208" s="93" t="s">
        <v>111</v>
      </c>
      <c r="O2208" s="93" t="s">
        <v>111</v>
      </c>
      <c r="P2208" s="93" t="s">
        <v>111</v>
      </c>
      <c r="Q2208" s="93" t="s">
        <v>111</v>
      </c>
      <c r="R2208" s="93" t="s">
        <v>111</v>
      </c>
      <c r="S2208" s="93" t="s">
        <v>2</v>
      </c>
      <c r="T2208" s="93" t="s">
        <v>111</v>
      </c>
      <c r="U2208" s="93" t="s">
        <v>116</v>
      </c>
      <c r="V2208" s="94">
        <v>44596.657638888886</v>
      </c>
      <c r="W2208" s="93" t="s">
        <v>402</v>
      </c>
      <c r="X2208" s="93" t="s">
        <v>24</v>
      </c>
    </row>
    <row r="2209" spans="1:24" hidden="1" x14ac:dyDescent="0.15">
      <c r="A2209" s="93" t="s">
        <v>7612</v>
      </c>
      <c r="B2209" s="93" t="s">
        <v>7613</v>
      </c>
      <c r="C2209" s="410">
        <v>480</v>
      </c>
      <c r="D2209" s="93" t="s">
        <v>24</v>
      </c>
      <c r="E2209" s="93" t="s">
        <v>24</v>
      </c>
      <c r="F2209" s="93" t="s">
        <v>7</v>
      </c>
      <c r="G2209" s="93" t="s">
        <v>7183</v>
      </c>
      <c r="H2209" s="93" t="s">
        <v>400</v>
      </c>
      <c r="I2209" s="93" t="s">
        <v>111</v>
      </c>
      <c r="J2209" s="93" t="s">
        <v>7105</v>
      </c>
      <c r="K2209" s="93" t="s">
        <v>111</v>
      </c>
      <c r="L2209" s="93" t="s">
        <v>111</v>
      </c>
      <c r="M2209" s="93" t="s">
        <v>111</v>
      </c>
      <c r="N2209" s="93" t="s">
        <v>111</v>
      </c>
      <c r="O2209" s="93" t="s">
        <v>111</v>
      </c>
      <c r="P2209" s="93" t="s">
        <v>111</v>
      </c>
      <c r="Q2209" s="93" t="s">
        <v>111</v>
      </c>
      <c r="R2209" s="93" t="s">
        <v>111</v>
      </c>
      <c r="S2209" s="93" t="s">
        <v>111</v>
      </c>
      <c r="T2209" s="93" t="s">
        <v>111</v>
      </c>
      <c r="U2209" s="93" t="s">
        <v>116</v>
      </c>
      <c r="V2209" s="94">
        <v>44596.666666666664</v>
      </c>
      <c r="W2209" s="93" t="s">
        <v>402</v>
      </c>
      <c r="X2209" s="93" t="s">
        <v>24</v>
      </c>
    </row>
    <row r="2210" spans="1:24" hidden="1" x14ac:dyDescent="0.15">
      <c r="A2210" s="93" t="s">
        <v>7614</v>
      </c>
      <c r="B2210" s="93" t="s">
        <v>7615</v>
      </c>
      <c r="C2210" s="410">
        <v>1224</v>
      </c>
      <c r="D2210" s="93" t="s">
        <v>24</v>
      </c>
      <c r="E2210" s="93" t="s">
        <v>24</v>
      </c>
      <c r="F2210" s="93" t="s">
        <v>7</v>
      </c>
      <c r="G2210" s="93" t="s">
        <v>7183</v>
      </c>
      <c r="H2210" s="93" t="s">
        <v>400</v>
      </c>
      <c r="I2210" s="93" t="s">
        <v>111</v>
      </c>
      <c r="J2210" s="93" t="s">
        <v>7105</v>
      </c>
      <c r="K2210" s="93" t="s">
        <v>111</v>
      </c>
      <c r="L2210" s="93" t="s">
        <v>111</v>
      </c>
      <c r="M2210" s="93" t="s">
        <v>111</v>
      </c>
      <c r="N2210" s="93" t="s">
        <v>111</v>
      </c>
      <c r="O2210" s="93" t="s">
        <v>111</v>
      </c>
      <c r="P2210" s="93" t="s">
        <v>111</v>
      </c>
      <c r="Q2210" s="93" t="s">
        <v>111</v>
      </c>
      <c r="R2210" s="93" t="s">
        <v>111</v>
      </c>
      <c r="S2210" s="93" t="s">
        <v>111</v>
      </c>
      <c r="T2210" s="93" t="s">
        <v>111</v>
      </c>
      <c r="U2210" s="93" t="s">
        <v>116</v>
      </c>
      <c r="V2210" s="94">
        <v>44596.661805555559</v>
      </c>
      <c r="W2210" s="93" t="s">
        <v>402</v>
      </c>
      <c r="X2210" s="93" t="s">
        <v>24</v>
      </c>
    </row>
    <row r="2211" spans="1:24" hidden="1" x14ac:dyDescent="0.15">
      <c r="A2211" s="93" t="s">
        <v>7616</v>
      </c>
      <c r="B2211" s="93" t="s">
        <v>7617</v>
      </c>
      <c r="C2211" s="410">
        <v>1920</v>
      </c>
      <c r="D2211" s="93" t="s">
        <v>24</v>
      </c>
      <c r="E2211" s="93" t="s">
        <v>24</v>
      </c>
      <c r="F2211" s="93" t="s">
        <v>7</v>
      </c>
      <c r="G2211" s="93" t="s">
        <v>7183</v>
      </c>
      <c r="H2211" s="93" t="s">
        <v>400</v>
      </c>
      <c r="I2211" s="93" t="s">
        <v>111</v>
      </c>
      <c r="J2211" s="93" t="s">
        <v>7105</v>
      </c>
      <c r="K2211" s="93" t="s">
        <v>111</v>
      </c>
      <c r="L2211" s="93" t="s">
        <v>111</v>
      </c>
      <c r="M2211" s="93" t="s">
        <v>111</v>
      </c>
      <c r="N2211" s="93" t="s">
        <v>111</v>
      </c>
      <c r="O2211" s="93" t="s">
        <v>111</v>
      </c>
      <c r="P2211" s="93" t="s">
        <v>111</v>
      </c>
      <c r="Q2211" s="93" t="s">
        <v>111</v>
      </c>
      <c r="R2211" s="93" t="s">
        <v>111</v>
      </c>
      <c r="S2211" s="93" t="s">
        <v>111</v>
      </c>
      <c r="T2211" s="93" t="s">
        <v>111</v>
      </c>
      <c r="U2211" s="93" t="s">
        <v>116</v>
      </c>
      <c r="V2211" s="94">
        <v>44596.68472222222</v>
      </c>
      <c r="W2211" s="93" t="s">
        <v>402</v>
      </c>
      <c r="X2211" s="93" t="s">
        <v>24</v>
      </c>
    </row>
    <row r="2212" spans="1:24" hidden="1" x14ac:dyDescent="0.15">
      <c r="A2212" s="93" t="s">
        <v>7618</v>
      </c>
      <c r="B2212" s="93" t="s">
        <v>7619</v>
      </c>
      <c r="C2212" s="410">
        <v>2400</v>
      </c>
      <c r="D2212" s="93" t="s">
        <v>24</v>
      </c>
      <c r="E2212" s="93" t="s">
        <v>24</v>
      </c>
      <c r="F2212" s="93" t="s">
        <v>7</v>
      </c>
      <c r="G2212" s="93" t="s">
        <v>7183</v>
      </c>
      <c r="H2212" s="93" t="s">
        <v>400</v>
      </c>
      <c r="I2212" s="93" t="s">
        <v>111</v>
      </c>
      <c r="J2212" s="93" t="s">
        <v>7105</v>
      </c>
      <c r="K2212" s="93" t="s">
        <v>111</v>
      </c>
      <c r="L2212" s="93" t="s">
        <v>111</v>
      </c>
      <c r="M2212" s="93" t="s">
        <v>111</v>
      </c>
      <c r="N2212" s="93" t="s">
        <v>111</v>
      </c>
      <c r="O2212" s="93" t="s">
        <v>111</v>
      </c>
      <c r="P2212" s="93" t="s">
        <v>111</v>
      </c>
      <c r="Q2212" s="93" t="s">
        <v>111</v>
      </c>
      <c r="R2212" s="93" t="s">
        <v>111</v>
      </c>
      <c r="S2212" s="93" t="s">
        <v>111</v>
      </c>
      <c r="T2212" s="93" t="s">
        <v>111</v>
      </c>
      <c r="U2212" s="93" t="s">
        <v>116</v>
      </c>
      <c r="V2212" s="94">
        <v>44596.68472222222</v>
      </c>
      <c r="W2212" s="93" t="s">
        <v>402</v>
      </c>
      <c r="X2212" s="93" t="s">
        <v>24</v>
      </c>
    </row>
    <row r="2213" spans="1:24" hidden="1" x14ac:dyDescent="0.15">
      <c r="A2213" s="93" t="s">
        <v>7620</v>
      </c>
      <c r="B2213" s="93" t="s">
        <v>7621</v>
      </c>
      <c r="C2213" s="410">
        <v>6120</v>
      </c>
      <c r="D2213" s="93" t="s">
        <v>24</v>
      </c>
      <c r="E2213" s="93" t="s">
        <v>24</v>
      </c>
      <c r="F2213" s="93" t="s">
        <v>7</v>
      </c>
      <c r="G2213" s="93" t="s">
        <v>7183</v>
      </c>
      <c r="H2213" s="93" t="s">
        <v>400</v>
      </c>
      <c r="I2213" s="93" t="s">
        <v>111</v>
      </c>
      <c r="J2213" s="93" t="s">
        <v>7105</v>
      </c>
      <c r="K2213" s="93" t="s">
        <v>111</v>
      </c>
      <c r="L2213" s="93" t="s">
        <v>111</v>
      </c>
      <c r="M2213" s="93" t="s">
        <v>111</v>
      </c>
      <c r="N2213" s="93" t="s">
        <v>111</v>
      </c>
      <c r="O2213" s="93" t="s">
        <v>111</v>
      </c>
      <c r="P2213" s="93" t="s">
        <v>111</v>
      </c>
      <c r="Q2213" s="93" t="s">
        <v>111</v>
      </c>
      <c r="R2213" s="93" t="s">
        <v>111</v>
      </c>
      <c r="S2213" s="93" t="s">
        <v>2</v>
      </c>
      <c r="T2213" s="93" t="s">
        <v>111</v>
      </c>
      <c r="U2213" s="93" t="s">
        <v>116</v>
      </c>
      <c r="V2213" s="94">
        <v>44596.645138888889</v>
      </c>
      <c r="W2213" s="93" t="s">
        <v>402</v>
      </c>
      <c r="X2213" s="93" t="s">
        <v>24</v>
      </c>
    </row>
    <row r="2214" spans="1:24" hidden="1" x14ac:dyDescent="0.15">
      <c r="A2214" s="93" t="s">
        <v>7622</v>
      </c>
      <c r="B2214" s="93" t="s">
        <v>7623</v>
      </c>
      <c r="C2214" s="410">
        <v>9600</v>
      </c>
      <c r="D2214" s="93" t="s">
        <v>24</v>
      </c>
      <c r="E2214" s="93" t="s">
        <v>24</v>
      </c>
      <c r="F2214" s="93" t="s">
        <v>7</v>
      </c>
      <c r="G2214" s="93" t="s">
        <v>7183</v>
      </c>
      <c r="H2214" s="93" t="s">
        <v>400</v>
      </c>
      <c r="I2214" s="93" t="s">
        <v>111</v>
      </c>
      <c r="J2214" s="93" t="s">
        <v>7105</v>
      </c>
      <c r="K2214" s="93" t="s">
        <v>111</v>
      </c>
      <c r="L2214" s="93" t="s">
        <v>111</v>
      </c>
      <c r="M2214" s="93" t="s">
        <v>111</v>
      </c>
      <c r="N2214" s="93" t="s">
        <v>111</v>
      </c>
      <c r="O2214" s="93" t="s">
        <v>111</v>
      </c>
      <c r="P2214" s="93" t="s">
        <v>111</v>
      </c>
      <c r="Q2214" s="93" t="s">
        <v>111</v>
      </c>
      <c r="R2214" s="93" t="s">
        <v>111</v>
      </c>
      <c r="S2214" s="93" t="s">
        <v>111</v>
      </c>
      <c r="T2214" s="93" t="s">
        <v>111</v>
      </c>
      <c r="U2214" s="93" t="s">
        <v>116</v>
      </c>
      <c r="V2214" s="94">
        <v>44596.68472222222</v>
      </c>
      <c r="W2214" s="93" t="s">
        <v>402</v>
      </c>
      <c r="X2214" s="93" t="s">
        <v>24</v>
      </c>
    </row>
    <row r="2215" spans="1:24" hidden="1" x14ac:dyDescent="0.15">
      <c r="A2215" s="93" t="s">
        <v>7624</v>
      </c>
      <c r="B2215" s="93" t="s">
        <v>7625</v>
      </c>
      <c r="C2215" s="410">
        <v>180</v>
      </c>
      <c r="D2215" s="93" t="s">
        <v>24</v>
      </c>
      <c r="E2215" s="93" t="s">
        <v>24</v>
      </c>
      <c r="F2215" s="93" t="s">
        <v>7</v>
      </c>
      <c r="G2215" s="93" t="s">
        <v>7183</v>
      </c>
      <c r="H2215" s="93" t="s">
        <v>400</v>
      </c>
      <c r="I2215" s="93" t="s">
        <v>111</v>
      </c>
      <c r="J2215" s="93" t="s">
        <v>7105</v>
      </c>
      <c r="K2215" s="93" t="s">
        <v>111</v>
      </c>
      <c r="L2215" s="93" t="s">
        <v>111</v>
      </c>
      <c r="M2215" s="93" t="s">
        <v>111</v>
      </c>
      <c r="N2215" s="93" t="s">
        <v>111</v>
      </c>
      <c r="O2215" s="93" t="s">
        <v>111</v>
      </c>
      <c r="P2215" s="93" t="s">
        <v>111</v>
      </c>
      <c r="Q2215" s="93" t="s">
        <v>111</v>
      </c>
      <c r="R2215" s="93" t="s">
        <v>111</v>
      </c>
      <c r="S2215" s="93" t="s">
        <v>2</v>
      </c>
      <c r="T2215" s="93" t="s">
        <v>111</v>
      </c>
      <c r="U2215" s="93" t="s">
        <v>116</v>
      </c>
      <c r="V2215" s="94">
        <v>44596.693055555559</v>
      </c>
      <c r="W2215" s="93" t="s">
        <v>402</v>
      </c>
      <c r="X2215" s="93" t="s">
        <v>24</v>
      </c>
    </row>
    <row r="2216" spans="1:24" hidden="1" x14ac:dyDescent="0.15">
      <c r="A2216" s="93" t="s">
        <v>7626</v>
      </c>
      <c r="B2216" s="93" t="s">
        <v>7627</v>
      </c>
      <c r="C2216" s="410">
        <v>459</v>
      </c>
      <c r="D2216" s="93" t="s">
        <v>24</v>
      </c>
      <c r="E2216" s="93" t="s">
        <v>24</v>
      </c>
      <c r="F2216" s="93" t="s">
        <v>7</v>
      </c>
      <c r="G2216" s="93" t="s">
        <v>7183</v>
      </c>
      <c r="H2216" s="93" t="s">
        <v>400</v>
      </c>
      <c r="I2216" s="93" t="s">
        <v>111</v>
      </c>
      <c r="J2216" s="93" t="s">
        <v>7105</v>
      </c>
      <c r="K2216" s="93" t="s">
        <v>111</v>
      </c>
      <c r="L2216" s="93" t="s">
        <v>111</v>
      </c>
      <c r="M2216" s="93" t="s">
        <v>111</v>
      </c>
      <c r="N2216" s="93" t="s">
        <v>111</v>
      </c>
      <c r="O2216" s="93" t="s">
        <v>111</v>
      </c>
      <c r="P2216" s="93" t="s">
        <v>111</v>
      </c>
      <c r="Q2216" s="93" t="s">
        <v>111</v>
      </c>
      <c r="R2216" s="93" t="s">
        <v>111</v>
      </c>
      <c r="S2216" s="93" t="s">
        <v>111</v>
      </c>
      <c r="T2216" s="93" t="s">
        <v>111</v>
      </c>
      <c r="U2216" s="93" t="s">
        <v>116</v>
      </c>
      <c r="V2216" s="94">
        <v>44596.661805555559</v>
      </c>
      <c r="W2216" s="93" t="s">
        <v>402</v>
      </c>
      <c r="X2216" s="93" t="s">
        <v>24</v>
      </c>
    </row>
    <row r="2217" spans="1:24" hidden="1" x14ac:dyDescent="0.15">
      <c r="A2217" s="93" t="s">
        <v>7628</v>
      </c>
      <c r="B2217" s="93" t="s">
        <v>7629</v>
      </c>
      <c r="C2217" s="410">
        <v>720</v>
      </c>
      <c r="D2217" s="93" t="s">
        <v>24</v>
      </c>
      <c r="E2217" s="93" t="s">
        <v>24</v>
      </c>
      <c r="F2217" s="93" t="s">
        <v>7</v>
      </c>
      <c r="G2217" s="93" t="s">
        <v>7183</v>
      </c>
      <c r="H2217" s="93" t="s">
        <v>400</v>
      </c>
      <c r="I2217" s="93" t="s">
        <v>111</v>
      </c>
      <c r="J2217" s="93" t="s">
        <v>7105</v>
      </c>
      <c r="K2217" s="93" t="s">
        <v>111</v>
      </c>
      <c r="L2217" s="93" t="s">
        <v>111</v>
      </c>
      <c r="M2217" s="93" t="s">
        <v>111</v>
      </c>
      <c r="N2217" s="93" t="s">
        <v>111</v>
      </c>
      <c r="O2217" s="93" t="s">
        <v>111</v>
      </c>
      <c r="P2217" s="93" t="s">
        <v>111</v>
      </c>
      <c r="Q2217" s="93" t="s">
        <v>111</v>
      </c>
      <c r="R2217" s="93" t="s">
        <v>111</v>
      </c>
      <c r="S2217" s="93" t="s">
        <v>111</v>
      </c>
      <c r="T2217" s="93" t="s">
        <v>111</v>
      </c>
      <c r="U2217" s="93" t="s">
        <v>116</v>
      </c>
      <c r="V2217" s="94">
        <v>44596.686805555553</v>
      </c>
      <c r="W2217" s="93" t="s">
        <v>402</v>
      </c>
      <c r="X2217" s="93" t="s">
        <v>24</v>
      </c>
    </row>
    <row r="2218" spans="1:24" hidden="1" x14ac:dyDescent="0.15">
      <c r="A2218" s="93" t="s">
        <v>7630</v>
      </c>
      <c r="B2218" s="93" t="s">
        <v>7631</v>
      </c>
      <c r="C2218" s="410">
        <v>840</v>
      </c>
      <c r="D2218" s="93" t="s">
        <v>24</v>
      </c>
      <c r="E2218" s="93" t="s">
        <v>24</v>
      </c>
      <c r="F2218" s="93" t="s">
        <v>7</v>
      </c>
      <c r="G2218" s="93" t="s">
        <v>7183</v>
      </c>
      <c r="H2218" s="93" t="s">
        <v>400</v>
      </c>
      <c r="I2218" s="93" t="s">
        <v>111</v>
      </c>
      <c r="J2218" s="93" t="s">
        <v>7105</v>
      </c>
      <c r="K2218" s="93" t="s">
        <v>111</v>
      </c>
      <c r="L2218" s="93" t="s">
        <v>111</v>
      </c>
      <c r="M2218" s="93" t="s">
        <v>111</v>
      </c>
      <c r="N2218" s="93" t="s">
        <v>111</v>
      </c>
      <c r="O2218" s="93" t="s">
        <v>111</v>
      </c>
      <c r="P2218" s="93" t="s">
        <v>111</v>
      </c>
      <c r="Q2218" s="93" t="s">
        <v>111</v>
      </c>
      <c r="R2218" s="93" t="s">
        <v>111</v>
      </c>
      <c r="S2218" s="93" t="s">
        <v>111</v>
      </c>
      <c r="T2218" s="93" t="s">
        <v>111</v>
      </c>
      <c r="U2218" s="93" t="s">
        <v>116</v>
      </c>
      <c r="V2218" s="94">
        <v>44596.696527777778</v>
      </c>
      <c r="W2218" s="93" t="s">
        <v>402</v>
      </c>
      <c r="X2218" s="93" t="s">
        <v>24</v>
      </c>
    </row>
    <row r="2219" spans="1:24" hidden="1" x14ac:dyDescent="0.15">
      <c r="A2219" s="93" t="s">
        <v>7632</v>
      </c>
      <c r="B2219" s="93" t="s">
        <v>7633</v>
      </c>
      <c r="C2219" s="410">
        <v>2142</v>
      </c>
      <c r="D2219" s="93" t="s">
        <v>24</v>
      </c>
      <c r="E2219" s="93" t="s">
        <v>24</v>
      </c>
      <c r="F2219" s="93" t="s">
        <v>7</v>
      </c>
      <c r="G2219" s="93" t="s">
        <v>7183</v>
      </c>
      <c r="H2219" s="93" t="s">
        <v>400</v>
      </c>
      <c r="I2219" s="93" t="s">
        <v>111</v>
      </c>
      <c r="J2219" s="93" t="s">
        <v>7105</v>
      </c>
      <c r="K2219" s="93" t="s">
        <v>111</v>
      </c>
      <c r="L2219" s="93" t="s">
        <v>111</v>
      </c>
      <c r="M2219" s="93" t="s">
        <v>111</v>
      </c>
      <c r="N2219" s="93" t="s">
        <v>111</v>
      </c>
      <c r="O2219" s="93" t="s">
        <v>111</v>
      </c>
      <c r="P2219" s="93" t="s">
        <v>111</v>
      </c>
      <c r="Q2219" s="93" t="s">
        <v>111</v>
      </c>
      <c r="R2219" s="93" t="s">
        <v>111</v>
      </c>
      <c r="S2219" s="93" t="s">
        <v>111</v>
      </c>
      <c r="T2219" s="93" t="s">
        <v>111</v>
      </c>
      <c r="U2219" s="93" t="s">
        <v>116</v>
      </c>
      <c r="V2219" s="94">
        <v>44596.65347222222</v>
      </c>
      <c r="W2219" s="93" t="s">
        <v>402</v>
      </c>
      <c r="X2219" s="93" t="s">
        <v>24</v>
      </c>
    </row>
    <row r="2220" spans="1:24" hidden="1" x14ac:dyDescent="0.15">
      <c r="A2220" s="93" t="s">
        <v>7634</v>
      </c>
      <c r="B2220" s="93" t="s">
        <v>7635</v>
      </c>
      <c r="C2220" s="410">
        <v>3360</v>
      </c>
      <c r="D2220" s="93" t="s">
        <v>24</v>
      </c>
      <c r="E2220" s="93" t="s">
        <v>24</v>
      </c>
      <c r="F2220" s="93" t="s">
        <v>7</v>
      </c>
      <c r="G2220" s="93" t="s">
        <v>7183</v>
      </c>
      <c r="H2220" s="93" t="s">
        <v>400</v>
      </c>
      <c r="I2220" s="93" t="s">
        <v>111</v>
      </c>
      <c r="J2220" s="93" t="s">
        <v>7105</v>
      </c>
      <c r="K2220" s="93" t="s">
        <v>111</v>
      </c>
      <c r="L2220" s="93" t="s">
        <v>111</v>
      </c>
      <c r="M2220" s="93" t="s">
        <v>111</v>
      </c>
      <c r="N2220" s="93" t="s">
        <v>111</v>
      </c>
      <c r="O2220" s="93" t="s">
        <v>111</v>
      </c>
      <c r="P2220" s="93" t="s">
        <v>111</v>
      </c>
      <c r="Q2220" s="93" t="s">
        <v>111</v>
      </c>
      <c r="R2220" s="93" t="s">
        <v>111</v>
      </c>
      <c r="S2220" s="93" t="s">
        <v>111</v>
      </c>
      <c r="T2220" s="93" t="s">
        <v>111</v>
      </c>
      <c r="U2220" s="93" t="s">
        <v>116</v>
      </c>
      <c r="V2220" s="94">
        <v>44596.661805555559</v>
      </c>
      <c r="W2220" s="93" t="s">
        <v>402</v>
      </c>
      <c r="X2220" s="93" t="s">
        <v>24</v>
      </c>
    </row>
    <row r="2221" spans="1:24" hidden="1" x14ac:dyDescent="0.15">
      <c r="A2221" s="93" t="s">
        <v>7636</v>
      </c>
      <c r="B2221" s="93" t="s">
        <v>7637</v>
      </c>
      <c r="C2221" s="410">
        <v>3600</v>
      </c>
      <c r="D2221" s="93" t="s">
        <v>24</v>
      </c>
      <c r="E2221" s="93" t="s">
        <v>24</v>
      </c>
      <c r="F2221" s="93" t="s">
        <v>7</v>
      </c>
      <c r="G2221" s="93" t="s">
        <v>7183</v>
      </c>
      <c r="H2221" s="93" t="s">
        <v>400</v>
      </c>
      <c r="I2221" s="93" t="s">
        <v>111</v>
      </c>
      <c r="J2221" s="93" t="s">
        <v>7105</v>
      </c>
      <c r="K2221" s="93" t="s">
        <v>111</v>
      </c>
      <c r="L2221" s="93" t="s">
        <v>111</v>
      </c>
      <c r="M2221" s="93" t="s">
        <v>111</v>
      </c>
      <c r="N2221" s="93" t="s">
        <v>111</v>
      </c>
      <c r="O2221" s="93" t="s">
        <v>111</v>
      </c>
      <c r="P2221" s="93" t="s">
        <v>111</v>
      </c>
      <c r="Q2221" s="93" t="s">
        <v>111</v>
      </c>
      <c r="R2221" s="93" t="s">
        <v>111</v>
      </c>
      <c r="S2221" s="93" t="s">
        <v>111</v>
      </c>
      <c r="T2221" s="93" t="s">
        <v>111</v>
      </c>
      <c r="U2221" s="93" t="s">
        <v>116</v>
      </c>
      <c r="V2221" s="94">
        <v>44596.657638888886</v>
      </c>
      <c r="W2221" s="93" t="s">
        <v>402</v>
      </c>
      <c r="X2221" s="93" t="s">
        <v>24</v>
      </c>
    </row>
    <row r="2222" spans="1:24" hidden="1" x14ac:dyDescent="0.15">
      <c r="A2222" s="93" t="s">
        <v>7638</v>
      </c>
      <c r="B2222" s="93" t="s">
        <v>7639</v>
      </c>
      <c r="C2222" s="410">
        <v>9180</v>
      </c>
      <c r="D2222" s="93" t="s">
        <v>24</v>
      </c>
      <c r="E2222" s="93" t="s">
        <v>24</v>
      </c>
      <c r="F2222" s="93" t="s">
        <v>7</v>
      </c>
      <c r="G2222" s="93" t="s">
        <v>7183</v>
      </c>
      <c r="H2222" s="93" t="s">
        <v>400</v>
      </c>
      <c r="I2222" s="93" t="s">
        <v>111</v>
      </c>
      <c r="J2222" s="93" t="s">
        <v>7105</v>
      </c>
      <c r="K2222" s="93" t="s">
        <v>111</v>
      </c>
      <c r="L2222" s="93" t="s">
        <v>111</v>
      </c>
      <c r="M2222" s="93" t="s">
        <v>111</v>
      </c>
      <c r="N2222" s="93" t="s">
        <v>111</v>
      </c>
      <c r="O2222" s="93" t="s">
        <v>111</v>
      </c>
      <c r="P2222" s="93" t="s">
        <v>111</v>
      </c>
      <c r="Q2222" s="93" t="s">
        <v>111</v>
      </c>
      <c r="R2222" s="93" t="s">
        <v>111</v>
      </c>
      <c r="S2222" s="93" t="s">
        <v>111</v>
      </c>
      <c r="T2222" s="93" t="s">
        <v>111</v>
      </c>
      <c r="U2222" s="93" t="s">
        <v>116</v>
      </c>
      <c r="V2222" s="94">
        <v>44596.666666666664</v>
      </c>
      <c r="W2222" s="93" t="s">
        <v>402</v>
      </c>
      <c r="X2222" s="93" t="s">
        <v>24</v>
      </c>
    </row>
    <row r="2223" spans="1:24" hidden="1" x14ac:dyDescent="0.15">
      <c r="A2223" s="93" t="s">
        <v>7640</v>
      </c>
      <c r="B2223" s="93" t="s">
        <v>7641</v>
      </c>
      <c r="C2223" s="410">
        <v>14400</v>
      </c>
      <c r="D2223" s="93" t="s">
        <v>24</v>
      </c>
      <c r="E2223" s="93" t="s">
        <v>24</v>
      </c>
      <c r="F2223" s="93" t="s">
        <v>7</v>
      </c>
      <c r="G2223" s="93" t="s">
        <v>7183</v>
      </c>
      <c r="H2223" s="93" t="s">
        <v>400</v>
      </c>
      <c r="I2223" s="93" t="s">
        <v>111</v>
      </c>
      <c r="J2223" s="93" t="s">
        <v>7105</v>
      </c>
      <c r="K2223" s="93" t="s">
        <v>111</v>
      </c>
      <c r="L2223" s="93" t="s">
        <v>111</v>
      </c>
      <c r="M2223" s="93" t="s">
        <v>111</v>
      </c>
      <c r="N2223" s="93" t="s">
        <v>111</v>
      </c>
      <c r="O2223" s="93" t="s">
        <v>111</v>
      </c>
      <c r="P2223" s="93" t="s">
        <v>111</v>
      </c>
      <c r="Q2223" s="93" t="s">
        <v>111</v>
      </c>
      <c r="R2223" s="93" t="s">
        <v>111</v>
      </c>
      <c r="S2223" s="93" t="s">
        <v>2</v>
      </c>
      <c r="T2223" s="93" t="s">
        <v>111</v>
      </c>
      <c r="U2223" s="93" t="s">
        <v>116</v>
      </c>
      <c r="V2223" s="94">
        <v>44596.643750000003</v>
      </c>
      <c r="W2223" s="93" t="s">
        <v>402</v>
      </c>
      <c r="X2223" s="93" t="s">
        <v>24</v>
      </c>
    </row>
    <row r="2224" spans="1:24" hidden="1" x14ac:dyDescent="0.15">
      <c r="A2224" s="93" t="s">
        <v>7642</v>
      </c>
      <c r="B2224" s="93" t="s">
        <v>7643</v>
      </c>
      <c r="C2224" s="410">
        <v>222</v>
      </c>
      <c r="D2224" s="93" t="s">
        <v>24</v>
      </c>
      <c r="E2224" s="93" t="s">
        <v>24</v>
      </c>
      <c r="F2224" s="93" t="s">
        <v>7</v>
      </c>
      <c r="G2224" s="93" t="s">
        <v>7183</v>
      </c>
      <c r="H2224" s="93" t="s">
        <v>400</v>
      </c>
      <c r="I2224" s="93" t="s">
        <v>111</v>
      </c>
      <c r="J2224" s="93" t="s">
        <v>118</v>
      </c>
      <c r="K2224" s="93">
        <v>3</v>
      </c>
      <c r="L2224" s="93" t="s">
        <v>111</v>
      </c>
      <c r="M2224" s="93" t="s">
        <v>111</v>
      </c>
      <c r="N2224" s="93" t="s">
        <v>111</v>
      </c>
      <c r="O2224" s="93" t="s">
        <v>111</v>
      </c>
      <c r="P2224" s="93" t="s">
        <v>111</v>
      </c>
      <c r="Q2224" s="93" t="s">
        <v>111</v>
      </c>
      <c r="R2224" s="93" t="s">
        <v>111</v>
      </c>
      <c r="S2224" s="93" t="s">
        <v>111</v>
      </c>
      <c r="T2224" s="93" t="s">
        <v>111</v>
      </c>
      <c r="U2224" s="93" t="s">
        <v>116</v>
      </c>
      <c r="V2224" s="94">
        <v>44596.696527777778</v>
      </c>
      <c r="W2224" s="93" t="s">
        <v>402</v>
      </c>
      <c r="X2224" s="93" t="s">
        <v>24</v>
      </c>
    </row>
    <row r="2225" spans="1:24" hidden="1" x14ac:dyDescent="0.15">
      <c r="A2225" s="93" t="s">
        <v>7644</v>
      </c>
      <c r="B2225" s="93" t="s">
        <v>7645</v>
      </c>
      <c r="C2225" s="410">
        <v>567</v>
      </c>
      <c r="D2225" s="93" t="s">
        <v>24</v>
      </c>
      <c r="E2225" s="93" t="s">
        <v>24</v>
      </c>
      <c r="F2225" s="93" t="s">
        <v>7</v>
      </c>
      <c r="G2225" s="93" t="s">
        <v>7183</v>
      </c>
      <c r="H2225" s="93" t="s">
        <v>400</v>
      </c>
      <c r="I2225" s="93" t="s">
        <v>111</v>
      </c>
      <c r="J2225" s="93" t="s">
        <v>7105</v>
      </c>
      <c r="K2225" s="93" t="s">
        <v>111</v>
      </c>
      <c r="L2225" s="93" t="s">
        <v>111</v>
      </c>
      <c r="M2225" s="93" t="s">
        <v>111</v>
      </c>
      <c r="N2225" s="93" t="s">
        <v>111</v>
      </c>
      <c r="O2225" s="93" t="s">
        <v>111</v>
      </c>
      <c r="P2225" s="93" t="s">
        <v>111</v>
      </c>
      <c r="Q2225" s="93" t="s">
        <v>111</v>
      </c>
      <c r="R2225" s="93" t="s">
        <v>111</v>
      </c>
      <c r="S2225" s="93" t="s">
        <v>2</v>
      </c>
      <c r="T2225" s="93" t="s">
        <v>111</v>
      </c>
      <c r="U2225" s="93" t="s">
        <v>116</v>
      </c>
      <c r="V2225" s="94">
        <v>44596.65347222222</v>
      </c>
      <c r="W2225" s="93" t="s">
        <v>402</v>
      </c>
      <c r="X2225" s="93" t="s">
        <v>24</v>
      </c>
    </row>
    <row r="2226" spans="1:24" hidden="1" x14ac:dyDescent="0.15">
      <c r="A2226" s="93" t="s">
        <v>7646</v>
      </c>
      <c r="B2226" s="93" t="s">
        <v>7647</v>
      </c>
      <c r="C2226" s="410">
        <v>888</v>
      </c>
      <c r="D2226" s="93" t="s">
        <v>24</v>
      </c>
      <c r="E2226" s="93" t="s">
        <v>24</v>
      </c>
      <c r="F2226" s="93" t="s">
        <v>7</v>
      </c>
      <c r="G2226" s="93" t="s">
        <v>7183</v>
      </c>
      <c r="H2226" s="93" t="s">
        <v>400</v>
      </c>
      <c r="I2226" s="93" t="s">
        <v>111</v>
      </c>
      <c r="J2226" s="93" t="s">
        <v>7105</v>
      </c>
      <c r="K2226" s="93" t="s">
        <v>111</v>
      </c>
      <c r="L2226" s="93" t="s">
        <v>111</v>
      </c>
      <c r="M2226" s="93" t="s">
        <v>111</v>
      </c>
      <c r="N2226" s="93" t="s">
        <v>111</v>
      </c>
      <c r="O2226" s="93" t="s">
        <v>111</v>
      </c>
      <c r="P2226" s="93" t="s">
        <v>111</v>
      </c>
      <c r="Q2226" s="93" t="s">
        <v>111</v>
      </c>
      <c r="R2226" s="93" t="s">
        <v>111</v>
      </c>
      <c r="S2226" s="93" t="s">
        <v>111</v>
      </c>
      <c r="T2226" s="93" t="s">
        <v>111</v>
      </c>
      <c r="U2226" s="93" t="s">
        <v>116</v>
      </c>
      <c r="V2226" s="94">
        <v>44596.696527777778</v>
      </c>
      <c r="W2226" s="93" t="s">
        <v>402</v>
      </c>
      <c r="X2226" s="93" t="s">
        <v>24</v>
      </c>
    </row>
    <row r="2227" spans="1:24" hidden="1" x14ac:dyDescent="0.15">
      <c r="A2227" s="93" t="s">
        <v>7648</v>
      </c>
      <c r="B2227" s="93" t="s">
        <v>7649</v>
      </c>
      <c r="C2227" s="410">
        <v>1080</v>
      </c>
      <c r="D2227" s="93" t="s">
        <v>24</v>
      </c>
      <c r="E2227" s="93" t="s">
        <v>24</v>
      </c>
      <c r="F2227" s="93" t="s">
        <v>7</v>
      </c>
      <c r="G2227" s="93" t="s">
        <v>7183</v>
      </c>
      <c r="H2227" s="93" t="s">
        <v>400</v>
      </c>
      <c r="I2227" s="93" t="s">
        <v>111</v>
      </c>
      <c r="J2227" s="93" t="s">
        <v>7105</v>
      </c>
      <c r="K2227" s="93" t="s">
        <v>111</v>
      </c>
      <c r="L2227" s="93" t="s">
        <v>111</v>
      </c>
      <c r="M2227" s="93" t="s">
        <v>111</v>
      </c>
      <c r="N2227" s="93" t="s">
        <v>111</v>
      </c>
      <c r="O2227" s="93" t="s">
        <v>111</v>
      </c>
      <c r="P2227" s="93" t="s">
        <v>111</v>
      </c>
      <c r="Q2227" s="93" t="s">
        <v>111</v>
      </c>
      <c r="R2227" s="93" t="s">
        <v>111</v>
      </c>
      <c r="S2227" s="93" t="s">
        <v>111</v>
      </c>
      <c r="T2227" s="93" t="s">
        <v>111</v>
      </c>
      <c r="U2227" s="93" t="s">
        <v>116</v>
      </c>
      <c r="V2227" s="94">
        <v>44596.648611111108</v>
      </c>
      <c r="W2227" s="93" t="s">
        <v>402</v>
      </c>
      <c r="X2227" s="93" t="s">
        <v>24</v>
      </c>
    </row>
    <row r="2228" spans="1:24" hidden="1" x14ac:dyDescent="0.15">
      <c r="A2228" s="93" t="s">
        <v>7650</v>
      </c>
      <c r="B2228" s="93" t="s">
        <v>7651</v>
      </c>
      <c r="C2228" s="410">
        <v>2754</v>
      </c>
      <c r="D2228" s="93" t="s">
        <v>24</v>
      </c>
      <c r="E2228" s="93" t="s">
        <v>24</v>
      </c>
      <c r="F2228" s="93" t="s">
        <v>7</v>
      </c>
      <c r="G2228" s="93" t="s">
        <v>7183</v>
      </c>
      <c r="H2228" s="93" t="s">
        <v>400</v>
      </c>
      <c r="I2228" s="93" t="s">
        <v>111</v>
      </c>
      <c r="J2228" s="93" t="s">
        <v>7105</v>
      </c>
      <c r="K2228" s="93" t="s">
        <v>111</v>
      </c>
      <c r="L2228" s="93" t="s">
        <v>111</v>
      </c>
      <c r="M2228" s="93" t="s">
        <v>111</v>
      </c>
      <c r="N2228" s="93" t="s">
        <v>111</v>
      </c>
      <c r="O2228" s="93" t="s">
        <v>111</v>
      </c>
      <c r="P2228" s="93" t="s">
        <v>111</v>
      </c>
      <c r="Q2228" s="93" t="s">
        <v>111</v>
      </c>
      <c r="R2228" s="93" t="s">
        <v>111</v>
      </c>
      <c r="S2228" s="93" t="s">
        <v>111</v>
      </c>
      <c r="T2228" s="93" t="s">
        <v>111</v>
      </c>
      <c r="U2228" s="93" t="s">
        <v>116</v>
      </c>
      <c r="V2228" s="94">
        <v>44596.688888888886</v>
      </c>
      <c r="W2228" s="93" t="s">
        <v>402</v>
      </c>
      <c r="X2228" s="93" t="s">
        <v>24</v>
      </c>
    </row>
    <row r="2229" spans="1:24" hidden="1" x14ac:dyDescent="0.15">
      <c r="A2229" s="93" t="s">
        <v>7652</v>
      </c>
      <c r="B2229" s="93" t="s">
        <v>7653</v>
      </c>
      <c r="C2229" s="410">
        <v>4320</v>
      </c>
      <c r="D2229" s="93" t="s">
        <v>24</v>
      </c>
      <c r="E2229" s="93" t="s">
        <v>24</v>
      </c>
      <c r="F2229" s="93" t="s">
        <v>7</v>
      </c>
      <c r="G2229" s="93" t="s">
        <v>7183</v>
      </c>
      <c r="H2229" s="93" t="s">
        <v>400</v>
      </c>
      <c r="I2229" s="93" t="s">
        <v>111</v>
      </c>
      <c r="J2229" s="93" t="s">
        <v>7105</v>
      </c>
      <c r="K2229" s="93" t="s">
        <v>111</v>
      </c>
      <c r="L2229" s="93" t="s">
        <v>111</v>
      </c>
      <c r="M2229" s="93" t="s">
        <v>111</v>
      </c>
      <c r="N2229" s="93" t="s">
        <v>111</v>
      </c>
      <c r="O2229" s="93" t="s">
        <v>111</v>
      </c>
      <c r="P2229" s="93" t="s">
        <v>111</v>
      </c>
      <c r="Q2229" s="93" t="s">
        <v>111</v>
      </c>
      <c r="R2229" s="93" t="s">
        <v>111</v>
      </c>
      <c r="S2229" s="93" t="s">
        <v>111</v>
      </c>
      <c r="T2229" s="93" t="s">
        <v>111</v>
      </c>
      <c r="U2229" s="93" t="s">
        <v>116</v>
      </c>
      <c r="V2229" s="94">
        <v>44596.657638888886</v>
      </c>
      <c r="W2229" s="93" t="s">
        <v>402</v>
      </c>
      <c r="X2229" s="93" t="s">
        <v>24</v>
      </c>
    </row>
    <row r="2230" spans="1:24" hidden="1" x14ac:dyDescent="0.15">
      <c r="A2230" s="93" t="s">
        <v>7654</v>
      </c>
      <c r="B2230" s="93" t="s">
        <v>7655</v>
      </c>
      <c r="C2230" s="410">
        <v>4560</v>
      </c>
      <c r="D2230" s="93" t="s">
        <v>24</v>
      </c>
      <c r="E2230" s="93" t="s">
        <v>24</v>
      </c>
      <c r="F2230" s="93" t="s">
        <v>7</v>
      </c>
      <c r="G2230" s="93" t="s">
        <v>7183</v>
      </c>
      <c r="H2230" s="93" t="s">
        <v>400</v>
      </c>
      <c r="I2230" s="93" t="s">
        <v>111</v>
      </c>
      <c r="J2230" s="93" t="s">
        <v>7105</v>
      </c>
      <c r="K2230" s="93" t="s">
        <v>111</v>
      </c>
      <c r="L2230" s="93" t="s">
        <v>111</v>
      </c>
      <c r="M2230" s="93" t="s">
        <v>111</v>
      </c>
      <c r="N2230" s="93" t="s">
        <v>111</v>
      </c>
      <c r="O2230" s="93" t="s">
        <v>111</v>
      </c>
      <c r="P2230" s="93" t="s">
        <v>111</v>
      </c>
      <c r="Q2230" s="93" t="s">
        <v>111</v>
      </c>
      <c r="R2230" s="93" t="s">
        <v>111</v>
      </c>
      <c r="S2230" s="93" t="s">
        <v>111</v>
      </c>
      <c r="T2230" s="93" t="s">
        <v>111</v>
      </c>
      <c r="U2230" s="93" t="s">
        <v>116</v>
      </c>
      <c r="V2230" s="94">
        <v>44596.661805555559</v>
      </c>
      <c r="W2230" s="93" t="s">
        <v>402</v>
      </c>
      <c r="X2230" s="93" t="s">
        <v>24</v>
      </c>
    </row>
    <row r="2231" spans="1:24" hidden="1" x14ac:dyDescent="0.15">
      <c r="A2231" s="93" t="s">
        <v>7656</v>
      </c>
      <c r="B2231" s="93" t="s">
        <v>7657</v>
      </c>
      <c r="C2231" s="410">
        <v>11628</v>
      </c>
      <c r="D2231" s="93" t="s">
        <v>24</v>
      </c>
      <c r="E2231" s="93" t="s">
        <v>24</v>
      </c>
      <c r="F2231" s="93" t="s">
        <v>7</v>
      </c>
      <c r="G2231" s="93" t="s">
        <v>7183</v>
      </c>
      <c r="H2231" s="93" t="s">
        <v>400</v>
      </c>
      <c r="I2231" s="93" t="s">
        <v>111</v>
      </c>
      <c r="J2231" s="93" t="s">
        <v>7105</v>
      </c>
      <c r="K2231" s="93" t="s">
        <v>111</v>
      </c>
      <c r="L2231" s="93" t="s">
        <v>111</v>
      </c>
      <c r="M2231" s="93" t="s">
        <v>111</v>
      </c>
      <c r="N2231" s="93" t="s">
        <v>111</v>
      </c>
      <c r="O2231" s="93" t="s">
        <v>111</v>
      </c>
      <c r="P2231" s="93" t="s">
        <v>111</v>
      </c>
      <c r="Q2231" s="93" t="s">
        <v>111</v>
      </c>
      <c r="R2231" s="93" t="s">
        <v>111</v>
      </c>
      <c r="S2231" s="93" t="s">
        <v>111</v>
      </c>
      <c r="T2231" s="93" t="s">
        <v>111</v>
      </c>
      <c r="U2231" s="93" t="s">
        <v>116</v>
      </c>
      <c r="V2231" s="94">
        <v>44596.68472222222</v>
      </c>
      <c r="W2231" s="93" t="s">
        <v>402</v>
      </c>
      <c r="X2231" s="93" t="s">
        <v>24</v>
      </c>
    </row>
    <row r="2232" spans="1:24" hidden="1" x14ac:dyDescent="0.15">
      <c r="A2232" s="93" t="s">
        <v>7658</v>
      </c>
      <c r="B2232" s="93" t="s">
        <v>7659</v>
      </c>
      <c r="C2232" s="410">
        <v>18240</v>
      </c>
      <c r="D2232" s="93" t="s">
        <v>24</v>
      </c>
      <c r="E2232" s="93" t="s">
        <v>24</v>
      </c>
      <c r="F2232" s="93" t="s">
        <v>7</v>
      </c>
      <c r="G2232" s="93" t="s">
        <v>7183</v>
      </c>
      <c r="H2232" s="93" t="s">
        <v>400</v>
      </c>
      <c r="I2232" s="93" t="s">
        <v>111</v>
      </c>
      <c r="J2232" s="93" t="s">
        <v>7105</v>
      </c>
      <c r="K2232" s="93" t="s">
        <v>111</v>
      </c>
      <c r="L2232" s="93" t="s">
        <v>111</v>
      </c>
      <c r="M2232" s="93" t="s">
        <v>111</v>
      </c>
      <c r="N2232" s="93" t="s">
        <v>111</v>
      </c>
      <c r="O2232" s="93" t="s">
        <v>111</v>
      </c>
      <c r="P2232" s="93" t="s">
        <v>111</v>
      </c>
      <c r="Q2232" s="93" t="s">
        <v>111</v>
      </c>
      <c r="R2232" s="93" t="s">
        <v>111</v>
      </c>
      <c r="S2232" s="93" t="s">
        <v>111</v>
      </c>
      <c r="T2232" s="93" t="s">
        <v>111</v>
      </c>
      <c r="U2232" s="93" t="s">
        <v>116</v>
      </c>
      <c r="V2232" s="94">
        <v>44596.661805555559</v>
      </c>
      <c r="W2232" s="93" t="s">
        <v>402</v>
      </c>
      <c r="X2232" s="93" t="s">
        <v>24</v>
      </c>
    </row>
    <row r="2233" spans="1:24" hidden="1" x14ac:dyDescent="0.15">
      <c r="A2233" s="93" t="s">
        <v>7660</v>
      </c>
      <c r="B2233" s="93" t="s">
        <v>7661</v>
      </c>
      <c r="C2233" s="410">
        <v>264</v>
      </c>
      <c r="D2233" s="93" t="s">
        <v>24</v>
      </c>
      <c r="E2233" s="93" t="s">
        <v>24</v>
      </c>
      <c r="F2233" s="93" t="s">
        <v>7</v>
      </c>
      <c r="G2233" s="93" t="s">
        <v>7183</v>
      </c>
      <c r="H2233" s="93" t="s">
        <v>400</v>
      </c>
      <c r="I2233" s="93" t="s">
        <v>111</v>
      </c>
      <c r="J2233" s="93" t="s">
        <v>7105</v>
      </c>
      <c r="K2233" s="93" t="s">
        <v>111</v>
      </c>
      <c r="L2233" s="93" t="s">
        <v>111</v>
      </c>
      <c r="M2233" s="93" t="s">
        <v>111</v>
      </c>
      <c r="N2233" s="93" t="s">
        <v>111</v>
      </c>
      <c r="O2233" s="93" t="s">
        <v>111</v>
      </c>
      <c r="P2233" s="93" t="s">
        <v>111</v>
      </c>
      <c r="Q2233" s="93" t="s">
        <v>111</v>
      </c>
      <c r="R2233" s="93" t="s">
        <v>111</v>
      </c>
      <c r="S2233" s="93" t="s">
        <v>111</v>
      </c>
      <c r="T2233" s="93" t="s">
        <v>111</v>
      </c>
      <c r="U2233" s="93" t="s">
        <v>116</v>
      </c>
      <c r="V2233" s="94">
        <v>44596.644444444442</v>
      </c>
      <c r="W2233" s="93" t="s">
        <v>402</v>
      </c>
      <c r="X2233" s="93" t="s">
        <v>24</v>
      </c>
    </row>
    <row r="2234" spans="1:24" hidden="1" x14ac:dyDescent="0.15">
      <c r="A2234" s="93" t="s">
        <v>7662</v>
      </c>
      <c r="B2234" s="93" t="s">
        <v>7663</v>
      </c>
      <c r="C2234" s="410">
        <v>674</v>
      </c>
      <c r="D2234" s="93" t="s">
        <v>24</v>
      </c>
      <c r="E2234" s="93" t="s">
        <v>24</v>
      </c>
      <c r="F2234" s="93" t="s">
        <v>7</v>
      </c>
      <c r="G2234" s="93" t="s">
        <v>7183</v>
      </c>
      <c r="H2234" s="93" t="s">
        <v>400</v>
      </c>
      <c r="I2234" s="93" t="s">
        <v>111</v>
      </c>
      <c r="J2234" s="93" t="s">
        <v>7105</v>
      </c>
      <c r="K2234" s="93" t="s">
        <v>111</v>
      </c>
      <c r="L2234" s="93" t="s">
        <v>111</v>
      </c>
      <c r="M2234" s="93" t="s">
        <v>111</v>
      </c>
      <c r="N2234" s="93" t="s">
        <v>111</v>
      </c>
      <c r="O2234" s="93" t="s">
        <v>111</v>
      </c>
      <c r="P2234" s="93" t="s">
        <v>111</v>
      </c>
      <c r="Q2234" s="93" t="s">
        <v>111</v>
      </c>
      <c r="R2234" s="93" t="s">
        <v>111</v>
      </c>
      <c r="S2234" s="93" t="s">
        <v>111</v>
      </c>
      <c r="T2234" s="93" t="s">
        <v>111</v>
      </c>
      <c r="U2234" s="93" t="s">
        <v>116</v>
      </c>
      <c r="V2234" s="94">
        <v>44596.648611111108</v>
      </c>
      <c r="W2234" s="93" t="s">
        <v>402</v>
      </c>
      <c r="X2234" s="93" t="s">
        <v>24</v>
      </c>
    </row>
    <row r="2235" spans="1:24" hidden="1" x14ac:dyDescent="0.15">
      <c r="A2235" s="93" t="s">
        <v>7664</v>
      </c>
      <c r="B2235" s="93" t="s">
        <v>7665</v>
      </c>
      <c r="C2235" s="410">
        <v>1056</v>
      </c>
      <c r="D2235" s="93" t="s">
        <v>24</v>
      </c>
      <c r="E2235" s="93" t="s">
        <v>24</v>
      </c>
      <c r="F2235" s="93" t="s">
        <v>7</v>
      </c>
      <c r="G2235" s="93" t="s">
        <v>7183</v>
      </c>
      <c r="H2235" s="93" t="s">
        <v>400</v>
      </c>
      <c r="I2235" s="93" t="s">
        <v>111</v>
      </c>
      <c r="J2235" s="93" t="s">
        <v>7105</v>
      </c>
      <c r="K2235" s="93" t="s">
        <v>111</v>
      </c>
      <c r="L2235" s="93" t="s">
        <v>111</v>
      </c>
      <c r="M2235" s="93" t="s">
        <v>111</v>
      </c>
      <c r="N2235" s="93" t="s">
        <v>111</v>
      </c>
      <c r="O2235" s="93" t="s">
        <v>111</v>
      </c>
      <c r="P2235" s="93" t="s">
        <v>111</v>
      </c>
      <c r="Q2235" s="93" t="s">
        <v>111</v>
      </c>
      <c r="R2235" s="93" t="s">
        <v>111</v>
      </c>
      <c r="S2235" s="93" t="s">
        <v>111</v>
      </c>
      <c r="T2235" s="93" t="s">
        <v>111</v>
      </c>
      <c r="U2235" s="93" t="s">
        <v>116</v>
      </c>
      <c r="V2235" s="94">
        <v>44596.688888888886</v>
      </c>
      <c r="W2235" s="93" t="s">
        <v>402</v>
      </c>
      <c r="X2235" s="93" t="s">
        <v>24</v>
      </c>
    </row>
    <row r="2236" spans="1:24" hidden="1" x14ac:dyDescent="0.15">
      <c r="A2236" s="93" t="s">
        <v>7666</v>
      </c>
      <c r="B2236" s="93" t="s">
        <v>7667</v>
      </c>
      <c r="C2236" s="410">
        <v>1260</v>
      </c>
      <c r="D2236" s="93" t="s">
        <v>24</v>
      </c>
      <c r="E2236" s="93" t="s">
        <v>24</v>
      </c>
      <c r="F2236" s="93" t="s">
        <v>7</v>
      </c>
      <c r="G2236" s="93" t="s">
        <v>7183</v>
      </c>
      <c r="H2236" s="93" t="s">
        <v>400</v>
      </c>
      <c r="I2236" s="93" t="s">
        <v>111</v>
      </c>
      <c r="J2236" s="93" t="s">
        <v>7105</v>
      </c>
      <c r="K2236" s="93" t="s">
        <v>111</v>
      </c>
      <c r="L2236" s="93" t="s">
        <v>111</v>
      </c>
      <c r="M2236" s="93" t="s">
        <v>111</v>
      </c>
      <c r="N2236" s="93" t="s">
        <v>111</v>
      </c>
      <c r="O2236" s="93" t="s">
        <v>111</v>
      </c>
      <c r="P2236" s="93" t="s">
        <v>111</v>
      </c>
      <c r="Q2236" s="93" t="s">
        <v>111</v>
      </c>
      <c r="R2236" s="93" t="s">
        <v>111</v>
      </c>
      <c r="S2236" s="93" t="s">
        <v>2</v>
      </c>
      <c r="T2236" s="93" t="s">
        <v>111</v>
      </c>
      <c r="U2236" s="93" t="s">
        <v>116</v>
      </c>
      <c r="V2236" s="94">
        <v>44596.688888888886</v>
      </c>
      <c r="W2236" s="93" t="s">
        <v>402</v>
      </c>
      <c r="X2236" s="93" t="s">
        <v>24</v>
      </c>
    </row>
    <row r="2237" spans="1:24" hidden="1" x14ac:dyDescent="0.15">
      <c r="A2237" s="93" t="s">
        <v>7668</v>
      </c>
      <c r="B2237" s="93" t="s">
        <v>7669</v>
      </c>
      <c r="C2237" s="410">
        <v>3213</v>
      </c>
      <c r="D2237" s="93" t="s">
        <v>24</v>
      </c>
      <c r="E2237" s="93" t="s">
        <v>24</v>
      </c>
      <c r="F2237" s="93" t="s">
        <v>7</v>
      </c>
      <c r="G2237" s="93" t="s">
        <v>7183</v>
      </c>
      <c r="H2237" s="93" t="s">
        <v>400</v>
      </c>
      <c r="I2237" s="93" t="s">
        <v>111</v>
      </c>
      <c r="J2237" s="93" t="s">
        <v>7105</v>
      </c>
      <c r="K2237" s="93" t="s">
        <v>111</v>
      </c>
      <c r="L2237" s="93" t="s">
        <v>111</v>
      </c>
      <c r="M2237" s="93" t="s">
        <v>111</v>
      </c>
      <c r="N2237" s="93" t="s">
        <v>111</v>
      </c>
      <c r="O2237" s="93" t="s">
        <v>111</v>
      </c>
      <c r="P2237" s="93" t="s">
        <v>111</v>
      </c>
      <c r="Q2237" s="93" t="s">
        <v>111</v>
      </c>
      <c r="R2237" s="93" t="s">
        <v>111</v>
      </c>
      <c r="S2237" s="93" t="s">
        <v>111</v>
      </c>
      <c r="T2237" s="93" t="s">
        <v>111</v>
      </c>
      <c r="U2237" s="93" t="s">
        <v>116</v>
      </c>
      <c r="V2237" s="94">
        <v>44596.666666666664</v>
      </c>
      <c r="W2237" s="93" t="s">
        <v>402</v>
      </c>
      <c r="X2237" s="93" t="s">
        <v>24</v>
      </c>
    </row>
    <row r="2238" spans="1:24" hidden="1" x14ac:dyDescent="0.15">
      <c r="A2238" s="93" t="s">
        <v>7670</v>
      </c>
      <c r="B2238" s="93" t="s">
        <v>7671</v>
      </c>
      <c r="C2238" s="410">
        <v>5040</v>
      </c>
      <c r="D2238" s="93" t="s">
        <v>24</v>
      </c>
      <c r="E2238" s="93" t="s">
        <v>24</v>
      </c>
      <c r="F2238" s="93" t="s">
        <v>7</v>
      </c>
      <c r="G2238" s="93" t="s">
        <v>7183</v>
      </c>
      <c r="H2238" s="93" t="s">
        <v>400</v>
      </c>
      <c r="I2238" s="93" t="s">
        <v>111</v>
      </c>
      <c r="J2238" s="93" t="s">
        <v>7105</v>
      </c>
      <c r="K2238" s="93" t="s">
        <v>111</v>
      </c>
      <c r="L2238" s="93" t="s">
        <v>111</v>
      </c>
      <c r="M2238" s="93" t="s">
        <v>111</v>
      </c>
      <c r="N2238" s="93" t="s">
        <v>111</v>
      </c>
      <c r="O2238" s="93" t="s">
        <v>111</v>
      </c>
      <c r="P2238" s="93" t="s">
        <v>111</v>
      </c>
      <c r="Q2238" s="93" t="s">
        <v>111</v>
      </c>
      <c r="R2238" s="93" t="s">
        <v>111</v>
      </c>
      <c r="S2238" s="93" t="s">
        <v>111</v>
      </c>
      <c r="T2238" s="93" t="s">
        <v>111</v>
      </c>
      <c r="U2238" s="93" t="s">
        <v>116</v>
      </c>
      <c r="V2238" s="94">
        <v>44596.693055555559</v>
      </c>
      <c r="W2238" s="93" t="s">
        <v>402</v>
      </c>
      <c r="X2238" s="93" t="s">
        <v>24</v>
      </c>
    </row>
    <row r="2239" spans="1:24" hidden="1" x14ac:dyDescent="0.15">
      <c r="A2239" s="93" t="s">
        <v>7672</v>
      </c>
      <c r="B2239" s="93" t="s">
        <v>7673</v>
      </c>
      <c r="C2239" s="410">
        <v>5400</v>
      </c>
      <c r="D2239" s="93" t="s">
        <v>24</v>
      </c>
      <c r="E2239" s="93" t="s">
        <v>24</v>
      </c>
      <c r="F2239" s="93" t="s">
        <v>7</v>
      </c>
      <c r="G2239" s="93" t="s">
        <v>7183</v>
      </c>
      <c r="H2239" s="93" t="s">
        <v>400</v>
      </c>
      <c r="I2239" s="93" t="s">
        <v>111</v>
      </c>
      <c r="J2239" s="93" t="s">
        <v>7105</v>
      </c>
      <c r="K2239" s="93" t="s">
        <v>111</v>
      </c>
      <c r="L2239" s="93" t="s">
        <v>111</v>
      </c>
      <c r="M2239" s="93" t="s">
        <v>111</v>
      </c>
      <c r="N2239" s="93" t="s">
        <v>111</v>
      </c>
      <c r="O2239" s="93" t="s">
        <v>111</v>
      </c>
      <c r="P2239" s="93" t="s">
        <v>111</v>
      </c>
      <c r="Q2239" s="93" t="s">
        <v>111</v>
      </c>
      <c r="R2239" s="93" t="s">
        <v>111</v>
      </c>
      <c r="S2239" s="93" t="s">
        <v>111</v>
      </c>
      <c r="T2239" s="93" t="s">
        <v>111</v>
      </c>
      <c r="U2239" s="93" t="s">
        <v>116</v>
      </c>
      <c r="V2239" s="94">
        <v>44596.6875</v>
      </c>
      <c r="W2239" s="93" t="s">
        <v>402</v>
      </c>
      <c r="X2239" s="93" t="s">
        <v>24</v>
      </c>
    </row>
    <row r="2240" spans="1:24" hidden="1" x14ac:dyDescent="0.15">
      <c r="A2240" s="93" t="s">
        <v>7674</v>
      </c>
      <c r="B2240" s="93" t="s">
        <v>7675</v>
      </c>
      <c r="C2240" s="410">
        <v>13770</v>
      </c>
      <c r="D2240" s="93" t="s">
        <v>24</v>
      </c>
      <c r="E2240" s="93" t="s">
        <v>24</v>
      </c>
      <c r="F2240" s="93" t="s">
        <v>7</v>
      </c>
      <c r="G2240" s="93" t="s">
        <v>7183</v>
      </c>
      <c r="H2240" s="93" t="s">
        <v>400</v>
      </c>
      <c r="I2240" s="93" t="s">
        <v>111</v>
      </c>
      <c r="J2240" s="93" t="s">
        <v>7105</v>
      </c>
      <c r="K2240" s="93" t="s">
        <v>111</v>
      </c>
      <c r="L2240" s="93" t="s">
        <v>111</v>
      </c>
      <c r="M2240" s="93" t="s">
        <v>111</v>
      </c>
      <c r="N2240" s="93" t="s">
        <v>111</v>
      </c>
      <c r="O2240" s="93" t="s">
        <v>111</v>
      </c>
      <c r="P2240" s="93" t="s">
        <v>111</v>
      </c>
      <c r="Q2240" s="93" t="s">
        <v>111</v>
      </c>
      <c r="R2240" s="93" t="s">
        <v>111</v>
      </c>
      <c r="S2240" s="93" t="s">
        <v>2</v>
      </c>
      <c r="T2240" s="93" t="s">
        <v>111</v>
      </c>
      <c r="U2240" s="93" t="s">
        <v>116</v>
      </c>
      <c r="V2240" s="94">
        <v>44596.661805555559</v>
      </c>
      <c r="W2240" s="93" t="s">
        <v>402</v>
      </c>
      <c r="X2240" s="93" t="s">
        <v>24</v>
      </c>
    </row>
    <row r="2241" spans="1:24" hidden="1" x14ac:dyDescent="0.15">
      <c r="A2241" s="93" t="s">
        <v>7676</v>
      </c>
      <c r="B2241" s="93" t="s">
        <v>7677</v>
      </c>
      <c r="C2241" s="410">
        <v>21600</v>
      </c>
      <c r="D2241" s="93" t="s">
        <v>24</v>
      </c>
      <c r="E2241" s="93" t="s">
        <v>24</v>
      </c>
      <c r="F2241" s="93" t="s">
        <v>7</v>
      </c>
      <c r="G2241" s="93" t="s">
        <v>7183</v>
      </c>
      <c r="H2241" s="93" t="s">
        <v>400</v>
      </c>
      <c r="I2241" s="93" t="s">
        <v>111</v>
      </c>
      <c r="J2241" s="93" t="s">
        <v>7105</v>
      </c>
      <c r="K2241" s="93" t="s">
        <v>111</v>
      </c>
      <c r="L2241" s="93" t="s">
        <v>111</v>
      </c>
      <c r="M2241" s="93" t="s">
        <v>111</v>
      </c>
      <c r="N2241" s="93" t="s">
        <v>111</v>
      </c>
      <c r="O2241" s="93" t="s">
        <v>111</v>
      </c>
      <c r="P2241" s="93" t="s">
        <v>111</v>
      </c>
      <c r="Q2241" s="93" t="s">
        <v>111</v>
      </c>
      <c r="R2241" s="93" t="s">
        <v>111</v>
      </c>
      <c r="S2241" s="93" t="s">
        <v>111</v>
      </c>
      <c r="T2241" s="93" t="s">
        <v>111</v>
      </c>
      <c r="U2241" s="93" t="s">
        <v>116</v>
      </c>
      <c r="V2241" s="94">
        <v>44596.657638888886</v>
      </c>
      <c r="W2241" s="93" t="s">
        <v>402</v>
      </c>
      <c r="X2241" s="93" t="s">
        <v>24</v>
      </c>
    </row>
    <row r="2242" spans="1:24" hidden="1" x14ac:dyDescent="0.15">
      <c r="A2242" s="93" t="s">
        <v>7678</v>
      </c>
      <c r="B2242" s="93" t="s">
        <v>7679</v>
      </c>
      <c r="C2242" s="410">
        <v>300</v>
      </c>
      <c r="D2242" s="93" t="s">
        <v>24</v>
      </c>
      <c r="E2242" s="93" t="s">
        <v>24</v>
      </c>
      <c r="F2242" s="93" t="s">
        <v>7</v>
      </c>
      <c r="G2242" s="93" t="s">
        <v>7183</v>
      </c>
      <c r="H2242" s="93" t="s">
        <v>400</v>
      </c>
      <c r="I2242" s="93" t="s">
        <v>111</v>
      </c>
      <c r="J2242" s="93" t="s">
        <v>7105</v>
      </c>
      <c r="K2242" s="93" t="s">
        <v>111</v>
      </c>
      <c r="L2242" s="93" t="s">
        <v>111</v>
      </c>
      <c r="M2242" s="93" t="s">
        <v>111</v>
      </c>
      <c r="N2242" s="93" t="s">
        <v>111</v>
      </c>
      <c r="O2242" s="93" t="s">
        <v>111</v>
      </c>
      <c r="P2242" s="93" t="s">
        <v>111</v>
      </c>
      <c r="Q2242" s="93" t="s">
        <v>111</v>
      </c>
      <c r="R2242" s="93" t="s">
        <v>111</v>
      </c>
      <c r="S2242" s="93" t="s">
        <v>111</v>
      </c>
      <c r="T2242" s="93" t="s">
        <v>111</v>
      </c>
      <c r="U2242" s="93" t="s">
        <v>116</v>
      </c>
      <c r="V2242" s="94">
        <v>44596.666666666664</v>
      </c>
      <c r="W2242" s="93" t="s">
        <v>402</v>
      </c>
      <c r="X2242" s="93" t="s">
        <v>24</v>
      </c>
    </row>
    <row r="2243" spans="1:24" hidden="1" x14ac:dyDescent="0.15">
      <c r="A2243" s="93" t="s">
        <v>7680</v>
      </c>
      <c r="B2243" s="93" t="s">
        <v>7681</v>
      </c>
      <c r="C2243" s="410">
        <v>765</v>
      </c>
      <c r="D2243" s="93" t="s">
        <v>24</v>
      </c>
      <c r="E2243" s="93" t="s">
        <v>24</v>
      </c>
      <c r="F2243" s="93" t="s">
        <v>7</v>
      </c>
      <c r="G2243" s="93" t="s">
        <v>7183</v>
      </c>
      <c r="H2243" s="93" t="s">
        <v>400</v>
      </c>
      <c r="I2243" s="93" t="s">
        <v>111</v>
      </c>
      <c r="J2243" s="93" t="s">
        <v>7105</v>
      </c>
      <c r="K2243" s="93" t="s">
        <v>111</v>
      </c>
      <c r="L2243" s="93" t="s">
        <v>111</v>
      </c>
      <c r="M2243" s="93" t="s">
        <v>111</v>
      </c>
      <c r="N2243" s="93" t="s">
        <v>111</v>
      </c>
      <c r="O2243" s="93" t="s">
        <v>111</v>
      </c>
      <c r="P2243" s="93" t="s">
        <v>111</v>
      </c>
      <c r="Q2243" s="93" t="s">
        <v>111</v>
      </c>
      <c r="R2243" s="93" t="s">
        <v>111</v>
      </c>
      <c r="S2243" s="93" t="s">
        <v>2</v>
      </c>
      <c r="T2243" s="93" t="s">
        <v>111</v>
      </c>
      <c r="U2243" s="93" t="s">
        <v>116</v>
      </c>
      <c r="V2243" s="94">
        <v>44596.688888888886</v>
      </c>
      <c r="W2243" s="93" t="s">
        <v>402</v>
      </c>
      <c r="X2243" s="93" t="s">
        <v>24</v>
      </c>
    </row>
    <row r="2244" spans="1:24" hidden="1" x14ac:dyDescent="0.15">
      <c r="A2244" s="93" t="s">
        <v>7682</v>
      </c>
      <c r="B2244" s="93" t="s">
        <v>7683</v>
      </c>
      <c r="C2244" s="410">
        <v>1200</v>
      </c>
      <c r="D2244" s="93" t="s">
        <v>24</v>
      </c>
      <c r="E2244" s="93" t="s">
        <v>24</v>
      </c>
      <c r="F2244" s="93" t="s">
        <v>7</v>
      </c>
      <c r="G2244" s="93" t="s">
        <v>7183</v>
      </c>
      <c r="H2244" s="93" t="s">
        <v>400</v>
      </c>
      <c r="I2244" s="93" t="s">
        <v>111</v>
      </c>
      <c r="J2244" s="93" t="s">
        <v>7105</v>
      </c>
      <c r="K2244" s="93" t="s">
        <v>111</v>
      </c>
      <c r="L2244" s="93" t="s">
        <v>111</v>
      </c>
      <c r="M2244" s="93" t="s">
        <v>111</v>
      </c>
      <c r="N2244" s="93" t="s">
        <v>111</v>
      </c>
      <c r="O2244" s="93" t="s">
        <v>111</v>
      </c>
      <c r="P2244" s="93" t="s">
        <v>111</v>
      </c>
      <c r="Q2244" s="93" t="s">
        <v>111</v>
      </c>
      <c r="R2244" s="93" t="s">
        <v>111</v>
      </c>
      <c r="S2244" s="93" t="s">
        <v>111</v>
      </c>
      <c r="T2244" s="93" t="s">
        <v>111</v>
      </c>
      <c r="U2244" s="93" t="s">
        <v>116</v>
      </c>
      <c r="V2244" s="94">
        <v>44596.693055555559</v>
      </c>
      <c r="W2244" s="93" t="s">
        <v>402</v>
      </c>
      <c r="X2244" s="93" t="s">
        <v>24</v>
      </c>
    </row>
    <row r="2245" spans="1:24" hidden="1" x14ac:dyDescent="0.15">
      <c r="A2245" s="93" t="s">
        <v>7684</v>
      </c>
      <c r="B2245" s="93" t="s">
        <v>7685</v>
      </c>
      <c r="C2245" s="410">
        <v>1440</v>
      </c>
      <c r="D2245" s="93" t="s">
        <v>24</v>
      </c>
      <c r="E2245" s="93" t="s">
        <v>24</v>
      </c>
      <c r="F2245" s="93" t="s">
        <v>7</v>
      </c>
      <c r="G2245" s="93" t="s">
        <v>7183</v>
      </c>
      <c r="H2245" s="93" t="s">
        <v>400</v>
      </c>
      <c r="I2245" s="93" t="s">
        <v>111</v>
      </c>
      <c r="J2245" s="93" t="s">
        <v>7105</v>
      </c>
      <c r="K2245" s="93" t="s">
        <v>111</v>
      </c>
      <c r="L2245" s="93" t="s">
        <v>111</v>
      </c>
      <c r="M2245" s="93" t="s">
        <v>111</v>
      </c>
      <c r="N2245" s="93" t="s">
        <v>111</v>
      </c>
      <c r="O2245" s="93" t="s">
        <v>111</v>
      </c>
      <c r="P2245" s="93" t="s">
        <v>111</v>
      </c>
      <c r="Q2245" s="93" t="s">
        <v>111</v>
      </c>
      <c r="R2245" s="93" t="s">
        <v>111</v>
      </c>
      <c r="S2245" s="93" t="s">
        <v>111</v>
      </c>
      <c r="T2245" s="93" t="s">
        <v>111</v>
      </c>
      <c r="U2245" s="93" t="s">
        <v>116</v>
      </c>
      <c r="V2245" s="94">
        <v>44596.644444444442</v>
      </c>
      <c r="W2245" s="93" t="s">
        <v>402</v>
      </c>
      <c r="X2245" s="93" t="s">
        <v>24</v>
      </c>
    </row>
    <row r="2246" spans="1:24" hidden="1" x14ac:dyDescent="0.15">
      <c r="A2246" s="93" t="s">
        <v>7686</v>
      </c>
      <c r="B2246" s="93" t="s">
        <v>7687</v>
      </c>
      <c r="C2246" s="410">
        <v>3672</v>
      </c>
      <c r="D2246" s="93" t="s">
        <v>24</v>
      </c>
      <c r="E2246" s="93" t="s">
        <v>24</v>
      </c>
      <c r="F2246" s="93" t="s">
        <v>7</v>
      </c>
      <c r="G2246" s="93" t="s">
        <v>7183</v>
      </c>
      <c r="H2246" s="93" t="s">
        <v>400</v>
      </c>
      <c r="I2246" s="93" t="s">
        <v>111</v>
      </c>
      <c r="J2246" s="93" t="s">
        <v>7105</v>
      </c>
      <c r="K2246" s="93" t="s">
        <v>111</v>
      </c>
      <c r="L2246" s="93" t="s">
        <v>111</v>
      </c>
      <c r="M2246" s="93" t="s">
        <v>111</v>
      </c>
      <c r="N2246" s="93" t="s">
        <v>111</v>
      </c>
      <c r="O2246" s="93" t="s">
        <v>111</v>
      </c>
      <c r="P2246" s="93" t="s">
        <v>111</v>
      </c>
      <c r="Q2246" s="93" t="s">
        <v>111</v>
      </c>
      <c r="R2246" s="93" t="s">
        <v>111</v>
      </c>
      <c r="S2246" s="93" t="s">
        <v>111</v>
      </c>
      <c r="T2246" s="93" t="s">
        <v>111</v>
      </c>
      <c r="U2246" s="93" t="s">
        <v>116</v>
      </c>
      <c r="V2246" s="94">
        <v>44596.693055555559</v>
      </c>
      <c r="W2246" s="93" t="s">
        <v>402</v>
      </c>
      <c r="X2246" s="93" t="s">
        <v>24</v>
      </c>
    </row>
    <row r="2247" spans="1:24" hidden="1" x14ac:dyDescent="0.15">
      <c r="A2247" s="93" t="s">
        <v>7688</v>
      </c>
      <c r="B2247" s="93" t="s">
        <v>7689</v>
      </c>
      <c r="C2247" s="410">
        <v>5760</v>
      </c>
      <c r="D2247" s="93" t="s">
        <v>24</v>
      </c>
      <c r="E2247" s="93" t="s">
        <v>24</v>
      </c>
      <c r="F2247" s="93" t="s">
        <v>7</v>
      </c>
      <c r="G2247" s="93" t="s">
        <v>7183</v>
      </c>
      <c r="H2247" s="93" t="s">
        <v>400</v>
      </c>
      <c r="I2247" s="93" t="s">
        <v>111</v>
      </c>
      <c r="J2247" s="93" t="s">
        <v>7105</v>
      </c>
      <c r="K2247" s="93" t="s">
        <v>111</v>
      </c>
      <c r="L2247" s="93" t="s">
        <v>111</v>
      </c>
      <c r="M2247" s="93" t="s">
        <v>111</v>
      </c>
      <c r="N2247" s="93" t="s">
        <v>111</v>
      </c>
      <c r="O2247" s="93" t="s">
        <v>111</v>
      </c>
      <c r="P2247" s="93" t="s">
        <v>111</v>
      </c>
      <c r="Q2247" s="93" t="s">
        <v>111</v>
      </c>
      <c r="R2247" s="93" t="s">
        <v>111</v>
      </c>
      <c r="S2247" s="93" t="s">
        <v>111</v>
      </c>
      <c r="T2247" s="93" t="s">
        <v>111</v>
      </c>
      <c r="U2247" s="93" t="s">
        <v>116</v>
      </c>
      <c r="V2247" s="94">
        <v>44596.688888888886</v>
      </c>
      <c r="W2247" s="93" t="s">
        <v>402</v>
      </c>
      <c r="X2247" s="93" t="s">
        <v>24</v>
      </c>
    </row>
    <row r="2248" spans="1:24" hidden="1" x14ac:dyDescent="0.15">
      <c r="A2248" s="93" t="s">
        <v>7690</v>
      </c>
      <c r="B2248" s="93" t="s">
        <v>7691</v>
      </c>
      <c r="C2248" s="410">
        <v>6000</v>
      </c>
      <c r="D2248" s="93" t="s">
        <v>24</v>
      </c>
      <c r="E2248" s="93" t="s">
        <v>24</v>
      </c>
      <c r="F2248" s="93" t="s">
        <v>7</v>
      </c>
      <c r="G2248" s="93" t="s">
        <v>7183</v>
      </c>
      <c r="H2248" s="93" t="s">
        <v>400</v>
      </c>
      <c r="I2248" s="93" t="s">
        <v>111</v>
      </c>
      <c r="J2248" s="93" t="s">
        <v>7105</v>
      </c>
      <c r="K2248" s="93" t="s">
        <v>111</v>
      </c>
      <c r="L2248" s="93" t="s">
        <v>111</v>
      </c>
      <c r="M2248" s="93" t="s">
        <v>111</v>
      </c>
      <c r="N2248" s="93" t="s">
        <v>111</v>
      </c>
      <c r="O2248" s="93" t="s">
        <v>111</v>
      </c>
      <c r="P2248" s="93" t="s">
        <v>111</v>
      </c>
      <c r="Q2248" s="93" t="s">
        <v>111</v>
      </c>
      <c r="R2248" s="93" t="s">
        <v>111</v>
      </c>
      <c r="S2248" s="93" t="s">
        <v>111</v>
      </c>
      <c r="T2248" s="93" t="s">
        <v>111</v>
      </c>
      <c r="U2248" s="93" t="s">
        <v>116</v>
      </c>
      <c r="V2248" s="94">
        <v>44596.654166666667</v>
      </c>
      <c r="W2248" s="93" t="s">
        <v>402</v>
      </c>
      <c r="X2248" s="93" t="s">
        <v>24</v>
      </c>
    </row>
    <row r="2249" spans="1:24" hidden="1" x14ac:dyDescent="0.15">
      <c r="A2249" s="93" t="s">
        <v>7692</v>
      </c>
      <c r="B2249" s="93" t="s">
        <v>7693</v>
      </c>
      <c r="C2249" s="410">
        <v>15300</v>
      </c>
      <c r="D2249" s="93" t="s">
        <v>24</v>
      </c>
      <c r="E2249" s="93" t="s">
        <v>24</v>
      </c>
      <c r="F2249" s="93" t="s">
        <v>7</v>
      </c>
      <c r="G2249" s="93" t="s">
        <v>7183</v>
      </c>
      <c r="H2249" s="93" t="s">
        <v>400</v>
      </c>
      <c r="I2249" s="93" t="s">
        <v>111</v>
      </c>
      <c r="J2249" s="93" t="s">
        <v>7105</v>
      </c>
      <c r="K2249" s="93" t="s">
        <v>111</v>
      </c>
      <c r="L2249" s="93" t="s">
        <v>111</v>
      </c>
      <c r="M2249" s="93" t="s">
        <v>111</v>
      </c>
      <c r="N2249" s="93" t="s">
        <v>111</v>
      </c>
      <c r="O2249" s="93" t="s">
        <v>111</v>
      </c>
      <c r="P2249" s="93" t="s">
        <v>111</v>
      </c>
      <c r="Q2249" s="93" t="s">
        <v>111</v>
      </c>
      <c r="R2249" s="93" t="s">
        <v>111</v>
      </c>
      <c r="S2249" s="93" t="s">
        <v>2</v>
      </c>
      <c r="T2249" s="93" t="s">
        <v>111</v>
      </c>
      <c r="U2249" s="93" t="s">
        <v>116</v>
      </c>
      <c r="V2249" s="94">
        <v>44596.65347222222</v>
      </c>
      <c r="W2249" s="93" t="s">
        <v>402</v>
      </c>
      <c r="X2249" s="93" t="s">
        <v>24</v>
      </c>
    </row>
    <row r="2250" spans="1:24" hidden="1" x14ac:dyDescent="0.15">
      <c r="A2250" s="93" t="s">
        <v>7694</v>
      </c>
      <c r="B2250" s="93" t="s">
        <v>7695</v>
      </c>
      <c r="C2250" s="410">
        <v>24000</v>
      </c>
      <c r="D2250" s="93" t="s">
        <v>24</v>
      </c>
      <c r="E2250" s="93" t="s">
        <v>24</v>
      </c>
      <c r="F2250" s="93" t="s">
        <v>7</v>
      </c>
      <c r="G2250" s="93" t="s">
        <v>7183</v>
      </c>
      <c r="H2250" s="93" t="s">
        <v>400</v>
      </c>
      <c r="I2250" s="93" t="s">
        <v>111</v>
      </c>
      <c r="J2250" s="93" t="s">
        <v>7105</v>
      </c>
      <c r="K2250" s="93" t="s">
        <v>111</v>
      </c>
      <c r="L2250" s="93" t="s">
        <v>111</v>
      </c>
      <c r="M2250" s="93" t="s">
        <v>111</v>
      </c>
      <c r="N2250" s="93" t="s">
        <v>111</v>
      </c>
      <c r="O2250" s="93" t="s">
        <v>111</v>
      </c>
      <c r="P2250" s="93" t="s">
        <v>111</v>
      </c>
      <c r="Q2250" s="93" t="s">
        <v>111</v>
      </c>
      <c r="R2250" s="93" t="s">
        <v>111</v>
      </c>
      <c r="S2250" s="93" t="s">
        <v>111</v>
      </c>
      <c r="T2250" s="93" t="s">
        <v>111</v>
      </c>
      <c r="U2250" s="93" t="s">
        <v>116</v>
      </c>
      <c r="V2250" s="94">
        <v>44596.68472222222</v>
      </c>
      <c r="W2250" s="93" t="s">
        <v>402</v>
      </c>
      <c r="X2250" s="93" t="s">
        <v>24</v>
      </c>
    </row>
    <row r="2251" spans="1:24" hidden="1" x14ac:dyDescent="0.15">
      <c r="A2251" s="93" t="s">
        <v>7696</v>
      </c>
      <c r="B2251" s="93" t="s">
        <v>7697</v>
      </c>
      <c r="C2251" s="410">
        <v>336</v>
      </c>
      <c r="D2251" s="93" t="s">
        <v>24</v>
      </c>
      <c r="E2251" s="93" t="s">
        <v>24</v>
      </c>
      <c r="F2251" s="93" t="s">
        <v>7</v>
      </c>
      <c r="G2251" s="93" t="s">
        <v>7183</v>
      </c>
      <c r="H2251" s="93" t="s">
        <v>400</v>
      </c>
      <c r="I2251" s="93" t="s">
        <v>111</v>
      </c>
      <c r="J2251" s="93" t="s">
        <v>7105</v>
      </c>
      <c r="K2251" s="93" t="s">
        <v>111</v>
      </c>
      <c r="L2251" s="93" t="s">
        <v>111</v>
      </c>
      <c r="M2251" s="93" t="s">
        <v>111</v>
      </c>
      <c r="N2251" s="93" t="s">
        <v>111</v>
      </c>
      <c r="O2251" s="93" t="s">
        <v>111</v>
      </c>
      <c r="P2251" s="93" t="s">
        <v>111</v>
      </c>
      <c r="Q2251" s="93" t="s">
        <v>111</v>
      </c>
      <c r="R2251" s="93" t="s">
        <v>111</v>
      </c>
      <c r="S2251" s="93" t="s">
        <v>111</v>
      </c>
      <c r="T2251" s="93" t="s">
        <v>111</v>
      </c>
      <c r="U2251" s="93" t="s">
        <v>116</v>
      </c>
      <c r="V2251" s="94">
        <v>44596.644444444442</v>
      </c>
      <c r="W2251" s="93" t="s">
        <v>402</v>
      </c>
      <c r="X2251" s="93" t="s">
        <v>24</v>
      </c>
    </row>
    <row r="2252" spans="1:24" hidden="1" x14ac:dyDescent="0.15">
      <c r="A2252" s="93" t="s">
        <v>7698</v>
      </c>
      <c r="B2252" s="93" t="s">
        <v>7699</v>
      </c>
      <c r="C2252" s="410">
        <v>857</v>
      </c>
      <c r="D2252" s="93" t="s">
        <v>24</v>
      </c>
      <c r="E2252" s="93" t="s">
        <v>24</v>
      </c>
      <c r="F2252" s="93" t="s">
        <v>7</v>
      </c>
      <c r="G2252" s="93" t="s">
        <v>7183</v>
      </c>
      <c r="H2252" s="93" t="s">
        <v>400</v>
      </c>
      <c r="I2252" s="93" t="s">
        <v>111</v>
      </c>
      <c r="J2252" s="93" t="s">
        <v>7105</v>
      </c>
      <c r="K2252" s="93" t="s">
        <v>111</v>
      </c>
      <c r="L2252" s="93" t="s">
        <v>111</v>
      </c>
      <c r="M2252" s="93" t="s">
        <v>111</v>
      </c>
      <c r="N2252" s="93" t="s">
        <v>111</v>
      </c>
      <c r="O2252" s="93" t="s">
        <v>111</v>
      </c>
      <c r="P2252" s="93" t="s">
        <v>111</v>
      </c>
      <c r="Q2252" s="93" t="s">
        <v>111</v>
      </c>
      <c r="R2252" s="93" t="s">
        <v>111</v>
      </c>
      <c r="S2252" s="93" t="s">
        <v>2</v>
      </c>
      <c r="T2252" s="93" t="s">
        <v>111</v>
      </c>
      <c r="U2252" s="93" t="s">
        <v>116</v>
      </c>
      <c r="V2252" s="94">
        <v>44596.686805555553</v>
      </c>
      <c r="W2252" s="93" t="s">
        <v>402</v>
      </c>
      <c r="X2252" s="93" t="s">
        <v>24</v>
      </c>
    </row>
    <row r="2253" spans="1:24" hidden="1" x14ac:dyDescent="0.15">
      <c r="A2253" s="93" t="s">
        <v>7700</v>
      </c>
      <c r="B2253" s="93" t="s">
        <v>7701</v>
      </c>
      <c r="C2253" s="410">
        <v>1344</v>
      </c>
      <c r="D2253" s="93" t="s">
        <v>24</v>
      </c>
      <c r="E2253" s="93" t="s">
        <v>24</v>
      </c>
      <c r="F2253" s="93" t="s">
        <v>7</v>
      </c>
      <c r="G2253" s="93" t="s">
        <v>7183</v>
      </c>
      <c r="H2253" s="93" t="s">
        <v>400</v>
      </c>
      <c r="I2253" s="93" t="s">
        <v>111</v>
      </c>
      <c r="J2253" s="93" t="s">
        <v>7105</v>
      </c>
      <c r="K2253" s="93" t="s">
        <v>111</v>
      </c>
      <c r="L2253" s="93" t="s">
        <v>111</v>
      </c>
      <c r="M2253" s="93" t="s">
        <v>111</v>
      </c>
      <c r="N2253" s="93" t="s">
        <v>111</v>
      </c>
      <c r="O2253" s="93" t="s">
        <v>111</v>
      </c>
      <c r="P2253" s="93" t="s">
        <v>111</v>
      </c>
      <c r="Q2253" s="93" t="s">
        <v>111</v>
      </c>
      <c r="R2253" s="93" t="s">
        <v>111</v>
      </c>
      <c r="S2253" s="93" t="s">
        <v>111</v>
      </c>
      <c r="T2253" s="93" t="s">
        <v>111</v>
      </c>
      <c r="U2253" s="93" t="s">
        <v>116</v>
      </c>
      <c r="V2253" s="94">
        <v>44596.648611111108</v>
      </c>
      <c r="W2253" s="93" t="s">
        <v>402</v>
      </c>
      <c r="X2253" s="93" t="s">
        <v>24</v>
      </c>
    </row>
    <row r="2254" spans="1:24" hidden="1" x14ac:dyDescent="0.15">
      <c r="A2254" s="93" t="s">
        <v>7702</v>
      </c>
      <c r="B2254" s="93" t="s">
        <v>7703</v>
      </c>
      <c r="C2254" s="410">
        <v>1680</v>
      </c>
      <c r="D2254" s="93" t="s">
        <v>24</v>
      </c>
      <c r="E2254" s="93" t="s">
        <v>24</v>
      </c>
      <c r="F2254" s="93" t="s">
        <v>7</v>
      </c>
      <c r="G2254" s="93" t="s">
        <v>7183</v>
      </c>
      <c r="H2254" s="93" t="s">
        <v>400</v>
      </c>
      <c r="I2254" s="93" t="s">
        <v>111</v>
      </c>
      <c r="J2254" s="93" t="s">
        <v>7105</v>
      </c>
      <c r="K2254" s="93" t="s">
        <v>111</v>
      </c>
      <c r="L2254" s="93" t="s">
        <v>111</v>
      </c>
      <c r="M2254" s="93" t="s">
        <v>111</v>
      </c>
      <c r="N2254" s="93" t="s">
        <v>111</v>
      </c>
      <c r="O2254" s="93" t="s">
        <v>111</v>
      </c>
      <c r="P2254" s="93" t="s">
        <v>111</v>
      </c>
      <c r="Q2254" s="93" t="s">
        <v>111</v>
      </c>
      <c r="R2254" s="93" t="s">
        <v>111</v>
      </c>
      <c r="S2254" s="93" t="s">
        <v>111</v>
      </c>
      <c r="T2254" s="93" t="s">
        <v>111</v>
      </c>
      <c r="U2254" s="93" t="s">
        <v>116</v>
      </c>
      <c r="V2254" s="94">
        <v>44596.666666666664</v>
      </c>
      <c r="W2254" s="93" t="s">
        <v>402</v>
      </c>
      <c r="X2254" s="93" t="s">
        <v>24</v>
      </c>
    </row>
    <row r="2255" spans="1:24" hidden="1" x14ac:dyDescent="0.15">
      <c r="A2255" s="93" t="s">
        <v>7704</v>
      </c>
      <c r="B2255" s="93" t="s">
        <v>7705</v>
      </c>
      <c r="C2255" s="410">
        <v>4284</v>
      </c>
      <c r="D2255" s="93" t="s">
        <v>24</v>
      </c>
      <c r="E2255" s="93" t="s">
        <v>24</v>
      </c>
      <c r="F2255" s="93" t="s">
        <v>7</v>
      </c>
      <c r="G2255" s="93" t="s">
        <v>7183</v>
      </c>
      <c r="H2255" s="93" t="s">
        <v>400</v>
      </c>
      <c r="I2255" s="93" t="s">
        <v>111</v>
      </c>
      <c r="J2255" s="93" t="s">
        <v>7105</v>
      </c>
      <c r="K2255" s="93" t="s">
        <v>111</v>
      </c>
      <c r="L2255" s="93" t="s">
        <v>111</v>
      </c>
      <c r="M2255" s="93" t="s">
        <v>111</v>
      </c>
      <c r="N2255" s="93" t="s">
        <v>111</v>
      </c>
      <c r="O2255" s="93" t="s">
        <v>111</v>
      </c>
      <c r="P2255" s="93" t="s">
        <v>111</v>
      </c>
      <c r="Q2255" s="93" t="s">
        <v>111</v>
      </c>
      <c r="R2255" s="93" t="s">
        <v>111</v>
      </c>
      <c r="S2255" s="93" t="s">
        <v>111</v>
      </c>
      <c r="T2255" s="93" t="s">
        <v>111</v>
      </c>
      <c r="U2255" s="93" t="s">
        <v>116</v>
      </c>
      <c r="V2255" s="94">
        <v>44596.696527777778</v>
      </c>
      <c r="W2255" s="93" t="s">
        <v>402</v>
      </c>
      <c r="X2255" s="93" t="s">
        <v>24</v>
      </c>
    </row>
    <row r="2256" spans="1:24" hidden="1" x14ac:dyDescent="0.15">
      <c r="A2256" s="93" t="s">
        <v>7706</v>
      </c>
      <c r="B2256" s="93" t="s">
        <v>7707</v>
      </c>
      <c r="C2256" s="410">
        <v>6720</v>
      </c>
      <c r="D2256" s="93" t="s">
        <v>24</v>
      </c>
      <c r="E2256" s="93" t="s">
        <v>24</v>
      </c>
      <c r="F2256" s="93" t="s">
        <v>7</v>
      </c>
      <c r="G2256" s="93" t="s">
        <v>7183</v>
      </c>
      <c r="H2256" s="93" t="s">
        <v>400</v>
      </c>
      <c r="I2256" s="93" t="s">
        <v>111</v>
      </c>
      <c r="J2256" s="93" t="s">
        <v>7105</v>
      </c>
      <c r="K2256" s="93" t="s">
        <v>111</v>
      </c>
      <c r="L2256" s="93" t="s">
        <v>111</v>
      </c>
      <c r="M2256" s="93" t="s">
        <v>111</v>
      </c>
      <c r="N2256" s="93" t="s">
        <v>111</v>
      </c>
      <c r="O2256" s="93" t="s">
        <v>111</v>
      </c>
      <c r="P2256" s="93" t="s">
        <v>111</v>
      </c>
      <c r="Q2256" s="93" t="s">
        <v>111</v>
      </c>
      <c r="R2256" s="93" t="s">
        <v>111</v>
      </c>
      <c r="S2256" s="93" t="s">
        <v>111</v>
      </c>
      <c r="T2256" s="93" t="s">
        <v>111</v>
      </c>
      <c r="U2256" s="93" t="s">
        <v>116</v>
      </c>
      <c r="V2256" s="94">
        <v>44596.648611111108</v>
      </c>
      <c r="W2256" s="93" t="s">
        <v>402</v>
      </c>
      <c r="X2256" s="93" t="s">
        <v>24</v>
      </c>
    </row>
    <row r="2257" spans="1:24" hidden="1" x14ac:dyDescent="0.15">
      <c r="A2257" s="93" t="s">
        <v>7708</v>
      </c>
      <c r="B2257" s="93" t="s">
        <v>7709</v>
      </c>
      <c r="C2257" s="410">
        <v>372</v>
      </c>
      <c r="D2257" s="93" t="s">
        <v>24</v>
      </c>
      <c r="E2257" s="93" t="s">
        <v>24</v>
      </c>
      <c r="F2257" s="93" t="s">
        <v>7</v>
      </c>
      <c r="G2257" s="93" t="s">
        <v>7183</v>
      </c>
      <c r="H2257" s="93" t="s">
        <v>400</v>
      </c>
      <c r="I2257" s="93" t="s">
        <v>111</v>
      </c>
      <c r="J2257" s="93" t="s">
        <v>7105</v>
      </c>
      <c r="K2257" s="93" t="s">
        <v>111</v>
      </c>
      <c r="L2257" s="93" t="s">
        <v>111</v>
      </c>
      <c r="M2257" s="93" t="s">
        <v>111</v>
      </c>
      <c r="N2257" s="93" t="s">
        <v>111</v>
      </c>
      <c r="O2257" s="93" t="s">
        <v>111</v>
      </c>
      <c r="P2257" s="93" t="s">
        <v>111</v>
      </c>
      <c r="Q2257" s="93" t="s">
        <v>111</v>
      </c>
      <c r="R2257" s="93" t="s">
        <v>111</v>
      </c>
      <c r="S2257" s="93" t="s">
        <v>111</v>
      </c>
      <c r="T2257" s="93" t="s">
        <v>111</v>
      </c>
      <c r="U2257" s="93" t="s">
        <v>116</v>
      </c>
      <c r="V2257" s="94">
        <v>44596.644444444442</v>
      </c>
      <c r="W2257" s="93" t="s">
        <v>402</v>
      </c>
      <c r="X2257" s="93" t="s">
        <v>24</v>
      </c>
    </row>
    <row r="2258" spans="1:24" hidden="1" x14ac:dyDescent="0.15">
      <c r="A2258" s="93" t="s">
        <v>7710</v>
      </c>
      <c r="B2258" s="93" t="s">
        <v>7711</v>
      </c>
      <c r="C2258" s="410">
        <v>949</v>
      </c>
      <c r="D2258" s="93" t="s">
        <v>24</v>
      </c>
      <c r="E2258" s="93" t="s">
        <v>24</v>
      </c>
      <c r="F2258" s="93" t="s">
        <v>7</v>
      </c>
      <c r="G2258" s="93" t="s">
        <v>7183</v>
      </c>
      <c r="H2258" s="93" t="s">
        <v>400</v>
      </c>
      <c r="I2258" s="93" t="s">
        <v>111</v>
      </c>
      <c r="J2258" s="93" t="s">
        <v>7105</v>
      </c>
      <c r="K2258" s="93" t="s">
        <v>111</v>
      </c>
      <c r="L2258" s="93" t="s">
        <v>111</v>
      </c>
      <c r="M2258" s="93" t="s">
        <v>111</v>
      </c>
      <c r="N2258" s="93" t="s">
        <v>111</v>
      </c>
      <c r="O2258" s="93" t="s">
        <v>111</v>
      </c>
      <c r="P2258" s="93" t="s">
        <v>111</v>
      </c>
      <c r="Q2258" s="93" t="s">
        <v>111</v>
      </c>
      <c r="R2258" s="93" t="s">
        <v>111</v>
      </c>
      <c r="S2258" s="93" t="s">
        <v>111</v>
      </c>
      <c r="T2258" s="93" t="s">
        <v>111</v>
      </c>
      <c r="U2258" s="93" t="s">
        <v>116</v>
      </c>
      <c r="V2258" s="94">
        <v>44596.648611111108</v>
      </c>
      <c r="W2258" s="93" t="s">
        <v>402</v>
      </c>
      <c r="X2258" s="93" t="s">
        <v>24</v>
      </c>
    </row>
    <row r="2259" spans="1:24" hidden="1" x14ac:dyDescent="0.15">
      <c r="A2259" s="93" t="s">
        <v>7712</v>
      </c>
      <c r="B2259" s="93" t="s">
        <v>7713</v>
      </c>
      <c r="C2259" s="410">
        <v>1488</v>
      </c>
      <c r="D2259" s="93" t="s">
        <v>24</v>
      </c>
      <c r="E2259" s="93" t="s">
        <v>24</v>
      </c>
      <c r="F2259" s="93" t="s">
        <v>7</v>
      </c>
      <c r="G2259" s="93" t="s">
        <v>7183</v>
      </c>
      <c r="H2259" s="93" t="s">
        <v>400</v>
      </c>
      <c r="I2259" s="93" t="s">
        <v>111</v>
      </c>
      <c r="J2259" s="93" t="s">
        <v>7105</v>
      </c>
      <c r="K2259" s="93" t="s">
        <v>111</v>
      </c>
      <c r="L2259" s="93" t="s">
        <v>111</v>
      </c>
      <c r="M2259" s="93" t="s">
        <v>111</v>
      </c>
      <c r="N2259" s="93" t="s">
        <v>111</v>
      </c>
      <c r="O2259" s="93" t="s">
        <v>111</v>
      </c>
      <c r="P2259" s="93" t="s">
        <v>111</v>
      </c>
      <c r="Q2259" s="93" t="s">
        <v>111</v>
      </c>
      <c r="R2259" s="93" t="s">
        <v>111</v>
      </c>
      <c r="S2259" s="93" t="s">
        <v>111</v>
      </c>
      <c r="T2259" s="93" t="s">
        <v>111</v>
      </c>
      <c r="U2259" s="93" t="s">
        <v>116</v>
      </c>
      <c r="V2259" s="94">
        <v>44596.688888888886</v>
      </c>
      <c r="W2259" s="93" t="s">
        <v>402</v>
      </c>
      <c r="X2259" s="93" t="s">
        <v>24</v>
      </c>
    </row>
    <row r="2260" spans="1:24" hidden="1" x14ac:dyDescent="0.15">
      <c r="A2260" s="93" t="s">
        <v>7714</v>
      </c>
      <c r="B2260" s="93" t="s">
        <v>7715</v>
      </c>
      <c r="C2260" s="410">
        <v>1862</v>
      </c>
      <c r="D2260" s="93" t="s">
        <v>24</v>
      </c>
      <c r="E2260" s="93" t="s">
        <v>24</v>
      </c>
      <c r="F2260" s="93" t="s">
        <v>7</v>
      </c>
      <c r="G2260" s="93" t="s">
        <v>7183</v>
      </c>
      <c r="H2260" s="93" t="s">
        <v>400</v>
      </c>
      <c r="I2260" s="93" t="s">
        <v>111</v>
      </c>
      <c r="J2260" s="93" t="s">
        <v>7105</v>
      </c>
      <c r="K2260" s="93" t="s">
        <v>111</v>
      </c>
      <c r="L2260" s="93" t="s">
        <v>111</v>
      </c>
      <c r="M2260" s="93" t="s">
        <v>111</v>
      </c>
      <c r="N2260" s="93" t="s">
        <v>111</v>
      </c>
      <c r="O2260" s="93" t="s">
        <v>111</v>
      </c>
      <c r="P2260" s="93" t="s">
        <v>111</v>
      </c>
      <c r="Q2260" s="93" t="s">
        <v>111</v>
      </c>
      <c r="R2260" s="93" t="s">
        <v>111</v>
      </c>
      <c r="S2260" s="93" t="s">
        <v>2</v>
      </c>
      <c r="T2260" s="93" t="s">
        <v>111</v>
      </c>
      <c r="U2260" s="93" t="s">
        <v>116</v>
      </c>
      <c r="V2260" s="94">
        <v>44596.63958333333</v>
      </c>
      <c r="W2260" s="93" t="s">
        <v>402</v>
      </c>
      <c r="X2260" s="93" t="s">
        <v>24</v>
      </c>
    </row>
    <row r="2261" spans="1:24" hidden="1" x14ac:dyDescent="0.15">
      <c r="A2261" s="93" t="s">
        <v>7716</v>
      </c>
      <c r="B2261" s="93" t="s">
        <v>7717</v>
      </c>
      <c r="C2261" s="410">
        <v>4749</v>
      </c>
      <c r="D2261" s="93" t="s">
        <v>24</v>
      </c>
      <c r="E2261" s="93" t="s">
        <v>24</v>
      </c>
      <c r="F2261" s="93" t="s">
        <v>7</v>
      </c>
      <c r="G2261" s="93" t="s">
        <v>7183</v>
      </c>
      <c r="H2261" s="93" t="s">
        <v>400</v>
      </c>
      <c r="I2261" s="93" t="s">
        <v>111</v>
      </c>
      <c r="J2261" s="93" t="s">
        <v>7105</v>
      </c>
      <c r="K2261" s="93" t="s">
        <v>111</v>
      </c>
      <c r="L2261" s="93" t="s">
        <v>111</v>
      </c>
      <c r="M2261" s="93" t="s">
        <v>111</v>
      </c>
      <c r="N2261" s="93" t="s">
        <v>111</v>
      </c>
      <c r="O2261" s="93" t="s">
        <v>111</v>
      </c>
      <c r="P2261" s="93" t="s">
        <v>111</v>
      </c>
      <c r="Q2261" s="93" t="s">
        <v>111</v>
      </c>
      <c r="R2261" s="93" t="s">
        <v>111</v>
      </c>
      <c r="S2261" s="93" t="s">
        <v>2</v>
      </c>
      <c r="T2261" s="93" t="s">
        <v>111</v>
      </c>
      <c r="U2261" s="93" t="s">
        <v>116</v>
      </c>
      <c r="V2261" s="94">
        <v>44596.63958333333</v>
      </c>
      <c r="W2261" s="93" t="s">
        <v>402</v>
      </c>
      <c r="X2261" s="93" t="s">
        <v>24</v>
      </c>
    </row>
    <row r="2262" spans="1:24" hidden="1" x14ac:dyDescent="0.15">
      <c r="A2262" s="93" t="s">
        <v>7718</v>
      </c>
      <c r="B2262" s="93" t="s">
        <v>7719</v>
      </c>
      <c r="C2262" s="410">
        <v>7448</v>
      </c>
      <c r="D2262" s="93" t="s">
        <v>24</v>
      </c>
      <c r="E2262" s="93" t="s">
        <v>24</v>
      </c>
      <c r="F2262" s="93" t="s">
        <v>7</v>
      </c>
      <c r="G2262" s="93" t="s">
        <v>7183</v>
      </c>
      <c r="H2262" s="93" t="s">
        <v>400</v>
      </c>
      <c r="I2262" s="93" t="s">
        <v>111</v>
      </c>
      <c r="J2262" s="93" t="s">
        <v>7105</v>
      </c>
      <c r="K2262" s="93" t="s">
        <v>111</v>
      </c>
      <c r="L2262" s="93" t="s">
        <v>111</v>
      </c>
      <c r="M2262" s="93" t="s">
        <v>111</v>
      </c>
      <c r="N2262" s="93" t="s">
        <v>111</v>
      </c>
      <c r="O2262" s="93" t="s">
        <v>111</v>
      </c>
      <c r="P2262" s="93" t="s">
        <v>111</v>
      </c>
      <c r="Q2262" s="93" t="s">
        <v>111</v>
      </c>
      <c r="R2262" s="93" t="s">
        <v>111</v>
      </c>
      <c r="S2262" s="93" t="s">
        <v>111</v>
      </c>
      <c r="T2262" s="93" t="s">
        <v>111</v>
      </c>
      <c r="U2262" s="93" t="s">
        <v>116</v>
      </c>
      <c r="V2262" s="94">
        <v>44596.661805555559</v>
      </c>
      <c r="W2262" s="93" t="s">
        <v>402</v>
      </c>
      <c r="X2262" s="93" t="s">
        <v>24</v>
      </c>
    </row>
    <row r="2263" spans="1:24" hidden="1" x14ac:dyDescent="0.15">
      <c r="A2263" s="93" t="s">
        <v>7720</v>
      </c>
      <c r="B2263" s="93" t="s">
        <v>7721</v>
      </c>
      <c r="C2263" s="410">
        <v>408</v>
      </c>
      <c r="D2263" s="93" t="s">
        <v>24</v>
      </c>
      <c r="E2263" s="93" t="s">
        <v>24</v>
      </c>
      <c r="F2263" s="93" t="s">
        <v>7</v>
      </c>
      <c r="G2263" s="93" t="s">
        <v>7183</v>
      </c>
      <c r="H2263" s="93" t="s">
        <v>400</v>
      </c>
      <c r="I2263" s="93" t="s">
        <v>111</v>
      </c>
      <c r="J2263" s="93" t="s">
        <v>7105</v>
      </c>
      <c r="K2263" s="93" t="s">
        <v>111</v>
      </c>
      <c r="L2263" s="93" t="s">
        <v>111</v>
      </c>
      <c r="M2263" s="93" t="s">
        <v>111</v>
      </c>
      <c r="N2263" s="93" t="s">
        <v>111</v>
      </c>
      <c r="O2263" s="93" t="s">
        <v>111</v>
      </c>
      <c r="P2263" s="93" t="s">
        <v>111</v>
      </c>
      <c r="Q2263" s="93" t="s">
        <v>111</v>
      </c>
      <c r="R2263" s="93" t="s">
        <v>111</v>
      </c>
      <c r="S2263" s="93" t="s">
        <v>111</v>
      </c>
      <c r="T2263" s="93" t="s">
        <v>111</v>
      </c>
      <c r="U2263" s="93" t="s">
        <v>116</v>
      </c>
      <c r="V2263" s="94">
        <v>44596.666666666664</v>
      </c>
      <c r="W2263" s="93" t="s">
        <v>402</v>
      </c>
      <c r="X2263" s="93" t="s">
        <v>24</v>
      </c>
    </row>
    <row r="2264" spans="1:24" hidden="1" x14ac:dyDescent="0.15">
      <c r="A2264" s="93" t="s">
        <v>7722</v>
      </c>
      <c r="B2264" s="93" t="s">
        <v>7723</v>
      </c>
      <c r="C2264" s="410">
        <v>1041</v>
      </c>
      <c r="D2264" s="93" t="s">
        <v>24</v>
      </c>
      <c r="E2264" s="93" t="s">
        <v>24</v>
      </c>
      <c r="F2264" s="93" t="s">
        <v>7</v>
      </c>
      <c r="G2264" s="93" t="s">
        <v>7183</v>
      </c>
      <c r="H2264" s="93" t="s">
        <v>400</v>
      </c>
      <c r="I2264" s="93" t="s">
        <v>111</v>
      </c>
      <c r="J2264" s="93" t="s">
        <v>7105</v>
      </c>
      <c r="K2264" s="93" t="s">
        <v>111</v>
      </c>
      <c r="L2264" s="93" t="s">
        <v>111</v>
      </c>
      <c r="M2264" s="93" t="s">
        <v>111</v>
      </c>
      <c r="N2264" s="93" t="s">
        <v>111</v>
      </c>
      <c r="O2264" s="93" t="s">
        <v>111</v>
      </c>
      <c r="P2264" s="93" t="s">
        <v>111</v>
      </c>
      <c r="Q2264" s="93" t="s">
        <v>111</v>
      </c>
      <c r="R2264" s="93" t="s">
        <v>111</v>
      </c>
      <c r="S2264" s="93" t="s">
        <v>111</v>
      </c>
      <c r="T2264" s="93" t="s">
        <v>111</v>
      </c>
      <c r="U2264" s="93" t="s">
        <v>116</v>
      </c>
      <c r="V2264" s="94">
        <v>44596.693055555559</v>
      </c>
      <c r="W2264" s="93" t="s">
        <v>402</v>
      </c>
      <c r="X2264" s="93" t="s">
        <v>24</v>
      </c>
    </row>
    <row r="2265" spans="1:24" hidden="1" x14ac:dyDescent="0.15">
      <c r="A2265" s="93" t="s">
        <v>7724</v>
      </c>
      <c r="B2265" s="93" t="s">
        <v>7725</v>
      </c>
      <c r="C2265" s="410">
        <v>1632</v>
      </c>
      <c r="D2265" s="93" t="s">
        <v>24</v>
      </c>
      <c r="E2265" s="93" t="s">
        <v>24</v>
      </c>
      <c r="F2265" s="93" t="s">
        <v>7</v>
      </c>
      <c r="G2265" s="93" t="s">
        <v>7183</v>
      </c>
      <c r="H2265" s="93" t="s">
        <v>400</v>
      </c>
      <c r="I2265" s="93" t="s">
        <v>111</v>
      </c>
      <c r="J2265" s="93" t="s">
        <v>7105</v>
      </c>
      <c r="K2265" s="93" t="s">
        <v>111</v>
      </c>
      <c r="L2265" s="93" t="s">
        <v>111</v>
      </c>
      <c r="M2265" s="93" t="s">
        <v>111</v>
      </c>
      <c r="N2265" s="93" t="s">
        <v>111</v>
      </c>
      <c r="O2265" s="93" t="s">
        <v>111</v>
      </c>
      <c r="P2265" s="93" t="s">
        <v>111</v>
      </c>
      <c r="Q2265" s="93" t="s">
        <v>111</v>
      </c>
      <c r="R2265" s="93" t="s">
        <v>111</v>
      </c>
      <c r="S2265" s="93" t="s">
        <v>111</v>
      </c>
      <c r="T2265" s="93" t="s">
        <v>111</v>
      </c>
      <c r="U2265" s="93" t="s">
        <v>116</v>
      </c>
      <c r="V2265" s="94">
        <v>44596.661805555559</v>
      </c>
      <c r="W2265" s="93" t="s">
        <v>402</v>
      </c>
      <c r="X2265" s="93" t="s">
        <v>24</v>
      </c>
    </row>
    <row r="2266" spans="1:24" hidden="1" x14ac:dyDescent="0.15">
      <c r="A2266" s="93" t="s">
        <v>7726</v>
      </c>
      <c r="B2266" s="93" t="s">
        <v>7727</v>
      </c>
      <c r="C2266" s="410">
        <v>2040</v>
      </c>
      <c r="D2266" s="93" t="s">
        <v>24</v>
      </c>
      <c r="E2266" s="93" t="s">
        <v>24</v>
      </c>
      <c r="F2266" s="93" t="s">
        <v>7</v>
      </c>
      <c r="G2266" s="93" t="s">
        <v>7183</v>
      </c>
      <c r="H2266" s="93" t="s">
        <v>400</v>
      </c>
      <c r="I2266" s="93" t="s">
        <v>111</v>
      </c>
      <c r="J2266" s="93" t="s">
        <v>7105</v>
      </c>
      <c r="K2266" s="93" t="s">
        <v>111</v>
      </c>
      <c r="L2266" s="93" t="s">
        <v>111</v>
      </c>
      <c r="M2266" s="93" t="s">
        <v>111</v>
      </c>
      <c r="N2266" s="93" t="s">
        <v>111</v>
      </c>
      <c r="O2266" s="93" t="s">
        <v>111</v>
      </c>
      <c r="P2266" s="93" t="s">
        <v>111</v>
      </c>
      <c r="Q2266" s="93" t="s">
        <v>111</v>
      </c>
      <c r="R2266" s="93" t="s">
        <v>111</v>
      </c>
      <c r="S2266" s="93" t="s">
        <v>111</v>
      </c>
      <c r="T2266" s="93" t="s">
        <v>111</v>
      </c>
      <c r="U2266" s="93" t="s">
        <v>116</v>
      </c>
      <c r="V2266" s="94">
        <v>44596.63958333333</v>
      </c>
      <c r="W2266" s="93" t="s">
        <v>402</v>
      </c>
      <c r="X2266" s="93" t="s">
        <v>24</v>
      </c>
    </row>
    <row r="2267" spans="1:24" hidden="1" x14ac:dyDescent="0.15">
      <c r="A2267" s="93" t="s">
        <v>7728</v>
      </c>
      <c r="B2267" s="93" t="s">
        <v>7729</v>
      </c>
      <c r="C2267" s="410">
        <v>5202</v>
      </c>
      <c r="D2267" s="93" t="s">
        <v>24</v>
      </c>
      <c r="E2267" s="93" t="s">
        <v>24</v>
      </c>
      <c r="F2267" s="93" t="s">
        <v>7</v>
      </c>
      <c r="G2267" s="93" t="s">
        <v>7183</v>
      </c>
      <c r="H2267" s="93" t="s">
        <v>400</v>
      </c>
      <c r="I2267" s="93" t="s">
        <v>111</v>
      </c>
      <c r="J2267" s="93" t="s">
        <v>7105</v>
      </c>
      <c r="K2267" s="93" t="s">
        <v>111</v>
      </c>
      <c r="L2267" s="93" t="s">
        <v>111</v>
      </c>
      <c r="M2267" s="93" t="s">
        <v>111</v>
      </c>
      <c r="N2267" s="93" t="s">
        <v>111</v>
      </c>
      <c r="O2267" s="93" t="s">
        <v>111</v>
      </c>
      <c r="P2267" s="93" t="s">
        <v>111</v>
      </c>
      <c r="Q2267" s="93" t="s">
        <v>111</v>
      </c>
      <c r="R2267" s="93" t="s">
        <v>111</v>
      </c>
      <c r="S2267" s="93" t="s">
        <v>111</v>
      </c>
      <c r="T2267" s="93" t="s">
        <v>111</v>
      </c>
      <c r="U2267" s="93" t="s">
        <v>116</v>
      </c>
      <c r="V2267" s="94">
        <v>44596.65347222222</v>
      </c>
      <c r="W2267" s="93" t="s">
        <v>402</v>
      </c>
      <c r="X2267" s="93" t="s">
        <v>24</v>
      </c>
    </row>
    <row r="2268" spans="1:24" hidden="1" x14ac:dyDescent="0.15">
      <c r="A2268" s="93" t="s">
        <v>7730</v>
      </c>
      <c r="B2268" s="93" t="s">
        <v>7731</v>
      </c>
      <c r="C2268" s="410">
        <v>8160</v>
      </c>
      <c r="D2268" s="93" t="s">
        <v>24</v>
      </c>
      <c r="E2268" s="93" t="s">
        <v>24</v>
      </c>
      <c r="F2268" s="93" t="s">
        <v>7</v>
      </c>
      <c r="G2268" s="93" t="s">
        <v>7183</v>
      </c>
      <c r="H2268" s="93" t="s">
        <v>400</v>
      </c>
      <c r="I2268" s="93" t="s">
        <v>111</v>
      </c>
      <c r="J2268" s="93" t="s">
        <v>7105</v>
      </c>
      <c r="K2268" s="93" t="s">
        <v>111</v>
      </c>
      <c r="L2268" s="93" t="s">
        <v>111</v>
      </c>
      <c r="M2268" s="93" t="s">
        <v>111</v>
      </c>
      <c r="N2268" s="93" t="s">
        <v>111</v>
      </c>
      <c r="O2268" s="93" t="s">
        <v>111</v>
      </c>
      <c r="P2268" s="93" t="s">
        <v>111</v>
      </c>
      <c r="Q2268" s="93" t="s">
        <v>111</v>
      </c>
      <c r="R2268" s="93" t="s">
        <v>111</v>
      </c>
      <c r="S2268" s="93" t="s">
        <v>111</v>
      </c>
      <c r="T2268" s="93" t="s">
        <v>111</v>
      </c>
      <c r="U2268" s="93" t="s">
        <v>116</v>
      </c>
      <c r="V2268" s="94">
        <v>44596.648611111108</v>
      </c>
      <c r="W2268" s="93" t="s">
        <v>402</v>
      </c>
      <c r="X2268" s="93" t="s">
        <v>24</v>
      </c>
    </row>
    <row r="2269" spans="1:24" hidden="1" x14ac:dyDescent="0.15">
      <c r="A2269" s="93" t="s">
        <v>7732</v>
      </c>
      <c r="B2269" s="93" t="s">
        <v>7733</v>
      </c>
      <c r="C2269" s="410">
        <v>444</v>
      </c>
      <c r="D2269" s="93" t="s">
        <v>24</v>
      </c>
      <c r="E2269" s="93" t="s">
        <v>24</v>
      </c>
      <c r="F2269" s="93" t="s">
        <v>7</v>
      </c>
      <c r="G2269" s="93" t="s">
        <v>7183</v>
      </c>
      <c r="H2269" s="93" t="s">
        <v>400</v>
      </c>
      <c r="I2269" s="93" t="s">
        <v>111</v>
      </c>
      <c r="J2269" s="93" t="s">
        <v>7105</v>
      </c>
      <c r="K2269" s="93" t="s">
        <v>111</v>
      </c>
      <c r="L2269" s="93" t="s">
        <v>111</v>
      </c>
      <c r="M2269" s="93" t="s">
        <v>111</v>
      </c>
      <c r="N2269" s="93" t="s">
        <v>111</v>
      </c>
      <c r="O2269" s="93" t="s">
        <v>111</v>
      </c>
      <c r="P2269" s="93" t="s">
        <v>111</v>
      </c>
      <c r="Q2269" s="93" t="s">
        <v>111</v>
      </c>
      <c r="R2269" s="93" t="s">
        <v>111</v>
      </c>
      <c r="S2269" s="93" t="s">
        <v>111</v>
      </c>
      <c r="T2269" s="93" t="s">
        <v>111</v>
      </c>
      <c r="U2269" s="93" t="s">
        <v>116</v>
      </c>
      <c r="V2269" s="94">
        <v>44596.693055555559</v>
      </c>
      <c r="W2269" s="93" t="s">
        <v>402</v>
      </c>
      <c r="X2269" s="93" t="s">
        <v>24</v>
      </c>
    </row>
    <row r="2270" spans="1:24" hidden="1" x14ac:dyDescent="0.15">
      <c r="A2270" s="93" t="s">
        <v>7734</v>
      </c>
      <c r="B2270" s="93" t="s">
        <v>7735</v>
      </c>
      <c r="C2270" s="410">
        <v>1133</v>
      </c>
      <c r="D2270" s="93" t="s">
        <v>24</v>
      </c>
      <c r="E2270" s="93" t="s">
        <v>24</v>
      </c>
      <c r="F2270" s="93" t="s">
        <v>7</v>
      </c>
      <c r="G2270" s="93" t="s">
        <v>7183</v>
      </c>
      <c r="H2270" s="93" t="s">
        <v>400</v>
      </c>
      <c r="I2270" s="93" t="s">
        <v>111</v>
      </c>
      <c r="J2270" s="93" t="s">
        <v>7105</v>
      </c>
      <c r="K2270" s="93" t="s">
        <v>111</v>
      </c>
      <c r="L2270" s="93" t="s">
        <v>111</v>
      </c>
      <c r="M2270" s="93" t="s">
        <v>111</v>
      </c>
      <c r="N2270" s="93" t="s">
        <v>111</v>
      </c>
      <c r="O2270" s="93" t="s">
        <v>111</v>
      </c>
      <c r="P2270" s="93" t="s">
        <v>111</v>
      </c>
      <c r="Q2270" s="93" t="s">
        <v>111</v>
      </c>
      <c r="R2270" s="93" t="s">
        <v>111</v>
      </c>
      <c r="S2270" s="93" t="s">
        <v>111</v>
      </c>
      <c r="T2270" s="93" t="s">
        <v>111</v>
      </c>
      <c r="U2270" s="93" t="s">
        <v>116</v>
      </c>
      <c r="V2270" s="94">
        <v>44596.65347222222</v>
      </c>
      <c r="W2270" s="93" t="s">
        <v>402</v>
      </c>
      <c r="X2270" s="93" t="s">
        <v>24</v>
      </c>
    </row>
    <row r="2271" spans="1:24" hidden="1" x14ac:dyDescent="0.15">
      <c r="A2271" s="93" t="s">
        <v>7736</v>
      </c>
      <c r="B2271" s="93" t="s">
        <v>7737</v>
      </c>
      <c r="C2271" s="410">
        <v>1776</v>
      </c>
      <c r="D2271" s="93" t="s">
        <v>24</v>
      </c>
      <c r="E2271" s="93" t="s">
        <v>24</v>
      </c>
      <c r="F2271" s="93" t="s">
        <v>7</v>
      </c>
      <c r="G2271" s="93" t="s">
        <v>7183</v>
      </c>
      <c r="H2271" s="93" t="s">
        <v>400</v>
      </c>
      <c r="I2271" s="93" t="s">
        <v>111</v>
      </c>
      <c r="J2271" s="93" t="s">
        <v>7105</v>
      </c>
      <c r="K2271" s="93" t="s">
        <v>111</v>
      </c>
      <c r="L2271" s="93" t="s">
        <v>111</v>
      </c>
      <c r="M2271" s="93" t="s">
        <v>111</v>
      </c>
      <c r="N2271" s="93" t="s">
        <v>111</v>
      </c>
      <c r="O2271" s="93" t="s">
        <v>111</v>
      </c>
      <c r="P2271" s="93" t="s">
        <v>111</v>
      </c>
      <c r="Q2271" s="93" t="s">
        <v>111</v>
      </c>
      <c r="R2271" s="93" t="s">
        <v>111</v>
      </c>
      <c r="S2271" s="93" t="s">
        <v>2</v>
      </c>
      <c r="T2271" s="93" t="s">
        <v>111</v>
      </c>
      <c r="U2271" s="93" t="s">
        <v>116</v>
      </c>
      <c r="V2271" s="94">
        <v>44596.686805555553</v>
      </c>
      <c r="W2271" s="93" t="s">
        <v>402</v>
      </c>
      <c r="X2271" s="93" t="s">
        <v>24</v>
      </c>
    </row>
    <row r="2272" spans="1:24" hidden="1" x14ac:dyDescent="0.15">
      <c r="A2272" s="93" t="s">
        <v>7738</v>
      </c>
      <c r="B2272" s="93" t="s">
        <v>7739</v>
      </c>
      <c r="C2272" s="410">
        <v>2223</v>
      </c>
      <c r="D2272" s="93" t="s">
        <v>24</v>
      </c>
      <c r="E2272" s="93" t="s">
        <v>24</v>
      </c>
      <c r="F2272" s="93" t="s">
        <v>7</v>
      </c>
      <c r="G2272" s="93" t="s">
        <v>7183</v>
      </c>
      <c r="H2272" s="93" t="s">
        <v>400</v>
      </c>
      <c r="I2272" s="93" t="s">
        <v>111</v>
      </c>
      <c r="J2272" s="93" t="s">
        <v>7105</v>
      </c>
      <c r="K2272" s="93" t="s">
        <v>111</v>
      </c>
      <c r="L2272" s="93" t="s">
        <v>111</v>
      </c>
      <c r="M2272" s="93" t="s">
        <v>111</v>
      </c>
      <c r="N2272" s="93" t="s">
        <v>111</v>
      </c>
      <c r="O2272" s="93" t="s">
        <v>111</v>
      </c>
      <c r="P2272" s="93" t="s">
        <v>111</v>
      </c>
      <c r="Q2272" s="93" t="s">
        <v>111</v>
      </c>
      <c r="R2272" s="93" t="s">
        <v>111</v>
      </c>
      <c r="S2272" s="93" t="s">
        <v>111</v>
      </c>
      <c r="T2272" s="93" t="s">
        <v>111</v>
      </c>
      <c r="U2272" s="93" t="s">
        <v>116</v>
      </c>
      <c r="V2272" s="94">
        <v>44596.645138888889</v>
      </c>
      <c r="W2272" s="93" t="s">
        <v>402</v>
      </c>
      <c r="X2272" s="93" t="s">
        <v>24</v>
      </c>
    </row>
    <row r="2273" spans="1:24" hidden="1" x14ac:dyDescent="0.15">
      <c r="A2273" s="93" t="s">
        <v>7740</v>
      </c>
      <c r="B2273" s="93" t="s">
        <v>7741</v>
      </c>
      <c r="C2273" s="410">
        <v>5669</v>
      </c>
      <c r="D2273" s="93" t="s">
        <v>24</v>
      </c>
      <c r="E2273" s="93" t="s">
        <v>24</v>
      </c>
      <c r="F2273" s="93" t="s">
        <v>7</v>
      </c>
      <c r="G2273" s="93" t="s">
        <v>7183</v>
      </c>
      <c r="H2273" s="93" t="s">
        <v>400</v>
      </c>
      <c r="I2273" s="93" t="s">
        <v>111</v>
      </c>
      <c r="J2273" s="93" t="s">
        <v>7105</v>
      </c>
      <c r="K2273" s="93" t="s">
        <v>111</v>
      </c>
      <c r="L2273" s="93" t="s">
        <v>111</v>
      </c>
      <c r="M2273" s="93" t="s">
        <v>111</v>
      </c>
      <c r="N2273" s="93" t="s">
        <v>111</v>
      </c>
      <c r="O2273" s="93" t="s">
        <v>111</v>
      </c>
      <c r="P2273" s="93" t="s">
        <v>111</v>
      </c>
      <c r="Q2273" s="93" t="s">
        <v>111</v>
      </c>
      <c r="R2273" s="93" t="s">
        <v>111</v>
      </c>
      <c r="S2273" s="93" t="s">
        <v>111</v>
      </c>
      <c r="T2273" s="93" t="s">
        <v>111</v>
      </c>
      <c r="U2273" s="93" t="s">
        <v>116</v>
      </c>
      <c r="V2273" s="94">
        <v>44596.648611111108</v>
      </c>
      <c r="W2273" s="93" t="s">
        <v>402</v>
      </c>
      <c r="X2273" s="93" t="s">
        <v>24</v>
      </c>
    </row>
    <row r="2274" spans="1:24" hidden="1" x14ac:dyDescent="0.15">
      <c r="A2274" s="93" t="s">
        <v>7742</v>
      </c>
      <c r="B2274" s="93" t="s">
        <v>7743</v>
      </c>
      <c r="C2274" s="410">
        <v>8892</v>
      </c>
      <c r="D2274" s="93" t="s">
        <v>24</v>
      </c>
      <c r="E2274" s="93" t="s">
        <v>24</v>
      </c>
      <c r="F2274" s="93" t="s">
        <v>7</v>
      </c>
      <c r="G2274" s="93" t="s">
        <v>7183</v>
      </c>
      <c r="H2274" s="93" t="s">
        <v>400</v>
      </c>
      <c r="I2274" s="93" t="s">
        <v>111</v>
      </c>
      <c r="J2274" s="93" t="s">
        <v>7105</v>
      </c>
      <c r="K2274" s="93" t="s">
        <v>111</v>
      </c>
      <c r="L2274" s="93" t="s">
        <v>111</v>
      </c>
      <c r="M2274" s="93" t="s">
        <v>111</v>
      </c>
      <c r="N2274" s="93" t="s">
        <v>111</v>
      </c>
      <c r="O2274" s="93" t="s">
        <v>111</v>
      </c>
      <c r="P2274" s="93" t="s">
        <v>111</v>
      </c>
      <c r="Q2274" s="93" t="s">
        <v>111</v>
      </c>
      <c r="R2274" s="93" t="s">
        <v>111</v>
      </c>
      <c r="S2274" s="93" t="s">
        <v>111</v>
      </c>
      <c r="T2274" s="93" t="s">
        <v>111</v>
      </c>
      <c r="U2274" s="93" t="s">
        <v>116</v>
      </c>
      <c r="V2274" s="94">
        <v>44596.689583333333</v>
      </c>
      <c r="W2274" s="93" t="s">
        <v>402</v>
      </c>
      <c r="X2274" s="93" t="s">
        <v>24</v>
      </c>
    </row>
    <row r="2275" spans="1:24" hidden="1" x14ac:dyDescent="0.15">
      <c r="A2275" s="93" t="s">
        <v>7744</v>
      </c>
      <c r="B2275" s="93" t="s">
        <v>7745</v>
      </c>
      <c r="C2275" s="410">
        <v>12</v>
      </c>
      <c r="D2275" s="93" t="s">
        <v>24</v>
      </c>
      <c r="E2275" s="93" t="s">
        <v>24</v>
      </c>
      <c r="F2275" s="93" t="s">
        <v>7</v>
      </c>
      <c r="G2275" s="93" t="s">
        <v>7183</v>
      </c>
      <c r="H2275" s="93" t="s">
        <v>400</v>
      </c>
      <c r="I2275" s="93" t="s">
        <v>111</v>
      </c>
      <c r="J2275" s="93" t="s">
        <v>7105</v>
      </c>
      <c r="K2275" s="93" t="s">
        <v>111</v>
      </c>
      <c r="L2275" s="93" t="s">
        <v>111</v>
      </c>
      <c r="M2275" s="93" t="s">
        <v>111</v>
      </c>
      <c r="N2275" s="93" t="s">
        <v>111</v>
      </c>
      <c r="O2275" s="93" t="s">
        <v>111</v>
      </c>
      <c r="P2275" s="93" t="s">
        <v>111</v>
      </c>
      <c r="Q2275" s="93" t="s">
        <v>111</v>
      </c>
      <c r="R2275" s="93" t="s">
        <v>111</v>
      </c>
      <c r="S2275" s="93" t="s">
        <v>2</v>
      </c>
      <c r="T2275" s="93" t="s">
        <v>111</v>
      </c>
      <c r="U2275" s="93" t="s">
        <v>116</v>
      </c>
      <c r="V2275" s="94">
        <v>44596.665972222225</v>
      </c>
      <c r="W2275" s="93" t="s">
        <v>402</v>
      </c>
      <c r="X2275" s="93" t="s">
        <v>24</v>
      </c>
    </row>
    <row r="2276" spans="1:24" hidden="1" x14ac:dyDescent="0.15">
      <c r="A2276" s="93" t="s">
        <v>7746</v>
      </c>
      <c r="B2276" s="93" t="s">
        <v>7747</v>
      </c>
      <c r="C2276" s="410">
        <v>31</v>
      </c>
      <c r="D2276" s="93" t="s">
        <v>24</v>
      </c>
      <c r="E2276" s="93" t="s">
        <v>24</v>
      </c>
      <c r="F2276" s="93" t="s">
        <v>7</v>
      </c>
      <c r="G2276" s="93" t="s">
        <v>7183</v>
      </c>
      <c r="H2276" s="93" t="s">
        <v>400</v>
      </c>
      <c r="I2276" s="93" t="s">
        <v>111</v>
      </c>
      <c r="J2276" s="93" t="s">
        <v>7105</v>
      </c>
      <c r="K2276" s="93" t="s">
        <v>111</v>
      </c>
      <c r="L2276" s="93" t="s">
        <v>111</v>
      </c>
      <c r="M2276" s="93" t="s">
        <v>111</v>
      </c>
      <c r="N2276" s="93" t="s">
        <v>111</v>
      </c>
      <c r="O2276" s="93" t="s">
        <v>111</v>
      </c>
      <c r="P2276" s="93" t="s">
        <v>111</v>
      </c>
      <c r="Q2276" s="93" t="s">
        <v>111</v>
      </c>
      <c r="R2276" s="93" t="s">
        <v>111</v>
      </c>
      <c r="S2276" s="93" t="s">
        <v>111</v>
      </c>
      <c r="T2276" s="93" t="s">
        <v>111</v>
      </c>
      <c r="U2276" s="93" t="s">
        <v>116</v>
      </c>
      <c r="V2276" s="94">
        <v>44596.665972222225</v>
      </c>
      <c r="W2276" s="93" t="s">
        <v>402</v>
      </c>
      <c r="X2276" s="93" t="s">
        <v>24</v>
      </c>
    </row>
    <row r="2277" spans="1:24" hidden="1" x14ac:dyDescent="0.15">
      <c r="A2277" s="93" t="s">
        <v>7748</v>
      </c>
      <c r="B2277" s="93" t="s">
        <v>7749</v>
      </c>
      <c r="C2277" s="410">
        <v>48</v>
      </c>
      <c r="D2277" s="93" t="s">
        <v>24</v>
      </c>
      <c r="E2277" s="93" t="s">
        <v>24</v>
      </c>
      <c r="F2277" s="93" t="s">
        <v>7</v>
      </c>
      <c r="G2277" s="93" t="s">
        <v>7183</v>
      </c>
      <c r="H2277" s="93" t="s">
        <v>400</v>
      </c>
      <c r="I2277" s="93" t="s">
        <v>111</v>
      </c>
      <c r="J2277" s="93" t="s">
        <v>7105</v>
      </c>
      <c r="K2277" s="93" t="s">
        <v>111</v>
      </c>
      <c r="L2277" s="93" t="s">
        <v>111</v>
      </c>
      <c r="M2277" s="93" t="s">
        <v>111</v>
      </c>
      <c r="N2277" s="93" t="s">
        <v>111</v>
      </c>
      <c r="O2277" s="93" t="s">
        <v>111</v>
      </c>
      <c r="P2277" s="93" t="s">
        <v>111</v>
      </c>
      <c r="Q2277" s="93" t="s">
        <v>111</v>
      </c>
      <c r="R2277" s="93" t="s">
        <v>111</v>
      </c>
      <c r="S2277" s="93" t="s">
        <v>111</v>
      </c>
      <c r="T2277" s="93" t="s">
        <v>111</v>
      </c>
      <c r="U2277" s="93" t="s">
        <v>116</v>
      </c>
      <c r="V2277" s="94">
        <v>44596.693055555559</v>
      </c>
      <c r="W2277" s="93" t="s">
        <v>402</v>
      </c>
      <c r="X2277" s="93" t="s">
        <v>24</v>
      </c>
    </row>
    <row r="2278" spans="1:24" hidden="1" x14ac:dyDescent="0.15">
      <c r="A2278" s="93" t="s">
        <v>7750</v>
      </c>
      <c r="B2278" s="93" t="s">
        <v>7751</v>
      </c>
      <c r="C2278" s="410">
        <v>26</v>
      </c>
      <c r="D2278" s="93" t="s">
        <v>24</v>
      </c>
      <c r="E2278" s="93" t="s">
        <v>24</v>
      </c>
      <c r="F2278" s="93" t="s">
        <v>7</v>
      </c>
      <c r="G2278" s="93" t="s">
        <v>7183</v>
      </c>
      <c r="H2278" s="93" t="s">
        <v>400</v>
      </c>
      <c r="I2278" s="93" t="s">
        <v>111</v>
      </c>
      <c r="J2278" s="93" t="s">
        <v>7105</v>
      </c>
      <c r="K2278" s="93" t="s">
        <v>111</v>
      </c>
      <c r="L2278" s="93" t="s">
        <v>111</v>
      </c>
      <c r="M2278" s="93" t="s">
        <v>111</v>
      </c>
      <c r="N2278" s="93" t="s">
        <v>111</v>
      </c>
      <c r="O2278" s="93" t="s">
        <v>111</v>
      </c>
      <c r="P2278" s="93" t="s">
        <v>111</v>
      </c>
      <c r="Q2278" s="93" t="s">
        <v>111</v>
      </c>
      <c r="R2278" s="93" t="s">
        <v>111</v>
      </c>
      <c r="S2278" s="93" t="s">
        <v>111</v>
      </c>
      <c r="T2278" s="93" t="s">
        <v>111</v>
      </c>
      <c r="U2278" s="93" t="s">
        <v>116</v>
      </c>
      <c r="V2278" s="94">
        <v>44596.644444444442</v>
      </c>
      <c r="W2278" s="93" t="s">
        <v>402</v>
      </c>
      <c r="X2278" s="93" t="s">
        <v>24</v>
      </c>
    </row>
    <row r="2279" spans="1:24" hidden="1" x14ac:dyDescent="0.15">
      <c r="A2279" s="93" t="s">
        <v>7752</v>
      </c>
      <c r="B2279" s="93" t="s">
        <v>7753</v>
      </c>
      <c r="C2279" s="410">
        <v>67</v>
      </c>
      <c r="D2279" s="93" t="s">
        <v>24</v>
      </c>
      <c r="E2279" s="93" t="s">
        <v>24</v>
      </c>
      <c r="F2279" s="93" t="s">
        <v>7</v>
      </c>
      <c r="G2279" s="93" t="s">
        <v>7183</v>
      </c>
      <c r="H2279" s="93" t="s">
        <v>400</v>
      </c>
      <c r="I2279" s="93" t="s">
        <v>111</v>
      </c>
      <c r="J2279" s="93" t="s">
        <v>7105</v>
      </c>
      <c r="K2279" s="93" t="s">
        <v>111</v>
      </c>
      <c r="L2279" s="93" t="s">
        <v>111</v>
      </c>
      <c r="M2279" s="93" t="s">
        <v>111</v>
      </c>
      <c r="N2279" s="93" t="s">
        <v>111</v>
      </c>
      <c r="O2279" s="93" t="s">
        <v>111</v>
      </c>
      <c r="P2279" s="93" t="s">
        <v>111</v>
      </c>
      <c r="Q2279" s="93" t="s">
        <v>111</v>
      </c>
      <c r="R2279" s="93" t="s">
        <v>111</v>
      </c>
      <c r="S2279" s="93" t="s">
        <v>111</v>
      </c>
      <c r="T2279" s="93" t="s">
        <v>111</v>
      </c>
      <c r="U2279" s="93" t="s">
        <v>116</v>
      </c>
      <c r="V2279" s="94">
        <v>44596.684027777781</v>
      </c>
      <c r="W2279" s="93" t="s">
        <v>402</v>
      </c>
      <c r="X2279" s="93" t="s">
        <v>24</v>
      </c>
    </row>
    <row r="2280" spans="1:24" hidden="1" x14ac:dyDescent="0.15">
      <c r="A2280" s="93" t="s">
        <v>7754</v>
      </c>
      <c r="B2280" s="93" t="s">
        <v>7755</v>
      </c>
      <c r="C2280" s="410">
        <v>104</v>
      </c>
      <c r="D2280" s="93" t="s">
        <v>24</v>
      </c>
      <c r="E2280" s="93" t="s">
        <v>24</v>
      </c>
      <c r="F2280" s="93" t="s">
        <v>7</v>
      </c>
      <c r="G2280" s="93" t="s">
        <v>7183</v>
      </c>
      <c r="H2280" s="93" t="s">
        <v>400</v>
      </c>
      <c r="I2280" s="93" t="s">
        <v>111</v>
      </c>
      <c r="J2280" s="93" t="s">
        <v>7105</v>
      </c>
      <c r="K2280" s="93" t="s">
        <v>111</v>
      </c>
      <c r="L2280" s="93" t="s">
        <v>111</v>
      </c>
      <c r="M2280" s="93" t="s">
        <v>111</v>
      </c>
      <c r="N2280" s="93" t="s">
        <v>111</v>
      </c>
      <c r="O2280" s="93" t="s">
        <v>111</v>
      </c>
      <c r="P2280" s="93" t="s">
        <v>111</v>
      </c>
      <c r="Q2280" s="93" t="s">
        <v>111</v>
      </c>
      <c r="R2280" s="93" t="s">
        <v>111</v>
      </c>
      <c r="S2280" s="93" t="s">
        <v>111</v>
      </c>
      <c r="T2280" s="93" t="s">
        <v>111</v>
      </c>
      <c r="U2280" s="93" t="s">
        <v>116</v>
      </c>
      <c r="V2280" s="94">
        <v>44596.696527777778</v>
      </c>
      <c r="W2280" s="93" t="s">
        <v>402</v>
      </c>
      <c r="X2280" s="93" t="s">
        <v>24</v>
      </c>
    </row>
    <row r="2281" spans="1:24" hidden="1" x14ac:dyDescent="0.15">
      <c r="A2281" s="93" t="s">
        <v>7756</v>
      </c>
      <c r="B2281" s="93" t="s">
        <v>7757</v>
      </c>
      <c r="C2281" s="410">
        <v>227</v>
      </c>
      <c r="D2281" s="93" t="s">
        <v>24</v>
      </c>
      <c r="E2281" s="93" t="s">
        <v>24</v>
      </c>
      <c r="F2281" s="93" t="s">
        <v>399</v>
      </c>
      <c r="G2281" s="93" t="s">
        <v>7183</v>
      </c>
      <c r="H2281" s="93" t="s">
        <v>400</v>
      </c>
      <c r="I2281" s="93" t="s">
        <v>111</v>
      </c>
      <c r="J2281" s="93" t="s">
        <v>7105</v>
      </c>
      <c r="K2281" s="93" t="s">
        <v>111</v>
      </c>
      <c r="L2281" s="93" t="s">
        <v>111</v>
      </c>
      <c r="M2281" s="93" t="s">
        <v>111</v>
      </c>
      <c r="N2281" s="93" t="s">
        <v>111</v>
      </c>
      <c r="O2281" s="93" t="s">
        <v>111</v>
      </c>
      <c r="P2281" s="93" t="s">
        <v>111</v>
      </c>
      <c r="Q2281" s="93" t="s">
        <v>111</v>
      </c>
      <c r="R2281" s="93" t="s">
        <v>228</v>
      </c>
      <c r="S2281" s="93" t="s">
        <v>111</v>
      </c>
      <c r="T2281" s="93" t="s">
        <v>115</v>
      </c>
      <c r="U2281" s="93" t="s">
        <v>116</v>
      </c>
      <c r="V2281" s="94">
        <v>44610.194444444445</v>
      </c>
      <c r="W2281" s="93" t="s">
        <v>7072</v>
      </c>
      <c r="X2281" s="93" t="s">
        <v>24</v>
      </c>
    </row>
    <row r="2282" spans="1:24" hidden="1" x14ac:dyDescent="0.15">
      <c r="A2282" s="93" t="s">
        <v>7758</v>
      </c>
      <c r="B2282" s="93" t="s">
        <v>7759</v>
      </c>
      <c r="C2282" s="410">
        <v>453</v>
      </c>
      <c r="D2282" s="93" t="s">
        <v>24</v>
      </c>
      <c r="E2282" s="93" t="s">
        <v>24</v>
      </c>
      <c r="F2282" s="93" t="s">
        <v>399</v>
      </c>
      <c r="G2282" s="93" t="s">
        <v>7183</v>
      </c>
      <c r="H2282" s="93" t="s">
        <v>400</v>
      </c>
      <c r="I2282" s="93" t="s">
        <v>111</v>
      </c>
      <c r="J2282" s="93" t="s">
        <v>7105</v>
      </c>
      <c r="K2282" s="93" t="s">
        <v>111</v>
      </c>
      <c r="L2282" s="93" t="s">
        <v>111</v>
      </c>
      <c r="M2282" s="93" t="s">
        <v>111</v>
      </c>
      <c r="N2282" s="93" t="s">
        <v>111</v>
      </c>
      <c r="O2282" s="93" t="s">
        <v>111</v>
      </c>
      <c r="P2282" s="93" t="s">
        <v>111</v>
      </c>
      <c r="Q2282" s="93" t="s">
        <v>111</v>
      </c>
      <c r="R2282" s="93" t="s">
        <v>228</v>
      </c>
      <c r="S2282" s="93" t="s">
        <v>111</v>
      </c>
      <c r="T2282" s="93" t="s">
        <v>115</v>
      </c>
      <c r="U2282" s="93" t="s">
        <v>116</v>
      </c>
      <c r="V2282" s="94">
        <v>44610.172222222223</v>
      </c>
      <c r="W2282" s="93" t="s">
        <v>7072</v>
      </c>
      <c r="X2282" s="93" t="s">
        <v>24</v>
      </c>
    </row>
    <row r="2283" spans="1:24" hidden="1" x14ac:dyDescent="0.15">
      <c r="A2283" s="93" t="s">
        <v>7760</v>
      </c>
      <c r="B2283" s="93" t="s">
        <v>7761</v>
      </c>
      <c r="C2283" s="410">
        <v>683</v>
      </c>
      <c r="D2283" s="93" t="s">
        <v>24</v>
      </c>
      <c r="E2283" s="93" t="s">
        <v>24</v>
      </c>
      <c r="F2283" s="93" t="s">
        <v>399</v>
      </c>
      <c r="G2283" s="93" t="s">
        <v>7183</v>
      </c>
      <c r="H2283" s="93" t="s">
        <v>400</v>
      </c>
      <c r="I2283" s="93" t="s">
        <v>111</v>
      </c>
      <c r="J2283" s="93" t="s">
        <v>7105</v>
      </c>
      <c r="K2283" s="93" t="s">
        <v>111</v>
      </c>
      <c r="L2283" s="93" t="s">
        <v>111</v>
      </c>
      <c r="M2283" s="93" t="s">
        <v>111</v>
      </c>
      <c r="N2283" s="93" t="s">
        <v>111</v>
      </c>
      <c r="O2283" s="93" t="s">
        <v>111</v>
      </c>
      <c r="P2283" s="93" t="s">
        <v>111</v>
      </c>
      <c r="Q2283" s="93" t="s">
        <v>111</v>
      </c>
      <c r="R2283" s="93" t="s">
        <v>228</v>
      </c>
      <c r="S2283" s="93" t="s">
        <v>111</v>
      </c>
      <c r="T2283" s="93" t="s">
        <v>115</v>
      </c>
      <c r="U2283" s="93" t="s">
        <v>116</v>
      </c>
      <c r="V2283" s="94">
        <v>44610.179166666669</v>
      </c>
      <c r="W2283" s="93" t="s">
        <v>7072</v>
      </c>
      <c r="X2283" s="93" t="s">
        <v>24</v>
      </c>
    </row>
    <row r="2284" spans="1:24" hidden="1" x14ac:dyDescent="0.15">
      <c r="A2284" s="93" t="s">
        <v>7762</v>
      </c>
      <c r="B2284" s="93" t="s">
        <v>7763</v>
      </c>
      <c r="C2284" s="410">
        <v>15</v>
      </c>
      <c r="D2284" s="93" t="s">
        <v>24</v>
      </c>
      <c r="E2284" s="93" t="s">
        <v>24</v>
      </c>
      <c r="F2284" s="93" t="s">
        <v>399</v>
      </c>
      <c r="G2284" s="93" t="s">
        <v>7183</v>
      </c>
      <c r="H2284" s="93" t="s">
        <v>400</v>
      </c>
      <c r="I2284" s="93" t="s">
        <v>111</v>
      </c>
      <c r="J2284" s="93" t="s">
        <v>7105</v>
      </c>
      <c r="K2284" s="93" t="s">
        <v>111</v>
      </c>
      <c r="L2284" s="93" t="s">
        <v>111</v>
      </c>
      <c r="M2284" s="93" t="s">
        <v>111</v>
      </c>
      <c r="N2284" s="93" t="s">
        <v>111</v>
      </c>
      <c r="O2284" s="93" t="s">
        <v>111</v>
      </c>
      <c r="P2284" s="93" t="s">
        <v>111</v>
      </c>
      <c r="Q2284" s="93" t="s">
        <v>111</v>
      </c>
      <c r="R2284" s="93" t="s">
        <v>228</v>
      </c>
      <c r="S2284" s="93" t="s">
        <v>111</v>
      </c>
      <c r="T2284" s="93" t="s">
        <v>115</v>
      </c>
      <c r="U2284" s="93" t="s">
        <v>116</v>
      </c>
      <c r="V2284" s="94">
        <v>44610.200694444444</v>
      </c>
      <c r="W2284" s="93" t="s">
        <v>7072</v>
      </c>
      <c r="X2284" s="93" t="s">
        <v>24</v>
      </c>
    </row>
    <row r="2285" spans="1:24" hidden="1" x14ac:dyDescent="0.15">
      <c r="A2285" s="93" t="s">
        <v>7764</v>
      </c>
      <c r="B2285" s="93" t="s">
        <v>7765</v>
      </c>
      <c r="C2285" s="410">
        <v>30</v>
      </c>
      <c r="D2285" s="93" t="s">
        <v>24</v>
      </c>
      <c r="E2285" s="93" t="s">
        <v>24</v>
      </c>
      <c r="F2285" s="93" t="s">
        <v>399</v>
      </c>
      <c r="G2285" s="93" t="s">
        <v>7183</v>
      </c>
      <c r="H2285" s="93" t="s">
        <v>400</v>
      </c>
      <c r="I2285" s="93" t="s">
        <v>111</v>
      </c>
      <c r="J2285" s="93" t="s">
        <v>7105</v>
      </c>
      <c r="K2285" s="93" t="s">
        <v>111</v>
      </c>
      <c r="L2285" s="93" t="s">
        <v>111</v>
      </c>
      <c r="M2285" s="93" t="s">
        <v>111</v>
      </c>
      <c r="N2285" s="93" t="s">
        <v>111</v>
      </c>
      <c r="O2285" s="93" t="s">
        <v>111</v>
      </c>
      <c r="P2285" s="93" t="s">
        <v>111</v>
      </c>
      <c r="Q2285" s="93" t="s">
        <v>111</v>
      </c>
      <c r="R2285" s="93" t="s">
        <v>228</v>
      </c>
      <c r="S2285" s="93" t="s">
        <v>111</v>
      </c>
      <c r="T2285" s="93" t="s">
        <v>115</v>
      </c>
      <c r="U2285" s="93" t="s">
        <v>116</v>
      </c>
      <c r="V2285" s="94">
        <v>44610.162499999999</v>
      </c>
      <c r="W2285" s="93" t="s">
        <v>7072</v>
      </c>
      <c r="X2285" s="93" t="s">
        <v>24</v>
      </c>
    </row>
    <row r="2286" spans="1:24" hidden="1" x14ac:dyDescent="0.15">
      <c r="A2286" s="93" t="s">
        <v>7766</v>
      </c>
      <c r="B2286" s="93" t="s">
        <v>7767</v>
      </c>
      <c r="C2286" s="410">
        <v>45</v>
      </c>
      <c r="D2286" s="93" t="s">
        <v>24</v>
      </c>
      <c r="E2286" s="93" t="s">
        <v>24</v>
      </c>
      <c r="F2286" s="93" t="s">
        <v>399</v>
      </c>
      <c r="G2286" s="93" t="s">
        <v>7183</v>
      </c>
      <c r="H2286" s="93" t="s">
        <v>400</v>
      </c>
      <c r="I2286" s="93" t="s">
        <v>111</v>
      </c>
      <c r="J2286" s="93" t="s">
        <v>7105</v>
      </c>
      <c r="K2286" s="93" t="s">
        <v>111</v>
      </c>
      <c r="L2286" s="93" t="s">
        <v>111</v>
      </c>
      <c r="M2286" s="93" t="s">
        <v>111</v>
      </c>
      <c r="N2286" s="93" t="s">
        <v>111</v>
      </c>
      <c r="O2286" s="93" t="s">
        <v>111</v>
      </c>
      <c r="P2286" s="93" t="s">
        <v>111</v>
      </c>
      <c r="Q2286" s="93" t="s">
        <v>111</v>
      </c>
      <c r="R2286" s="93" t="s">
        <v>228</v>
      </c>
      <c r="S2286" s="93" t="s">
        <v>111</v>
      </c>
      <c r="T2286" s="93" t="s">
        <v>115</v>
      </c>
      <c r="U2286" s="93" t="s">
        <v>116</v>
      </c>
      <c r="V2286" s="94">
        <v>44610.194444444445</v>
      </c>
      <c r="W2286" s="93" t="s">
        <v>7072</v>
      </c>
      <c r="X2286" s="93" t="s">
        <v>24</v>
      </c>
    </row>
    <row r="2287" spans="1:24" hidden="1" x14ac:dyDescent="0.15">
      <c r="A2287" s="93" t="s">
        <v>1072</v>
      </c>
      <c r="B2287" s="93" t="s">
        <v>7768</v>
      </c>
      <c r="C2287" s="410">
        <v>7</v>
      </c>
      <c r="D2287" s="93" t="s">
        <v>24</v>
      </c>
      <c r="E2287" s="93" t="s">
        <v>24</v>
      </c>
      <c r="F2287" s="93" t="s">
        <v>7</v>
      </c>
      <c r="G2287" s="93" t="s">
        <v>7183</v>
      </c>
      <c r="H2287" s="93" t="s">
        <v>400</v>
      </c>
      <c r="I2287" s="93" t="s">
        <v>111</v>
      </c>
      <c r="J2287" s="93" t="s">
        <v>7105</v>
      </c>
      <c r="K2287" s="93" t="s">
        <v>111</v>
      </c>
      <c r="L2287" s="93" t="s">
        <v>111</v>
      </c>
      <c r="M2287" s="93" t="s">
        <v>111</v>
      </c>
      <c r="N2287" s="93" t="s">
        <v>111</v>
      </c>
      <c r="O2287" s="93" t="s">
        <v>111</v>
      </c>
      <c r="P2287" s="93" t="s">
        <v>111</v>
      </c>
      <c r="Q2287" s="93" t="s">
        <v>111</v>
      </c>
      <c r="R2287" s="93" t="s">
        <v>228</v>
      </c>
      <c r="S2287" s="93" t="s">
        <v>111</v>
      </c>
      <c r="T2287" s="93" t="s">
        <v>115</v>
      </c>
      <c r="U2287" s="93" t="s">
        <v>116</v>
      </c>
      <c r="V2287" s="94">
        <v>44610.163194444445</v>
      </c>
      <c r="W2287" s="93" t="s">
        <v>7336</v>
      </c>
      <c r="X2287" s="93" t="s">
        <v>24</v>
      </c>
    </row>
    <row r="2288" spans="1:24" hidden="1" x14ac:dyDescent="0.15">
      <c r="A2288" s="93" t="s">
        <v>1074</v>
      </c>
      <c r="B2288" s="93" t="s">
        <v>7769</v>
      </c>
      <c r="C2288" s="410">
        <v>18</v>
      </c>
      <c r="D2288" s="93" t="s">
        <v>24</v>
      </c>
      <c r="E2288" s="93" t="s">
        <v>24</v>
      </c>
      <c r="F2288" s="93" t="s">
        <v>7</v>
      </c>
      <c r="G2288" s="93" t="s">
        <v>7183</v>
      </c>
      <c r="H2288" s="93" t="s">
        <v>400</v>
      </c>
      <c r="I2288" s="93" t="s">
        <v>111</v>
      </c>
      <c r="J2288" s="93" t="s">
        <v>7105</v>
      </c>
      <c r="K2288" s="93" t="s">
        <v>111</v>
      </c>
      <c r="L2288" s="93" t="s">
        <v>111</v>
      </c>
      <c r="M2288" s="93" t="s">
        <v>111</v>
      </c>
      <c r="N2288" s="93" t="s">
        <v>111</v>
      </c>
      <c r="O2288" s="93" t="s">
        <v>111</v>
      </c>
      <c r="P2288" s="93" t="s">
        <v>111</v>
      </c>
      <c r="Q2288" s="93" t="s">
        <v>111</v>
      </c>
      <c r="R2288" s="93" t="s">
        <v>228</v>
      </c>
      <c r="S2288" s="93" t="s">
        <v>111</v>
      </c>
      <c r="T2288" s="93" t="s">
        <v>115</v>
      </c>
      <c r="U2288" s="93" t="s">
        <v>116</v>
      </c>
      <c r="V2288" s="94">
        <v>44610.163194444445</v>
      </c>
      <c r="W2288" s="93" t="s">
        <v>7336</v>
      </c>
      <c r="X2288" s="93" t="s">
        <v>24</v>
      </c>
    </row>
    <row r="2289" spans="1:24" hidden="1" x14ac:dyDescent="0.15">
      <c r="A2289" s="93" t="s">
        <v>1076</v>
      </c>
      <c r="B2289" s="93" t="s">
        <v>7770</v>
      </c>
      <c r="C2289" s="410">
        <v>28</v>
      </c>
      <c r="D2289" s="93" t="s">
        <v>24</v>
      </c>
      <c r="E2289" s="93" t="s">
        <v>24</v>
      </c>
      <c r="F2289" s="93" t="s">
        <v>7</v>
      </c>
      <c r="G2289" s="93" t="s">
        <v>7183</v>
      </c>
      <c r="H2289" s="93" t="s">
        <v>400</v>
      </c>
      <c r="I2289" s="93" t="s">
        <v>111</v>
      </c>
      <c r="J2289" s="93" t="s">
        <v>7105</v>
      </c>
      <c r="K2289" s="93" t="s">
        <v>111</v>
      </c>
      <c r="L2289" s="93" t="s">
        <v>111</v>
      </c>
      <c r="M2289" s="93" t="s">
        <v>111</v>
      </c>
      <c r="N2289" s="93" t="s">
        <v>111</v>
      </c>
      <c r="O2289" s="93" t="s">
        <v>111</v>
      </c>
      <c r="P2289" s="93" t="s">
        <v>111</v>
      </c>
      <c r="Q2289" s="93" t="s">
        <v>111</v>
      </c>
      <c r="R2289" s="93" t="s">
        <v>228</v>
      </c>
      <c r="S2289" s="93" t="s">
        <v>111</v>
      </c>
      <c r="T2289" s="93" t="s">
        <v>115</v>
      </c>
      <c r="U2289" s="93" t="s">
        <v>116</v>
      </c>
      <c r="V2289" s="94">
        <v>44610.154861111114</v>
      </c>
      <c r="W2289" s="93" t="s">
        <v>7336</v>
      </c>
      <c r="X2289" s="93" t="s">
        <v>24</v>
      </c>
    </row>
    <row r="2290" spans="1:24" hidden="1" x14ac:dyDescent="0.15">
      <c r="A2290" s="93" t="s">
        <v>1078</v>
      </c>
      <c r="B2290" s="93" t="s">
        <v>7771</v>
      </c>
      <c r="C2290" s="410">
        <v>6</v>
      </c>
      <c r="D2290" s="93" t="s">
        <v>24</v>
      </c>
      <c r="E2290" s="93" t="s">
        <v>24</v>
      </c>
      <c r="F2290" s="93" t="s">
        <v>7</v>
      </c>
      <c r="G2290" s="93" t="s">
        <v>7183</v>
      </c>
      <c r="H2290" s="93" t="s">
        <v>400</v>
      </c>
      <c r="I2290" s="93" t="s">
        <v>111</v>
      </c>
      <c r="J2290" s="93" t="s">
        <v>7105</v>
      </c>
      <c r="K2290" s="93" t="s">
        <v>111</v>
      </c>
      <c r="L2290" s="93" t="s">
        <v>111</v>
      </c>
      <c r="M2290" s="93" t="s">
        <v>111</v>
      </c>
      <c r="N2290" s="93" t="s">
        <v>111</v>
      </c>
      <c r="O2290" s="93" t="s">
        <v>111</v>
      </c>
      <c r="P2290" s="93" t="s">
        <v>111</v>
      </c>
      <c r="Q2290" s="93" t="s">
        <v>111</v>
      </c>
      <c r="R2290" s="93" t="s">
        <v>228</v>
      </c>
      <c r="S2290" s="93" t="s">
        <v>111</v>
      </c>
      <c r="T2290" s="93" t="s">
        <v>115</v>
      </c>
      <c r="U2290" s="93" t="s">
        <v>116</v>
      </c>
      <c r="V2290" s="94">
        <v>44610.17291666667</v>
      </c>
      <c r="W2290" s="93" t="s">
        <v>7336</v>
      </c>
      <c r="X2290" s="93" t="s">
        <v>24</v>
      </c>
    </row>
    <row r="2291" spans="1:24" hidden="1" x14ac:dyDescent="0.15">
      <c r="A2291" s="93" t="s">
        <v>1080</v>
      </c>
      <c r="B2291" s="93" t="s">
        <v>7772</v>
      </c>
      <c r="C2291" s="410">
        <v>16</v>
      </c>
      <c r="D2291" s="93" t="s">
        <v>24</v>
      </c>
      <c r="E2291" s="93" t="s">
        <v>24</v>
      </c>
      <c r="F2291" s="93" t="s">
        <v>7</v>
      </c>
      <c r="G2291" s="93" t="s">
        <v>7183</v>
      </c>
      <c r="H2291" s="93" t="s">
        <v>400</v>
      </c>
      <c r="I2291" s="93" t="s">
        <v>111</v>
      </c>
      <c r="J2291" s="93" t="s">
        <v>7105</v>
      </c>
      <c r="K2291" s="93" t="s">
        <v>111</v>
      </c>
      <c r="L2291" s="93" t="s">
        <v>111</v>
      </c>
      <c r="M2291" s="93" t="s">
        <v>111</v>
      </c>
      <c r="N2291" s="93" t="s">
        <v>111</v>
      </c>
      <c r="O2291" s="93" t="s">
        <v>111</v>
      </c>
      <c r="P2291" s="93" t="s">
        <v>111</v>
      </c>
      <c r="Q2291" s="93" t="s">
        <v>111</v>
      </c>
      <c r="R2291" s="93" t="s">
        <v>228</v>
      </c>
      <c r="S2291" s="93" t="s">
        <v>111</v>
      </c>
      <c r="T2291" s="93" t="s">
        <v>115</v>
      </c>
      <c r="U2291" s="93" t="s">
        <v>116</v>
      </c>
      <c r="V2291" s="94">
        <v>44610.181250000001</v>
      </c>
      <c r="W2291" s="93" t="s">
        <v>7336</v>
      </c>
      <c r="X2291" s="93" t="s">
        <v>24</v>
      </c>
    </row>
    <row r="2292" spans="1:24" hidden="1" x14ac:dyDescent="0.15">
      <c r="A2292" s="93" t="s">
        <v>1082</v>
      </c>
      <c r="B2292" s="93" t="s">
        <v>7773</v>
      </c>
      <c r="C2292" s="410">
        <v>24</v>
      </c>
      <c r="D2292" s="93" t="s">
        <v>24</v>
      </c>
      <c r="E2292" s="93" t="s">
        <v>24</v>
      </c>
      <c r="F2292" s="93" t="s">
        <v>7</v>
      </c>
      <c r="G2292" s="93" t="s">
        <v>7183</v>
      </c>
      <c r="H2292" s="93" t="s">
        <v>400</v>
      </c>
      <c r="I2292" s="93" t="s">
        <v>111</v>
      </c>
      <c r="J2292" s="93" t="s">
        <v>7105</v>
      </c>
      <c r="K2292" s="93" t="s">
        <v>111</v>
      </c>
      <c r="L2292" s="93" t="s">
        <v>111</v>
      </c>
      <c r="M2292" s="93" t="s">
        <v>111</v>
      </c>
      <c r="N2292" s="93" t="s">
        <v>111</v>
      </c>
      <c r="O2292" s="93" t="s">
        <v>111</v>
      </c>
      <c r="P2292" s="93" t="s">
        <v>111</v>
      </c>
      <c r="Q2292" s="93" t="s">
        <v>111</v>
      </c>
      <c r="R2292" s="93" t="s">
        <v>228</v>
      </c>
      <c r="S2292" s="93" t="s">
        <v>111</v>
      </c>
      <c r="T2292" s="93" t="s">
        <v>115</v>
      </c>
      <c r="U2292" s="93" t="s">
        <v>116</v>
      </c>
      <c r="V2292" s="94">
        <v>44610.197222222225</v>
      </c>
      <c r="W2292" s="93" t="s">
        <v>7336</v>
      </c>
      <c r="X2292" s="93" t="s">
        <v>24</v>
      </c>
    </row>
    <row r="2293" spans="1:24" hidden="1" x14ac:dyDescent="0.15">
      <c r="A2293" s="93" t="s">
        <v>1084</v>
      </c>
      <c r="B2293" s="93" t="s">
        <v>7774</v>
      </c>
      <c r="C2293" s="410">
        <v>9</v>
      </c>
      <c r="D2293" s="93" t="s">
        <v>24</v>
      </c>
      <c r="E2293" s="93" t="s">
        <v>24</v>
      </c>
      <c r="F2293" s="93" t="s">
        <v>7</v>
      </c>
      <c r="G2293" s="93" t="s">
        <v>7183</v>
      </c>
      <c r="H2293" s="93" t="s">
        <v>400</v>
      </c>
      <c r="I2293" s="93" t="s">
        <v>111</v>
      </c>
      <c r="J2293" s="93" t="s">
        <v>7105</v>
      </c>
      <c r="K2293" s="93" t="s">
        <v>111</v>
      </c>
      <c r="L2293" s="93" t="s">
        <v>111</v>
      </c>
      <c r="M2293" s="93" t="s">
        <v>111</v>
      </c>
      <c r="N2293" s="93" t="s">
        <v>111</v>
      </c>
      <c r="O2293" s="93" t="s">
        <v>111</v>
      </c>
      <c r="P2293" s="93" t="s">
        <v>111</v>
      </c>
      <c r="Q2293" s="93" t="s">
        <v>111</v>
      </c>
      <c r="R2293" s="93" t="s">
        <v>228</v>
      </c>
      <c r="S2293" s="93" t="s">
        <v>111</v>
      </c>
      <c r="T2293" s="93" t="s">
        <v>115</v>
      </c>
      <c r="U2293" s="93" t="s">
        <v>116</v>
      </c>
      <c r="V2293" s="94">
        <v>44610.15625</v>
      </c>
      <c r="W2293" s="93" t="s">
        <v>7336</v>
      </c>
      <c r="X2293" s="93" t="s">
        <v>24</v>
      </c>
    </row>
    <row r="2294" spans="1:24" hidden="1" x14ac:dyDescent="0.15">
      <c r="A2294" s="93" t="s">
        <v>1086</v>
      </c>
      <c r="B2294" s="93" t="s">
        <v>7775</v>
      </c>
      <c r="C2294" s="410">
        <v>23</v>
      </c>
      <c r="D2294" s="93" t="s">
        <v>24</v>
      </c>
      <c r="E2294" s="93" t="s">
        <v>24</v>
      </c>
      <c r="F2294" s="93" t="s">
        <v>7</v>
      </c>
      <c r="G2294" s="93" t="s">
        <v>7183</v>
      </c>
      <c r="H2294" s="93" t="s">
        <v>400</v>
      </c>
      <c r="I2294" s="93" t="s">
        <v>111</v>
      </c>
      <c r="J2294" s="93" t="s">
        <v>7105</v>
      </c>
      <c r="K2294" s="93" t="s">
        <v>111</v>
      </c>
      <c r="L2294" s="93" t="s">
        <v>111</v>
      </c>
      <c r="M2294" s="93" t="s">
        <v>111</v>
      </c>
      <c r="N2294" s="93" t="s">
        <v>111</v>
      </c>
      <c r="O2294" s="93" t="s">
        <v>111</v>
      </c>
      <c r="P2294" s="93" t="s">
        <v>111</v>
      </c>
      <c r="Q2294" s="93" t="s">
        <v>111</v>
      </c>
      <c r="R2294" s="93" t="s">
        <v>228</v>
      </c>
      <c r="S2294" s="93" t="s">
        <v>111</v>
      </c>
      <c r="T2294" s="93" t="s">
        <v>115</v>
      </c>
      <c r="U2294" s="93" t="s">
        <v>116</v>
      </c>
      <c r="V2294" s="94">
        <v>44610.20416666667</v>
      </c>
      <c r="W2294" s="93" t="s">
        <v>7336</v>
      </c>
      <c r="X2294" s="93" t="s">
        <v>24</v>
      </c>
    </row>
    <row r="2295" spans="1:24" hidden="1" x14ac:dyDescent="0.15">
      <c r="A2295" s="93" t="s">
        <v>1088</v>
      </c>
      <c r="B2295" s="93" t="s">
        <v>7776</v>
      </c>
      <c r="C2295" s="410">
        <v>36</v>
      </c>
      <c r="D2295" s="93" t="s">
        <v>24</v>
      </c>
      <c r="E2295" s="93" t="s">
        <v>24</v>
      </c>
      <c r="F2295" s="93" t="s">
        <v>7</v>
      </c>
      <c r="G2295" s="93" t="s">
        <v>7183</v>
      </c>
      <c r="H2295" s="93" t="s">
        <v>400</v>
      </c>
      <c r="I2295" s="93" t="s">
        <v>111</v>
      </c>
      <c r="J2295" s="93" t="s">
        <v>7105</v>
      </c>
      <c r="K2295" s="93" t="s">
        <v>111</v>
      </c>
      <c r="L2295" s="93" t="s">
        <v>111</v>
      </c>
      <c r="M2295" s="93" t="s">
        <v>111</v>
      </c>
      <c r="N2295" s="93" t="s">
        <v>111</v>
      </c>
      <c r="O2295" s="93" t="s">
        <v>111</v>
      </c>
      <c r="P2295" s="93" t="s">
        <v>111</v>
      </c>
      <c r="Q2295" s="93" t="s">
        <v>111</v>
      </c>
      <c r="R2295" s="93" t="s">
        <v>228</v>
      </c>
      <c r="S2295" s="93" t="s">
        <v>111</v>
      </c>
      <c r="T2295" s="93" t="s">
        <v>115</v>
      </c>
      <c r="U2295" s="93" t="s">
        <v>116</v>
      </c>
      <c r="V2295" s="94">
        <v>44610.173611111109</v>
      </c>
      <c r="W2295" s="93" t="s">
        <v>7336</v>
      </c>
      <c r="X2295" s="93" t="s">
        <v>24</v>
      </c>
    </row>
    <row r="2296" spans="1:24" hidden="1" x14ac:dyDescent="0.15">
      <c r="A2296" s="93" t="s">
        <v>1096</v>
      </c>
      <c r="B2296" s="93" t="s">
        <v>7777</v>
      </c>
      <c r="C2296" s="410">
        <v>15</v>
      </c>
      <c r="D2296" s="93" t="s">
        <v>24</v>
      </c>
      <c r="E2296" s="93" t="s">
        <v>24</v>
      </c>
      <c r="F2296" s="93" t="s">
        <v>7</v>
      </c>
      <c r="G2296" s="93" t="s">
        <v>7183</v>
      </c>
      <c r="H2296" s="93" t="s">
        <v>400</v>
      </c>
      <c r="I2296" s="93" t="s">
        <v>111</v>
      </c>
      <c r="J2296" s="93" t="s">
        <v>7105</v>
      </c>
      <c r="K2296" s="93" t="s">
        <v>111</v>
      </c>
      <c r="L2296" s="93" t="s">
        <v>111</v>
      </c>
      <c r="M2296" s="93" t="s">
        <v>111</v>
      </c>
      <c r="N2296" s="93" t="s">
        <v>111</v>
      </c>
      <c r="O2296" s="93" t="s">
        <v>111</v>
      </c>
      <c r="P2296" s="93" t="s">
        <v>111</v>
      </c>
      <c r="Q2296" s="93" t="s">
        <v>111</v>
      </c>
      <c r="R2296" s="93" t="s">
        <v>228</v>
      </c>
      <c r="S2296" s="93" t="s">
        <v>111</v>
      </c>
      <c r="T2296" s="93" t="s">
        <v>115</v>
      </c>
      <c r="U2296" s="93" t="s">
        <v>116</v>
      </c>
      <c r="V2296" s="94">
        <v>44610.197222222225</v>
      </c>
      <c r="W2296" s="93" t="s">
        <v>7336</v>
      </c>
      <c r="X2296" s="93" t="s">
        <v>24</v>
      </c>
    </row>
    <row r="2297" spans="1:24" hidden="1" x14ac:dyDescent="0.15">
      <c r="A2297" s="93" t="s">
        <v>1098</v>
      </c>
      <c r="B2297" s="93" t="s">
        <v>7778</v>
      </c>
      <c r="C2297" s="410">
        <v>39</v>
      </c>
      <c r="D2297" s="93" t="s">
        <v>24</v>
      </c>
      <c r="E2297" s="93" t="s">
        <v>24</v>
      </c>
      <c r="F2297" s="93" t="s">
        <v>7</v>
      </c>
      <c r="G2297" s="93" t="s">
        <v>7183</v>
      </c>
      <c r="H2297" s="93" t="s">
        <v>400</v>
      </c>
      <c r="I2297" s="93" t="s">
        <v>111</v>
      </c>
      <c r="J2297" s="93" t="s">
        <v>7105</v>
      </c>
      <c r="K2297" s="93" t="s">
        <v>111</v>
      </c>
      <c r="L2297" s="93" t="s">
        <v>111</v>
      </c>
      <c r="M2297" s="93" t="s">
        <v>111</v>
      </c>
      <c r="N2297" s="93" t="s">
        <v>111</v>
      </c>
      <c r="O2297" s="93" t="s">
        <v>111</v>
      </c>
      <c r="P2297" s="93" t="s">
        <v>111</v>
      </c>
      <c r="Q2297" s="93" t="s">
        <v>111</v>
      </c>
      <c r="R2297" s="93" t="s">
        <v>228</v>
      </c>
      <c r="S2297" s="93" t="s">
        <v>111</v>
      </c>
      <c r="T2297" s="93" t="s">
        <v>115</v>
      </c>
      <c r="U2297" s="93" t="s">
        <v>116</v>
      </c>
      <c r="V2297" s="94">
        <v>44610.163888888892</v>
      </c>
      <c r="W2297" s="93" t="s">
        <v>7336</v>
      </c>
      <c r="X2297" s="93" t="s">
        <v>24</v>
      </c>
    </row>
    <row r="2298" spans="1:24" hidden="1" x14ac:dyDescent="0.15">
      <c r="A2298" s="93" t="s">
        <v>1100</v>
      </c>
      <c r="B2298" s="93" t="s">
        <v>7779</v>
      </c>
      <c r="C2298" s="410">
        <v>60</v>
      </c>
      <c r="D2298" s="93" t="s">
        <v>24</v>
      </c>
      <c r="E2298" s="93" t="s">
        <v>24</v>
      </c>
      <c r="F2298" s="93" t="s">
        <v>7</v>
      </c>
      <c r="G2298" s="93" t="s">
        <v>7183</v>
      </c>
      <c r="H2298" s="93" t="s">
        <v>400</v>
      </c>
      <c r="I2298" s="93" t="s">
        <v>111</v>
      </c>
      <c r="J2298" s="93" t="s">
        <v>7105</v>
      </c>
      <c r="K2298" s="93" t="s">
        <v>111</v>
      </c>
      <c r="L2298" s="93" t="s">
        <v>111</v>
      </c>
      <c r="M2298" s="93" t="s">
        <v>111</v>
      </c>
      <c r="N2298" s="93" t="s">
        <v>111</v>
      </c>
      <c r="O2298" s="93" t="s">
        <v>111</v>
      </c>
      <c r="P2298" s="93" t="s">
        <v>111</v>
      </c>
      <c r="Q2298" s="93" t="s">
        <v>111</v>
      </c>
      <c r="R2298" s="93" t="s">
        <v>228</v>
      </c>
      <c r="S2298" s="93" t="s">
        <v>111</v>
      </c>
      <c r="T2298" s="93" t="s">
        <v>115</v>
      </c>
      <c r="U2298" s="93" t="s">
        <v>116</v>
      </c>
      <c r="V2298" s="94">
        <v>44610.14166666667</v>
      </c>
      <c r="W2298" s="93" t="s">
        <v>7336</v>
      </c>
      <c r="X2298" s="93" t="s">
        <v>24</v>
      </c>
    </row>
    <row r="2299" spans="1:24" hidden="1" x14ac:dyDescent="0.15">
      <c r="A2299" s="93" t="s">
        <v>1102</v>
      </c>
      <c r="B2299" s="93" t="s">
        <v>7780</v>
      </c>
      <c r="C2299" s="410">
        <v>15</v>
      </c>
      <c r="D2299" s="93" t="s">
        <v>24</v>
      </c>
      <c r="E2299" s="93" t="s">
        <v>24</v>
      </c>
      <c r="F2299" s="93" t="s">
        <v>7</v>
      </c>
      <c r="G2299" s="93" t="s">
        <v>7183</v>
      </c>
      <c r="H2299" s="93" t="s">
        <v>400</v>
      </c>
      <c r="I2299" s="93" t="s">
        <v>111</v>
      </c>
      <c r="J2299" s="93" t="s">
        <v>7105</v>
      </c>
      <c r="K2299" s="93" t="s">
        <v>111</v>
      </c>
      <c r="L2299" s="93" t="s">
        <v>111</v>
      </c>
      <c r="M2299" s="93" t="s">
        <v>111</v>
      </c>
      <c r="N2299" s="93" t="s">
        <v>111</v>
      </c>
      <c r="O2299" s="93" t="s">
        <v>111</v>
      </c>
      <c r="P2299" s="93" t="s">
        <v>111</v>
      </c>
      <c r="Q2299" s="93" t="s">
        <v>111</v>
      </c>
      <c r="R2299" s="93" t="s">
        <v>228</v>
      </c>
      <c r="S2299" s="93" t="s">
        <v>111</v>
      </c>
      <c r="T2299" s="93" t="s">
        <v>115</v>
      </c>
      <c r="U2299" s="93" t="s">
        <v>116</v>
      </c>
      <c r="V2299" s="94">
        <v>44610.145833333336</v>
      </c>
      <c r="W2299" s="93" t="s">
        <v>7336</v>
      </c>
      <c r="X2299" s="93" t="s">
        <v>24</v>
      </c>
    </row>
    <row r="2300" spans="1:24" hidden="1" x14ac:dyDescent="0.15">
      <c r="A2300" s="93" t="s">
        <v>1104</v>
      </c>
      <c r="B2300" s="93" t="s">
        <v>7781</v>
      </c>
      <c r="C2300" s="410">
        <v>39</v>
      </c>
      <c r="D2300" s="93" t="s">
        <v>24</v>
      </c>
      <c r="E2300" s="93" t="s">
        <v>24</v>
      </c>
      <c r="F2300" s="93" t="s">
        <v>7</v>
      </c>
      <c r="G2300" s="93" t="s">
        <v>7183</v>
      </c>
      <c r="H2300" s="93" t="s">
        <v>400</v>
      </c>
      <c r="I2300" s="93" t="s">
        <v>111</v>
      </c>
      <c r="J2300" s="93" t="s">
        <v>7105</v>
      </c>
      <c r="K2300" s="93" t="s">
        <v>111</v>
      </c>
      <c r="L2300" s="93" t="s">
        <v>111</v>
      </c>
      <c r="M2300" s="93" t="s">
        <v>111</v>
      </c>
      <c r="N2300" s="93" t="s">
        <v>111</v>
      </c>
      <c r="O2300" s="93" t="s">
        <v>111</v>
      </c>
      <c r="P2300" s="93" t="s">
        <v>111</v>
      </c>
      <c r="Q2300" s="93" t="s">
        <v>111</v>
      </c>
      <c r="R2300" s="93" t="s">
        <v>228</v>
      </c>
      <c r="S2300" s="93" t="s">
        <v>111</v>
      </c>
      <c r="T2300" s="93" t="s">
        <v>115</v>
      </c>
      <c r="U2300" s="93" t="s">
        <v>116</v>
      </c>
      <c r="V2300" s="94">
        <v>44610.154861111114</v>
      </c>
      <c r="W2300" s="93" t="s">
        <v>7336</v>
      </c>
      <c r="X2300" s="93" t="s">
        <v>24</v>
      </c>
    </row>
    <row r="2301" spans="1:24" hidden="1" x14ac:dyDescent="0.15">
      <c r="A2301" s="93" t="s">
        <v>1106</v>
      </c>
      <c r="B2301" s="93" t="s">
        <v>7782</v>
      </c>
      <c r="C2301" s="410">
        <v>60</v>
      </c>
      <c r="D2301" s="93" t="s">
        <v>24</v>
      </c>
      <c r="E2301" s="93" t="s">
        <v>24</v>
      </c>
      <c r="F2301" s="93" t="s">
        <v>7</v>
      </c>
      <c r="G2301" s="93" t="s">
        <v>7183</v>
      </c>
      <c r="H2301" s="93" t="s">
        <v>400</v>
      </c>
      <c r="I2301" s="93" t="s">
        <v>111</v>
      </c>
      <c r="J2301" s="93" t="s">
        <v>7105</v>
      </c>
      <c r="K2301" s="93" t="s">
        <v>111</v>
      </c>
      <c r="L2301" s="93" t="s">
        <v>111</v>
      </c>
      <c r="M2301" s="93" t="s">
        <v>111</v>
      </c>
      <c r="N2301" s="93" t="s">
        <v>111</v>
      </c>
      <c r="O2301" s="93" t="s">
        <v>111</v>
      </c>
      <c r="P2301" s="93" t="s">
        <v>111</v>
      </c>
      <c r="Q2301" s="93" t="s">
        <v>111</v>
      </c>
      <c r="R2301" s="93" t="s">
        <v>228</v>
      </c>
      <c r="S2301" s="93" t="s">
        <v>111</v>
      </c>
      <c r="T2301" s="93" t="s">
        <v>115</v>
      </c>
      <c r="U2301" s="93" t="s">
        <v>116</v>
      </c>
      <c r="V2301" s="94">
        <v>44610.181250000001</v>
      </c>
      <c r="W2301" s="93" t="s">
        <v>7336</v>
      </c>
      <c r="X2301" s="93" t="s">
        <v>24</v>
      </c>
    </row>
    <row r="2302" spans="1:24" hidden="1" x14ac:dyDescent="0.15">
      <c r="A2302" s="93" t="s">
        <v>1108</v>
      </c>
      <c r="B2302" s="93" t="s">
        <v>7783</v>
      </c>
      <c r="C2302" s="410">
        <v>15</v>
      </c>
      <c r="D2302" s="93" t="s">
        <v>24</v>
      </c>
      <c r="E2302" s="93" t="s">
        <v>24</v>
      </c>
      <c r="F2302" s="93" t="s">
        <v>7</v>
      </c>
      <c r="G2302" s="93" t="s">
        <v>7183</v>
      </c>
      <c r="H2302" s="93" t="s">
        <v>400</v>
      </c>
      <c r="I2302" s="93" t="s">
        <v>111</v>
      </c>
      <c r="J2302" s="93" t="s">
        <v>7105</v>
      </c>
      <c r="K2302" s="93" t="s">
        <v>111</v>
      </c>
      <c r="L2302" s="93" t="s">
        <v>111</v>
      </c>
      <c r="M2302" s="93" t="s">
        <v>111</v>
      </c>
      <c r="N2302" s="93" t="s">
        <v>111</v>
      </c>
      <c r="O2302" s="93" t="s">
        <v>111</v>
      </c>
      <c r="P2302" s="93" t="s">
        <v>111</v>
      </c>
      <c r="Q2302" s="93" t="s">
        <v>111</v>
      </c>
      <c r="R2302" s="93" t="s">
        <v>228</v>
      </c>
      <c r="S2302" s="93" t="s">
        <v>111</v>
      </c>
      <c r="T2302" s="93" t="s">
        <v>115</v>
      </c>
      <c r="U2302" s="93" t="s">
        <v>116</v>
      </c>
      <c r="V2302" s="94">
        <v>44610.20208333333</v>
      </c>
      <c r="W2302" s="93" t="s">
        <v>7336</v>
      </c>
      <c r="X2302" s="93" t="s">
        <v>24</v>
      </c>
    </row>
    <row r="2303" spans="1:24" hidden="1" x14ac:dyDescent="0.15">
      <c r="A2303" s="93" t="s">
        <v>1110</v>
      </c>
      <c r="B2303" s="93" t="s">
        <v>7784</v>
      </c>
      <c r="C2303" s="410">
        <v>39</v>
      </c>
      <c r="D2303" s="93" t="s">
        <v>24</v>
      </c>
      <c r="E2303" s="93" t="s">
        <v>24</v>
      </c>
      <c r="F2303" s="93" t="s">
        <v>7</v>
      </c>
      <c r="G2303" s="93" t="s">
        <v>7183</v>
      </c>
      <c r="H2303" s="93" t="s">
        <v>400</v>
      </c>
      <c r="I2303" s="93" t="s">
        <v>111</v>
      </c>
      <c r="J2303" s="93" t="s">
        <v>7105</v>
      </c>
      <c r="K2303" s="93" t="s">
        <v>111</v>
      </c>
      <c r="L2303" s="93" t="s">
        <v>111</v>
      </c>
      <c r="M2303" s="93" t="s">
        <v>111</v>
      </c>
      <c r="N2303" s="93" t="s">
        <v>111</v>
      </c>
      <c r="O2303" s="93" t="s">
        <v>111</v>
      </c>
      <c r="P2303" s="93" t="s">
        <v>111</v>
      </c>
      <c r="Q2303" s="93" t="s">
        <v>111</v>
      </c>
      <c r="R2303" s="93" t="s">
        <v>228</v>
      </c>
      <c r="S2303" s="93" t="s">
        <v>111</v>
      </c>
      <c r="T2303" s="93" t="s">
        <v>115</v>
      </c>
      <c r="U2303" s="93" t="s">
        <v>116</v>
      </c>
      <c r="V2303" s="94">
        <v>44610.163888888892</v>
      </c>
      <c r="W2303" s="93" t="s">
        <v>7336</v>
      </c>
      <c r="X2303" s="93" t="s">
        <v>24</v>
      </c>
    </row>
    <row r="2304" spans="1:24" hidden="1" x14ac:dyDescent="0.15">
      <c r="A2304" s="93" t="s">
        <v>1112</v>
      </c>
      <c r="B2304" s="93" t="s">
        <v>7785</v>
      </c>
      <c r="C2304" s="410">
        <v>60</v>
      </c>
      <c r="D2304" s="93" t="s">
        <v>24</v>
      </c>
      <c r="E2304" s="93" t="s">
        <v>24</v>
      </c>
      <c r="F2304" s="93" t="s">
        <v>7</v>
      </c>
      <c r="G2304" s="93" t="s">
        <v>7183</v>
      </c>
      <c r="H2304" s="93" t="s">
        <v>400</v>
      </c>
      <c r="I2304" s="93" t="s">
        <v>111</v>
      </c>
      <c r="J2304" s="93" t="s">
        <v>7105</v>
      </c>
      <c r="K2304" s="93" t="s">
        <v>111</v>
      </c>
      <c r="L2304" s="93" t="s">
        <v>111</v>
      </c>
      <c r="M2304" s="93" t="s">
        <v>111</v>
      </c>
      <c r="N2304" s="93" t="s">
        <v>111</v>
      </c>
      <c r="O2304" s="93" t="s">
        <v>111</v>
      </c>
      <c r="P2304" s="93" t="s">
        <v>111</v>
      </c>
      <c r="Q2304" s="93" t="s">
        <v>111</v>
      </c>
      <c r="R2304" s="93" t="s">
        <v>228</v>
      </c>
      <c r="S2304" s="93" t="s">
        <v>111</v>
      </c>
      <c r="T2304" s="93" t="s">
        <v>115</v>
      </c>
      <c r="U2304" s="93" t="s">
        <v>116</v>
      </c>
      <c r="V2304" s="94">
        <v>44610.145833333336</v>
      </c>
      <c r="W2304" s="93" t="s">
        <v>7336</v>
      </c>
      <c r="X2304" s="93" t="s">
        <v>24</v>
      </c>
    </row>
    <row r="2305" spans="1:24" hidden="1" x14ac:dyDescent="0.15">
      <c r="A2305" s="93" t="s">
        <v>1114</v>
      </c>
      <c r="B2305" s="93" t="s">
        <v>7786</v>
      </c>
      <c r="C2305" s="410">
        <v>10</v>
      </c>
      <c r="D2305" s="93" t="s">
        <v>24</v>
      </c>
      <c r="E2305" s="93" t="s">
        <v>24</v>
      </c>
      <c r="F2305" s="93" t="s">
        <v>7</v>
      </c>
      <c r="G2305" s="93" t="s">
        <v>7183</v>
      </c>
      <c r="H2305" s="93" t="s">
        <v>400</v>
      </c>
      <c r="I2305" s="93" t="s">
        <v>111</v>
      </c>
      <c r="J2305" s="93" t="s">
        <v>7105</v>
      </c>
      <c r="K2305" s="93" t="s">
        <v>111</v>
      </c>
      <c r="L2305" s="93" t="s">
        <v>111</v>
      </c>
      <c r="M2305" s="93" t="s">
        <v>111</v>
      </c>
      <c r="N2305" s="93" t="s">
        <v>111</v>
      </c>
      <c r="O2305" s="93" t="s">
        <v>111</v>
      </c>
      <c r="P2305" s="93" t="s">
        <v>111</v>
      </c>
      <c r="Q2305" s="93" t="s">
        <v>111</v>
      </c>
      <c r="R2305" s="93" t="s">
        <v>228</v>
      </c>
      <c r="S2305" s="93" t="s">
        <v>111</v>
      </c>
      <c r="T2305" s="93" t="s">
        <v>115</v>
      </c>
      <c r="U2305" s="93" t="s">
        <v>116</v>
      </c>
      <c r="V2305" s="94">
        <v>44610.181250000001</v>
      </c>
      <c r="W2305" s="93" t="s">
        <v>7336</v>
      </c>
      <c r="X2305" s="93" t="s">
        <v>24</v>
      </c>
    </row>
    <row r="2306" spans="1:24" hidden="1" x14ac:dyDescent="0.15">
      <c r="A2306" s="93" t="s">
        <v>1116</v>
      </c>
      <c r="B2306" s="93" t="s">
        <v>7787</v>
      </c>
      <c r="C2306" s="410">
        <v>26</v>
      </c>
      <c r="D2306" s="93" t="s">
        <v>24</v>
      </c>
      <c r="E2306" s="93" t="s">
        <v>24</v>
      </c>
      <c r="F2306" s="93" t="s">
        <v>7</v>
      </c>
      <c r="G2306" s="93" t="s">
        <v>7183</v>
      </c>
      <c r="H2306" s="93" t="s">
        <v>400</v>
      </c>
      <c r="I2306" s="93" t="s">
        <v>111</v>
      </c>
      <c r="J2306" s="93" t="s">
        <v>7105</v>
      </c>
      <c r="K2306" s="93" t="s">
        <v>111</v>
      </c>
      <c r="L2306" s="93" t="s">
        <v>111</v>
      </c>
      <c r="M2306" s="93" t="s">
        <v>111</v>
      </c>
      <c r="N2306" s="93" t="s">
        <v>111</v>
      </c>
      <c r="O2306" s="93" t="s">
        <v>111</v>
      </c>
      <c r="P2306" s="93" t="s">
        <v>111</v>
      </c>
      <c r="Q2306" s="93" t="s">
        <v>111</v>
      </c>
      <c r="R2306" s="93" t="s">
        <v>228</v>
      </c>
      <c r="S2306" s="93" t="s">
        <v>111</v>
      </c>
      <c r="T2306" s="93" t="s">
        <v>115</v>
      </c>
      <c r="U2306" s="93" t="s">
        <v>116</v>
      </c>
      <c r="V2306" s="94">
        <v>44610.147916666669</v>
      </c>
      <c r="W2306" s="93" t="s">
        <v>7336</v>
      </c>
      <c r="X2306" s="93" t="s">
        <v>24</v>
      </c>
    </row>
    <row r="2307" spans="1:24" hidden="1" x14ac:dyDescent="0.15">
      <c r="A2307" s="93" t="s">
        <v>1118</v>
      </c>
      <c r="B2307" s="93" t="s">
        <v>7788</v>
      </c>
      <c r="C2307" s="410">
        <v>40</v>
      </c>
      <c r="D2307" s="93" t="s">
        <v>24</v>
      </c>
      <c r="E2307" s="93" t="s">
        <v>24</v>
      </c>
      <c r="F2307" s="93" t="s">
        <v>7</v>
      </c>
      <c r="G2307" s="93" t="s">
        <v>7183</v>
      </c>
      <c r="H2307" s="93" t="s">
        <v>400</v>
      </c>
      <c r="I2307" s="93" t="s">
        <v>111</v>
      </c>
      <c r="J2307" s="93" t="s">
        <v>7105</v>
      </c>
      <c r="K2307" s="93" t="s">
        <v>111</v>
      </c>
      <c r="L2307" s="93" t="s">
        <v>111</v>
      </c>
      <c r="M2307" s="93" t="s">
        <v>111</v>
      </c>
      <c r="N2307" s="93" t="s">
        <v>111</v>
      </c>
      <c r="O2307" s="93" t="s">
        <v>111</v>
      </c>
      <c r="P2307" s="93" t="s">
        <v>111</v>
      </c>
      <c r="Q2307" s="93" t="s">
        <v>111</v>
      </c>
      <c r="R2307" s="93" t="s">
        <v>228</v>
      </c>
      <c r="S2307" s="93" t="s">
        <v>111</v>
      </c>
      <c r="T2307" s="93" t="s">
        <v>115</v>
      </c>
      <c r="U2307" s="93" t="s">
        <v>116</v>
      </c>
      <c r="V2307" s="94">
        <v>44610.20416666667</v>
      </c>
      <c r="W2307" s="93" t="s">
        <v>7336</v>
      </c>
      <c r="X2307" s="93" t="s">
        <v>24</v>
      </c>
    </row>
    <row r="2308" spans="1:24" hidden="1" x14ac:dyDescent="0.15">
      <c r="A2308" s="93" t="s">
        <v>1120</v>
      </c>
      <c r="B2308" s="93" t="s">
        <v>7789</v>
      </c>
      <c r="C2308" s="410">
        <v>15</v>
      </c>
      <c r="D2308" s="93" t="s">
        <v>24</v>
      </c>
      <c r="E2308" s="93" t="s">
        <v>24</v>
      </c>
      <c r="F2308" s="93" t="s">
        <v>7</v>
      </c>
      <c r="G2308" s="93" t="s">
        <v>7183</v>
      </c>
      <c r="H2308" s="93" t="s">
        <v>400</v>
      </c>
      <c r="I2308" s="93" t="s">
        <v>111</v>
      </c>
      <c r="J2308" s="93" t="s">
        <v>7105</v>
      </c>
      <c r="K2308" s="93" t="s">
        <v>111</v>
      </c>
      <c r="L2308" s="93" t="s">
        <v>111</v>
      </c>
      <c r="M2308" s="93" t="s">
        <v>111</v>
      </c>
      <c r="N2308" s="93" t="s">
        <v>111</v>
      </c>
      <c r="O2308" s="93" t="s">
        <v>111</v>
      </c>
      <c r="P2308" s="93" t="s">
        <v>111</v>
      </c>
      <c r="Q2308" s="93" t="s">
        <v>111</v>
      </c>
      <c r="R2308" s="93" t="s">
        <v>228</v>
      </c>
      <c r="S2308" s="93" t="s">
        <v>111</v>
      </c>
      <c r="T2308" s="93" t="s">
        <v>115</v>
      </c>
      <c r="U2308" s="93" t="s">
        <v>116</v>
      </c>
      <c r="V2308" s="94">
        <v>44610.165277777778</v>
      </c>
      <c r="W2308" s="93" t="s">
        <v>7336</v>
      </c>
      <c r="X2308" s="93" t="s">
        <v>24</v>
      </c>
    </row>
    <row r="2309" spans="1:24" hidden="1" x14ac:dyDescent="0.15">
      <c r="A2309" s="93" t="s">
        <v>1122</v>
      </c>
      <c r="B2309" s="93" t="s">
        <v>7790</v>
      </c>
      <c r="C2309" s="410">
        <v>39</v>
      </c>
      <c r="D2309" s="93" t="s">
        <v>24</v>
      </c>
      <c r="E2309" s="93" t="s">
        <v>24</v>
      </c>
      <c r="F2309" s="93" t="s">
        <v>7</v>
      </c>
      <c r="G2309" s="93" t="s">
        <v>7183</v>
      </c>
      <c r="H2309" s="93" t="s">
        <v>400</v>
      </c>
      <c r="I2309" s="93" t="s">
        <v>111</v>
      </c>
      <c r="J2309" s="93" t="s">
        <v>7105</v>
      </c>
      <c r="K2309" s="93" t="s">
        <v>111</v>
      </c>
      <c r="L2309" s="93" t="s">
        <v>111</v>
      </c>
      <c r="M2309" s="93" t="s">
        <v>111</v>
      </c>
      <c r="N2309" s="93" t="s">
        <v>111</v>
      </c>
      <c r="O2309" s="93" t="s">
        <v>111</v>
      </c>
      <c r="P2309" s="93" t="s">
        <v>111</v>
      </c>
      <c r="Q2309" s="93" t="s">
        <v>111</v>
      </c>
      <c r="R2309" s="93" t="s">
        <v>228</v>
      </c>
      <c r="S2309" s="93" t="s">
        <v>111</v>
      </c>
      <c r="T2309" s="93" t="s">
        <v>115</v>
      </c>
      <c r="U2309" s="93" t="s">
        <v>116</v>
      </c>
      <c r="V2309" s="94">
        <v>44610.181250000001</v>
      </c>
      <c r="W2309" s="93" t="s">
        <v>7336</v>
      </c>
      <c r="X2309" s="93" t="s">
        <v>24</v>
      </c>
    </row>
    <row r="2310" spans="1:24" hidden="1" x14ac:dyDescent="0.15">
      <c r="A2310" s="93" t="s">
        <v>1124</v>
      </c>
      <c r="B2310" s="93" t="s">
        <v>7791</v>
      </c>
      <c r="C2310" s="410">
        <v>60</v>
      </c>
      <c r="D2310" s="93" t="s">
        <v>24</v>
      </c>
      <c r="E2310" s="93" t="s">
        <v>24</v>
      </c>
      <c r="F2310" s="93" t="s">
        <v>7</v>
      </c>
      <c r="G2310" s="93" t="s">
        <v>7183</v>
      </c>
      <c r="H2310" s="93" t="s">
        <v>400</v>
      </c>
      <c r="I2310" s="93" t="s">
        <v>111</v>
      </c>
      <c r="J2310" s="93" t="s">
        <v>7105</v>
      </c>
      <c r="K2310" s="93" t="s">
        <v>111</v>
      </c>
      <c r="L2310" s="93" t="s">
        <v>111</v>
      </c>
      <c r="M2310" s="93" t="s">
        <v>111</v>
      </c>
      <c r="N2310" s="93" t="s">
        <v>111</v>
      </c>
      <c r="O2310" s="93" t="s">
        <v>111</v>
      </c>
      <c r="P2310" s="93" t="s">
        <v>111</v>
      </c>
      <c r="Q2310" s="93" t="s">
        <v>111</v>
      </c>
      <c r="R2310" s="93" t="s">
        <v>228</v>
      </c>
      <c r="S2310" s="93" t="s">
        <v>111</v>
      </c>
      <c r="T2310" s="93" t="s">
        <v>115</v>
      </c>
      <c r="U2310" s="93" t="s">
        <v>116</v>
      </c>
      <c r="V2310" s="94">
        <v>44610.14166666667</v>
      </c>
      <c r="W2310" s="93" t="s">
        <v>7336</v>
      </c>
      <c r="X2310" s="93" t="s">
        <v>24</v>
      </c>
    </row>
    <row r="2311" spans="1:24" hidden="1" x14ac:dyDescent="0.15">
      <c r="A2311" s="93" t="s">
        <v>1090</v>
      </c>
      <c r="B2311" s="93" t="s">
        <v>7792</v>
      </c>
      <c r="C2311" s="410">
        <v>12</v>
      </c>
      <c r="D2311" s="93" t="s">
        <v>24</v>
      </c>
      <c r="E2311" s="93" t="s">
        <v>24</v>
      </c>
      <c r="F2311" s="93" t="s">
        <v>7</v>
      </c>
      <c r="G2311" s="93" t="s">
        <v>7183</v>
      </c>
      <c r="H2311" s="93" t="s">
        <v>400</v>
      </c>
      <c r="I2311" s="93" t="s">
        <v>111</v>
      </c>
      <c r="J2311" s="93" t="s">
        <v>7105</v>
      </c>
      <c r="K2311" s="93" t="s">
        <v>111</v>
      </c>
      <c r="L2311" s="93" t="s">
        <v>111</v>
      </c>
      <c r="M2311" s="93" t="s">
        <v>111</v>
      </c>
      <c r="N2311" s="93" t="s">
        <v>111</v>
      </c>
      <c r="O2311" s="93" t="s">
        <v>111</v>
      </c>
      <c r="P2311" s="93" t="s">
        <v>111</v>
      </c>
      <c r="Q2311" s="93" t="s">
        <v>111</v>
      </c>
      <c r="R2311" s="93" t="s">
        <v>228</v>
      </c>
      <c r="S2311" s="93" t="s">
        <v>111</v>
      </c>
      <c r="T2311" s="93" t="s">
        <v>115</v>
      </c>
      <c r="U2311" s="93" t="s">
        <v>116</v>
      </c>
      <c r="V2311" s="94">
        <v>44610.140277777777</v>
      </c>
      <c r="W2311" s="93" t="s">
        <v>7336</v>
      </c>
      <c r="X2311" s="93" t="s">
        <v>24</v>
      </c>
    </row>
    <row r="2312" spans="1:24" hidden="1" x14ac:dyDescent="0.15">
      <c r="A2312" s="93" t="s">
        <v>1092</v>
      </c>
      <c r="B2312" s="93" t="s">
        <v>7793</v>
      </c>
      <c r="C2312" s="410">
        <v>31</v>
      </c>
      <c r="D2312" s="93" t="s">
        <v>24</v>
      </c>
      <c r="E2312" s="93" t="s">
        <v>24</v>
      </c>
      <c r="F2312" s="93" t="s">
        <v>7</v>
      </c>
      <c r="G2312" s="93" t="s">
        <v>7183</v>
      </c>
      <c r="H2312" s="93" t="s">
        <v>400</v>
      </c>
      <c r="I2312" s="93" t="s">
        <v>111</v>
      </c>
      <c r="J2312" s="93" t="s">
        <v>7105</v>
      </c>
      <c r="K2312" s="93" t="s">
        <v>111</v>
      </c>
      <c r="L2312" s="93" t="s">
        <v>111</v>
      </c>
      <c r="M2312" s="93" t="s">
        <v>111</v>
      </c>
      <c r="N2312" s="93" t="s">
        <v>111</v>
      </c>
      <c r="O2312" s="93" t="s">
        <v>111</v>
      </c>
      <c r="P2312" s="93" t="s">
        <v>111</v>
      </c>
      <c r="Q2312" s="93" t="s">
        <v>111</v>
      </c>
      <c r="R2312" s="93" t="s">
        <v>228</v>
      </c>
      <c r="S2312" s="93" t="s">
        <v>111</v>
      </c>
      <c r="T2312" s="93" t="s">
        <v>115</v>
      </c>
      <c r="U2312" s="93" t="s">
        <v>116</v>
      </c>
      <c r="V2312" s="94">
        <v>44610.15625</v>
      </c>
      <c r="W2312" s="93" t="s">
        <v>7336</v>
      </c>
      <c r="X2312" s="93" t="s">
        <v>24</v>
      </c>
    </row>
    <row r="2313" spans="1:24" hidden="1" x14ac:dyDescent="0.15">
      <c r="A2313" s="93" t="s">
        <v>1094</v>
      </c>
      <c r="B2313" s="93" t="s">
        <v>7794</v>
      </c>
      <c r="C2313" s="410">
        <v>48</v>
      </c>
      <c r="D2313" s="93" t="s">
        <v>24</v>
      </c>
      <c r="E2313" s="93" t="s">
        <v>24</v>
      </c>
      <c r="F2313" s="93" t="s">
        <v>7</v>
      </c>
      <c r="G2313" s="93" t="s">
        <v>7183</v>
      </c>
      <c r="H2313" s="93" t="s">
        <v>400</v>
      </c>
      <c r="I2313" s="93" t="s">
        <v>111</v>
      </c>
      <c r="J2313" s="93" t="s">
        <v>7105</v>
      </c>
      <c r="K2313" s="93" t="s">
        <v>111</v>
      </c>
      <c r="L2313" s="93" t="s">
        <v>111</v>
      </c>
      <c r="M2313" s="93" t="s">
        <v>111</v>
      </c>
      <c r="N2313" s="93" t="s">
        <v>111</v>
      </c>
      <c r="O2313" s="93" t="s">
        <v>111</v>
      </c>
      <c r="P2313" s="93" t="s">
        <v>111</v>
      </c>
      <c r="Q2313" s="93" t="s">
        <v>111</v>
      </c>
      <c r="R2313" s="93" t="s">
        <v>228</v>
      </c>
      <c r="S2313" s="93" t="s">
        <v>111</v>
      </c>
      <c r="T2313" s="93" t="s">
        <v>115</v>
      </c>
      <c r="U2313" s="93" t="s">
        <v>116</v>
      </c>
      <c r="V2313" s="94">
        <v>44610.181250000001</v>
      </c>
      <c r="W2313" s="93" t="s">
        <v>7336</v>
      </c>
      <c r="X2313" s="93" t="s">
        <v>24</v>
      </c>
    </row>
    <row r="2314" spans="1:24" hidden="1" x14ac:dyDescent="0.15">
      <c r="A2314" s="93" t="s">
        <v>1126</v>
      </c>
      <c r="B2314" s="93" t="s">
        <v>3861</v>
      </c>
      <c r="C2314" s="410">
        <v>23</v>
      </c>
      <c r="D2314" s="93" t="s">
        <v>24</v>
      </c>
      <c r="E2314" s="93" t="s">
        <v>24</v>
      </c>
      <c r="F2314" s="93" t="s">
        <v>7</v>
      </c>
      <c r="G2314" s="93" t="s">
        <v>7183</v>
      </c>
      <c r="H2314" s="93" t="s">
        <v>400</v>
      </c>
      <c r="I2314" s="93" t="s">
        <v>111</v>
      </c>
      <c r="J2314" s="93" t="s">
        <v>118</v>
      </c>
      <c r="K2314" s="93">
        <v>3</v>
      </c>
      <c r="L2314" s="93" t="s">
        <v>111</v>
      </c>
      <c r="M2314" s="93" t="s">
        <v>111</v>
      </c>
      <c r="N2314" s="93" t="s">
        <v>111</v>
      </c>
      <c r="O2314" s="93" t="s">
        <v>111</v>
      </c>
      <c r="P2314" s="93" t="s">
        <v>111</v>
      </c>
      <c r="Q2314" s="93" t="s">
        <v>111</v>
      </c>
      <c r="R2314" s="93" t="s">
        <v>228</v>
      </c>
      <c r="S2314" s="93" t="s">
        <v>2</v>
      </c>
      <c r="T2314" s="93" t="s">
        <v>115</v>
      </c>
      <c r="U2314" s="93" t="s">
        <v>116</v>
      </c>
      <c r="V2314" s="94">
        <v>44610.148611111108</v>
      </c>
      <c r="W2314" s="93" t="s">
        <v>7336</v>
      </c>
      <c r="X2314" s="93" t="s">
        <v>24</v>
      </c>
    </row>
    <row r="2315" spans="1:24" hidden="1" x14ac:dyDescent="0.15">
      <c r="A2315" s="93" t="s">
        <v>1128</v>
      </c>
      <c r="B2315" s="93" t="s">
        <v>3862</v>
      </c>
      <c r="C2315" s="410">
        <v>59</v>
      </c>
      <c r="D2315" s="93" t="s">
        <v>24</v>
      </c>
      <c r="E2315" s="93" t="s">
        <v>24</v>
      </c>
      <c r="F2315" s="93" t="s">
        <v>7</v>
      </c>
      <c r="G2315" s="93" t="s">
        <v>7183</v>
      </c>
      <c r="H2315" s="93" t="s">
        <v>400</v>
      </c>
      <c r="I2315" s="93" t="s">
        <v>111</v>
      </c>
      <c r="J2315" s="93" t="s">
        <v>118</v>
      </c>
      <c r="K2315" s="93">
        <v>3</v>
      </c>
      <c r="L2315" s="93" t="s">
        <v>111</v>
      </c>
      <c r="M2315" s="93" t="s">
        <v>111</v>
      </c>
      <c r="N2315" s="93" t="s">
        <v>111</v>
      </c>
      <c r="O2315" s="93" t="s">
        <v>111</v>
      </c>
      <c r="P2315" s="93" t="s">
        <v>111</v>
      </c>
      <c r="Q2315" s="93" t="s">
        <v>111</v>
      </c>
      <c r="R2315" s="93" t="s">
        <v>228</v>
      </c>
      <c r="S2315" s="93" t="s">
        <v>2</v>
      </c>
      <c r="T2315" s="93" t="s">
        <v>115</v>
      </c>
      <c r="U2315" s="93" t="s">
        <v>116</v>
      </c>
      <c r="V2315" s="94">
        <v>44610.174305555556</v>
      </c>
      <c r="W2315" s="93" t="s">
        <v>7336</v>
      </c>
      <c r="X2315" s="93" t="s">
        <v>24</v>
      </c>
    </row>
    <row r="2316" spans="1:24" hidden="1" x14ac:dyDescent="0.15">
      <c r="A2316" s="93" t="s">
        <v>1130</v>
      </c>
      <c r="B2316" s="93" t="s">
        <v>3863</v>
      </c>
      <c r="C2316" s="410">
        <v>92</v>
      </c>
      <c r="D2316" s="93" t="s">
        <v>24</v>
      </c>
      <c r="E2316" s="93" t="s">
        <v>24</v>
      </c>
      <c r="F2316" s="93" t="s">
        <v>7</v>
      </c>
      <c r="G2316" s="93" t="s">
        <v>7183</v>
      </c>
      <c r="H2316" s="93" t="s">
        <v>400</v>
      </c>
      <c r="I2316" s="93" t="s">
        <v>111</v>
      </c>
      <c r="J2316" s="93" t="s">
        <v>118</v>
      </c>
      <c r="K2316" s="93">
        <v>3</v>
      </c>
      <c r="L2316" s="93" t="s">
        <v>111</v>
      </c>
      <c r="M2316" s="93" t="s">
        <v>111</v>
      </c>
      <c r="N2316" s="93" t="s">
        <v>111</v>
      </c>
      <c r="O2316" s="93" t="s">
        <v>111</v>
      </c>
      <c r="P2316" s="93" t="s">
        <v>111</v>
      </c>
      <c r="Q2316" s="93" t="s">
        <v>111</v>
      </c>
      <c r="R2316" s="93" t="s">
        <v>228</v>
      </c>
      <c r="S2316" s="93" t="s">
        <v>2</v>
      </c>
      <c r="T2316" s="93" t="s">
        <v>115</v>
      </c>
      <c r="U2316" s="93" t="s">
        <v>116</v>
      </c>
      <c r="V2316" s="94">
        <v>44610.158333333333</v>
      </c>
      <c r="W2316" s="93" t="s">
        <v>7336</v>
      </c>
      <c r="X2316" s="93" t="s">
        <v>24</v>
      </c>
    </row>
    <row r="2317" spans="1:24" hidden="1" x14ac:dyDescent="0.15">
      <c r="A2317" s="93" t="s">
        <v>999</v>
      </c>
      <c r="B2317" s="93" t="s">
        <v>7795</v>
      </c>
      <c r="C2317" s="410">
        <v>8</v>
      </c>
      <c r="D2317" s="93" t="s">
        <v>24</v>
      </c>
      <c r="E2317" s="93" t="s">
        <v>24</v>
      </c>
      <c r="F2317" s="93" t="s">
        <v>7</v>
      </c>
      <c r="G2317" s="93" t="s">
        <v>7183</v>
      </c>
      <c r="H2317" s="93" t="s">
        <v>400</v>
      </c>
      <c r="I2317" s="93" t="s">
        <v>111</v>
      </c>
      <c r="J2317" s="93" t="s">
        <v>7105</v>
      </c>
      <c r="K2317" s="93" t="s">
        <v>111</v>
      </c>
      <c r="L2317" s="93" t="s">
        <v>111</v>
      </c>
      <c r="M2317" s="93" t="s">
        <v>111</v>
      </c>
      <c r="N2317" s="93" t="s">
        <v>111</v>
      </c>
      <c r="O2317" s="93" t="s">
        <v>111</v>
      </c>
      <c r="P2317" s="93" t="s">
        <v>111</v>
      </c>
      <c r="Q2317" s="93" t="s">
        <v>111</v>
      </c>
      <c r="R2317" s="93" t="s">
        <v>228</v>
      </c>
      <c r="S2317" s="93" t="s">
        <v>2</v>
      </c>
      <c r="T2317" s="93" t="s">
        <v>115</v>
      </c>
      <c r="U2317" s="93" t="s">
        <v>116</v>
      </c>
      <c r="V2317" s="94">
        <v>44610.171527777777</v>
      </c>
      <c r="W2317" s="93" t="s">
        <v>7072</v>
      </c>
      <c r="X2317" s="93" t="s">
        <v>24</v>
      </c>
    </row>
    <row r="2318" spans="1:24" hidden="1" x14ac:dyDescent="0.15">
      <c r="A2318" s="93" t="s">
        <v>1000</v>
      </c>
      <c r="B2318" s="93" t="s">
        <v>7796</v>
      </c>
      <c r="C2318" s="410">
        <v>21</v>
      </c>
      <c r="D2318" s="93" t="s">
        <v>24</v>
      </c>
      <c r="E2318" s="93" t="s">
        <v>24</v>
      </c>
      <c r="F2318" s="93" t="s">
        <v>7</v>
      </c>
      <c r="G2318" s="93" t="s">
        <v>7183</v>
      </c>
      <c r="H2318" s="93" t="s">
        <v>400</v>
      </c>
      <c r="I2318" s="93" t="s">
        <v>111</v>
      </c>
      <c r="J2318" s="93" t="s">
        <v>7105</v>
      </c>
      <c r="K2318" s="93" t="s">
        <v>111</v>
      </c>
      <c r="L2318" s="93" t="s">
        <v>111</v>
      </c>
      <c r="M2318" s="93" t="s">
        <v>111</v>
      </c>
      <c r="N2318" s="93" t="s">
        <v>111</v>
      </c>
      <c r="O2318" s="93" t="s">
        <v>111</v>
      </c>
      <c r="P2318" s="93" t="s">
        <v>111</v>
      </c>
      <c r="Q2318" s="93" t="s">
        <v>111</v>
      </c>
      <c r="R2318" s="93" t="s">
        <v>228</v>
      </c>
      <c r="S2318" s="93" t="s">
        <v>2</v>
      </c>
      <c r="T2318" s="93" t="s">
        <v>115</v>
      </c>
      <c r="U2318" s="93" t="s">
        <v>116</v>
      </c>
      <c r="V2318" s="94">
        <v>44610.145138888889</v>
      </c>
      <c r="W2318" s="93" t="s">
        <v>7072</v>
      </c>
      <c r="X2318" s="93" t="s">
        <v>24</v>
      </c>
    </row>
    <row r="2319" spans="1:24" hidden="1" x14ac:dyDescent="0.15">
      <c r="A2319" s="93" t="s">
        <v>1001</v>
      </c>
      <c r="B2319" s="93" t="s">
        <v>7797</v>
      </c>
      <c r="C2319" s="410">
        <v>32</v>
      </c>
      <c r="D2319" s="93" t="s">
        <v>24</v>
      </c>
      <c r="E2319" s="93" t="s">
        <v>24</v>
      </c>
      <c r="F2319" s="93" t="s">
        <v>7</v>
      </c>
      <c r="G2319" s="93" t="s">
        <v>7183</v>
      </c>
      <c r="H2319" s="93" t="s">
        <v>400</v>
      </c>
      <c r="I2319" s="93" t="s">
        <v>111</v>
      </c>
      <c r="J2319" s="93" t="s">
        <v>7105</v>
      </c>
      <c r="K2319" s="93" t="s">
        <v>111</v>
      </c>
      <c r="L2319" s="93" t="s">
        <v>111</v>
      </c>
      <c r="M2319" s="93" t="s">
        <v>111</v>
      </c>
      <c r="N2319" s="93" t="s">
        <v>111</v>
      </c>
      <c r="O2319" s="93" t="s">
        <v>111</v>
      </c>
      <c r="P2319" s="93" t="s">
        <v>111</v>
      </c>
      <c r="Q2319" s="93" t="s">
        <v>111</v>
      </c>
      <c r="R2319" s="93" t="s">
        <v>228</v>
      </c>
      <c r="S2319" s="93" t="s">
        <v>2</v>
      </c>
      <c r="T2319" s="93" t="s">
        <v>115</v>
      </c>
      <c r="U2319" s="93" t="s">
        <v>116</v>
      </c>
      <c r="V2319" s="94">
        <v>44610.193749999999</v>
      </c>
      <c r="W2319" s="93" t="s">
        <v>7072</v>
      </c>
      <c r="X2319" s="93" t="s">
        <v>24</v>
      </c>
    </row>
    <row r="2320" spans="1:24" hidden="1" x14ac:dyDescent="0.15">
      <c r="A2320" s="93" t="s">
        <v>1002</v>
      </c>
      <c r="B2320" s="93" t="s">
        <v>7798</v>
      </c>
      <c r="C2320" s="410">
        <v>11</v>
      </c>
      <c r="D2320" s="93" t="s">
        <v>24</v>
      </c>
      <c r="E2320" s="93" t="s">
        <v>24</v>
      </c>
      <c r="F2320" s="93" t="s">
        <v>7</v>
      </c>
      <c r="G2320" s="93" t="s">
        <v>7183</v>
      </c>
      <c r="H2320" s="93" t="s">
        <v>400</v>
      </c>
      <c r="I2320" s="93" t="s">
        <v>111</v>
      </c>
      <c r="J2320" s="93" t="s">
        <v>7105</v>
      </c>
      <c r="K2320" s="93" t="s">
        <v>111</v>
      </c>
      <c r="L2320" s="93" t="s">
        <v>111</v>
      </c>
      <c r="M2320" s="93" t="s">
        <v>111</v>
      </c>
      <c r="N2320" s="93" t="s">
        <v>111</v>
      </c>
      <c r="O2320" s="93" t="s">
        <v>111</v>
      </c>
      <c r="P2320" s="93" t="s">
        <v>111</v>
      </c>
      <c r="Q2320" s="93" t="s">
        <v>111</v>
      </c>
      <c r="R2320" s="93" t="s">
        <v>228</v>
      </c>
      <c r="S2320" s="93" t="s">
        <v>2</v>
      </c>
      <c r="T2320" s="93" t="s">
        <v>115</v>
      </c>
      <c r="U2320" s="93" t="s">
        <v>116</v>
      </c>
      <c r="V2320" s="94">
        <v>44610.193055555559</v>
      </c>
      <c r="W2320" s="93" t="s">
        <v>7072</v>
      </c>
      <c r="X2320" s="93" t="s">
        <v>24</v>
      </c>
    </row>
    <row r="2321" spans="1:24" hidden="1" x14ac:dyDescent="0.15">
      <c r="A2321" s="93" t="s">
        <v>1003</v>
      </c>
      <c r="B2321" s="93" t="s">
        <v>7799</v>
      </c>
      <c r="C2321" s="410">
        <v>29</v>
      </c>
      <c r="D2321" s="93" t="s">
        <v>24</v>
      </c>
      <c r="E2321" s="93" t="s">
        <v>24</v>
      </c>
      <c r="F2321" s="93" t="s">
        <v>7</v>
      </c>
      <c r="G2321" s="93" t="s">
        <v>7183</v>
      </c>
      <c r="H2321" s="93" t="s">
        <v>400</v>
      </c>
      <c r="I2321" s="93" t="s">
        <v>111</v>
      </c>
      <c r="J2321" s="93" t="s">
        <v>7105</v>
      </c>
      <c r="K2321" s="93" t="s">
        <v>111</v>
      </c>
      <c r="L2321" s="93" t="s">
        <v>111</v>
      </c>
      <c r="M2321" s="93" t="s">
        <v>111</v>
      </c>
      <c r="N2321" s="93" t="s">
        <v>111</v>
      </c>
      <c r="O2321" s="93" t="s">
        <v>111</v>
      </c>
      <c r="P2321" s="93" t="s">
        <v>111</v>
      </c>
      <c r="Q2321" s="93" t="s">
        <v>111</v>
      </c>
      <c r="R2321" s="93" t="s">
        <v>228</v>
      </c>
      <c r="S2321" s="93" t="s">
        <v>2</v>
      </c>
      <c r="T2321" s="93" t="s">
        <v>115</v>
      </c>
      <c r="U2321" s="93" t="s">
        <v>116</v>
      </c>
      <c r="V2321" s="94">
        <v>44610.161111111112</v>
      </c>
      <c r="W2321" s="93" t="s">
        <v>7072</v>
      </c>
      <c r="X2321" s="93" t="s">
        <v>24</v>
      </c>
    </row>
    <row r="2322" spans="1:24" hidden="1" x14ac:dyDescent="0.15">
      <c r="A2322" s="93" t="s">
        <v>1004</v>
      </c>
      <c r="B2322" s="93" t="s">
        <v>7800</v>
      </c>
      <c r="C2322" s="410">
        <v>44</v>
      </c>
      <c r="D2322" s="93" t="s">
        <v>24</v>
      </c>
      <c r="E2322" s="93" t="s">
        <v>24</v>
      </c>
      <c r="F2322" s="93" t="s">
        <v>7</v>
      </c>
      <c r="G2322" s="93" t="s">
        <v>7183</v>
      </c>
      <c r="H2322" s="93" t="s">
        <v>400</v>
      </c>
      <c r="I2322" s="93" t="s">
        <v>111</v>
      </c>
      <c r="J2322" s="93" t="s">
        <v>7105</v>
      </c>
      <c r="K2322" s="93" t="s">
        <v>111</v>
      </c>
      <c r="L2322" s="93" t="s">
        <v>111</v>
      </c>
      <c r="M2322" s="93" t="s">
        <v>111</v>
      </c>
      <c r="N2322" s="93" t="s">
        <v>111</v>
      </c>
      <c r="O2322" s="93" t="s">
        <v>111</v>
      </c>
      <c r="P2322" s="93" t="s">
        <v>111</v>
      </c>
      <c r="Q2322" s="93" t="s">
        <v>111</v>
      </c>
      <c r="R2322" s="93" t="s">
        <v>228</v>
      </c>
      <c r="S2322" s="93" t="s">
        <v>2</v>
      </c>
      <c r="T2322" s="93" t="s">
        <v>115</v>
      </c>
      <c r="U2322" s="93" t="s">
        <v>116</v>
      </c>
      <c r="V2322" s="94">
        <v>44610.210416666669</v>
      </c>
      <c r="W2322" s="93" t="s">
        <v>7072</v>
      </c>
      <c r="X2322" s="93" t="s">
        <v>24</v>
      </c>
    </row>
    <row r="2323" spans="1:24" hidden="1" x14ac:dyDescent="0.15">
      <c r="A2323" s="93" t="s">
        <v>1005</v>
      </c>
      <c r="B2323" s="93" t="s">
        <v>7801</v>
      </c>
      <c r="C2323" s="410">
        <v>14</v>
      </c>
      <c r="D2323" s="93" t="s">
        <v>24</v>
      </c>
      <c r="E2323" s="93" t="s">
        <v>24</v>
      </c>
      <c r="F2323" s="93" t="s">
        <v>7</v>
      </c>
      <c r="G2323" s="93" t="s">
        <v>7183</v>
      </c>
      <c r="H2323" s="93" t="s">
        <v>400</v>
      </c>
      <c r="I2323" s="93" t="s">
        <v>111</v>
      </c>
      <c r="J2323" s="93" t="s">
        <v>7105</v>
      </c>
      <c r="K2323" s="93" t="s">
        <v>111</v>
      </c>
      <c r="L2323" s="93" t="s">
        <v>111</v>
      </c>
      <c r="M2323" s="93" t="s">
        <v>111</v>
      </c>
      <c r="N2323" s="93" t="s">
        <v>111</v>
      </c>
      <c r="O2323" s="93" t="s">
        <v>111</v>
      </c>
      <c r="P2323" s="93" t="s">
        <v>111</v>
      </c>
      <c r="Q2323" s="93" t="s">
        <v>111</v>
      </c>
      <c r="R2323" s="93" t="s">
        <v>228</v>
      </c>
      <c r="S2323" s="93" t="s">
        <v>2</v>
      </c>
      <c r="T2323" s="93" t="s">
        <v>115</v>
      </c>
      <c r="U2323" s="93" t="s">
        <v>116</v>
      </c>
      <c r="V2323" s="94">
        <v>44610.211111111108</v>
      </c>
      <c r="W2323" s="93" t="s">
        <v>7072</v>
      </c>
      <c r="X2323" s="93" t="s">
        <v>24</v>
      </c>
    </row>
    <row r="2324" spans="1:24" hidden="1" x14ac:dyDescent="0.15">
      <c r="A2324" s="93" t="s">
        <v>1006</v>
      </c>
      <c r="B2324" s="93" t="s">
        <v>7802</v>
      </c>
      <c r="C2324" s="410">
        <v>36</v>
      </c>
      <c r="D2324" s="93" t="s">
        <v>24</v>
      </c>
      <c r="E2324" s="93" t="s">
        <v>24</v>
      </c>
      <c r="F2324" s="93" t="s">
        <v>7</v>
      </c>
      <c r="G2324" s="93" t="s">
        <v>7183</v>
      </c>
      <c r="H2324" s="93" t="s">
        <v>400</v>
      </c>
      <c r="I2324" s="93" t="s">
        <v>111</v>
      </c>
      <c r="J2324" s="93" t="s">
        <v>7105</v>
      </c>
      <c r="K2324" s="93" t="s">
        <v>111</v>
      </c>
      <c r="L2324" s="93" t="s">
        <v>111</v>
      </c>
      <c r="M2324" s="93" t="s">
        <v>111</v>
      </c>
      <c r="N2324" s="93" t="s">
        <v>111</v>
      </c>
      <c r="O2324" s="93" t="s">
        <v>111</v>
      </c>
      <c r="P2324" s="93" t="s">
        <v>111</v>
      </c>
      <c r="Q2324" s="93" t="s">
        <v>111</v>
      </c>
      <c r="R2324" s="93" t="s">
        <v>228</v>
      </c>
      <c r="S2324" s="93" t="s">
        <v>2</v>
      </c>
      <c r="T2324" s="93" t="s">
        <v>115</v>
      </c>
      <c r="U2324" s="93" t="s">
        <v>116</v>
      </c>
      <c r="V2324" s="94">
        <v>44610.15347222222</v>
      </c>
      <c r="W2324" s="93" t="s">
        <v>7072</v>
      </c>
      <c r="X2324" s="93" t="s">
        <v>24</v>
      </c>
    </row>
    <row r="2325" spans="1:24" hidden="1" x14ac:dyDescent="0.15">
      <c r="A2325" s="93" t="s">
        <v>1007</v>
      </c>
      <c r="B2325" s="93" t="s">
        <v>7803</v>
      </c>
      <c r="C2325" s="410">
        <v>56</v>
      </c>
      <c r="D2325" s="93" t="s">
        <v>24</v>
      </c>
      <c r="E2325" s="93" t="s">
        <v>24</v>
      </c>
      <c r="F2325" s="93" t="s">
        <v>7</v>
      </c>
      <c r="G2325" s="93" t="s">
        <v>7183</v>
      </c>
      <c r="H2325" s="93" t="s">
        <v>400</v>
      </c>
      <c r="I2325" s="93" t="s">
        <v>111</v>
      </c>
      <c r="J2325" s="93" t="s">
        <v>7105</v>
      </c>
      <c r="K2325" s="93" t="s">
        <v>111</v>
      </c>
      <c r="L2325" s="93" t="s">
        <v>111</v>
      </c>
      <c r="M2325" s="93" t="s">
        <v>111</v>
      </c>
      <c r="N2325" s="93" t="s">
        <v>111</v>
      </c>
      <c r="O2325" s="93" t="s">
        <v>111</v>
      </c>
      <c r="P2325" s="93" t="s">
        <v>111</v>
      </c>
      <c r="Q2325" s="93" t="s">
        <v>111</v>
      </c>
      <c r="R2325" s="93" t="s">
        <v>228</v>
      </c>
      <c r="S2325" s="93" t="s">
        <v>2</v>
      </c>
      <c r="T2325" s="93" t="s">
        <v>115</v>
      </c>
      <c r="U2325" s="93" t="s">
        <v>116</v>
      </c>
      <c r="V2325" s="94">
        <v>44610.2</v>
      </c>
      <c r="W2325" s="93" t="s">
        <v>7072</v>
      </c>
      <c r="X2325" s="93" t="s">
        <v>24</v>
      </c>
    </row>
    <row r="2326" spans="1:24" hidden="1" x14ac:dyDescent="0.15">
      <c r="A2326" s="93" t="s">
        <v>1008</v>
      </c>
      <c r="B2326" s="93" t="s">
        <v>7804</v>
      </c>
      <c r="C2326" s="410">
        <v>20</v>
      </c>
      <c r="D2326" s="93" t="s">
        <v>24</v>
      </c>
      <c r="E2326" s="93" t="s">
        <v>24</v>
      </c>
      <c r="F2326" s="93" t="s">
        <v>7</v>
      </c>
      <c r="G2326" s="93" t="s">
        <v>7183</v>
      </c>
      <c r="H2326" s="93" t="s">
        <v>400</v>
      </c>
      <c r="I2326" s="93" t="s">
        <v>111</v>
      </c>
      <c r="J2326" s="93" t="s">
        <v>7105</v>
      </c>
      <c r="K2326" s="93" t="s">
        <v>111</v>
      </c>
      <c r="L2326" s="93" t="s">
        <v>111</v>
      </c>
      <c r="M2326" s="93" t="s">
        <v>111</v>
      </c>
      <c r="N2326" s="93" t="s">
        <v>111</v>
      </c>
      <c r="O2326" s="93" t="s">
        <v>111</v>
      </c>
      <c r="P2326" s="93" t="s">
        <v>111</v>
      </c>
      <c r="Q2326" s="93" t="s">
        <v>111</v>
      </c>
      <c r="R2326" s="93" t="s">
        <v>228</v>
      </c>
      <c r="S2326" s="93" t="s">
        <v>2</v>
      </c>
      <c r="T2326" s="93" t="s">
        <v>115</v>
      </c>
      <c r="U2326" s="93" t="s">
        <v>116</v>
      </c>
      <c r="V2326" s="94">
        <v>44610.144444444442</v>
      </c>
      <c r="W2326" s="93" t="s">
        <v>7072</v>
      </c>
      <c r="X2326" s="93" t="s">
        <v>24</v>
      </c>
    </row>
    <row r="2327" spans="1:24" hidden="1" x14ac:dyDescent="0.15">
      <c r="A2327" s="93" t="s">
        <v>1009</v>
      </c>
      <c r="B2327" s="93" t="s">
        <v>7805</v>
      </c>
      <c r="C2327" s="410">
        <v>51</v>
      </c>
      <c r="D2327" s="93" t="s">
        <v>24</v>
      </c>
      <c r="E2327" s="93" t="s">
        <v>24</v>
      </c>
      <c r="F2327" s="93" t="s">
        <v>7</v>
      </c>
      <c r="G2327" s="93" t="s">
        <v>7183</v>
      </c>
      <c r="H2327" s="93" t="s">
        <v>400</v>
      </c>
      <c r="I2327" s="93" t="s">
        <v>111</v>
      </c>
      <c r="J2327" s="93" t="s">
        <v>7105</v>
      </c>
      <c r="K2327" s="93" t="s">
        <v>111</v>
      </c>
      <c r="L2327" s="93" t="s">
        <v>111</v>
      </c>
      <c r="M2327" s="93" t="s">
        <v>111</v>
      </c>
      <c r="N2327" s="93" t="s">
        <v>111</v>
      </c>
      <c r="O2327" s="93" t="s">
        <v>111</v>
      </c>
      <c r="P2327" s="93" t="s">
        <v>111</v>
      </c>
      <c r="Q2327" s="93" t="s">
        <v>111</v>
      </c>
      <c r="R2327" s="93" t="s">
        <v>228</v>
      </c>
      <c r="S2327" s="93" t="s">
        <v>2</v>
      </c>
      <c r="T2327" s="93" t="s">
        <v>115</v>
      </c>
      <c r="U2327" s="93" t="s">
        <v>116</v>
      </c>
      <c r="V2327" s="94">
        <v>44610.145138888889</v>
      </c>
      <c r="W2327" s="93" t="s">
        <v>7072</v>
      </c>
      <c r="X2327" s="93" t="s">
        <v>24</v>
      </c>
    </row>
    <row r="2328" spans="1:24" hidden="1" x14ac:dyDescent="0.15">
      <c r="A2328" s="93" t="s">
        <v>1010</v>
      </c>
      <c r="B2328" s="93" t="s">
        <v>7806</v>
      </c>
      <c r="C2328" s="410">
        <v>80</v>
      </c>
      <c r="D2328" s="93" t="s">
        <v>24</v>
      </c>
      <c r="E2328" s="93" t="s">
        <v>24</v>
      </c>
      <c r="F2328" s="93" t="s">
        <v>7</v>
      </c>
      <c r="G2328" s="93" t="s">
        <v>7183</v>
      </c>
      <c r="H2328" s="93" t="s">
        <v>400</v>
      </c>
      <c r="I2328" s="93" t="s">
        <v>111</v>
      </c>
      <c r="J2328" s="93" t="s">
        <v>7105</v>
      </c>
      <c r="K2328" s="93" t="s">
        <v>111</v>
      </c>
      <c r="L2328" s="93" t="s">
        <v>111</v>
      </c>
      <c r="M2328" s="93" t="s">
        <v>111</v>
      </c>
      <c r="N2328" s="93" t="s">
        <v>111</v>
      </c>
      <c r="O2328" s="93" t="s">
        <v>111</v>
      </c>
      <c r="P2328" s="93" t="s">
        <v>111</v>
      </c>
      <c r="Q2328" s="93" t="s">
        <v>111</v>
      </c>
      <c r="R2328" s="93" t="s">
        <v>228</v>
      </c>
      <c r="S2328" s="93" t="s">
        <v>2</v>
      </c>
      <c r="T2328" s="93" t="s">
        <v>115</v>
      </c>
      <c r="U2328" s="93" t="s">
        <v>116</v>
      </c>
      <c r="V2328" s="94">
        <v>44610.211805555555</v>
      </c>
      <c r="W2328" s="93" t="s">
        <v>7072</v>
      </c>
      <c r="X2328" s="93" t="s">
        <v>24</v>
      </c>
    </row>
    <row r="2329" spans="1:24" hidden="1" x14ac:dyDescent="0.15">
      <c r="A2329" s="93" t="s">
        <v>1011</v>
      </c>
      <c r="B2329" s="93" t="s">
        <v>7807</v>
      </c>
      <c r="C2329" s="410">
        <v>15</v>
      </c>
      <c r="D2329" s="93" t="s">
        <v>24</v>
      </c>
      <c r="E2329" s="93" t="s">
        <v>24</v>
      </c>
      <c r="F2329" s="93" t="s">
        <v>7</v>
      </c>
      <c r="G2329" s="93" t="s">
        <v>7183</v>
      </c>
      <c r="H2329" s="93" t="s">
        <v>400</v>
      </c>
      <c r="I2329" s="93" t="s">
        <v>111</v>
      </c>
      <c r="J2329" s="93" t="s">
        <v>7105</v>
      </c>
      <c r="K2329" s="93" t="s">
        <v>111</v>
      </c>
      <c r="L2329" s="93" t="s">
        <v>111</v>
      </c>
      <c r="M2329" s="93" t="s">
        <v>111</v>
      </c>
      <c r="N2329" s="93" t="s">
        <v>111</v>
      </c>
      <c r="O2329" s="93" t="s">
        <v>111</v>
      </c>
      <c r="P2329" s="93" t="s">
        <v>111</v>
      </c>
      <c r="Q2329" s="93" t="s">
        <v>111</v>
      </c>
      <c r="R2329" s="93" t="s">
        <v>228</v>
      </c>
      <c r="S2329" s="93" t="s">
        <v>2</v>
      </c>
      <c r="T2329" s="93" t="s">
        <v>115</v>
      </c>
      <c r="U2329" s="93" t="s">
        <v>116</v>
      </c>
      <c r="V2329" s="94">
        <v>44610.211111111108</v>
      </c>
      <c r="W2329" s="93" t="s">
        <v>7072</v>
      </c>
      <c r="X2329" s="93" t="s">
        <v>24</v>
      </c>
    </row>
    <row r="2330" spans="1:24" hidden="1" x14ac:dyDescent="0.15">
      <c r="A2330" s="93" t="s">
        <v>1012</v>
      </c>
      <c r="B2330" s="93" t="s">
        <v>7808</v>
      </c>
      <c r="C2330" s="410">
        <v>39</v>
      </c>
      <c r="D2330" s="93" t="s">
        <v>24</v>
      </c>
      <c r="E2330" s="93" t="s">
        <v>24</v>
      </c>
      <c r="F2330" s="93" t="s">
        <v>7</v>
      </c>
      <c r="G2330" s="93" t="s">
        <v>7183</v>
      </c>
      <c r="H2330" s="93" t="s">
        <v>400</v>
      </c>
      <c r="I2330" s="93" t="s">
        <v>111</v>
      </c>
      <c r="J2330" s="93" t="s">
        <v>7105</v>
      </c>
      <c r="K2330" s="93" t="s">
        <v>111</v>
      </c>
      <c r="L2330" s="93" t="s">
        <v>111</v>
      </c>
      <c r="M2330" s="93" t="s">
        <v>111</v>
      </c>
      <c r="N2330" s="93" t="s">
        <v>111</v>
      </c>
      <c r="O2330" s="93" t="s">
        <v>111</v>
      </c>
      <c r="P2330" s="93" t="s">
        <v>111</v>
      </c>
      <c r="Q2330" s="93" t="s">
        <v>111</v>
      </c>
      <c r="R2330" s="93" t="s">
        <v>228</v>
      </c>
      <c r="S2330" s="93" t="s">
        <v>2</v>
      </c>
      <c r="T2330" s="93" t="s">
        <v>115</v>
      </c>
      <c r="U2330" s="93" t="s">
        <v>116</v>
      </c>
      <c r="V2330" s="94">
        <v>44610.178472222222</v>
      </c>
      <c r="W2330" s="93" t="s">
        <v>7072</v>
      </c>
      <c r="X2330" s="93" t="s">
        <v>24</v>
      </c>
    </row>
    <row r="2331" spans="1:24" hidden="1" x14ac:dyDescent="0.15">
      <c r="A2331" s="93" t="s">
        <v>1013</v>
      </c>
      <c r="B2331" s="93" t="s">
        <v>7809</v>
      </c>
      <c r="C2331" s="410">
        <v>60</v>
      </c>
      <c r="D2331" s="93" t="s">
        <v>24</v>
      </c>
      <c r="E2331" s="93" t="s">
        <v>24</v>
      </c>
      <c r="F2331" s="93" t="s">
        <v>7</v>
      </c>
      <c r="G2331" s="93" t="s">
        <v>7183</v>
      </c>
      <c r="H2331" s="93" t="s">
        <v>400</v>
      </c>
      <c r="I2331" s="93" t="s">
        <v>111</v>
      </c>
      <c r="J2331" s="93" t="s">
        <v>7105</v>
      </c>
      <c r="K2331" s="93" t="s">
        <v>111</v>
      </c>
      <c r="L2331" s="93" t="s">
        <v>111</v>
      </c>
      <c r="M2331" s="93" t="s">
        <v>111</v>
      </c>
      <c r="N2331" s="93" t="s">
        <v>111</v>
      </c>
      <c r="O2331" s="93" t="s">
        <v>111</v>
      </c>
      <c r="P2331" s="93" t="s">
        <v>111</v>
      </c>
      <c r="Q2331" s="93" t="s">
        <v>111</v>
      </c>
      <c r="R2331" s="93" t="s">
        <v>228</v>
      </c>
      <c r="S2331" s="93" t="s">
        <v>2</v>
      </c>
      <c r="T2331" s="93" t="s">
        <v>115</v>
      </c>
      <c r="U2331" s="93" t="s">
        <v>116</v>
      </c>
      <c r="V2331" s="94">
        <v>44610.211111111108</v>
      </c>
      <c r="W2331" s="93" t="s">
        <v>7072</v>
      </c>
      <c r="X2331" s="93" t="s">
        <v>24</v>
      </c>
    </row>
    <row r="2332" spans="1:24" hidden="1" x14ac:dyDescent="0.15">
      <c r="A2332" s="93" t="s">
        <v>1014</v>
      </c>
      <c r="B2332" s="93" t="s">
        <v>7810</v>
      </c>
      <c r="C2332" s="410">
        <v>21</v>
      </c>
      <c r="D2332" s="93" t="s">
        <v>24</v>
      </c>
      <c r="E2332" s="93" t="s">
        <v>24</v>
      </c>
      <c r="F2332" s="93" t="s">
        <v>7</v>
      </c>
      <c r="G2332" s="93" t="s">
        <v>7183</v>
      </c>
      <c r="H2332" s="93" t="s">
        <v>400</v>
      </c>
      <c r="I2332" s="93" t="s">
        <v>111</v>
      </c>
      <c r="J2332" s="93" t="s">
        <v>7105</v>
      </c>
      <c r="K2332" s="93" t="s">
        <v>111</v>
      </c>
      <c r="L2332" s="93" t="s">
        <v>111</v>
      </c>
      <c r="M2332" s="93" t="s">
        <v>111</v>
      </c>
      <c r="N2332" s="93" t="s">
        <v>111</v>
      </c>
      <c r="O2332" s="93" t="s">
        <v>111</v>
      </c>
      <c r="P2332" s="93" t="s">
        <v>111</v>
      </c>
      <c r="Q2332" s="93" t="s">
        <v>111</v>
      </c>
      <c r="R2332" s="93" t="s">
        <v>228</v>
      </c>
      <c r="S2332" s="93" t="s">
        <v>2</v>
      </c>
      <c r="T2332" s="93" t="s">
        <v>115</v>
      </c>
      <c r="U2332" s="93" t="s">
        <v>116</v>
      </c>
      <c r="V2332" s="94">
        <v>44610.138888888891</v>
      </c>
      <c r="W2332" s="93" t="s">
        <v>7072</v>
      </c>
      <c r="X2332" s="93" t="s">
        <v>24</v>
      </c>
    </row>
    <row r="2333" spans="1:24" hidden="1" x14ac:dyDescent="0.15">
      <c r="A2333" s="93" t="s">
        <v>1015</v>
      </c>
      <c r="B2333" s="93" t="s">
        <v>7811</v>
      </c>
      <c r="C2333" s="410">
        <v>54</v>
      </c>
      <c r="D2333" s="93" t="s">
        <v>24</v>
      </c>
      <c r="E2333" s="93" t="s">
        <v>24</v>
      </c>
      <c r="F2333" s="93" t="s">
        <v>7</v>
      </c>
      <c r="G2333" s="93" t="s">
        <v>7183</v>
      </c>
      <c r="H2333" s="93" t="s">
        <v>400</v>
      </c>
      <c r="I2333" s="93" t="s">
        <v>111</v>
      </c>
      <c r="J2333" s="93" t="s">
        <v>7105</v>
      </c>
      <c r="K2333" s="93" t="s">
        <v>111</v>
      </c>
      <c r="L2333" s="93" t="s">
        <v>111</v>
      </c>
      <c r="M2333" s="93" t="s">
        <v>111</v>
      </c>
      <c r="N2333" s="93" t="s">
        <v>111</v>
      </c>
      <c r="O2333" s="93" t="s">
        <v>111</v>
      </c>
      <c r="P2333" s="93" t="s">
        <v>111</v>
      </c>
      <c r="Q2333" s="93" t="s">
        <v>111</v>
      </c>
      <c r="R2333" s="93" t="s">
        <v>228</v>
      </c>
      <c r="S2333" s="93" t="s">
        <v>2</v>
      </c>
      <c r="T2333" s="93" t="s">
        <v>115</v>
      </c>
      <c r="U2333" s="93" t="s">
        <v>116</v>
      </c>
      <c r="V2333" s="94">
        <v>44610.15347222222</v>
      </c>
      <c r="W2333" s="93" t="s">
        <v>7072</v>
      </c>
      <c r="X2333" s="93" t="s">
        <v>24</v>
      </c>
    </row>
    <row r="2334" spans="1:24" hidden="1" x14ac:dyDescent="0.15">
      <c r="A2334" s="93" t="s">
        <v>1016</v>
      </c>
      <c r="B2334" s="93" t="s">
        <v>7812</v>
      </c>
      <c r="C2334" s="410">
        <v>84</v>
      </c>
      <c r="D2334" s="93" t="s">
        <v>24</v>
      </c>
      <c r="E2334" s="93" t="s">
        <v>24</v>
      </c>
      <c r="F2334" s="93" t="s">
        <v>7</v>
      </c>
      <c r="G2334" s="93" t="s">
        <v>7183</v>
      </c>
      <c r="H2334" s="93" t="s">
        <v>400</v>
      </c>
      <c r="I2334" s="93" t="s">
        <v>111</v>
      </c>
      <c r="J2334" s="93" t="s">
        <v>7105</v>
      </c>
      <c r="K2334" s="93" t="s">
        <v>111</v>
      </c>
      <c r="L2334" s="93" t="s">
        <v>111</v>
      </c>
      <c r="M2334" s="93" t="s">
        <v>111</v>
      </c>
      <c r="N2334" s="93" t="s">
        <v>111</v>
      </c>
      <c r="O2334" s="93" t="s">
        <v>111</v>
      </c>
      <c r="P2334" s="93" t="s">
        <v>111</v>
      </c>
      <c r="Q2334" s="93" t="s">
        <v>111</v>
      </c>
      <c r="R2334" s="93" t="s">
        <v>228</v>
      </c>
      <c r="S2334" s="93" t="s">
        <v>2</v>
      </c>
      <c r="T2334" s="93" t="s">
        <v>115</v>
      </c>
      <c r="U2334" s="93" t="s">
        <v>116</v>
      </c>
      <c r="V2334" s="94">
        <v>44610.17083333333</v>
      </c>
      <c r="W2334" s="93" t="s">
        <v>7072</v>
      </c>
      <c r="X2334" s="93" t="s">
        <v>24</v>
      </c>
    </row>
    <row r="2335" spans="1:24" hidden="1" x14ac:dyDescent="0.15">
      <c r="A2335" s="93" t="s">
        <v>1017</v>
      </c>
      <c r="B2335" s="93" t="s">
        <v>7813</v>
      </c>
      <c r="C2335" s="410">
        <v>45</v>
      </c>
      <c r="D2335" s="93" t="s">
        <v>24</v>
      </c>
      <c r="E2335" s="93" t="s">
        <v>24</v>
      </c>
      <c r="F2335" s="93" t="s">
        <v>7</v>
      </c>
      <c r="G2335" s="93" t="s">
        <v>7183</v>
      </c>
      <c r="H2335" s="93" t="s">
        <v>400</v>
      </c>
      <c r="I2335" s="93" t="s">
        <v>111</v>
      </c>
      <c r="J2335" s="93" t="s">
        <v>7105</v>
      </c>
      <c r="K2335" s="93" t="s">
        <v>111</v>
      </c>
      <c r="L2335" s="93" t="s">
        <v>111</v>
      </c>
      <c r="M2335" s="93" t="s">
        <v>111</v>
      </c>
      <c r="N2335" s="93" t="s">
        <v>111</v>
      </c>
      <c r="O2335" s="93" t="s">
        <v>111</v>
      </c>
      <c r="P2335" s="93" t="s">
        <v>111</v>
      </c>
      <c r="Q2335" s="93" t="s">
        <v>111</v>
      </c>
      <c r="R2335" s="93" t="s">
        <v>228</v>
      </c>
      <c r="S2335" s="93" t="s">
        <v>2</v>
      </c>
      <c r="T2335" s="93" t="s">
        <v>115</v>
      </c>
      <c r="U2335" s="93" t="s">
        <v>116</v>
      </c>
      <c r="V2335" s="94">
        <v>44610.161111111112</v>
      </c>
      <c r="W2335" s="93" t="s">
        <v>7072</v>
      </c>
      <c r="X2335" s="93" t="s">
        <v>24</v>
      </c>
    </row>
    <row r="2336" spans="1:24" hidden="1" x14ac:dyDescent="0.15">
      <c r="A2336" s="93" t="s">
        <v>1018</v>
      </c>
      <c r="B2336" s="93" t="s">
        <v>7814</v>
      </c>
      <c r="C2336" s="410">
        <v>115</v>
      </c>
      <c r="D2336" s="93" t="s">
        <v>24</v>
      </c>
      <c r="E2336" s="93" t="s">
        <v>24</v>
      </c>
      <c r="F2336" s="93" t="s">
        <v>7</v>
      </c>
      <c r="G2336" s="93" t="s">
        <v>7183</v>
      </c>
      <c r="H2336" s="93" t="s">
        <v>400</v>
      </c>
      <c r="I2336" s="93" t="s">
        <v>111</v>
      </c>
      <c r="J2336" s="93" t="s">
        <v>7105</v>
      </c>
      <c r="K2336" s="93" t="s">
        <v>111</v>
      </c>
      <c r="L2336" s="93" t="s">
        <v>111</v>
      </c>
      <c r="M2336" s="93" t="s">
        <v>111</v>
      </c>
      <c r="N2336" s="93" t="s">
        <v>111</v>
      </c>
      <c r="O2336" s="93" t="s">
        <v>111</v>
      </c>
      <c r="P2336" s="93" t="s">
        <v>111</v>
      </c>
      <c r="Q2336" s="93" t="s">
        <v>111</v>
      </c>
      <c r="R2336" s="93" t="s">
        <v>228</v>
      </c>
      <c r="S2336" s="93" t="s">
        <v>2</v>
      </c>
      <c r="T2336" s="93" t="s">
        <v>115</v>
      </c>
      <c r="U2336" s="93" t="s">
        <v>116</v>
      </c>
      <c r="V2336" s="94">
        <v>44610.211111111108</v>
      </c>
      <c r="W2336" s="93" t="s">
        <v>7072</v>
      </c>
      <c r="X2336" s="93" t="s">
        <v>24</v>
      </c>
    </row>
    <row r="2337" spans="1:24" hidden="1" x14ac:dyDescent="0.15">
      <c r="A2337" s="93" t="s">
        <v>1019</v>
      </c>
      <c r="B2337" s="93" t="s">
        <v>7815</v>
      </c>
      <c r="C2337" s="410">
        <v>180</v>
      </c>
      <c r="D2337" s="93" t="s">
        <v>24</v>
      </c>
      <c r="E2337" s="93" t="s">
        <v>24</v>
      </c>
      <c r="F2337" s="93" t="s">
        <v>7</v>
      </c>
      <c r="G2337" s="93" t="s">
        <v>7183</v>
      </c>
      <c r="H2337" s="93" t="s">
        <v>400</v>
      </c>
      <c r="I2337" s="93" t="s">
        <v>111</v>
      </c>
      <c r="J2337" s="93" t="s">
        <v>7105</v>
      </c>
      <c r="K2337" s="93" t="s">
        <v>111</v>
      </c>
      <c r="L2337" s="93" t="s">
        <v>111</v>
      </c>
      <c r="M2337" s="93" t="s">
        <v>111</v>
      </c>
      <c r="N2337" s="93" t="s">
        <v>111</v>
      </c>
      <c r="O2337" s="93" t="s">
        <v>111</v>
      </c>
      <c r="P2337" s="93" t="s">
        <v>111</v>
      </c>
      <c r="Q2337" s="93" t="s">
        <v>111</v>
      </c>
      <c r="R2337" s="93" t="s">
        <v>228</v>
      </c>
      <c r="S2337" s="93" t="s">
        <v>2</v>
      </c>
      <c r="T2337" s="93" t="s">
        <v>115</v>
      </c>
      <c r="U2337" s="93" t="s">
        <v>116</v>
      </c>
      <c r="V2337" s="94">
        <v>44610.193749999999</v>
      </c>
      <c r="W2337" s="93" t="s">
        <v>7072</v>
      </c>
      <c r="X2337" s="93" t="s">
        <v>24</v>
      </c>
    </row>
    <row r="2338" spans="1:24" hidden="1" x14ac:dyDescent="0.15">
      <c r="A2338" s="93" t="s">
        <v>1020</v>
      </c>
      <c r="B2338" s="93" t="s">
        <v>7816</v>
      </c>
      <c r="C2338" s="410">
        <v>27</v>
      </c>
      <c r="D2338" s="93" t="s">
        <v>24</v>
      </c>
      <c r="E2338" s="93" t="s">
        <v>24</v>
      </c>
      <c r="F2338" s="93" t="s">
        <v>7</v>
      </c>
      <c r="G2338" s="93" t="s">
        <v>7183</v>
      </c>
      <c r="H2338" s="93" t="s">
        <v>400</v>
      </c>
      <c r="I2338" s="93" t="s">
        <v>111</v>
      </c>
      <c r="J2338" s="93" t="s">
        <v>7105</v>
      </c>
      <c r="K2338" s="93" t="s">
        <v>111</v>
      </c>
      <c r="L2338" s="93" t="s">
        <v>111</v>
      </c>
      <c r="M2338" s="93" t="s">
        <v>111</v>
      </c>
      <c r="N2338" s="93" t="s">
        <v>111</v>
      </c>
      <c r="O2338" s="93" t="s">
        <v>111</v>
      </c>
      <c r="P2338" s="93" t="s">
        <v>111</v>
      </c>
      <c r="Q2338" s="93" t="s">
        <v>111</v>
      </c>
      <c r="R2338" s="93" t="s">
        <v>228</v>
      </c>
      <c r="S2338" s="93" t="s">
        <v>2</v>
      </c>
      <c r="T2338" s="93" t="s">
        <v>115</v>
      </c>
      <c r="U2338" s="93" t="s">
        <v>116</v>
      </c>
      <c r="V2338" s="94">
        <v>44610.2</v>
      </c>
      <c r="W2338" s="93" t="s">
        <v>7072</v>
      </c>
      <c r="X2338" s="93" t="s">
        <v>24</v>
      </c>
    </row>
    <row r="2339" spans="1:24" hidden="1" x14ac:dyDescent="0.15">
      <c r="A2339" s="93" t="s">
        <v>1021</v>
      </c>
      <c r="B2339" s="93" t="s">
        <v>7817</v>
      </c>
      <c r="C2339" s="410">
        <v>69</v>
      </c>
      <c r="D2339" s="93" t="s">
        <v>24</v>
      </c>
      <c r="E2339" s="93" t="s">
        <v>24</v>
      </c>
      <c r="F2339" s="93" t="s">
        <v>7</v>
      </c>
      <c r="G2339" s="93" t="s">
        <v>7183</v>
      </c>
      <c r="H2339" s="93" t="s">
        <v>400</v>
      </c>
      <c r="I2339" s="93" t="s">
        <v>111</v>
      </c>
      <c r="J2339" s="93" t="s">
        <v>7105</v>
      </c>
      <c r="K2339" s="93" t="s">
        <v>111</v>
      </c>
      <c r="L2339" s="93" t="s">
        <v>111</v>
      </c>
      <c r="M2339" s="93" t="s">
        <v>111</v>
      </c>
      <c r="N2339" s="93" t="s">
        <v>111</v>
      </c>
      <c r="O2339" s="93" t="s">
        <v>111</v>
      </c>
      <c r="P2339" s="93" t="s">
        <v>111</v>
      </c>
      <c r="Q2339" s="93" t="s">
        <v>111</v>
      </c>
      <c r="R2339" s="93" t="s">
        <v>228</v>
      </c>
      <c r="S2339" s="93" t="s">
        <v>2</v>
      </c>
      <c r="T2339" s="93" t="s">
        <v>115</v>
      </c>
      <c r="U2339" s="93" t="s">
        <v>116</v>
      </c>
      <c r="V2339" s="94">
        <v>44610.188194444447</v>
      </c>
      <c r="W2339" s="93" t="s">
        <v>7072</v>
      </c>
      <c r="X2339" s="93" t="s">
        <v>24</v>
      </c>
    </row>
    <row r="2340" spans="1:24" hidden="1" x14ac:dyDescent="0.15">
      <c r="A2340" s="93" t="s">
        <v>1022</v>
      </c>
      <c r="B2340" s="93" t="s">
        <v>7818</v>
      </c>
      <c r="C2340" s="410">
        <v>108</v>
      </c>
      <c r="D2340" s="93" t="s">
        <v>24</v>
      </c>
      <c r="E2340" s="93" t="s">
        <v>24</v>
      </c>
      <c r="F2340" s="93" t="s">
        <v>7</v>
      </c>
      <c r="G2340" s="93" t="s">
        <v>7183</v>
      </c>
      <c r="H2340" s="93" t="s">
        <v>400</v>
      </c>
      <c r="I2340" s="93" t="s">
        <v>111</v>
      </c>
      <c r="J2340" s="93" t="s">
        <v>7105</v>
      </c>
      <c r="K2340" s="93" t="s">
        <v>111</v>
      </c>
      <c r="L2340" s="93" t="s">
        <v>111</v>
      </c>
      <c r="M2340" s="93" t="s">
        <v>111</v>
      </c>
      <c r="N2340" s="93" t="s">
        <v>111</v>
      </c>
      <c r="O2340" s="93" t="s">
        <v>111</v>
      </c>
      <c r="P2340" s="93" t="s">
        <v>111</v>
      </c>
      <c r="Q2340" s="93" t="s">
        <v>111</v>
      </c>
      <c r="R2340" s="93" t="s">
        <v>228</v>
      </c>
      <c r="S2340" s="93" t="s">
        <v>2</v>
      </c>
      <c r="T2340" s="93" t="s">
        <v>115</v>
      </c>
      <c r="U2340" s="93" t="s">
        <v>116</v>
      </c>
      <c r="V2340" s="94">
        <v>44610.17083333333</v>
      </c>
      <c r="W2340" s="93" t="s">
        <v>7072</v>
      </c>
      <c r="X2340" s="93" t="s">
        <v>24</v>
      </c>
    </row>
    <row r="2341" spans="1:24" hidden="1" x14ac:dyDescent="0.15">
      <c r="A2341" s="93" t="s">
        <v>1023</v>
      </c>
      <c r="B2341" s="93" t="s">
        <v>7819</v>
      </c>
      <c r="C2341" s="410">
        <v>39</v>
      </c>
      <c r="D2341" s="93" t="s">
        <v>24</v>
      </c>
      <c r="E2341" s="93" t="s">
        <v>24</v>
      </c>
      <c r="F2341" s="93" t="s">
        <v>7</v>
      </c>
      <c r="G2341" s="93" t="s">
        <v>7183</v>
      </c>
      <c r="H2341" s="93" t="s">
        <v>400</v>
      </c>
      <c r="I2341" s="93" t="s">
        <v>111</v>
      </c>
      <c r="J2341" s="93" t="s">
        <v>7105</v>
      </c>
      <c r="K2341" s="93" t="s">
        <v>111</v>
      </c>
      <c r="L2341" s="93" t="s">
        <v>111</v>
      </c>
      <c r="M2341" s="93" t="s">
        <v>111</v>
      </c>
      <c r="N2341" s="93" t="s">
        <v>111</v>
      </c>
      <c r="O2341" s="93" t="s">
        <v>111</v>
      </c>
      <c r="P2341" s="93" t="s">
        <v>111</v>
      </c>
      <c r="Q2341" s="93" t="s">
        <v>111</v>
      </c>
      <c r="R2341" s="93" t="s">
        <v>228</v>
      </c>
      <c r="S2341" s="93" t="s">
        <v>2</v>
      </c>
      <c r="T2341" s="93" t="s">
        <v>115</v>
      </c>
      <c r="U2341" s="93" t="s">
        <v>116</v>
      </c>
      <c r="V2341" s="94">
        <v>44610.2</v>
      </c>
      <c r="W2341" s="93" t="s">
        <v>7072</v>
      </c>
      <c r="X2341" s="93" t="s">
        <v>24</v>
      </c>
    </row>
    <row r="2342" spans="1:24" hidden="1" x14ac:dyDescent="0.15">
      <c r="A2342" s="93" t="s">
        <v>1024</v>
      </c>
      <c r="B2342" s="93" t="s">
        <v>7820</v>
      </c>
      <c r="C2342" s="410">
        <v>100</v>
      </c>
      <c r="D2342" s="93" t="s">
        <v>24</v>
      </c>
      <c r="E2342" s="93" t="s">
        <v>24</v>
      </c>
      <c r="F2342" s="93" t="s">
        <v>7</v>
      </c>
      <c r="G2342" s="93" t="s">
        <v>7183</v>
      </c>
      <c r="H2342" s="93" t="s">
        <v>400</v>
      </c>
      <c r="I2342" s="93" t="s">
        <v>111</v>
      </c>
      <c r="J2342" s="93" t="s">
        <v>7105</v>
      </c>
      <c r="K2342" s="93" t="s">
        <v>111</v>
      </c>
      <c r="L2342" s="93" t="s">
        <v>111</v>
      </c>
      <c r="M2342" s="93" t="s">
        <v>111</v>
      </c>
      <c r="N2342" s="93" t="s">
        <v>111</v>
      </c>
      <c r="O2342" s="93" t="s">
        <v>111</v>
      </c>
      <c r="P2342" s="93" t="s">
        <v>111</v>
      </c>
      <c r="Q2342" s="93" t="s">
        <v>111</v>
      </c>
      <c r="R2342" s="93" t="s">
        <v>228</v>
      </c>
      <c r="S2342" s="93" t="s">
        <v>2</v>
      </c>
      <c r="T2342" s="93" t="s">
        <v>115</v>
      </c>
      <c r="U2342" s="93" t="s">
        <v>116</v>
      </c>
      <c r="V2342" s="94">
        <v>44610.188194444447</v>
      </c>
      <c r="W2342" s="93" t="s">
        <v>7072</v>
      </c>
      <c r="X2342" s="93" t="s">
        <v>24</v>
      </c>
    </row>
    <row r="2343" spans="1:24" hidden="1" x14ac:dyDescent="0.15">
      <c r="A2343" s="93" t="s">
        <v>1025</v>
      </c>
      <c r="B2343" s="93" t="s">
        <v>7821</v>
      </c>
      <c r="C2343" s="410">
        <v>156</v>
      </c>
      <c r="D2343" s="93" t="s">
        <v>24</v>
      </c>
      <c r="E2343" s="93" t="s">
        <v>24</v>
      </c>
      <c r="F2343" s="93" t="s">
        <v>7</v>
      </c>
      <c r="G2343" s="93" t="s">
        <v>7183</v>
      </c>
      <c r="H2343" s="93" t="s">
        <v>400</v>
      </c>
      <c r="I2343" s="93" t="s">
        <v>111</v>
      </c>
      <c r="J2343" s="93" t="s">
        <v>7105</v>
      </c>
      <c r="K2343" s="93" t="s">
        <v>111</v>
      </c>
      <c r="L2343" s="93" t="s">
        <v>111</v>
      </c>
      <c r="M2343" s="93" t="s">
        <v>111</v>
      </c>
      <c r="N2343" s="93" t="s">
        <v>111</v>
      </c>
      <c r="O2343" s="93" t="s">
        <v>111</v>
      </c>
      <c r="P2343" s="93" t="s">
        <v>111</v>
      </c>
      <c r="Q2343" s="93" t="s">
        <v>111</v>
      </c>
      <c r="R2343" s="93" t="s">
        <v>228</v>
      </c>
      <c r="S2343" s="93" t="s">
        <v>2</v>
      </c>
      <c r="T2343" s="93" t="s">
        <v>115</v>
      </c>
      <c r="U2343" s="93" t="s">
        <v>116</v>
      </c>
      <c r="V2343" s="94">
        <v>44610.188888888886</v>
      </c>
      <c r="W2343" s="93" t="s">
        <v>7072</v>
      </c>
      <c r="X2343" s="93" t="s">
        <v>24</v>
      </c>
    </row>
    <row r="2344" spans="1:24" hidden="1" x14ac:dyDescent="0.15">
      <c r="A2344" s="93" t="s">
        <v>1026</v>
      </c>
      <c r="B2344" s="93" t="s">
        <v>7822</v>
      </c>
      <c r="C2344" s="410">
        <v>39</v>
      </c>
      <c r="D2344" s="93" t="s">
        <v>24</v>
      </c>
      <c r="E2344" s="93" t="s">
        <v>24</v>
      </c>
      <c r="F2344" s="93" t="s">
        <v>7</v>
      </c>
      <c r="G2344" s="93" t="s">
        <v>7183</v>
      </c>
      <c r="H2344" s="93" t="s">
        <v>400</v>
      </c>
      <c r="I2344" s="93" t="s">
        <v>111</v>
      </c>
      <c r="J2344" s="93" t="s">
        <v>7105</v>
      </c>
      <c r="K2344" s="93" t="s">
        <v>111</v>
      </c>
      <c r="L2344" s="93" t="s">
        <v>111</v>
      </c>
      <c r="M2344" s="93" t="s">
        <v>111</v>
      </c>
      <c r="N2344" s="93" t="s">
        <v>111</v>
      </c>
      <c r="O2344" s="93" t="s">
        <v>111</v>
      </c>
      <c r="P2344" s="93" t="s">
        <v>111</v>
      </c>
      <c r="Q2344" s="93" t="s">
        <v>111</v>
      </c>
      <c r="R2344" s="93" t="s">
        <v>228</v>
      </c>
      <c r="S2344" s="93" t="s">
        <v>2</v>
      </c>
      <c r="T2344" s="93" t="s">
        <v>115</v>
      </c>
      <c r="U2344" s="93" t="s">
        <v>116</v>
      </c>
      <c r="V2344" s="94">
        <v>44610.188888888886</v>
      </c>
      <c r="W2344" s="93" t="s">
        <v>7072</v>
      </c>
      <c r="X2344" s="93" t="s">
        <v>24</v>
      </c>
    </row>
    <row r="2345" spans="1:24" hidden="1" x14ac:dyDescent="0.15">
      <c r="A2345" s="93" t="s">
        <v>1027</v>
      </c>
      <c r="B2345" s="93" t="s">
        <v>7823</v>
      </c>
      <c r="C2345" s="410">
        <v>100</v>
      </c>
      <c r="D2345" s="93" t="s">
        <v>24</v>
      </c>
      <c r="E2345" s="93" t="s">
        <v>24</v>
      </c>
      <c r="F2345" s="93" t="s">
        <v>7</v>
      </c>
      <c r="G2345" s="93" t="s">
        <v>7183</v>
      </c>
      <c r="H2345" s="93" t="s">
        <v>400</v>
      </c>
      <c r="I2345" s="93" t="s">
        <v>111</v>
      </c>
      <c r="J2345" s="93" t="s">
        <v>7105</v>
      </c>
      <c r="K2345" s="93" t="s">
        <v>111</v>
      </c>
      <c r="L2345" s="93" t="s">
        <v>111</v>
      </c>
      <c r="M2345" s="93" t="s">
        <v>111</v>
      </c>
      <c r="N2345" s="93" t="s">
        <v>111</v>
      </c>
      <c r="O2345" s="93" t="s">
        <v>111</v>
      </c>
      <c r="P2345" s="93" t="s">
        <v>111</v>
      </c>
      <c r="Q2345" s="93" t="s">
        <v>111</v>
      </c>
      <c r="R2345" s="93" t="s">
        <v>228</v>
      </c>
      <c r="S2345" s="93" t="s">
        <v>2</v>
      </c>
      <c r="T2345" s="93" t="s">
        <v>115</v>
      </c>
      <c r="U2345" s="93" t="s">
        <v>116</v>
      </c>
      <c r="V2345" s="94">
        <v>44610.188194444447</v>
      </c>
      <c r="W2345" s="93" t="s">
        <v>7072</v>
      </c>
      <c r="X2345" s="93" t="s">
        <v>24</v>
      </c>
    </row>
    <row r="2346" spans="1:24" hidden="1" x14ac:dyDescent="0.15">
      <c r="A2346" s="93" t="s">
        <v>1028</v>
      </c>
      <c r="B2346" s="93" t="s">
        <v>7824</v>
      </c>
      <c r="C2346" s="410">
        <v>156</v>
      </c>
      <c r="D2346" s="93" t="s">
        <v>24</v>
      </c>
      <c r="E2346" s="93" t="s">
        <v>24</v>
      </c>
      <c r="F2346" s="93" t="s">
        <v>7</v>
      </c>
      <c r="G2346" s="93" t="s">
        <v>7183</v>
      </c>
      <c r="H2346" s="93" t="s">
        <v>400</v>
      </c>
      <c r="I2346" s="93" t="s">
        <v>111</v>
      </c>
      <c r="J2346" s="93" t="s">
        <v>7105</v>
      </c>
      <c r="K2346" s="93" t="s">
        <v>111</v>
      </c>
      <c r="L2346" s="93" t="s">
        <v>111</v>
      </c>
      <c r="M2346" s="93" t="s">
        <v>111</v>
      </c>
      <c r="N2346" s="93" t="s">
        <v>111</v>
      </c>
      <c r="O2346" s="93" t="s">
        <v>111</v>
      </c>
      <c r="P2346" s="93" t="s">
        <v>111</v>
      </c>
      <c r="Q2346" s="93" t="s">
        <v>111</v>
      </c>
      <c r="R2346" s="93" t="s">
        <v>228</v>
      </c>
      <c r="S2346" s="93" t="s">
        <v>2</v>
      </c>
      <c r="T2346" s="93" t="s">
        <v>115</v>
      </c>
      <c r="U2346" s="93" t="s">
        <v>116</v>
      </c>
      <c r="V2346" s="94">
        <v>44610.161111111112</v>
      </c>
      <c r="W2346" s="93" t="s">
        <v>7072</v>
      </c>
      <c r="X2346" s="93" t="s">
        <v>24</v>
      </c>
    </row>
    <row r="2347" spans="1:24" hidden="1" x14ac:dyDescent="0.15">
      <c r="A2347" s="93" t="s">
        <v>1029</v>
      </c>
      <c r="B2347" s="93" t="s">
        <v>7825</v>
      </c>
      <c r="C2347" s="410">
        <v>54</v>
      </c>
      <c r="D2347" s="93" t="s">
        <v>24</v>
      </c>
      <c r="E2347" s="93" t="s">
        <v>24</v>
      </c>
      <c r="F2347" s="93" t="s">
        <v>7</v>
      </c>
      <c r="G2347" s="93" t="s">
        <v>7183</v>
      </c>
      <c r="H2347" s="93" t="s">
        <v>400</v>
      </c>
      <c r="I2347" s="93" t="s">
        <v>111</v>
      </c>
      <c r="J2347" s="93" t="s">
        <v>7105</v>
      </c>
      <c r="K2347" s="93" t="s">
        <v>111</v>
      </c>
      <c r="L2347" s="93" t="s">
        <v>111</v>
      </c>
      <c r="M2347" s="93" t="s">
        <v>111</v>
      </c>
      <c r="N2347" s="93" t="s">
        <v>111</v>
      </c>
      <c r="O2347" s="93" t="s">
        <v>111</v>
      </c>
      <c r="P2347" s="93" t="s">
        <v>111</v>
      </c>
      <c r="Q2347" s="93" t="s">
        <v>111</v>
      </c>
      <c r="R2347" s="93" t="s">
        <v>228</v>
      </c>
      <c r="S2347" s="93" t="s">
        <v>2</v>
      </c>
      <c r="T2347" s="93" t="s">
        <v>115</v>
      </c>
      <c r="U2347" s="93" t="s">
        <v>116</v>
      </c>
      <c r="V2347" s="94">
        <v>44610.2</v>
      </c>
      <c r="W2347" s="93" t="s">
        <v>7072</v>
      </c>
      <c r="X2347" s="93" t="s">
        <v>24</v>
      </c>
    </row>
    <row r="2348" spans="1:24" hidden="1" x14ac:dyDescent="0.15">
      <c r="A2348" s="93" t="s">
        <v>1030</v>
      </c>
      <c r="B2348" s="93" t="s">
        <v>7826</v>
      </c>
      <c r="C2348" s="410">
        <v>138</v>
      </c>
      <c r="D2348" s="93" t="s">
        <v>24</v>
      </c>
      <c r="E2348" s="93" t="s">
        <v>24</v>
      </c>
      <c r="F2348" s="93" t="s">
        <v>7</v>
      </c>
      <c r="G2348" s="93" t="s">
        <v>7183</v>
      </c>
      <c r="H2348" s="93" t="s">
        <v>400</v>
      </c>
      <c r="I2348" s="93" t="s">
        <v>111</v>
      </c>
      <c r="J2348" s="93" t="s">
        <v>7105</v>
      </c>
      <c r="K2348" s="93" t="s">
        <v>111</v>
      </c>
      <c r="L2348" s="93" t="s">
        <v>111</v>
      </c>
      <c r="M2348" s="93" t="s">
        <v>111</v>
      </c>
      <c r="N2348" s="93" t="s">
        <v>111</v>
      </c>
      <c r="O2348" s="93" t="s">
        <v>111</v>
      </c>
      <c r="P2348" s="93" t="s">
        <v>111</v>
      </c>
      <c r="Q2348" s="93" t="s">
        <v>111</v>
      </c>
      <c r="R2348" s="93" t="s">
        <v>228</v>
      </c>
      <c r="S2348" s="93" t="s">
        <v>2</v>
      </c>
      <c r="T2348" s="93" t="s">
        <v>115</v>
      </c>
      <c r="U2348" s="93" t="s">
        <v>116</v>
      </c>
      <c r="V2348" s="94">
        <v>44610.188888888886</v>
      </c>
      <c r="W2348" s="93" t="s">
        <v>7072</v>
      </c>
      <c r="X2348" s="93" t="s">
        <v>24</v>
      </c>
    </row>
    <row r="2349" spans="1:24" hidden="1" x14ac:dyDescent="0.15">
      <c r="A2349" s="93" t="s">
        <v>1031</v>
      </c>
      <c r="B2349" s="93" t="s">
        <v>7827</v>
      </c>
      <c r="C2349" s="410">
        <v>216</v>
      </c>
      <c r="D2349" s="93" t="s">
        <v>24</v>
      </c>
      <c r="E2349" s="93" t="s">
        <v>24</v>
      </c>
      <c r="F2349" s="93" t="s">
        <v>7</v>
      </c>
      <c r="G2349" s="93" t="s">
        <v>7183</v>
      </c>
      <c r="H2349" s="93" t="s">
        <v>400</v>
      </c>
      <c r="I2349" s="93" t="s">
        <v>111</v>
      </c>
      <c r="J2349" s="93" t="s">
        <v>7105</v>
      </c>
      <c r="K2349" s="93" t="s">
        <v>111</v>
      </c>
      <c r="L2349" s="93" t="s">
        <v>111</v>
      </c>
      <c r="M2349" s="93" t="s">
        <v>111</v>
      </c>
      <c r="N2349" s="93" t="s">
        <v>111</v>
      </c>
      <c r="O2349" s="93" t="s">
        <v>111</v>
      </c>
      <c r="P2349" s="93" t="s">
        <v>111</v>
      </c>
      <c r="Q2349" s="93" t="s">
        <v>111</v>
      </c>
      <c r="R2349" s="93" t="s">
        <v>228</v>
      </c>
      <c r="S2349" s="93" t="s">
        <v>2</v>
      </c>
      <c r="T2349" s="93" t="s">
        <v>115</v>
      </c>
      <c r="U2349" s="93" t="s">
        <v>116</v>
      </c>
      <c r="V2349" s="94">
        <v>44610.188194444447</v>
      </c>
      <c r="W2349" s="93" t="s">
        <v>7072</v>
      </c>
      <c r="X2349" s="93" t="s">
        <v>24</v>
      </c>
    </row>
    <row r="2350" spans="1:24" hidden="1" x14ac:dyDescent="0.15">
      <c r="A2350" s="93" t="s">
        <v>1032</v>
      </c>
      <c r="B2350" s="93" t="s">
        <v>7828</v>
      </c>
      <c r="C2350" s="410">
        <v>48</v>
      </c>
      <c r="D2350" s="93" t="s">
        <v>24</v>
      </c>
      <c r="E2350" s="93" t="s">
        <v>24</v>
      </c>
      <c r="F2350" s="93" t="s">
        <v>7</v>
      </c>
      <c r="G2350" s="93" t="s">
        <v>7183</v>
      </c>
      <c r="H2350" s="93" t="s">
        <v>400</v>
      </c>
      <c r="I2350" s="93" t="s">
        <v>111</v>
      </c>
      <c r="J2350" s="93" t="s">
        <v>7105</v>
      </c>
      <c r="K2350" s="93" t="s">
        <v>111</v>
      </c>
      <c r="L2350" s="93" t="s">
        <v>111</v>
      </c>
      <c r="M2350" s="93" t="s">
        <v>111</v>
      </c>
      <c r="N2350" s="93" t="s">
        <v>111</v>
      </c>
      <c r="O2350" s="93" t="s">
        <v>111</v>
      </c>
      <c r="P2350" s="93" t="s">
        <v>111</v>
      </c>
      <c r="Q2350" s="93" t="s">
        <v>111</v>
      </c>
      <c r="R2350" s="93" t="s">
        <v>228</v>
      </c>
      <c r="S2350" s="93" t="s">
        <v>2</v>
      </c>
      <c r="T2350" s="93" t="s">
        <v>115</v>
      </c>
      <c r="U2350" s="93" t="s">
        <v>116</v>
      </c>
      <c r="V2350" s="94">
        <v>44610.211111111108</v>
      </c>
      <c r="W2350" s="93" t="s">
        <v>7072</v>
      </c>
      <c r="X2350" s="93" t="s">
        <v>24</v>
      </c>
    </row>
    <row r="2351" spans="1:24" hidden="1" x14ac:dyDescent="0.15">
      <c r="A2351" s="93" t="s">
        <v>1033</v>
      </c>
      <c r="B2351" s="93" t="s">
        <v>7829</v>
      </c>
      <c r="C2351" s="410">
        <v>123</v>
      </c>
      <c r="D2351" s="93" t="s">
        <v>24</v>
      </c>
      <c r="E2351" s="93" t="s">
        <v>24</v>
      </c>
      <c r="F2351" s="93" t="s">
        <v>7</v>
      </c>
      <c r="G2351" s="93" t="s">
        <v>7183</v>
      </c>
      <c r="H2351" s="93" t="s">
        <v>400</v>
      </c>
      <c r="I2351" s="93" t="s">
        <v>111</v>
      </c>
      <c r="J2351" s="93" t="s">
        <v>7105</v>
      </c>
      <c r="K2351" s="93" t="s">
        <v>111</v>
      </c>
      <c r="L2351" s="93" t="s">
        <v>111</v>
      </c>
      <c r="M2351" s="93" t="s">
        <v>111</v>
      </c>
      <c r="N2351" s="93" t="s">
        <v>111</v>
      </c>
      <c r="O2351" s="93" t="s">
        <v>111</v>
      </c>
      <c r="P2351" s="93" t="s">
        <v>111</v>
      </c>
      <c r="Q2351" s="93" t="s">
        <v>111</v>
      </c>
      <c r="R2351" s="93" t="s">
        <v>228</v>
      </c>
      <c r="S2351" s="93" t="s">
        <v>2</v>
      </c>
      <c r="T2351" s="93" t="s">
        <v>115</v>
      </c>
      <c r="U2351" s="93" t="s">
        <v>116</v>
      </c>
      <c r="V2351" s="94">
        <v>44610.193749999999</v>
      </c>
      <c r="W2351" s="93" t="s">
        <v>7072</v>
      </c>
      <c r="X2351" s="93" t="s">
        <v>24</v>
      </c>
    </row>
    <row r="2352" spans="1:24" hidden="1" x14ac:dyDescent="0.15">
      <c r="A2352" s="93" t="s">
        <v>1034</v>
      </c>
      <c r="B2352" s="93" t="s">
        <v>7830</v>
      </c>
      <c r="C2352" s="410">
        <v>192</v>
      </c>
      <c r="D2352" s="93" t="s">
        <v>24</v>
      </c>
      <c r="E2352" s="93" t="s">
        <v>24</v>
      </c>
      <c r="F2352" s="93" t="s">
        <v>7</v>
      </c>
      <c r="G2352" s="93" t="s">
        <v>7183</v>
      </c>
      <c r="H2352" s="93" t="s">
        <v>400</v>
      </c>
      <c r="I2352" s="93" t="s">
        <v>111</v>
      </c>
      <c r="J2352" s="93" t="s">
        <v>7105</v>
      </c>
      <c r="K2352" s="93" t="s">
        <v>111</v>
      </c>
      <c r="L2352" s="93" t="s">
        <v>111</v>
      </c>
      <c r="M2352" s="93" t="s">
        <v>111</v>
      </c>
      <c r="N2352" s="93" t="s">
        <v>111</v>
      </c>
      <c r="O2352" s="93" t="s">
        <v>111</v>
      </c>
      <c r="P2352" s="93" t="s">
        <v>111</v>
      </c>
      <c r="Q2352" s="93" t="s">
        <v>111</v>
      </c>
      <c r="R2352" s="93" t="s">
        <v>228</v>
      </c>
      <c r="S2352" s="93" t="s">
        <v>2</v>
      </c>
      <c r="T2352" s="93" t="s">
        <v>115</v>
      </c>
      <c r="U2352" s="93" t="s">
        <v>116</v>
      </c>
      <c r="V2352" s="94">
        <v>44610.138888888891</v>
      </c>
      <c r="W2352" s="93" t="s">
        <v>7072</v>
      </c>
      <c r="X2352" s="93" t="s">
        <v>24</v>
      </c>
    </row>
    <row r="2353" spans="1:24" hidden="1" x14ac:dyDescent="0.15">
      <c r="A2353" s="93" t="s">
        <v>951</v>
      </c>
      <c r="B2353" s="93" t="s">
        <v>952</v>
      </c>
      <c r="C2353" s="410">
        <v>8</v>
      </c>
      <c r="D2353" s="93" t="s">
        <v>24</v>
      </c>
      <c r="E2353" s="93" t="s">
        <v>24</v>
      </c>
      <c r="F2353" s="93" t="s">
        <v>7</v>
      </c>
      <c r="G2353" s="93" t="s">
        <v>7183</v>
      </c>
      <c r="H2353" s="93" t="s">
        <v>400</v>
      </c>
      <c r="I2353" s="93" t="s">
        <v>111</v>
      </c>
      <c r="J2353" s="93" t="s">
        <v>118</v>
      </c>
      <c r="K2353" s="93">
        <v>3</v>
      </c>
      <c r="L2353" s="93" t="s">
        <v>111</v>
      </c>
      <c r="M2353" s="93" t="s">
        <v>111</v>
      </c>
      <c r="N2353" s="93" t="s">
        <v>111</v>
      </c>
      <c r="O2353" s="93" t="s">
        <v>111</v>
      </c>
      <c r="P2353" s="93" t="s">
        <v>111</v>
      </c>
      <c r="Q2353" s="93" t="s">
        <v>111</v>
      </c>
      <c r="R2353" s="93" t="s">
        <v>228</v>
      </c>
      <c r="S2353" s="93" t="s">
        <v>2</v>
      </c>
      <c r="T2353" s="93" t="s">
        <v>115</v>
      </c>
      <c r="U2353" s="93" t="s">
        <v>116</v>
      </c>
      <c r="V2353" s="94">
        <v>44610.189583333333</v>
      </c>
      <c r="W2353" s="93" t="s">
        <v>402</v>
      </c>
      <c r="X2353" s="93" t="s">
        <v>24</v>
      </c>
    </row>
    <row r="2354" spans="1:24" hidden="1" x14ac:dyDescent="0.15">
      <c r="A2354" s="93" t="s">
        <v>3864</v>
      </c>
      <c r="B2354" s="93" t="s">
        <v>3865</v>
      </c>
      <c r="C2354" s="410">
        <v>21</v>
      </c>
      <c r="D2354" s="93" t="s">
        <v>24</v>
      </c>
      <c r="E2354" s="93" t="s">
        <v>24</v>
      </c>
      <c r="F2354" s="93" t="s">
        <v>7</v>
      </c>
      <c r="G2354" s="93" t="s">
        <v>7183</v>
      </c>
      <c r="H2354" s="93" t="s">
        <v>400</v>
      </c>
      <c r="I2354" s="93" t="s">
        <v>111</v>
      </c>
      <c r="J2354" s="93" t="s">
        <v>118</v>
      </c>
      <c r="K2354" s="93">
        <v>3</v>
      </c>
      <c r="L2354" s="93" t="s">
        <v>111</v>
      </c>
      <c r="M2354" s="93" t="s">
        <v>111</v>
      </c>
      <c r="N2354" s="93" t="s">
        <v>111</v>
      </c>
      <c r="O2354" s="93" t="s">
        <v>111</v>
      </c>
      <c r="P2354" s="93" t="s">
        <v>111</v>
      </c>
      <c r="Q2354" s="93" t="s">
        <v>111</v>
      </c>
      <c r="R2354" s="93" t="s">
        <v>228</v>
      </c>
      <c r="S2354" s="93" t="s">
        <v>2</v>
      </c>
      <c r="T2354" s="93" t="s">
        <v>115</v>
      </c>
      <c r="U2354" s="93" t="s">
        <v>116</v>
      </c>
      <c r="V2354" s="94">
        <v>44610.212500000001</v>
      </c>
      <c r="W2354" s="93" t="s">
        <v>1170</v>
      </c>
      <c r="X2354" s="93" t="s">
        <v>24</v>
      </c>
    </row>
    <row r="2355" spans="1:24" hidden="1" x14ac:dyDescent="0.15">
      <c r="A2355" s="93" t="s">
        <v>953</v>
      </c>
      <c r="B2355" s="93" t="s">
        <v>954</v>
      </c>
      <c r="C2355" s="410">
        <v>32</v>
      </c>
      <c r="D2355" s="93" t="s">
        <v>24</v>
      </c>
      <c r="E2355" s="93" t="s">
        <v>24</v>
      </c>
      <c r="F2355" s="93" t="s">
        <v>7</v>
      </c>
      <c r="G2355" s="93" t="s">
        <v>7183</v>
      </c>
      <c r="H2355" s="93" t="s">
        <v>400</v>
      </c>
      <c r="I2355" s="93" t="s">
        <v>111</v>
      </c>
      <c r="J2355" s="93" t="s">
        <v>118</v>
      </c>
      <c r="K2355" s="93">
        <v>3</v>
      </c>
      <c r="L2355" s="93" t="s">
        <v>111</v>
      </c>
      <c r="M2355" s="93" t="s">
        <v>111</v>
      </c>
      <c r="N2355" s="93" t="s">
        <v>111</v>
      </c>
      <c r="O2355" s="93" t="s">
        <v>111</v>
      </c>
      <c r="P2355" s="93" t="s">
        <v>111</v>
      </c>
      <c r="Q2355" s="93" t="s">
        <v>111</v>
      </c>
      <c r="R2355" s="93" t="s">
        <v>228</v>
      </c>
      <c r="S2355" s="93" t="s">
        <v>2</v>
      </c>
      <c r="T2355" s="93" t="s">
        <v>115</v>
      </c>
      <c r="U2355" s="93" t="s">
        <v>116</v>
      </c>
      <c r="V2355" s="94">
        <v>44610.197222222225</v>
      </c>
      <c r="W2355" s="93" t="s">
        <v>402</v>
      </c>
      <c r="X2355" s="93" t="s">
        <v>24</v>
      </c>
    </row>
    <row r="2356" spans="1:24" hidden="1" x14ac:dyDescent="0.15">
      <c r="A2356" s="93" t="s">
        <v>955</v>
      </c>
      <c r="B2356" s="93" t="s">
        <v>956</v>
      </c>
      <c r="C2356" s="410">
        <v>18</v>
      </c>
      <c r="D2356" s="93" t="s">
        <v>24</v>
      </c>
      <c r="E2356" s="93" t="s">
        <v>24</v>
      </c>
      <c r="F2356" s="93" t="s">
        <v>7</v>
      </c>
      <c r="G2356" s="93" t="s">
        <v>7183</v>
      </c>
      <c r="H2356" s="93" t="s">
        <v>400</v>
      </c>
      <c r="I2356" s="93" t="s">
        <v>111</v>
      </c>
      <c r="J2356" s="93" t="s">
        <v>118</v>
      </c>
      <c r="K2356" s="93">
        <v>3</v>
      </c>
      <c r="L2356" s="93" t="s">
        <v>111</v>
      </c>
      <c r="M2356" s="93" t="s">
        <v>111</v>
      </c>
      <c r="N2356" s="93" t="s">
        <v>111</v>
      </c>
      <c r="O2356" s="93" t="s">
        <v>111</v>
      </c>
      <c r="P2356" s="93" t="s">
        <v>111</v>
      </c>
      <c r="Q2356" s="93" t="s">
        <v>111</v>
      </c>
      <c r="R2356" s="93" t="s">
        <v>228</v>
      </c>
      <c r="S2356" s="93" t="s">
        <v>2</v>
      </c>
      <c r="T2356" s="93" t="s">
        <v>115</v>
      </c>
      <c r="U2356" s="93" t="s">
        <v>116</v>
      </c>
      <c r="V2356" s="94">
        <v>44610.204861111109</v>
      </c>
      <c r="W2356" s="93" t="s">
        <v>402</v>
      </c>
      <c r="X2356" s="93" t="s">
        <v>24</v>
      </c>
    </row>
    <row r="2357" spans="1:24" hidden="1" x14ac:dyDescent="0.15">
      <c r="A2357" s="93" t="s">
        <v>3866</v>
      </c>
      <c r="B2357" s="93" t="s">
        <v>3867</v>
      </c>
      <c r="C2357" s="410">
        <v>46</v>
      </c>
      <c r="D2357" s="93" t="s">
        <v>24</v>
      </c>
      <c r="E2357" s="93" t="s">
        <v>24</v>
      </c>
      <c r="F2357" s="93" t="s">
        <v>7</v>
      </c>
      <c r="G2357" s="93" t="s">
        <v>7183</v>
      </c>
      <c r="H2357" s="93" t="s">
        <v>400</v>
      </c>
      <c r="I2357" s="93" t="s">
        <v>111</v>
      </c>
      <c r="J2357" s="93" t="s">
        <v>118</v>
      </c>
      <c r="K2357" s="93">
        <v>3</v>
      </c>
      <c r="L2357" s="93" t="s">
        <v>111</v>
      </c>
      <c r="M2357" s="93" t="s">
        <v>111</v>
      </c>
      <c r="N2357" s="93" t="s">
        <v>111</v>
      </c>
      <c r="O2357" s="93" t="s">
        <v>111</v>
      </c>
      <c r="P2357" s="93" t="s">
        <v>111</v>
      </c>
      <c r="Q2357" s="93" t="s">
        <v>111</v>
      </c>
      <c r="R2357" s="93" t="s">
        <v>228</v>
      </c>
      <c r="S2357" s="93" t="s">
        <v>2</v>
      </c>
      <c r="T2357" s="93" t="s">
        <v>115</v>
      </c>
      <c r="U2357" s="93" t="s">
        <v>116</v>
      </c>
      <c r="V2357" s="94">
        <v>44610.174305555556</v>
      </c>
      <c r="W2357" s="93" t="s">
        <v>1170</v>
      </c>
      <c r="X2357" s="93" t="s">
        <v>24</v>
      </c>
    </row>
    <row r="2358" spans="1:24" hidden="1" x14ac:dyDescent="0.15">
      <c r="A2358" s="93" t="s">
        <v>3868</v>
      </c>
      <c r="B2358" s="93" t="s">
        <v>3869</v>
      </c>
      <c r="C2358" s="410">
        <v>72</v>
      </c>
      <c r="D2358" s="93" t="s">
        <v>24</v>
      </c>
      <c r="E2358" s="93" t="s">
        <v>24</v>
      </c>
      <c r="F2358" s="93" t="s">
        <v>7</v>
      </c>
      <c r="G2358" s="93" t="s">
        <v>7183</v>
      </c>
      <c r="H2358" s="93" t="s">
        <v>400</v>
      </c>
      <c r="I2358" s="93" t="s">
        <v>111</v>
      </c>
      <c r="J2358" s="93" t="s">
        <v>118</v>
      </c>
      <c r="K2358" s="93">
        <v>3</v>
      </c>
      <c r="L2358" s="93" t="s">
        <v>111</v>
      </c>
      <c r="M2358" s="93" t="s">
        <v>111</v>
      </c>
      <c r="N2358" s="93" t="s">
        <v>111</v>
      </c>
      <c r="O2358" s="93" t="s">
        <v>111</v>
      </c>
      <c r="P2358" s="93" t="s">
        <v>111</v>
      </c>
      <c r="Q2358" s="93" t="s">
        <v>111</v>
      </c>
      <c r="R2358" s="93" t="s">
        <v>228</v>
      </c>
      <c r="S2358" s="93" t="s">
        <v>2</v>
      </c>
      <c r="T2358" s="93" t="s">
        <v>115</v>
      </c>
      <c r="U2358" s="93" t="s">
        <v>116</v>
      </c>
      <c r="V2358" s="94">
        <v>44610.148611111108</v>
      </c>
      <c r="W2358" s="93" t="s">
        <v>1170</v>
      </c>
      <c r="X2358" s="93" t="s">
        <v>24</v>
      </c>
    </row>
    <row r="2359" spans="1:24" hidden="1" x14ac:dyDescent="0.15">
      <c r="A2359" s="93" t="s">
        <v>957</v>
      </c>
      <c r="B2359" s="93" t="s">
        <v>958</v>
      </c>
      <c r="C2359" s="410">
        <v>36</v>
      </c>
      <c r="D2359" s="93" t="s">
        <v>24</v>
      </c>
      <c r="E2359" s="93" t="s">
        <v>24</v>
      </c>
      <c r="F2359" s="93" t="s">
        <v>7</v>
      </c>
      <c r="G2359" s="93" t="s">
        <v>7183</v>
      </c>
      <c r="H2359" s="93" t="s">
        <v>400</v>
      </c>
      <c r="I2359" s="93" t="s">
        <v>111</v>
      </c>
      <c r="J2359" s="93" t="s">
        <v>118</v>
      </c>
      <c r="K2359" s="93">
        <v>3</v>
      </c>
      <c r="L2359" s="93" t="s">
        <v>111</v>
      </c>
      <c r="M2359" s="93" t="s">
        <v>111</v>
      </c>
      <c r="N2359" s="93" t="s">
        <v>111</v>
      </c>
      <c r="O2359" s="93" t="s">
        <v>111</v>
      </c>
      <c r="P2359" s="93" t="s">
        <v>111</v>
      </c>
      <c r="Q2359" s="93" t="s">
        <v>111</v>
      </c>
      <c r="R2359" s="93" t="s">
        <v>228</v>
      </c>
      <c r="S2359" s="93" t="s">
        <v>2</v>
      </c>
      <c r="T2359" s="93" t="s">
        <v>115</v>
      </c>
      <c r="U2359" s="93" t="s">
        <v>116</v>
      </c>
      <c r="V2359" s="94">
        <v>44610.142361111109</v>
      </c>
      <c r="W2359" s="93" t="s">
        <v>402</v>
      </c>
      <c r="X2359" s="93" t="s">
        <v>24</v>
      </c>
    </row>
    <row r="2360" spans="1:24" hidden="1" x14ac:dyDescent="0.15">
      <c r="A2360" s="93" t="s">
        <v>959</v>
      </c>
      <c r="B2360" s="93" t="s">
        <v>960</v>
      </c>
      <c r="C2360" s="410">
        <v>92</v>
      </c>
      <c r="D2360" s="93" t="s">
        <v>24</v>
      </c>
      <c r="E2360" s="93" t="s">
        <v>24</v>
      </c>
      <c r="F2360" s="93" t="s">
        <v>7</v>
      </c>
      <c r="G2360" s="93" t="s">
        <v>7183</v>
      </c>
      <c r="H2360" s="93" t="s">
        <v>400</v>
      </c>
      <c r="I2360" s="93" t="s">
        <v>111</v>
      </c>
      <c r="J2360" s="93" t="s">
        <v>118</v>
      </c>
      <c r="K2360" s="93">
        <v>3</v>
      </c>
      <c r="L2360" s="93" t="s">
        <v>111</v>
      </c>
      <c r="M2360" s="93" t="s">
        <v>111</v>
      </c>
      <c r="N2360" s="93" t="s">
        <v>111</v>
      </c>
      <c r="O2360" s="93" t="s">
        <v>111</v>
      </c>
      <c r="P2360" s="93" t="s">
        <v>111</v>
      </c>
      <c r="Q2360" s="93" t="s">
        <v>111</v>
      </c>
      <c r="R2360" s="93" t="s">
        <v>228</v>
      </c>
      <c r="S2360" s="93" t="s">
        <v>2</v>
      </c>
      <c r="T2360" s="93" t="s">
        <v>115</v>
      </c>
      <c r="U2360" s="93" t="s">
        <v>116</v>
      </c>
      <c r="V2360" s="94">
        <v>44610.204861111109</v>
      </c>
      <c r="W2360" s="93" t="s">
        <v>402</v>
      </c>
      <c r="X2360" s="93" t="s">
        <v>24</v>
      </c>
    </row>
    <row r="2361" spans="1:24" hidden="1" x14ac:dyDescent="0.15">
      <c r="A2361" s="93" t="s">
        <v>3870</v>
      </c>
      <c r="B2361" s="93" t="s">
        <v>3871</v>
      </c>
      <c r="C2361" s="410">
        <v>144</v>
      </c>
      <c r="D2361" s="93" t="s">
        <v>24</v>
      </c>
      <c r="E2361" s="93" t="s">
        <v>24</v>
      </c>
      <c r="F2361" s="93" t="s">
        <v>7</v>
      </c>
      <c r="G2361" s="93" t="s">
        <v>7183</v>
      </c>
      <c r="H2361" s="93" t="s">
        <v>400</v>
      </c>
      <c r="I2361" s="93" t="s">
        <v>111</v>
      </c>
      <c r="J2361" s="93" t="s">
        <v>118</v>
      </c>
      <c r="K2361" s="93">
        <v>3</v>
      </c>
      <c r="L2361" s="93" t="s">
        <v>111</v>
      </c>
      <c r="M2361" s="93" t="s">
        <v>111</v>
      </c>
      <c r="N2361" s="93" t="s">
        <v>111</v>
      </c>
      <c r="O2361" s="93" t="s">
        <v>111</v>
      </c>
      <c r="P2361" s="93" t="s">
        <v>111</v>
      </c>
      <c r="Q2361" s="93" t="s">
        <v>111</v>
      </c>
      <c r="R2361" s="93" t="s">
        <v>228</v>
      </c>
      <c r="S2361" s="93" t="s">
        <v>2</v>
      </c>
      <c r="T2361" s="93" t="s">
        <v>115</v>
      </c>
      <c r="U2361" s="93" t="s">
        <v>116</v>
      </c>
      <c r="V2361" s="94">
        <v>44610.212500000001</v>
      </c>
      <c r="W2361" s="93" t="s">
        <v>1170</v>
      </c>
      <c r="X2361" s="93" t="s">
        <v>24</v>
      </c>
    </row>
    <row r="2362" spans="1:24" hidden="1" x14ac:dyDescent="0.15">
      <c r="A2362" s="93" t="s">
        <v>466</v>
      </c>
      <c r="B2362" s="93" t="s">
        <v>467</v>
      </c>
      <c r="C2362" s="410">
        <v>13</v>
      </c>
      <c r="D2362" s="93" t="s">
        <v>24</v>
      </c>
      <c r="E2362" s="93" t="s">
        <v>24</v>
      </c>
      <c r="F2362" s="93" t="s">
        <v>7</v>
      </c>
      <c r="G2362" s="93" t="s">
        <v>7183</v>
      </c>
      <c r="H2362" s="93" t="s">
        <v>118</v>
      </c>
      <c r="I2362" s="93" t="s">
        <v>111</v>
      </c>
      <c r="J2362" s="93" t="s">
        <v>7105</v>
      </c>
      <c r="K2362" s="93" t="s">
        <v>111</v>
      </c>
      <c r="L2362" s="93" t="s">
        <v>111</v>
      </c>
      <c r="M2362" s="93" t="s">
        <v>111</v>
      </c>
      <c r="N2362" s="93" t="s">
        <v>111</v>
      </c>
      <c r="O2362" s="93" t="s">
        <v>111</v>
      </c>
      <c r="P2362" s="93" t="s">
        <v>111</v>
      </c>
      <c r="Q2362" s="93" t="s">
        <v>111</v>
      </c>
      <c r="R2362" s="93" t="s">
        <v>111</v>
      </c>
      <c r="S2362" s="93" t="s">
        <v>2</v>
      </c>
      <c r="T2362" s="93" t="s">
        <v>111</v>
      </c>
      <c r="U2362" s="93" t="s">
        <v>116</v>
      </c>
      <c r="V2362" s="94">
        <v>44596.658333333333</v>
      </c>
      <c r="W2362" s="93" t="s">
        <v>7072</v>
      </c>
      <c r="X2362" s="93" t="s">
        <v>24</v>
      </c>
    </row>
    <row r="2363" spans="1:24" hidden="1" x14ac:dyDescent="0.15">
      <c r="A2363" s="93" t="s">
        <v>468</v>
      </c>
      <c r="B2363" s="93" t="s">
        <v>469</v>
      </c>
      <c r="C2363" s="410">
        <v>34</v>
      </c>
      <c r="D2363" s="93" t="s">
        <v>24</v>
      </c>
      <c r="E2363" s="93" t="s">
        <v>24</v>
      </c>
      <c r="F2363" s="93" t="s">
        <v>7</v>
      </c>
      <c r="G2363" s="93" t="s">
        <v>7183</v>
      </c>
      <c r="H2363" s="93" t="s">
        <v>118</v>
      </c>
      <c r="I2363" s="93" t="s">
        <v>111</v>
      </c>
      <c r="J2363" s="93" t="s">
        <v>7105</v>
      </c>
      <c r="K2363" s="93" t="s">
        <v>111</v>
      </c>
      <c r="L2363" s="93" t="s">
        <v>111</v>
      </c>
      <c r="M2363" s="93" t="s">
        <v>111</v>
      </c>
      <c r="N2363" s="93" t="s">
        <v>111</v>
      </c>
      <c r="O2363" s="93" t="s">
        <v>111</v>
      </c>
      <c r="P2363" s="93" t="s">
        <v>111</v>
      </c>
      <c r="Q2363" s="93" t="s">
        <v>111</v>
      </c>
      <c r="R2363" s="93" t="s">
        <v>111</v>
      </c>
      <c r="S2363" s="93" t="s">
        <v>2</v>
      </c>
      <c r="T2363" s="93" t="s">
        <v>111</v>
      </c>
      <c r="U2363" s="93" t="s">
        <v>116</v>
      </c>
      <c r="V2363" s="94">
        <v>44596.658333333333</v>
      </c>
      <c r="W2363" s="93" t="s">
        <v>7072</v>
      </c>
      <c r="X2363" s="93" t="s">
        <v>24</v>
      </c>
    </row>
    <row r="2364" spans="1:24" hidden="1" x14ac:dyDescent="0.15">
      <c r="A2364" s="93" t="s">
        <v>470</v>
      </c>
      <c r="B2364" s="93" t="s">
        <v>471</v>
      </c>
      <c r="C2364" s="410">
        <v>52</v>
      </c>
      <c r="D2364" s="93" t="s">
        <v>24</v>
      </c>
      <c r="E2364" s="93" t="s">
        <v>24</v>
      </c>
      <c r="F2364" s="93" t="s">
        <v>7</v>
      </c>
      <c r="G2364" s="93" t="s">
        <v>7183</v>
      </c>
      <c r="H2364" s="93" t="s">
        <v>118</v>
      </c>
      <c r="I2364" s="93" t="s">
        <v>111</v>
      </c>
      <c r="J2364" s="93" t="s">
        <v>7105</v>
      </c>
      <c r="K2364" s="93" t="s">
        <v>111</v>
      </c>
      <c r="L2364" s="93" t="s">
        <v>111</v>
      </c>
      <c r="M2364" s="93" t="s">
        <v>111</v>
      </c>
      <c r="N2364" s="93" t="s">
        <v>111</v>
      </c>
      <c r="O2364" s="93" t="s">
        <v>111</v>
      </c>
      <c r="P2364" s="93" t="s">
        <v>111</v>
      </c>
      <c r="Q2364" s="93" t="s">
        <v>111</v>
      </c>
      <c r="R2364" s="93" t="s">
        <v>111</v>
      </c>
      <c r="S2364" s="93" t="s">
        <v>2</v>
      </c>
      <c r="T2364" s="93" t="s">
        <v>111</v>
      </c>
      <c r="U2364" s="93" t="s">
        <v>116</v>
      </c>
      <c r="V2364" s="94">
        <v>44596.693749999999</v>
      </c>
      <c r="W2364" s="93" t="s">
        <v>7072</v>
      </c>
      <c r="X2364" s="93" t="s">
        <v>24</v>
      </c>
    </row>
    <row r="2365" spans="1:24" hidden="1" x14ac:dyDescent="0.15">
      <c r="A2365" s="93" t="s">
        <v>472</v>
      </c>
      <c r="B2365" s="93" t="s">
        <v>473</v>
      </c>
      <c r="C2365" s="410">
        <v>66</v>
      </c>
      <c r="D2365" s="93" t="s">
        <v>24</v>
      </c>
      <c r="E2365" s="93" t="s">
        <v>24</v>
      </c>
      <c r="F2365" s="93" t="s">
        <v>7</v>
      </c>
      <c r="G2365" s="93" t="s">
        <v>7183</v>
      </c>
      <c r="H2365" s="93" t="s">
        <v>118</v>
      </c>
      <c r="I2365" s="93" t="s">
        <v>111</v>
      </c>
      <c r="J2365" s="93" t="s">
        <v>7105</v>
      </c>
      <c r="K2365" s="93" t="s">
        <v>111</v>
      </c>
      <c r="L2365" s="93" t="s">
        <v>111</v>
      </c>
      <c r="M2365" s="93" t="s">
        <v>111</v>
      </c>
      <c r="N2365" s="93" t="s">
        <v>111</v>
      </c>
      <c r="O2365" s="93" t="s">
        <v>111</v>
      </c>
      <c r="P2365" s="93" t="s">
        <v>111</v>
      </c>
      <c r="Q2365" s="93" t="s">
        <v>111</v>
      </c>
      <c r="R2365" s="93" t="s">
        <v>111</v>
      </c>
      <c r="S2365" s="93" t="s">
        <v>2</v>
      </c>
      <c r="T2365" s="93" t="s">
        <v>111</v>
      </c>
      <c r="U2365" s="93" t="s">
        <v>116</v>
      </c>
      <c r="V2365" s="94">
        <v>44596.689583333333</v>
      </c>
      <c r="W2365" s="93" t="s">
        <v>7072</v>
      </c>
      <c r="X2365" s="93" t="s">
        <v>24</v>
      </c>
    </row>
    <row r="2366" spans="1:24" hidden="1" x14ac:dyDescent="0.15">
      <c r="A2366" s="93" t="s">
        <v>474</v>
      </c>
      <c r="B2366" s="93" t="s">
        <v>475</v>
      </c>
      <c r="C2366" s="410">
        <v>169</v>
      </c>
      <c r="D2366" s="93" t="s">
        <v>24</v>
      </c>
      <c r="E2366" s="93" t="s">
        <v>24</v>
      </c>
      <c r="F2366" s="93" t="s">
        <v>7</v>
      </c>
      <c r="G2366" s="93" t="s">
        <v>7183</v>
      </c>
      <c r="H2366" s="93" t="s">
        <v>118</v>
      </c>
      <c r="I2366" s="93" t="s">
        <v>111</v>
      </c>
      <c r="J2366" s="93" t="s">
        <v>7105</v>
      </c>
      <c r="K2366" s="93" t="s">
        <v>111</v>
      </c>
      <c r="L2366" s="93" t="s">
        <v>111</v>
      </c>
      <c r="M2366" s="93" t="s">
        <v>111</v>
      </c>
      <c r="N2366" s="93" t="s">
        <v>111</v>
      </c>
      <c r="O2366" s="93" t="s">
        <v>111</v>
      </c>
      <c r="P2366" s="93" t="s">
        <v>111</v>
      </c>
      <c r="Q2366" s="93" t="s">
        <v>111</v>
      </c>
      <c r="R2366" s="93" t="s">
        <v>111</v>
      </c>
      <c r="S2366" s="93" t="s">
        <v>2</v>
      </c>
      <c r="T2366" s="93" t="s">
        <v>111</v>
      </c>
      <c r="U2366" s="93" t="s">
        <v>116</v>
      </c>
      <c r="V2366" s="94">
        <v>44596.667361111111</v>
      </c>
      <c r="W2366" s="93" t="s">
        <v>7072</v>
      </c>
      <c r="X2366" s="93" t="s">
        <v>24</v>
      </c>
    </row>
    <row r="2367" spans="1:24" hidden="1" x14ac:dyDescent="0.15">
      <c r="A2367" s="93" t="s">
        <v>476</v>
      </c>
      <c r="B2367" s="93" t="s">
        <v>477</v>
      </c>
      <c r="C2367" s="410">
        <v>264</v>
      </c>
      <c r="D2367" s="93" t="s">
        <v>24</v>
      </c>
      <c r="E2367" s="93" t="s">
        <v>24</v>
      </c>
      <c r="F2367" s="93" t="s">
        <v>7</v>
      </c>
      <c r="G2367" s="93" t="s">
        <v>7183</v>
      </c>
      <c r="H2367" s="93" t="s">
        <v>118</v>
      </c>
      <c r="I2367" s="93" t="s">
        <v>111</v>
      </c>
      <c r="J2367" s="93" t="s">
        <v>7105</v>
      </c>
      <c r="K2367" s="93" t="s">
        <v>111</v>
      </c>
      <c r="L2367" s="93" t="s">
        <v>111</v>
      </c>
      <c r="M2367" s="93" t="s">
        <v>111</v>
      </c>
      <c r="N2367" s="93" t="s">
        <v>111</v>
      </c>
      <c r="O2367" s="93" t="s">
        <v>111</v>
      </c>
      <c r="P2367" s="93" t="s">
        <v>111</v>
      </c>
      <c r="Q2367" s="93" t="s">
        <v>111</v>
      </c>
      <c r="R2367" s="93" t="s">
        <v>111</v>
      </c>
      <c r="S2367" s="93" t="s">
        <v>2</v>
      </c>
      <c r="T2367" s="93" t="s">
        <v>111</v>
      </c>
      <c r="U2367" s="93" t="s">
        <v>116</v>
      </c>
      <c r="V2367" s="94">
        <v>44596.696527777778</v>
      </c>
      <c r="W2367" s="93" t="s">
        <v>7072</v>
      </c>
      <c r="X2367" s="93" t="s">
        <v>24</v>
      </c>
    </row>
    <row r="2368" spans="1:24" hidden="1" x14ac:dyDescent="0.15">
      <c r="A2368" s="93" t="s">
        <v>478</v>
      </c>
      <c r="B2368" s="93" t="s">
        <v>479</v>
      </c>
      <c r="C2368" s="410">
        <v>21</v>
      </c>
      <c r="D2368" s="93" t="s">
        <v>24</v>
      </c>
      <c r="E2368" s="93" t="s">
        <v>24</v>
      </c>
      <c r="F2368" s="93" t="s">
        <v>7</v>
      </c>
      <c r="G2368" s="93" t="s">
        <v>7183</v>
      </c>
      <c r="H2368" s="93" t="s">
        <v>118</v>
      </c>
      <c r="I2368" s="93" t="s">
        <v>111</v>
      </c>
      <c r="J2368" s="93" t="s">
        <v>7105</v>
      </c>
      <c r="K2368" s="93" t="s">
        <v>111</v>
      </c>
      <c r="L2368" s="93" t="s">
        <v>111</v>
      </c>
      <c r="M2368" s="93" t="s">
        <v>111</v>
      </c>
      <c r="N2368" s="93" t="s">
        <v>111</v>
      </c>
      <c r="O2368" s="93" t="s">
        <v>111</v>
      </c>
      <c r="P2368" s="93" t="s">
        <v>111</v>
      </c>
      <c r="Q2368" s="93" t="s">
        <v>111</v>
      </c>
      <c r="R2368" s="93" t="s">
        <v>111</v>
      </c>
      <c r="S2368" s="93" t="s">
        <v>2</v>
      </c>
      <c r="T2368" s="93" t="s">
        <v>111</v>
      </c>
      <c r="U2368" s="93" t="s">
        <v>116</v>
      </c>
      <c r="V2368" s="94">
        <v>44596.654166666667</v>
      </c>
      <c r="W2368" s="93" t="s">
        <v>7072</v>
      </c>
      <c r="X2368" s="93" t="s">
        <v>24</v>
      </c>
    </row>
    <row r="2369" spans="1:24" hidden="1" x14ac:dyDescent="0.15">
      <c r="A2369" s="93" t="s">
        <v>480</v>
      </c>
      <c r="B2369" s="93" t="s">
        <v>481</v>
      </c>
      <c r="C2369" s="410">
        <v>54</v>
      </c>
      <c r="D2369" s="93" t="s">
        <v>24</v>
      </c>
      <c r="E2369" s="93" t="s">
        <v>24</v>
      </c>
      <c r="F2369" s="93" t="s">
        <v>7</v>
      </c>
      <c r="G2369" s="93" t="s">
        <v>7183</v>
      </c>
      <c r="H2369" s="93" t="s">
        <v>118</v>
      </c>
      <c r="I2369" s="93" t="s">
        <v>111</v>
      </c>
      <c r="J2369" s="93" t="s">
        <v>7105</v>
      </c>
      <c r="K2369" s="93" t="s">
        <v>111</v>
      </c>
      <c r="L2369" s="93" t="s">
        <v>111</v>
      </c>
      <c r="M2369" s="93" t="s">
        <v>111</v>
      </c>
      <c r="N2369" s="93" t="s">
        <v>111</v>
      </c>
      <c r="O2369" s="93" t="s">
        <v>111</v>
      </c>
      <c r="P2369" s="93" t="s">
        <v>111</v>
      </c>
      <c r="Q2369" s="93" t="s">
        <v>111</v>
      </c>
      <c r="R2369" s="93" t="s">
        <v>111</v>
      </c>
      <c r="S2369" s="93" t="s">
        <v>2</v>
      </c>
      <c r="T2369" s="93" t="s">
        <v>111</v>
      </c>
      <c r="U2369" s="93" t="s">
        <v>116</v>
      </c>
      <c r="V2369" s="94">
        <v>44596.661805555559</v>
      </c>
      <c r="W2369" s="93" t="s">
        <v>7072</v>
      </c>
      <c r="X2369" s="93" t="s">
        <v>24</v>
      </c>
    </row>
    <row r="2370" spans="1:24" hidden="1" x14ac:dyDescent="0.15">
      <c r="A2370" s="93" t="s">
        <v>482</v>
      </c>
      <c r="B2370" s="93" t="s">
        <v>483</v>
      </c>
      <c r="C2370" s="410">
        <v>84</v>
      </c>
      <c r="D2370" s="93" t="s">
        <v>24</v>
      </c>
      <c r="E2370" s="93" t="s">
        <v>24</v>
      </c>
      <c r="F2370" s="93" t="s">
        <v>7</v>
      </c>
      <c r="G2370" s="93" t="s">
        <v>7183</v>
      </c>
      <c r="H2370" s="93" t="s">
        <v>118</v>
      </c>
      <c r="I2370" s="93" t="s">
        <v>111</v>
      </c>
      <c r="J2370" s="93" t="s">
        <v>7105</v>
      </c>
      <c r="K2370" s="93" t="s">
        <v>111</v>
      </c>
      <c r="L2370" s="93" t="s">
        <v>111</v>
      </c>
      <c r="M2370" s="93" t="s">
        <v>111</v>
      </c>
      <c r="N2370" s="93" t="s">
        <v>111</v>
      </c>
      <c r="O2370" s="93" t="s">
        <v>111</v>
      </c>
      <c r="P2370" s="93" t="s">
        <v>111</v>
      </c>
      <c r="Q2370" s="93" t="s">
        <v>111</v>
      </c>
      <c r="R2370" s="93" t="s">
        <v>111</v>
      </c>
      <c r="S2370" s="93" t="s">
        <v>2</v>
      </c>
      <c r="T2370" s="93" t="s">
        <v>111</v>
      </c>
      <c r="U2370" s="93" t="s">
        <v>116</v>
      </c>
      <c r="V2370" s="94">
        <v>44596.649305555555</v>
      </c>
      <c r="W2370" s="93" t="s">
        <v>7072</v>
      </c>
      <c r="X2370" s="93" t="s">
        <v>24</v>
      </c>
    </row>
    <row r="2371" spans="1:24" hidden="1" x14ac:dyDescent="0.15">
      <c r="A2371" s="93" t="s">
        <v>484</v>
      </c>
      <c r="B2371" s="93" t="s">
        <v>485</v>
      </c>
      <c r="C2371" s="410">
        <v>39</v>
      </c>
      <c r="D2371" s="93" t="s">
        <v>24</v>
      </c>
      <c r="E2371" s="93" t="s">
        <v>24</v>
      </c>
      <c r="F2371" s="93" t="s">
        <v>7</v>
      </c>
      <c r="G2371" s="93" t="s">
        <v>7183</v>
      </c>
      <c r="H2371" s="93" t="s">
        <v>118</v>
      </c>
      <c r="I2371" s="93" t="s">
        <v>111</v>
      </c>
      <c r="J2371" s="93" t="s">
        <v>7105</v>
      </c>
      <c r="K2371" s="93" t="s">
        <v>111</v>
      </c>
      <c r="L2371" s="93" t="s">
        <v>111</v>
      </c>
      <c r="M2371" s="93" t="s">
        <v>111</v>
      </c>
      <c r="N2371" s="93" t="s">
        <v>111</v>
      </c>
      <c r="O2371" s="93" t="s">
        <v>111</v>
      </c>
      <c r="P2371" s="93" t="s">
        <v>111</v>
      </c>
      <c r="Q2371" s="93" t="s">
        <v>111</v>
      </c>
      <c r="R2371" s="93" t="s">
        <v>111</v>
      </c>
      <c r="S2371" s="93" t="s">
        <v>2</v>
      </c>
      <c r="T2371" s="93" t="s">
        <v>111</v>
      </c>
      <c r="U2371" s="93" t="s">
        <v>116</v>
      </c>
      <c r="V2371" s="94">
        <v>44596.658333333333</v>
      </c>
      <c r="W2371" s="93" t="s">
        <v>7072</v>
      </c>
      <c r="X2371" s="93" t="s">
        <v>24</v>
      </c>
    </row>
    <row r="2372" spans="1:24" hidden="1" x14ac:dyDescent="0.15">
      <c r="A2372" s="93" t="s">
        <v>486</v>
      </c>
      <c r="B2372" s="93" t="s">
        <v>487</v>
      </c>
      <c r="C2372" s="410">
        <v>100</v>
      </c>
      <c r="D2372" s="93" t="s">
        <v>24</v>
      </c>
      <c r="E2372" s="93" t="s">
        <v>24</v>
      </c>
      <c r="F2372" s="93" t="s">
        <v>7</v>
      </c>
      <c r="G2372" s="93" t="s">
        <v>7183</v>
      </c>
      <c r="H2372" s="93" t="s">
        <v>118</v>
      </c>
      <c r="I2372" s="93" t="s">
        <v>111</v>
      </c>
      <c r="J2372" s="93" t="s">
        <v>7105</v>
      </c>
      <c r="K2372" s="93" t="s">
        <v>111</v>
      </c>
      <c r="L2372" s="93" t="s">
        <v>111</v>
      </c>
      <c r="M2372" s="93" t="s">
        <v>111</v>
      </c>
      <c r="N2372" s="93" t="s">
        <v>111</v>
      </c>
      <c r="O2372" s="93" t="s">
        <v>111</v>
      </c>
      <c r="P2372" s="93" t="s">
        <v>111</v>
      </c>
      <c r="Q2372" s="93" t="s">
        <v>111</v>
      </c>
      <c r="R2372" s="93" t="s">
        <v>111</v>
      </c>
      <c r="S2372" s="93" t="s">
        <v>2</v>
      </c>
      <c r="T2372" s="93" t="s">
        <v>111</v>
      </c>
      <c r="U2372" s="93" t="s">
        <v>116</v>
      </c>
      <c r="V2372" s="94">
        <v>44596.667361111111</v>
      </c>
      <c r="W2372" s="93" t="s">
        <v>7072</v>
      </c>
      <c r="X2372" s="93" t="s">
        <v>24</v>
      </c>
    </row>
    <row r="2373" spans="1:24" hidden="1" x14ac:dyDescent="0.15">
      <c r="A2373" s="93" t="s">
        <v>488</v>
      </c>
      <c r="B2373" s="93" t="s">
        <v>489</v>
      </c>
      <c r="C2373" s="410">
        <v>156</v>
      </c>
      <c r="D2373" s="93" t="s">
        <v>24</v>
      </c>
      <c r="E2373" s="93" t="s">
        <v>24</v>
      </c>
      <c r="F2373" s="93" t="s">
        <v>7</v>
      </c>
      <c r="G2373" s="93" t="s">
        <v>7183</v>
      </c>
      <c r="H2373" s="93" t="s">
        <v>118</v>
      </c>
      <c r="I2373" s="93" t="s">
        <v>111</v>
      </c>
      <c r="J2373" s="93" t="s">
        <v>7105</v>
      </c>
      <c r="K2373" s="93" t="s">
        <v>111</v>
      </c>
      <c r="L2373" s="93" t="s">
        <v>111</v>
      </c>
      <c r="M2373" s="93" t="s">
        <v>111</v>
      </c>
      <c r="N2373" s="93" t="s">
        <v>111</v>
      </c>
      <c r="O2373" s="93" t="s">
        <v>111</v>
      </c>
      <c r="P2373" s="93" t="s">
        <v>111</v>
      </c>
      <c r="Q2373" s="93" t="s">
        <v>111</v>
      </c>
      <c r="R2373" s="93" t="s">
        <v>111</v>
      </c>
      <c r="S2373" s="93" t="s">
        <v>2</v>
      </c>
      <c r="T2373" s="93" t="s">
        <v>111</v>
      </c>
      <c r="U2373" s="93" t="s">
        <v>116</v>
      </c>
      <c r="V2373" s="94">
        <v>44596.696527777778</v>
      </c>
      <c r="W2373" s="93" t="s">
        <v>7072</v>
      </c>
      <c r="X2373" s="93" t="s">
        <v>24</v>
      </c>
    </row>
    <row r="2374" spans="1:24" hidden="1" x14ac:dyDescent="0.15">
      <c r="A2374" s="93" t="s">
        <v>490</v>
      </c>
      <c r="B2374" s="93" t="s">
        <v>491</v>
      </c>
      <c r="C2374" s="410">
        <v>48</v>
      </c>
      <c r="D2374" s="93" t="s">
        <v>24</v>
      </c>
      <c r="E2374" s="93" t="s">
        <v>24</v>
      </c>
      <c r="F2374" s="93" t="s">
        <v>7</v>
      </c>
      <c r="G2374" s="93" t="s">
        <v>7183</v>
      </c>
      <c r="H2374" s="93" t="s">
        <v>118</v>
      </c>
      <c r="I2374" s="93" t="s">
        <v>111</v>
      </c>
      <c r="J2374" s="93" t="s">
        <v>7105</v>
      </c>
      <c r="K2374" s="93" t="s">
        <v>111</v>
      </c>
      <c r="L2374" s="93" t="s">
        <v>111</v>
      </c>
      <c r="M2374" s="93" t="s">
        <v>111</v>
      </c>
      <c r="N2374" s="93" t="s">
        <v>111</v>
      </c>
      <c r="O2374" s="93" t="s">
        <v>111</v>
      </c>
      <c r="P2374" s="93" t="s">
        <v>111</v>
      </c>
      <c r="Q2374" s="93" t="s">
        <v>111</v>
      </c>
      <c r="R2374" s="93" t="s">
        <v>111</v>
      </c>
      <c r="S2374" s="93" t="s">
        <v>2</v>
      </c>
      <c r="T2374" s="93" t="s">
        <v>111</v>
      </c>
      <c r="U2374" s="93" t="s">
        <v>116</v>
      </c>
      <c r="V2374" s="94">
        <v>44596.640277777777</v>
      </c>
      <c r="W2374" s="93" t="s">
        <v>7072</v>
      </c>
      <c r="X2374" s="93" t="s">
        <v>24</v>
      </c>
    </row>
    <row r="2375" spans="1:24" hidden="1" x14ac:dyDescent="0.15">
      <c r="A2375" s="93" t="s">
        <v>492</v>
      </c>
      <c r="B2375" s="93" t="s">
        <v>493</v>
      </c>
      <c r="C2375" s="410">
        <v>123</v>
      </c>
      <c r="D2375" s="93" t="s">
        <v>24</v>
      </c>
      <c r="E2375" s="93" t="s">
        <v>24</v>
      </c>
      <c r="F2375" s="93" t="s">
        <v>7</v>
      </c>
      <c r="G2375" s="93" t="s">
        <v>7183</v>
      </c>
      <c r="H2375" s="93" t="s">
        <v>118</v>
      </c>
      <c r="I2375" s="93" t="s">
        <v>111</v>
      </c>
      <c r="J2375" s="93" t="s">
        <v>7105</v>
      </c>
      <c r="K2375" s="93" t="s">
        <v>111</v>
      </c>
      <c r="L2375" s="93" t="s">
        <v>111</v>
      </c>
      <c r="M2375" s="93" t="s">
        <v>111</v>
      </c>
      <c r="N2375" s="93" t="s">
        <v>111</v>
      </c>
      <c r="O2375" s="93" t="s">
        <v>111</v>
      </c>
      <c r="P2375" s="93" t="s">
        <v>111</v>
      </c>
      <c r="Q2375" s="93" t="s">
        <v>111</v>
      </c>
      <c r="R2375" s="93" t="s">
        <v>111</v>
      </c>
      <c r="S2375" s="93" t="s">
        <v>2</v>
      </c>
      <c r="T2375" s="93" t="s">
        <v>111</v>
      </c>
      <c r="U2375" s="93" t="s">
        <v>116</v>
      </c>
      <c r="V2375" s="94">
        <v>44596.662499999999</v>
      </c>
      <c r="W2375" s="93" t="s">
        <v>7072</v>
      </c>
      <c r="X2375" s="93" t="s">
        <v>24</v>
      </c>
    </row>
    <row r="2376" spans="1:24" hidden="1" x14ac:dyDescent="0.15">
      <c r="A2376" s="93" t="s">
        <v>494</v>
      </c>
      <c r="B2376" s="93" t="s">
        <v>495</v>
      </c>
      <c r="C2376" s="410">
        <v>192</v>
      </c>
      <c r="D2376" s="93" t="s">
        <v>24</v>
      </c>
      <c r="E2376" s="93" t="s">
        <v>24</v>
      </c>
      <c r="F2376" s="93" t="s">
        <v>7</v>
      </c>
      <c r="G2376" s="93" t="s">
        <v>7183</v>
      </c>
      <c r="H2376" s="93" t="s">
        <v>118</v>
      </c>
      <c r="I2376" s="93" t="s">
        <v>111</v>
      </c>
      <c r="J2376" s="93" t="s">
        <v>7105</v>
      </c>
      <c r="K2376" s="93" t="s">
        <v>111</v>
      </c>
      <c r="L2376" s="93" t="s">
        <v>111</v>
      </c>
      <c r="M2376" s="93" t="s">
        <v>111</v>
      </c>
      <c r="N2376" s="93" t="s">
        <v>111</v>
      </c>
      <c r="O2376" s="93" t="s">
        <v>111</v>
      </c>
      <c r="P2376" s="93" t="s">
        <v>111</v>
      </c>
      <c r="Q2376" s="93" t="s">
        <v>111</v>
      </c>
      <c r="R2376" s="93" t="s">
        <v>111</v>
      </c>
      <c r="S2376" s="93" t="s">
        <v>2</v>
      </c>
      <c r="T2376" s="93" t="s">
        <v>111</v>
      </c>
      <c r="U2376" s="93" t="s">
        <v>116</v>
      </c>
      <c r="V2376" s="94">
        <v>44596.696527777778</v>
      </c>
      <c r="W2376" s="93" t="s">
        <v>7072</v>
      </c>
      <c r="X2376" s="93" t="s">
        <v>24</v>
      </c>
    </row>
    <row r="2377" spans="1:24" hidden="1" x14ac:dyDescent="0.15">
      <c r="A2377" s="93" t="s">
        <v>7831</v>
      </c>
      <c r="B2377" s="93" t="s">
        <v>7832</v>
      </c>
      <c r="C2377" s="410">
        <v>27</v>
      </c>
      <c r="D2377" s="93" t="s">
        <v>24</v>
      </c>
      <c r="E2377" s="93" t="s">
        <v>24</v>
      </c>
      <c r="F2377" s="93" t="s">
        <v>7</v>
      </c>
      <c r="G2377" s="93" t="s">
        <v>7183</v>
      </c>
      <c r="H2377" s="93" t="s">
        <v>400</v>
      </c>
      <c r="I2377" s="93" t="s">
        <v>111</v>
      </c>
      <c r="J2377" s="93" t="s">
        <v>118</v>
      </c>
      <c r="K2377" s="93">
        <v>3</v>
      </c>
      <c r="L2377" s="93" t="s">
        <v>111</v>
      </c>
      <c r="M2377" s="93" t="s">
        <v>111</v>
      </c>
      <c r="N2377" s="93" t="s">
        <v>111</v>
      </c>
      <c r="O2377" s="93" t="s">
        <v>111</v>
      </c>
      <c r="P2377" s="93" t="s">
        <v>111</v>
      </c>
      <c r="Q2377" s="93" t="s">
        <v>111</v>
      </c>
      <c r="R2377" s="93" t="s">
        <v>228</v>
      </c>
      <c r="S2377" s="93" t="s">
        <v>2</v>
      </c>
      <c r="T2377" s="93" t="s">
        <v>115</v>
      </c>
      <c r="U2377" s="93" t="s">
        <v>116</v>
      </c>
      <c r="V2377" s="94">
        <v>44602.490972222222</v>
      </c>
      <c r="W2377" s="93" t="s">
        <v>402</v>
      </c>
      <c r="X2377" s="93" t="s">
        <v>24</v>
      </c>
    </row>
    <row r="2378" spans="1:24" hidden="1" x14ac:dyDescent="0.15">
      <c r="A2378" s="93" t="s">
        <v>7833</v>
      </c>
      <c r="B2378" s="93" t="s">
        <v>7834</v>
      </c>
      <c r="C2378" s="410">
        <v>69</v>
      </c>
      <c r="D2378" s="93" t="s">
        <v>24</v>
      </c>
      <c r="E2378" s="93" t="s">
        <v>24</v>
      </c>
      <c r="F2378" s="93" t="s">
        <v>7</v>
      </c>
      <c r="G2378" s="93" t="s">
        <v>7183</v>
      </c>
      <c r="H2378" s="93" t="s">
        <v>400</v>
      </c>
      <c r="I2378" s="93" t="s">
        <v>111</v>
      </c>
      <c r="J2378" s="93" t="s">
        <v>118</v>
      </c>
      <c r="K2378" s="93">
        <v>3</v>
      </c>
      <c r="L2378" s="93" t="s">
        <v>111</v>
      </c>
      <c r="M2378" s="93" t="s">
        <v>111</v>
      </c>
      <c r="N2378" s="93" t="s">
        <v>111</v>
      </c>
      <c r="O2378" s="93" t="s">
        <v>111</v>
      </c>
      <c r="P2378" s="93" t="s">
        <v>111</v>
      </c>
      <c r="Q2378" s="93" t="s">
        <v>111</v>
      </c>
      <c r="R2378" s="93" t="s">
        <v>228</v>
      </c>
      <c r="S2378" s="93" t="s">
        <v>2</v>
      </c>
      <c r="T2378" s="93" t="s">
        <v>115</v>
      </c>
      <c r="U2378" s="93" t="s">
        <v>116</v>
      </c>
      <c r="V2378" s="94">
        <v>44602.490972222222</v>
      </c>
      <c r="W2378" s="93" t="s">
        <v>402</v>
      </c>
      <c r="X2378" s="93" t="s">
        <v>24</v>
      </c>
    </row>
    <row r="2379" spans="1:24" hidden="1" x14ac:dyDescent="0.15">
      <c r="A2379" s="93" t="s">
        <v>7835</v>
      </c>
      <c r="B2379" s="93" t="s">
        <v>7836</v>
      </c>
      <c r="C2379" s="410">
        <v>108</v>
      </c>
      <c r="D2379" s="93" t="s">
        <v>24</v>
      </c>
      <c r="E2379" s="93" t="s">
        <v>24</v>
      </c>
      <c r="F2379" s="93" t="s">
        <v>7</v>
      </c>
      <c r="G2379" s="93" t="s">
        <v>7183</v>
      </c>
      <c r="H2379" s="93" t="s">
        <v>400</v>
      </c>
      <c r="I2379" s="93" t="s">
        <v>111</v>
      </c>
      <c r="J2379" s="93" t="s">
        <v>118</v>
      </c>
      <c r="K2379" s="93">
        <v>3</v>
      </c>
      <c r="L2379" s="93" t="s">
        <v>111</v>
      </c>
      <c r="M2379" s="93" t="s">
        <v>111</v>
      </c>
      <c r="N2379" s="93" t="s">
        <v>111</v>
      </c>
      <c r="O2379" s="93" t="s">
        <v>111</v>
      </c>
      <c r="P2379" s="93" t="s">
        <v>111</v>
      </c>
      <c r="Q2379" s="93" t="s">
        <v>111</v>
      </c>
      <c r="R2379" s="93" t="s">
        <v>228</v>
      </c>
      <c r="S2379" s="93" t="s">
        <v>2</v>
      </c>
      <c r="T2379" s="93" t="s">
        <v>115</v>
      </c>
      <c r="U2379" s="93" t="s">
        <v>116</v>
      </c>
      <c r="V2379" s="94">
        <v>44602.490972222222</v>
      </c>
      <c r="W2379" s="93" t="s">
        <v>402</v>
      </c>
      <c r="X2379" s="93" t="s">
        <v>24</v>
      </c>
    </row>
    <row r="2380" spans="1:24" hidden="1" x14ac:dyDescent="0.15">
      <c r="A2380" s="93" t="s">
        <v>496</v>
      </c>
      <c r="B2380" s="93" t="s">
        <v>497</v>
      </c>
      <c r="C2380" s="410">
        <v>42</v>
      </c>
      <c r="D2380" s="93" t="s">
        <v>24</v>
      </c>
      <c r="E2380" s="93" t="s">
        <v>24</v>
      </c>
      <c r="F2380" s="93" t="s">
        <v>7</v>
      </c>
      <c r="G2380" s="93" t="s">
        <v>7183</v>
      </c>
      <c r="H2380" s="93" t="s">
        <v>118</v>
      </c>
      <c r="I2380" s="93" t="s">
        <v>111</v>
      </c>
      <c r="J2380" s="93" t="s">
        <v>7105</v>
      </c>
      <c r="K2380" s="93" t="s">
        <v>111</v>
      </c>
      <c r="L2380" s="93" t="s">
        <v>111</v>
      </c>
      <c r="M2380" s="93" t="s">
        <v>111</v>
      </c>
      <c r="N2380" s="93" t="s">
        <v>111</v>
      </c>
      <c r="O2380" s="93" t="s">
        <v>111</v>
      </c>
      <c r="P2380" s="93" t="s">
        <v>111</v>
      </c>
      <c r="Q2380" s="93" t="s">
        <v>111</v>
      </c>
      <c r="R2380" s="93" t="s">
        <v>111</v>
      </c>
      <c r="S2380" s="93" t="s">
        <v>2</v>
      </c>
      <c r="T2380" s="93" t="s">
        <v>111</v>
      </c>
      <c r="U2380" s="93" t="s">
        <v>116</v>
      </c>
      <c r="V2380" s="94">
        <v>44596.658333333333</v>
      </c>
      <c r="W2380" s="93" t="s">
        <v>7072</v>
      </c>
      <c r="X2380" s="93" t="s">
        <v>24</v>
      </c>
    </row>
    <row r="2381" spans="1:24" hidden="1" x14ac:dyDescent="0.15">
      <c r="A2381" s="93" t="s">
        <v>498</v>
      </c>
      <c r="B2381" s="93" t="s">
        <v>499</v>
      </c>
      <c r="C2381" s="410">
        <v>108</v>
      </c>
      <c r="D2381" s="93" t="s">
        <v>24</v>
      </c>
      <c r="E2381" s="93" t="s">
        <v>24</v>
      </c>
      <c r="F2381" s="93" t="s">
        <v>7</v>
      </c>
      <c r="G2381" s="93" t="s">
        <v>7183</v>
      </c>
      <c r="H2381" s="93" t="s">
        <v>118</v>
      </c>
      <c r="I2381" s="93" t="s">
        <v>111</v>
      </c>
      <c r="J2381" s="93" t="s">
        <v>7105</v>
      </c>
      <c r="K2381" s="93" t="s">
        <v>111</v>
      </c>
      <c r="L2381" s="93" t="s">
        <v>111</v>
      </c>
      <c r="M2381" s="93" t="s">
        <v>111</v>
      </c>
      <c r="N2381" s="93" t="s">
        <v>111</v>
      </c>
      <c r="O2381" s="93" t="s">
        <v>111</v>
      </c>
      <c r="P2381" s="93" t="s">
        <v>111</v>
      </c>
      <c r="Q2381" s="93" t="s">
        <v>111</v>
      </c>
      <c r="R2381" s="93" t="s">
        <v>111</v>
      </c>
      <c r="S2381" s="93" t="s">
        <v>2</v>
      </c>
      <c r="T2381" s="93" t="s">
        <v>111</v>
      </c>
      <c r="U2381" s="93" t="s">
        <v>116</v>
      </c>
      <c r="V2381" s="94">
        <v>44596.649305555555</v>
      </c>
      <c r="W2381" s="93" t="s">
        <v>7072</v>
      </c>
      <c r="X2381" s="93" t="s">
        <v>24</v>
      </c>
    </row>
    <row r="2382" spans="1:24" hidden="1" x14ac:dyDescent="0.15">
      <c r="A2382" s="93" t="s">
        <v>500</v>
      </c>
      <c r="B2382" s="93" t="s">
        <v>501</v>
      </c>
      <c r="C2382" s="410">
        <v>168</v>
      </c>
      <c r="D2382" s="93" t="s">
        <v>24</v>
      </c>
      <c r="E2382" s="93" t="s">
        <v>24</v>
      </c>
      <c r="F2382" s="93" t="s">
        <v>7</v>
      </c>
      <c r="G2382" s="93" t="s">
        <v>7183</v>
      </c>
      <c r="H2382" s="93" t="s">
        <v>118</v>
      </c>
      <c r="I2382" s="93" t="s">
        <v>111</v>
      </c>
      <c r="J2382" s="93" t="s">
        <v>7105</v>
      </c>
      <c r="K2382" s="93" t="s">
        <v>111</v>
      </c>
      <c r="L2382" s="93" t="s">
        <v>111</v>
      </c>
      <c r="M2382" s="93" t="s">
        <v>111</v>
      </c>
      <c r="N2382" s="93" t="s">
        <v>111</v>
      </c>
      <c r="O2382" s="93" t="s">
        <v>111</v>
      </c>
      <c r="P2382" s="93" t="s">
        <v>111</v>
      </c>
      <c r="Q2382" s="93" t="s">
        <v>111</v>
      </c>
      <c r="R2382" s="93" t="s">
        <v>111</v>
      </c>
      <c r="S2382" s="93" t="s">
        <v>2</v>
      </c>
      <c r="T2382" s="93" t="s">
        <v>111</v>
      </c>
      <c r="U2382" s="93" t="s">
        <v>116</v>
      </c>
      <c r="V2382" s="94">
        <v>44596.654166666667</v>
      </c>
      <c r="W2382" s="93" t="s">
        <v>7072</v>
      </c>
      <c r="X2382" s="93" t="s">
        <v>24</v>
      </c>
    </row>
    <row r="2383" spans="1:24" hidden="1" x14ac:dyDescent="0.15">
      <c r="A2383" s="93" t="s">
        <v>502</v>
      </c>
      <c r="B2383" s="93" t="s">
        <v>503</v>
      </c>
      <c r="C2383" s="410">
        <v>480</v>
      </c>
      <c r="D2383" s="93" t="s">
        <v>24</v>
      </c>
      <c r="E2383" s="93" t="s">
        <v>24</v>
      </c>
      <c r="F2383" s="93" t="s">
        <v>7</v>
      </c>
      <c r="G2383" s="93" t="s">
        <v>7183</v>
      </c>
      <c r="H2383" s="93" t="s">
        <v>118</v>
      </c>
      <c r="I2383" s="93" t="s">
        <v>111</v>
      </c>
      <c r="J2383" s="93" t="s">
        <v>7105</v>
      </c>
      <c r="K2383" s="93" t="s">
        <v>111</v>
      </c>
      <c r="L2383" s="93" t="s">
        <v>111</v>
      </c>
      <c r="M2383" s="93" t="s">
        <v>111</v>
      </c>
      <c r="N2383" s="93" t="s">
        <v>111</v>
      </c>
      <c r="O2383" s="93" t="s">
        <v>111</v>
      </c>
      <c r="P2383" s="93" t="s">
        <v>111</v>
      </c>
      <c r="Q2383" s="93" t="s">
        <v>111</v>
      </c>
      <c r="R2383" s="93" t="s">
        <v>111</v>
      </c>
      <c r="S2383" s="93" t="s">
        <v>2</v>
      </c>
      <c r="T2383" s="93" t="s">
        <v>111</v>
      </c>
      <c r="U2383" s="93" t="s">
        <v>116</v>
      </c>
      <c r="V2383" s="94">
        <v>44596.685416666667</v>
      </c>
      <c r="W2383" s="93" t="s">
        <v>7072</v>
      </c>
      <c r="X2383" s="93" t="s">
        <v>24</v>
      </c>
    </row>
    <row r="2384" spans="1:24" hidden="1" x14ac:dyDescent="0.15">
      <c r="A2384" s="93" t="s">
        <v>504</v>
      </c>
      <c r="B2384" s="93" t="s">
        <v>505</v>
      </c>
      <c r="C2384" s="410">
        <v>1224</v>
      </c>
      <c r="D2384" s="93" t="s">
        <v>24</v>
      </c>
      <c r="E2384" s="93" t="s">
        <v>24</v>
      </c>
      <c r="F2384" s="93" t="s">
        <v>7</v>
      </c>
      <c r="G2384" s="93" t="s">
        <v>7183</v>
      </c>
      <c r="H2384" s="93" t="s">
        <v>118</v>
      </c>
      <c r="I2384" s="93" t="s">
        <v>111</v>
      </c>
      <c r="J2384" s="93" t="s">
        <v>7105</v>
      </c>
      <c r="K2384" s="93" t="s">
        <v>111</v>
      </c>
      <c r="L2384" s="93" t="s">
        <v>111</v>
      </c>
      <c r="M2384" s="93" t="s">
        <v>111</v>
      </c>
      <c r="N2384" s="93" t="s">
        <v>111</v>
      </c>
      <c r="O2384" s="93" t="s">
        <v>111</v>
      </c>
      <c r="P2384" s="93" t="s">
        <v>111</v>
      </c>
      <c r="Q2384" s="93" t="s">
        <v>111</v>
      </c>
      <c r="R2384" s="93" t="s">
        <v>111</v>
      </c>
      <c r="S2384" s="93" t="s">
        <v>2</v>
      </c>
      <c r="T2384" s="93" t="s">
        <v>111</v>
      </c>
      <c r="U2384" s="93" t="s">
        <v>116</v>
      </c>
      <c r="V2384" s="94">
        <v>44596.645138888889</v>
      </c>
      <c r="W2384" s="93" t="s">
        <v>7072</v>
      </c>
      <c r="X2384" s="93" t="s">
        <v>24</v>
      </c>
    </row>
    <row r="2385" spans="1:24" hidden="1" x14ac:dyDescent="0.15">
      <c r="A2385" s="93" t="s">
        <v>506</v>
      </c>
      <c r="B2385" s="93" t="s">
        <v>507</v>
      </c>
      <c r="C2385" s="410">
        <v>1920</v>
      </c>
      <c r="D2385" s="93" t="s">
        <v>24</v>
      </c>
      <c r="E2385" s="93" t="s">
        <v>24</v>
      </c>
      <c r="F2385" s="93" t="s">
        <v>7</v>
      </c>
      <c r="G2385" s="93" t="s">
        <v>7183</v>
      </c>
      <c r="H2385" s="93" t="s">
        <v>118</v>
      </c>
      <c r="I2385" s="93" t="s">
        <v>111</v>
      </c>
      <c r="J2385" s="93" t="s">
        <v>7105</v>
      </c>
      <c r="K2385" s="93" t="s">
        <v>111</v>
      </c>
      <c r="L2385" s="93" t="s">
        <v>111</v>
      </c>
      <c r="M2385" s="93" t="s">
        <v>111</v>
      </c>
      <c r="N2385" s="93" t="s">
        <v>111</v>
      </c>
      <c r="O2385" s="93" t="s">
        <v>111</v>
      </c>
      <c r="P2385" s="93" t="s">
        <v>111</v>
      </c>
      <c r="Q2385" s="93" t="s">
        <v>111</v>
      </c>
      <c r="R2385" s="93" t="s">
        <v>111</v>
      </c>
      <c r="S2385" s="93" t="s">
        <v>2</v>
      </c>
      <c r="T2385" s="93" t="s">
        <v>111</v>
      </c>
      <c r="U2385" s="93" t="s">
        <v>116</v>
      </c>
      <c r="V2385" s="94">
        <v>44596.685416666667</v>
      </c>
      <c r="W2385" s="93" t="s">
        <v>7072</v>
      </c>
      <c r="X2385" s="93" t="s">
        <v>24</v>
      </c>
    </row>
    <row r="2386" spans="1:24" hidden="1" x14ac:dyDescent="0.15">
      <c r="A2386" s="93" t="s">
        <v>508</v>
      </c>
      <c r="B2386" s="93" t="s">
        <v>509</v>
      </c>
      <c r="C2386" s="410">
        <v>2400</v>
      </c>
      <c r="D2386" s="93" t="s">
        <v>24</v>
      </c>
      <c r="E2386" s="93" t="s">
        <v>24</v>
      </c>
      <c r="F2386" s="93" t="s">
        <v>7</v>
      </c>
      <c r="G2386" s="93" t="s">
        <v>7183</v>
      </c>
      <c r="H2386" s="93" t="s">
        <v>118</v>
      </c>
      <c r="I2386" s="93" t="s">
        <v>111</v>
      </c>
      <c r="J2386" s="93" t="s">
        <v>7105</v>
      </c>
      <c r="K2386" s="93" t="s">
        <v>111</v>
      </c>
      <c r="L2386" s="93" t="s">
        <v>111</v>
      </c>
      <c r="M2386" s="93" t="s">
        <v>111</v>
      </c>
      <c r="N2386" s="93" t="s">
        <v>111</v>
      </c>
      <c r="O2386" s="93" t="s">
        <v>111</v>
      </c>
      <c r="P2386" s="93" t="s">
        <v>111</v>
      </c>
      <c r="Q2386" s="93" t="s">
        <v>111</v>
      </c>
      <c r="R2386" s="93" t="s">
        <v>111</v>
      </c>
      <c r="S2386" s="93" t="s">
        <v>2</v>
      </c>
      <c r="T2386" s="93" t="s">
        <v>111</v>
      </c>
      <c r="U2386" s="93" t="s">
        <v>116</v>
      </c>
      <c r="V2386" s="94">
        <v>44596.667361111111</v>
      </c>
      <c r="W2386" s="93" t="s">
        <v>7072</v>
      </c>
      <c r="X2386" s="93" t="s">
        <v>24</v>
      </c>
    </row>
    <row r="2387" spans="1:24" hidden="1" x14ac:dyDescent="0.15">
      <c r="A2387" s="93" t="s">
        <v>510</v>
      </c>
      <c r="B2387" s="93" t="s">
        <v>511</v>
      </c>
      <c r="C2387" s="410">
        <v>6120</v>
      </c>
      <c r="D2387" s="93" t="s">
        <v>24</v>
      </c>
      <c r="E2387" s="93" t="s">
        <v>24</v>
      </c>
      <c r="F2387" s="93" t="s">
        <v>7</v>
      </c>
      <c r="G2387" s="93" t="s">
        <v>7183</v>
      </c>
      <c r="H2387" s="93" t="s">
        <v>118</v>
      </c>
      <c r="I2387" s="93" t="s">
        <v>111</v>
      </c>
      <c r="J2387" s="93" t="s">
        <v>7105</v>
      </c>
      <c r="K2387" s="93" t="s">
        <v>111</v>
      </c>
      <c r="L2387" s="93" t="s">
        <v>111</v>
      </c>
      <c r="M2387" s="93" t="s">
        <v>111</v>
      </c>
      <c r="N2387" s="93" t="s">
        <v>111</v>
      </c>
      <c r="O2387" s="93" t="s">
        <v>111</v>
      </c>
      <c r="P2387" s="93" t="s">
        <v>111</v>
      </c>
      <c r="Q2387" s="93" t="s">
        <v>111</v>
      </c>
      <c r="R2387" s="93" t="s">
        <v>111</v>
      </c>
      <c r="S2387" s="93" t="s">
        <v>2</v>
      </c>
      <c r="T2387" s="93" t="s">
        <v>111</v>
      </c>
      <c r="U2387" s="93" t="s">
        <v>116</v>
      </c>
      <c r="V2387" s="94">
        <v>44596.697222222225</v>
      </c>
      <c r="W2387" s="93" t="s">
        <v>7072</v>
      </c>
      <c r="X2387" s="93" t="s">
        <v>24</v>
      </c>
    </row>
    <row r="2388" spans="1:24" hidden="1" x14ac:dyDescent="0.15">
      <c r="A2388" s="93" t="s">
        <v>512</v>
      </c>
      <c r="B2388" s="93" t="s">
        <v>513</v>
      </c>
      <c r="C2388" s="410">
        <v>9600</v>
      </c>
      <c r="D2388" s="93" t="s">
        <v>24</v>
      </c>
      <c r="E2388" s="93" t="s">
        <v>24</v>
      </c>
      <c r="F2388" s="93" t="s">
        <v>7</v>
      </c>
      <c r="G2388" s="93" t="s">
        <v>7183</v>
      </c>
      <c r="H2388" s="93" t="s">
        <v>118</v>
      </c>
      <c r="I2388" s="93" t="s">
        <v>111</v>
      </c>
      <c r="J2388" s="93" t="s">
        <v>7105</v>
      </c>
      <c r="K2388" s="93" t="s">
        <v>111</v>
      </c>
      <c r="L2388" s="93" t="s">
        <v>111</v>
      </c>
      <c r="M2388" s="93" t="s">
        <v>111</v>
      </c>
      <c r="N2388" s="93" t="s">
        <v>111</v>
      </c>
      <c r="O2388" s="93" t="s">
        <v>111</v>
      </c>
      <c r="P2388" s="93" t="s">
        <v>111</v>
      </c>
      <c r="Q2388" s="93" t="s">
        <v>111</v>
      </c>
      <c r="R2388" s="93" t="s">
        <v>111</v>
      </c>
      <c r="S2388" s="93" t="s">
        <v>2</v>
      </c>
      <c r="T2388" s="93" t="s">
        <v>111</v>
      </c>
      <c r="U2388" s="93" t="s">
        <v>116</v>
      </c>
      <c r="V2388" s="94">
        <v>44596.645138888889</v>
      </c>
      <c r="W2388" s="93" t="s">
        <v>7072</v>
      </c>
      <c r="X2388" s="93" t="s">
        <v>24</v>
      </c>
    </row>
    <row r="2389" spans="1:24" hidden="1" x14ac:dyDescent="0.15">
      <c r="A2389" s="93" t="s">
        <v>514</v>
      </c>
      <c r="B2389" s="93" t="s">
        <v>515</v>
      </c>
      <c r="C2389" s="410">
        <v>180</v>
      </c>
      <c r="D2389" s="93" t="s">
        <v>24</v>
      </c>
      <c r="E2389" s="93" t="s">
        <v>24</v>
      </c>
      <c r="F2389" s="93" t="s">
        <v>7</v>
      </c>
      <c r="G2389" s="93" t="s">
        <v>7183</v>
      </c>
      <c r="H2389" s="93" t="s">
        <v>118</v>
      </c>
      <c r="I2389" s="93" t="s">
        <v>111</v>
      </c>
      <c r="J2389" s="93" t="s">
        <v>7105</v>
      </c>
      <c r="K2389" s="93" t="s">
        <v>111</v>
      </c>
      <c r="L2389" s="93" t="s">
        <v>111</v>
      </c>
      <c r="M2389" s="93" t="s">
        <v>111</v>
      </c>
      <c r="N2389" s="93" t="s">
        <v>111</v>
      </c>
      <c r="O2389" s="93" t="s">
        <v>111</v>
      </c>
      <c r="P2389" s="93" t="s">
        <v>111</v>
      </c>
      <c r="Q2389" s="93" t="s">
        <v>111</v>
      </c>
      <c r="R2389" s="93" t="s">
        <v>111</v>
      </c>
      <c r="S2389" s="93" t="s">
        <v>2</v>
      </c>
      <c r="T2389" s="93" t="s">
        <v>111</v>
      </c>
      <c r="U2389" s="93" t="s">
        <v>116</v>
      </c>
      <c r="V2389" s="94">
        <v>44596.667361111111</v>
      </c>
      <c r="W2389" s="93" t="s">
        <v>7072</v>
      </c>
      <c r="X2389" s="93" t="s">
        <v>24</v>
      </c>
    </row>
    <row r="2390" spans="1:24" hidden="1" x14ac:dyDescent="0.15">
      <c r="A2390" s="93" t="s">
        <v>516</v>
      </c>
      <c r="B2390" s="93" t="s">
        <v>517</v>
      </c>
      <c r="C2390" s="410">
        <v>459</v>
      </c>
      <c r="D2390" s="93" t="s">
        <v>24</v>
      </c>
      <c r="E2390" s="93" t="s">
        <v>24</v>
      </c>
      <c r="F2390" s="93" t="s">
        <v>7</v>
      </c>
      <c r="G2390" s="93" t="s">
        <v>7183</v>
      </c>
      <c r="H2390" s="93" t="s">
        <v>118</v>
      </c>
      <c r="I2390" s="93" t="s">
        <v>111</v>
      </c>
      <c r="J2390" s="93" t="s">
        <v>7105</v>
      </c>
      <c r="K2390" s="93" t="s">
        <v>111</v>
      </c>
      <c r="L2390" s="93" t="s">
        <v>111</v>
      </c>
      <c r="M2390" s="93" t="s">
        <v>111</v>
      </c>
      <c r="N2390" s="93" t="s">
        <v>111</v>
      </c>
      <c r="O2390" s="93" t="s">
        <v>111</v>
      </c>
      <c r="P2390" s="93" t="s">
        <v>111</v>
      </c>
      <c r="Q2390" s="93" t="s">
        <v>111</v>
      </c>
      <c r="R2390" s="93" t="s">
        <v>111</v>
      </c>
      <c r="S2390" s="93" t="s">
        <v>2</v>
      </c>
      <c r="T2390" s="93" t="s">
        <v>111</v>
      </c>
      <c r="U2390" s="93" t="s">
        <v>116</v>
      </c>
      <c r="V2390" s="94">
        <v>44596.693749999999</v>
      </c>
      <c r="W2390" s="93" t="s">
        <v>7072</v>
      </c>
      <c r="X2390" s="93" t="s">
        <v>24</v>
      </c>
    </row>
    <row r="2391" spans="1:24" hidden="1" x14ac:dyDescent="0.15">
      <c r="A2391" s="93" t="s">
        <v>518</v>
      </c>
      <c r="B2391" s="93" t="s">
        <v>519</v>
      </c>
      <c r="C2391" s="410">
        <v>720</v>
      </c>
      <c r="D2391" s="93" t="s">
        <v>24</v>
      </c>
      <c r="E2391" s="93" t="s">
        <v>24</v>
      </c>
      <c r="F2391" s="93" t="s">
        <v>7</v>
      </c>
      <c r="G2391" s="93" t="s">
        <v>7183</v>
      </c>
      <c r="H2391" s="93" t="s">
        <v>118</v>
      </c>
      <c r="I2391" s="93" t="s">
        <v>111</v>
      </c>
      <c r="J2391" s="93" t="s">
        <v>7105</v>
      </c>
      <c r="K2391" s="93" t="s">
        <v>111</v>
      </c>
      <c r="L2391" s="93" t="s">
        <v>111</v>
      </c>
      <c r="M2391" s="93" t="s">
        <v>111</v>
      </c>
      <c r="N2391" s="93" t="s">
        <v>111</v>
      </c>
      <c r="O2391" s="93" t="s">
        <v>111</v>
      </c>
      <c r="P2391" s="93" t="s">
        <v>111</v>
      </c>
      <c r="Q2391" s="93" t="s">
        <v>111</v>
      </c>
      <c r="R2391" s="93" t="s">
        <v>111</v>
      </c>
      <c r="S2391" s="93" t="s">
        <v>2</v>
      </c>
      <c r="T2391" s="93" t="s">
        <v>111</v>
      </c>
      <c r="U2391" s="93" t="s">
        <v>116</v>
      </c>
      <c r="V2391" s="94">
        <v>44596.645138888889</v>
      </c>
      <c r="W2391" s="93" t="s">
        <v>7072</v>
      </c>
      <c r="X2391" s="93" t="s">
        <v>24</v>
      </c>
    </row>
    <row r="2392" spans="1:24" hidden="1" x14ac:dyDescent="0.15">
      <c r="A2392" s="93" t="s">
        <v>520</v>
      </c>
      <c r="B2392" s="93" t="s">
        <v>521</v>
      </c>
      <c r="C2392" s="410">
        <v>840</v>
      </c>
      <c r="D2392" s="93" t="s">
        <v>24</v>
      </c>
      <c r="E2392" s="93" t="s">
        <v>24</v>
      </c>
      <c r="F2392" s="93" t="s">
        <v>7</v>
      </c>
      <c r="G2392" s="93" t="s">
        <v>7183</v>
      </c>
      <c r="H2392" s="93" t="s">
        <v>118</v>
      </c>
      <c r="I2392" s="93" t="s">
        <v>111</v>
      </c>
      <c r="J2392" s="93" t="s">
        <v>7105</v>
      </c>
      <c r="K2392" s="93" t="s">
        <v>111</v>
      </c>
      <c r="L2392" s="93" t="s">
        <v>111</v>
      </c>
      <c r="M2392" s="93" t="s">
        <v>111</v>
      </c>
      <c r="N2392" s="93" t="s">
        <v>111</v>
      </c>
      <c r="O2392" s="93" t="s">
        <v>111</v>
      </c>
      <c r="P2392" s="93" t="s">
        <v>111</v>
      </c>
      <c r="Q2392" s="93" t="s">
        <v>111</v>
      </c>
      <c r="R2392" s="93" t="s">
        <v>111</v>
      </c>
      <c r="S2392" s="93" t="s">
        <v>2</v>
      </c>
      <c r="T2392" s="93" t="s">
        <v>111</v>
      </c>
      <c r="U2392" s="93" t="s">
        <v>116</v>
      </c>
      <c r="V2392" s="94">
        <v>44596.65902777778</v>
      </c>
      <c r="W2392" s="93" t="s">
        <v>7072</v>
      </c>
      <c r="X2392" s="93" t="s">
        <v>24</v>
      </c>
    </row>
    <row r="2393" spans="1:24" hidden="1" x14ac:dyDescent="0.15">
      <c r="A2393" s="93" t="s">
        <v>522</v>
      </c>
      <c r="B2393" s="93" t="s">
        <v>523</v>
      </c>
      <c r="C2393" s="410">
        <v>2142</v>
      </c>
      <c r="D2393" s="93" t="s">
        <v>24</v>
      </c>
      <c r="E2393" s="93" t="s">
        <v>24</v>
      </c>
      <c r="F2393" s="93" t="s">
        <v>7</v>
      </c>
      <c r="G2393" s="93" t="s">
        <v>7183</v>
      </c>
      <c r="H2393" s="93" t="s">
        <v>118</v>
      </c>
      <c r="I2393" s="93" t="s">
        <v>111</v>
      </c>
      <c r="J2393" s="93" t="s">
        <v>7105</v>
      </c>
      <c r="K2393" s="93" t="s">
        <v>111</v>
      </c>
      <c r="L2393" s="93" t="s">
        <v>111</v>
      </c>
      <c r="M2393" s="93" t="s">
        <v>111</v>
      </c>
      <c r="N2393" s="93" t="s">
        <v>111</v>
      </c>
      <c r="O2393" s="93" t="s">
        <v>111</v>
      </c>
      <c r="P2393" s="93" t="s">
        <v>111</v>
      </c>
      <c r="Q2393" s="93" t="s">
        <v>111</v>
      </c>
      <c r="R2393" s="93" t="s">
        <v>111</v>
      </c>
      <c r="S2393" s="93" t="s">
        <v>2</v>
      </c>
      <c r="T2393" s="93" t="s">
        <v>111</v>
      </c>
      <c r="U2393" s="93" t="s">
        <v>116</v>
      </c>
      <c r="V2393" s="94">
        <v>44596.65902777778</v>
      </c>
      <c r="W2393" s="93" t="s">
        <v>7072</v>
      </c>
      <c r="X2393" s="93" t="s">
        <v>24</v>
      </c>
    </row>
    <row r="2394" spans="1:24" hidden="1" x14ac:dyDescent="0.15">
      <c r="A2394" s="93" t="s">
        <v>524</v>
      </c>
      <c r="B2394" s="93" t="s">
        <v>525</v>
      </c>
      <c r="C2394" s="410">
        <v>3360</v>
      </c>
      <c r="D2394" s="93" t="s">
        <v>24</v>
      </c>
      <c r="E2394" s="93" t="s">
        <v>24</v>
      </c>
      <c r="F2394" s="93" t="s">
        <v>7</v>
      </c>
      <c r="G2394" s="93" t="s">
        <v>7183</v>
      </c>
      <c r="H2394" s="93" t="s">
        <v>118</v>
      </c>
      <c r="I2394" s="93" t="s">
        <v>111</v>
      </c>
      <c r="J2394" s="93" t="s">
        <v>7105</v>
      </c>
      <c r="K2394" s="93" t="s">
        <v>111</v>
      </c>
      <c r="L2394" s="93" t="s">
        <v>111</v>
      </c>
      <c r="M2394" s="93" t="s">
        <v>111</v>
      </c>
      <c r="N2394" s="93" t="s">
        <v>111</v>
      </c>
      <c r="O2394" s="93" t="s">
        <v>111</v>
      </c>
      <c r="P2394" s="93" t="s">
        <v>111</v>
      </c>
      <c r="Q2394" s="93" t="s">
        <v>111</v>
      </c>
      <c r="R2394" s="93" t="s">
        <v>111</v>
      </c>
      <c r="S2394" s="93" t="s">
        <v>2</v>
      </c>
      <c r="T2394" s="93" t="s">
        <v>111</v>
      </c>
      <c r="U2394" s="93" t="s">
        <v>116</v>
      </c>
      <c r="V2394" s="94">
        <v>44596.662499999999</v>
      </c>
      <c r="W2394" s="93" t="s">
        <v>7072</v>
      </c>
      <c r="X2394" s="93" t="s">
        <v>24</v>
      </c>
    </row>
    <row r="2395" spans="1:24" hidden="1" x14ac:dyDescent="0.15">
      <c r="A2395" s="93" t="s">
        <v>526</v>
      </c>
      <c r="B2395" s="93" t="s">
        <v>527</v>
      </c>
      <c r="C2395" s="410">
        <v>3600</v>
      </c>
      <c r="D2395" s="93" t="s">
        <v>24</v>
      </c>
      <c r="E2395" s="93" t="s">
        <v>24</v>
      </c>
      <c r="F2395" s="93" t="s">
        <v>7</v>
      </c>
      <c r="G2395" s="93" t="s">
        <v>7183</v>
      </c>
      <c r="H2395" s="93" t="s">
        <v>118</v>
      </c>
      <c r="I2395" s="93" t="s">
        <v>111</v>
      </c>
      <c r="J2395" s="93" t="s">
        <v>7105</v>
      </c>
      <c r="K2395" s="93" t="s">
        <v>111</v>
      </c>
      <c r="L2395" s="93" t="s">
        <v>111</v>
      </c>
      <c r="M2395" s="93" t="s">
        <v>111</v>
      </c>
      <c r="N2395" s="93" t="s">
        <v>111</v>
      </c>
      <c r="O2395" s="93" t="s">
        <v>111</v>
      </c>
      <c r="P2395" s="93" t="s">
        <v>111</v>
      </c>
      <c r="Q2395" s="93" t="s">
        <v>111</v>
      </c>
      <c r="R2395" s="93" t="s">
        <v>111</v>
      </c>
      <c r="S2395" s="93" t="s">
        <v>2</v>
      </c>
      <c r="T2395" s="93" t="s">
        <v>111</v>
      </c>
      <c r="U2395" s="93" t="s">
        <v>116</v>
      </c>
      <c r="V2395" s="94">
        <v>44596.649305555555</v>
      </c>
      <c r="W2395" s="93" t="s">
        <v>7072</v>
      </c>
      <c r="X2395" s="93" t="s">
        <v>24</v>
      </c>
    </row>
    <row r="2396" spans="1:24" hidden="1" x14ac:dyDescent="0.15">
      <c r="A2396" s="93" t="s">
        <v>528</v>
      </c>
      <c r="B2396" s="93" t="s">
        <v>529</v>
      </c>
      <c r="C2396" s="410">
        <v>9180</v>
      </c>
      <c r="D2396" s="93" t="s">
        <v>24</v>
      </c>
      <c r="E2396" s="93" t="s">
        <v>24</v>
      </c>
      <c r="F2396" s="93" t="s">
        <v>7</v>
      </c>
      <c r="G2396" s="93" t="s">
        <v>7183</v>
      </c>
      <c r="H2396" s="93" t="s">
        <v>118</v>
      </c>
      <c r="I2396" s="93" t="s">
        <v>111</v>
      </c>
      <c r="J2396" s="93" t="s">
        <v>7105</v>
      </c>
      <c r="K2396" s="93" t="s">
        <v>111</v>
      </c>
      <c r="L2396" s="93" t="s">
        <v>111</v>
      </c>
      <c r="M2396" s="93" t="s">
        <v>111</v>
      </c>
      <c r="N2396" s="93" t="s">
        <v>111</v>
      </c>
      <c r="O2396" s="93" t="s">
        <v>111</v>
      </c>
      <c r="P2396" s="93" t="s">
        <v>111</v>
      </c>
      <c r="Q2396" s="93" t="s">
        <v>111</v>
      </c>
      <c r="R2396" s="93" t="s">
        <v>111</v>
      </c>
      <c r="S2396" s="93" t="s">
        <v>2</v>
      </c>
      <c r="T2396" s="93" t="s">
        <v>111</v>
      </c>
      <c r="U2396" s="93" t="s">
        <v>116</v>
      </c>
      <c r="V2396" s="94">
        <v>44596.654166666667</v>
      </c>
      <c r="W2396" s="93" t="s">
        <v>7072</v>
      </c>
      <c r="X2396" s="93" t="s">
        <v>24</v>
      </c>
    </row>
    <row r="2397" spans="1:24" hidden="1" x14ac:dyDescent="0.15">
      <c r="A2397" s="93" t="s">
        <v>530</v>
      </c>
      <c r="B2397" s="93" t="s">
        <v>531</v>
      </c>
      <c r="C2397" s="410">
        <v>14400</v>
      </c>
      <c r="D2397" s="93" t="s">
        <v>24</v>
      </c>
      <c r="E2397" s="93" t="s">
        <v>24</v>
      </c>
      <c r="F2397" s="93" t="s">
        <v>7</v>
      </c>
      <c r="G2397" s="93" t="s">
        <v>7183</v>
      </c>
      <c r="H2397" s="93" t="s">
        <v>118</v>
      </c>
      <c r="I2397" s="93" t="s">
        <v>111</v>
      </c>
      <c r="J2397" s="93" t="s">
        <v>7105</v>
      </c>
      <c r="K2397" s="93" t="s">
        <v>111</v>
      </c>
      <c r="L2397" s="93" t="s">
        <v>111</v>
      </c>
      <c r="M2397" s="93" t="s">
        <v>111</v>
      </c>
      <c r="N2397" s="93" t="s">
        <v>111</v>
      </c>
      <c r="O2397" s="93" t="s">
        <v>111</v>
      </c>
      <c r="P2397" s="93" t="s">
        <v>111</v>
      </c>
      <c r="Q2397" s="93" t="s">
        <v>111</v>
      </c>
      <c r="R2397" s="93" t="s">
        <v>111</v>
      </c>
      <c r="S2397" s="93" t="s">
        <v>2</v>
      </c>
      <c r="T2397" s="93" t="s">
        <v>111</v>
      </c>
      <c r="U2397" s="93" t="s">
        <v>116</v>
      </c>
      <c r="V2397" s="94">
        <v>44596.667361111111</v>
      </c>
      <c r="W2397" s="93" t="s">
        <v>7072</v>
      </c>
      <c r="X2397" s="93" t="s">
        <v>24</v>
      </c>
    </row>
    <row r="2398" spans="1:24" hidden="1" x14ac:dyDescent="0.15">
      <c r="A2398" s="93" t="s">
        <v>532</v>
      </c>
      <c r="B2398" s="93" t="s">
        <v>533</v>
      </c>
      <c r="C2398" s="410">
        <v>222</v>
      </c>
      <c r="D2398" s="93" t="s">
        <v>24</v>
      </c>
      <c r="E2398" s="93" t="s">
        <v>24</v>
      </c>
      <c r="F2398" s="93" t="s">
        <v>7</v>
      </c>
      <c r="G2398" s="93" t="s">
        <v>7183</v>
      </c>
      <c r="H2398" s="93" t="s">
        <v>118</v>
      </c>
      <c r="I2398" s="93" t="s">
        <v>111</v>
      </c>
      <c r="J2398" s="93" t="s">
        <v>7105</v>
      </c>
      <c r="K2398" s="93" t="s">
        <v>111</v>
      </c>
      <c r="L2398" s="93" t="s">
        <v>111</v>
      </c>
      <c r="M2398" s="93" t="s">
        <v>111</v>
      </c>
      <c r="N2398" s="93" t="s">
        <v>111</v>
      </c>
      <c r="O2398" s="93" t="s">
        <v>111</v>
      </c>
      <c r="P2398" s="93" t="s">
        <v>111</v>
      </c>
      <c r="Q2398" s="93" t="s">
        <v>111</v>
      </c>
      <c r="R2398" s="93" t="s">
        <v>111</v>
      </c>
      <c r="S2398" s="93" t="s">
        <v>2</v>
      </c>
      <c r="T2398" s="93" t="s">
        <v>111</v>
      </c>
      <c r="U2398" s="93" t="s">
        <v>116</v>
      </c>
      <c r="V2398" s="94">
        <v>44596.685416666667</v>
      </c>
      <c r="W2398" s="93" t="s">
        <v>7072</v>
      </c>
      <c r="X2398" s="93" t="s">
        <v>24</v>
      </c>
    </row>
    <row r="2399" spans="1:24" hidden="1" x14ac:dyDescent="0.15">
      <c r="A2399" s="93" t="s">
        <v>534</v>
      </c>
      <c r="B2399" s="93" t="s">
        <v>535</v>
      </c>
      <c r="C2399" s="410">
        <v>567</v>
      </c>
      <c r="D2399" s="93" t="s">
        <v>24</v>
      </c>
      <c r="E2399" s="93" t="s">
        <v>24</v>
      </c>
      <c r="F2399" s="93" t="s">
        <v>7</v>
      </c>
      <c r="G2399" s="93" t="s">
        <v>7183</v>
      </c>
      <c r="H2399" s="93" t="s">
        <v>118</v>
      </c>
      <c r="I2399" s="93" t="s">
        <v>111</v>
      </c>
      <c r="J2399" s="93" t="s">
        <v>7105</v>
      </c>
      <c r="K2399" s="93" t="s">
        <v>111</v>
      </c>
      <c r="L2399" s="93" t="s">
        <v>111</v>
      </c>
      <c r="M2399" s="93" t="s">
        <v>111</v>
      </c>
      <c r="N2399" s="93" t="s">
        <v>111</v>
      </c>
      <c r="O2399" s="93" t="s">
        <v>111</v>
      </c>
      <c r="P2399" s="93" t="s">
        <v>111</v>
      </c>
      <c r="Q2399" s="93" t="s">
        <v>111</v>
      </c>
      <c r="R2399" s="93" t="s">
        <v>111</v>
      </c>
      <c r="S2399" s="93" t="s">
        <v>2</v>
      </c>
      <c r="T2399" s="93" t="s">
        <v>111</v>
      </c>
      <c r="U2399" s="93" t="s">
        <v>116</v>
      </c>
      <c r="V2399" s="94">
        <v>44596.697222222225</v>
      </c>
      <c r="W2399" s="93" t="s">
        <v>7072</v>
      </c>
      <c r="X2399" s="93" t="s">
        <v>24</v>
      </c>
    </row>
    <row r="2400" spans="1:24" hidden="1" x14ac:dyDescent="0.15">
      <c r="A2400" s="93" t="s">
        <v>536</v>
      </c>
      <c r="B2400" s="93" t="s">
        <v>537</v>
      </c>
      <c r="C2400" s="410">
        <v>888</v>
      </c>
      <c r="D2400" s="93" t="s">
        <v>24</v>
      </c>
      <c r="E2400" s="93" t="s">
        <v>24</v>
      </c>
      <c r="F2400" s="93" t="s">
        <v>7</v>
      </c>
      <c r="G2400" s="93" t="s">
        <v>7183</v>
      </c>
      <c r="H2400" s="93" t="s">
        <v>118</v>
      </c>
      <c r="I2400" s="93" t="s">
        <v>111</v>
      </c>
      <c r="J2400" s="93" t="s">
        <v>7105</v>
      </c>
      <c r="K2400" s="93" t="s">
        <v>111</v>
      </c>
      <c r="L2400" s="93" t="s">
        <v>111</v>
      </c>
      <c r="M2400" s="93" t="s">
        <v>111</v>
      </c>
      <c r="N2400" s="93" t="s">
        <v>111</v>
      </c>
      <c r="O2400" s="93" t="s">
        <v>111</v>
      </c>
      <c r="P2400" s="93" t="s">
        <v>111</v>
      </c>
      <c r="Q2400" s="93" t="s">
        <v>111</v>
      </c>
      <c r="R2400" s="93" t="s">
        <v>111</v>
      </c>
      <c r="S2400" s="93" t="s">
        <v>2</v>
      </c>
      <c r="T2400" s="93" t="s">
        <v>111</v>
      </c>
      <c r="U2400" s="93" t="s">
        <v>116</v>
      </c>
      <c r="V2400" s="94">
        <v>44596.654166666667</v>
      </c>
      <c r="W2400" s="93" t="s">
        <v>7072</v>
      </c>
      <c r="X2400" s="93" t="s">
        <v>24</v>
      </c>
    </row>
    <row r="2401" spans="1:24" hidden="1" x14ac:dyDescent="0.15">
      <c r="A2401" s="93" t="s">
        <v>538</v>
      </c>
      <c r="B2401" s="93" t="s">
        <v>539</v>
      </c>
      <c r="C2401" s="410">
        <v>1080</v>
      </c>
      <c r="D2401" s="93" t="s">
        <v>24</v>
      </c>
      <c r="E2401" s="93" t="s">
        <v>24</v>
      </c>
      <c r="F2401" s="93" t="s">
        <v>7</v>
      </c>
      <c r="G2401" s="93" t="s">
        <v>7183</v>
      </c>
      <c r="H2401" s="93" t="s">
        <v>118</v>
      </c>
      <c r="I2401" s="93" t="s">
        <v>111</v>
      </c>
      <c r="J2401" s="93" t="s">
        <v>7105</v>
      </c>
      <c r="K2401" s="93" t="s">
        <v>111</v>
      </c>
      <c r="L2401" s="93" t="s">
        <v>111</v>
      </c>
      <c r="M2401" s="93" t="s">
        <v>111</v>
      </c>
      <c r="N2401" s="93" t="s">
        <v>111</v>
      </c>
      <c r="O2401" s="93" t="s">
        <v>111</v>
      </c>
      <c r="P2401" s="93" t="s">
        <v>111</v>
      </c>
      <c r="Q2401" s="93" t="s">
        <v>111</v>
      </c>
      <c r="R2401" s="93" t="s">
        <v>111</v>
      </c>
      <c r="S2401" s="93" t="s">
        <v>2</v>
      </c>
      <c r="T2401" s="93" t="s">
        <v>111</v>
      </c>
      <c r="U2401" s="93" t="s">
        <v>116</v>
      </c>
      <c r="V2401" s="94">
        <v>44596.685416666667</v>
      </c>
      <c r="W2401" s="93" t="s">
        <v>7072</v>
      </c>
      <c r="X2401" s="93" t="s">
        <v>24</v>
      </c>
    </row>
    <row r="2402" spans="1:24" hidden="1" x14ac:dyDescent="0.15">
      <c r="A2402" s="93" t="s">
        <v>540</v>
      </c>
      <c r="B2402" s="93" t="s">
        <v>541</v>
      </c>
      <c r="C2402" s="410">
        <v>2754</v>
      </c>
      <c r="D2402" s="93" t="s">
        <v>24</v>
      </c>
      <c r="E2402" s="93" t="s">
        <v>24</v>
      </c>
      <c r="F2402" s="93" t="s">
        <v>7</v>
      </c>
      <c r="G2402" s="93" t="s">
        <v>7183</v>
      </c>
      <c r="H2402" s="93" t="s">
        <v>118</v>
      </c>
      <c r="I2402" s="93" t="s">
        <v>111</v>
      </c>
      <c r="J2402" s="93" t="s">
        <v>7105</v>
      </c>
      <c r="K2402" s="93" t="s">
        <v>111</v>
      </c>
      <c r="L2402" s="93" t="s">
        <v>111</v>
      </c>
      <c r="M2402" s="93" t="s">
        <v>111</v>
      </c>
      <c r="N2402" s="93" t="s">
        <v>111</v>
      </c>
      <c r="O2402" s="93" t="s">
        <v>111</v>
      </c>
      <c r="P2402" s="93" t="s">
        <v>111</v>
      </c>
      <c r="Q2402" s="93" t="s">
        <v>111</v>
      </c>
      <c r="R2402" s="93" t="s">
        <v>111</v>
      </c>
      <c r="S2402" s="93" t="s">
        <v>2</v>
      </c>
      <c r="T2402" s="93" t="s">
        <v>111</v>
      </c>
      <c r="U2402" s="93" t="s">
        <v>116</v>
      </c>
      <c r="V2402" s="94">
        <v>44596.697222222225</v>
      </c>
      <c r="W2402" s="93" t="s">
        <v>7072</v>
      </c>
      <c r="X2402" s="93" t="s">
        <v>24</v>
      </c>
    </row>
    <row r="2403" spans="1:24" hidden="1" x14ac:dyDescent="0.15">
      <c r="A2403" s="93" t="s">
        <v>542</v>
      </c>
      <c r="B2403" s="93" t="s">
        <v>543</v>
      </c>
      <c r="C2403" s="410">
        <v>4320</v>
      </c>
      <c r="D2403" s="93" t="s">
        <v>24</v>
      </c>
      <c r="E2403" s="93" t="s">
        <v>24</v>
      </c>
      <c r="F2403" s="93" t="s">
        <v>7</v>
      </c>
      <c r="G2403" s="93" t="s">
        <v>7183</v>
      </c>
      <c r="H2403" s="93" t="s">
        <v>118</v>
      </c>
      <c r="I2403" s="93" t="s">
        <v>111</v>
      </c>
      <c r="J2403" s="93" t="s">
        <v>7105</v>
      </c>
      <c r="K2403" s="93" t="s">
        <v>111</v>
      </c>
      <c r="L2403" s="93" t="s">
        <v>111</v>
      </c>
      <c r="M2403" s="93" t="s">
        <v>111</v>
      </c>
      <c r="N2403" s="93" t="s">
        <v>111</v>
      </c>
      <c r="O2403" s="93" t="s">
        <v>111</v>
      </c>
      <c r="P2403" s="93" t="s">
        <v>111</v>
      </c>
      <c r="Q2403" s="93" t="s">
        <v>111</v>
      </c>
      <c r="R2403" s="93" t="s">
        <v>111</v>
      </c>
      <c r="S2403" s="93" t="s">
        <v>2</v>
      </c>
      <c r="T2403" s="93" t="s">
        <v>111</v>
      </c>
      <c r="U2403" s="93" t="s">
        <v>116</v>
      </c>
      <c r="V2403" s="94">
        <v>44596.654166666667</v>
      </c>
      <c r="W2403" s="93" t="s">
        <v>7072</v>
      </c>
      <c r="X2403" s="93" t="s">
        <v>24</v>
      </c>
    </row>
    <row r="2404" spans="1:24" hidden="1" x14ac:dyDescent="0.15">
      <c r="A2404" s="93" t="s">
        <v>544</v>
      </c>
      <c r="B2404" s="93" t="s">
        <v>545</v>
      </c>
      <c r="C2404" s="410">
        <v>4560</v>
      </c>
      <c r="D2404" s="93" t="s">
        <v>24</v>
      </c>
      <c r="E2404" s="93" t="s">
        <v>24</v>
      </c>
      <c r="F2404" s="93" t="s">
        <v>7</v>
      </c>
      <c r="G2404" s="93" t="s">
        <v>7183</v>
      </c>
      <c r="H2404" s="93" t="s">
        <v>118</v>
      </c>
      <c r="I2404" s="93" t="s">
        <v>111</v>
      </c>
      <c r="J2404" s="93" t="s">
        <v>7105</v>
      </c>
      <c r="K2404" s="93" t="s">
        <v>111</v>
      </c>
      <c r="L2404" s="93" t="s">
        <v>111</v>
      </c>
      <c r="M2404" s="93" t="s">
        <v>111</v>
      </c>
      <c r="N2404" s="93" t="s">
        <v>111</v>
      </c>
      <c r="O2404" s="93" t="s">
        <v>111</v>
      </c>
      <c r="P2404" s="93" t="s">
        <v>111</v>
      </c>
      <c r="Q2404" s="93" t="s">
        <v>111</v>
      </c>
      <c r="R2404" s="93" t="s">
        <v>111</v>
      </c>
      <c r="S2404" s="93" t="s">
        <v>2</v>
      </c>
      <c r="T2404" s="93" t="s">
        <v>111</v>
      </c>
      <c r="U2404" s="93" t="s">
        <v>116</v>
      </c>
      <c r="V2404" s="94">
        <v>44596.693749999999</v>
      </c>
      <c r="W2404" s="93" t="s">
        <v>7072</v>
      </c>
      <c r="X2404" s="93" t="s">
        <v>24</v>
      </c>
    </row>
    <row r="2405" spans="1:24" hidden="1" x14ac:dyDescent="0.15">
      <c r="A2405" s="93" t="s">
        <v>546</v>
      </c>
      <c r="B2405" s="93" t="s">
        <v>547</v>
      </c>
      <c r="C2405" s="410">
        <v>11628</v>
      </c>
      <c r="D2405" s="93" t="s">
        <v>24</v>
      </c>
      <c r="E2405" s="93" t="s">
        <v>24</v>
      </c>
      <c r="F2405" s="93" t="s">
        <v>7</v>
      </c>
      <c r="G2405" s="93" t="s">
        <v>7183</v>
      </c>
      <c r="H2405" s="93" t="s">
        <v>118</v>
      </c>
      <c r="I2405" s="93" t="s">
        <v>111</v>
      </c>
      <c r="J2405" s="93" t="s">
        <v>7105</v>
      </c>
      <c r="K2405" s="93" t="s">
        <v>111</v>
      </c>
      <c r="L2405" s="93" t="s">
        <v>111</v>
      </c>
      <c r="M2405" s="93" t="s">
        <v>111</v>
      </c>
      <c r="N2405" s="93" t="s">
        <v>111</v>
      </c>
      <c r="O2405" s="93" t="s">
        <v>111</v>
      </c>
      <c r="P2405" s="93" t="s">
        <v>111</v>
      </c>
      <c r="Q2405" s="93" t="s">
        <v>111</v>
      </c>
      <c r="R2405" s="93" t="s">
        <v>111</v>
      </c>
      <c r="S2405" s="93" t="s">
        <v>2</v>
      </c>
      <c r="T2405" s="93" t="s">
        <v>111</v>
      </c>
      <c r="U2405" s="93" t="s">
        <v>116</v>
      </c>
      <c r="V2405" s="94">
        <v>44596.645138888889</v>
      </c>
      <c r="W2405" s="93" t="s">
        <v>7072</v>
      </c>
      <c r="X2405" s="93" t="s">
        <v>24</v>
      </c>
    </row>
    <row r="2406" spans="1:24" hidden="1" x14ac:dyDescent="0.15">
      <c r="A2406" s="93" t="s">
        <v>548</v>
      </c>
      <c r="B2406" s="93" t="s">
        <v>549</v>
      </c>
      <c r="C2406" s="410">
        <v>18240</v>
      </c>
      <c r="D2406" s="93" t="s">
        <v>24</v>
      </c>
      <c r="E2406" s="93" t="s">
        <v>24</v>
      </c>
      <c r="F2406" s="93" t="s">
        <v>7</v>
      </c>
      <c r="G2406" s="93" t="s">
        <v>7183</v>
      </c>
      <c r="H2406" s="93" t="s">
        <v>118</v>
      </c>
      <c r="I2406" s="93" t="s">
        <v>111</v>
      </c>
      <c r="J2406" s="93" t="s">
        <v>7105</v>
      </c>
      <c r="K2406" s="93" t="s">
        <v>111</v>
      </c>
      <c r="L2406" s="93" t="s">
        <v>111</v>
      </c>
      <c r="M2406" s="93" t="s">
        <v>111</v>
      </c>
      <c r="N2406" s="93" t="s">
        <v>111</v>
      </c>
      <c r="O2406" s="93" t="s">
        <v>111</v>
      </c>
      <c r="P2406" s="93" t="s">
        <v>111</v>
      </c>
      <c r="Q2406" s="93" t="s">
        <v>111</v>
      </c>
      <c r="R2406" s="93" t="s">
        <v>111</v>
      </c>
      <c r="S2406" s="93" t="s">
        <v>2</v>
      </c>
      <c r="T2406" s="93" t="s">
        <v>111</v>
      </c>
      <c r="U2406" s="93" t="s">
        <v>116</v>
      </c>
      <c r="V2406" s="94">
        <v>44596.685416666667</v>
      </c>
      <c r="W2406" s="93" t="s">
        <v>7072</v>
      </c>
      <c r="X2406" s="93" t="s">
        <v>24</v>
      </c>
    </row>
    <row r="2407" spans="1:24" hidden="1" x14ac:dyDescent="0.15">
      <c r="A2407" s="93" t="s">
        <v>550</v>
      </c>
      <c r="B2407" s="93" t="s">
        <v>551</v>
      </c>
      <c r="C2407" s="410">
        <v>264</v>
      </c>
      <c r="D2407" s="93" t="s">
        <v>24</v>
      </c>
      <c r="E2407" s="93" t="s">
        <v>24</v>
      </c>
      <c r="F2407" s="93" t="s">
        <v>7</v>
      </c>
      <c r="G2407" s="93" t="s">
        <v>7183</v>
      </c>
      <c r="H2407" s="93" t="s">
        <v>118</v>
      </c>
      <c r="I2407" s="93" t="s">
        <v>111</v>
      </c>
      <c r="J2407" s="93" t="s">
        <v>7105</v>
      </c>
      <c r="K2407" s="93" t="s">
        <v>111</v>
      </c>
      <c r="L2407" s="93" t="s">
        <v>111</v>
      </c>
      <c r="M2407" s="93" t="s">
        <v>111</v>
      </c>
      <c r="N2407" s="93" t="s">
        <v>111</v>
      </c>
      <c r="O2407" s="93" t="s">
        <v>111</v>
      </c>
      <c r="P2407" s="93" t="s">
        <v>111</v>
      </c>
      <c r="Q2407" s="93" t="s">
        <v>111</v>
      </c>
      <c r="R2407" s="93" t="s">
        <v>111</v>
      </c>
      <c r="S2407" s="93" t="s">
        <v>2</v>
      </c>
      <c r="T2407" s="93" t="s">
        <v>111</v>
      </c>
      <c r="U2407" s="93" t="s">
        <v>116</v>
      </c>
      <c r="V2407" s="94">
        <v>44596.649305555555</v>
      </c>
      <c r="W2407" s="93" t="s">
        <v>7072</v>
      </c>
      <c r="X2407" s="93" t="s">
        <v>24</v>
      </c>
    </row>
    <row r="2408" spans="1:24" hidden="1" x14ac:dyDescent="0.15">
      <c r="A2408" s="93" t="s">
        <v>552</v>
      </c>
      <c r="B2408" s="93" t="s">
        <v>553</v>
      </c>
      <c r="C2408" s="410">
        <v>674</v>
      </c>
      <c r="D2408" s="93" t="s">
        <v>24</v>
      </c>
      <c r="E2408" s="93" t="s">
        <v>24</v>
      </c>
      <c r="F2408" s="93" t="s">
        <v>7</v>
      </c>
      <c r="G2408" s="93" t="s">
        <v>7183</v>
      </c>
      <c r="H2408" s="93" t="s">
        <v>118</v>
      </c>
      <c r="I2408" s="93" t="s">
        <v>111</v>
      </c>
      <c r="J2408" s="93" t="s">
        <v>7105</v>
      </c>
      <c r="K2408" s="93" t="s">
        <v>111</v>
      </c>
      <c r="L2408" s="93" t="s">
        <v>111</v>
      </c>
      <c r="M2408" s="93" t="s">
        <v>111</v>
      </c>
      <c r="N2408" s="93" t="s">
        <v>111</v>
      </c>
      <c r="O2408" s="93" t="s">
        <v>111</v>
      </c>
      <c r="P2408" s="93" t="s">
        <v>111</v>
      </c>
      <c r="Q2408" s="93" t="s">
        <v>111</v>
      </c>
      <c r="R2408" s="93" t="s">
        <v>111</v>
      </c>
      <c r="S2408" s="93" t="s">
        <v>2</v>
      </c>
      <c r="T2408" s="93" t="s">
        <v>111</v>
      </c>
      <c r="U2408" s="93" t="s">
        <v>116</v>
      </c>
      <c r="V2408" s="94">
        <v>44596.640277777777</v>
      </c>
      <c r="W2408" s="93" t="s">
        <v>7072</v>
      </c>
      <c r="X2408" s="93" t="s">
        <v>24</v>
      </c>
    </row>
    <row r="2409" spans="1:24" hidden="1" x14ac:dyDescent="0.15">
      <c r="A2409" s="93" t="s">
        <v>554</v>
      </c>
      <c r="B2409" s="93" t="s">
        <v>555</v>
      </c>
      <c r="C2409" s="410">
        <v>1056</v>
      </c>
      <c r="D2409" s="93" t="s">
        <v>24</v>
      </c>
      <c r="E2409" s="93" t="s">
        <v>24</v>
      </c>
      <c r="F2409" s="93" t="s">
        <v>7</v>
      </c>
      <c r="G2409" s="93" t="s">
        <v>7183</v>
      </c>
      <c r="H2409" s="93" t="s">
        <v>118</v>
      </c>
      <c r="I2409" s="93" t="s">
        <v>111</v>
      </c>
      <c r="J2409" s="93" t="s">
        <v>7105</v>
      </c>
      <c r="K2409" s="93" t="s">
        <v>111</v>
      </c>
      <c r="L2409" s="93" t="s">
        <v>111</v>
      </c>
      <c r="M2409" s="93" t="s">
        <v>111</v>
      </c>
      <c r="N2409" s="93" t="s">
        <v>111</v>
      </c>
      <c r="O2409" s="93" t="s">
        <v>111</v>
      </c>
      <c r="P2409" s="93" t="s">
        <v>111</v>
      </c>
      <c r="Q2409" s="93" t="s">
        <v>111</v>
      </c>
      <c r="R2409" s="93" t="s">
        <v>111</v>
      </c>
      <c r="S2409" s="93" t="s">
        <v>2</v>
      </c>
      <c r="T2409" s="93" t="s">
        <v>111</v>
      </c>
      <c r="U2409" s="93" t="s">
        <v>116</v>
      </c>
      <c r="V2409" s="94">
        <v>44596.662499999999</v>
      </c>
      <c r="W2409" s="93" t="s">
        <v>7072</v>
      </c>
      <c r="X2409" s="93" t="s">
        <v>24</v>
      </c>
    </row>
    <row r="2410" spans="1:24" hidden="1" x14ac:dyDescent="0.15">
      <c r="A2410" s="93" t="s">
        <v>556</v>
      </c>
      <c r="B2410" s="93" t="s">
        <v>557</v>
      </c>
      <c r="C2410" s="410">
        <v>1260</v>
      </c>
      <c r="D2410" s="93" t="s">
        <v>24</v>
      </c>
      <c r="E2410" s="93" t="s">
        <v>24</v>
      </c>
      <c r="F2410" s="93" t="s">
        <v>7</v>
      </c>
      <c r="G2410" s="93" t="s">
        <v>7183</v>
      </c>
      <c r="H2410" s="93" t="s">
        <v>118</v>
      </c>
      <c r="I2410" s="93" t="s">
        <v>111</v>
      </c>
      <c r="J2410" s="93" t="s">
        <v>7105</v>
      </c>
      <c r="K2410" s="93" t="s">
        <v>111</v>
      </c>
      <c r="L2410" s="93" t="s">
        <v>111</v>
      </c>
      <c r="M2410" s="93" t="s">
        <v>111</v>
      </c>
      <c r="N2410" s="93" t="s">
        <v>111</v>
      </c>
      <c r="O2410" s="93" t="s">
        <v>111</v>
      </c>
      <c r="P2410" s="93" t="s">
        <v>111</v>
      </c>
      <c r="Q2410" s="93" t="s">
        <v>111</v>
      </c>
      <c r="R2410" s="93" t="s">
        <v>111</v>
      </c>
      <c r="S2410" s="93" t="s">
        <v>2</v>
      </c>
      <c r="T2410" s="93" t="s">
        <v>111</v>
      </c>
      <c r="U2410" s="93" t="s">
        <v>116</v>
      </c>
      <c r="V2410" s="94">
        <v>44596.662499999999</v>
      </c>
      <c r="W2410" s="93" t="s">
        <v>7072</v>
      </c>
      <c r="X2410" s="93" t="s">
        <v>24</v>
      </c>
    </row>
    <row r="2411" spans="1:24" hidden="1" x14ac:dyDescent="0.15">
      <c r="A2411" s="93" t="s">
        <v>558</v>
      </c>
      <c r="B2411" s="93" t="s">
        <v>559</v>
      </c>
      <c r="C2411" s="410">
        <v>3213</v>
      </c>
      <c r="D2411" s="93" t="s">
        <v>24</v>
      </c>
      <c r="E2411" s="93" t="s">
        <v>24</v>
      </c>
      <c r="F2411" s="93" t="s">
        <v>7</v>
      </c>
      <c r="G2411" s="93" t="s">
        <v>7183</v>
      </c>
      <c r="H2411" s="93" t="s">
        <v>118</v>
      </c>
      <c r="I2411" s="93" t="s">
        <v>111</v>
      </c>
      <c r="J2411" s="93" t="s">
        <v>7105</v>
      </c>
      <c r="K2411" s="93" t="s">
        <v>111</v>
      </c>
      <c r="L2411" s="93" t="s">
        <v>111</v>
      </c>
      <c r="M2411" s="93" t="s">
        <v>111</v>
      </c>
      <c r="N2411" s="93" t="s">
        <v>111</v>
      </c>
      <c r="O2411" s="93" t="s">
        <v>111</v>
      </c>
      <c r="P2411" s="93" t="s">
        <v>111</v>
      </c>
      <c r="Q2411" s="93" t="s">
        <v>111</v>
      </c>
      <c r="R2411" s="93" t="s">
        <v>111</v>
      </c>
      <c r="S2411" s="93" t="s">
        <v>2</v>
      </c>
      <c r="T2411" s="93" t="s">
        <v>111</v>
      </c>
      <c r="U2411" s="93" t="s">
        <v>116</v>
      </c>
      <c r="V2411" s="94">
        <v>44596.649305555555</v>
      </c>
      <c r="W2411" s="93" t="s">
        <v>7072</v>
      </c>
      <c r="X2411" s="93" t="s">
        <v>24</v>
      </c>
    </row>
    <row r="2412" spans="1:24" hidden="1" x14ac:dyDescent="0.15">
      <c r="A2412" s="93" t="s">
        <v>560</v>
      </c>
      <c r="B2412" s="93" t="s">
        <v>561</v>
      </c>
      <c r="C2412" s="410">
        <v>5040</v>
      </c>
      <c r="D2412" s="93" t="s">
        <v>24</v>
      </c>
      <c r="E2412" s="93" t="s">
        <v>24</v>
      </c>
      <c r="F2412" s="93" t="s">
        <v>7</v>
      </c>
      <c r="G2412" s="93" t="s">
        <v>7183</v>
      </c>
      <c r="H2412" s="93" t="s">
        <v>118</v>
      </c>
      <c r="I2412" s="93" t="s">
        <v>111</v>
      </c>
      <c r="J2412" s="93" t="s">
        <v>7105</v>
      </c>
      <c r="K2412" s="93" t="s">
        <v>111</v>
      </c>
      <c r="L2412" s="93" t="s">
        <v>111</v>
      </c>
      <c r="M2412" s="93" t="s">
        <v>111</v>
      </c>
      <c r="N2412" s="93" t="s">
        <v>111</v>
      </c>
      <c r="O2412" s="93" t="s">
        <v>111</v>
      </c>
      <c r="P2412" s="93" t="s">
        <v>111</v>
      </c>
      <c r="Q2412" s="93" t="s">
        <v>111</v>
      </c>
      <c r="R2412" s="93" t="s">
        <v>111</v>
      </c>
      <c r="S2412" s="93" t="s">
        <v>2</v>
      </c>
      <c r="T2412" s="93" t="s">
        <v>111</v>
      </c>
      <c r="U2412" s="93" t="s">
        <v>116</v>
      </c>
      <c r="V2412" s="94">
        <v>44596.689583333333</v>
      </c>
      <c r="W2412" s="93" t="s">
        <v>7072</v>
      </c>
      <c r="X2412" s="93" t="s">
        <v>24</v>
      </c>
    </row>
    <row r="2413" spans="1:24" hidden="1" x14ac:dyDescent="0.15">
      <c r="A2413" s="93" t="s">
        <v>562</v>
      </c>
      <c r="B2413" s="93" t="s">
        <v>563</v>
      </c>
      <c r="C2413" s="410">
        <v>5400</v>
      </c>
      <c r="D2413" s="93" t="s">
        <v>24</v>
      </c>
      <c r="E2413" s="93" t="s">
        <v>24</v>
      </c>
      <c r="F2413" s="93" t="s">
        <v>7</v>
      </c>
      <c r="G2413" s="93" t="s">
        <v>7183</v>
      </c>
      <c r="H2413" s="93" t="s">
        <v>118</v>
      </c>
      <c r="I2413" s="93" t="s">
        <v>111</v>
      </c>
      <c r="J2413" s="93" t="s">
        <v>7105</v>
      </c>
      <c r="K2413" s="93" t="s">
        <v>111</v>
      </c>
      <c r="L2413" s="93" t="s">
        <v>111</v>
      </c>
      <c r="M2413" s="93" t="s">
        <v>111</v>
      </c>
      <c r="N2413" s="93" t="s">
        <v>111</v>
      </c>
      <c r="O2413" s="93" t="s">
        <v>111</v>
      </c>
      <c r="P2413" s="93" t="s">
        <v>111</v>
      </c>
      <c r="Q2413" s="93" t="s">
        <v>111</v>
      </c>
      <c r="R2413" s="93" t="s">
        <v>111</v>
      </c>
      <c r="S2413" s="93" t="s">
        <v>2</v>
      </c>
      <c r="T2413" s="93" t="s">
        <v>111</v>
      </c>
      <c r="U2413" s="93" t="s">
        <v>116</v>
      </c>
      <c r="V2413" s="94">
        <v>44596.697222222225</v>
      </c>
      <c r="W2413" s="93" t="s">
        <v>7072</v>
      </c>
      <c r="X2413" s="93" t="s">
        <v>24</v>
      </c>
    </row>
    <row r="2414" spans="1:24" hidden="1" x14ac:dyDescent="0.15">
      <c r="A2414" s="93" t="s">
        <v>564</v>
      </c>
      <c r="B2414" s="93" t="s">
        <v>565</v>
      </c>
      <c r="C2414" s="410">
        <v>13770</v>
      </c>
      <c r="D2414" s="93" t="s">
        <v>24</v>
      </c>
      <c r="E2414" s="93" t="s">
        <v>24</v>
      </c>
      <c r="F2414" s="93" t="s">
        <v>7</v>
      </c>
      <c r="G2414" s="93" t="s">
        <v>7183</v>
      </c>
      <c r="H2414" s="93" t="s">
        <v>118</v>
      </c>
      <c r="I2414" s="93" t="s">
        <v>111</v>
      </c>
      <c r="J2414" s="93" t="s">
        <v>7105</v>
      </c>
      <c r="K2414" s="93" t="s">
        <v>111</v>
      </c>
      <c r="L2414" s="93" t="s">
        <v>111</v>
      </c>
      <c r="M2414" s="93" t="s">
        <v>111</v>
      </c>
      <c r="N2414" s="93" t="s">
        <v>111</v>
      </c>
      <c r="O2414" s="93" t="s">
        <v>111</v>
      </c>
      <c r="P2414" s="93" t="s">
        <v>111</v>
      </c>
      <c r="Q2414" s="93" t="s">
        <v>111</v>
      </c>
      <c r="R2414" s="93" t="s">
        <v>111</v>
      </c>
      <c r="S2414" s="93" t="s">
        <v>2</v>
      </c>
      <c r="T2414" s="93" t="s">
        <v>111</v>
      </c>
      <c r="U2414" s="93" t="s">
        <v>116</v>
      </c>
      <c r="V2414" s="94">
        <v>44596.654861111114</v>
      </c>
      <c r="W2414" s="93" t="s">
        <v>7072</v>
      </c>
      <c r="X2414" s="93" t="s">
        <v>24</v>
      </c>
    </row>
    <row r="2415" spans="1:24" hidden="1" x14ac:dyDescent="0.15">
      <c r="A2415" s="93" t="s">
        <v>566</v>
      </c>
      <c r="B2415" s="93" t="s">
        <v>567</v>
      </c>
      <c r="C2415" s="410">
        <v>21600</v>
      </c>
      <c r="D2415" s="93" t="s">
        <v>24</v>
      </c>
      <c r="E2415" s="93" t="s">
        <v>24</v>
      </c>
      <c r="F2415" s="93" t="s">
        <v>7</v>
      </c>
      <c r="G2415" s="93" t="s">
        <v>7183</v>
      </c>
      <c r="H2415" s="93" t="s">
        <v>118</v>
      </c>
      <c r="I2415" s="93" t="s">
        <v>111</v>
      </c>
      <c r="J2415" s="93" t="s">
        <v>7105</v>
      </c>
      <c r="K2415" s="93" t="s">
        <v>111</v>
      </c>
      <c r="L2415" s="93" t="s">
        <v>111</v>
      </c>
      <c r="M2415" s="93" t="s">
        <v>111</v>
      </c>
      <c r="N2415" s="93" t="s">
        <v>111</v>
      </c>
      <c r="O2415" s="93" t="s">
        <v>111</v>
      </c>
      <c r="P2415" s="93" t="s">
        <v>111</v>
      </c>
      <c r="Q2415" s="93" t="s">
        <v>111</v>
      </c>
      <c r="R2415" s="93" t="s">
        <v>111</v>
      </c>
      <c r="S2415" s="93" t="s">
        <v>2</v>
      </c>
      <c r="T2415" s="93" t="s">
        <v>111</v>
      </c>
      <c r="U2415" s="93" t="s">
        <v>116</v>
      </c>
      <c r="V2415" s="94">
        <v>44596.649305555555</v>
      </c>
      <c r="W2415" s="93" t="s">
        <v>7072</v>
      </c>
      <c r="X2415" s="93" t="s">
        <v>24</v>
      </c>
    </row>
    <row r="2416" spans="1:24" hidden="1" x14ac:dyDescent="0.15">
      <c r="A2416" s="93" t="s">
        <v>568</v>
      </c>
      <c r="B2416" s="93" t="s">
        <v>569</v>
      </c>
      <c r="C2416" s="410">
        <v>300</v>
      </c>
      <c r="D2416" s="93" t="s">
        <v>24</v>
      </c>
      <c r="E2416" s="93" t="s">
        <v>24</v>
      </c>
      <c r="F2416" s="93" t="s">
        <v>7</v>
      </c>
      <c r="G2416" s="93" t="s">
        <v>7183</v>
      </c>
      <c r="H2416" s="93" t="s">
        <v>118</v>
      </c>
      <c r="I2416" s="93" t="s">
        <v>111</v>
      </c>
      <c r="J2416" s="93" t="s">
        <v>7105</v>
      </c>
      <c r="K2416" s="93" t="s">
        <v>111</v>
      </c>
      <c r="L2416" s="93" t="s">
        <v>111</v>
      </c>
      <c r="M2416" s="93" t="s">
        <v>111</v>
      </c>
      <c r="N2416" s="93" t="s">
        <v>111</v>
      </c>
      <c r="O2416" s="93" t="s">
        <v>111</v>
      </c>
      <c r="P2416" s="93" t="s">
        <v>111</v>
      </c>
      <c r="Q2416" s="93" t="s">
        <v>111</v>
      </c>
      <c r="R2416" s="93" t="s">
        <v>111</v>
      </c>
      <c r="S2416" s="93" t="s">
        <v>2</v>
      </c>
      <c r="T2416" s="93" t="s">
        <v>111</v>
      </c>
      <c r="U2416" s="93" t="s">
        <v>116</v>
      </c>
      <c r="V2416" s="94">
        <v>44596.640277777777</v>
      </c>
      <c r="W2416" s="93" t="s">
        <v>7072</v>
      </c>
      <c r="X2416" s="93" t="s">
        <v>24</v>
      </c>
    </row>
    <row r="2417" spans="1:24" hidden="1" x14ac:dyDescent="0.15">
      <c r="A2417" s="93" t="s">
        <v>570</v>
      </c>
      <c r="B2417" s="93" t="s">
        <v>571</v>
      </c>
      <c r="C2417" s="410">
        <v>765</v>
      </c>
      <c r="D2417" s="93" t="s">
        <v>24</v>
      </c>
      <c r="E2417" s="93" t="s">
        <v>24</v>
      </c>
      <c r="F2417" s="93" t="s">
        <v>7</v>
      </c>
      <c r="G2417" s="93" t="s">
        <v>7183</v>
      </c>
      <c r="H2417" s="93" t="s">
        <v>118</v>
      </c>
      <c r="I2417" s="93" t="s">
        <v>111</v>
      </c>
      <c r="J2417" s="93" t="s">
        <v>7105</v>
      </c>
      <c r="K2417" s="93" t="s">
        <v>111</v>
      </c>
      <c r="L2417" s="93" t="s">
        <v>111</v>
      </c>
      <c r="M2417" s="93" t="s">
        <v>111</v>
      </c>
      <c r="N2417" s="93" t="s">
        <v>111</v>
      </c>
      <c r="O2417" s="93" t="s">
        <v>111</v>
      </c>
      <c r="P2417" s="93" t="s">
        <v>111</v>
      </c>
      <c r="Q2417" s="93" t="s">
        <v>111</v>
      </c>
      <c r="R2417" s="93" t="s">
        <v>111</v>
      </c>
      <c r="S2417" s="93" t="s">
        <v>2</v>
      </c>
      <c r="T2417" s="93" t="s">
        <v>111</v>
      </c>
      <c r="U2417" s="93" t="s">
        <v>116</v>
      </c>
      <c r="V2417" s="94">
        <v>44596.654166666667</v>
      </c>
      <c r="W2417" s="93" t="s">
        <v>7072</v>
      </c>
      <c r="X2417" s="93" t="s">
        <v>24</v>
      </c>
    </row>
    <row r="2418" spans="1:24" hidden="1" x14ac:dyDescent="0.15">
      <c r="A2418" s="93" t="s">
        <v>572</v>
      </c>
      <c r="B2418" s="93" t="s">
        <v>573</v>
      </c>
      <c r="C2418" s="410">
        <v>1200</v>
      </c>
      <c r="D2418" s="93" t="s">
        <v>24</v>
      </c>
      <c r="E2418" s="93" t="s">
        <v>24</v>
      </c>
      <c r="F2418" s="93" t="s">
        <v>7</v>
      </c>
      <c r="G2418" s="93" t="s">
        <v>7183</v>
      </c>
      <c r="H2418" s="93" t="s">
        <v>118</v>
      </c>
      <c r="I2418" s="93" t="s">
        <v>111</v>
      </c>
      <c r="J2418" s="93" t="s">
        <v>7105</v>
      </c>
      <c r="K2418" s="93" t="s">
        <v>111</v>
      </c>
      <c r="L2418" s="93" t="s">
        <v>111</v>
      </c>
      <c r="M2418" s="93" t="s">
        <v>111</v>
      </c>
      <c r="N2418" s="93" t="s">
        <v>111</v>
      </c>
      <c r="O2418" s="93" t="s">
        <v>111</v>
      </c>
      <c r="P2418" s="93" t="s">
        <v>111</v>
      </c>
      <c r="Q2418" s="93" t="s">
        <v>111</v>
      </c>
      <c r="R2418" s="93" t="s">
        <v>111</v>
      </c>
      <c r="S2418" s="93" t="s">
        <v>2</v>
      </c>
      <c r="T2418" s="93" t="s">
        <v>111</v>
      </c>
      <c r="U2418" s="93" t="s">
        <v>116</v>
      </c>
      <c r="V2418" s="94">
        <v>44596.649305555555</v>
      </c>
      <c r="W2418" s="93" t="s">
        <v>7072</v>
      </c>
      <c r="X2418" s="93" t="s">
        <v>24</v>
      </c>
    </row>
    <row r="2419" spans="1:24" hidden="1" x14ac:dyDescent="0.15">
      <c r="A2419" s="93" t="s">
        <v>574</v>
      </c>
      <c r="B2419" s="93" t="s">
        <v>575</v>
      </c>
      <c r="C2419" s="410">
        <v>1440</v>
      </c>
      <c r="D2419" s="93" t="s">
        <v>24</v>
      </c>
      <c r="E2419" s="93" t="s">
        <v>24</v>
      </c>
      <c r="F2419" s="93" t="s">
        <v>7</v>
      </c>
      <c r="G2419" s="93" t="s">
        <v>7183</v>
      </c>
      <c r="H2419" s="93" t="s">
        <v>118</v>
      </c>
      <c r="I2419" s="93" t="s">
        <v>111</v>
      </c>
      <c r="J2419" s="93" t="s">
        <v>7105</v>
      </c>
      <c r="K2419" s="93" t="s">
        <v>111</v>
      </c>
      <c r="L2419" s="93" t="s">
        <v>111</v>
      </c>
      <c r="M2419" s="93" t="s">
        <v>111</v>
      </c>
      <c r="N2419" s="93" t="s">
        <v>111</v>
      </c>
      <c r="O2419" s="93" t="s">
        <v>111</v>
      </c>
      <c r="P2419" s="93" t="s">
        <v>111</v>
      </c>
      <c r="Q2419" s="93" t="s">
        <v>111</v>
      </c>
      <c r="R2419" s="93" t="s">
        <v>111</v>
      </c>
      <c r="S2419" s="93" t="s">
        <v>2</v>
      </c>
      <c r="T2419" s="93" t="s">
        <v>111</v>
      </c>
      <c r="U2419" s="93" t="s">
        <v>116</v>
      </c>
      <c r="V2419" s="94">
        <v>44596.667361111111</v>
      </c>
      <c r="W2419" s="93" t="s">
        <v>7072</v>
      </c>
      <c r="X2419" s="93" t="s">
        <v>24</v>
      </c>
    </row>
    <row r="2420" spans="1:24" hidden="1" x14ac:dyDescent="0.15">
      <c r="A2420" s="93" t="s">
        <v>576</v>
      </c>
      <c r="B2420" s="93" t="s">
        <v>577</v>
      </c>
      <c r="C2420" s="410">
        <v>3672</v>
      </c>
      <c r="D2420" s="93" t="s">
        <v>24</v>
      </c>
      <c r="E2420" s="93" t="s">
        <v>24</v>
      </c>
      <c r="F2420" s="93" t="s">
        <v>7</v>
      </c>
      <c r="G2420" s="93" t="s">
        <v>7183</v>
      </c>
      <c r="H2420" s="93" t="s">
        <v>118</v>
      </c>
      <c r="I2420" s="93" t="s">
        <v>111</v>
      </c>
      <c r="J2420" s="93" t="s">
        <v>7105</v>
      </c>
      <c r="K2420" s="93" t="s">
        <v>111</v>
      </c>
      <c r="L2420" s="93" t="s">
        <v>111</v>
      </c>
      <c r="M2420" s="93" t="s">
        <v>111</v>
      </c>
      <c r="N2420" s="93" t="s">
        <v>111</v>
      </c>
      <c r="O2420" s="93" t="s">
        <v>111</v>
      </c>
      <c r="P2420" s="93" t="s">
        <v>111</v>
      </c>
      <c r="Q2420" s="93" t="s">
        <v>111</v>
      </c>
      <c r="R2420" s="93" t="s">
        <v>111</v>
      </c>
      <c r="S2420" s="93" t="s">
        <v>2</v>
      </c>
      <c r="T2420" s="93" t="s">
        <v>111</v>
      </c>
      <c r="U2420" s="93" t="s">
        <v>116</v>
      </c>
      <c r="V2420" s="94">
        <v>44596.697222222225</v>
      </c>
      <c r="W2420" s="93" t="s">
        <v>7072</v>
      </c>
      <c r="X2420" s="93" t="s">
        <v>24</v>
      </c>
    </row>
    <row r="2421" spans="1:24" hidden="1" x14ac:dyDescent="0.15">
      <c r="A2421" s="93" t="s">
        <v>578</v>
      </c>
      <c r="B2421" s="93" t="s">
        <v>579</v>
      </c>
      <c r="C2421" s="410">
        <v>5760</v>
      </c>
      <c r="D2421" s="93" t="s">
        <v>24</v>
      </c>
      <c r="E2421" s="93" t="s">
        <v>24</v>
      </c>
      <c r="F2421" s="93" t="s">
        <v>7</v>
      </c>
      <c r="G2421" s="93" t="s">
        <v>7183</v>
      </c>
      <c r="H2421" s="93" t="s">
        <v>118</v>
      </c>
      <c r="I2421" s="93" t="s">
        <v>111</v>
      </c>
      <c r="J2421" s="93" t="s">
        <v>7105</v>
      </c>
      <c r="K2421" s="93" t="s">
        <v>111</v>
      </c>
      <c r="L2421" s="93" t="s">
        <v>111</v>
      </c>
      <c r="M2421" s="93" t="s">
        <v>111</v>
      </c>
      <c r="N2421" s="93" t="s">
        <v>111</v>
      </c>
      <c r="O2421" s="93" t="s">
        <v>111</v>
      </c>
      <c r="P2421" s="93" t="s">
        <v>111</v>
      </c>
      <c r="Q2421" s="93" t="s">
        <v>111</v>
      </c>
      <c r="R2421" s="93" t="s">
        <v>111</v>
      </c>
      <c r="S2421" s="93" t="s">
        <v>2</v>
      </c>
      <c r="T2421" s="93" t="s">
        <v>111</v>
      </c>
      <c r="U2421" s="93" t="s">
        <v>116</v>
      </c>
      <c r="V2421" s="94">
        <v>44596.640277777777</v>
      </c>
      <c r="W2421" s="93" t="s">
        <v>7072</v>
      </c>
      <c r="X2421" s="93" t="s">
        <v>24</v>
      </c>
    </row>
    <row r="2422" spans="1:24" hidden="1" x14ac:dyDescent="0.15">
      <c r="A2422" s="93" t="s">
        <v>580</v>
      </c>
      <c r="B2422" s="93" t="s">
        <v>581</v>
      </c>
      <c r="C2422" s="410">
        <v>6000</v>
      </c>
      <c r="D2422" s="93" t="s">
        <v>24</v>
      </c>
      <c r="E2422" s="93" t="s">
        <v>24</v>
      </c>
      <c r="F2422" s="93" t="s">
        <v>7</v>
      </c>
      <c r="G2422" s="93" t="s">
        <v>7183</v>
      </c>
      <c r="H2422" s="93" t="s">
        <v>118</v>
      </c>
      <c r="I2422" s="93" t="s">
        <v>111</v>
      </c>
      <c r="J2422" s="93" t="s">
        <v>7105</v>
      </c>
      <c r="K2422" s="93" t="s">
        <v>111</v>
      </c>
      <c r="L2422" s="93" t="s">
        <v>111</v>
      </c>
      <c r="M2422" s="93" t="s">
        <v>111</v>
      </c>
      <c r="N2422" s="93" t="s">
        <v>111</v>
      </c>
      <c r="O2422" s="93" t="s">
        <v>111</v>
      </c>
      <c r="P2422" s="93" t="s">
        <v>111</v>
      </c>
      <c r="Q2422" s="93" t="s">
        <v>111</v>
      </c>
      <c r="R2422" s="93" t="s">
        <v>111</v>
      </c>
      <c r="S2422" s="93" t="s">
        <v>2</v>
      </c>
      <c r="T2422" s="93" t="s">
        <v>111</v>
      </c>
      <c r="U2422" s="93" t="s">
        <v>116</v>
      </c>
      <c r="V2422" s="94">
        <v>44596.640277777777</v>
      </c>
      <c r="W2422" s="93" t="s">
        <v>7072</v>
      </c>
      <c r="X2422" s="93" t="s">
        <v>24</v>
      </c>
    </row>
    <row r="2423" spans="1:24" hidden="1" x14ac:dyDescent="0.15">
      <c r="A2423" s="93" t="s">
        <v>582</v>
      </c>
      <c r="B2423" s="93" t="s">
        <v>583</v>
      </c>
      <c r="C2423" s="410">
        <v>15300</v>
      </c>
      <c r="D2423" s="93" t="s">
        <v>24</v>
      </c>
      <c r="E2423" s="93" t="s">
        <v>24</v>
      </c>
      <c r="F2423" s="93" t="s">
        <v>7</v>
      </c>
      <c r="G2423" s="93" t="s">
        <v>7183</v>
      </c>
      <c r="H2423" s="93" t="s">
        <v>118</v>
      </c>
      <c r="I2423" s="93" t="s">
        <v>111</v>
      </c>
      <c r="J2423" s="93" t="s">
        <v>7105</v>
      </c>
      <c r="K2423" s="93" t="s">
        <v>111</v>
      </c>
      <c r="L2423" s="93" t="s">
        <v>111</v>
      </c>
      <c r="M2423" s="93" t="s">
        <v>111</v>
      </c>
      <c r="N2423" s="93" t="s">
        <v>111</v>
      </c>
      <c r="O2423" s="93" t="s">
        <v>111</v>
      </c>
      <c r="P2423" s="93" t="s">
        <v>111</v>
      </c>
      <c r="Q2423" s="93" t="s">
        <v>111</v>
      </c>
      <c r="R2423" s="93" t="s">
        <v>111</v>
      </c>
      <c r="S2423" s="93" t="s">
        <v>2</v>
      </c>
      <c r="T2423" s="93" t="s">
        <v>111</v>
      </c>
      <c r="U2423" s="93" t="s">
        <v>116</v>
      </c>
      <c r="V2423" s="94">
        <v>44596.662499999999</v>
      </c>
      <c r="W2423" s="93" t="s">
        <v>7072</v>
      </c>
      <c r="X2423" s="93" t="s">
        <v>24</v>
      </c>
    </row>
    <row r="2424" spans="1:24" hidden="1" x14ac:dyDescent="0.15">
      <c r="A2424" s="93" t="s">
        <v>584</v>
      </c>
      <c r="B2424" s="93" t="s">
        <v>585</v>
      </c>
      <c r="C2424" s="410">
        <v>24000</v>
      </c>
      <c r="D2424" s="93" t="s">
        <v>24</v>
      </c>
      <c r="E2424" s="93" t="s">
        <v>24</v>
      </c>
      <c r="F2424" s="93" t="s">
        <v>7</v>
      </c>
      <c r="G2424" s="93" t="s">
        <v>7183</v>
      </c>
      <c r="H2424" s="93" t="s">
        <v>118</v>
      </c>
      <c r="I2424" s="93" t="s">
        <v>111</v>
      </c>
      <c r="J2424" s="93" t="s">
        <v>7105</v>
      </c>
      <c r="K2424" s="93" t="s">
        <v>111</v>
      </c>
      <c r="L2424" s="93" t="s">
        <v>111</v>
      </c>
      <c r="M2424" s="93" t="s">
        <v>111</v>
      </c>
      <c r="N2424" s="93" t="s">
        <v>111</v>
      </c>
      <c r="O2424" s="93" t="s">
        <v>111</v>
      </c>
      <c r="P2424" s="93" t="s">
        <v>111</v>
      </c>
      <c r="Q2424" s="93" t="s">
        <v>111</v>
      </c>
      <c r="R2424" s="93" t="s">
        <v>111</v>
      </c>
      <c r="S2424" s="93" t="s">
        <v>2</v>
      </c>
      <c r="T2424" s="93" t="s">
        <v>111</v>
      </c>
      <c r="U2424" s="93" t="s">
        <v>116</v>
      </c>
      <c r="V2424" s="94">
        <v>44596.640277777777</v>
      </c>
      <c r="W2424" s="93" t="s">
        <v>7072</v>
      </c>
      <c r="X2424" s="93" t="s">
        <v>24</v>
      </c>
    </row>
    <row r="2425" spans="1:24" hidden="1" x14ac:dyDescent="0.15">
      <c r="A2425" s="93" t="s">
        <v>586</v>
      </c>
      <c r="B2425" s="93" t="s">
        <v>587</v>
      </c>
      <c r="C2425" s="410">
        <v>336</v>
      </c>
      <c r="D2425" s="93" t="s">
        <v>24</v>
      </c>
      <c r="E2425" s="93" t="s">
        <v>24</v>
      </c>
      <c r="F2425" s="93" t="s">
        <v>7</v>
      </c>
      <c r="G2425" s="93" t="s">
        <v>7183</v>
      </c>
      <c r="H2425" s="93" t="s">
        <v>118</v>
      </c>
      <c r="I2425" s="93" t="s">
        <v>111</v>
      </c>
      <c r="J2425" s="93" t="s">
        <v>7105</v>
      </c>
      <c r="K2425" s="93" t="s">
        <v>111</v>
      </c>
      <c r="L2425" s="93" t="s">
        <v>111</v>
      </c>
      <c r="M2425" s="93" t="s">
        <v>111</v>
      </c>
      <c r="N2425" s="93" t="s">
        <v>111</v>
      </c>
      <c r="O2425" s="93" t="s">
        <v>111</v>
      </c>
      <c r="P2425" s="93" t="s">
        <v>111</v>
      </c>
      <c r="Q2425" s="93" t="s">
        <v>111</v>
      </c>
      <c r="R2425" s="93" t="s">
        <v>111</v>
      </c>
      <c r="S2425" s="93" t="s">
        <v>2</v>
      </c>
      <c r="T2425" s="93" t="s">
        <v>111</v>
      </c>
      <c r="U2425" s="93" t="s">
        <v>116</v>
      </c>
      <c r="V2425" s="94">
        <v>44596.645138888889</v>
      </c>
      <c r="W2425" s="93" t="s">
        <v>7072</v>
      </c>
      <c r="X2425" s="93" t="s">
        <v>24</v>
      </c>
    </row>
    <row r="2426" spans="1:24" hidden="1" x14ac:dyDescent="0.15">
      <c r="A2426" s="93" t="s">
        <v>588</v>
      </c>
      <c r="B2426" s="93" t="s">
        <v>589</v>
      </c>
      <c r="C2426" s="410">
        <v>857</v>
      </c>
      <c r="D2426" s="93" t="s">
        <v>24</v>
      </c>
      <c r="E2426" s="93" t="s">
        <v>24</v>
      </c>
      <c r="F2426" s="93" t="s">
        <v>7</v>
      </c>
      <c r="G2426" s="93" t="s">
        <v>7183</v>
      </c>
      <c r="H2426" s="93" t="s">
        <v>118</v>
      </c>
      <c r="I2426" s="93" t="s">
        <v>111</v>
      </c>
      <c r="J2426" s="93" t="s">
        <v>7105</v>
      </c>
      <c r="K2426" s="93" t="s">
        <v>111</v>
      </c>
      <c r="L2426" s="93" t="s">
        <v>111</v>
      </c>
      <c r="M2426" s="93" t="s">
        <v>111</v>
      </c>
      <c r="N2426" s="93" t="s">
        <v>111</v>
      </c>
      <c r="O2426" s="93" t="s">
        <v>111</v>
      </c>
      <c r="P2426" s="93" t="s">
        <v>111</v>
      </c>
      <c r="Q2426" s="93" t="s">
        <v>111</v>
      </c>
      <c r="R2426" s="93" t="s">
        <v>111</v>
      </c>
      <c r="S2426" s="93" t="s">
        <v>2</v>
      </c>
      <c r="T2426" s="93" t="s">
        <v>111</v>
      </c>
      <c r="U2426" s="93" t="s">
        <v>116</v>
      </c>
      <c r="V2426" s="94">
        <v>44596.649305555555</v>
      </c>
      <c r="W2426" s="93" t="s">
        <v>7072</v>
      </c>
      <c r="X2426" s="93" t="s">
        <v>24</v>
      </c>
    </row>
    <row r="2427" spans="1:24" hidden="1" x14ac:dyDescent="0.15">
      <c r="A2427" s="93" t="s">
        <v>590</v>
      </c>
      <c r="B2427" s="93" t="s">
        <v>591</v>
      </c>
      <c r="C2427" s="410">
        <v>1344</v>
      </c>
      <c r="D2427" s="93" t="s">
        <v>24</v>
      </c>
      <c r="E2427" s="93" t="s">
        <v>24</v>
      </c>
      <c r="F2427" s="93" t="s">
        <v>7</v>
      </c>
      <c r="G2427" s="93" t="s">
        <v>7183</v>
      </c>
      <c r="H2427" s="93" t="s">
        <v>118</v>
      </c>
      <c r="I2427" s="93" t="s">
        <v>111</v>
      </c>
      <c r="J2427" s="93" t="s">
        <v>7105</v>
      </c>
      <c r="K2427" s="93" t="s">
        <v>111</v>
      </c>
      <c r="L2427" s="93" t="s">
        <v>111</v>
      </c>
      <c r="M2427" s="93" t="s">
        <v>111</v>
      </c>
      <c r="N2427" s="93" t="s">
        <v>111</v>
      </c>
      <c r="O2427" s="93" t="s">
        <v>111</v>
      </c>
      <c r="P2427" s="93" t="s">
        <v>111</v>
      </c>
      <c r="Q2427" s="93" t="s">
        <v>111</v>
      </c>
      <c r="R2427" s="93" t="s">
        <v>111</v>
      </c>
      <c r="S2427" s="93" t="s">
        <v>2</v>
      </c>
      <c r="T2427" s="93" t="s">
        <v>111</v>
      </c>
      <c r="U2427" s="93" t="s">
        <v>116</v>
      </c>
      <c r="V2427" s="94">
        <v>44596.689583333333</v>
      </c>
      <c r="W2427" s="93" t="s">
        <v>7072</v>
      </c>
      <c r="X2427" s="93" t="s">
        <v>24</v>
      </c>
    </row>
    <row r="2428" spans="1:24" hidden="1" x14ac:dyDescent="0.15">
      <c r="A2428" s="93" t="s">
        <v>592</v>
      </c>
      <c r="B2428" s="93" t="s">
        <v>593</v>
      </c>
      <c r="C2428" s="410">
        <v>1680</v>
      </c>
      <c r="D2428" s="93" t="s">
        <v>24</v>
      </c>
      <c r="E2428" s="93" t="s">
        <v>24</v>
      </c>
      <c r="F2428" s="93" t="s">
        <v>7</v>
      </c>
      <c r="G2428" s="93" t="s">
        <v>7183</v>
      </c>
      <c r="H2428" s="93" t="s">
        <v>118</v>
      </c>
      <c r="I2428" s="93" t="s">
        <v>111</v>
      </c>
      <c r="J2428" s="93" t="s">
        <v>7105</v>
      </c>
      <c r="K2428" s="93" t="s">
        <v>111</v>
      </c>
      <c r="L2428" s="93" t="s">
        <v>111</v>
      </c>
      <c r="M2428" s="93" t="s">
        <v>111</v>
      </c>
      <c r="N2428" s="93" t="s">
        <v>111</v>
      </c>
      <c r="O2428" s="93" t="s">
        <v>111</v>
      </c>
      <c r="P2428" s="93" t="s">
        <v>111</v>
      </c>
      <c r="Q2428" s="93" t="s">
        <v>111</v>
      </c>
      <c r="R2428" s="93" t="s">
        <v>111</v>
      </c>
      <c r="S2428" s="93" t="s">
        <v>2</v>
      </c>
      <c r="T2428" s="93" t="s">
        <v>111</v>
      </c>
      <c r="U2428" s="93" t="s">
        <v>116</v>
      </c>
      <c r="V2428" s="94">
        <v>44596.65902777778</v>
      </c>
      <c r="W2428" s="93" t="s">
        <v>7072</v>
      </c>
      <c r="X2428" s="93" t="s">
        <v>24</v>
      </c>
    </row>
    <row r="2429" spans="1:24" hidden="1" x14ac:dyDescent="0.15">
      <c r="A2429" s="93" t="s">
        <v>594</v>
      </c>
      <c r="B2429" s="93" t="s">
        <v>595</v>
      </c>
      <c r="C2429" s="410">
        <v>4284</v>
      </c>
      <c r="D2429" s="93" t="s">
        <v>24</v>
      </c>
      <c r="E2429" s="93" t="s">
        <v>24</v>
      </c>
      <c r="F2429" s="93" t="s">
        <v>7</v>
      </c>
      <c r="G2429" s="93" t="s">
        <v>7183</v>
      </c>
      <c r="H2429" s="93" t="s">
        <v>118</v>
      </c>
      <c r="I2429" s="93" t="s">
        <v>111</v>
      </c>
      <c r="J2429" s="93" t="s">
        <v>7105</v>
      </c>
      <c r="K2429" s="93" t="s">
        <v>111</v>
      </c>
      <c r="L2429" s="93" t="s">
        <v>111</v>
      </c>
      <c r="M2429" s="93" t="s">
        <v>111</v>
      </c>
      <c r="N2429" s="93" t="s">
        <v>111</v>
      </c>
      <c r="O2429" s="93" t="s">
        <v>111</v>
      </c>
      <c r="P2429" s="93" t="s">
        <v>111</v>
      </c>
      <c r="Q2429" s="93" t="s">
        <v>111</v>
      </c>
      <c r="R2429" s="93" t="s">
        <v>111</v>
      </c>
      <c r="S2429" s="93" t="s">
        <v>2</v>
      </c>
      <c r="T2429" s="93" t="s">
        <v>111</v>
      </c>
      <c r="U2429" s="93" t="s">
        <v>116</v>
      </c>
      <c r="V2429" s="94">
        <v>44596.697222222225</v>
      </c>
      <c r="W2429" s="93" t="s">
        <v>7072</v>
      </c>
      <c r="X2429" s="93" t="s">
        <v>24</v>
      </c>
    </row>
    <row r="2430" spans="1:24" hidden="1" x14ac:dyDescent="0.15">
      <c r="A2430" s="93" t="s">
        <v>596</v>
      </c>
      <c r="B2430" s="93" t="s">
        <v>597</v>
      </c>
      <c r="C2430" s="410">
        <v>6720</v>
      </c>
      <c r="D2430" s="93" t="s">
        <v>24</v>
      </c>
      <c r="E2430" s="93" t="s">
        <v>24</v>
      </c>
      <c r="F2430" s="93" t="s">
        <v>7</v>
      </c>
      <c r="G2430" s="93" t="s">
        <v>7183</v>
      </c>
      <c r="H2430" s="93" t="s">
        <v>118</v>
      </c>
      <c r="I2430" s="93" t="s">
        <v>111</v>
      </c>
      <c r="J2430" s="93" t="s">
        <v>7105</v>
      </c>
      <c r="K2430" s="93" t="s">
        <v>111</v>
      </c>
      <c r="L2430" s="93" t="s">
        <v>111</v>
      </c>
      <c r="M2430" s="93" t="s">
        <v>111</v>
      </c>
      <c r="N2430" s="93" t="s">
        <v>111</v>
      </c>
      <c r="O2430" s="93" t="s">
        <v>111</v>
      </c>
      <c r="P2430" s="93" t="s">
        <v>111</v>
      </c>
      <c r="Q2430" s="93" t="s">
        <v>111</v>
      </c>
      <c r="R2430" s="93" t="s">
        <v>111</v>
      </c>
      <c r="S2430" s="93" t="s">
        <v>2</v>
      </c>
      <c r="T2430" s="93" t="s">
        <v>111</v>
      </c>
      <c r="U2430" s="93" t="s">
        <v>116</v>
      </c>
      <c r="V2430" s="94">
        <v>44596.65902777778</v>
      </c>
      <c r="W2430" s="93" t="s">
        <v>7072</v>
      </c>
      <c r="X2430" s="93" t="s">
        <v>24</v>
      </c>
    </row>
    <row r="2431" spans="1:24" hidden="1" x14ac:dyDescent="0.15">
      <c r="A2431" s="93" t="s">
        <v>598</v>
      </c>
      <c r="B2431" s="93" t="s">
        <v>599</v>
      </c>
      <c r="C2431" s="410">
        <v>372</v>
      </c>
      <c r="D2431" s="93" t="s">
        <v>24</v>
      </c>
      <c r="E2431" s="93" t="s">
        <v>24</v>
      </c>
      <c r="F2431" s="93" t="s">
        <v>7</v>
      </c>
      <c r="G2431" s="93" t="s">
        <v>7183</v>
      </c>
      <c r="H2431" s="93" t="s">
        <v>118</v>
      </c>
      <c r="I2431" s="93" t="s">
        <v>111</v>
      </c>
      <c r="J2431" s="93" t="s">
        <v>7105</v>
      </c>
      <c r="K2431" s="93" t="s">
        <v>111</v>
      </c>
      <c r="L2431" s="93" t="s">
        <v>111</v>
      </c>
      <c r="M2431" s="93" t="s">
        <v>111</v>
      </c>
      <c r="N2431" s="93" t="s">
        <v>111</v>
      </c>
      <c r="O2431" s="93" t="s">
        <v>111</v>
      </c>
      <c r="P2431" s="93" t="s">
        <v>111</v>
      </c>
      <c r="Q2431" s="93" t="s">
        <v>111</v>
      </c>
      <c r="R2431" s="93" t="s">
        <v>111</v>
      </c>
      <c r="S2431" s="93" t="s">
        <v>2</v>
      </c>
      <c r="T2431" s="93" t="s">
        <v>111</v>
      </c>
      <c r="U2431" s="93" t="s">
        <v>116</v>
      </c>
      <c r="V2431" s="94">
        <v>44596.65902777778</v>
      </c>
      <c r="W2431" s="93" t="s">
        <v>7072</v>
      </c>
      <c r="X2431" s="93" t="s">
        <v>24</v>
      </c>
    </row>
    <row r="2432" spans="1:24" hidden="1" x14ac:dyDescent="0.15">
      <c r="A2432" s="93" t="s">
        <v>600</v>
      </c>
      <c r="B2432" s="93" t="s">
        <v>601</v>
      </c>
      <c r="C2432" s="410">
        <v>949</v>
      </c>
      <c r="D2432" s="93" t="s">
        <v>24</v>
      </c>
      <c r="E2432" s="93" t="s">
        <v>24</v>
      </c>
      <c r="F2432" s="93" t="s">
        <v>7</v>
      </c>
      <c r="G2432" s="93" t="s">
        <v>7183</v>
      </c>
      <c r="H2432" s="93" t="s">
        <v>118</v>
      </c>
      <c r="I2432" s="93" t="s">
        <v>111</v>
      </c>
      <c r="J2432" s="93" t="s">
        <v>7105</v>
      </c>
      <c r="K2432" s="93" t="s">
        <v>111</v>
      </c>
      <c r="L2432" s="93" t="s">
        <v>111</v>
      </c>
      <c r="M2432" s="93" t="s">
        <v>111</v>
      </c>
      <c r="N2432" s="93" t="s">
        <v>111</v>
      </c>
      <c r="O2432" s="93" t="s">
        <v>111</v>
      </c>
      <c r="P2432" s="93" t="s">
        <v>111</v>
      </c>
      <c r="Q2432" s="93" t="s">
        <v>111</v>
      </c>
      <c r="R2432" s="93" t="s">
        <v>111</v>
      </c>
      <c r="S2432" s="93" t="s">
        <v>2</v>
      </c>
      <c r="T2432" s="93" t="s">
        <v>111</v>
      </c>
      <c r="U2432" s="93" t="s">
        <v>116</v>
      </c>
      <c r="V2432" s="94">
        <v>44596.693749999999</v>
      </c>
      <c r="W2432" s="93" t="s">
        <v>7072</v>
      </c>
      <c r="X2432" s="93" t="s">
        <v>24</v>
      </c>
    </row>
    <row r="2433" spans="1:24" hidden="1" x14ac:dyDescent="0.15">
      <c r="A2433" s="93" t="s">
        <v>602</v>
      </c>
      <c r="B2433" s="93" t="s">
        <v>603</v>
      </c>
      <c r="C2433" s="410">
        <v>1488</v>
      </c>
      <c r="D2433" s="93" t="s">
        <v>24</v>
      </c>
      <c r="E2433" s="93" t="s">
        <v>24</v>
      </c>
      <c r="F2433" s="93" t="s">
        <v>7</v>
      </c>
      <c r="G2433" s="93" t="s">
        <v>7183</v>
      </c>
      <c r="H2433" s="93" t="s">
        <v>118</v>
      </c>
      <c r="I2433" s="93" t="s">
        <v>111</v>
      </c>
      <c r="J2433" s="93" t="s">
        <v>7105</v>
      </c>
      <c r="K2433" s="93" t="s">
        <v>111</v>
      </c>
      <c r="L2433" s="93" t="s">
        <v>111</v>
      </c>
      <c r="M2433" s="93" t="s">
        <v>111</v>
      </c>
      <c r="N2433" s="93" t="s">
        <v>111</v>
      </c>
      <c r="O2433" s="93" t="s">
        <v>111</v>
      </c>
      <c r="P2433" s="93" t="s">
        <v>111</v>
      </c>
      <c r="Q2433" s="93" t="s">
        <v>111</v>
      </c>
      <c r="R2433" s="93" t="s">
        <v>111</v>
      </c>
      <c r="S2433" s="93" t="s">
        <v>2</v>
      </c>
      <c r="T2433" s="93" t="s">
        <v>111</v>
      </c>
      <c r="U2433" s="93" t="s">
        <v>116</v>
      </c>
      <c r="V2433" s="94">
        <v>44596.65902777778</v>
      </c>
      <c r="W2433" s="93" t="s">
        <v>7072</v>
      </c>
      <c r="X2433" s="93" t="s">
        <v>24</v>
      </c>
    </row>
    <row r="2434" spans="1:24" hidden="1" x14ac:dyDescent="0.15">
      <c r="A2434" s="93" t="s">
        <v>604</v>
      </c>
      <c r="B2434" s="93" t="s">
        <v>605</v>
      </c>
      <c r="C2434" s="410">
        <v>1862</v>
      </c>
      <c r="D2434" s="93" t="s">
        <v>24</v>
      </c>
      <c r="E2434" s="93" t="s">
        <v>24</v>
      </c>
      <c r="F2434" s="93" t="s">
        <v>7</v>
      </c>
      <c r="G2434" s="93" t="s">
        <v>7183</v>
      </c>
      <c r="H2434" s="93" t="s">
        <v>118</v>
      </c>
      <c r="I2434" s="93" t="s">
        <v>111</v>
      </c>
      <c r="J2434" s="93" t="s">
        <v>7105</v>
      </c>
      <c r="K2434" s="93" t="s">
        <v>111</v>
      </c>
      <c r="L2434" s="93" t="s">
        <v>111</v>
      </c>
      <c r="M2434" s="93" t="s">
        <v>111</v>
      </c>
      <c r="N2434" s="93" t="s">
        <v>111</v>
      </c>
      <c r="O2434" s="93" t="s">
        <v>111</v>
      </c>
      <c r="P2434" s="93" t="s">
        <v>111</v>
      </c>
      <c r="Q2434" s="93" t="s">
        <v>111</v>
      </c>
      <c r="R2434" s="93" t="s">
        <v>111</v>
      </c>
      <c r="S2434" s="93" t="s">
        <v>2</v>
      </c>
      <c r="T2434" s="93" t="s">
        <v>111</v>
      </c>
      <c r="U2434" s="93" t="s">
        <v>116</v>
      </c>
      <c r="V2434" s="94">
        <v>44596.685416666667</v>
      </c>
      <c r="W2434" s="93" t="s">
        <v>7072</v>
      </c>
      <c r="X2434" s="93" t="s">
        <v>24</v>
      </c>
    </row>
    <row r="2435" spans="1:24" hidden="1" x14ac:dyDescent="0.15">
      <c r="A2435" s="93" t="s">
        <v>606</v>
      </c>
      <c r="B2435" s="93" t="s">
        <v>607</v>
      </c>
      <c r="C2435" s="410">
        <v>4749</v>
      </c>
      <c r="D2435" s="93" t="s">
        <v>24</v>
      </c>
      <c r="E2435" s="93" t="s">
        <v>24</v>
      </c>
      <c r="F2435" s="93" t="s">
        <v>7</v>
      </c>
      <c r="G2435" s="93" t="s">
        <v>7183</v>
      </c>
      <c r="H2435" s="93" t="s">
        <v>118</v>
      </c>
      <c r="I2435" s="93" t="s">
        <v>111</v>
      </c>
      <c r="J2435" s="93" t="s">
        <v>7105</v>
      </c>
      <c r="K2435" s="93" t="s">
        <v>111</v>
      </c>
      <c r="L2435" s="93" t="s">
        <v>111</v>
      </c>
      <c r="M2435" s="93" t="s">
        <v>111</v>
      </c>
      <c r="N2435" s="93" t="s">
        <v>111</v>
      </c>
      <c r="O2435" s="93" t="s">
        <v>111</v>
      </c>
      <c r="P2435" s="93" t="s">
        <v>111</v>
      </c>
      <c r="Q2435" s="93" t="s">
        <v>111</v>
      </c>
      <c r="R2435" s="93" t="s">
        <v>111</v>
      </c>
      <c r="S2435" s="93" t="s">
        <v>2</v>
      </c>
      <c r="T2435" s="93" t="s">
        <v>111</v>
      </c>
      <c r="U2435" s="93" t="s">
        <v>116</v>
      </c>
      <c r="V2435" s="94">
        <v>44596.645138888889</v>
      </c>
      <c r="W2435" s="93" t="s">
        <v>7072</v>
      </c>
      <c r="X2435" s="93" t="s">
        <v>24</v>
      </c>
    </row>
    <row r="2436" spans="1:24" hidden="1" x14ac:dyDescent="0.15">
      <c r="A2436" s="93" t="s">
        <v>608</v>
      </c>
      <c r="B2436" s="93" t="s">
        <v>609</v>
      </c>
      <c r="C2436" s="410">
        <v>7448</v>
      </c>
      <c r="D2436" s="93" t="s">
        <v>24</v>
      </c>
      <c r="E2436" s="93" t="s">
        <v>24</v>
      </c>
      <c r="F2436" s="93" t="s">
        <v>7</v>
      </c>
      <c r="G2436" s="93" t="s">
        <v>7183</v>
      </c>
      <c r="H2436" s="93" t="s">
        <v>118</v>
      </c>
      <c r="I2436" s="93" t="s">
        <v>111</v>
      </c>
      <c r="J2436" s="93" t="s">
        <v>7105</v>
      </c>
      <c r="K2436" s="93" t="s">
        <v>111</v>
      </c>
      <c r="L2436" s="93" t="s">
        <v>111</v>
      </c>
      <c r="M2436" s="93" t="s">
        <v>111</v>
      </c>
      <c r="N2436" s="93" t="s">
        <v>111</v>
      </c>
      <c r="O2436" s="93" t="s">
        <v>111</v>
      </c>
      <c r="P2436" s="93" t="s">
        <v>111</v>
      </c>
      <c r="Q2436" s="93" t="s">
        <v>111</v>
      </c>
      <c r="R2436" s="93" t="s">
        <v>111</v>
      </c>
      <c r="S2436" s="93" t="s">
        <v>2</v>
      </c>
      <c r="T2436" s="93" t="s">
        <v>111</v>
      </c>
      <c r="U2436" s="93" t="s">
        <v>116</v>
      </c>
      <c r="V2436" s="94">
        <v>44596.685416666667</v>
      </c>
      <c r="W2436" s="93" t="s">
        <v>7072</v>
      </c>
      <c r="X2436" s="93" t="s">
        <v>24</v>
      </c>
    </row>
    <row r="2437" spans="1:24" hidden="1" x14ac:dyDescent="0.15">
      <c r="A2437" s="93" t="s">
        <v>610</v>
      </c>
      <c r="B2437" s="93" t="s">
        <v>611</v>
      </c>
      <c r="C2437" s="410">
        <v>408</v>
      </c>
      <c r="D2437" s="93" t="s">
        <v>24</v>
      </c>
      <c r="E2437" s="93" t="s">
        <v>24</v>
      </c>
      <c r="F2437" s="93" t="s">
        <v>7</v>
      </c>
      <c r="G2437" s="93" t="s">
        <v>7183</v>
      </c>
      <c r="H2437" s="93" t="s">
        <v>118</v>
      </c>
      <c r="I2437" s="93" t="s">
        <v>111</v>
      </c>
      <c r="J2437" s="93" t="s">
        <v>7105</v>
      </c>
      <c r="K2437" s="93" t="s">
        <v>111</v>
      </c>
      <c r="L2437" s="93" t="s">
        <v>111</v>
      </c>
      <c r="M2437" s="93" t="s">
        <v>111</v>
      </c>
      <c r="N2437" s="93" t="s">
        <v>111</v>
      </c>
      <c r="O2437" s="93" t="s">
        <v>111</v>
      </c>
      <c r="P2437" s="93" t="s">
        <v>111</v>
      </c>
      <c r="Q2437" s="93" t="s">
        <v>111</v>
      </c>
      <c r="R2437" s="93" t="s">
        <v>111</v>
      </c>
      <c r="S2437" s="93" t="s">
        <v>2</v>
      </c>
      <c r="T2437" s="93" t="s">
        <v>111</v>
      </c>
      <c r="U2437" s="93" t="s">
        <v>116</v>
      </c>
      <c r="V2437" s="94">
        <v>44596.693749999999</v>
      </c>
      <c r="W2437" s="93" t="s">
        <v>7072</v>
      </c>
      <c r="X2437" s="93" t="s">
        <v>24</v>
      </c>
    </row>
    <row r="2438" spans="1:24" hidden="1" x14ac:dyDescent="0.15">
      <c r="A2438" s="93" t="s">
        <v>612</v>
      </c>
      <c r="B2438" s="93" t="s">
        <v>613</v>
      </c>
      <c r="C2438" s="410">
        <v>1041</v>
      </c>
      <c r="D2438" s="93" t="s">
        <v>24</v>
      </c>
      <c r="E2438" s="93" t="s">
        <v>24</v>
      </c>
      <c r="F2438" s="93" t="s">
        <v>7</v>
      </c>
      <c r="G2438" s="93" t="s">
        <v>7183</v>
      </c>
      <c r="H2438" s="93" t="s">
        <v>118</v>
      </c>
      <c r="I2438" s="93" t="s">
        <v>111</v>
      </c>
      <c r="J2438" s="93" t="s">
        <v>7105</v>
      </c>
      <c r="K2438" s="93" t="s">
        <v>111</v>
      </c>
      <c r="L2438" s="93" t="s">
        <v>111</v>
      </c>
      <c r="M2438" s="93" t="s">
        <v>111</v>
      </c>
      <c r="N2438" s="93" t="s">
        <v>111</v>
      </c>
      <c r="O2438" s="93" t="s">
        <v>111</v>
      </c>
      <c r="P2438" s="93" t="s">
        <v>111</v>
      </c>
      <c r="Q2438" s="93" t="s">
        <v>111</v>
      </c>
      <c r="R2438" s="93" t="s">
        <v>111</v>
      </c>
      <c r="S2438" s="93" t="s">
        <v>2</v>
      </c>
      <c r="T2438" s="93" t="s">
        <v>111</v>
      </c>
      <c r="U2438" s="93" t="s">
        <v>116</v>
      </c>
      <c r="V2438" s="94">
        <v>44596.654166666667</v>
      </c>
      <c r="W2438" s="93" t="s">
        <v>7072</v>
      </c>
      <c r="X2438" s="93" t="s">
        <v>24</v>
      </c>
    </row>
    <row r="2439" spans="1:24" hidden="1" x14ac:dyDescent="0.15">
      <c r="A2439" s="93" t="s">
        <v>614</v>
      </c>
      <c r="B2439" s="93" t="s">
        <v>615</v>
      </c>
      <c r="C2439" s="410">
        <v>1632</v>
      </c>
      <c r="D2439" s="93" t="s">
        <v>24</v>
      </c>
      <c r="E2439" s="93" t="s">
        <v>24</v>
      </c>
      <c r="F2439" s="93" t="s">
        <v>7</v>
      </c>
      <c r="G2439" s="93" t="s">
        <v>7183</v>
      </c>
      <c r="H2439" s="93" t="s">
        <v>118</v>
      </c>
      <c r="I2439" s="93" t="s">
        <v>111</v>
      </c>
      <c r="J2439" s="93" t="s">
        <v>7105</v>
      </c>
      <c r="K2439" s="93" t="s">
        <v>111</v>
      </c>
      <c r="L2439" s="93" t="s">
        <v>111</v>
      </c>
      <c r="M2439" s="93" t="s">
        <v>111</v>
      </c>
      <c r="N2439" s="93" t="s">
        <v>111</v>
      </c>
      <c r="O2439" s="93" t="s">
        <v>111</v>
      </c>
      <c r="P2439" s="93" t="s">
        <v>111</v>
      </c>
      <c r="Q2439" s="93" t="s">
        <v>111</v>
      </c>
      <c r="R2439" s="93" t="s">
        <v>111</v>
      </c>
      <c r="S2439" s="93" t="s">
        <v>2</v>
      </c>
      <c r="T2439" s="93" t="s">
        <v>111</v>
      </c>
      <c r="U2439" s="93" t="s">
        <v>116</v>
      </c>
      <c r="V2439" s="94">
        <v>44596.685416666667</v>
      </c>
      <c r="W2439" s="93" t="s">
        <v>7072</v>
      </c>
      <c r="X2439" s="93" t="s">
        <v>24</v>
      </c>
    </row>
    <row r="2440" spans="1:24" hidden="1" x14ac:dyDescent="0.15">
      <c r="A2440" s="93" t="s">
        <v>616</v>
      </c>
      <c r="B2440" s="93" t="s">
        <v>617</v>
      </c>
      <c r="C2440" s="410">
        <v>2040</v>
      </c>
      <c r="D2440" s="93" t="s">
        <v>24</v>
      </c>
      <c r="E2440" s="93" t="s">
        <v>24</v>
      </c>
      <c r="F2440" s="93" t="s">
        <v>7</v>
      </c>
      <c r="G2440" s="93" t="s">
        <v>7183</v>
      </c>
      <c r="H2440" s="93" t="s">
        <v>118</v>
      </c>
      <c r="I2440" s="93" t="s">
        <v>111</v>
      </c>
      <c r="J2440" s="93" t="s">
        <v>7105</v>
      </c>
      <c r="K2440" s="93" t="s">
        <v>111</v>
      </c>
      <c r="L2440" s="93" t="s">
        <v>111</v>
      </c>
      <c r="M2440" s="93" t="s">
        <v>111</v>
      </c>
      <c r="N2440" s="93" t="s">
        <v>111</v>
      </c>
      <c r="O2440" s="93" t="s">
        <v>111</v>
      </c>
      <c r="P2440" s="93" t="s">
        <v>111</v>
      </c>
      <c r="Q2440" s="93" t="s">
        <v>111</v>
      </c>
      <c r="R2440" s="93" t="s">
        <v>111</v>
      </c>
      <c r="S2440" s="93" t="s">
        <v>2</v>
      </c>
      <c r="T2440" s="93" t="s">
        <v>111</v>
      </c>
      <c r="U2440" s="93" t="s">
        <v>116</v>
      </c>
      <c r="V2440" s="94">
        <v>44596.65902777778</v>
      </c>
      <c r="W2440" s="93" t="s">
        <v>7072</v>
      </c>
      <c r="X2440" s="93" t="s">
        <v>24</v>
      </c>
    </row>
    <row r="2441" spans="1:24" hidden="1" x14ac:dyDescent="0.15">
      <c r="A2441" s="93" t="s">
        <v>618</v>
      </c>
      <c r="B2441" s="93" t="s">
        <v>619</v>
      </c>
      <c r="C2441" s="410">
        <v>5202</v>
      </c>
      <c r="D2441" s="93" t="s">
        <v>24</v>
      </c>
      <c r="E2441" s="93" t="s">
        <v>24</v>
      </c>
      <c r="F2441" s="93" t="s">
        <v>7</v>
      </c>
      <c r="G2441" s="93" t="s">
        <v>7183</v>
      </c>
      <c r="H2441" s="93" t="s">
        <v>118</v>
      </c>
      <c r="I2441" s="93" t="s">
        <v>111</v>
      </c>
      <c r="J2441" s="93" t="s">
        <v>7105</v>
      </c>
      <c r="K2441" s="93" t="s">
        <v>111</v>
      </c>
      <c r="L2441" s="93" t="s">
        <v>111</v>
      </c>
      <c r="M2441" s="93" t="s">
        <v>111</v>
      </c>
      <c r="N2441" s="93" t="s">
        <v>111</v>
      </c>
      <c r="O2441" s="93" t="s">
        <v>111</v>
      </c>
      <c r="P2441" s="93" t="s">
        <v>111</v>
      </c>
      <c r="Q2441" s="93" t="s">
        <v>111</v>
      </c>
      <c r="R2441" s="93" t="s">
        <v>111</v>
      </c>
      <c r="S2441" s="93" t="s">
        <v>2</v>
      </c>
      <c r="T2441" s="93" t="s">
        <v>111</v>
      </c>
      <c r="U2441" s="93" t="s">
        <v>116</v>
      </c>
      <c r="V2441" s="94">
        <v>44596.667361111111</v>
      </c>
      <c r="W2441" s="93" t="s">
        <v>7072</v>
      </c>
      <c r="X2441" s="93" t="s">
        <v>24</v>
      </c>
    </row>
    <row r="2442" spans="1:24" hidden="1" x14ac:dyDescent="0.15">
      <c r="A2442" s="93" t="s">
        <v>620</v>
      </c>
      <c r="B2442" s="93" t="s">
        <v>621</v>
      </c>
      <c r="C2442" s="410">
        <v>8160</v>
      </c>
      <c r="D2442" s="93" t="s">
        <v>24</v>
      </c>
      <c r="E2442" s="93" t="s">
        <v>24</v>
      </c>
      <c r="F2442" s="93" t="s">
        <v>7</v>
      </c>
      <c r="G2442" s="93" t="s">
        <v>7183</v>
      </c>
      <c r="H2442" s="93" t="s">
        <v>118</v>
      </c>
      <c r="I2442" s="93" t="s">
        <v>111</v>
      </c>
      <c r="J2442" s="93" t="s">
        <v>7105</v>
      </c>
      <c r="K2442" s="93" t="s">
        <v>111</v>
      </c>
      <c r="L2442" s="93" t="s">
        <v>111</v>
      </c>
      <c r="M2442" s="93" t="s">
        <v>111</v>
      </c>
      <c r="N2442" s="93" t="s">
        <v>111</v>
      </c>
      <c r="O2442" s="93" t="s">
        <v>111</v>
      </c>
      <c r="P2442" s="93" t="s">
        <v>111</v>
      </c>
      <c r="Q2442" s="93" t="s">
        <v>111</v>
      </c>
      <c r="R2442" s="93" t="s">
        <v>111</v>
      </c>
      <c r="S2442" s="93" t="s">
        <v>2</v>
      </c>
      <c r="T2442" s="93" t="s">
        <v>111</v>
      </c>
      <c r="U2442" s="93" t="s">
        <v>116</v>
      </c>
      <c r="V2442" s="94">
        <v>44596.65902777778</v>
      </c>
      <c r="W2442" s="93" t="s">
        <v>7072</v>
      </c>
      <c r="X2442" s="93" t="s">
        <v>24</v>
      </c>
    </row>
    <row r="2443" spans="1:24" hidden="1" x14ac:dyDescent="0.15">
      <c r="A2443" s="93" t="s">
        <v>622</v>
      </c>
      <c r="B2443" s="93" t="s">
        <v>623</v>
      </c>
      <c r="C2443" s="410">
        <v>444</v>
      </c>
      <c r="D2443" s="93" t="s">
        <v>24</v>
      </c>
      <c r="E2443" s="93" t="s">
        <v>24</v>
      </c>
      <c r="F2443" s="93" t="s">
        <v>7</v>
      </c>
      <c r="G2443" s="93" t="s">
        <v>7183</v>
      </c>
      <c r="H2443" s="93" t="s">
        <v>118</v>
      </c>
      <c r="I2443" s="93" t="s">
        <v>111</v>
      </c>
      <c r="J2443" s="93" t="s">
        <v>7105</v>
      </c>
      <c r="K2443" s="93" t="s">
        <v>111</v>
      </c>
      <c r="L2443" s="93" t="s">
        <v>111</v>
      </c>
      <c r="M2443" s="93" t="s">
        <v>111</v>
      </c>
      <c r="N2443" s="93" t="s">
        <v>111</v>
      </c>
      <c r="O2443" s="93" t="s">
        <v>111</v>
      </c>
      <c r="P2443" s="93" t="s">
        <v>111</v>
      </c>
      <c r="Q2443" s="93" t="s">
        <v>111</v>
      </c>
      <c r="R2443" s="93" t="s">
        <v>111</v>
      </c>
      <c r="S2443" s="93" t="s">
        <v>2</v>
      </c>
      <c r="T2443" s="93" t="s">
        <v>111</v>
      </c>
      <c r="U2443" s="93" t="s">
        <v>116</v>
      </c>
      <c r="V2443" s="94">
        <v>44596.65902777778</v>
      </c>
      <c r="W2443" s="93" t="s">
        <v>7072</v>
      </c>
      <c r="X2443" s="93" t="s">
        <v>24</v>
      </c>
    </row>
    <row r="2444" spans="1:24" hidden="1" x14ac:dyDescent="0.15">
      <c r="A2444" s="93" t="s">
        <v>624</v>
      </c>
      <c r="B2444" s="93" t="s">
        <v>625</v>
      </c>
      <c r="C2444" s="410">
        <v>1133</v>
      </c>
      <c r="D2444" s="93" t="s">
        <v>24</v>
      </c>
      <c r="E2444" s="93" t="s">
        <v>24</v>
      </c>
      <c r="F2444" s="93" t="s">
        <v>7</v>
      </c>
      <c r="G2444" s="93" t="s">
        <v>7183</v>
      </c>
      <c r="H2444" s="93" t="s">
        <v>118</v>
      </c>
      <c r="I2444" s="93" t="s">
        <v>111</v>
      </c>
      <c r="J2444" s="93" t="s">
        <v>7105</v>
      </c>
      <c r="K2444" s="93" t="s">
        <v>111</v>
      </c>
      <c r="L2444" s="93" t="s">
        <v>111</v>
      </c>
      <c r="M2444" s="93" t="s">
        <v>111</v>
      </c>
      <c r="N2444" s="93" t="s">
        <v>111</v>
      </c>
      <c r="O2444" s="93" t="s">
        <v>111</v>
      </c>
      <c r="P2444" s="93" t="s">
        <v>111</v>
      </c>
      <c r="Q2444" s="93" t="s">
        <v>111</v>
      </c>
      <c r="R2444" s="93" t="s">
        <v>111</v>
      </c>
      <c r="S2444" s="93" t="s">
        <v>2</v>
      </c>
      <c r="T2444" s="93" t="s">
        <v>111</v>
      </c>
      <c r="U2444" s="93" t="s">
        <v>116</v>
      </c>
      <c r="V2444" s="94">
        <v>44596.693749999999</v>
      </c>
      <c r="W2444" s="93" t="s">
        <v>7072</v>
      </c>
      <c r="X2444" s="93" t="s">
        <v>24</v>
      </c>
    </row>
    <row r="2445" spans="1:24" hidden="1" x14ac:dyDescent="0.15">
      <c r="A2445" s="93" t="s">
        <v>626</v>
      </c>
      <c r="B2445" s="93" t="s">
        <v>627</v>
      </c>
      <c r="C2445" s="410">
        <v>1776</v>
      </c>
      <c r="D2445" s="93" t="s">
        <v>24</v>
      </c>
      <c r="E2445" s="93" t="s">
        <v>24</v>
      </c>
      <c r="F2445" s="93" t="s">
        <v>7</v>
      </c>
      <c r="G2445" s="93" t="s">
        <v>7183</v>
      </c>
      <c r="H2445" s="93" t="s">
        <v>118</v>
      </c>
      <c r="I2445" s="93" t="s">
        <v>111</v>
      </c>
      <c r="J2445" s="93" t="s">
        <v>7105</v>
      </c>
      <c r="K2445" s="93" t="s">
        <v>111</v>
      </c>
      <c r="L2445" s="93" t="s">
        <v>111</v>
      </c>
      <c r="M2445" s="93" t="s">
        <v>111</v>
      </c>
      <c r="N2445" s="93" t="s">
        <v>111</v>
      </c>
      <c r="O2445" s="93" t="s">
        <v>111</v>
      </c>
      <c r="P2445" s="93" t="s">
        <v>111</v>
      </c>
      <c r="Q2445" s="93" t="s">
        <v>111</v>
      </c>
      <c r="R2445" s="93" t="s">
        <v>111</v>
      </c>
      <c r="S2445" s="93" t="s">
        <v>2</v>
      </c>
      <c r="T2445" s="93" t="s">
        <v>111</v>
      </c>
      <c r="U2445" s="93" t="s">
        <v>116</v>
      </c>
      <c r="V2445" s="94">
        <v>44596.65902777778</v>
      </c>
      <c r="W2445" s="93" t="s">
        <v>7072</v>
      </c>
      <c r="X2445" s="93" t="s">
        <v>24</v>
      </c>
    </row>
    <row r="2446" spans="1:24" hidden="1" x14ac:dyDescent="0.15">
      <c r="A2446" s="93" t="s">
        <v>628</v>
      </c>
      <c r="B2446" s="93" t="s">
        <v>629</v>
      </c>
      <c r="C2446" s="410">
        <v>2223</v>
      </c>
      <c r="D2446" s="93" t="s">
        <v>24</v>
      </c>
      <c r="E2446" s="93" t="s">
        <v>24</v>
      </c>
      <c r="F2446" s="93" t="s">
        <v>7</v>
      </c>
      <c r="G2446" s="93" t="s">
        <v>7183</v>
      </c>
      <c r="H2446" s="93" t="s">
        <v>118</v>
      </c>
      <c r="I2446" s="93" t="s">
        <v>111</v>
      </c>
      <c r="J2446" s="93" t="s">
        <v>7105</v>
      </c>
      <c r="K2446" s="93" t="s">
        <v>111</v>
      </c>
      <c r="L2446" s="93" t="s">
        <v>111</v>
      </c>
      <c r="M2446" s="93" t="s">
        <v>111</v>
      </c>
      <c r="N2446" s="93" t="s">
        <v>111</v>
      </c>
      <c r="O2446" s="93" t="s">
        <v>111</v>
      </c>
      <c r="P2446" s="93" t="s">
        <v>111</v>
      </c>
      <c r="Q2446" s="93" t="s">
        <v>111</v>
      </c>
      <c r="R2446" s="93" t="s">
        <v>111</v>
      </c>
      <c r="S2446" s="93" t="s">
        <v>2</v>
      </c>
      <c r="T2446" s="93" t="s">
        <v>111</v>
      </c>
      <c r="U2446" s="93" t="s">
        <v>116</v>
      </c>
      <c r="V2446" s="94">
        <v>44596.645138888889</v>
      </c>
      <c r="W2446" s="93" t="s">
        <v>7072</v>
      </c>
      <c r="X2446" s="93" t="s">
        <v>24</v>
      </c>
    </row>
    <row r="2447" spans="1:24" hidden="1" x14ac:dyDescent="0.15">
      <c r="A2447" s="93" t="s">
        <v>630</v>
      </c>
      <c r="B2447" s="93" t="s">
        <v>631</v>
      </c>
      <c r="C2447" s="410">
        <v>5669</v>
      </c>
      <c r="D2447" s="93" t="s">
        <v>24</v>
      </c>
      <c r="E2447" s="93" t="s">
        <v>24</v>
      </c>
      <c r="F2447" s="93" t="s">
        <v>7</v>
      </c>
      <c r="G2447" s="93" t="s">
        <v>7183</v>
      </c>
      <c r="H2447" s="93" t="s">
        <v>118</v>
      </c>
      <c r="I2447" s="93" t="s">
        <v>111</v>
      </c>
      <c r="J2447" s="93" t="s">
        <v>7105</v>
      </c>
      <c r="K2447" s="93" t="s">
        <v>111</v>
      </c>
      <c r="L2447" s="93" t="s">
        <v>111</v>
      </c>
      <c r="M2447" s="93" t="s">
        <v>111</v>
      </c>
      <c r="N2447" s="93" t="s">
        <v>111</v>
      </c>
      <c r="O2447" s="93" t="s">
        <v>111</v>
      </c>
      <c r="P2447" s="93" t="s">
        <v>111</v>
      </c>
      <c r="Q2447" s="93" t="s">
        <v>111</v>
      </c>
      <c r="R2447" s="93" t="s">
        <v>111</v>
      </c>
      <c r="S2447" s="93" t="s">
        <v>2</v>
      </c>
      <c r="T2447" s="93" t="s">
        <v>111</v>
      </c>
      <c r="U2447" s="93" t="s">
        <v>116</v>
      </c>
      <c r="V2447" s="94">
        <v>44596.693749999999</v>
      </c>
      <c r="W2447" s="93" t="s">
        <v>7072</v>
      </c>
      <c r="X2447" s="93" t="s">
        <v>24</v>
      </c>
    </row>
    <row r="2448" spans="1:24" hidden="1" x14ac:dyDescent="0.15">
      <c r="A2448" s="93" t="s">
        <v>632</v>
      </c>
      <c r="B2448" s="93" t="s">
        <v>633</v>
      </c>
      <c r="C2448" s="410">
        <v>8892</v>
      </c>
      <c r="D2448" s="93" t="s">
        <v>24</v>
      </c>
      <c r="E2448" s="93" t="s">
        <v>24</v>
      </c>
      <c r="F2448" s="93" t="s">
        <v>7</v>
      </c>
      <c r="G2448" s="93" t="s">
        <v>7183</v>
      </c>
      <c r="H2448" s="93" t="s">
        <v>118</v>
      </c>
      <c r="I2448" s="93" t="s">
        <v>111</v>
      </c>
      <c r="J2448" s="93" t="s">
        <v>7105</v>
      </c>
      <c r="K2448" s="93" t="s">
        <v>111</v>
      </c>
      <c r="L2448" s="93" t="s">
        <v>111</v>
      </c>
      <c r="M2448" s="93" t="s">
        <v>111</v>
      </c>
      <c r="N2448" s="93" t="s">
        <v>111</v>
      </c>
      <c r="O2448" s="93" t="s">
        <v>111</v>
      </c>
      <c r="P2448" s="93" t="s">
        <v>111</v>
      </c>
      <c r="Q2448" s="93" t="s">
        <v>111</v>
      </c>
      <c r="R2448" s="93" t="s">
        <v>111</v>
      </c>
      <c r="S2448" s="93" t="s">
        <v>2</v>
      </c>
      <c r="T2448" s="93" t="s">
        <v>111</v>
      </c>
      <c r="U2448" s="93" t="s">
        <v>116</v>
      </c>
      <c r="V2448" s="94">
        <v>44596.689583333333</v>
      </c>
      <c r="W2448" s="93" t="s">
        <v>7072</v>
      </c>
      <c r="X2448" s="93" t="s">
        <v>24</v>
      </c>
    </row>
    <row r="2449" spans="1:24" hidden="1" x14ac:dyDescent="0.15">
      <c r="A2449" s="93" t="s">
        <v>634</v>
      </c>
      <c r="B2449" s="93" t="s">
        <v>635</v>
      </c>
      <c r="C2449" s="410">
        <v>12</v>
      </c>
      <c r="D2449" s="93" t="s">
        <v>24</v>
      </c>
      <c r="E2449" s="93" t="s">
        <v>24</v>
      </c>
      <c r="F2449" s="93" t="s">
        <v>7</v>
      </c>
      <c r="G2449" s="93" t="s">
        <v>7183</v>
      </c>
      <c r="H2449" s="93" t="s">
        <v>118</v>
      </c>
      <c r="I2449" s="93" t="s">
        <v>111</v>
      </c>
      <c r="J2449" s="93" t="s">
        <v>7105</v>
      </c>
      <c r="K2449" s="93" t="s">
        <v>111</v>
      </c>
      <c r="L2449" s="93" t="s">
        <v>111</v>
      </c>
      <c r="M2449" s="93" t="s">
        <v>111</v>
      </c>
      <c r="N2449" s="93" t="s">
        <v>111</v>
      </c>
      <c r="O2449" s="93" t="s">
        <v>111</v>
      </c>
      <c r="P2449" s="93" t="s">
        <v>111</v>
      </c>
      <c r="Q2449" s="93" t="s">
        <v>111</v>
      </c>
      <c r="R2449" s="93" t="s">
        <v>111</v>
      </c>
      <c r="S2449" s="93" t="s">
        <v>2</v>
      </c>
      <c r="T2449" s="93" t="s">
        <v>111</v>
      </c>
      <c r="U2449" s="93" t="s">
        <v>116</v>
      </c>
      <c r="V2449" s="94">
        <v>44596.658333333333</v>
      </c>
      <c r="W2449" s="93" t="s">
        <v>7072</v>
      </c>
      <c r="X2449" s="93" t="s">
        <v>24</v>
      </c>
    </row>
    <row r="2450" spans="1:24" hidden="1" x14ac:dyDescent="0.15">
      <c r="A2450" s="93" t="s">
        <v>636</v>
      </c>
      <c r="B2450" s="93" t="s">
        <v>637</v>
      </c>
      <c r="C2450" s="410">
        <v>31</v>
      </c>
      <c r="D2450" s="93" t="s">
        <v>24</v>
      </c>
      <c r="E2450" s="93" t="s">
        <v>24</v>
      </c>
      <c r="F2450" s="93" t="s">
        <v>7</v>
      </c>
      <c r="G2450" s="93" t="s">
        <v>7183</v>
      </c>
      <c r="H2450" s="93" t="s">
        <v>118</v>
      </c>
      <c r="I2450" s="93" t="s">
        <v>111</v>
      </c>
      <c r="J2450" s="93" t="s">
        <v>7105</v>
      </c>
      <c r="K2450" s="93" t="s">
        <v>111</v>
      </c>
      <c r="L2450" s="93" t="s">
        <v>111</v>
      </c>
      <c r="M2450" s="93" t="s">
        <v>111</v>
      </c>
      <c r="N2450" s="93" t="s">
        <v>111</v>
      </c>
      <c r="O2450" s="93" t="s">
        <v>111</v>
      </c>
      <c r="P2450" s="93" t="s">
        <v>111</v>
      </c>
      <c r="Q2450" s="93" t="s">
        <v>111</v>
      </c>
      <c r="R2450" s="93" t="s">
        <v>111</v>
      </c>
      <c r="S2450" s="93" t="s">
        <v>2</v>
      </c>
      <c r="T2450" s="93" t="s">
        <v>111</v>
      </c>
      <c r="U2450" s="93" t="s">
        <v>116</v>
      </c>
      <c r="V2450" s="94">
        <v>44596.649305555555</v>
      </c>
      <c r="W2450" s="93" t="s">
        <v>7072</v>
      </c>
      <c r="X2450" s="93" t="s">
        <v>24</v>
      </c>
    </row>
    <row r="2451" spans="1:24" hidden="1" x14ac:dyDescent="0.15">
      <c r="A2451" s="93" t="s">
        <v>638</v>
      </c>
      <c r="B2451" s="93" t="s">
        <v>639</v>
      </c>
      <c r="C2451" s="410">
        <v>48</v>
      </c>
      <c r="D2451" s="93" t="s">
        <v>24</v>
      </c>
      <c r="E2451" s="93" t="s">
        <v>24</v>
      </c>
      <c r="F2451" s="93" t="s">
        <v>7</v>
      </c>
      <c r="G2451" s="93" t="s">
        <v>7183</v>
      </c>
      <c r="H2451" s="93" t="s">
        <v>118</v>
      </c>
      <c r="I2451" s="93" t="s">
        <v>111</v>
      </c>
      <c r="J2451" s="93" t="s">
        <v>7105</v>
      </c>
      <c r="K2451" s="93" t="s">
        <v>111</v>
      </c>
      <c r="L2451" s="93" t="s">
        <v>111</v>
      </c>
      <c r="M2451" s="93" t="s">
        <v>111</v>
      </c>
      <c r="N2451" s="93" t="s">
        <v>111</v>
      </c>
      <c r="O2451" s="93" t="s">
        <v>111</v>
      </c>
      <c r="P2451" s="93" t="s">
        <v>111</v>
      </c>
      <c r="Q2451" s="93" t="s">
        <v>111</v>
      </c>
      <c r="R2451" s="93" t="s">
        <v>111</v>
      </c>
      <c r="S2451" s="93" t="s">
        <v>2</v>
      </c>
      <c r="T2451" s="93" t="s">
        <v>111</v>
      </c>
      <c r="U2451" s="93" t="s">
        <v>116</v>
      </c>
      <c r="V2451" s="94">
        <v>44596.658333333333</v>
      </c>
      <c r="W2451" s="93" t="s">
        <v>7072</v>
      </c>
      <c r="X2451" s="93" t="s">
        <v>24</v>
      </c>
    </row>
    <row r="2452" spans="1:24" hidden="1" x14ac:dyDescent="0.15">
      <c r="A2452" s="93" t="s">
        <v>640</v>
      </c>
      <c r="B2452" s="93" t="s">
        <v>30</v>
      </c>
      <c r="C2452" s="410">
        <v>17.940000000000001</v>
      </c>
      <c r="D2452" s="93" t="s">
        <v>24</v>
      </c>
      <c r="E2452" s="93" t="s">
        <v>24</v>
      </c>
      <c r="F2452" s="93" t="s">
        <v>7</v>
      </c>
      <c r="G2452" s="93" t="s">
        <v>7183</v>
      </c>
      <c r="H2452" s="93" t="s">
        <v>400</v>
      </c>
      <c r="I2452" s="93" t="s">
        <v>111</v>
      </c>
      <c r="J2452" s="93" t="s">
        <v>7105</v>
      </c>
      <c r="K2452" s="93" t="s">
        <v>111</v>
      </c>
      <c r="L2452" s="93" t="s">
        <v>111</v>
      </c>
      <c r="M2452" s="93" t="s">
        <v>111</v>
      </c>
      <c r="N2452" s="93" t="s">
        <v>111</v>
      </c>
      <c r="O2452" s="93" t="s">
        <v>111</v>
      </c>
      <c r="P2452" s="93" t="s">
        <v>111</v>
      </c>
      <c r="Q2452" s="93" t="s">
        <v>111</v>
      </c>
      <c r="R2452" s="93" t="s">
        <v>111</v>
      </c>
      <c r="S2452" s="93" t="s">
        <v>2</v>
      </c>
      <c r="T2452" s="93" t="s">
        <v>111</v>
      </c>
      <c r="U2452" s="93" t="s">
        <v>116</v>
      </c>
      <c r="V2452" s="94">
        <v>44596.658333333333</v>
      </c>
      <c r="W2452" s="93" t="s">
        <v>7072</v>
      </c>
      <c r="X2452" s="93" t="s">
        <v>24</v>
      </c>
    </row>
    <row r="2453" spans="1:24" hidden="1" x14ac:dyDescent="0.15">
      <c r="A2453" s="93" t="s">
        <v>641</v>
      </c>
      <c r="B2453" s="93" t="s">
        <v>31</v>
      </c>
      <c r="C2453" s="410">
        <v>46.23</v>
      </c>
      <c r="D2453" s="93" t="s">
        <v>24</v>
      </c>
      <c r="E2453" s="93" t="s">
        <v>24</v>
      </c>
      <c r="F2453" s="93" t="s">
        <v>7</v>
      </c>
      <c r="G2453" s="93" t="s">
        <v>7183</v>
      </c>
      <c r="H2453" s="93" t="s">
        <v>400</v>
      </c>
      <c r="I2453" s="93" t="s">
        <v>111</v>
      </c>
      <c r="J2453" s="93" t="s">
        <v>7105</v>
      </c>
      <c r="K2453" s="93" t="s">
        <v>111</v>
      </c>
      <c r="L2453" s="93" t="s">
        <v>111</v>
      </c>
      <c r="M2453" s="93" t="s">
        <v>111</v>
      </c>
      <c r="N2453" s="93" t="s">
        <v>111</v>
      </c>
      <c r="O2453" s="93" t="s">
        <v>111</v>
      </c>
      <c r="P2453" s="93" t="s">
        <v>111</v>
      </c>
      <c r="Q2453" s="93" t="s">
        <v>111</v>
      </c>
      <c r="R2453" s="93" t="s">
        <v>111</v>
      </c>
      <c r="S2453" s="93" t="s">
        <v>2</v>
      </c>
      <c r="T2453" s="93" t="s">
        <v>111</v>
      </c>
      <c r="U2453" s="93" t="s">
        <v>116</v>
      </c>
      <c r="V2453" s="94">
        <v>44596.689583333333</v>
      </c>
      <c r="W2453" s="93" t="s">
        <v>7072</v>
      </c>
      <c r="X2453" s="93" t="s">
        <v>24</v>
      </c>
    </row>
    <row r="2454" spans="1:24" hidden="1" x14ac:dyDescent="0.15">
      <c r="A2454" s="93" t="s">
        <v>642</v>
      </c>
      <c r="B2454" s="93" t="s">
        <v>32</v>
      </c>
      <c r="C2454" s="410">
        <v>71.760000000000005</v>
      </c>
      <c r="D2454" s="93" t="s">
        <v>24</v>
      </c>
      <c r="E2454" s="93" t="s">
        <v>24</v>
      </c>
      <c r="F2454" s="93" t="s">
        <v>7</v>
      </c>
      <c r="G2454" s="93" t="s">
        <v>7183</v>
      </c>
      <c r="H2454" s="93" t="s">
        <v>400</v>
      </c>
      <c r="I2454" s="93" t="s">
        <v>111</v>
      </c>
      <c r="J2454" s="93" t="s">
        <v>7105</v>
      </c>
      <c r="K2454" s="93" t="s">
        <v>111</v>
      </c>
      <c r="L2454" s="93" t="s">
        <v>111</v>
      </c>
      <c r="M2454" s="93" t="s">
        <v>111</v>
      </c>
      <c r="N2454" s="93" t="s">
        <v>111</v>
      </c>
      <c r="O2454" s="93" t="s">
        <v>111</v>
      </c>
      <c r="P2454" s="93" t="s">
        <v>111</v>
      </c>
      <c r="Q2454" s="93" t="s">
        <v>111</v>
      </c>
      <c r="R2454" s="93" t="s">
        <v>111</v>
      </c>
      <c r="S2454" s="93" t="s">
        <v>2</v>
      </c>
      <c r="T2454" s="93" t="s">
        <v>111</v>
      </c>
      <c r="U2454" s="93" t="s">
        <v>116</v>
      </c>
      <c r="V2454" s="94">
        <v>44596.667361111111</v>
      </c>
      <c r="W2454" s="93" t="s">
        <v>7072</v>
      </c>
      <c r="X2454" s="93" t="s">
        <v>24</v>
      </c>
    </row>
    <row r="2455" spans="1:24" hidden="1" x14ac:dyDescent="0.15">
      <c r="A2455" s="93" t="s">
        <v>87</v>
      </c>
      <c r="B2455" s="93" t="s">
        <v>380</v>
      </c>
      <c r="C2455" s="410">
        <v>12</v>
      </c>
      <c r="D2455" s="93" t="s">
        <v>24</v>
      </c>
      <c r="E2455" s="93" t="s">
        <v>24</v>
      </c>
      <c r="F2455" s="93" t="s">
        <v>7</v>
      </c>
      <c r="G2455" s="93" t="s">
        <v>7183</v>
      </c>
      <c r="H2455" s="93" t="s">
        <v>400</v>
      </c>
      <c r="I2455" s="93" t="s">
        <v>111</v>
      </c>
      <c r="J2455" s="93" t="s">
        <v>118</v>
      </c>
      <c r="K2455" s="93">
        <v>3</v>
      </c>
      <c r="L2455" s="93" t="s">
        <v>111</v>
      </c>
      <c r="M2455" s="93" t="s">
        <v>111</v>
      </c>
      <c r="N2455" s="93" t="s">
        <v>111</v>
      </c>
      <c r="O2455" s="93" t="s">
        <v>111</v>
      </c>
      <c r="P2455" s="93" t="s">
        <v>111</v>
      </c>
      <c r="Q2455" s="93" t="s">
        <v>111</v>
      </c>
      <c r="R2455" s="93" t="s">
        <v>228</v>
      </c>
      <c r="S2455" s="93" t="s">
        <v>2</v>
      </c>
      <c r="T2455" s="93" t="s">
        <v>115</v>
      </c>
      <c r="U2455" s="93" t="s">
        <v>116</v>
      </c>
      <c r="V2455" s="94">
        <v>44610.211805555555</v>
      </c>
      <c r="W2455" s="93" t="s">
        <v>7336</v>
      </c>
      <c r="X2455" s="93" t="s">
        <v>24</v>
      </c>
    </row>
    <row r="2456" spans="1:24" hidden="1" x14ac:dyDescent="0.15">
      <c r="A2456" s="93" t="s">
        <v>88</v>
      </c>
      <c r="B2456" s="93" t="s">
        <v>381</v>
      </c>
      <c r="C2456" s="410">
        <v>31</v>
      </c>
      <c r="D2456" s="93" t="s">
        <v>24</v>
      </c>
      <c r="E2456" s="93" t="s">
        <v>24</v>
      </c>
      <c r="F2456" s="93" t="s">
        <v>7</v>
      </c>
      <c r="G2456" s="93" t="s">
        <v>7183</v>
      </c>
      <c r="H2456" s="93" t="s">
        <v>400</v>
      </c>
      <c r="I2456" s="93" t="s">
        <v>111</v>
      </c>
      <c r="J2456" s="93" t="s">
        <v>118</v>
      </c>
      <c r="K2456" s="93">
        <v>3</v>
      </c>
      <c r="L2456" s="93" t="s">
        <v>111</v>
      </c>
      <c r="M2456" s="93" t="s">
        <v>111</v>
      </c>
      <c r="N2456" s="93" t="s">
        <v>111</v>
      </c>
      <c r="O2456" s="93" t="s">
        <v>111</v>
      </c>
      <c r="P2456" s="93" t="s">
        <v>111</v>
      </c>
      <c r="Q2456" s="93" t="s">
        <v>111</v>
      </c>
      <c r="R2456" s="93" t="s">
        <v>228</v>
      </c>
      <c r="S2456" s="93" t="s">
        <v>2</v>
      </c>
      <c r="T2456" s="93" t="s">
        <v>115</v>
      </c>
      <c r="U2456" s="93" t="s">
        <v>116</v>
      </c>
      <c r="V2456" s="94">
        <v>44610.165972222225</v>
      </c>
      <c r="W2456" s="93" t="s">
        <v>7336</v>
      </c>
      <c r="X2456" s="93" t="s">
        <v>24</v>
      </c>
    </row>
    <row r="2457" spans="1:24" hidden="1" x14ac:dyDescent="0.15">
      <c r="A2457" s="93" t="s">
        <v>89</v>
      </c>
      <c r="B2457" s="93" t="s">
        <v>382</v>
      </c>
      <c r="C2457" s="410">
        <v>48</v>
      </c>
      <c r="D2457" s="93" t="s">
        <v>24</v>
      </c>
      <c r="E2457" s="93" t="s">
        <v>24</v>
      </c>
      <c r="F2457" s="93" t="s">
        <v>7</v>
      </c>
      <c r="G2457" s="93" t="s">
        <v>7183</v>
      </c>
      <c r="H2457" s="93" t="s">
        <v>400</v>
      </c>
      <c r="I2457" s="93" t="s">
        <v>111</v>
      </c>
      <c r="J2457" s="93" t="s">
        <v>118</v>
      </c>
      <c r="K2457" s="93">
        <v>3</v>
      </c>
      <c r="L2457" s="93" t="s">
        <v>111</v>
      </c>
      <c r="M2457" s="93" t="s">
        <v>111</v>
      </c>
      <c r="N2457" s="93" t="s">
        <v>111</v>
      </c>
      <c r="O2457" s="93" t="s">
        <v>111</v>
      </c>
      <c r="P2457" s="93" t="s">
        <v>111</v>
      </c>
      <c r="Q2457" s="93" t="s">
        <v>111</v>
      </c>
      <c r="R2457" s="93" t="s">
        <v>228</v>
      </c>
      <c r="S2457" s="93" t="s">
        <v>2</v>
      </c>
      <c r="T2457" s="93" t="s">
        <v>115</v>
      </c>
      <c r="U2457" s="93" t="s">
        <v>116</v>
      </c>
      <c r="V2457" s="94">
        <v>44610.211805555555</v>
      </c>
      <c r="W2457" s="93" t="s">
        <v>7336</v>
      </c>
      <c r="X2457" s="93" t="s">
        <v>24</v>
      </c>
    </row>
    <row r="2458" spans="1:24" hidden="1" x14ac:dyDescent="0.15">
      <c r="A2458" s="93" t="s">
        <v>6535</v>
      </c>
      <c r="B2458" s="93" t="s">
        <v>7837</v>
      </c>
      <c r="C2458" s="410">
        <v>20</v>
      </c>
      <c r="D2458" s="93" t="s">
        <v>24</v>
      </c>
      <c r="E2458" s="93" t="s">
        <v>24</v>
      </c>
      <c r="F2458" s="93" t="s">
        <v>7</v>
      </c>
      <c r="G2458" s="93" t="s">
        <v>7183</v>
      </c>
      <c r="H2458" s="93" t="s">
        <v>400</v>
      </c>
      <c r="I2458" s="93" t="s">
        <v>111</v>
      </c>
      <c r="J2458" s="93" t="s">
        <v>118</v>
      </c>
      <c r="K2458" s="93">
        <v>3</v>
      </c>
      <c r="L2458" s="93" t="s">
        <v>111</v>
      </c>
      <c r="M2458" s="93" t="s">
        <v>111</v>
      </c>
      <c r="N2458" s="93" t="s">
        <v>111</v>
      </c>
      <c r="O2458" s="93" t="s">
        <v>111</v>
      </c>
      <c r="P2458" s="93" t="s">
        <v>111</v>
      </c>
      <c r="Q2458" s="93" t="s">
        <v>111</v>
      </c>
      <c r="R2458" s="93" t="s">
        <v>228</v>
      </c>
      <c r="S2458" s="93" t="s">
        <v>2</v>
      </c>
      <c r="T2458" s="93" t="s">
        <v>115</v>
      </c>
      <c r="U2458" s="93" t="s">
        <v>116</v>
      </c>
      <c r="V2458" s="94">
        <v>44596.695138888892</v>
      </c>
      <c r="W2458" s="93" t="s">
        <v>7336</v>
      </c>
      <c r="X2458" s="93" t="s">
        <v>24</v>
      </c>
    </row>
    <row r="2459" spans="1:24" hidden="1" x14ac:dyDescent="0.15">
      <c r="A2459" s="93" t="s">
        <v>6537</v>
      </c>
      <c r="B2459" s="93" t="s">
        <v>7838</v>
      </c>
      <c r="C2459" s="410">
        <v>51</v>
      </c>
      <c r="D2459" s="93" t="s">
        <v>24</v>
      </c>
      <c r="E2459" s="93" t="s">
        <v>24</v>
      </c>
      <c r="F2459" s="93" t="s">
        <v>7</v>
      </c>
      <c r="G2459" s="93" t="s">
        <v>7183</v>
      </c>
      <c r="H2459" s="93" t="s">
        <v>400</v>
      </c>
      <c r="I2459" s="93" t="s">
        <v>111</v>
      </c>
      <c r="J2459" s="93" t="s">
        <v>118</v>
      </c>
      <c r="K2459" s="93">
        <v>3</v>
      </c>
      <c r="L2459" s="93" t="s">
        <v>111</v>
      </c>
      <c r="M2459" s="93" t="s">
        <v>111</v>
      </c>
      <c r="N2459" s="93" t="s">
        <v>111</v>
      </c>
      <c r="O2459" s="93" t="s">
        <v>111</v>
      </c>
      <c r="P2459" s="93" t="s">
        <v>111</v>
      </c>
      <c r="Q2459" s="93" t="s">
        <v>111</v>
      </c>
      <c r="R2459" s="93" t="s">
        <v>228</v>
      </c>
      <c r="S2459" s="93" t="s">
        <v>2</v>
      </c>
      <c r="T2459" s="93" t="s">
        <v>115</v>
      </c>
      <c r="U2459" s="93" t="s">
        <v>116</v>
      </c>
      <c r="V2459" s="94">
        <v>44596.64166666667</v>
      </c>
      <c r="W2459" s="93" t="s">
        <v>7336</v>
      </c>
      <c r="X2459" s="93" t="s">
        <v>24</v>
      </c>
    </row>
    <row r="2460" spans="1:24" hidden="1" x14ac:dyDescent="0.15">
      <c r="A2460" s="93" t="s">
        <v>6539</v>
      </c>
      <c r="B2460" s="93" t="s">
        <v>7839</v>
      </c>
      <c r="C2460" s="410">
        <v>80</v>
      </c>
      <c r="D2460" s="93" t="s">
        <v>24</v>
      </c>
      <c r="E2460" s="93" t="s">
        <v>24</v>
      </c>
      <c r="F2460" s="93" t="s">
        <v>7</v>
      </c>
      <c r="G2460" s="93" t="s">
        <v>7183</v>
      </c>
      <c r="H2460" s="93" t="s">
        <v>400</v>
      </c>
      <c r="I2460" s="93" t="s">
        <v>111</v>
      </c>
      <c r="J2460" s="93" t="s">
        <v>118</v>
      </c>
      <c r="K2460" s="93">
        <v>3</v>
      </c>
      <c r="L2460" s="93" t="s">
        <v>111</v>
      </c>
      <c r="M2460" s="93" t="s">
        <v>111</v>
      </c>
      <c r="N2460" s="93" t="s">
        <v>111</v>
      </c>
      <c r="O2460" s="93" t="s">
        <v>111</v>
      </c>
      <c r="P2460" s="93" t="s">
        <v>111</v>
      </c>
      <c r="Q2460" s="93" t="s">
        <v>111</v>
      </c>
      <c r="R2460" s="93" t="s">
        <v>228</v>
      </c>
      <c r="S2460" s="93" t="s">
        <v>2</v>
      </c>
      <c r="T2460" s="93" t="s">
        <v>115</v>
      </c>
      <c r="U2460" s="93" t="s">
        <v>116</v>
      </c>
      <c r="V2460" s="94">
        <v>44596.686805555553</v>
      </c>
      <c r="W2460" s="93" t="s">
        <v>7336</v>
      </c>
      <c r="X2460" s="93" t="s">
        <v>24</v>
      </c>
    </row>
    <row r="2461" spans="1:24" hidden="1" x14ac:dyDescent="0.15">
      <c r="A2461" s="93" t="s">
        <v>1132</v>
      </c>
      <c r="B2461" s="93" t="s">
        <v>7840</v>
      </c>
      <c r="C2461" s="410">
        <v>33</v>
      </c>
      <c r="D2461" s="93" t="s">
        <v>24</v>
      </c>
      <c r="E2461" s="93" t="s">
        <v>24</v>
      </c>
      <c r="F2461" s="93" t="s">
        <v>7</v>
      </c>
      <c r="G2461" s="93" t="s">
        <v>7183</v>
      </c>
      <c r="H2461" s="93" t="s">
        <v>400</v>
      </c>
      <c r="I2461" s="93" t="s">
        <v>111</v>
      </c>
      <c r="J2461" s="93" t="s">
        <v>118</v>
      </c>
      <c r="K2461" s="93">
        <v>3</v>
      </c>
      <c r="L2461" s="93" t="s">
        <v>111</v>
      </c>
      <c r="M2461" s="93" t="s">
        <v>111</v>
      </c>
      <c r="N2461" s="93" t="s">
        <v>111</v>
      </c>
      <c r="O2461" s="93" t="s">
        <v>111</v>
      </c>
      <c r="P2461" s="93" t="s">
        <v>111</v>
      </c>
      <c r="Q2461" s="93" t="s">
        <v>111</v>
      </c>
      <c r="R2461" s="93" t="s">
        <v>228</v>
      </c>
      <c r="S2461" s="93" t="s">
        <v>2</v>
      </c>
      <c r="T2461" s="93" t="s">
        <v>115</v>
      </c>
      <c r="U2461" s="93" t="s">
        <v>116</v>
      </c>
      <c r="V2461" s="94">
        <v>44610.165972222225</v>
      </c>
      <c r="W2461" s="93" t="s">
        <v>7336</v>
      </c>
      <c r="X2461" s="93" t="s">
        <v>24</v>
      </c>
    </row>
    <row r="2462" spans="1:24" hidden="1" x14ac:dyDescent="0.15">
      <c r="A2462" s="93" t="s">
        <v>1133</v>
      </c>
      <c r="B2462" s="93" t="s">
        <v>7841</v>
      </c>
      <c r="C2462" s="410">
        <v>84</v>
      </c>
      <c r="D2462" s="93" t="s">
        <v>24</v>
      </c>
      <c r="E2462" s="93" t="s">
        <v>24</v>
      </c>
      <c r="F2462" s="93" t="s">
        <v>7</v>
      </c>
      <c r="G2462" s="93" t="s">
        <v>7183</v>
      </c>
      <c r="H2462" s="93" t="s">
        <v>400</v>
      </c>
      <c r="I2462" s="93" t="s">
        <v>111</v>
      </c>
      <c r="J2462" s="93" t="s">
        <v>118</v>
      </c>
      <c r="K2462" s="93">
        <v>3</v>
      </c>
      <c r="L2462" s="93" t="s">
        <v>111</v>
      </c>
      <c r="M2462" s="93" t="s">
        <v>111</v>
      </c>
      <c r="N2462" s="93" t="s">
        <v>111</v>
      </c>
      <c r="O2462" s="93" t="s">
        <v>111</v>
      </c>
      <c r="P2462" s="93" t="s">
        <v>111</v>
      </c>
      <c r="Q2462" s="93" t="s">
        <v>111</v>
      </c>
      <c r="R2462" s="93" t="s">
        <v>228</v>
      </c>
      <c r="S2462" s="93" t="s">
        <v>2</v>
      </c>
      <c r="T2462" s="93" t="s">
        <v>115</v>
      </c>
      <c r="U2462" s="93" t="s">
        <v>116</v>
      </c>
      <c r="V2462" s="94">
        <v>44610.211805555555</v>
      </c>
      <c r="W2462" s="93" t="s">
        <v>7336</v>
      </c>
      <c r="X2462" s="93" t="s">
        <v>24</v>
      </c>
    </row>
    <row r="2463" spans="1:24" hidden="1" x14ac:dyDescent="0.15">
      <c r="A2463" s="93" t="s">
        <v>1134</v>
      </c>
      <c r="B2463" s="93" t="s">
        <v>7842</v>
      </c>
      <c r="C2463" s="410">
        <v>132</v>
      </c>
      <c r="D2463" s="93" t="s">
        <v>24</v>
      </c>
      <c r="E2463" s="93" t="s">
        <v>24</v>
      </c>
      <c r="F2463" s="93" t="s">
        <v>7</v>
      </c>
      <c r="G2463" s="93" t="s">
        <v>7183</v>
      </c>
      <c r="H2463" s="93" t="s">
        <v>400</v>
      </c>
      <c r="I2463" s="93" t="s">
        <v>111</v>
      </c>
      <c r="J2463" s="93" t="s">
        <v>118</v>
      </c>
      <c r="K2463" s="93">
        <v>3</v>
      </c>
      <c r="L2463" s="93" t="s">
        <v>111</v>
      </c>
      <c r="M2463" s="93" t="s">
        <v>111</v>
      </c>
      <c r="N2463" s="93" t="s">
        <v>111</v>
      </c>
      <c r="O2463" s="93" t="s">
        <v>111</v>
      </c>
      <c r="P2463" s="93" t="s">
        <v>111</v>
      </c>
      <c r="Q2463" s="93" t="s">
        <v>111</v>
      </c>
      <c r="R2463" s="93" t="s">
        <v>228</v>
      </c>
      <c r="S2463" s="93" t="s">
        <v>2</v>
      </c>
      <c r="T2463" s="93" t="s">
        <v>115</v>
      </c>
      <c r="U2463" s="93" t="s">
        <v>116</v>
      </c>
      <c r="V2463" s="94">
        <v>44610.182638888888</v>
      </c>
      <c r="W2463" s="93" t="s">
        <v>7336</v>
      </c>
      <c r="X2463" s="93" t="s">
        <v>24</v>
      </c>
    </row>
    <row r="2464" spans="1:24" hidden="1" x14ac:dyDescent="0.15">
      <c r="A2464" s="93" t="s">
        <v>7843</v>
      </c>
      <c r="B2464" s="93" t="s">
        <v>7844</v>
      </c>
      <c r="C2464" s="410">
        <v>86.22</v>
      </c>
      <c r="D2464" s="93" t="s">
        <v>24</v>
      </c>
      <c r="E2464" s="93" t="s">
        <v>24</v>
      </c>
      <c r="F2464" s="93" t="s">
        <v>7</v>
      </c>
      <c r="G2464" s="93" t="s">
        <v>7183</v>
      </c>
      <c r="H2464" s="93" t="s">
        <v>400</v>
      </c>
      <c r="I2464" s="93" t="s">
        <v>111</v>
      </c>
      <c r="J2464" s="93" t="s">
        <v>7105</v>
      </c>
      <c r="K2464" s="93" t="s">
        <v>111</v>
      </c>
      <c r="L2464" s="93" t="s">
        <v>111</v>
      </c>
      <c r="M2464" s="93" t="s">
        <v>111</v>
      </c>
      <c r="N2464" s="93" t="s">
        <v>111</v>
      </c>
      <c r="O2464" s="93" t="s">
        <v>111</v>
      </c>
      <c r="P2464" s="93" t="s">
        <v>111</v>
      </c>
      <c r="Q2464" s="93" t="s">
        <v>111</v>
      </c>
      <c r="R2464" s="93" t="s">
        <v>111</v>
      </c>
      <c r="S2464" s="93" t="s">
        <v>2</v>
      </c>
      <c r="T2464" s="93" t="s">
        <v>111</v>
      </c>
      <c r="U2464" s="93" t="s">
        <v>116</v>
      </c>
      <c r="V2464" s="94">
        <v>44596.645833333336</v>
      </c>
      <c r="W2464" s="93" t="s">
        <v>402</v>
      </c>
      <c r="X2464" s="93" t="s">
        <v>24</v>
      </c>
    </row>
    <row r="2465" spans="1:24" hidden="1" x14ac:dyDescent="0.15">
      <c r="A2465" s="93" t="s">
        <v>7845</v>
      </c>
      <c r="B2465" s="93" t="s">
        <v>7846</v>
      </c>
      <c r="C2465" s="410">
        <v>172.43</v>
      </c>
      <c r="D2465" s="93" t="s">
        <v>24</v>
      </c>
      <c r="E2465" s="93" t="s">
        <v>24</v>
      </c>
      <c r="F2465" s="93" t="s">
        <v>7</v>
      </c>
      <c r="G2465" s="93" t="s">
        <v>7183</v>
      </c>
      <c r="H2465" s="93" t="s">
        <v>400</v>
      </c>
      <c r="I2465" s="93" t="s">
        <v>111</v>
      </c>
      <c r="J2465" s="93" t="s">
        <v>7105</v>
      </c>
      <c r="K2465" s="93" t="s">
        <v>111</v>
      </c>
      <c r="L2465" s="93" t="s">
        <v>111</v>
      </c>
      <c r="M2465" s="93" t="s">
        <v>111</v>
      </c>
      <c r="N2465" s="93" t="s">
        <v>111</v>
      </c>
      <c r="O2465" s="93" t="s">
        <v>111</v>
      </c>
      <c r="P2465" s="93" t="s">
        <v>111</v>
      </c>
      <c r="Q2465" s="93" t="s">
        <v>111</v>
      </c>
      <c r="R2465" s="93" t="s">
        <v>111</v>
      </c>
      <c r="S2465" s="93" t="s">
        <v>2</v>
      </c>
      <c r="T2465" s="93" t="s">
        <v>111</v>
      </c>
      <c r="U2465" s="93" t="s">
        <v>116</v>
      </c>
      <c r="V2465" s="94">
        <v>44596.69027777778</v>
      </c>
      <c r="W2465" s="93" t="s">
        <v>402</v>
      </c>
      <c r="X2465" s="93" t="s">
        <v>24</v>
      </c>
    </row>
    <row r="2466" spans="1:24" hidden="1" x14ac:dyDescent="0.15">
      <c r="A2466" s="93" t="s">
        <v>7847</v>
      </c>
      <c r="B2466" s="93" t="s">
        <v>7848</v>
      </c>
      <c r="C2466" s="410">
        <v>200.58</v>
      </c>
      <c r="D2466" s="93" t="s">
        <v>24</v>
      </c>
      <c r="E2466" s="93" t="s">
        <v>24</v>
      </c>
      <c r="F2466" s="93" t="s">
        <v>7</v>
      </c>
      <c r="G2466" s="93" t="s">
        <v>7183</v>
      </c>
      <c r="H2466" s="93" t="s">
        <v>400</v>
      </c>
      <c r="I2466" s="93" t="s">
        <v>111</v>
      </c>
      <c r="J2466" s="93" t="s">
        <v>7105</v>
      </c>
      <c r="K2466" s="93" t="s">
        <v>111</v>
      </c>
      <c r="L2466" s="93" t="s">
        <v>111</v>
      </c>
      <c r="M2466" s="93" t="s">
        <v>111</v>
      </c>
      <c r="N2466" s="93" t="s">
        <v>111</v>
      </c>
      <c r="O2466" s="93" t="s">
        <v>111</v>
      </c>
      <c r="P2466" s="93" t="s">
        <v>111</v>
      </c>
      <c r="Q2466" s="93" t="s">
        <v>111</v>
      </c>
      <c r="R2466" s="93" t="s">
        <v>111</v>
      </c>
      <c r="S2466" s="93" t="s">
        <v>2</v>
      </c>
      <c r="T2466" s="93" t="s">
        <v>111</v>
      </c>
      <c r="U2466" s="93" t="s">
        <v>116</v>
      </c>
      <c r="V2466" s="94">
        <v>44596.65</v>
      </c>
      <c r="W2466" s="93" t="s">
        <v>402</v>
      </c>
      <c r="X2466" s="93" t="s">
        <v>24</v>
      </c>
    </row>
    <row r="2467" spans="1:24" hidden="1" x14ac:dyDescent="0.15">
      <c r="A2467" s="93" t="s">
        <v>7849</v>
      </c>
      <c r="B2467" s="93" t="s">
        <v>7850</v>
      </c>
      <c r="C2467" s="410">
        <v>46.92</v>
      </c>
      <c r="D2467" s="93" t="s">
        <v>24</v>
      </c>
      <c r="E2467" s="93" t="s">
        <v>24</v>
      </c>
      <c r="F2467" s="93" t="s">
        <v>7</v>
      </c>
      <c r="G2467" s="93" t="s">
        <v>7183</v>
      </c>
      <c r="H2467" s="93" t="s">
        <v>400</v>
      </c>
      <c r="I2467" s="93" t="s">
        <v>111</v>
      </c>
      <c r="J2467" s="93" t="s">
        <v>7105</v>
      </c>
      <c r="K2467" s="93" t="s">
        <v>111</v>
      </c>
      <c r="L2467" s="93" t="s">
        <v>111</v>
      </c>
      <c r="M2467" s="93" t="s">
        <v>111</v>
      </c>
      <c r="N2467" s="93" t="s">
        <v>111</v>
      </c>
      <c r="O2467" s="93" t="s">
        <v>111</v>
      </c>
      <c r="P2467" s="93" t="s">
        <v>111</v>
      </c>
      <c r="Q2467" s="93" t="s">
        <v>111</v>
      </c>
      <c r="R2467" s="93" t="s">
        <v>111</v>
      </c>
      <c r="S2467" s="93" t="s">
        <v>2</v>
      </c>
      <c r="T2467" s="93" t="s">
        <v>111</v>
      </c>
      <c r="U2467" s="93" t="s">
        <v>116</v>
      </c>
      <c r="V2467" s="94">
        <v>44596.663194444445</v>
      </c>
      <c r="W2467" s="93" t="s">
        <v>402</v>
      </c>
      <c r="X2467" s="93" t="s">
        <v>24</v>
      </c>
    </row>
    <row r="2468" spans="1:24" hidden="1" x14ac:dyDescent="0.15">
      <c r="A2468" s="93" t="s">
        <v>7851</v>
      </c>
      <c r="B2468" s="93" t="s">
        <v>7852</v>
      </c>
      <c r="C2468" s="410">
        <v>119.65</v>
      </c>
      <c r="D2468" s="93" t="s">
        <v>24</v>
      </c>
      <c r="E2468" s="93" t="s">
        <v>24</v>
      </c>
      <c r="F2468" s="93" t="s">
        <v>7</v>
      </c>
      <c r="G2468" s="93" t="s">
        <v>7183</v>
      </c>
      <c r="H2468" s="93" t="s">
        <v>400</v>
      </c>
      <c r="I2468" s="93" t="s">
        <v>111</v>
      </c>
      <c r="J2468" s="93" t="s">
        <v>7105</v>
      </c>
      <c r="K2468" s="93" t="s">
        <v>111</v>
      </c>
      <c r="L2468" s="93" t="s">
        <v>111</v>
      </c>
      <c r="M2468" s="93" t="s">
        <v>111</v>
      </c>
      <c r="N2468" s="93" t="s">
        <v>111</v>
      </c>
      <c r="O2468" s="93" t="s">
        <v>111</v>
      </c>
      <c r="P2468" s="93" t="s">
        <v>111</v>
      </c>
      <c r="Q2468" s="93" t="s">
        <v>111</v>
      </c>
      <c r="R2468" s="93" t="s">
        <v>111</v>
      </c>
      <c r="S2468" s="93" t="s">
        <v>2</v>
      </c>
      <c r="T2468" s="93" t="s">
        <v>111</v>
      </c>
      <c r="U2468" s="93" t="s">
        <v>116</v>
      </c>
      <c r="V2468" s="94">
        <v>44596.694444444445</v>
      </c>
      <c r="W2468" s="93" t="s">
        <v>402</v>
      </c>
      <c r="X2468" s="93" t="s">
        <v>24</v>
      </c>
    </row>
    <row r="2469" spans="1:24" hidden="1" x14ac:dyDescent="0.15">
      <c r="A2469" s="93" t="s">
        <v>7853</v>
      </c>
      <c r="B2469" s="93" t="s">
        <v>7854</v>
      </c>
      <c r="C2469" s="410">
        <v>60.72</v>
      </c>
      <c r="D2469" s="93" t="s">
        <v>24</v>
      </c>
      <c r="E2469" s="93" t="s">
        <v>24</v>
      </c>
      <c r="F2469" s="93" t="s">
        <v>7</v>
      </c>
      <c r="G2469" s="93" t="s">
        <v>7183</v>
      </c>
      <c r="H2469" s="93" t="s">
        <v>400</v>
      </c>
      <c r="I2469" s="93" t="s">
        <v>111</v>
      </c>
      <c r="J2469" s="93" t="s">
        <v>7105</v>
      </c>
      <c r="K2469" s="93" t="s">
        <v>111</v>
      </c>
      <c r="L2469" s="93" t="s">
        <v>111</v>
      </c>
      <c r="M2469" s="93" t="s">
        <v>111</v>
      </c>
      <c r="N2469" s="93" t="s">
        <v>111</v>
      </c>
      <c r="O2469" s="93" t="s">
        <v>111</v>
      </c>
      <c r="P2469" s="93" t="s">
        <v>111</v>
      </c>
      <c r="Q2469" s="93" t="s">
        <v>111</v>
      </c>
      <c r="R2469" s="93" t="s">
        <v>111</v>
      </c>
      <c r="S2469" s="93" t="s">
        <v>2</v>
      </c>
      <c r="T2469" s="93" t="s">
        <v>111</v>
      </c>
      <c r="U2469" s="93" t="s">
        <v>116</v>
      </c>
      <c r="V2469" s="94">
        <v>44596.654861111114</v>
      </c>
      <c r="W2469" s="93" t="s">
        <v>402</v>
      </c>
      <c r="X2469" s="93" t="s">
        <v>24</v>
      </c>
    </row>
    <row r="2470" spans="1:24" hidden="1" x14ac:dyDescent="0.15">
      <c r="A2470" s="93" t="s">
        <v>7855</v>
      </c>
      <c r="B2470" s="93" t="s">
        <v>7856</v>
      </c>
      <c r="C2470" s="410">
        <v>154.84</v>
      </c>
      <c r="D2470" s="93" t="s">
        <v>24</v>
      </c>
      <c r="E2470" s="93" t="s">
        <v>24</v>
      </c>
      <c r="F2470" s="93" t="s">
        <v>7</v>
      </c>
      <c r="G2470" s="93" t="s">
        <v>7183</v>
      </c>
      <c r="H2470" s="93" t="s">
        <v>400</v>
      </c>
      <c r="I2470" s="93" t="s">
        <v>111</v>
      </c>
      <c r="J2470" s="93" t="s">
        <v>7105</v>
      </c>
      <c r="K2470" s="93" t="s">
        <v>111</v>
      </c>
      <c r="L2470" s="93" t="s">
        <v>111</v>
      </c>
      <c r="M2470" s="93" t="s">
        <v>111</v>
      </c>
      <c r="N2470" s="93" t="s">
        <v>111</v>
      </c>
      <c r="O2470" s="93" t="s">
        <v>111</v>
      </c>
      <c r="P2470" s="93" t="s">
        <v>111</v>
      </c>
      <c r="Q2470" s="93" t="s">
        <v>111</v>
      </c>
      <c r="R2470" s="93" t="s">
        <v>111</v>
      </c>
      <c r="S2470" s="93" t="s">
        <v>2</v>
      </c>
      <c r="T2470" s="93" t="s">
        <v>111</v>
      </c>
      <c r="U2470" s="93" t="s">
        <v>116</v>
      </c>
      <c r="V2470" s="94">
        <v>44596.686111111114</v>
      </c>
      <c r="W2470" s="93" t="s">
        <v>402</v>
      </c>
      <c r="X2470" s="93" t="s">
        <v>24</v>
      </c>
    </row>
    <row r="2471" spans="1:24" hidden="1" x14ac:dyDescent="0.15">
      <c r="A2471" s="93" t="s">
        <v>7857</v>
      </c>
      <c r="B2471" s="93" t="s">
        <v>7858</v>
      </c>
      <c r="C2471" s="410">
        <v>114.37</v>
      </c>
      <c r="D2471" s="93" t="s">
        <v>24</v>
      </c>
      <c r="E2471" s="93" t="s">
        <v>24</v>
      </c>
      <c r="F2471" s="93" t="s">
        <v>7</v>
      </c>
      <c r="G2471" s="93" t="s">
        <v>7183</v>
      </c>
      <c r="H2471" s="93" t="s">
        <v>400</v>
      </c>
      <c r="I2471" s="93" t="s">
        <v>111</v>
      </c>
      <c r="J2471" s="93" t="s">
        <v>7105</v>
      </c>
      <c r="K2471" s="93" t="s">
        <v>111</v>
      </c>
      <c r="L2471" s="93" t="s">
        <v>111</v>
      </c>
      <c r="M2471" s="93" t="s">
        <v>111</v>
      </c>
      <c r="N2471" s="93" t="s">
        <v>111</v>
      </c>
      <c r="O2471" s="93" t="s">
        <v>111</v>
      </c>
      <c r="P2471" s="93" t="s">
        <v>111</v>
      </c>
      <c r="Q2471" s="93" t="s">
        <v>111</v>
      </c>
      <c r="R2471" s="93" t="s">
        <v>111</v>
      </c>
      <c r="S2471" s="93" t="s">
        <v>2</v>
      </c>
      <c r="T2471" s="93" t="s">
        <v>111</v>
      </c>
      <c r="U2471" s="93" t="s">
        <v>116</v>
      </c>
      <c r="V2471" s="94">
        <v>44596.697222222225</v>
      </c>
      <c r="W2471" s="93" t="s">
        <v>402</v>
      </c>
      <c r="X2471" s="93" t="s">
        <v>24</v>
      </c>
    </row>
    <row r="2472" spans="1:24" hidden="1" x14ac:dyDescent="0.15">
      <c r="A2472" s="93" t="s">
        <v>7859</v>
      </c>
      <c r="B2472" s="93" t="s">
        <v>7860</v>
      </c>
      <c r="C2472" s="410">
        <v>195.3</v>
      </c>
      <c r="D2472" s="93" t="s">
        <v>24</v>
      </c>
      <c r="E2472" s="93" t="s">
        <v>24</v>
      </c>
      <c r="F2472" s="93" t="s">
        <v>7</v>
      </c>
      <c r="G2472" s="93" t="s">
        <v>7183</v>
      </c>
      <c r="H2472" s="93" t="s">
        <v>400</v>
      </c>
      <c r="I2472" s="93" t="s">
        <v>111</v>
      </c>
      <c r="J2472" s="93" t="s">
        <v>7105</v>
      </c>
      <c r="K2472" s="93" t="s">
        <v>111</v>
      </c>
      <c r="L2472" s="93" t="s">
        <v>111</v>
      </c>
      <c r="M2472" s="93" t="s">
        <v>111</v>
      </c>
      <c r="N2472" s="93" t="s">
        <v>111</v>
      </c>
      <c r="O2472" s="93" t="s">
        <v>111</v>
      </c>
      <c r="P2472" s="93" t="s">
        <v>111</v>
      </c>
      <c r="Q2472" s="93" t="s">
        <v>111</v>
      </c>
      <c r="R2472" s="93" t="s">
        <v>111</v>
      </c>
      <c r="S2472" s="93" t="s">
        <v>2</v>
      </c>
      <c r="T2472" s="93" t="s">
        <v>111</v>
      </c>
      <c r="U2472" s="93" t="s">
        <v>116</v>
      </c>
      <c r="V2472" s="94">
        <v>44596.663194444445</v>
      </c>
      <c r="W2472" s="93" t="s">
        <v>402</v>
      </c>
      <c r="X2472" s="93" t="s">
        <v>24</v>
      </c>
    </row>
    <row r="2473" spans="1:24" hidden="1" x14ac:dyDescent="0.15">
      <c r="A2473" s="93" t="s">
        <v>7861</v>
      </c>
      <c r="B2473" s="93" t="s">
        <v>7862</v>
      </c>
      <c r="C2473" s="410">
        <v>200.58</v>
      </c>
      <c r="D2473" s="93" t="s">
        <v>24</v>
      </c>
      <c r="E2473" s="93" t="s">
        <v>24</v>
      </c>
      <c r="F2473" s="93" t="s">
        <v>7</v>
      </c>
      <c r="G2473" s="93" t="s">
        <v>7183</v>
      </c>
      <c r="H2473" s="93" t="s">
        <v>400</v>
      </c>
      <c r="I2473" s="93" t="s">
        <v>111</v>
      </c>
      <c r="J2473" s="93" t="s">
        <v>7105</v>
      </c>
      <c r="K2473" s="93" t="s">
        <v>111</v>
      </c>
      <c r="L2473" s="93" t="s">
        <v>111</v>
      </c>
      <c r="M2473" s="93" t="s">
        <v>111</v>
      </c>
      <c r="N2473" s="93" t="s">
        <v>111</v>
      </c>
      <c r="O2473" s="93" t="s">
        <v>111</v>
      </c>
      <c r="P2473" s="93" t="s">
        <v>111</v>
      </c>
      <c r="Q2473" s="93" t="s">
        <v>111</v>
      </c>
      <c r="R2473" s="93" t="s">
        <v>111</v>
      </c>
      <c r="S2473" s="93" t="s">
        <v>2</v>
      </c>
      <c r="T2473" s="93" t="s">
        <v>111</v>
      </c>
      <c r="U2473" s="93" t="s">
        <v>116</v>
      </c>
      <c r="V2473" s="94">
        <v>44596.69027777778</v>
      </c>
      <c r="W2473" s="93" t="s">
        <v>402</v>
      </c>
      <c r="X2473" s="93" t="s">
        <v>24</v>
      </c>
    </row>
    <row r="2474" spans="1:24" hidden="1" x14ac:dyDescent="0.15">
      <c r="A2474" s="93" t="s">
        <v>7863</v>
      </c>
      <c r="B2474" s="93" t="s">
        <v>7864</v>
      </c>
      <c r="C2474" s="410">
        <v>225.22</v>
      </c>
      <c r="D2474" s="93" t="s">
        <v>24</v>
      </c>
      <c r="E2474" s="93" t="s">
        <v>24</v>
      </c>
      <c r="F2474" s="93" t="s">
        <v>7</v>
      </c>
      <c r="G2474" s="93" t="s">
        <v>7183</v>
      </c>
      <c r="H2474" s="93" t="s">
        <v>400</v>
      </c>
      <c r="I2474" s="93" t="s">
        <v>111</v>
      </c>
      <c r="J2474" s="93" t="s">
        <v>7105</v>
      </c>
      <c r="K2474" s="93" t="s">
        <v>111</v>
      </c>
      <c r="L2474" s="93" t="s">
        <v>111</v>
      </c>
      <c r="M2474" s="93" t="s">
        <v>111</v>
      </c>
      <c r="N2474" s="93" t="s">
        <v>111</v>
      </c>
      <c r="O2474" s="93" t="s">
        <v>111</v>
      </c>
      <c r="P2474" s="93" t="s">
        <v>111</v>
      </c>
      <c r="Q2474" s="93" t="s">
        <v>111</v>
      </c>
      <c r="R2474" s="93" t="s">
        <v>111</v>
      </c>
      <c r="S2474" s="93" t="s">
        <v>2</v>
      </c>
      <c r="T2474" s="93" t="s">
        <v>111</v>
      </c>
      <c r="U2474" s="93" t="s">
        <v>116</v>
      </c>
      <c r="V2474" s="94">
        <v>44596.697222222225</v>
      </c>
      <c r="W2474" s="93" t="s">
        <v>402</v>
      </c>
      <c r="X2474" s="93" t="s">
        <v>24</v>
      </c>
    </row>
    <row r="2475" spans="1:24" hidden="1" x14ac:dyDescent="0.15">
      <c r="A2475" s="93" t="s">
        <v>7865</v>
      </c>
      <c r="B2475" s="93" t="s">
        <v>7866</v>
      </c>
      <c r="C2475" s="410">
        <v>380.05</v>
      </c>
      <c r="D2475" s="93" t="s">
        <v>24</v>
      </c>
      <c r="E2475" s="93" t="s">
        <v>24</v>
      </c>
      <c r="F2475" s="93" t="s">
        <v>7</v>
      </c>
      <c r="G2475" s="93" t="s">
        <v>7183</v>
      </c>
      <c r="H2475" s="93" t="s">
        <v>400</v>
      </c>
      <c r="I2475" s="93" t="s">
        <v>111</v>
      </c>
      <c r="J2475" s="93" t="s">
        <v>7105</v>
      </c>
      <c r="K2475" s="93" t="s">
        <v>111</v>
      </c>
      <c r="L2475" s="93" t="s">
        <v>111</v>
      </c>
      <c r="M2475" s="93" t="s">
        <v>111</v>
      </c>
      <c r="N2475" s="93" t="s">
        <v>111</v>
      </c>
      <c r="O2475" s="93" t="s">
        <v>111</v>
      </c>
      <c r="P2475" s="93" t="s">
        <v>111</v>
      </c>
      <c r="Q2475" s="93" t="s">
        <v>111</v>
      </c>
      <c r="R2475" s="93" t="s">
        <v>111</v>
      </c>
      <c r="S2475" s="93" t="s">
        <v>2</v>
      </c>
      <c r="T2475" s="93" t="s">
        <v>111</v>
      </c>
      <c r="U2475" s="93" t="s">
        <v>116</v>
      </c>
      <c r="V2475" s="94">
        <v>44596.640972222223</v>
      </c>
      <c r="W2475" s="93" t="s">
        <v>402</v>
      </c>
      <c r="X2475" s="93" t="s">
        <v>24</v>
      </c>
    </row>
    <row r="2476" spans="1:24" hidden="1" x14ac:dyDescent="0.15">
      <c r="A2476" s="93" t="s">
        <v>7867</v>
      </c>
      <c r="B2476" s="93" t="s">
        <v>7868</v>
      </c>
      <c r="C2476" s="410">
        <v>40.47</v>
      </c>
      <c r="D2476" s="93" t="s">
        <v>24</v>
      </c>
      <c r="E2476" s="93" t="s">
        <v>24</v>
      </c>
      <c r="F2476" s="93" t="s">
        <v>7</v>
      </c>
      <c r="G2476" s="93" t="s">
        <v>7183</v>
      </c>
      <c r="H2476" s="93" t="s">
        <v>400</v>
      </c>
      <c r="I2476" s="93" t="s">
        <v>111</v>
      </c>
      <c r="J2476" s="93" t="s">
        <v>7105</v>
      </c>
      <c r="K2476" s="93" t="s">
        <v>111</v>
      </c>
      <c r="L2476" s="93" t="s">
        <v>111</v>
      </c>
      <c r="M2476" s="93" t="s">
        <v>111</v>
      </c>
      <c r="N2476" s="93" t="s">
        <v>111</v>
      </c>
      <c r="O2476" s="93" t="s">
        <v>111</v>
      </c>
      <c r="P2476" s="93" t="s">
        <v>111</v>
      </c>
      <c r="Q2476" s="93" t="s">
        <v>111</v>
      </c>
      <c r="R2476" s="93" t="s">
        <v>111</v>
      </c>
      <c r="S2476" s="93" t="s">
        <v>2</v>
      </c>
      <c r="T2476" s="93" t="s">
        <v>111</v>
      </c>
      <c r="U2476" s="93" t="s">
        <v>116</v>
      </c>
      <c r="V2476" s="94">
        <v>44596.69027777778</v>
      </c>
      <c r="W2476" s="93" t="s">
        <v>402</v>
      </c>
      <c r="X2476" s="93" t="s">
        <v>24</v>
      </c>
    </row>
    <row r="2477" spans="1:24" hidden="1" x14ac:dyDescent="0.15">
      <c r="A2477" s="93" t="s">
        <v>7869</v>
      </c>
      <c r="B2477" s="93" t="s">
        <v>7870</v>
      </c>
      <c r="C2477" s="410">
        <v>91.49</v>
      </c>
      <c r="D2477" s="93" t="s">
        <v>24</v>
      </c>
      <c r="E2477" s="93" t="s">
        <v>24</v>
      </c>
      <c r="F2477" s="93" t="s">
        <v>7</v>
      </c>
      <c r="G2477" s="93" t="s">
        <v>7183</v>
      </c>
      <c r="H2477" s="93" t="s">
        <v>400</v>
      </c>
      <c r="I2477" s="93" t="s">
        <v>111</v>
      </c>
      <c r="J2477" s="93" t="s">
        <v>7105</v>
      </c>
      <c r="K2477" s="93" t="s">
        <v>111</v>
      </c>
      <c r="L2477" s="93" t="s">
        <v>111</v>
      </c>
      <c r="M2477" s="93" t="s">
        <v>111</v>
      </c>
      <c r="N2477" s="93" t="s">
        <v>111</v>
      </c>
      <c r="O2477" s="93" t="s">
        <v>111</v>
      </c>
      <c r="P2477" s="93" t="s">
        <v>111</v>
      </c>
      <c r="Q2477" s="93" t="s">
        <v>111</v>
      </c>
      <c r="R2477" s="93" t="s">
        <v>111</v>
      </c>
      <c r="S2477" s="93" t="s">
        <v>2</v>
      </c>
      <c r="T2477" s="93" t="s">
        <v>111</v>
      </c>
      <c r="U2477" s="93" t="s">
        <v>116</v>
      </c>
      <c r="V2477" s="94">
        <v>44596.697222222225</v>
      </c>
      <c r="W2477" s="93" t="s">
        <v>402</v>
      </c>
      <c r="X2477" s="93" t="s">
        <v>24</v>
      </c>
    </row>
    <row r="2478" spans="1:24" hidden="1" x14ac:dyDescent="0.15">
      <c r="A2478" s="93" t="s">
        <v>7871</v>
      </c>
      <c r="B2478" s="93" t="s">
        <v>7872</v>
      </c>
      <c r="C2478" s="410">
        <v>441.63</v>
      </c>
      <c r="D2478" s="93" t="s">
        <v>24</v>
      </c>
      <c r="E2478" s="93" t="s">
        <v>24</v>
      </c>
      <c r="F2478" s="93" t="s">
        <v>7</v>
      </c>
      <c r="G2478" s="93" t="s">
        <v>7183</v>
      </c>
      <c r="H2478" s="93" t="s">
        <v>400</v>
      </c>
      <c r="I2478" s="93" t="s">
        <v>111</v>
      </c>
      <c r="J2478" s="93" t="s">
        <v>7105</v>
      </c>
      <c r="K2478" s="93" t="s">
        <v>111</v>
      </c>
      <c r="L2478" s="93" t="s">
        <v>111</v>
      </c>
      <c r="M2478" s="93" t="s">
        <v>111</v>
      </c>
      <c r="N2478" s="93" t="s">
        <v>111</v>
      </c>
      <c r="O2478" s="93" t="s">
        <v>111</v>
      </c>
      <c r="P2478" s="93" t="s">
        <v>111</v>
      </c>
      <c r="Q2478" s="93" t="s">
        <v>111</v>
      </c>
      <c r="R2478" s="93" t="s">
        <v>111</v>
      </c>
      <c r="S2478" s="93" t="s">
        <v>2</v>
      </c>
      <c r="T2478" s="93" t="s">
        <v>111</v>
      </c>
      <c r="U2478" s="93" t="s">
        <v>116</v>
      </c>
      <c r="V2478" s="94">
        <v>44596.65</v>
      </c>
      <c r="W2478" s="93" t="s">
        <v>402</v>
      </c>
      <c r="X2478" s="93" t="s">
        <v>24</v>
      </c>
    </row>
    <row r="2479" spans="1:24" hidden="1" x14ac:dyDescent="0.15">
      <c r="A2479" s="93" t="s">
        <v>7873</v>
      </c>
      <c r="B2479" s="93" t="s">
        <v>7874</v>
      </c>
      <c r="C2479" s="410">
        <v>533.13</v>
      </c>
      <c r="D2479" s="93" t="s">
        <v>24</v>
      </c>
      <c r="E2479" s="93" t="s">
        <v>24</v>
      </c>
      <c r="F2479" s="93" t="s">
        <v>7</v>
      </c>
      <c r="G2479" s="93" t="s">
        <v>7183</v>
      </c>
      <c r="H2479" s="93" t="s">
        <v>400</v>
      </c>
      <c r="I2479" s="93" t="s">
        <v>111</v>
      </c>
      <c r="J2479" s="93" t="s">
        <v>7105</v>
      </c>
      <c r="K2479" s="93" t="s">
        <v>111</v>
      </c>
      <c r="L2479" s="93" t="s">
        <v>111</v>
      </c>
      <c r="M2479" s="93" t="s">
        <v>111</v>
      </c>
      <c r="N2479" s="93" t="s">
        <v>111</v>
      </c>
      <c r="O2479" s="93" t="s">
        <v>111</v>
      </c>
      <c r="P2479" s="93" t="s">
        <v>111</v>
      </c>
      <c r="Q2479" s="93" t="s">
        <v>111</v>
      </c>
      <c r="R2479" s="93" t="s">
        <v>111</v>
      </c>
      <c r="S2479" s="93" t="s">
        <v>2</v>
      </c>
      <c r="T2479" s="93" t="s">
        <v>111</v>
      </c>
      <c r="U2479" s="93" t="s">
        <v>116</v>
      </c>
      <c r="V2479" s="94">
        <v>44596.668055555558</v>
      </c>
      <c r="W2479" s="93" t="s">
        <v>402</v>
      </c>
      <c r="X2479" s="93" t="s">
        <v>24</v>
      </c>
    </row>
    <row r="2480" spans="1:24" hidden="1" x14ac:dyDescent="0.15">
      <c r="A2480" s="93" t="s">
        <v>7875</v>
      </c>
      <c r="B2480" s="93" t="s">
        <v>7876</v>
      </c>
      <c r="C2480" s="410">
        <v>738.99</v>
      </c>
      <c r="D2480" s="93" t="s">
        <v>24</v>
      </c>
      <c r="E2480" s="93" t="s">
        <v>24</v>
      </c>
      <c r="F2480" s="93" t="s">
        <v>7</v>
      </c>
      <c r="G2480" s="93" t="s">
        <v>7183</v>
      </c>
      <c r="H2480" s="93" t="s">
        <v>400</v>
      </c>
      <c r="I2480" s="93" t="s">
        <v>111</v>
      </c>
      <c r="J2480" s="93" t="s">
        <v>7105</v>
      </c>
      <c r="K2480" s="93" t="s">
        <v>111</v>
      </c>
      <c r="L2480" s="93" t="s">
        <v>111</v>
      </c>
      <c r="M2480" s="93" t="s">
        <v>111</v>
      </c>
      <c r="N2480" s="93" t="s">
        <v>111</v>
      </c>
      <c r="O2480" s="93" t="s">
        <v>111</v>
      </c>
      <c r="P2480" s="93" t="s">
        <v>111</v>
      </c>
      <c r="Q2480" s="93" t="s">
        <v>111</v>
      </c>
      <c r="R2480" s="93" t="s">
        <v>111</v>
      </c>
      <c r="S2480" s="93" t="s">
        <v>2</v>
      </c>
      <c r="T2480" s="93" t="s">
        <v>111</v>
      </c>
      <c r="U2480" s="93" t="s">
        <v>116</v>
      </c>
      <c r="V2480" s="94">
        <v>44596.65</v>
      </c>
      <c r="W2480" s="93" t="s">
        <v>402</v>
      </c>
      <c r="X2480" s="93" t="s">
        <v>24</v>
      </c>
    </row>
    <row r="2481" spans="1:24" hidden="1" x14ac:dyDescent="0.15">
      <c r="A2481" s="93" t="s">
        <v>7877</v>
      </c>
      <c r="B2481" s="93" t="s">
        <v>7878</v>
      </c>
      <c r="C2481" s="410">
        <v>369.5</v>
      </c>
      <c r="D2481" s="93" t="s">
        <v>24</v>
      </c>
      <c r="E2481" s="93" t="s">
        <v>24</v>
      </c>
      <c r="F2481" s="93" t="s">
        <v>7</v>
      </c>
      <c r="G2481" s="93" t="s">
        <v>7183</v>
      </c>
      <c r="H2481" s="93" t="s">
        <v>400</v>
      </c>
      <c r="I2481" s="93" t="s">
        <v>111</v>
      </c>
      <c r="J2481" s="93" t="s">
        <v>7105</v>
      </c>
      <c r="K2481" s="93" t="s">
        <v>111</v>
      </c>
      <c r="L2481" s="93" t="s">
        <v>111</v>
      </c>
      <c r="M2481" s="93" t="s">
        <v>111</v>
      </c>
      <c r="N2481" s="93" t="s">
        <v>111</v>
      </c>
      <c r="O2481" s="93" t="s">
        <v>111</v>
      </c>
      <c r="P2481" s="93" t="s">
        <v>111</v>
      </c>
      <c r="Q2481" s="93" t="s">
        <v>111</v>
      </c>
      <c r="R2481" s="93" t="s">
        <v>111</v>
      </c>
      <c r="S2481" s="93" t="s">
        <v>2</v>
      </c>
      <c r="T2481" s="93" t="s">
        <v>111</v>
      </c>
      <c r="U2481" s="93" t="s">
        <v>116</v>
      </c>
      <c r="V2481" s="94">
        <v>44596.668055555558</v>
      </c>
      <c r="W2481" s="93" t="s">
        <v>402</v>
      </c>
      <c r="X2481" s="93" t="s">
        <v>24</v>
      </c>
    </row>
    <row r="2482" spans="1:24" hidden="1" x14ac:dyDescent="0.15">
      <c r="A2482" s="93" t="s">
        <v>9291</v>
      </c>
      <c r="B2482" s="93" t="s">
        <v>9292</v>
      </c>
      <c r="C2482" s="410">
        <v>1450</v>
      </c>
      <c r="D2482" s="93" t="s">
        <v>24</v>
      </c>
      <c r="E2482" s="93" t="s">
        <v>24</v>
      </c>
      <c r="F2482" s="93" t="s">
        <v>7070</v>
      </c>
      <c r="G2482" s="93" t="s">
        <v>9293</v>
      </c>
      <c r="H2482" s="93" t="s">
        <v>11</v>
      </c>
      <c r="I2482" s="93" t="s">
        <v>111</v>
      </c>
      <c r="J2482" s="93" t="s">
        <v>1551</v>
      </c>
      <c r="K2482" s="93">
        <v>60</v>
      </c>
      <c r="L2482" s="93" t="s">
        <v>111</v>
      </c>
      <c r="M2482" s="93" t="s">
        <v>111</v>
      </c>
      <c r="N2482" s="93" t="s">
        <v>111</v>
      </c>
      <c r="O2482" s="93" t="s">
        <v>111</v>
      </c>
      <c r="P2482" s="93" t="s">
        <v>111</v>
      </c>
      <c r="Q2482" s="93" t="s">
        <v>111</v>
      </c>
      <c r="R2482" s="93" t="s">
        <v>114</v>
      </c>
      <c r="S2482" s="93" t="s">
        <v>2</v>
      </c>
      <c r="T2482" s="93" t="s">
        <v>115</v>
      </c>
      <c r="U2482" s="93" t="s">
        <v>116</v>
      </c>
      <c r="V2482" s="94">
        <v>44628.551388888889</v>
      </c>
      <c r="W2482" s="93" t="s">
        <v>1170</v>
      </c>
      <c r="X2482" s="93" t="s">
        <v>9</v>
      </c>
    </row>
    <row r="2483" spans="1:24" hidden="1" x14ac:dyDescent="0.15">
      <c r="A2483" s="93" t="s">
        <v>9294</v>
      </c>
      <c r="B2483" s="93" t="s">
        <v>9295</v>
      </c>
      <c r="C2483" s="410">
        <v>500</v>
      </c>
      <c r="D2483" s="93" t="s">
        <v>24</v>
      </c>
      <c r="E2483" s="93" t="s">
        <v>24</v>
      </c>
      <c r="F2483" s="93" t="s">
        <v>4273</v>
      </c>
      <c r="G2483" s="93" t="s">
        <v>9296</v>
      </c>
      <c r="H2483" s="93" t="s">
        <v>11</v>
      </c>
      <c r="I2483" s="93" t="s">
        <v>111</v>
      </c>
      <c r="J2483" s="93" t="s">
        <v>1642</v>
      </c>
      <c r="K2483" s="93">
        <v>120</v>
      </c>
      <c r="L2483" s="93" t="s">
        <v>111</v>
      </c>
      <c r="M2483" s="93" t="s">
        <v>111</v>
      </c>
      <c r="N2483" s="93" t="s">
        <v>111</v>
      </c>
      <c r="O2483" s="93" t="s">
        <v>111</v>
      </c>
      <c r="P2483" s="93" t="s">
        <v>111</v>
      </c>
      <c r="Q2483" s="93" t="s">
        <v>111</v>
      </c>
      <c r="R2483" s="93" t="s">
        <v>121</v>
      </c>
      <c r="S2483" s="93" t="s">
        <v>2</v>
      </c>
      <c r="T2483" s="93" t="s">
        <v>115</v>
      </c>
      <c r="U2483" s="93" t="s">
        <v>395</v>
      </c>
      <c r="V2483" s="94">
        <v>44628.506944444445</v>
      </c>
      <c r="W2483" s="93" t="s">
        <v>1170</v>
      </c>
      <c r="X2483" s="93" t="s">
        <v>24</v>
      </c>
    </row>
    <row r="2484" spans="1:24" hidden="1" x14ac:dyDescent="0.15">
      <c r="A2484" s="93" t="s">
        <v>7879</v>
      </c>
      <c r="B2484" s="93" t="s">
        <v>7880</v>
      </c>
      <c r="C2484" s="410">
        <v>160</v>
      </c>
      <c r="D2484" s="93" t="s">
        <v>24</v>
      </c>
      <c r="E2484" s="93" t="s">
        <v>24</v>
      </c>
      <c r="F2484" s="93" t="s">
        <v>126</v>
      </c>
      <c r="G2484" s="93" t="s">
        <v>7881</v>
      </c>
      <c r="H2484" s="93" t="s">
        <v>118</v>
      </c>
      <c r="I2484" s="93" t="s">
        <v>111</v>
      </c>
      <c r="J2484" s="93" t="s">
        <v>7105</v>
      </c>
      <c r="K2484" s="93" t="s">
        <v>111</v>
      </c>
      <c r="L2484" s="93" t="s">
        <v>111</v>
      </c>
      <c r="M2484" s="93" t="s">
        <v>111</v>
      </c>
      <c r="N2484" s="93" t="s">
        <v>111</v>
      </c>
      <c r="O2484" s="93" t="s">
        <v>111</v>
      </c>
      <c r="P2484" s="93" t="s">
        <v>111</v>
      </c>
      <c r="Q2484" s="93" t="s">
        <v>111</v>
      </c>
      <c r="R2484" s="93" t="s">
        <v>111</v>
      </c>
      <c r="S2484" s="93" t="s">
        <v>2</v>
      </c>
      <c r="T2484" s="93" t="s">
        <v>111</v>
      </c>
      <c r="U2484" s="93" t="s">
        <v>116</v>
      </c>
      <c r="V2484" s="94">
        <v>44610.206944444442</v>
      </c>
      <c r="W2484" s="93" t="s">
        <v>7072</v>
      </c>
      <c r="X2484" s="93" t="s">
        <v>24</v>
      </c>
    </row>
    <row r="2485" spans="1:24" hidden="1" x14ac:dyDescent="0.15">
      <c r="A2485" s="93" t="s">
        <v>7882</v>
      </c>
      <c r="B2485" s="93" t="s">
        <v>7883</v>
      </c>
      <c r="C2485" s="410">
        <v>200</v>
      </c>
      <c r="D2485" s="93" t="s">
        <v>24</v>
      </c>
      <c r="E2485" s="93" t="s">
        <v>24</v>
      </c>
      <c r="F2485" s="93" t="s">
        <v>126</v>
      </c>
      <c r="G2485" s="93" t="s">
        <v>7881</v>
      </c>
      <c r="H2485" s="93" t="s">
        <v>118</v>
      </c>
      <c r="I2485" s="93" t="s">
        <v>111</v>
      </c>
      <c r="J2485" s="93" t="s">
        <v>7105</v>
      </c>
      <c r="K2485" s="93" t="s">
        <v>111</v>
      </c>
      <c r="L2485" s="93" t="s">
        <v>111</v>
      </c>
      <c r="M2485" s="93" t="s">
        <v>111</v>
      </c>
      <c r="N2485" s="93" t="s">
        <v>111</v>
      </c>
      <c r="O2485" s="93" t="s">
        <v>111</v>
      </c>
      <c r="P2485" s="93" t="s">
        <v>111</v>
      </c>
      <c r="Q2485" s="93" t="s">
        <v>111</v>
      </c>
      <c r="R2485" s="93" t="s">
        <v>111</v>
      </c>
      <c r="S2485" s="93" t="s">
        <v>2</v>
      </c>
      <c r="T2485" s="93" t="s">
        <v>111</v>
      </c>
      <c r="U2485" s="93" t="s">
        <v>116</v>
      </c>
      <c r="V2485" s="94">
        <v>44610.159722222219</v>
      </c>
      <c r="W2485" s="93" t="s">
        <v>7072</v>
      </c>
      <c r="X2485" s="93" t="s">
        <v>24</v>
      </c>
    </row>
    <row r="2486" spans="1:24" hidden="1" x14ac:dyDescent="0.15">
      <c r="A2486" s="93" t="s">
        <v>7884</v>
      </c>
      <c r="B2486" s="93" t="s">
        <v>7885</v>
      </c>
      <c r="C2486" s="410">
        <v>40</v>
      </c>
      <c r="D2486" s="93" t="s">
        <v>24</v>
      </c>
      <c r="E2486" s="93" t="s">
        <v>24</v>
      </c>
      <c r="F2486" s="93" t="s">
        <v>126</v>
      </c>
      <c r="G2486" s="93" t="s">
        <v>7881</v>
      </c>
      <c r="H2486" s="93" t="s">
        <v>118</v>
      </c>
      <c r="I2486" s="93" t="s">
        <v>111</v>
      </c>
      <c r="J2486" s="93" t="s">
        <v>7105</v>
      </c>
      <c r="K2486" s="93" t="s">
        <v>111</v>
      </c>
      <c r="L2486" s="93" t="s">
        <v>111</v>
      </c>
      <c r="M2486" s="93" t="s">
        <v>111</v>
      </c>
      <c r="N2486" s="93" t="s">
        <v>111</v>
      </c>
      <c r="O2486" s="93" t="s">
        <v>111</v>
      </c>
      <c r="P2486" s="93" t="s">
        <v>111</v>
      </c>
      <c r="Q2486" s="93" t="s">
        <v>111</v>
      </c>
      <c r="R2486" s="93" t="s">
        <v>111</v>
      </c>
      <c r="S2486" s="93" t="s">
        <v>2</v>
      </c>
      <c r="T2486" s="93" t="s">
        <v>111</v>
      </c>
      <c r="U2486" s="93" t="s">
        <v>116</v>
      </c>
      <c r="V2486" s="94">
        <v>44609.336805555555</v>
      </c>
      <c r="W2486" s="93" t="s">
        <v>7072</v>
      </c>
      <c r="X2486" s="93" t="s">
        <v>24</v>
      </c>
    </row>
    <row r="2487" spans="1:24" hidden="1" x14ac:dyDescent="0.15">
      <c r="A2487" s="93" t="s">
        <v>7886</v>
      </c>
      <c r="B2487" s="93" t="s">
        <v>7887</v>
      </c>
      <c r="C2487" s="410">
        <v>70</v>
      </c>
      <c r="D2487" s="93" t="s">
        <v>24</v>
      </c>
      <c r="E2487" s="93" t="s">
        <v>24</v>
      </c>
      <c r="F2487" s="93" t="s">
        <v>126</v>
      </c>
      <c r="G2487" s="93" t="s">
        <v>7881</v>
      </c>
      <c r="H2487" s="93" t="s">
        <v>118</v>
      </c>
      <c r="I2487" s="93" t="s">
        <v>111</v>
      </c>
      <c r="J2487" s="93" t="s">
        <v>7105</v>
      </c>
      <c r="K2487" s="93" t="s">
        <v>111</v>
      </c>
      <c r="L2487" s="93" t="s">
        <v>111</v>
      </c>
      <c r="M2487" s="93" t="s">
        <v>111</v>
      </c>
      <c r="N2487" s="93" t="s">
        <v>111</v>
      </c>
      <c r="O2487" s="93" t="s">
        <v>111</v>
      </c>
      <c r="P2487" s="93" t="s">
        <v>111</v>
      </c>
      <c r="Q2487" s="93" t="s">
        <v>111</v>
      </c>
      <c r="R2487" s="93" t="s">
        <v>111</v>
      </c>
      <c r="S2487" s="93" t="s">
        <v>2</v>
      </c>
      <c r="T2487" s="93" t="s">
        <v>111</v>
      </c>
      <c r="U2487" s="93" t="s">
        <v>116</v>
      </c>
      <c r="V2487" s="94">
        <v>44610.197916666664</v>
      </c>
      <c r="W2487" s="93" t="s">
        <v>7072</v>
      </c>
      <c r="X2487" s="93" t="s">
        <v>24</v>
      </c>
    </row>
    <row r="2488" spans="1:24" hidden="1" x14ac:dyDescent="0.15">
      <c r="A2488" s="93" t="s">
        <v>7888</v>
      </c>
      <c r="B2488" s="93" t="s">
        <v>7889</v>
      </c>
      <c r="C2488" s="410">
        <v>120</v>
      </c>
      <c r="D2488" s="93" t="s">
        <v>24</v>
      </c>
      <c r="E2488" s="93" t="s">
        <v>24</v>
      </c>
      <c r="F2488" s="93" t="s">
        <v>126</v>
      </c>
      <c r="G2488" s="93" t="s">
        <v>7881</v>
      </c>
      <c r="H2488" s="93" t="s">
        <v>118</v>
      </c>
      <c r="I2488" s="93" t="s">
        <v>111</v>
      </c>
      <c r="J2488" s="93" t="s">
        <v>7105</v>
      </c>
      <c r="K2488" s="93" t="s">
        <v>111</v>
      </c>
      <c r="L2488" s="93" t="s">
        <v>111</v>
      </c>
      <c r="M2488" s="93" t="s">
        <v>111</v>
      </c>
      <c r="N2488" s="93" t="s">
        <v>111</v>
      </c>
      <c r="O2488" s="93" t="s">
        <v>111</v>
      </c>
      <c r="P2488" s="93" t="s">
        <v>111</v>
      </c>
      <c r="Q2488" s="93" t="s">
        <v>111</v>
      </c>
      <c r="R2488" s="93" t="s">
        <v>111</v>
      </c>
      <c r="S2488" s="93" t="s">
        <v>2</v>
      </c>
      <c r="T2488" s="93" t="s">
        <v>111</v>
      </c>
      <c r="U2488" s="93" t="s">
        <v>116</v>
      </c>
      <c r="V2488" s="94">
        <v>44610.159722222219</v>
      </c>
      <c r="W2488" s="93" t="s">
        <v>7072</v>
      </c>
      <c r="X2488" s="93" t="s">
        <v>24</v>
      </c>
    </row>
    <row r="2489" spans="1:24" hidden="1" x14ac:dyDescent="0.15">
      <c r="A2489" s="93" t="s">
        <v>7890</v>
      </c>
      <c r="B2489" s="93" t="s">
        <v>7891</v>
      </c>
      <c r="C2489" s="410">
        <v>320</v>
      </c>
      <c r="D2489" s="93" t="s">
        <v>24</v>
      </c>
      <c r="E2489" s="93" t="s">
        <v>24</v>
      </c>
      <c r="F2489" s="93" t="s">
        <v>126</v>
      </c>
      <c r="G2489" s="93" t="s">
        <v>7881</v>
      </c>
      <c r="H2489" s="93" t="s">
        <v>118</v>
      </c>
      <c r="I2489" s="93" t="s">
        <v>111</v>
      </c>
      <c r="J2489" s="93" t="s">
        <v>7105</v>
      </c>
      <c r="K2489" s="93" t="s">
        <v>111</v>
      </c>
      <c r="L2489" s="93" t="s">
        <v>111</v>
      </c>
      <c r="M2489" s="93" t="s">
        <v>111</v>
      </c>
      <c r="N2489" s="93" t="s">
        <v>111</v>
      </c>
      <c r="O2489" s="93" t="s">
        <v>111</v>
      </c>
      <c r="P2489" s="93" t="s">
        <v>111</v>
      </c>
      <c r="Q2489" s="93" t="s">
        <v>111</v>
      </c>
      <c r="R2489" s="93" t="s">
        <v>111</v>
      </c>
      <c r="S2489" s="93" t="s">
        <v>2</v>
      </c>
      <c r="T2489" s="93" t="s">
        <v>111</v>
      </c>
      <c r="U2489" s="93" t="s">
        <v>116</v>
      </c>
      <c r="V2489" s="94">
        <v>44610.15</v>
      </c>
      <c r="W2489" s="93" t="s">
        <v>7072</v>
      </c>
      <c r="X2489" s="93" t="s">
        <v>24</v>
      </c>
    </row>
    <row r="2490" spans="1:24" hidden="1" x14ac:dyDescent="0.15">
      <c r="A2490" s="93" t="s">
        <v>7892</v>
      </c>
      <c r="B2490" s="93" t="s">
        <v>7893</v>
      </c>
      <c r="C2490" s="410">
        <v>8.89</v>
      </c>
      <c r="D2490" s="93" t="s">
        <v>24</v>
      </c>
      <c r="E2490" s="93" t="s">
        <v>24</v>
      </c>
      <c r="F2490" s="93" t="s">
        <v>126</v>
      </c>
      <c r="G2490" s="93" t="s">
        <v>7881</v>
      </c>
      <c r="H2490" s="93" t="s">
        <v>118</v>
      </c>
      <c r="I2490" s="93" t="s">
        <v>111</v>
      </c>
      <c r="J2490" s="93" t="s">
        <v>7105</v>
      </c>
      <c r="K2490" s="93" t="s">
        <v>111</v>
      </c>
      <c r="L2490" s="93" t="s">
        <v>111</v>
      </c>
      <c r="M2490" s="93" t="s">
        <v>111</v>
      </c>
      <c r="N2490" s="93" t="s">
        <v>111</v>
      </c>
      <c r="O2490" s="93" t="s">
        <v>111</v>
      </c>
      <c r="P2490" s="93" t="s">
        <v>111</v>
      </c>
      <c r="Q2490" s="93" t="s">
        <v>111</v>
      </c>
      <c r="R2490" s="93" t="s">
        <v>111</v>
      </c>
      <c r="S2490" s="93" t="s">
        <v>2</v>
      </c>
      <c r="T2490" s="93" t="s">
        <v>111</v>
      </c>
      <c r="U2490" s="93" t="s">
        <v>116</v>
      </c>
      <c r="V2490" s="94">
        <v>44610.190972222219</v>
      </c>
      <c r="W2490" s="93" t="s">
        <v>7072</v>
      </c>
      <c r="X2490" s="93" t="s">
        <v>24</v>
      </c>
    </row>
    <row r="2491" spans="1:24" hidden="1" x14ac:dyDescent="0.15">
      <c r="A2491" s="93" t="s">
        <v>7894</v>
      </c>
      <c r="B2491" s="93" t="s">
        <v>7895</v>
      </c>
      <c r="C2491" s="410">
        <v>400</v>
      </c>
      <c r="D2491" s="93" t="s">
        <v>24</v>
      </c>
      <c r="E2491" s="93" t="s">
        <v>24</v>
      </c>
      <c r="F2491" s="93" t="s">
        <v>126</v>
      </c>
      <c r="G2491" s="93" t="s">
        <v>7881</v>
      </c>
      <c r="H2491" s="93" t="s">
        <v>118</v>
      </c>
      <c r="I2491" s="93" t="s">
        <v>111</v>
      </c>
      <c r="J2491" s="93" t="s">
        <v>7105</v>
      </c>
      <c r="K2491" s="93" t="s">
        <v>111</v>
      </c>
      <c r="L2491" s="93" t="s">
        <v>111</v>
      </c>
      <c r="M2491" s="93" t="s">
        <v>111</v>
      </c>
      <c r="N2491" s="93" t="s">
        <v>111</v>
      </c>
      <c r="O2491" s="93" t="s">
        <v>111</v>
      </c>
      <c r="P2491" s="93" t="s">
        <v>111</v>
      </c>
      <c r="Q2491" s="93" t="s">
        <v>111</v>
      </c>
      <c r="R2491" s="93" t="s">
        <v>111</v>
      </c>
      <c r="S2491" s="93" t="s">
        <v>2</v>
      </c>
      <c r="T2491" s="93" t="s">
        <v>111</v>
      </c>
      <c r="U2491" s="93" t="s">
        <v>116</v>
      </c>
      <c r="V2491" s="94">
        <v>44610.137499999997</v>
      </c>
      <c r="W2491" s="93" t="s">
        <v>7072</v>
      </c>
      <c r="X2491" s="93" t="s">
        <v>24</v>
      </c>
    </row>
    <row r="2492" spans="1:24" hidden="1" x14ac:dyDescent="0.15">
      <c r="A2492" s="93" t="s">
        <v>7896</v>
      </c>
      <c r="B2492" s="93" t="s">
        <v>7897</v>
      </c>
      <c r="C2492" s="410">
        <v>11.11</v>
      </c>
      <c r="D2492" s="93" t="s">
        <v>24</v>
      </c>
      <c r="E2492" s="93" t="s">
        <v>24</v>
      </c>
      <c r="F2492" s="93" t="s">
        <v>126</v>
      </c>
      <c r="G2492" s="93" t="s">
        <v>7881</v>
      </c>
      <c r="H2492" s="93" t="s">
        <v>118</v>
      </c>
      <c r="I2492" s="93" t="s">
        <v>111</v>
      </c>
      <c r="J2492" s="93" t="s">
        <v>7105</v>
      </c>
      <c r="K2492" s="93" t="s">
        <v>111</v>
      </c>
      <c r="L2492" s="93" t="s">
        <v>111</v>
      </c>
      <c r="M2492" s="93" t="s">
        <v>111</v>
      </c>
      <c r="N2492" s="93" t="s">
        <v>111</v>
      </c>
      <c r="O2492" s="93" t="s">
        <v>111</v>
      </c>
      <c r="P2492" s="93" t="s">
        <v>111</v>
      </c>
      <c r="Q2492" s="93" t="s">
        <v>111</v>
      </c>
      <c r="R2492" s="93" t="s">
        <v>111</v>
      </c>
      <c r="S2492" s="93" t="s">
        <v>2</v>
      </c>
      <c r="T2492" s="93" t="s">
        <v>111</v>
      </c>
      <c r="U2492" s="93" t="s">
        <v>116</v>
      </c>
      <c r="V2492" s="94">
        <v>44610.18472222222</v>
      </c>
      <c r="W2492" s="93" t="s">
        <v>7072</v>
      </c>
      <c r="X2492" s="93" t="s">
        <v>24</v>
      </c>
    </row>
    <row r="2493" spans="1:24" hidden="1" x14ac:dyDescent="0.15">
      <c r="A2493" s="93" t="s">
        <v>7898</v>
      </c>
      <c r="B2493" s="93" t="s">
        <v>7899</v>
      </c>
      <c r="C2493" s="410">
        <v>80</v>
      </c>
      <c r="D2493" s="93" t="s">
        <v>24</v>
      </c>
      <c r="E2493" s="93" t="s">
        <v>24</v>
      </c>
      <c r="F2493" s="93" t="s">
        <v>126</v>
      </c>
      <c r="G2493" s="93" t="s">
        <v>7881</v>
      </c>
      <c r="H2493" s="93" t="s">
        <v>118</v>
      </c>
      <c r="I2493" s="93" t="s">
        <v>111</v>
      </c>
      <c r="J2493" s="93" t="s">
        <v>7105</v>
      </c>
      <c r="K2493" s="93" t="s">
        <v>111</v>
      </c>
      <c r="L2493" s="93" t="s">
        <v>111</v>
      </c>
      <c r="M2493" s="93" t="s">
        <v>111</v>
      </c>
      <c r="N2493" s="93" t="s">
        <v>111</v>
      </c>
      <c r="O2493" s="93" t="s">
        <v>111</v>
      </c>
      <c r="P2493" s="93" t="s">
        <v>111</v>
      </c>
      <c r="Q2493" s="93" t="s">
        <v>111</v>
      </c>
      <c r="R2493" s="93" t="s">
        <v>111</v>
      </c>
      <c r="S2493" s="93" t="s">
        <v>2</v>
      </c>
      <c r="T2493" s="93" t="s">
        <v>111</v>
      </c>
      <c r="U2493" s="93" t="s">
        <v>116</v>
      </c>
      <c r="V2493" s="94">
        <v>44609.324305555558</v>
      </c>
      <c r="W2493" s="93" t="s">
        <v>7072</v>
      </c>
      <c r="X2493" s="93" t="s">
        <v>24</v>
      </c>
    </row>
    <row r="2494" spans="1:24" hidden="1" x14ac:dyDescent="0.15">
      <c r="A2494" s="93" t="s">
        <v>7900</v>
      </c>
      <c r="B2494" s="93" t="s">
        <v>7901</v>
      </c>
      <c r="C2494" s="410">
        <v>140</v>
      </c>
      <c r="D2494" s="93" t="s">
        <v>24</v>
      </c>
      <c r="E2494" s="93" t="s">
        <v>24</v>
      </c>
      <c r="F2494" s="93" t="s">
        <v>126</v>
      </c>
      <c r="G2494" s="93" t="s">
        <v>7881</v>
      </c>
      <c r="H2494" s="93" t="s">
        <v>118</v>
      </c>
      <c r="I2494" s="93" t="s">
        <v>111</v>
      </c>
      <c r="J2494" s="93" t="s">
        <v>7105</v>
      </c>
      <c r="K2494" s="93" t="s">
        <v>111</v>
      </c>
      <c r="L2494" s="93" t="s">
        <v>111</v>
      </c>
      <c r="M2494" s="93" t="s">
        <v>111</v>
      </c>
      <c r="N2494" s="93" t="s">
        <v>111</v>
      </c>
      <c r="O2494" s="93" t="s">
        <v>111</v>
      </c>
      <c r="P2494" s="93" t="s">
        <v>111</v>
      </c>
      <c r="Q2494" s="93" t="s">
        <v>111</v>
      </c>
      <c r="R2494" s="93" t="s">
        <v>111</v>
      </c>
      <c r="S2494" s="93" t="s">
        <v>2</v>
      </c>
      <c r="T2494" s="93" t="s">
        <v>111</v>
      </c>
      <c r="U2494" s="93" t="s">
        <v>116</v>
      </c>
      <c r="V2494" s="94">
        <v>44610.206944444442</v>
      </c>
      <c r="W2494" s="93" t="s">
        <v>7072</v>
      </c>
      <c r="X2494" s="93" t="s">
        <v>24</v>
      </c>
    </row>
    <row r="2495" spans="1:24" hidden="1" x14ac:dyDescent="0.15">
      <c r="A2495" s="93" t="s">
        <v>7902</v>
      </c>
      <c r="B2495" s="93" t="s">
        <v>7903</v>
      </c>
      <c r="C2495" s="410">
        <v>240</v>
      </c>
      <c r="D2495" s="93" t="s">
        <v>24</v>
      </c>
      <c r="E2495" s="93" t="s">
        <v>24</v>
      </c>
      <c r="F2495" s="93" t="s">
        <v>126</v>
      </c>
      <c r="G2495" s="93" t="s">
        <v>7881</v>
      </c>
      <c r="H2495" s="93" t="s">
        <v>118</v>
      </c>
      <c r="I2495" s="93" t="s">
        <v>111</v>
      </c>
      <c r="J2495" s="93" t="s">
        <v>7105</v>
      </c>
      <c r="K2495" s="93" t="s">
        <v>111</v>
      </c>
      <c r="L2495" s="93" t="s">
        <v>111</v>
      </c>
      <c r="M2495" s="93" t="s">
        <v>111</v>
      </c>
      <c r="N2495" s="93" t="s">
        <v>111</v>
      </c>
      <c r="O2495" s="93" t="s">
        <v>111</v>
      </c>
      <c r="P2495" s="93" t="s">
        <v>111</v>
      </c>
      <c r="Q2495" s="93" t="s">
        <v>111</v>
      </c>
      <c r="R2495" s="93" t="s">
        <v>111</v>
      </c>
      <c r="S2495" s="93" t="s">
        <v>2</v>
      </c>
      <c r="T2495" s="93" t="s">
        <v>111</v>
      </c>
      <c r="U2495" s="93" t="s">
        <v>116</v>
      </c>
      <c r="V2495" s="94">
        <v>44610.137499999997</v>
      </c>
      <c r="W2495" s="93" t="s">
        <v>7072</v>
      </c>
      <c r="X2495" s="93" t="s">
        <v>24</v>
      </c>
    </row>
    <row r="2496" spans="1:24" hidden="1" x14ac:dyDescent="0.15">
      <c r="A2496" s="93" t="s">
        <v>7904</v>
      </c>
      <c r="B2496" s="93" t="s">
        <v>7905</v>
      </c>
      <c r="C2496" s="410">
        <v>6.67</v>
      </c>
      <c r="D2496" s="93" t="s">
        <v>24</v>
      </c>
      <c r="E2496" s="93" t="s">
        <v>24</v>
      </c>
      <c r="F2496" s="93" t="s">
        <v>126</v>
      </c>
      <c r="G2496" s="93" t="s">
        <v>7881</v>
      </c>
      <c r="H2496" s="93" t="s">
        <v>118</v>
      </c>
      <c r="I2496" s="93" t="s">
        <v>111</v>
      </c>
      <c r="J2496" s="93" t="s">
        <v>7105</v>
      </c>
      <c r="K2496" s="93" t="s">
        <v>111</v>
      </c>
      <c r="L2496" s="93" t="s">
        <v>111</v>
      </c>
      <c r="M2496" s="93" t="s">
        <v>111</v>
      </c>
      <c r="N2496" s="93" t="s">
        <v>111</v>
      </c>
      <c r="O2496" s="93" t="s">
        <v>111</v>
      </c>
      <c r="P2496" s="93" t="s">
        <v>111</v>
      </c>
      <c r="Q2496" s="93" t="s">
        <v>111</v>
      </c>
      <c r="R2496" s="93" t="s">
        <v>111</v>
      </c>
      <c r="S2496" s="93" t="s">
        <v>2</v>
      </c>
      <c r="T2496" s="93" t="s">
        <v>111</v>
      </c>
      <c r="U2496" s="93" t="s">
        <v>116</v>
      </c>
      <c r="V2496" s="94">
        <v>44610.190972222219</v>
      </c>
      <c r="W2496" s="93" t="s">
        <v>7072</v>
      </c>
      <c r="X2496" s="93" t="s">
        <v>24</v>
      </c>
    </row>
    <row r="2497" spans="1:24" hidden="1" x14ac:dyDescent="0.15">
      <c r="A2497" s="93" t="s">
        <v>7906</v>
      </c>
      <c r="B2497" s="93" t="s">
        <v>7907</v>
      </c>
      <c r="C2497" s="410">
        <v>120</v>
      </c>
      <c r="D2497" s="93" t="s">
        <v>24</v>
      </c>
      <c r="E2497" s="93" t="s">
        <v>24</v>
      </c>
      <c r="F2497" s="93" t="s">
        <v>126</v>
      </c>
      <c r="G2497" s="93" t="s">
        <v>7881</v>
      </c>
      <c r="H2497" s="93" t="s">
        <v>118</v>
      </c>
      <c r="I2497" s="93" t="s">
        <v>111</v>
      </c>
      <c r="J2497" s="93" t="s">
        <v>7105</v>
      </c>
      <c r="K2497" s="93" t="s">
        <v>111</v>
      </c>
      <c r="L2497" s="93" t="s">
        <v>111</v>
      </c>
      <c r="M2497" s="93" t="s">
        <v>111</v>
      </c>
      <c r="N2497" s="93" t="s">
        <v>111</v>
      </c>
      <c r="O2497" s="93" t="s">
        <v>111</v>
      </c>
      <c r="P2497" s="93" t="s">
        <v>111</v>
      </c>
      <c r="Q2497" s="93" t="s">
        <v>111</v>
      </c>
      <c r="R2497" s="93" t="s">
        <v>111</v>
      </c>
      <c r="S2497" s="93" t="s">
        <v>2</v>
      </c>
      <c r="T2497" s="93" t="s">
        <v>111</v>
      </c>
      <c r="U2497" s="93" t="s">
        <v>116</v>
      </c>
      <c r="V2497" s="94">
        <v>44610.168055555558</v>
      </c>
      <c r="W2497" s="93" t="s">
        <v>7072</v>
      </c>
      <c r="X2497" s="93" t="s">
        <v>24</v>
      </c>
    </row>
    <row r="2498" spans="1:24" hidden="1" x14ac:dyDescent="0.15">
      <c r="A2498" s="93" t="s">
        <v>7908</v>
      </c>
      <c r="B2498" s="93" t="s">
        <v>7909</v>
      </c>
      <c r="C2498" s="410">
        <v>210</v>
      </c>
      <c r="D2498" s="93" t="s">
        <v>24</v>
      </c>
      <c r="E2498" s="93" t="s">
        <v>24</v>
      </c>
      <c r="F2498" s="93" t="s">
        <v>126</v>
      </c>
      <c r="G2498" s="93" t="s">
        <v>7881</v>
      </c>
      <c r="H2498" s="93" t="s">
        <v>118</v>
      </c>
      <c r="I2498" s="93" t="s">
        <v>111</v>
      </c>
      <c r="J2498" s="93" t="s">
        <v>7105</v>
      </c>
      <c r="K2498" s="93" t="s">
        <v>111</v>
      </c>
      <c r="L2498" s="93" t="s">
        <v>111</v>
      </c>
      <c r="M2498" s="93" t="s">
        <v>111</v>
      </c>
      <c r="N2498" s="93" t="s">
        <v>111</v>
      </c>
      <c r="O2498" s="93" t="s">
        <v>111</v>
      </c>
      <c r="P2498" s="93" t="s">
        <v>111</v>
      </c>
      <c r="Q2498" s="93" t="s">
        <v>111</v>
      </c>
      <c r="R2498" s="93" t="s">
        <v>111</v>
      </c>
      <c r="S2498" s="93" t="s">
        <v>2</v>
      </c>
      <c r="T2498" s="93" t="s">
        <v>111</v>
      </c>
      <c r="U2498" s="93" t="s">
        <v>116</v>
      </c>
      <c r="V2498" s="94">
        <v>44610.175694444442</v>
      </c>
      <c r="W2498" s="93" t="s">
        <v>7072</v>
      </c>
      <c r="X2498" s="93" t="s">
        <v>24</v>
      </c>
    </row>
    <row r="2499" spans="1:24" hidden="1" x14ac:dyDescent="0.15">
      <c r="A2499" s="93" t="s">
        <v>7910</v>
      </c>
      <c r="B2499" s="93" t="s">
        <v>7911</v>
      </c>
      <c r="C2499" s="410">
        <v>160</v>
      </c>
      <c r="D2499" s="93" t="s">
        <v>24</v>
      </c>
      <c r="E2499" s="93" t="s">
        <v>9</v>
      </c>
      <c r="F2499" s="93" t="s">
        <v>7912</v>
      </c>
      <c r="G2499" s="93" t="s">
        <v>7881</v>
      </c>
      <c r="H2499" s="93" t="s">
        <v>118</v>
      </c>
      <c r="I2499" s="93" t="s">
        <v>111</v>
      </c>
      <c r="J2499" s="93" t="s">
        <v>118</v>
      </c>
      <c r="K2499" s="93">
        <v>3</v>
      </c>
      <c r="L2499" s="93" t="s">
        <v>111</v>
      </c>
      <c r="M2499" s="93" t="s">
        <v>111</v>
      </c>
      <c r="N2499" s="93" t="s">
        <v>111</v>
      </c>
      <c r="O2499" s="93" t="s">
        <v>111</v>
      </c>
      <c r="P2499" s="93" t="s">
        <v>111</v>
      </c>
      <c r="Q2499" s="93" t="s">
        <v>111</v>
      </c>
      <c r="R2499" s="93" t="s">
        <v>228</v>
      </c>
      <c r="S2499" s="93" t="s">
        <v>2</v>
      </c>
      <c r="T2499" s="93" t="s">
        <v>115</v>
      </c>
      <c r="U2499" s="93" t="s">
        <v>116</v>
      </c>
      <c r="V2499" s="94">
        <v>44596.640972222223</v>
      </c>
      <c r="W2499" s="93" t="s">
        <v>7913</v>
      </c>
      <c r="X2499" s="93" t="s">
        <v>24</v>
      </c>
    </row>
    <row r="2500" spans="1:24" hidden="1" x14ac:dyDescent="0.15">
      <c r="A2500" s="93" t="s">
        <v>7914</v>
      </c>
      <c r="B2500" s="93" t="s">
        <v>7915</v>
      </c>
      <c r="C2500" s="410">
        <v>320</v>
      </c>
      <c r="D2500" s="93" t="s">
        <v>24</v>
      </c>
      <c r="E2500" s="93" t="s">
        <v>9</v>
      </c>
      <c r="F2500" s="93" t="s">
        <v>7912</v>
      </c>
      <c r="G2500" s="93" t="s">
        <v>7881</v>
      </c>
      <c r="H2500" s="93" t="s">
        <v>118</v>
      </c>
      <c r="I2500" s="93" t="s">
        <v>111</v>
      </c>
      <c r="J2500" s="93" t="s">
        <v>118</v>
      </c>
      <c r="K2500" s="93">
        <v>3</v>
      </c>
      <c r="L2500" s="93" t="s">
        <v>111</v>
      </c>
      <c r="M2500" s="93" t="s">
        <v>111</v>
      </c>
      <c r="N2500" s="93" t="s">
        <v>111</v>
      </c>
      <c r="O2500" s="93" t="s">
        <v>111</v>
      </c>
      <c r="P2500" s="93" t="s">
        <v>111</v>
      </c>
      <c r="Q2500" s="93" t="s">
        <v>111</v>
      </c>
      <c r="R2500" s="93" t="s">
        <v>228</v>
      </c>
      <c r="S2500" s="93" t="s">
        <v>2</v>
      </c>
      <c r="T2500" s="93" t="s">
        <v>115</v>
      </c>
      <c r="U2500" s="93" t="s">
        <v>116</v>
      </c>
      <c r="V2500" s="94">
        <v>44596.690972222219</v>
      </c>
      <c r="W2500" s="93" t="s">
        <v>7913</v>
      </c>
      <c r="X2500" s="93" t="s">
        <v>24</v>
      </c>
    </row>
    <row r="2501" spans="1:24" hidden="1" x14ac:dyDescent="0.15">
      <c r="A2501" s="93" t="s">
        <v>7916</v>
      </c>
      <c r="B2501" s="93" t="s">
        <v>7917</v>
      </c>
      <c r="C2501" s="410">
        <v>200</v>
      </c>
      <c r="D2501" s="93" t="s">
        <v>24</v>
      </c>
      <c r="E2501" s="93" t="s">
        <v>9</v>
      </c>
      <c r="F2501" s="93" t="s">
        <v>7912</v>
      </c>
      <c r="G2501" s="93" t="s">
        <v>7881</v>
      </c>
      <c r="H2501" s="93" t="s">
        <v>118</v>
      </c>
      <c r="I2501" s="93" t="s">
        <v>111</v>
      </c>
      <c r="J2501" s="93" t="s">
        <v>118</v>
      </c>
      <c r="K2501" s="93">
        <v>3</v>
      </c>
      <c r="L2501" s="93" t="s">
        <v>111</v>
      </c>
      <c r="M2501" s="93" t="s">
        <v>111</v>
      </c>
      <c r="N2501" s="93" t="s">
        <v>111</v>
      </c>
      <c r="O2501" s="93" t="s">
        <v>111</v>
      </c>
      <c r="P2501" s="93" t="s">
        <v>111</v>
      </c>
      <c r="Q2501" s="93" t="s">
        <v>111</v>
      </c>
      <c r="R2501" s="93" t="s">
        <v>228</v>
      </c>
      <c r="S2501" s="93" t="s">
        <v>2</v>
      </c>
      <c r="T2501" s="93" t="s">
        <v>115</v>
      </c>
      <c r="U2501" s="93" t="s">
        <v>116</v>
      </c>
      <c r="V2501" s="94">
        <v>44596.690972222219</v>
      </c>
      <c r="W2501" s="93" t="s">
        <v>7913</v>
      </c>
      <c r="X2501" s="93" t="s">
        <v>24</v>
      </c>
    </row>
    <row r="2502" spans="1:24" hidden="1" x14ac:dyDescent="0.15">
      <c r="A2502" s="93" t="s">
        <v>7918</v>
      </c>
      <c r="B2502" s="93" t="s">
        <v>7919</v>
      </c>
      <c r="C2502" s="410">
        <v>400</v>
      </c>
      <c r="D2502" s="93" t="s">
        <v>24</v>
      </c>
      <c r="E2502" s="93" t="s">
        <v>9</v>
      </c>
      <c r="F2502" s="93" t="s">
        <v>7912</v>
      </c>
      <c r="G2502" s="93" t="s">
        <v>7881</v>
      </c>
      <c r="H2502" s="93" t="s">
        <v>118</v>
      </c>
      <c r="I2502" s="93" t="s">
        <v>111</v>
      </c>
      <c r="J2502" s="93" t="s">
        <v>118</v>
      </c>
      <c r="K2502" s="93">
        <v>3</v>
      </c>
      <c r="L2502" s="93" t="s">
        <v>111</v>
      </c>
      <c r="M2502" s="93" t="s">
        <v>111</v>
      </c>
      <c r="N2502" s="93" t="s">
        <v>111</v>
      </c>
      <c r="O2502" s="93" t="s">
        <v>111</v>
      </c>
      <c r="P2502" s="93" t="s">
        <v>111</v>
      </c>
      <c r="Q2502" s="93" t="s">
        <v>111</v>
      </c>
      <c r="R2502" s="93" t="s">
        <v>228</v>
      </c>
      <c r="S2502" s="93" t="s">
        <v>2</v>
      </c>
      <c r="T2502" s="93" t="s">
        <v>115</v>
      </c>
      <c r="U2502" s="93" t="s">
        <v>116</v>
      </c>
      <c r="V2502" s="94">
        <v>44596.697916666664</v>
      </c>
      <c r="W2502" s="93" t="s">
        <v>7913</v>
      </c>
      <c r="X2502" s="93" t="s">
        <v>24</v>
      </c>
    </row>
    <row r="2503" spans="1:24" hidden="1" x14ac:dyDescent="0.15">
      <c r="A2503" s="93" t="s">
        <v>7920</v>
      </c>
      <c r="B2503" s="93" t="s">
        <v>7921</v>
      </c>
      <c r="C2503" s="410">
        <v>40</v>
      </c>
      <c r="D2503" s="93" t="s">
        <v>24</v>
      </c>
      <c r="E2503" s="93" t="s">
        <v>9</v>
      </c>
      <c r="F2503" s="93" t="s">
        <v>7912</v>
      </c>
      <c r="G2503" s="93" t="s">
        <v>7881</v>
      </c>
      <c r="H2503" s="93" t="s">
        <v>118</v>
      </c>
      <c r="I2503" s="93" t="s">
        <v>111</v>
      </c>
      <c r="J2503" s="93" t="s">
        <v>118</v>
      </c>
      <c r="K2503" s="93">
        <v>3</v>
      </c>
      <c r="L2503" s="93" t="s">
        <v>111</v>
      </c>
      <c r="M2503" s="93" t="s">
        <v>111</v>
      </c>
      <c r="N2503" s="93" t="s">
        <v>111</v>
      </c>
      <c r="O2503" s="93" t="s">
        <v>111</v>
      </c>
      <c r="P2503" s="93" t="s">
        <v>111</v>
      </c>
      <c r="Q2503" s="93" t="s">
        <v>111</v>
      </c>
      <c r="R2503" s="93" t="s">
        <v>111</v>
      </c>
      <c r="S2503" s="93" t="s">
        <v>2</v>
      </c>
      <c r="T2503" s="93" t="s">
        <v>111</v>
      </c>
      <c r="U2503" s="93" t="s">
        <v>116</v>
      </c>
      <c r="V2503" s="94">
        <v>44610.147916666669</v>
      </c>
      <c r="W2503" s="93" t="s">
        <v>7913</v>
      </c>
      <c r="X2503" s="93" t="s">
        <v>24</v>
      </c>
    </row>
    <row r="2504" spans="1:24" hidden="1" x14ac:dyDescent="0.15">
      <c r="A2504" s="93" t="s">
        <v>7922</v>
      </c>
      <c r="B2504" s="93" t="s">
        <v>7923</v>
      </c>
      <c r="C2504" s="410">
        <v>80</v>
      </c>
      <c r="D2504" s="93" t="s">
        <v>24</v>
      </c>
      <c r="E2504" s="93" t="s">
        <v>9</v>
      </c>
      <c r="F2504" s="93" t="s">
        <v>7912</v>
      </c>
      <c r="G2504" s="93" t="s">
        <v>7881</v>
      </c>
      <c r="H2504" s="93" t="s">
        <v>118</v>
      </c>
      <c r="I2504" s="93" t="s">
        <v>111</v>
      </c>
      <c r="J2504" s="93" t="s">
        <v>7105</v>
      </c>
      <c r="K2504" s="93" t="s">
        <v>111</v>
      </c>
      <c r="L2504" s="93" t="s">
        <v>111</v>
      </c>
      <c r="M2504" s="93" t="s">
        <v>111</v>
      </c>
      <c r="N2504" s="93" t="s">
        <v>111</v>
      </c>
      <c r="O2504" s="93" t="s">
        <v>111</v>
      </c>
      <c r="P2504" s="93" t="s">
        <v>111</v>
      </c>
      <c r="Q2504" s="93" t="s">
        <v>111</v>
      </c>
      <c r="R2504" s="93" t="s">
        <v>228</v>
      </c>
      <c r="S2504" s="93" t="s">
        <v>2</v>
      </c>
      <c r="T2504" s="93" t="s">
        <v>115</v>
      </c>
      <c r="U2504" s="93" t="s">
        <v>116</v>
      </c>
      <c r="V2504" s="94">
        <v>44610.15625</v>
      </c>
      <c r="W2504" s="93" t="s">
        <v>7913</v>
      </c>
      <c r="X2504" s="93" t="s">
        <v>24</v>
      </c>
    </row>
    <row r="2505" spans="1:24" hidden="1" x14ac:dyDescent="0.15">
      <c r="A2505" s="93" t="s">
        <v>7924</v>
      </c>
      <c r="B2505" s="93" t="s">
        <v>7925</v>
      </c>
      <c r="C2505" s="410">
        <v>120</v>
      </c>
      <c r="D2505" s="93" t="s">
        <v>24</v>
      </c>
      <c r="E2505" s="93" t="s">
        <v>9</v>
      </c>
      <c r="F2505" s="93" t="s">
        <v>7912</v>
      </c>
      <c r="G2505" s="93" t="s">
        <v>7881</v>
      </c>
      <c r="H2505" s="93" t="s">
        <v>118</v>
      </c>
      <c r="I2505" s="93" t="s">
        <v>111</v>
      </c>
      <c r="J2505" s="93" t="s">
        <v>7105</v>
      </c>
      <c r="K2505" s="93" t="s">
        <v>111</v>
      </c>
      <c r="L2505" s="93" t="s">
        <v>111</v>
      </c>
      <c r="M2505" s="93" t="s">
        <v>111</v>
      </c>
      <c r="N2505" s="93" t="s">
        <v>111</v>
      </c>
      <c r="O2505" s="93" t="s">
        <v>111</v>
      </c>
      <c r="P2505" s="93" t="s">
        <v>111</v>
      </c>
      <c r="Q2505" s="93" t="s">
        <v>111</v>
      </c>
      <c r="R2505" s="93" t="s">
        <v>111</v>
      </c>
      <c r="S2505" s="93" t="s">
        <v>2</v>
      </c>
      <c r="T2505" s="93" t="s">
        <v>111</v>
      </c>
      <c r="U2505" s="93" t="s">
        <v>116</v>
      </c>
      <c r="V2505" s="94">
        <v>44610.188888888886</v>
      </c>
      <c r="W2505" s="93" t="s">
        <v>7913</v>
      </c>
      <c r="X2505" s="93" t="s">
        <v>24</v>
      </c>
    </row>
    <row r="2506" spans="1:24" hidden="1" x14ac:dyDescent="0.15">
      <c r="A2506" s="93" t="s">
        <v>7926</v>
      </c>
      <c r="B2506" s="93" t="s">
        <v>7927</v>
      </c>
      <c r="C2506" s="410">
        <v>70</v>
      </c>
      <c r="D2506" s="93" t="s">
        <v>24</v>
      </c>
      <c r="E2506" s="93" t="s">
        <v>9</v>
      </c>
      <c r="F2506" s="93" t="s">
        <v>7912</v>
      </c>
      <c r="G2506" s="93" t="s">
        <v>7881</v>
      </c>
      <c r="H2506" s="93" t="s">
        <v>118</v>
      </c>
      <c r="I2506" s="93" t="s">
        <v>111</v>
      </c>
      <c r="J2506" s="93" t="s">
        <v>118</v>
      </c>
      <c r="K2506" s="93">
        <v>3</v>
      </c>
      <c r="L2506" s="93" t="s">
        <v>111</v>
      </c>
      <c r="M2506" s="93" t="s">
        <v>111</v>
      </c>
      <c r="N2506" s="93" t="s">
        <v>111</v>
      </c>
      <c r="O2506" s="93" t="s">
        <v>111</v>
      </c>
      <c r="P2506" s="93" t="s">
        <v>111</v>
      </c>
      <c r="Q2506" s="93" t="s">
        <v>111</v>
      </c>
      <c r="R2506" s="93" t="s">
        <v>111</v>
      </c>
      <c r="S2506" s="93" t="s">
        <v>2</v>
      </c>
      <c r="T2506" s="93" t="s">
        <v>111</v>
      </c>
      <c r="U2506" s="93" t="s">
        <v>116</v>
      </c>
      <c r="V2506" s="94">
        <v>44610.147916666669</v>
      </c>
      <c r="W2506" s="93" t="s">
        <v>7913</v>
      </c>
      <c r="X2506" s="93" t="s">
        <v>24</v>
      </c>
    </row>
    <row r="2507" spans="1:24" hidden="1" x14ac:dyDescent="0.15">
      <c r="A2507" s="93" t="s">
        <v>7928</v>
      </c>
      <c r="B2507" s="93" t="s">
        <v>7929</v>
      </c>
      <c r="C2507" s="410">
        <v>140</v>
      </c>
      <c r="D2507" s="93" t="s">
        <v>24</v>
      </c>
      <c r="E2507" s="93" t="s">
        <v>9</v>
      </c>
      <c r="F2507" s="93" t="s">
        <v>7912</v>
      </c>
      <c r="G2507" s="93" t="s">
        <v>7881</v>
      </c>
      <c r="H2507" s="93" t="s">
        <v>118</v>
      </c>
      <c r="I2507" s="93" t="s">
        <v>111</v>
      </c>
      <c r="J2507" s="93" t="s">
        <v>118</v>
      </c>
      <c r="K2507" s="93">
        <v>3</v>
      </c>
      <c r="L2507" s="93" t="s">
        <v>111</v>
      </c>
      <c r="M2507" s="93" t="s">
        <v>111</v>
      </c>
      <c r="N2507" s="93" t="s">
        <v>111</v>
      </c>
      <c r="O2507" s="93" t="s">
        <v>111</v>
      </c>
      <c r="P2507" s="93" t="s">
        <v>111</v>
      </c>
      <c r="Q2507" s="93" t="s">
        <v>111</v>
      </c>
      <c r="R2507" s="93" t="s">
        <v>228</v>
      </c>
      <c r="S2507" s="93" t="s">
        <v>2</v>
      </c>
      <c r="T2507" s="93" t="s">
        <v>115</v>
      </c>
      <c r="U2507" s="93" t="s">
        <v>116</v>
      </c>
      <c r="V2507" s="94">
        <v>44628.636111111111</v>
      </c>
      <c r="W2507" s="93" t="s">
        <v>7913</v>
      </c>
      <c r="X2507" s="93" t="s">
        <v>24</v>
      </c>
    </row>
    <row r="2508" spans="1:24" hidden="1" x14ac:dyDescent="0.15">
      <c r="A2508" s="93" t="s">
        <v>7930</v>
      </c>
      <c r="B2508" s="93" t="s">
        <v>7931</v>
      </c>
      <c r="C2508" s="410">
        <v>210</v>
      </c>
      <c r="D2508" s="93" t="s">
        <v>24</v>
      </c>
      <c r="E2508" s="93" t="s">
        <v>9</v>
      </c>
      <c r="F2508" s="93" t="s">
        <v>7912</v>
      </c>
      <c r="G2508" s="93" t="s">
        <v>7881</v>
      </c>
      <c r="H2508" s="93" t="s">
        <v>118</v>
      </c>
      <c r="I2508" s="93" t="s">
        <v>111</v>
      </c>
      <c r="J2508" s="93" t="s">
        <v>7105</v>
      </c>
      <c r="K2508" s="93" t="s">
        <v>111</v>
      </c>
      <c r="L2508" s="93" t="s">
        <v>111</v>
      </c>
      <c r="M2508" s="93" t="s">
        <v>111</v>
      </c>
      <c r="N2508" s="93" t="s">
        <v>111</v>
      </c>
      <c r="O2508" s="93" t="s">
        <v>111</v>
      </c>
      <c r="P2508" s="93" t="s">
        <v>111</v>
      </c>
      <c r="Q2508" s="93" t="s">
        <v>111</v>
      </c>
      <c r="R2508" s="93" t="s">
        <v>111</v>
      </c>
      <c r="S2508" s="93" t="s">
        <v>2</v>
      </c>
      <c r="T2508" s="93" t="s">
        <v>111</v>
      </c>
      <c r="U2508" s="93" t="s">
        <v>116</v>
      </c>
      <c r="V2508" s="94">
        <v>44610.181944444441</v>
      </c>
      <c r="W2508" s="93" t="s">
        <v>7913</v>
      </c>
      <c r="X2508" s="93" t="s">
        <v>24</v>
      </c>
    </row>
    <row r="2509" spans="1:24" hidden="1" x14ac:dyDescent="0.15">
      <c r="A2509" s="93" t="s">
        <v>7932</v>
      </c>
      <c r="B2509" s="93" t="s">
        <v>7933</v>
      </c>
      <c r="C2509" s="410">
        <v>120</v>
      </c>
      <c r="D2509" s="93" t="s">
        <v>24</v>
      </c>
      <c r="E2509" s="93" t="s">
        <v>9</v>
      </c>
      <c r="F2509" s="93" t="s">
        <v>7912</v>
      </c>
      <c r="G2509" s="93" t="s">
        <v>7881</v>
      </c>
      <c r="H2509" s="93" t="s">
        <v>118</v>
      </c>
      <c r="I2509" s="93" t="s">
        <v>111</v>
      </c>
      <c r="J2509" s="93" t="s">
        <v>7105</v>
      </c>
      <c r="K2509" s="93" t="s">
        <v>111</v>
      </c>
      <c r="L2509" s="93" t="s">
        <v>111</v>
      </c>
      <c r="M2509" s="93" t="s">
        <v>111</v>
      </c>
      <c r="N2509" s="93" t="s">
        <v>111</v>
      </c>
      <c r="O2509" s="93" t="s">
        <v>111</v>
      </c>
      <c r="P2509" s="93" t="s">
        <v>111</v>
      </c>
      <c r="Q2509" s="93" t="s">
        <v>111</v>
      </c>
      <c r="R2509" s="93" t="s">
        <v>228</v>
      </c>
      <c r="S2509" s="93" t="s">
        <v>2</v>
      </c>
      <c r="T2509" s="93" t="s">
        <v>115</v>
      </c>
      <c r="U2509" s="93" t="s">
        <v>116</v>
      </c>
      <c r="V2509" s="94">
        <v>44596.640972222223</v>
      </c>
      <c r="W2509" s="93" t="s">
        <v>7913</v>
      </c>
      <c r="X2509" s="93" t="s">
        <v>24</v>
      </c>
    </row>
    <row r="2510" spans="1:24" hidden="1" x14ac:dyDescent="0.15">
      <c r="A2510" s="93" t="s">
        <v>7934</v>
      </c>
      <c r="B2510" s="93" t="s">
        <v>7935</v>
      </c>
      <c r="C2510" s="410">
        <v>240</v>
      </c>
      <c r="D2510" s="93" t="s">
        <v>24</v>
      </c>
      <c r="E2510" s="93" t="s">
        <v>9</v>
      </c>
      <c r="F2510" s="93" t="s">
        <v>7912</v>
      </c>
      <c r="G2510" s="93" t="s">
        <v>7881</v>
      </c>
      <c r="H2510" s="93" t="s">
        <v>118</v>
      </c>
      <c r="I2510" s="93" t="s">
        <v>111</v>
      </c>
      <c r="J2510" s="93" t="s">
        <v>118</v>
      </c>
      <c r="K2510" s="93">
        <v>3</v>
      </c>
      <c r="L2510" s="93" t="s">
        <v>111</v>
      </c>
      <c r="M2510" s="93" t="s">
        <v>111</v>
      </c>
      <c r="N2510" s="93" t="s">
        <v>111</v>
      </c>
      <c r="O2510" s="93" t="s">
        <v>111</v>
      </c>
      <c r="P2510" s="93" t="s">
        <v>111</v>
      </c>
      <c r="Q2510" s="93" t="s">
        <v>111</v>
      </c>
      <c r="R2510" s="93" t="s">
        <v>228</v>
      </c>
      <c r="S2510" s="93" t="s">
        <v>2</v>
      </c>
      <c r="T2510" s="93" t="s">
        <v>115</v>
      </c>
      <c r="U2510" s="93" t="s">
        <v>116</v>
      </c>
      <c r="V2510" s="94">
        <v>44596.690972222219</v>
      </c>
      <c r="W2510" s="93" t="s">
        <v>7913</v>
      </c>
      <c r="X2510" s="93" t="s">
        <v>24</v>
      </c>
    </row>
    <row r="2511" spans="1:24" x14ac:dyDescent="0.15">
      <c r="A2511" s="93" t="s">
        <v>9297</v>
      </c>
      <c r="B2511" s="93" t="s">
        <v>9298</v>
      </c>
      <c r="C2511" s="410">
        <v>75</v>
      </c>
      <c r="D2511" s="93" t="s">
        <v>24</v>
      </c>
      <c r="E2511" s="93" t="s">
        <v>24</v>
      </c>
      <c r="F2511" s="93" t="s">
        <v>7070</v>
      </c>
      <c r="G2511" s="93" t="s">
        <v>7108</v>
      </c>
      <c r="H2511" s="93" t="s">
        <v>118</v>
      </c>
      <c r="I2511" s="93" t="s">
        <v>111</v>
      </c>
      <c r="J2511" s="93" t="s">
        <v>7105</v>
      </c>
      <c r="K2511" s="93" t="s">
        <v>111</v>
      </c>
      <c r="L2511" s="93" t="s">
        <v>111</v>
      </c>
      <c r="M2511" s="93" t="s">
        <v>111</v>
      </c>
      <c r="N2511" s="93" t="s">
        <v>111</v>
      </c>
      <c r="O2511" s="93" t="s">
        <v>111</v>
      </c>
      <c r="P2511" s="93" t="s">
        <v>111</v>
      </c>
      <c r="Q2511" s="93" t="s">
        <v>111</v>
      </c>
      <c r="R2511" s="93" t="s">
        <v>228</v>
      </c>
      <c r="S2511" s="93" t="s">
        <v>2</v>
      </c>
      <c r="T2511" s="93" t="s">
        <v>115</v>
      </c>
      <c r="U2511" s="93" t="s">
        <v>116</v>
      </c>
      <c r="V2511" s="94">
        <v>44596.65</v>
      </c>
      <c r="W2511" s="93" t="s">
        <v>1170</v>
      </c>
      <c r="X2511" s="93" t="s">
        <v>24</v>
      </c>
    </row>
    <row r="2512" spans="1:24" x14ac:dyDescent="0.15">
      <c r="A2512" s="93" t="s">
        <v>7936</v>
      </c>
      <c r="B2512" s="93" t="s">
        <v>7937</v>
      </c>
      <c r="C2512" s="410">
        <v>26</v>
      </c>
      <c r="D2512" s="93" t="s">
        <v>24</v>
      </c>
      <c r="E2512" s="93" t="s">
        <v>24</v>
      </c>
      <c r="F2512" s="93" t="s">
        <v>7070</v>
      </c>
      <c r="G2512" s="93" t="s">
        <v>7108</v>
      </c>
      <c r="H2512" s="93" t="s">
        <v>118</v>
      </c>
      <c r="I2512" s="93" t="s">
        <v>111</v>
      </c>
      <c r="J2512" s="93" t="s">
        <v>118</v>
      </c>
      <c r="K2512" s="93">
        <v>3</v>
      </c>
      <c r="L2512" s="93" t="s">
        <v>111</v>
      </c>
      <c r="M2512" s="93" t="s">
        <v>111</v>
      </c>
      <c r="N2512" s="93" t="s">
        <v>111</v>
      </c>
      <c r="O2512" s="93" t="s">
        <v>111</v>
      </c>
      <c r="P2512" s="93" t="s">
        <v>111</v>
      </c>
      <c r="Q2512" s="93" t="s">
        <v>111</v>
      </c>
      <c r="R2512" s="93" t="s">
        <v>228</v>
      </c>
      <c r="S2512" s="93" t="s">
        <v>2</v>
      </c>
      <c r="T2512" s="93" t="s">
        <v>115</v>
      </c>
      <c r="U2512" s="93" t="s">
        <v>116</v>
      </c>
      <c r="V2512" s="94">
        <v>44602.490972222222</v>
      </c>
      <c r="W2512" s="93" t="s">
        <v>402</v>
      </c>
      <c r="X2512" s="93" t="s">
        <v>24</v>
      </c>
    </row>
    <row r="2513" spans="1:24" x14ac:dyDescent="0.15">
      <c r="A2513" s="93" t="s">
        <v>7938</v>
      </c>
      <c r="B2513" s="93" t="s">
        <v>7939</v>
      </c>
      <c r="C2513" s="410">
        <v>29</v>
      </c>
      <c r="D2513" s="93" t="s">
        <v>24</v>
      </c>
      <c r="E2513" s="93" t="s">
        <v>24</v>
      </c>
      <c r="F2513" s="93" t="s">
        <v>7070</v>
      </c>
      <c r="G2513" s="93" t="s">
        <v>7108</v>
      </c>
      <c r="H2513" s="93" t="s">
        <v>118</v>
      </c>
      <c r="I2513" s="93" t="s">
        <v>111</v>
      </c>
      <c r="J2513" s="93" t="s">
        <v>118</v>
      </c>
      <c r="K2513" s="93">
        <v>3</v>
      </c>
      <c r="L2513" s="93" t="s">
        <v>111</v>
      </c>
      <c r="M2513" s="93" t="s">
        <v>111</v>
      </c>
      <c r="N2513" s="93" t="s">
        <v>111</v>
      </c>
      <c r="O2513" s="93" t="s">
        <v>111</v>
      </c>
      <c r="P2513" s="93" t="s">
        <v>111</v>
      </c>
      <c r="Q2513" s="93" t="s">
        <v>111</v>
      </c>
      <c r="R2513" s="93" t="s">
        <v>228</v>
      </c>
      <c r="S2513" s="93" t="s">
        <v>2</v>
      </c>
      <c r="T2513" s="93" t="s">
        <v>115</v>
      </c>
      <c r="U2513" s="93" t="s">
        <v>116</v>
      </c>
      <c r="V2513" s="94">
        <v>44602.989583333336</v>
      </c>
      <c r="W2513" s="93" t="s">
        <v>402</v>
      </c>
      <c r="X2513" s="93" t="s">
        <v>24</v>
      </c>
    </row>
    <row r="2514" spans="1:24" x14ac:dyDescent="0.15">
      <c r="A2514" s="93" t="s">
        <v>7023</v>
      </c>
      <c r="B2514" s="93" t="s">
        <v>7025</v>
      </c>
      <c r="C2514" s="410">
        <v>45</v>
      </c>
      <c r="D2514" s="93" t="s">
        <v>24</v>
      </c>
      <c r="E2514" s="93" t="s">
        <v>24</v>
      </c>
      <c r="F2514" s="93" t="s">
        <v>7070</v>
      </c>
      <c r="G2514" s="93" t="s">
        <v>7108</v>
      </c>
      <c r="H2514" s="93" t="s">
        <v>400</v>
      </c>
      <c r="I2514" s="93" t="s">
        <v>111</v>
      </c>
      <c r="J2514" s="93" t="s">
        <v>7105</v>
      </c>
      <c r="K2514" s="93" t="s">
        <v>111</v>
      </c>
      <c r="L2514" s="93" t="s">
        <v>111</v>
      </c>
      <c r="M2514" s="93" t="s">
        <v>111</v>
      </c>
      <c r="N2514" s="93" t="s">
        <v>111</v>
      </c>
      <c r="O2514" s="93" t="s">
        <v>111</v>
      </c>
      <c r="P2514" s="93" t="s">
        <v>111</v>
      </c>
      <c r="Q2514" s="93" t="s">
        <v>111</v>
      </c>
      <c r="R2514" s="93" t="s">
        <v>228</v>
      </c>
      <c r="S2514" s="93" t="s">
        <v>111</v>
      </c>
      <c r="T2514" s="93" t="s">
        <v>115</v>
      </c>
      <c r="U2514" s="93" t="s">
        <v>116</v>
      </c>
      <c r="V2514" s="94">
        <v>44610.196527777778</v>
      </c>
      <c r="W2514" s="93" t="s">
        <v>1216</v>
      </c>
      <c r="X2514" s="93" t="s">
        <v>24</v>
      </c>
    </row>
    <row r="2515" spans="1:24" x14ac:dyDescent="0.15">
      <c r="A2515" s="93" t="s">
        <v>7033</v>
      </c>
      <c r="B2515" s="93" t="s">
        <v>7034</v>
      </c>
      <c r="C2515" s="410">
        <v>66</v>
      </c>
      <c r="D2515" s="93" t="s">
        <v>24</v>
      </c>
      <c r="E2515" s="93" t="s">
        <v>24</v>
      </c>
      <c r="F2515" s="93" t="s">
        <v>7070</v>
      </c>
      <c r="G2515" s="93" t="s">
        <v>7108</v>
      </c>
      <c r="H2515" s="93" t="s">
        <v>400</v>
      </c>
      <c r="I2515" s="93" t="s">
        <v>111</v>
      </c>
      <c r="J2515" s="93" t="s">
        <v>7105</v>
      </c>
      <c r="K2515" s="93" t="s">
        <v>111</v>
      </c>
      <c r="L2515" s="93" t="s">
        <v>111</v>
      </c>
      <c r="M2515" s="93" t="s">
        <v>111</v>
      </c>
      <c r="N2515" s="93" t="s">
        <v>111</v>
      </c>
      <c r="O2515" s="93" t="s">
        <v>111</v>
      </c>
      <c r="P2515" s="93" t="s">
        <v>111</v>
      </c>
      <c r="Q2515" s="93" t="s">
        <v>111</v>
      </c>
      <c r="R2515" s="93" t="s">
        <v>228</v>
      </c>
      <c r="S2515" s="93" t="s">
        <v>111</v>
      </c>
      <c r="T2515" s="93" t="s">
        <v>115</v>
      </c>
      <c r="U2515" s="93" t="s">
        <v>116</v>
      </c>
      <c r="V2515" s="94">
        <v>44610.140972222223</v>
      </c>
      <c r="W2515" s="93" t="s">
        <v>402</v>
      </c>
      <c r="X2515" s="93" t="s">
        <v>24</v>
      </c>
    </row>
    <row r="2516" spans="1:24" x14ac:dyDescent="0.15">
      <c r="A2516" s="93" t="s">
        <v>7944</v>
      </c>
      <c r="B2516" s="93" t="s">
        <v>7945</v>
      </c>
      <c r="C2516" s="410">
        <v>27</v>
      </c>
      <c r="D2516" s="93" t="s">
        <v>24</v>
      </c>
      <c r="E2516" s="93" t="s">
        <v>24</v>
      </c>
      <c r="F2516" s="93" t="s">
        <v>7070</v>
      </c>
      <c r="G2516" s="93" t="s">
        <v>7108</v>
      </c>
      <c r="H2516" s="93" t="s">
        <v>118</v>
      </c>
      <c r="I2516" s="93" t="s">
        <v>111</v>
      </c>
      <c r="J2516" s="93" t="s">
        <v>118</v>
      </c>
      <c r="K2516" s="93">
        <v>3</v>
      </c>
      <c r="L2516" s="93" t="s">
        <v>111</v>
      </c>
      <c r="M2516" s="93" t="s">
        <v>111</v>
      </c>
      <c r="N2516" s="93" t="s">
        <v>111</v>
      </c>
      <c r="O2516" s="93" t="s">
        <v>111</v>
      </c>
      <c r="P2516" s="93" t="s">
        <v>111</v>
      </c>
      <c r="Q2516" s="93" t="s">
        <v>111</v>
      </c>
      <c r="R2516" s="93" t="s">
        <v>228</v>
      </c>
      <c r="S2516" s="93" t="s">
        <v>2</v>
      </c>
      <c r="T2516" s="93" t="s">
        <v>115</v>
      </c>
      <c r="U2516" s="93" t="s">
        <v>116</v>
      </c>
      <c r="V2516" s="94">
        <v>44597.637499999997</v>
      </c>
      <c r="W2516" s="93" t="s">
        <v>402</v>
      </c>
      <c r="X2516" s="93" t="s">
        <v>24</v>
      </c>
    </row>
    <row r="2517" spans="1:24" x14ac:dyDescent="0.15">
      <c r="A2517" s="93" t="s">
        <v>7946</v>
      </c>
      <c r="B2517" s="93" t="s">
        <v>7947</v>
      </c>
      <c r="C2517" s="410">
        <v>39</v>
      </c>
      <c r="D2517" s="93" t="s">
        <v>24</v>
      </c>
      <c r="E2517" s="93" t="s">
        <v>24</v>
      </c>
      <c r="F2517" s="93" t="s">
        <v>7070</v>
      </c>
      <c r="G2517" s="93" t="s">
        <v>7108</v>
      </c>
      <c r="H2517" s="93" t="s">
        <v>118</v>
      </c>
      <c r="I2517" s="93" t="s">
        <v>111</v>
      </c>
      <c r="J2517" s="93" t="s">
        <v>118</v>
      </c>
      <c r="K2517" s="93">
        <v>3</v>
      </c>
      <c r="L2517" s="93" t="s">
        <v>111</v>
      </c>
      <c r="M2517" s="93" t="s">
        <v>111</v>
      </c>
      <c r="N2517" s="93" t="s">
        <v>111</v>
      </c>
      <c r="O2517" s="93" t="s">
        <v>111</v>
      </c>
      <c r="P2517" s="93" t="s">
        <v>111</v>
      </c>
      <c r="Q2517" s="93" t="s">
        <v>111</v>
      </c>
      <c r="R2517" s="93" t="s">
        <v>228</v>
      </c>
      <c r="S2517" s="93" t="s">
        <v>2</v>
      </c>
      <c r="T2517" s="93" t="s">
        <v>115</v>
      </c>
      <c r="U2517" s="93" t="s">
        <v>116</v>
      </c>
      <c r="V2517" s="94">
        <v>44602.491666666669</v>
      </c>
      <c r="W2517" s="93" t="s">
        <v>402</v>
      </c>
      <c r="X2517" s="93" t="s">
        <v>24</v>
      </c>
    </row>
    <row r="2518" spans="1:24" x14ac:dyDescent="0.15">
      <c r="A2518" s="93" t="s">
        <v>7043</v>
      </c>
      <c r="B2518" s="93" t="s">
        <v>7044</v>
      </c>
      <c r="C2518" s="410">
        <v>69</v>
      </c>
      <c r="D2518" s="93" t="s">
        <v>24</v>
      </c>
      <c r="E2518" s="93" t="s">
        <v>24</v>
      </c>
      <c r="F2518" s="93" t="s">
        <v>7070</v>
      </c>
      <c r="G2518" s="93" t="s">
        <v>7108</v>
      </c>
      <c r="H2518" s="93" t="s">
        <v>400</v>
      </c>
      <c r="I2518" s="93" t="s">
        <v>111</v>
      </c>
      <c r="J2518" s="93" t="s">
        <v>7105</v>
      </c>
      <c r="K2518" s="93" t="s">
        <v>111</v>
      </c>
      <c r="L2518" s="93" t="s">
        <v>111</v>
      </c>
      <c r="M2518" s="93" t="s">
        <v>111</v>
      </c>
      <c r="N2518" s="93" t="s">
        <v>111</v>
      </c>
      <c r="O2518" s="93" t="s">
        <v>111</v>
      </c>
      <c r="P2518" s="93" t="s">
        <v>111</v>
      </c>
      <c r="Q2518" s="93" t="s">
        <v>111</v>
      </c>
      <c r="R2518" s="93" t="s">
        <v>228</v>
      </c>
      <c r="S2518" s="93" t="s">
        <v>111</v>
      </c>
      <c r="T2518" s="93" t="s">
        <v>115</v>
      </c>
      <c r="U2518" s="93" t="s">
        <v>116</v>
      </c>
      <c r="V2518" s="94">
        <v>44610.147222222222</v>
      </c>
      <c r="W2518" s="93" t="s">
        <v>402</v>
      </c>
      <c r="X2518" s="93" t="s">
        <v>24</v>
      </c>
    </row>
    <row r="2519" spans="1:24" x14ac:dyDescent="0.15">
      <c r="A2519" s="93" t="s">
        <v>7948</v>
      </c>
      <c r="B2519" s="93" t="s">
        <v>7949</v>
      </c>
      <c r="C2519" s="410">
        <v>45</v>
      </c>
      <c r="D2519" s="93" t="s">
        <v>24</v>
      </c>
      <c r="E2519" s="93" t="s">
        <v>24</v>
      </c>
      <c r="F2519" s="93" t="s">
        <v>7070</v>
      </c>
      <c r="G2519" s="93" t="s">
        <v>7108</v>
      </c>
      <c r="H2519" s="93" t="s">
        <v>118</v>
      </c>
      <c r="I2519" s="93" t="s">
        <v>111</v>
      </c>
      <c r="J2519" s="93" t="s">
        <v>118</v>
      </c>
      <c r="K2519" s="93">
        <v>3</v>
      </c>
      <c r="L2519" s="93" t="s">
        <v>111</v>
      </c>
      <c r="M2519" s="93" t="s">
        <v>111</v>
      </c>
      <c r="N2519" s="93" t="s">
        <v>111</v>
      </c>
      <c r="O2519" s="93" t="s">
        <v>111</v>
      </c>
      <c r="P2519" s="93" t="s">
        <v>111</v>
      </c>
      <c r="Q2519" s="93" t="s">
        <v>111</v>
      </c>
      <c r="R2519" s="93" t="s">
        <v>228</v>
      </c>
      <c r="S2519" s="93" t="s">
        <v>2</v>
      </c>
      <c r="T2519" s="93" t="s">
        <v>115</v>
      </c>
      <c r="U2519" s="93" t="s">
        <v>116</v>
      </c>
      <c r="V2519" s="94">
        <v>44597.637499999997</v>
      </c>
      <c r="W2519" s="93" t="s">
        <v>402</v>
      </c>
      <c r="X2519" s="93" t="s">
        <v>24</v>
      </c>
    </row>
    <row r="2520" spans="1:24" x14ac:dyDescent="0.15">
      <c r="A2520" s="93" t="s">
        <v>7950</v>
      </c>
      <c r="B2520" s="93" t="s">
        <v>7951</v>
      </c>
      <c r="C2520" s="410">
        <v>63</v>
      </c>
      <c r="D2520" s="93" t="s">
        <v>24</v>
      </c>
      <c r="E2520" s="93" t="s">
        <v>24</v>
      </c>
      <c r="F2520" s="93" t="s">
        <v>7070</v>
      </c>
      <c r="G2520" s="93" t="s">
        <v>7108</v>
      </c>
      <c r="H2520" s="93" t="s">
        <v>118</v>
      </c>
      <c r="I2520" s="93" t="s">
        <v>111</v>
      </c>
      <c r="J2520" s="93" t="s">
        <v>118</v>
      </c>
      <c r="K2520" s="93">
        <v>3</v>
      </c>
      <c r="L2520" s="93" t="s">
        <v>111</v>
      </c>
      <c r="M2520" s="93" t="s">
        <v>111</v>
      </c>
      <c r="N2520" s="93" t="s">
        <v>111</v>
      </c>
      <c r="O2520" s="93" t="s">
        <v>111</v>
      </c>
      <c r="P2520" s="93" t="s">
        <v>111</v>
      </c>
      <c r="Q2520" s="93" t="s">
        <v>111</v>
      </c>
      <c r="R2520" s="93" t="s">
        <v>228</v>
      </c>
      <c r="S2520" s="93" t="s">
        <v>2</v>
      </c>
      <c r="T2520" s="93" t="s">
        <v>115</v>
      </c>
      <c r="U2520" s="93" t="s">
        <v>116</v>
      </c>
      <c r="V2520" s="94">
        <v>44597.637499999997</v>
      </c>
      <c r="W2520" s="93" t="s">
        <v>120</v>
      </c>
      <c r="X2520" s="93" t="s">
        <v>24</v>
      </c>
    </row>
    <row r="2521" spans="1:24" x14ac:dyDescent="0.15">
      <c r="A2521" s="93" t="s">
        <v>7952</v>
      </c>
      <c r="B2521" s="93" t="s">
        <v>7953</v>
      </c>
      <c r="C2521" s="410">
        <v>54</v>
      </c>
      <c r="D2521" s="93" t="s">
        <v>24</v>
      </c>
      <c r="E2521" s="93" t="s">
        <v>24</v>
      </c>
      <c r="F2521" s="93" t="s">
        <v>7070</v>
      </c>
      <c r="G2521" s="93" t="s">
        <v>7108</v>
      </c>
      <c r="H2521" s="93" t="s">
        <v>118</v>
      </c>
      <c r="I2521" s="93" t="s">
        <v>111</v>
      </c>
      <c r="J2521" s="93" t="s">
        <v>118</v>
      </c>
      <c r="K2521" s="93">
        <v>3</v>
      </c>
      <c r="L2521" s="93" t="s">
        <v>111</v>
      </c>
      <c r="M2521" s="93" t="s">
        <v>111</v>
      </c>
      <c r="N2521" s="93" t="s">
        <v>111</v>
      </c>
      <c r="O2521" s="93" t="s">
        <v>111</v>
      </c>
      <c r="P2521" s="93" t="s">
        <v>111</v>
      </c>
      <c r="Q2521" s="93" t="s">
        <v>111</v>
      </c>
      <c r="R2521" s="93" t="s">
        <v>228</v>
      </c>
      <c r="S2521" s="93" t="s">
        <v>2</v>
      </c>
      <c r="T2521" s="93" t="s">
        <v>115</v>
      </c>
      <c r="U2521" s="93" t="s">
        <v>116</v>
      </c>
      <c r="V2521" s="94">
        <v>44597.637499999997</v>
      </c>
      <c r="W2521" s="93" t="s">
        <v>402</v>
      </c>
      <c r="X2521" s="93" t="s">
        <v>24</v>
      </c>
    </row>
    <row r="2522" spans="1:24" x14ac:dyDescent="0.15">
      <c r="A2522" s="93" t="s">
        <v>7954</v>
      </c>
      <c r="B2522" s="93" t="s">
        <v>7955</v>
      </c>
      <c r="C2522" s="410">
        <v>285</v>
      </c>
      <c r="D2522" s="93" t="s">
        <v>24</v>
      </c>
      <c r="E2522" s="93" t="s">
        <v>24</v>
      </c>
      <c r="F2522" s="93" t="s">
        <v>5978</v>
      </c>
      <c r="G2522" s="93" t="s">
        <v>7108</v>
      </c>
      <c r="H2522" s="93" t="s">
        <v>118</v>
      </c>
      <c r="I2522" s="93" t="s">
        <v>111</v>
      </c>
      <c r="J2522" s="93" t="s">
        <v>118</v>
      </c>
      <c r="K2522" s="93">
        <v>3</v>
      </c>
      <c r="L2522" s="93" t="s">
        <v>111</v>
      </c>
      <c r="M2522" s="93" t="s">
        <v>111</v>
      </c>
      <c r="N2522" s="93" t="s">
        <v>111</v>
      </c>
      <c r="O2522" s="93" t="s">
        <v>111</v>
      </c>
      <c r="P2522" s="93" t="s">
        <v>111</v>
      </c>
      <c r="Q2522" s="93" t="s">
        <v>111</v>
      </c>
      <c r="R2522" s="93" t="s">
        <v>228</v>
      </c>
      <c r="S2522" s="93" t="s">
        <v>2</v>
      </c>
      <c r="T2522" s="93" t="s">
        <v>115</v>
      </c>
      <c r="U2522" s="93" t="s">
        <v>116</v>
      </c>
      <c r="V2522" s="94">
        <v>44602.491666666669</v>
      </c>
      <c r="W2522" s="93" t="s">
        <v>402</v>
      </c>
      <c r="X2522" s="93" t="s">
        <v>24</v>
      </c>
    </row>
    <row r="2523" spans="1:24" x14ac:dyDescent="0.15">
      <c r="A2523" s="93" t="s">
        <v>7956</v>
      </c>
      <c r="B2523" s="93" t="s">
        <v>7957</v>
      </c>
      <c r="C2523" s="410">
        <v>19</v>
      </c>
      <c r="D2523" s="93" t="s">
        <v>24</v>
      </c>
      <c r="E2523" s="93" t="s">
        <v>24</v>
      </c>
      <c r="F2523" s="93" t="s">
        <v>5978</v>
      </c>
      <c r="G2523" s="93" t="s">
        <v>7108</v>
      </c>
      <c r="H2523" s="93" t="s">
        <v>118</v>
      </c>
      <c r="I2523" s="93" t="s">
        <v>111</v>
      </c>
      <c r="J2523" s="93" t="s">
        <v>118</v>
      </c>
      <c r="K2523" s="93">
        <v>3</v>
      </c>
      <c r="L2523" s="93" t="s">
        <v>111</v>
      </c>
      <c r="M2523" s="93" t="s">
        <v>111</v>
      </c>
      <c r="N2523" s="93" t="s">
        <v>111</v>
      </c>
      <c r="O2523" s="93" t="s">
        <v>111</v>
      </c>
      <c r="P2523" s="93" t="s">
        <v>111</v>
      </c>
      <c r="Q2523" s="93" t="s">
        <v>111</v>
      </c>
      <c r="R2523" s="93" t="s">
        <v>228</v>
      </c>
      <c r="S2523" s="93" t="s">
        <v>2</v>
      </c>
      <c r="T2523" s="93" t="s">
        <v>115</v>
      </c>
      <c r="U2523" s="93" t="s">
        <v>116</v>
      </c>
      <c r="V2523" s="94">
        <v>44602.491666666669</v>
      </c>
      <c r="W2523" s="93" t="s">
        <v>402</v>
      </c>
      <c r="X2523" s="93" t="s">
        <v>24</v>
      </c>
    </row>
    <row r="2524" spans="1:24" x14ac:dyDescent="0.15">
      <c r="A2524" s="93" t="s">
        <v>6293</v>
      </c>
      <c r="B2524" s="93" t="s">
        <v>6294</v>
      </c>
      <c r="C2524" s="410">
        <v>8</v>
      </c>
      <c r="D2524" s="93" t="s">
        <v>24</v>
      </c>
      <c r="E2524" s="93" t="s">
        <v>24</v>
      </c>
      <c r="F2524" s="93" t="s">
        <v>7070</v>
      </c>
      <c r="G2524" s="93" t="s">
        <v>7108</v>
      </c>
      <c r="H2524" s="93" t="s">
        <v>118</v>
      </c>
      <c r="I2524" s="93" t="s">
        <v>111</v>
      </c>
      <c r="J2524" s="93" t="s">
        <v>118</v>
      </c>
      <c r="K2524" s="93">
        <v>3</v>
      </c>
      <c r="L2524" s="93" t="s">
        <v>111</v>
      </c>
      <c r="M2524" s="93" t="s">
        <v>111</v>
      </c>
      <c r="N2524" s="93" t="s">
        <v>111</v>
      </c>
      <c r="O2524" s="93" t="s">
        <v>111</v>
      </c>
      <c r="P2524" s="93" t="s">
        <v>111</v>
      </c>
      <c r="Q2524" s="93" t="s">
        <v>111</v>
      </c>
      <c r="R2524" s="93" t="s">
        <v>228</v>
      </c>
      <c r="S2524" s="93" t="s">
        <v>2</v>
      </c>
      <c r="T2524" s="93" t="s">
        <v>115</v>
      </c>
      <c r="U2524" s="93" t="s">
        <v>116</v>
      </c>
      <c r="V2524" s="94">
        <v>44596.686111111114</v>
      </c>
      <c r="W2524" s="93" t="s">
        <v>1170</v>
      </c>
      <c r="X2524" s="93" t="s">
        <v>24</v>
      </c>
    </row>
    <row r="2525" spans="1:24" x14ac:dyDescent="0.15">
      <c r="A2525" s="93" t="s">
        <v>6302</v>
      </c>
      <c r="B2525" s="93" t="s">
        <v>6303</v>
      </c>
      <c r="C2525" s="410">
        <v>18</v>
      </c>
      <c r="D2525" s="93" t="s">
        <v>24</v>
      </c>
      <c r="E2525" s="93" t="s">
        <v>24</v>
      </c>
      <c r="F2525" s="93" t="s">
        <v>7070</v>
      </c>
      <c r="G2525" s="93" t="s">
        <v>7108</v>
      </c>
      <c r="H2525" s="93" t="s">
        <v>118</v>
      </c>
      <c r="I2525" s="93" t="s">
        <v>111</v>
      </c>
      <c r="J2525" s="93" t="s">
        <v>118</v>
      </c>
      <c r="K2525" s="93">
        <v>3</v>
      </c>
      <c r="L2525" s="93" t="s">
        <v>111</v>
      </c>
      <c r="M2525" s="93" t="s">
        <v>111</v>
      </c>
      <c r="N2525" s="93" t="s">
        <v>111</v>
      </c>
      <c r="O2525" s="93" t="s">
        <v>111</v>
      </c>
      <c r="P2525" s="93" t="s">
        <v>111</v>
      </c>
      <c r="Q2525" s="93" t="s">
        <v>111</v>
      </c>
      <c r="R2525" s="93" t="s">
        <v>228</v>
      </c>
      <c r="S2525" s="93" t="s">
        <v>2</v>
      </c>
      <c r="T2525" s="93" t="s">
        <v>115</v>
      </c>
      <c r="U2525" s="93" t="s">
        <v>116</v>
      </c>
      <c r="V2525" s="94">
        <v>44596.686111111114</v>
      </c>
      <c r="W2525" s="93" t="s">
        <v>1170</v>
      </c>
      <c r="X2525" s="93" t="s">
        <v>24</v>
      </c>
    </row>
    <row r="2526" spans="1:24" x14ac:dyDescent="0.15">
      <c r="A2526" s="93" t="s">
        <v>6311</v>
      </c>
      <c r="B2526" s="93" t="s">
        <v>6312</v>
      </c>
      <c r="C2526" s="410">
        <v>38</v>
      </c>
      <c r="D2526" s="93" t="s">
        <v>24</v>
      </c>
      <c r="E2526" s="93" t="s">
        <v>24</v>
      </c>
      <c r="F2526" s="93" t="s">
        <v>7070</v>
      </c>
      <c r="G2526" s="93" t="s">
        <v>7108</v>
      </c>
      <c r="H2526" s="93" t="s">
        <v>118</v>
      </c>
      <c r="I2526" s="93" t="s">
        <v>111</v>
      </c>
      <c r="J2526" s="93" t="s">
        <v>118</v>
      </c>
      <c r="K2526" s="93">
        <v>3</v>
      </c>
      <c r="L2526" s="93" t="s">
        <v>111</v>
      </c>
      <c r="M2526" s="93" t="s">
        <v>111</v>
      </c>
      <c r="N2526" s="93" t="s">
        <v>111</v>
      </c>
      <c r="O2526" s="93" t="s">
        <v>111</v>
      </c>
      <c r="P2526" s="93" t="s">
        <v>111</v>
      </c>
      <c r="Q2526" s="93" t="s">
        <v>111</v>
      </c>
      <c r="R2526" s="93" t="s">
        <v>228</v>
      </c>
      <c r="S2526" s="93" t="s">
        <v>2</v>
      </c>
      <c r="T2526" s="93" t="s">
        <v>115</v>
      </c>
      <c r="U2526" s="93" t="s">
        <v>116</v>
      </c>
      <c r="V2526" s="94">
        <v>44596.694444444445</v>
      </c>
      <c r="W2526" s="93" t="s">
        <v>1170</v>
      </c>
      <c r="X2526" s="93" t="s">
        <v>24</v>
      </c>
    </row>
    <row r="2527" spans="1:24" x14ac:dyDescent="0.15">
      <c r="A2527" s="93" t="s">
        <v>6279</v>
      </c>
      <c r="B2527" s="93" t="s">
        <v>9299</v>
      </c>
      <c r="C2527" s="410">
        <v>12</v>
      </c>
      <c r="D2527" s="93" t="s">
        <v>24</v>
      </c>
      <c r="E2527" s="93" t="s">
        <v>24</v>
      </c>
      <c r="F2527" s="93" t="s">
        <v>7070</v>
      </c>
      <c r="G2527" s="93" t="s">
        <v>7108</v>
      </c>
      <c r="H2527" s="93" t="s">
        <v>118</v>
      </c>
      <c r="I2527" s="93" t="s">
        <v>111</v>
      </c>
      <c r="J2527" s="93" t="s">
        <v>118</v>
      </c>
      <c r="K2527" s="93">
        <v>3</v>
      </c>
      <c r="L2527" s="93" t="s">
        <v>111</v>
      </c>
      <c r="M2527" s="93" t="s">
        <v>111</v>
      </c>
      <c r="N2527" s="93" t="s">
        <v>111</v>
      </c>
      <c r="O2527" s="93" t="s">
        <v>111</v>
      </c>
      <c r="P2527" s="93" t="s">
        <v>111</v>
      </c>
      <c r="Q2527" s="93" t="s">
        <v>111</v>
      </c>
      <c r="R2527" s="93" t="s">
        <v>228</v>
      </c>
      <c r="S2527" s="93" t="s">
        <v>2</v>
      </c>
      <c r="T2527" s="93" t="s">
        <v>115</v>
      </c>
      <c r="U2527" s="93" t="s">
        <v>116</v>
      </c>
      <c r="V2527" s="94">
        <v>44596.650694444441</v>
      </c>
      <c r="W2527" s="93" t="s">
        <v>1170</v>
      </c>
      <c r="X2527" s="93" t="s">
        <v>24</v>
      </c>
    </row>
    <row r="2528" spans="1:24" x14ac:dyDescent="0.15">
      <c r="A2528" s="93" t="s">
        <v>6281</v>
      </c>
      <c r="B2528" s="93" t="s">
        <v>7958</v>
      </c>
      <c r="C2528" s="410">
        <v>12</v>
      </c>
      <c r="D2528" s="93" t="s">
        <v>24</v>
      </c>
      <c r="E2528" s="93" t="s">
        <v>24</v>
      </c>
      <c r="F2528" s="93" t="s">
        <v>7070</v>
      </c>
      <c r="G2528" s="93" t="s">
        <v>7108</v>
      </c>
      <c r="H2528" s="93" t="s">
        <v>118</v>
      </c>
      <c r="I2528" s="93" t="s">
        <v>111</v>
      </c>
      <c r="J2528" s="93" t="s">
        <v>118</v>
      </c>
      <c r="K2528" s="93">
        <v>3</v>
      </c>
      <c r="L2528" s="93" t="s">
        <v>111</v>
      </c>
      <c r="M2528" s="93" t="s">
        <v>111</v>
      </c>
      <c r="N2528" s="93" t="s">
        <v>111</v>
      </c>
      <c r="O2528" s="93" t="s">
        <v>111</v>
      </c>
      <c r="P2528" s="93" t="s">
        <v>111</v>
      </c>
      <c r="Q2528" s="93" t="s">
        <v>111</v>
      </c>
      <c r="R2528" s="93" t="s">
        <v>228</v>
      </c>
      <c r="S2528" s="93" t="s">
        <v>2</v>
      </c>
      <c r="T2528" s="93" t="s">
        <v>115</v>
      </c>
      <c r="U2528" s="93" t="s">
        <v>116</v>
      </c>
      <c r="V2528" s="94">
        <v>44596.697916666664</v>
      </c>
      <c r="W2528" s="93" t="s">
        <v>402</v>
      </c>
      <c r="X2528" s="93" t="s">
        <v>24</v>
      </c>
    </row>
    <row r="2529" spans="1:24" x14ac:dyDescent="0.15">
      <c r="A2529" s="93" t="s">
        <v>3872</v>
      </c>
      <c r="B2529" s="93" t="s">
        <v>3873</v>
      </c>
      <c r="C2529" s="410">
        <v>105</v>
      </c>
      <c r="D2529" s="93" t="s">
        <v>24</v>
      </c>
      <c r="E2529" s="93" t="s">
        <v>24</v>
      </c>
      <c r="F2529" s="93" t="s">
        <v>7070</v>
      </c>
      <c r="G2529" s="93" t="s">
        <v>7108</v>
      </c>
      <c r="H2529" s="93" t="s">
        <v>118</v>
      </c>
      <c r="I2529" s="93" t="s">
        <v>111</v>
      </c>
      <c r="J2529" s="93" t="s">
        <v>7105</v>
      </c>
      <c r="K2529" s="93" t="s">
        <v>111</v>
      </c>
      <c r="L2529" s="93" t="s">
        <v>111</v>
      </c>
      <c r="M2529" s="93" t="s">
        <v>111</v>
      </c>
      <c r="N2529" s="93" t="s">
        <v>111</v>
      </c>
      <c r="O2529" s="93" t="s">
        <v>111</v>
      </c>
      <c r="P2529" s="93" t="s">
        <v>111</v>
      </c>
      <c r="Q2529" s="93" t="s">
        <v>111</v>
      </c>
      <c r="R2529" s="93" t="s">
        <v>111</v>
      </c>
      <c r="S2529" s="93" t="s">
        <v>111</v>
      </c>
      <c r="T2529" s="93" t="s">
        <v>115</v>
      </c>
      <c r="U2529" s="93" t="s">
        <v>116</v>
      </c>
      <c r="V2529" s="94">
        <v>44610.152777777781</v>
      </c>
      <c r="W2529" s="93" t="s">
        <v>1170</v>
      </c>
      <c r="X2529" s="93" t="s">
        <v>24</v>
      </c>
    </row>
    <row r="2530" spans="1:24" x14ac:dyDescent="0.15">
      <c r="A2530" s="93" t="s">
        <v>3874</v>
      </c>
      <c r="B2530" s="93" t="s">
        <v>3875</v>
      </c>
      <c r="C2530" s="410">
        <v>240</v>
      </c>
      <c r="D2530" s="93" t="s">
        <v>24</v>
      </c>
      <c r="E2530" s="93" t="s">
        <v>24</v>
      </c>
      <c r="F2530" s="93" t="s">
        <v>7070</v>
      </c>
      <c r="G2530" s="93" t="s">
        <v>7108</v>
      </c>
      <c r="H2530" s="93" t="s">
        <v>118</v>
      </c>
      <c r="I2530" s="93" t="s">
        <v>111</v>
      </c>
      <c r="J2530" s="93" t="s">
        <v>7105</v>
      </c>
      <c r="K2530" s="93" t="s">
        <v>111</v>
      </c>
      <c r="L2530" s="93" t="s">
        <v>111</v>
      </c>
      <c r="M2530" s="93" t="s">
        <v>111</v>
      </c>
      <c r="N2530" s="93" t="s">
        <v>111</v>
      </c>
      <c r="O2530" s="93" t="s">
        <v>111</v>
      </c>
      <c r="P2530" s="93" t="s">
        <v>111</v>
      </c>
      <c r="Q2530" s="93" t="s">
        <v>111</v>
      </c>
      <c r="R2530" s="93" t="s">
        <v>111</v>
      </c>
      <c r="S2530" s="93" t="s">
        <v>111</v>
      </c>
      <c r="T2530" s="93" t="s">
        <v>115</v>
      </c>
      <c r="U2530" s="93" t="s">
        <v>116</v>
      </c>
      <c r="V2530" s="94">
        <v>44610.193055555559</v>
      </c>
      <c r="W2530" s="93" t="s">
        <v>1170</v>
      </c>
      <c r="X2530" s="93" t="s">
        <v>24</v>
      </c>
    </row>
    <row r="2531" spans="1:24" x14ac:dyDescent="0.15">
      <c r="A2531" s="93" t="s">
        <v>3876</v>
      </c>
      <c r="B2531" s="93" t="s">
        <v>3877</v>
      </c>
      <c r="C2531" s="410">
        <v>45</v>
      </c>
      <c r="D2531" s="93" t="s">
        <v>9</v>
      </c>
      <c r="E2531" s="93" t="s">
        <v>24</v>
      </c>
      <c r="F2531" s="93" t="s">
        <v>7070</v>
      </c>
      <c r="G2531" s="93" t="s">
        <v>7108</v>
      </c>
      <c r="H2531" s="93" t="s">
        <v>118</v>
      </c>
      <c r="I2531" s="93" t="s">
        <v>111</v>
      </c>
      <c r="J2531" s="93" t="s">
        <v>7105</v>
      </c>
      <c r="K2531" s="93" t="s">
        <v>111</v>
      </c>
      <c r="L2531" s="93" t="s">
        <v>111</v>
      </c>
      <c r="M2531" s="93" t="s">
        <v>111</v>
      </c>
      <c r="N2531" s="93" t="s">
        <v>111</v>
      </c>
      <c r="O2531" s="93" t="s">
        <v>111</v>
      </c>
      <c r="P2531" s="93" t="s">
        <v>111</v>
      </c>
      <c r="Q2531" s="93" t="s">
        <v>111</v>
      </c>
      <c r="R2531" s="93" t="s">
        <v>111</v>
      </c>
      <c r="S2531" s="93" t="s">
        <v>111</v>
      </c>
      <c r="T2531" s="93" t="s">
        <v>115</v>
      </c>
      <c r="U2531" s="93" t="s">
        <v>116</v>
      </c>
      <c r="V2531" s="94">
        <v>44596.660416666666</v>
      </c>
      <c r="W2531" s="93" t="s">
        <v>1170</v>
      </c>
      <c r="X2531" s="93" t="s">
        <v>24</v>
      </c>
    </row>
    <row r="2532" spans="1:24" x14ac:dyDescent="0.15">
      <c r="A2532" s="93" t="s">
        <v>3878</v>
      </c>
      <c r="B2532" s="93" t="s">
        <v>3879</v>
      </c>
      <c r="C2532" s="410">
        <v>63</v>
      </c>
      <c r="D2532" s="93" t="s">
        <v>9</v>
      </c>
      <c r="E2532" s="93" t="s">
        <v>24</v>
      </c>
      <c r="F2532" s="93" t="s">
        <v>7070</v>
      </c>
      <c r="G2532" s="93" t="s">
        <v>7108</v>
      </c>
      <c r="H2532" s="93" t="s">
        <v>118</v>
      </c>
      <c r="I2532" s="93" t="s">
        <v>111</v>
      </c>
      <c r="J2532" s="93" t="s">
        <v>7105</v>
      </c>
      <c r="K2532" s="93" t="s">
        <v>111</v>
      </c>
      <c r="L2532" s="93" t="s">
        <v>111</v>
      </c>
      <c r="M2532" s="93" t="s">
        <v>111</v>
      </c>
      <c r="N2532" s="93" t="s">
        <v>111</v>
      </c>
      <c r="O2532" s="93" t="s">
        <v>111</v>
      </c>
      <c r="P2532" s="93" t="s">
        <v>111</v>
      </c>
      <c r="Q2532" s="93" t="s">
        <v>111</v>
      </c>
      <c r="R2532" s="93" t="s">
        <v>111</v>
      </c>
      <c r="S2532" s="93" t="s">
        <v>111</v>
      </c>
      <c r="T2532" s="93" t="s">
        <v>115</v>
      </c>
      <c r="U2532" s="93" t="s">
        <v>116</v>
      </c>
      <c r="V2532" s="94">
        <v>44596.695138888892</v>
      </c>
      <c r="W2532" s="93" t="s">
        <v>1170</v>
      </c>
      <c r="X2532" s="93" t="s">
        <v>24</v>
      </c>
    </row>
    <row r="2533" spans="1:24" x14ac:dyDescent="0.15">
      <c r="A2533" s="93" t="s">
        <v>5942</v>
      </c>
      <c r="B2533" s="93" t="s">
        <v>6678</v>
      </c>
      <c r="C2533" s="410">
        <v>15</v>
      </c>
      <c r="D2533" s="93" t="s">
        <v>9</v>
      </c>
      <c r="E2533" s="93" t="s">
        <v>24</v>
      </c>
      <c r="F2533" s="93" t="s">
        <v>7070</v>
      </c>
      <c r="G2533" s="93" t="s">
        <v>7108</v>
      </c>
      <c r="H2533" s="93" t="s">
        <v>118</v>
      </c>
      <c r="I2533" s="93" t="s">
        <v>111</v>
      </c>
      <c r="J2533" s="93" t="s">
        <v>7105</v>
      </c>
      <c r="K2533" s="93" t="s">
        <v>111</v>
      </c>
      <c r="L2533" s="93" t="s">
        <v>111</v>
      </c>
      <c r="M2533" s="93" t="s">
        <v>111</v>
      </c>
      <c r="N2533" s="93" t="s">
        <v>111</v>
      </c>
      <c r="O2533" s="93" t="s">
        <v>111</v>
      </c>
      <c r="P2533" s="93" t="s">
        <v>111</v>
      </c>
      <c r="Q2533" s="93" t="s">
        <v>111</v>
      </c>
      <c r="R2533" s="93" t="s">
        <v>111</v>
      </c>
      <c r="S2533" s="93" t="s">
        <v>111</v>
      </c>
      <c r="T2533" s="93" t="s">
        <v>115</v>
      </c>
      <c r="U2533" s="93" t="s">
        <v>116</v>
      </c>
      <c r="V2533" s="94">
        <v>44596.688194444447</v>
      </c>
      <c r="W2533" s="93" t="s">
        <v>7959</v>
      </c>
      <c r="X2533" s="93" t="s">
        <v>24</v>
      </c>
    </row>
    <row r="2534" spans="1:24" x14ac:dyDescent="0.15">
      <c r="A2534" s="93" t="s">
        <v>5944</v>
      </c>
      <c r="B2534" s="93" t="s">
        <v>5945</v>
      </c>
      <c r="C2534" s="410">
        <v>19.5</v>
      </c>
      <c r="D2534" s="93" t="s">
        <v>24</v>
      </c>
      <c r="E2534" s="93" t="s">
        <v>24</v>
      </c>
      <c r="F2534" s="93" t="s">
        <v>7070</v>
      </c>
      <c r="G2534" s="93" t="s">
        <v>7108</v>
      </c>
      <c r="H2534" s="93" t="s">
        <v>118</v>
      </c>
      <c r="I2534" s="93" t="s">
        <v>111</v>
      </c>
      <c r="J2534" s="93" t="s">
        <v>7105</v>
      </c>
      <c r="K2534" s="93" t="s">
        <v>111</v>
      </c>
      <c r="L2534" s="93" t="s">
        <v>111</v>
      </c>
      <c r="M2534" s="93" t="s">
        <v>111</v>
      </c>
      <c r="N2534" s="93" t="s">
        <v>111</v>
      </c>
      <c r="O2534" s="93" t="s">
        <v>111</v>
      </c>
      <c r="P2534" s="93" t="s">
        <v>111</v>
      </c>
      <c r="Q2534" s="93" t="s">
        <v>111</v>
      </c>
      <c r="R2534" s="93" t="s">
        <v>111</v>
      </c>
      <c r="S2534" s="93" t="s">
        <v>111</v>
      </c>
      <c r="T2534" s="93" t="s">
        <v>115</v>
      </c>
      <c r="U2534" s="93" t="s">
        <v>116</v>
      </c>
      <c r="V2534" s="94">
        <v>44596.695833333331</v>
      </c>
      <c r="W2534" s="93" t="s">
        <v>7959</v>
      </c>
      <c r="X2534" s="93" t="s">
        <v>24</v>
      </c>
    </row>
    <row r="2535" spans="1:24" x14ac:dyDescent="0.15">
      <c r="A2535" s="93" t="s">
        <v>3880</v>
      </c>
      <c r="B2535" s="93" t="s">
        <v>3881</v>
      </c>
      <c r="C2535" s="410">
        <v>92</v>
      </c>
      <c r="D2535" s="93" t="s">
        <v>24</v>
      </c>
      <c r="E2535" s="93" t="s">
        <v>24</v>
      </c>
      <c r="F2535" s="93" t="s">
        <v>7070</v>
      </c>
      <c r="G2535" s="93" t="s">
        <v>7108</v>
      </c>
      <c r="H2535" s="93" t="s">
        <v>118</v>
      </c>
      <c r="I2535" s="93" t="s">
        <v>111</v>
      </c>
      <c r="J2535" s="93" t="s">
        <v>7105</v>
      </c>
      <c r="K2535" s="93" t="s">
        <v>111</v>
      </c>
      <c r="L2535" s="93" t="s">
        <v>111</v>
      </c>
      <c r="M2535" s="93" t="s">
        <v>111</v>
      </c>
      <c r="N2535" s="93" t="s">
        <v>111</v>
      </c>
      <c r="O2535" s="93" t="s">
        <v>111</v>
      </c>
      <c r="P2535" s="93" t="s">
        <v>111</v>
      </c>
      <c r="Q2535" s="93" t="s">
        <v>111</v>
      </c>
      <c r="R2535" s="93" t="s">
        <v>111</v>
      </c>
      <c r="S2535" s="93" t="s">
        <v>111</v>
      </c>
      <c r="T2535" s="93" t="s">
        <v>115</v>
      </c>
      <c r="U2535" s="93" t="s">
        <v>116</v>
      </c>
      <c r="V2535" s="94">
        <v>44596.665277777778</v>
      </c>
      <c r="W2535" s="93" t="s">
        <v>1170</v>
      </c>
      <c r="X2535" s="93" t="s">
        <v>24</v>
      </c>
    </row>
    <row r="2536" spans="1:24" x14ac:dyDescent="0.15">
      <c r="A2536" s="93" t="s">
        <v>3882</v>
      </c>
      <c r="B2536" s="93" t="s">
        <v>3883</v>
      </c>
      <c r="C2536" s="410">
        <v>30</v>
      </c>
      <c r="D2536" s="93" t="s">
        <v>24</v>
      </c>
      <c r="E2536" s="93" t="s">
        <v>24</v>
      </c>
      <c r="F2536" s="93" t="s">
        <v>7070</v>
      </c>
      <c r="G2536" s="93" t="s">
        <v>7108</v>
      </c>
      <c r="H2536" s="93" t="s">
        <v>118</v>
      </c>
      <c r="I2536" s="93" t="s">
        <v>111</v>
      </c>
      <c r="J2536" s="93" t="s">
        <v>118</v>
      </c>
      <c r="K2536" s="93">
        <v>3</v>
      </c>
      <c r="L2536" s="93" t="s">
        <v>111</v>
      </c>
      <c r="M2536" s="93" t="s">
        <v>111</v>
      </c>
      <c r="N2536" s="93" t="s">
        <v>111</v>
      </c>
      <c r="O2536" s="93" t="s">
        <v>111</v>
      </c>
      <c r="P2536" s="93" t="s">
        <v>111</v>
      </c>
      <c r="Q2536" s="93" t="s">
        <v>111</v>
      </c>
      <c r="R2536" s="93" t="s">
        <v>228</v>
      </c>
      <c r="S2536" s="93" t="s">
        <v>2</v>
      </c>
      <c r="T2536" s="93" t="s">
        <v>115</v>
      </c>
      <c r="U2536" s="93" t="s">
        <v>116</v>
      </c>
      <c r="V2536" s="94">
        <v>44596.663888888892</v>
      </c>
      <c r="W2536" s="93" t="s">
        <v>1170</v>
      </c>
      <c r="X2536" s="93" t="s">
        <v>24</v>
      </c>
    </row>
    <row r="2537" spans="1:24" x14ac:dyDescent="0.15">
      <c r="A2537" s="93" t="s">
        <v>3884</v>
      </c>
      <c r="B2537" s="93" t="s">
        <v>3885</v>
      </c>
      <c r="C2537" s="410">
        <v>9</v>
      </c>
      <c r="D2537" s="93" t="s">
        <v>24</v>
      </c>
      <c r="E2537" s="93" t="s">
        <v>24</v>
      </c>
      <c r="F2537" s="93" t="s">
        <v>7070</v>
      </c>
      <c r="G2537" s="93" t="s">
        <v>7108</v>
      </c>
      <c r="H2537" s="93" t="s">
        <v>118</v>
      </c>
      <c r="I2537" s="93" t="s">
        <v>111</v>
      </c>
      <c r="J2537" s="93" t="s">
        <v>7105</v>
      </c>
      <c r="K2537" s="93" t="s">
        <v>111</v>
      </c>
      <c r="L2537" s="93" t="s">
        <v>111</v>
      </c>
      <c r="M2537" s="93" t="s">
        <v>111</v>
      </c>
      <c r="N2537" s="93" t="s">
        <v>111</v>
      </c>
      <c r="O2537" s="93" t="s">
        <v>111</v>
      </c>
      <c r="P2537" s="93" t="s">
        <v>111</v>
      </c>
      <c r="Q2537" s="93" t="s">
        <v>111</v>
      </c>
      <c r="R2537" s="93" t="s">
        <v>111</v>
      </c>
      <c r="S2537" s="93" t="s">
        <v>111</v>
      </c>
      <c r="T2537" s="93" t="s">
        <v>115</v>
      </c>
      <c r="U2537" s="93" t="s">
        <v>116</v>
      </c>
      <c r="V2537" s="94">
        <v>44596.691666666666</v>
      </c>
      <c r="W2537" s="93" t="s">
        <v>1170</v>
      </c>
      <c r="X2537" s="93" t="s">
        <v>24</v>
      </c>
    </row>
    <row r="2538" spans="1:24" x14ac:dyDescent="0.15">
      <c r="A2538" s="93" t="s">
        <v>3886</v>
      </c>
      <c r="B2538" s="93" t="s">
        <v>3887</v>
      </c>
      <c r="C2538" s="410">
        <v>20</v>
      </c>
      <c r="D2538" s="93" t="s">
        <v>24</v>
      </c>
      <c r="E2538" s="93" t="s">
        <v>24</v>
      </c>
      <c r="F2538" s="93" t="s">
        <v>7070</v>
      </c>
      <c r="G2538" s="93" t="s">
        <v>7108</v>
      </c>
      <c r="H2538" s="93" t="s">
        <v>118</v>
      </c>
      <c r="I2538" s="93" t="s">
        <v>111</v>
      </c>
      <c r="J2538" s="93" t="s">
        <v>7105</v>
      </c>
      <c r="K2538" s="93" t="s">
        <v>111</v>
      </c>
      <c r="L2538" s="93" t="s">
        <v>111</v>
      </c>
      <c r="M2538" s="93" t="s">
        <v>111</v>
      </c>
      <c r="N2538" s="93" t="s">
        <v>111</v>
      </c>
      <c r="O2538" s="93" t="s">
        <v>111</v>
      </c>
      <c r="P2538" s="93" t="s">
        <v>111</v>
      </c>
      <c r="Q2538" s="93" t="s">
        <v>111</v>
      </c>
      <c r="R2538" s="93" t="s">
        <v>111</v>
      </c>
      <c r="S2538" s="93" t="s">
        <v>111</v>
      </c>
      <c r="T2538" s="93" t="s">
        <v>115</v>
      </c>
      <c r="U2538" s="93" t="s">
        <v>116</v>
      </c>
      <c r="V2538" s="94">
        <v>44596.660416666666</v>
      </c>
      <c r="W2538" s="93" t="s">
        <v>1170</v>
      </c>
      <c r="X2538" s="93" t="s">
        <v>24</v>
      </c>
    </row>
    <row r="2539" spans="1:24" x14ac:dyDescent="0.15">
      <c r="A2539" s="93" t="s">
        <v>3888</v>
      </c>
      <c r="B2539" s="93" t="s">
        <v>3889</v>
      </c>
      <c r="C2539" s="410">
        <v>210</v>
      </c>
      <c r="D2539" s="93" t="s">
        <v>24</v>
      </c>
      <c r="E2539" s="93" t="s">
        <v>24</v>
      </c>
      <c r="F2539" s="93" t="s">
        <v>7070</v>
      </c>
      <c r="G2539" s="93" t="s">
        <v>7108</v>
      </c>
      <c r="H2539" s="93" t="s">
        <v>118</v>
      </c>
      <c r="I2539" s="93" t="s">
        <v>111</v>
      </c>
      <c r="J2539" s="93" t="s">
        <v>7105</v>
      </c>
      <c r="K2539" s="93" t="s">
        <v>111</v>
      </c>
      <c r="L2539" s="93" t="s">
        <v>111</v>
      </c>
      <c r="M2539" s="93" t="s">
        <v>111</v>
      </c>
      <c r="N2539" s="93" t="s">
        <v>111</v>
      </c>
      <c r="O2539" s="93" t="s">
        <v>111</v>
      </c>
      <c r="P2539" s="93" t="s">
        <v>111</v>
      </c>
      <c r="Q2539" s="93" t="s">
        <v>111</v>
      </c>
      <c r="R2539" s="93" t="s">
        <v>111</v>
      </c>
      <c r="S2539" s="93" t="s">
        <v>111</v>
      </c>
      <c r="T2539" s="93" t="s">
        <v>115</v>
      </c>
      <c r="U2539" s="93" t="s">
        <v>116</v>
      </c>
      <c r="V2539" s="94">
        <v>44596.683333333334</v>
      </c>
      <c r="W2539" s="93" t="s">
        <v>1170</v>
      </c>
      <c r="X2539" s="93" t="s">
        <v>24</v>
      </c>
    </row>
    <row r="2540" spans="1:24" x14ac:dyDescent="0.15">
      <c r="A2540" s="93" t="s">
        <v>3890</v>
      </c>
      <c r="B2540" s="93" t="s">
        <v>3891</v>
      </c>
      <c r="C2540" s="410">
        <v>30</v>
      </c>
      <c r="D2540" s="93" t="s">
        <v>9</v>
      </c>
      <c r="E2540" s="93" t="s">
        <v>24</v>
      </c>
      <c r="F2540" s="93" t="s">
        <v>7070</v>
      </c>
      <c r="G2540" s="93" t="s">
        <v>7108</v>
      </c>
      <c r="H2540" s="93" t="s">
        <v>118</v>
      </c>
      <c r="I2540" s="93" t="s">
        <v>111</v>
      </c>
      <c r="J2540" s="93" t="s">
        <v>7105</v>
      </c>
      <c r="K2540" s="93" t="s">
        <v>111</v>
      </c>
      <c r="L2540" s="93" t="s">
        <v>111</v>
      </c>
      <c r="M2540" s="93" t="s">
        <v>111</v>
      </c>
      <c r="N2540" s="93" t="s">
        <v>111</v>
      </c>
      <c r="O2540" s="93" t="s">
        <v>111</v>
      </c>
      <c r="P2540" s="93" t="s">
        <v>111</v>
      </c>
      <c r="Q2540" s="93" t="s">
        <v>111</v>
      </c>
      <c r="R2540" s="93" t="s">
        <v>111</v>
      </c>
      <c r="S2540" s="93" t="s">
        <v>111</v>
      </c>
      <c r="T2540" s="93" t="s">
        <v>115</v>
      </c>
      <c r="U2540" s="93" t="s">
        <v>116</v>
      </c>
      <c r="V2540" s="94">
        <v>44596.652083333334</v>
      </c>
      <c r="W2540" s="93" t="s">
        <v>1170</v>
      </c>
      <c r="X2540" s="93" t="s">
        <v>24</v>
      </c>
    </row>
    <row r="2541" spans="1:24" x14ac:dyDescent="0.15">
      <c r="A2541" s="93" t="s">
        <v>3892</v>
      </c>
      <c r="B2541" s="93" t="s">
        <v>3893</v>
      </c>
      <c r="C2541" s="410">
        <v>39</v>
      </c>
      <c r="D2541" s="93" t="s">
        <v>9</v>
      </c>
      <c r="E2541" s="93" t="s">
        <v>24</v>
      </c>
      <c r="F2541" s="93" t="s">
        <v>7070</v>
      </c>
      <c r="G2541" s="93" t="s">
        <v>7108</v>
      </c>
      <c r="H2541" s="93" t="s">
        <v>118</v>
      </c>
      <c r="I2541" s="93" t="s">
        <v>111</v>
      </c>
      <c r="J2541" s="93" t="s">
        <v>7105</v>
      </c>
      <c r="K2541" s="93" t="s">
        <v>111</v>
      </c>
      <c r="L2541" s="93" t="s">
        <v>111</v>
      </c>
      <c r="M2541" s="93" t="s">
        <v>111</v>
      </c>
      <c r="N2541" s="93" t="s">
        <v>111</v>
      </c>
      <c r="O2541" s="93" t="s">
        <v>111</v>
      </c>
      <c r="P2541" s="93" t="s">
        <v>111</v>
      </c>
      <c r="Q2541" s="93" t="s">
        <v>111</v>
      </c>
      <c r="R2541" s="93" t="s">
        <v>111</v>
      </c>
      <c r="S2541" s="93" t="s">
        <v>111</v>
      </c>
      <c r="T2541" s="93" t="s">
        <v>115</v>
      </c>
      <c r="U2541" s="93" t="s">
        <v>116</v>
      </c>
      <c r="V2541" s="94">
        <v>44596.660416666666</v>
      </c>
      <c r="W2541" s="93" t="s">
        <v>1170</v>
      </c>
      <c r="X2541" s="93" t="s">
        <v>24</v>
      </c>
    </row>
    <row r="2542" spans="1:24" x14ac:dyDescent="0.15">
      <c r="A2542" s="93" t="s">
        <v>3894</v>
      </c>
      <c r="B2542" s="93" t="s">
        <v>3895</v>
      </c>
      <c r="C2542" s="410">
        <v>18</v>
      </c>
      <c r="D2542" s="93" t="s">
        <v>24</v>
      </c>
      <c r="E2542" s="93" t="s">
        <v>24</v>
      </c>
      <c r="F2542" s="93" t="s">
        <v>7070</v>
      </c>
      <c r="G2542" s="93" t="s">
        <v>7108</v>
      </c>
      <c r="H2542" s="93" t="s">
        <v>118</v>
      </c>
      <c r="I2542" s="93" t="s">
        <v>111</v>
      </c>
      <c r="J2542" s="93" t="s">
        <v>7105</v>
      </c>
      <c r="K2542" s="93" t="s">
        <v>111</v>
      </c>
      <c r="L2542" s="93" t="s">
        <v>111</v>
      </c>
      <c r="M2542" s="93" t="s">
        <v>111</v>
      </c>
      <c r="N2542" s="93" t="s">
        <v>111</v>
      </c>
      <c r="O2542" s="93" t="s">
        <v>111</v>
      </c>
      <c r="P2542" s="93" t="s">
        <v>111</v>
      </c>
      <c r="Q2542" s="93" t="s">
        <v>111</v>
      </c>
      <c r="R2542" s="93" t="s">
        <v>111</v>
      </c>
      <c r="S2542" s="93" t="s">
        <v>111</v>
      </c>
      <c r="T2542" s="93" t="s">
        <v>115</v>
      </c>
      <c r="U2542" s="93" t="s">
        <v>116</v>
      </c>
      <c r="V2542" s="94">
        <v>44596.647222222222</v>
      </c>
      <c r="W2542" s="93" t="s">
        <v>1170</v>
      </c>
      <c r="X2542" s="93" t="s">
        <v>24</v>
      </c>
    </row>
    <row r="2543" spans="1:24" x14ac:dyDescent="0.15">
      <c r="A2543" s="93" t="s">
        <v>3897</v>
      </c>
      <c r="B2543" s="93" t="s">
        <v>3898</v>
      </c>
      <c r="C2543" s="410">
        <v>14</v>
      </c>
      <c r="D2543" s="93" t="s">
        <v>24</v>
      </c>
      <c r="E2543" s="93" t="s">
        <v>24</v>
      </c>
      <c r="F2543" s="93" t="s">
        <v>7070</v>
      </c>
      <c r="G2543" s="93" t="s">
        <v>7108</v>
      </c>
      <c r="H2543" s="93" t="s">
        <v>118</v>
      </c>
      <c r="I2543" s="93" t="s">
        <v>111</v>
      </c>
      <c r="J2543" s="93" t="s">
        <v>7105</v>
      </c>
      <c r="K2543" s="93" t="s">
        <v>111</v>
      </c>
      <c r="L2543" s="93" t="s">
        <v>111</v>
      </c>
      <c r="M2543" s="93" t="s">
        <v>111</v>
      </c>
      <c r="N2543" s="93" t="s">
        <v>111</v>
      </c>
      <c r="O2543" s="93" t="s">
        <v>111</v>
      </c>
      <c r="P2543" s="93" t="s">
        <v>111</v>
      </c>
      <c r="Q2543" s="93" t="s">
        <v>111</v>
      </c>
      <c r="R2543" s="93" t="s">
        <v>111</v>
      </c>
      <c r="S2543" s="93" t="s">
        <v>111</v>
      </c>
      <c r="T2543" s="93" t="s">
        <v>115</v>
      </c>
      <c r="U2543" s="93" t="s">
        <v>116</v>
      </c>
      <c r="V2543" s="94">
        <v>44596.688194444447</v>
      </c>
      <c r="W2543" s="93" t="s">
        <v>1170</v>
      </c>
      <c r="X2543" s="93" t="s">
        <v>24</v>
      </c>
    </row>
    <row r="2544" spans="1:24" x14ac:dyDescent="0.15">
      <c r="A2544" s="93" t="s">
        <v>3900</v>
      </c>
      <c r="B2544" s="93" t="s">
        <v>3901</v>
      </c>
      <c r="C2544" s="410">
        <v>27</v>
      </c>
      <c r="D2544" s="93" t="s">
        <v>24</v>
      </c>
      <c r="E2544" s="93" t="s">
        <v>24</v>
      </c>
      <c r="F2544" s="93" t="s">
        <v>7070</v>
      </c>
      <c r="G2544" s="93" t="s">
        <v>7108</v>
      </c>
      <c r="H2544" s="93" t="s">
        <v>118</v>
      </c>
      <c r="I2544" s="93" t="s">
        <v>111</v>
      </c>
      <c r="J2544" s="93" t="s">
        <v>7105</v>
      </c>
      <c r="K2544" s="93" t="s">
        <v>111</v>
      </c>
      <c r="L2544" s="93" t="s">
        <v>111</v>
      </c>
      <c r="M2544" s="93" t="s">
        <v>111</v>
      </c>
      <c r="N2544" s="93" t="s">
        <v>111</v>
      </c>
      <c r="O2544" s="93" t="s">
        <v>111</v>
      </c>
      <c r="P2544" s="93" t="s">
        <v>111</v>
      </c>
      <c r="Q2544" s="93" t="s">
        <v>111</v>
      </c>
      <c r="R2544" s="93" t="s">
        <v>111</v>
      </c>
      <c r="S2544" s="93" t="s">
        <v>111</v>
      </c>
      <c r="T2544" s="93" t="s">
        <v>115</v>
      </c>
      <c r="U2544" s="93" t="s">
        <v>116</v>
      </c>
      <c r="V2544" s="94">
        <v>44596.665277777778</v>
      </c>
      <c r="W2544" s="93" t="s">
        <v>1170</v>
      </c>
      <c r="X2544" s="93" t="s">
        <v>24</v>
      </c>
    </row>
    <row r="2545" spans="1:24" x14ac:dyDescent="0.15">
      <c r="A2545" s="93" t="s">
        <v>3902</v>
      </c>
      <c r="B2545" s="93" t="s">
        <v>3903</v>
      </c>
      <c r="C2545" s="410">
        <v>21</v>
      </c>
      <c r="D2545" s="93" t="s">
        <v>24</v>
      </c>
      <c r="E2545" s="93" t="s">
        <v>24</v>
      </c>
      <c r="F2545" s="93" t="s">
        <v>7070</v>
      </c>
      <c r="G2545" s="93" t="s">
        <v>7108</v>
      </c>
      <c r="H2545" s="93" t="s">
        <v>118</v>
      </c>
      <c r="I2545" s="93" t="s">
        <v>111</v>
      </c>
      <c r="J2545" s="93" t="s">
        <v>7105</v>
      </c>
      <c r="K2545" s="93" t="s">
        <v>111</v>
      </c>
      <c r="L2545" s="93" t="s">
        <v>111</v>
      </c>
      <c r="M2545" s="93" t="s">
        <v>111</v>
      </c>
      <c r="N2545" s="93" t="s">
        <v>111</v>
      </c>
      <c r="O2545" s="93" t="s">
        <v>111</v>
      </c>
      <c r="P2545" s="93" t="s">
        <v>111</v>
      </c>
      <c r="Q2545" s="93" t="s">
        <v>111</v>
      </c>
      <c r="R2545" s="93" t="s">
        <v>111</v>
      </c>
      <c r="S2545" s="93" t="s">
        <v>111</v>
      </c>
      <c r="T2545" s="93" t="s">
        <v>115</v>
      </c>
      <c r="U2545" s="93" t="s">
        <v>116</v>
      </c>
      <c r="V2545" s="94">
        <v>44596.695833333331</v>
      </c>
      <c r="W2545" s="93" t="s">
        <v>1216</v>
      </c>
      <c r="X2545" s="93" t="s">
        <v>24</v>
      </c>
    </row>
    <row r="2546" spans="1:24" x14ac:dyDescent="0.15">
      <c r="A2546" s="93" t="s">
        <v>3904</v>
      </c>
      <c r="B2546" s="93" t="s">
        <v>3905</v>
      </c>
      <c r="C2546" s="410">
        <v>264</v>
      </c>
      <c r="D2546" s="93" t="s">
        <v>24</v>
      </c>
      <c r="E2546" s="93" t="s">
        <v>24</v>
      </c>
      <c r="F2546" s="93" t="s">
        <v>7070</v>
      </c>
      <c r="G2546" s="93" t="s">
        <v>7108</v>
      </c>
      <c r="H2546" s="93" t="s">
        <v>118</v>
      </c>
      <c r="I2546" s="93" t="s">
        <v>111</v>
      </c>
      <c r="J2546" s="93" t="s">
        <v>7105</v>
      </c>
      <c r="K2546" s="93" t="s">
        <v>111</v>
      </c>
      <c r="L2546" s="93" t="s">
        <v>111</v>
      </c>
      <c r="M2546" s="93" t="s">
        <v>111</v>
      </c>
      <c r="N2546" s="93" t="s">
        <v>111</v>
      </c>
      <c r="O2546" s="93" t="s">
        <v>111</v>
      </c>
      <c r="P2546" s="93" t="s">
        <v>111</v>
      </c>
      <c r="Q2546" s="93" t="s">
        <v>111</v>
      </c>
      <c r="R2546" s="93" t="s">
        <v>111</v>
      </c>
      <c r="S2546" s="93" t="s">
        <v>111</v>
      </c>
      <c r="T2546" s="93" t="s">
        <v>115</v>
      </c>
      <c r="U2546" s="93" t="s">
        <v>116</v>
      </c>
      <c r="V2546" s="94">
        <v>44596.647916666669</v>
      </c>
      <c r="W2546" s="93" t="s">
        <v>1170</v>
      </c>
      <c r="X2546" s="93" t="s">
        <v>24</v>
      </c>
    </row>
    <row r="2547" spans="1:24" x14ac:dyDescent="0.15">
      <c r="A2547" s="93" t="s">
        <v>3906</v>
      </c>
      <c r="B2547" s="93" t="s">
        <v>9300</v>
      </c>
      <c r="C2547" s="410">
        <v>84</v>
      </c>
      <c r="D2547" s="93" t="s">
        <v>24</v>
      </c>
      <c r="E2547" s="93" t="s">
        <v>24</v>
      </c>
      <c r="F2547" s="93" t="s">
        <v>7070</v>
      </c>
      <c r="G2547" s="93" t="s">
        <v>7108</v>
      </c>
      <c r="H2547" s="93" t="s">
        <v>118</v>
      </c>
      <c r="I2547" s="93" t="s">
        <v>111</v>
      </c>
      <c r="J2547" s="93" t="s">
        <v>7105</v>
      </c>
      <c r="K2547" s="93" t="s">
        <v>111</v>
      </c>
      <c r="L2547" s="93" t="s">
        <v>111</v>
      </c>
      <c r="M2547" s="93" t="s">
        <v>111</v>
      </c>
      <c r="N2547" s="93" t="s">
        <v>111</v>
      </c>
      <c r="O2547" s="93" t="s">
        <v>111</v>
      </c>
      <c r="P2547" s="93" t="s">
        <v>111</v>
      </c>
      <c r="Q2547" s="93" t="s">
        <v>111</v>
      </c>
      <c r="R2547" s="93" t="s">
        <v>111</v>
      </c>
      <c r="S2547" s="93" t="s">
        <v>111</v>
      </c>
      <c r="T2547" s="93" t="s">
        <v>115</v>
      </c>
      <c r="U2547" s="93" t="s">
        <v>116</v>
      </c>
      <c r="V2547" s="94">
        <v>44600.431944444441</v>
      </c>
      <c r="W2547" s="93" t="s">
        <v>1170</v>
      </c>
      <c r="X2547" s="93" t="s">
        <v>24</v>
      </c>
    </row>
    <row r="2548" spans="1:24" x14ac:dyDescent="0.15">
      <c r="A2548" s="93" t="s">
        <v>3907</v>
      </c>
      <c r="B2548" s="93" t="s">
        <v>3908</v>
      </c>
      <c r="C2548" s="410">
        <v>180</v>
      </c>
      <c r="D2548" s="93" t="s">
        <v>24</v>
      </c>
      <c r="E2548" s="93" t="s">
        <v>24</v>
      </c>
      <c r="F2548" s="93" t="s">
        <v>7070</v>
      </c>
      <c r="G2548" s="93" t="s">
        <v>7108</v>
      </c>
      <c r="H2548" s="93" t="s">
        <v>118</v>
      </c>
      <c r="I2548" s="93" t="s">
        <v>111</v>
      </c>
      <c r="J2548" s="93" t="s">
        <v>7105</v>
      </c>
      <c r="K2548" s="93" t="s">
        <v>111</v>
      </c>
      <c r="L2548" s="93" t="s">
        <v>111</v>
      </c>
      <c r="M2548" s="93" t="s">
        <v>111</v>
      </c>
      <c r="N2548" s="93" t="s">
        <v>111</v>
      </c>
      <c r="O2548" s="93" t="s">
        <v>111</v>
      </c>
      <c r="P2548" s="93" t="s">
        <v>111</v>
      </c>
      <c r="Q2548" s="93" t="s">
        <v>111</v>
      </c>
      <c r="R2548" s="93" t="s">
        <v>111</v>
      </c>
      <c r="S2548" s="93" t="s">
        <v>111</v>
      </c>
      <c r="T2548" s="93" t="s">
        <v>115</v>
      </c>
      <c r="U2548" s="93" t="s">
        <v>116</v>
      </c>
      <c r="V2548" s="94">
        <v>44596.638888888891</v>
      </c>
      <c r="W2548" s="93" t="s">
        <v>1170</v>
      </c>
      <c r="X2548" s="93" t="s">
        <v>24</v>
      </c>
    </row>
    <row r="2549" spans="1:24" x14ac:dyDescent="0.15">
      <c r="A2549" s="93" t="s">
        <v>3909</v>
      </c>
      <c r="B2549" s="93" t="s">
        <v>3910</v>
      </c>
      <c r="C2549" s="410">
        <v>126</v>
      </c>
      <c r="D2549" s="93" t="s">
        <v>24</v>
      </c>
      <c r="E2549" s="93" t="s">
        <v>24</v>
      </c>
      <c r="F2549" s="93" t="s">
        <v>7070</v>
      </c>
      <c r="G2549" s="93" t="s">
        <v>7108</v>
      </c>
      <c r="H2549" s="93" t="s">
        <v>118</v>
      </c>
      <c r="I2549" s="93" t="s">
        <v>111</v>
      </c>
      <c r="J2549" s="93" t="s">
        <v>118</v>
      </c>
      <c r="K2549" s="93">
        <v>3</v>
      </c>
      <c r="L2549" s="93" t="s">
        <v>111</v>
      </c>
      <c r="M2549" s="93" t="s">
        <v>111</v>
      </c>
      <c r="N2549" s="93" t="s">
        <v>111</v>
      </c>
      <c r="O2549" s="93" t="s">
        <v>111</v>
      </c>
      <c r="P2549" s="93" t="s">
        <v>111</v>
      </c>
      <c r="Q2549" s="93" t="s">
        <v>111</v>
      </c>
      <c r="R2549" s="93" t="s">
        <v>111</v>
      </c>
      <c r="S2549" s="93" t="s">
        <v>111</v>
      </c>
      <c r="T2549" s="93" t="s">
        <v>115</v>
      </c>
      <c r="U2549" s="93" t="s">
        <v>116</v>
      </c>
      <c r="V2549" s="94">
        <v>44586.546527777777</v>
      </c>
      <c r="W2549" s="93" t="s">
        <v>1170</v>
      </c>
      <c r="X2549" s="93" t="s">
        <v>24</v>
      </c>
    </row>
    <row r="2550" spans="1:24" x14ac:dyDescent="0.15">
      <c r="A2550" s="93" t="s">
        <v>3911</v>
      </c>
      <c r="B2550" s="93" t="s">
        <v>3912</v>
      </c>
      <c r="C2550" s="410">
        <v>105</v>
      </c>
      <c r="D2550" s="93" t="s">
        <v>24</v>
      </c>
      <c r="E2550" s="93" t="s">
        <v>24</v>
      </c>
      <c r="F2550" s="93" t="s">
        <v>7070</v>
      </c>
      <c r="G2550" s="93" t="s">
        <v>7108</v>
      </c>
      <c r="H2550" s="93" t="s">
        <v>118</v>
      </c>
      <c r="I2550" s="93" t="s">
        <v>111</v>
      </c>
      <c r="J2550" s="93" t="s">
        <v>7105</v>
      </c>
      <c r="K2550" s="93" t="s">
        <v>111</v>
      </c>
      <c r="L2550" s="93" t="s">
        <v>111</v>
      </c>
      <c r="M2550" s="93" t="s">
        <v>111</v>
      </c>
      <c r="N2550" s="93" t="s">
        <v>111</v>
      </c>
      <c r="O2550" s="93" t="s">
        <v>111</v>
      </c>
      <c r="P2550" s="93" t="s">
        <v>111</v>
      </c>
      <c r="Q2550" s="93" t="s">
        <v>111</v>
      </c>
      <c r="R2550" s="93" t="s">
        <v>111</v>
      </c>
      <c r="S2550" s="93" t="s">
        <v>111</v>
      </c>
      <c r="T2550" s="93" t="s">
        <v>115</v>
      </c>
      <c r="U2550" s="93" t="s">
        <v>116</v>
      </c>
      <c r="V2550" s="94">
        <v>44596.652083333334</v>
      </c>
      <c r="W2550" s="93" t="s">
        <v>1170</v>
      </c>
      <c r="X2550" s="93" t="s">
        <v>24</v>
      </c>
    </row>
    <row r="2551" spans="1:24" x14ac:dyDescent="0.15">
      <c r="A2551" s="93" t="s">
        <v>3913</v>
      </c>
      <c r="B2551" s="93" t="s">
        <v>3914</v>
      </c>
      <c r="C2551" s="410">
        <v>230</v>
      </c>
      <c r="D2551" s="93" t="s">
        <v>24</v>
      </c>
      <c r="E2551" s="93" t="s">
        <v>24</v>
      </c>
      <c r="F2551" s="93" t="s">
        <v>7070</v>
      </c>
      <c r="G2551" s="93" t="s">
        <v>7108</v>
      </c>
      <c r="H2551" s="93" t="s">
        <v>118</v>
      </c>
      <c r="I2551" s="93" t="s">
        <v>111</v>
      </c>
      <c r="J2551" s="93" t="s">
        <v>7105</v>
      </c>
      <c r="K2551" s="93" t="s">
        <v>111</v>
      </c>
      <c r="L2551" s="93" t="s">
        <v>111</v>
      </c>
      <c r="M2551" s="93" t="s">
        <v>111</v>
      </c>
      <c r="N2551" s="93" t="s">
        <v>111</v>
      </c>
      <c r="O2551" s="93" t="s">
        <v>111</v>
      </c>
      <c r="P2551" s="93" t="s">
        <v>111</v>
      </c>
      <c r="Q2551" s="93" t="s">
        <v>111</v>
      </c>
      <c r="R2551" s="93" t="s">
        <v>111</v>
      </c>
      <c r="S2551" s="93" t="s">
        <v>111</v>
      </c>
      <c r="T2551" s="93" t="s">
        <v>115</v>
      </c>
      <c r="U2551" s="93" t="s">
        <v>116</v>
      </c>
      <c r="V2551" s="94">
        <v>44596.688888888886</v>
      </c>
      <c r="W2551" s="93" t="s">
        <v>1170</v>
      </c>
      <c r="X2551" s="93" t="s">
        <v>24</v>
      </c>
    </row>
    <row r="2552" spans="1:24" x14ac:dyDescent="0.15">
      <c r="A2552" s="93" t="s">
        <v>3915</v>
      </c>
      <c r="B2552" s="93" t="s">
        <v>3916</v>
      </c>
      <c r="C2552" s="410">
        <v>141</v>
      </c>
      <c r="D2552" s="93" t="s">
        <v>24</v>
      </c>
      <c r="E2552" s="93" t="s">
        <v>24</v>
      </c>
      <c r="F2552" s="93" t="s">
        <v>7070</v>
      </c>
      <c r="G2552" s="93" t="s">
        <v>7108</v>
      </c>
      <c r="H2552" s="93" t="s">
        <v>118</v>
      </c>
      <c r="I2552" s="93" t="s">
        <v>111</v>
      </c>
      <c r="J2552" s="93" t="s">
        <v>118</v>
      </c>
      <c r="K2552" s="93">
        <v>3</v>
      </c>
      <c r="L2552" s="93" t="s">
        <v>111</v>
      </c>
      <c r="M2552" s="93" t="s">
        <v>111</v>
      </c>
      <c r="N2552" s="93" t="s">
        <v>111</v>
      </c>
      <c r="O2552" s="93" t="s">
        <v>111</v>
      </c>
      <c r="P2552" s="93" t="s">
        <v>111</v>
      </c>
      <c r="Q2552" s="93" t="s">
        <v>111</v>
      </c>
      <c r="R2552" s="93" t="s">
        <v>111</v>
      </c>
      <c r="S2552" s="93" t="s">
        <v>111</v>
      </c>
      <c r="T2552" s="93" t="s">
        <v>115</v>
      </c>
      <c r="U2552" s="93" t="s">
        <v>116</v>
      </c>
      <c r="V2552" s="94">
        <v>44586.546527777777</v>
      </c>
      <c r="W2552" s="93" t="s">
        <v>1170</v>
      </c>
      <c r="X2552" s="93" t="s">
        <v>24</v>
      </c>
    </row>
    <row r="2553" spans="1:24" x14ac:dyDescent="0.15">
      <c r="A2553" s="93" t="s">
        <v>3917</v>
      </c>
      <c r="B2553" s="93" t="s">
        <v>3918</v>
      </c>
      <c r="C2553" s="410">
        <v>162</v>
      </c>
      <c r="D2553" s="93" t="s">
        <v>24</v>
      </c>
      <c r="E2553" s="93" t="s">
        <v>24</v>
      </c>
      <c r="F2553" s="93" t="s">
        <v>7070</v>
      </c>
      <c r="G2553" s="93" t="s">
        <v>7108</v>
      </c>
      <c r="H2553" s="93" t="s">
        <v>118</v>
      </c>
      <c r="I2553" s="93" t="s">
        <v>111</v>
      </c>
      <c r="J2553" s="93" t="s">
        <v>118</v>
      </c>
      <c r="K2553" s="93">
        <v>3</v>
      </c>
      <c r="L2553" s="93" t="s">
        <v>111</v>
      </c>
      <c r="M2553" s="93" t="s">
        <v>111</v>
      </c>
      <c r="N2553" s="93" t="s">
        <v>111</v>
      </c>
      <c r="O2553" s="93" t="s">
        <v>111</v>
      </c>
      <c r="P2553" s="93" t="s">
        <v>111</v>
      </c>
      <c r="Q2553" s="93" t="s">
        <v>111</v>
      </c>
      <c r="R2553" s="93" t="s">
        <v>111</v>
      </c>
      <c r="S2553" s="93" t="s">
        <v>111</v>
      </c>
      <c r="T2553" s="93" t="s">
        <v>115</v>
      </c>
      <c r="U2553" s="93" t="s">
        <v>116</v>
      </c>
      <c r="V2553" s="94">
        <v>44586.546527777777</v>
      </c>
      <c r="W2553" s="93" t="s">
        <v>1170</v>
      </c>
      <c r="X2553" s="93" t="s">
        <v>24</v>
      </c>
    </row>
    <row r="2554" spans="1:24" x14ac:dyDescent="0.15">
      <c r="A2554" s="93" t="s">
        <v>3919</v>
      </c>
      <c r="B2554" s="93" t="s">
        <v>3920</v>
      </c>
      <c r="C2554" s="410">
        <v>284</v>
      </c>
      <c r="D2554" s="93" t="s">
        <v>24</v>
      </c>
      <c r="E2554" s="93" t="s">
        <v>24</v>
      </c>
      <c r="F2554" s="93" t="s">
        <v>7070</v>
      </c>
      <c r="G2554" s="93" t="s">
        <v>7108</v>
      </c>
      <c r="H2554" s="93" t="s">
        <v>118</v>
      </c>
      <c r="I2554" s="93" t="s">
        <v>111</v>
      </c>
      <c r="J2554" s="93" t="s">
        <v>118</v>
      </c>
      <c r="K2554" s="93">
        <v>3</v>
      </c>
      <c r="L2554" s="93" t="s">
        <v>111</v>
      </c>
      <c r="M2554" s="93" t="s">
        <v>111</v>
      </c>
      <c r="N2554" s="93" t="s">
        <v>111</v>
      </c>
      <c r="O2554" s="93" t="s">
        <v>111</v>
      </c>
      <c r="P2554" s="93" t="s">
        <v>111</v>
      </c>
      <c r="Q2554" s="93" t="s">
        <v>111</v>
      </c>
      <c r="R2554" s="93" t="s">
        <v>111</v>
      </c>
      <c r="S2554" s="93" t="s">
        <v>111</v>
      </c>
      <c r="T2554" s="93" t="s">
        <v>115</v>
      </c>
      <c r="U2554" s="93" t="s">
        <v>116</v>
      </c>
      <c r="V2554" s="94">
        <v>44586.546527777777</v>
      </c>
      <c r="W2554" s="93" t="s">
        <v>1170</v>
      </c>
      <c r="X2554" s="93" t="s">
        <v>24</v>
      </c>
    </row>
    <row r="2555" spans="1:24" x14ac:dyDescent="0.15">
      <c r="A2555" s="93" t="s">
        <v>3921</v>
      </c>
      <c r="B2555" s="93" t="s">
        <v>3922</v>
      </c>
      <c r="C2555" s="410">
        <v>90</v>
      </c>
      <c r="D2555" s="93" t="s">
        <v>24</v>
      </c>
      <c r="E2555" s="93" t="s">
        <v>24</v>
      </c>
      <c r="F2555" s="93" t="s">
        <v>7070</v>
      </c>
      <c r="G2555" s="93" t="s">
        <v>7108</v>
      </c>
      <c r="H2555" s="93" t="s">
        <v>118</v>
      </c>
      <c r="I2555" s="93" t="s">
        <v>111</v>
      </c>
      <c r="J2555" s="93" t="s">
        <v>118</v>
      </c>
      <c r="K2555" s="93">
        <v>3</v>
      </c>
      <c r="L2555" s="93" t="s">
        <v>111</v>
      </c>
      <c r="M2555" s="93" t="s">
        <v>111</v>
      </c>
      <c r="N2555" s="93" t="s">
        <v>111</v>
      </c>
      <c r="O2555" s="93" t="s">
        <v>111</v>
      </c>
      <c r="P2555" s="93" t="s">
        <v>111</v>
      </c>
      <c r="Q2555" s="93" t="s">
        <v>111</v>
      </c>
      <c r="R2555" s="93" t="s">
        <v>111</v>
      </c>
      <c r="S2555" s="93" t="s">
        <v>111</v>
      </c>
      <c r="T2555" s="93" t="s">
        <v>115</v>
      </c>
      <c r="U2555" s="93" t="s">
        <v>116</v>
      </c>
      <c r="V2555" s="94">
        <v>44586.546527777777</v>
      </c>
      <c r="W2555" s="93" t="s">
        <v>1170</v>
      </c>
      <c r="X2555" s="93" t="s">
        <v>24</v>
      </c>
    </row>
    <row r="2556" spans="1:24" x14ac:dyDescent="0.15">
      <c r="A2556" s="93" t="s">
        <v>3923</v>
      </c>
      <c r="B2556" s="93" t="s">
        <v>3924</v>
      </c>
      <c r="C2556" s="410">
        <v>150</v>
      </c>
      <c r="D2556" s="93" t="s">
        <v>24</v>
      </c>
      <c r="E2556" s="93" t="s">
        <v>24</v>
      </c>
      <c r="F2556" s="93" t="s">
        <v>7070</v>
      </c>
      <c r="G2556" s="93" t="s">
        <v>7108</v>
      </c>
      <c r="H2556" s="93" t="s">
        <v>118</v>
      </c>
      <c r="I2556" s="93" t="s">
        <v>111</v>
      </c>
      <c r="J2556" s="93" t="s">
        <v>118</v>
      </c>
      <c r="K2556" s="93">
        <v>3</v>
      </c>
      <c r="L2556" s="93" t="s">
        <v>111</v>
      </c>
      <c r="M2556" s="93" t="s">
        <v>111</v>
      </c>
      <c r="N2556" s="93" t="s">
        <v>111</v>
      </c>
      <c r="O2556" s="93" t="s">
        <v>111</v>
      </c>
      <c r="P2556" s="93" t="s">
        <v>111</v>
      </c>
      <c r="Q2556" s="93" t="s">
        <v>111</v>
      </c>
      <c r="R2556" s="93" t="s">
        <v>111</v>
      </c>
      <c r="S2556" s="93" t="s">
        <v>111</v>
      </c>
      <c r="T2556" s="93" t="s">
        <v>115</v>
      </c>
      <c r="U2556" s="93" t="s">
        <v>116</v>
      </c>
      <c r="V2556" s="94">
        <v>44586.546527777777</v>
      </c>
      <c r="W2556" s="93" t="s">
        <v>1170</v>
      </c>
      <c r="X2556" s="93" t="s">
        <v>24</v>
      </c>
    </row>
    <row r="2557" spans="1:24" x14ac:dyDescent="0.15">
      <c r="A2557" s="93" t="s">
        <v>3925</v>
      </c>
      <c r="B2557" s="93" t="s">
        <v>3926</v>
      </c>
      <c r="C2557" s="410">
        <v>68</v>
      </c>
      <c r="D2557" s="93" t="s">
        <v>24</v>
      </c>
      <c r="E2557" s="93" t="s">
        <v>24</v>
      </c>
      <c r="F2557" s="93" t="s">
        <v>7070</v>
      </c>
      <c r="G2557" s="93" t="s">
        <v>7108</v>
      </c>
      <c r="H2557" s="93" t="s">
        <v>118</v>
      </c>
      <c r="I2557" s="93" t="s">
        <v>111</v>
      </c>
      <c r="J2557" s="93" t="s">
        <v>118</v>
      </c>
      <c r="K2557" s="93">
        <v>3</v>
      </c>
      <c r="L2557" s="93" t="s">
        <v>111</v>
      </c>
      <c r="M2557" s="93" t="s">
        <v>111</v>
      </c>
      <c r="N2557" s="93" t="s">
        <v>111</v>
      </c>
      <c r="O2557" s="93" t="s">
        <v>111</v>
      </c>
      <c r="P2557" s="93" t="s">
        <v>111</v>
      </c>
      <c r="Q2557" s="93" t="s">
        <v>111</v>
      </c>
      <c r="R2557" s="93" t="s">
        <v>111</v>
      </c>
      <c r="S2557" s="93" t="s">
        <v>111</v>
      </c>
      <c r="T2557" s="93" t="s">
        <v>115</v>
      </c>
      <c r="U2557" s="93" t="s">
        <v>116</v>
      </c>
      <c r="V2557" s="94">
        <v>44586.546527777777</v>
      </c>
      <c r="W2557" s="93" t="s">
        <v>1170</v>
      </c>
      <c r="X2557" s="93" t="s">
        <v>24</v>
      </c>
    </row>
    <row r="2558" spans="1:24" x14ac:dyDescent="0.15">
      <c r="A2558" s="93" t="s">
        <v>3927</v>
      </c>
      <c r="B2558" s="93" t="s">
        <v>3928</v>
      </c>
      <c r="C2558" s="410">
        <v>128</v>
      </c>
      <c r="D2558" s="93" t="s">
        <v>24</v>
      </c>
      <c r="E2558" s="93" t="s">
        <v>24</v>
      </c>
      <c r="F2558" s="93" t="s">
        <v>7070</v>
      </c>
      <c r="G2558" s="93" t="s">
        <v>7108</v>
      </c>
      <c r="H2558" s="93" t="s">
        <v>118</v>
      </c>
      <c r="I2558" s="93" t="s">
        <v>111</v>
      </c>
      <c r="J2558" s="93" t="s">
        <v>118</v>
      </c>
      <c r="K2558" s="93">
        <v>3</v>
      </c>
      <c r="L2558" s="93" t="s">
        <v>111</v>
      </c>
      <c r="M2558" s="93" t="s">
        <v>111</v>
      </c>
      <c r="N2558" s="93" t="s">
        <v>111</v>
      </c>
      <c r="O2558" s="93" t="s">
        <v>111</v>
      </c>
      <c r="P2558" s="93" t="s">
        <v>111</v>
      </c>
      <c r="Q2558" s="93" t="s">
        <v>111</v>
      </c>
      <c r="R2558" s="93" t="s">
        <v>111</v>
      </c>
      <c r="S2558" s="93" t="s">
        <v>111</v>
      </c>
      <c r="T2558" s="93" t="s">
        <v>115</v>
      </c>
      <c r="U2558" s="93" t="s">
        <v>116</v>
      </c>
      <c r="V2558" s="94">
        <v>44586.546527777777</v>
      </c>
      <c r="W2558" s="93" t="s">
        <v>1170</v>
      </c>
      <c r="X2558" s="93" t="s">
        <v>24</v>
      </c>
    </row>
    <row r="2559" spans="1:24" x14ac:dyDescent="0.15">
      <c r="A2559" s="93" t="s">
        <v>3929</v>
      </c>
      <c r="B2559" s="93" t="s">
        <v>3930</v>
      </c>
      <c r="C2559" s="410">
        <v>110</v>
      </c>
      <c r="D2559" s="93" t="s">
        <v>24</v>
      </c>
      <c r="E2559" s="93" t="s">
        <v>24</v>
      </c>
      <c r="F2559" s="93" t="s">
        <v>7070</v>
      </c>
      <c r="G2559" s="93" t="s">
        <v>7108</v>
      </c>
      <c r="H2559" s="93" t="s">
        <v>118</v>
      </c>
      <c r="I2559" s="93" t="s">
        <v>111</v>
      </c>
      <c r="J2559" s="93" t="s">
        <v>7105</v>
      </c>
      <c r="K2559" s="93" t="s">
        <v>111</v>
      </c>
      <c r="L2559" s="93" t="s">
        <v>111</v>
      </c>
      <c r="M2559" s="93" t="s">
        <v>111</v>
      </c>
      <c r="N2559" s="93" t="s">
        <v>111</v>
      </c>
      <c r="O2559" s="93" t="s">
        <v>111</v>
      </c>
      <c r="P2559" s="93" t="s">
        <v>111</v>
      </c>
      <c r="Q2559" s="93" t="s">
        <v>111</v>
      </c>
      <c r="R2559" s="93" t="s">
        <v>111</v>
      </c>
      <c r="S2559" s="93" t="s">
        <v>111</v>
      </c>
      <c r="T2559" s="93" t="s">
        <v>115</v>
      </c>
      <c r="U2559" s="93" t="s">
        <v>116</v>
      </c>
      <c r="V2559" s="94">
        <v>44596.647916666669</v>
      </c>
      <c r="W2559" s="93" t="s">
        <v>1170</v>
      </c>
      <c r="X2559" s="93" t="s">
        <v>24</v>
      </c>
    </row>
    <row r="2560" spans="1:24" x14ac:dyDescent="0.15">
      <c r="A2560" s="93" t="s">
        <v>3931</v>
      </c>
      <c r="B2560" s="93" t="s">
        <v>3932</v>
      </c>
      <c r="C2560" s="410">
        <v>145</v>
      </c>
      <c r="D2560" s="93" t="s">
        <v>24</v>
      </c>
      <c r="E2560" s="93" t="s">
        <v>24</v>
      </c>
      <c r="F2560" s="93" t="s">
        <v>7070</v>
      </c>
      <c r="G2560" s="93" t="s">
        <v>7108</v>
      </c>
      <c r="H2560" s="93" t="s">
        <v>118</v>
      </c>
      <c r="I2560" s="93" t="s">
        <v>111</v>
      </c>
      <c r="J2560" s="93" t="s">
        <v>7105</v>
      </c>
      <c r="K2560" s="93" t="s">
        <v>111</v>
      </c>
      <c r="L2560" s="93" t="s">
        <v>111</v>
      </c>
      <c r="M2560" s="93" t="s">
        <v>111</v>
      </c>
      <c r="N2560" s="93" t="s">
        <v>111</v>
      </c>
      <c r="O2560" s="93" t="s">
        <v>111</v>
      </c>
      <c r="P2560" s="93" t="s">
        <v>111</v>
      </c>
      <c r="Q2560" s="93" t="s">
        <v>111</v>
      </c>
      <c r="R2560" s="93" t="s">
        <v>111</v>
      </c>
      <c r="S2560" s="93" t="s">
        <v>111</v>
      </c>
      <c r="T2560" s="93" t="s">
        <v>115</v>
      </c>
      <c r="U2560" s="93" t="s">
        <v>116</v>
      </c>
      <c r="V2560" s="94">
        <v>44596.643055555556</v>
      </c>
      <c r="W2560" s="93" t="s">
        <v>1170</v>
      </c>
      <c r="X2560" s="93" t="s">
        <v>24</v>
      </c>
    </row>
    <row r="2561" spans="1:24" x14ac:dyDescent="0.15">
      <c r="A2561" s="93" t="s">
        <v>3933</v>
      </c>
      <c r="B2561" s="93" t="s">
        <v>3934</v>
      </c>
      <c r="C2561" s="410">
        <v>353</v>
      </c>
      <c r="D2561" s="93" t="s">
        <v>24</v>
      </c>
      <c r="E2561" s="93" t="s">
        <v>24</v>
      </c>
      <c r="F2561" s="93" t="s">
        <v>7070</v>
      </c>
      <c r="G2561" s="93" t="s">
        <v>7108</v>
      </c>
      <c r="H2561" s="93" t="s">
        <v>118</v>
      </c>
      <c r="I2561" s="93" t="s">
        <v>111</v>
      </c>
      <c r="J2561" s="93" t="s">
        <v>7105</v>
      </c>
      <c r="K2561" s="93" t="s">
        <v>111</v>
      </c>
      <c r="L2561" s="93" t="s">
        <v>111</v>
      </c>
      <c r="M2561" s="93" t="s">
        <v>111</v>
      </c>
      <c r="N2561" s="93" t="s">
        <v>111</v>
      </c>
      <c r="O2561" s="93" t="s">
        <v>111</v>
      </c>
      <c r="P2561" s="93" t="s">
        <v>111</v>
      </c>
      <c r="Q2561" s="93" t="s">
        <v>111</v>
      </c>
      <c r="R2561" s="93" t="s">
        <v>111</v>
      </c>
      <c r="S2561" s="93" t="s">
        <v>111</v>
      </c>
      <c r="T2561" s="93" t="s">
        <v>115</v>
      </c>
      <c r="U2561" s="93" t="s">
        <v>116</v>
      </c>
      <c r="V2561" s="94">
        <v>44596.647916666669</v>
      </c>
      <c r="W2561" s="93" t="s">
        <v>1170</v>
      </c>
      <c r="X2561" s="93" t="s">
        <v>24</v>
      </c>
    </row>
    <row r="2562" spans="1:24" x14ac:dyDescent="0.15">
      <c r="A2562" s="93" t="s">
        <v>3935</v>
      </c>
      <c r="B2562" s="93" t="s">
        <v>3936</v>
      </c>
      <c r="C2562" s="410">
        <v>145</v>
      </c>
      <c r="D2562" s="93" t="s">
        <v>24</v>
      </c>
      <c r="E2562" s="93" t="s">
        <v>24</v>
      </c>
      <c r="F2562" s="93" t="s">
        <v>7070</v>
      </c>
      <c r="G2562" s="93" t="s">
        <v>7108</v>
      </c>
      <c r="H2562" s="93" t="s">
        <v>118</v>
      </c>
      <c r="I2562" s="93" t="s">
        <v>111</v>
      </c>
      <c r="J2562" s="93" t="s">
        <v>7105</v>
      </c>
      <c r="K2562" s="93" t="s">
        <v>111</v>
      </c>
      <c r="L2562" s="93" t="s">
        <v>111</v>
      </c>
      <c r="M2562" s="93" t="s">
        <v>111</v>
      </c>
      <c r="N2562" s="93" t="s">
        <v>111</v>
      </c>
      <c r="O2562" s="93" t="s">
        <v>111</v>
      </c>
      <c r="P2562" s="93" t="s">
        <v>111</v>
      </c>
      <c r="Q2562" s="93" t="s">
        <v>111</v>
      </c>
      <c r="R2562" s="93" t="s">
        <v>111</v>
      </c>
      <c r="S2562" s="93" t="s">
        <v>111</v>
      </c>
      <c r="T2562" s="93" t="s">
        <v>115</v>
      </c>
      <c r="U2562" s="93" t="s">
        <v>116</v>
      </c>
      <c r="V2562" s="94">
        <v>44596.688194444447</v>
      </c>
      <c r="W2562" s="93" t="s">
        <v>1170</v>
      </c>
      <c r="X2562" s="93" t="s">
        <v>24</v>
      </c>
    </row>
    <row r="2563" spans="1:24" x14ac:dyDescent="0.15">
      <c r="A2563" s="93" t="s">
        <v>3937</v>
      </c>
      <c r="B2563" s="93" t="s">
        <v>3938</v>
      </c>
      <c r="C2563" s="410">
        <v>98</v>
      </c>
      <c r="D2563" s="93" t="s">
        <v>24</v>
      </c>
      <c r="E2563" s="93" t="s">
        <v>24</v>
      </c>
      <c r="F2563" s="93" t="s">
        <v>7070</v>
      </c>
      <c r="G2563" s="93" t="s">
        <v>7108</v>
      </c>
      <c r="H2563" s="93" t="s">
        <v>118</v>
      </c>
      <c r="I2563" s="93" t="s">
        <v>111</v>
      </c>
      <c r="J2563" s="93" t="s">
        <v>118</v>
      </c>
      <c r="K2563" s="93">
        <v>3</v>
      </c>
      <c r="L2563" s="93" t="s">
        <v>111</v>
      </c>
      <c r="M2563" s="93" t="s">
        <v>111</v>
      </c>
      <c r="N2563" s="93" t="s">
        <v>111</v>
      </c>
      <c r="O2563" s="93" t="s">
        <v>111</v>
      </c>
      <c r="P2563" s="93" t="s">
        <v>111</v>
      </c>
      <c r="Q2563" s="93" t="s">
        <v>111</v>
      </c>
      <c r="R2563" s="93" t="s">
        <v>111</v>
      </c>
      <c r="S2563" s="93" t="s">
        <v>111</v>
      </c>
      <c r="T2563" s="93" t="s">
        <v>115</v>
      </c>
      <c r="U2563" s="93" t="s">
        <v>116</v>
      </c>
      <c r="V2563" s="94">
        <v>44586.547222222223</v>
      </c>
      <c r="W2563" s="93" t="s">
        <v>1170</v>
      </c>
      <c r="X2563" s="93" t="s">
        <v>24</v>
      </c>
    </row>
    <row r="2564" spans="1:24" x14ac:dyDescent="0.15">
      <c r="A2564" s="93" t="s">
        <v>9301</v>
      </c>
      <c r="B2564" s="93" t="s">
        <v>9302</v>
      </c>
      <c r="C2564" s="410">
        <v>180</v>
      </c>
      <c r="D2564" s="93" t="s">
        <v>24</v>
      </c>
      <c r="E2564" s="93" t="s">
        <v>24</v>
      </c>
      <c r="F2564" s="93" t="s">
        <v>7070</v>
      </c>
      <c r="G2564" s="93" t="s">
        <v>7108</v>
      </c>
      <c r="H2564" s="93" t="s">
        <v>118</v>
      </c>
      <c r="I2564" s="93" t="s">
        <v>111</v>
      </c>
      <c r="J2564" s="93" t="s">
        <v>118</v>
      </c>
      <c r="K2564" s="93">
        <v>3</v>
      </c>
      <c r="L2564" s="93" t="s">
        <v>111</v>
      </c>
      <c r="M2564" s="93" t="s">
        <v>111</v>
      </c>
      <c r="N2564" s="93" t="s">
        <v>111</v>
      </c>
      <c r="O2564" s="93" t="s">
        <v>111</v>
      </c>
      <c r="P2564" s="93" t="s">
        <v>111</v>
      </c>
      <c r="Q2564" s="93" t="s">
        <v>111</v>
      </c>
      <c r="R2564" s="93" t="s">
        <v>228</v>
      </c>
      <c r="S2564" s="93" t="s">
        <v>2</v>
      </c>
      <c r="T2564" s="93" t="s">
        <v>115</v>
      </c>
      <c r="U2564" s="93" t="s">
        <v>116</v>
      </c>
      <c r="V2564" s="94">
        <v>44596.663888888892</v>
      </c>
      <c r="W2564" s="93" t="s">
        <v>1170</v>
      </c>
      <c r="X2564" s="93" t="s">
        <v>24</v>
      </c>
    </row>
    <row r="2565" spans="1:24" x14ac:dyDescent="0.15">
      <c r="A2565" s="93" t="s">
        <v>3939</v>
      </c>
      <c r="B2565" s="93" t="s">
        <v>3940</v>
      </c>
      <c r="C2565" s="410">
        <v>195</v>
      </c>
      <c r="D2565" s="93" t="s">
        <v>24</v>
      </c>
      <c r="E2565" s="93" t="s">
        <v>24</v>
      </c>
      <c r="F2565" s="93" t="s">
        <v>7070</v>
      </c>
      <c r="G2565" s="93" t="s">
        <v>7108</v>
      </c>
      <c r="H2565" s="93" t="s">
        <v>118</v>
      </c>
      <c r="I2565" s="93" t="s">
        <v>111</v>
      </c>
      <c r="J2565" s="93" t="s">
        <v>7105</v>
      </c>
      <c r="K2565" s="93" t="s">
        <v>111</v>
      </c>
      <c r="L2565" s="93" t="s">
        <v>111</v>
      </c>
      <c r="M2565" s="93" t="s">
        <v>111</v>
      </c>
      <c r="N2565" s="93" t="s">
        <v>111</v>
      </c>
      <c r="O2565" s="93" t="s">
        <v>111</v>
      </c>
      <c r="P2565" s="93" t="s">
        <v>111</v>
      </c>
      <c r="Q2565" s="93" t="s">
        <v>111</v>
      </c>
      <c r="R2565" s="93" t="s">
        <v>111</v>
      </c>
      <c r="S2565" s="93" t="s">
        <v>111</v>
      </c>
      <c r="T2565" s="93" t="s">
        <v>111</v>
      </c>
      <c r="U2565" s="93" t="s">
        <v>116</v>
      </c>
      <c r="V2565" s="94">
        <v>44596.645833333336</v>
      </c>
      <c r="W2565" s="93" t="s">
        <v>1170</v>
      </c>
      <c r="X2565" s="93" t="s">
        <v>24</v>
      </c>
    </row>
    <row r="2566" spans="1:24" x14ac:dyDescent="0.15">
      <c r="A2566" s="93" t="s">
        <v>9303</v>
      </c>
      <c r="B2566" s="93" t="s">
        <v>9304</v>
      </c>
      <c r="C2566" s="410">
        <v>105</v>
      </c>
      <c r="D2566" s="93" t="s">
        <v>24</v>
      </c>
      <c r="E2566" s="93" t="s">
        <v>24</v>
      </c>
      <c r="F2566" s="93" t="s">
        <v>7070</v>
      </c>
      <c r="G2566" s="93" t="s">
        <v>7108</v>
      </c>
      <c r="H2566" s="93" t="s">
        <v>118</v>
      </c>
      <c r="I2566" s="93" t="s">
        <v>111</v>
      </c>
      <c r="J2566" s="93" t="s">
        <v>118</v>
      </c>
      <c r="K2566" s="93">
        <v>3</v>
      </c>
      <c r="L2566" s="93" t="s">
        <v>111</v>
      </c>
      <c r="M2566" s="93" t="s">
        <v>111</v>
      </c>
      <c r="N2566" s="93" t="s">
        <v>111</v>
      </c>
      <c r="O2566" s="93" t="s">
        <v>111</v>
      </c>
      <c r="P2566" s="93" t="s">
        <v>111</v>
      </c>
      <c r="Q2566" s="93" t="s">
        <v>111</v>
      </c>
      <c r="R2566" s="93" t="s">
        <v>228</v>
      </c>
      <c r="S2566" s="93" t="s">
        <v>2</v>
      </c>
      <c r="T2566" s="93" t="s">
        <v>115</v>
      </c>
      <c r="U2566" s="93" t="s">
        <v>116</v>
      </c>
      <c r="V2566" s="94">
        <v>44596.646527777775</v>
      </c>
      <c r="W2566" s="93" t="s">
        <v>1170</v>
      </c>
      <c r="X2566" s="93" t="s">
        <v>24</v>
      </c>
    </row>
    <row r="2567" spans="1:24" x14ac:dyDescent="0.15">
      <c r="A2567" s="93" t="s">
        <v>3941</v>
      </c>
      <c r="B2567" s="93" t="s">
        <v>3942</v>
      </c>
      <c r="C2567" s="410">
        <v>7</v>
      </c>
      <c r="D2567" s="93" t="s">
        <v>24</v>
      </c>
      <c r="E2567" s="93" t="s">
        <v>24</v>
      </c>
      <c r="F2567" s="93" t="s">
        <v>7070</v>
      </c>
      <c r="G2567" s="93" t="s">
        <v>7108</v>
      </c>
      <c r="H2567" s="93" t="s">
        <v>118</v>
      </c>
      <c r="I2567" s="93" t="s">
        <v>111</v>
      </c>
      <c r="J2567" s="93" t="s">
        <v>7105</v>
      </c>
      <c r="K2567" s="93" t="s">
        <v>111</v>
      </c>
      <c r="L2567" s="93" t="s">
        <v>111</v>
      </c>
      <c r="M2567" s="93" t="s">
        <v>111</v>
      </c>
      <c r="N2567" s="93" t="s">
        <v>111</v>
      </c>
      <c r="O2567" s="93" t="s">
        <v>111</v>
      </c>
      <c r="P2567" s="93" t="s">
        <v>111</v>
      </c>
      <c r="Q2567" s="93" t="s">
        <v>111</v>
      </c>
      <c r="R2567" s="93" t="s">
        <v>111</v>
      </c>
      <c r="S2567" s="93" t="s">
        <v>111</v>
      </c>
      <c r="T2567" s="93" t="s">
        <v>115</v>
      </c>
      <c r="U2567" s="93" t="s">
        <v>116</v>
      </c>
      <c r="V2567" s="94">
        <v>44610.138888888891</v>
      </c>
      <c r="W2567" s="93" t="s">
        <v>1170</v>
      </c>
      <c r="X2567" s="93" t="s">
        <v>24</v>
      </c>
    </row>
    <row r="2568" spans="1:24" x14ac:dyDescent="0.15">
      <c r="A2568" s="93" t="s">
        <v>3943</v>
      </c>
      <c r="B2568" s="93" t="s">
        <v>3944</v>
      </c>
      <c r="C2568" s="410">
        <v>9</v>
      </c>
      <c r="D2568" s="93" t="s">
        <v>24</v>
      </c>
      <c r="E2568" s="93" t="s">
        <v>24</v>
      </c>
      <c r="F2568" s="93" t="s">
        <v>7070</v>
      </c>
      <c r="G2568" s="93" t="s">
        <v>7108</v>
      </c>
      <c r="H2568" s="93" t="s">
        <v>118</v>
      </c>
      <c r="I2568" s="93" t="s">
        <v>111</v>
      </c>
      <c r="J2568" s="93" t="s">
        <v>7105</v>
      </c>
      <c r="K2568" s="93" t="s">
        <v>111</v>
      </c>
      <c r="L2568" s="93" t="s">
        <v>111</v>
      </c>
      <c r="M2568" s="93" t="s">
        <v>111</v>
      </c>
      <c r="N2568" s="93" t="s">
        <v>111</v>
      </c>
      <c r="O2568" s="93" t="s">
        <v>111</v>
      </c>
      <c r="P2568" s="93" t="s">
        <v>111</v>
      </c>
      <c r="Q2568" s="93" t="s">
        <v>111</v>
      </c>
      <c r="R2568" s="93" t="s">
        <v>111</v>
      </c>
      <c r="S2568" s="93" t="s">
        <v>111</v>
      </c>
      <c r="T2568" s="93" t="s">
        <v>115</v>
      </c>
      <c r="U2568" s="93" t="s">
        <v>116</v>
      </c>
      <c r="V2568" s="94">
        <v>44610.178472222222</v>
      </c>
      <c r="W2568" s="93" t="s">
        <v>1170</v>
      </c>
      <c r="X2568" s="93" t="s">
        <v>24</v>
      </c>
    </row>
    <row r="2569" spans="1:24" x14ac:dyDescent="0.15">
      <c r="A2569" s="93" t="s">
        <v>7960</v>
      </c>
      <c r="B2569" s="93" t="s">
        <v>7961</v>
      </c>
      <c r="C2569" s="410">
        <v>15</v>
      </c>
      <c r="D2569" s="93" t="s">
        <v>24</v>
      </c>
      <c r="E2569" s="93" t="s">
        <v>24</v>
      </c>
      <c r="F2569" s="93" t="s">
        <v>7</v>
      </c>
      <c r="G2569" s="93" t="s">
        <v>7108</v>
      </c>
      <c r="H2569" s="93" t="s">
        <v>118</v>
      </c>
      <c r="I2569" s="93" t="s">
        <v>111</v>
      </c>
      <c r="J2569" s="93" t="s">
        <v>118</v>
      </c>
      <c r="K2569" s="93">
        <v>3</v>
      </c>
      <c r="L2569" s="93" t="s">
        <v>111</v>
      </c>
      <c r="M2569" s="93" t="s">
        <v>111</v>
      </c>
      <c r="N2569" s="93" t="s">
        <v>111</v>
      </c>
      <c r="O2569" s="93" t="s">
        <v>111</v>
      </c>
      <c r="P2569" s="93" t="s">
        <v>111</v>
      </c>
      <c r="Q2569" s="93" t="s">
        <v>111</v>
      </c>
      <c r="R2569" s="93" t="s">
        <v>228</v>
      </c>
      <c r="S2569" s="93" t="s">
        <v>2</v>
      </c>
      <c r="T2569" s="93" t="s">
        <v>115</v>
      </c>
      <c r="U2569" s="93" t="s">
        <v>116</v>
      </c>
      <c r="V2569" s="94">
        <v>44597.636805555558</v>
      </c>
      <c r="W2569" s="93" t="s">
        <v>7913</v>
      </c>
      <c r="X2569" s="93" t="s">
        <v>24</v>
      </c>
    </row>
    <row r="2570" spans="1:24" x14ac:dyDescent="0.15">
      <c r="A2570" s="93" t="s">
        <v>9305</v>
      </c>
      <c r="B2570" s="93" t="s">
        <v>9306</v>
      </c>
      <c r="C2570" s="410">
        <v>134</v>
      </c>
      <c r="D2570" s="93" t="s">
        <v>24</v>
      </c>
      <c r="E2570" s="93" t="s">
        <v>24</v>
      </c>
      <c r="F2570" s="93" t="s">
        <v>7070</v>
      </c>
      <c r="G2570" s="93" t="s">
        <v>7108</v>
      </c>
      <c r="H2570" s="93" t="s">
        <v>118</v>
      </c>
      <c r="I2570" s="93" t="s">
        <v>111</v>
      </c>
      <c r="J2570" s="93" t="s">
        <v>7105</v>
      </c>
      <c r="K2570" s="93" t="s">
        <v>111</v>
      </c>
      <c r="L2570" s="93" t="s">
        <v>111</v>
      </c>
      <c r="M2570" s="93" t="s">
        <v>111</v>
      </c>
      <c r="N2570" s="93" t="s">
        <v>111</v>
      </c>
      <c r="O2570" s="93" t="s">
        <v>111</v>
      </c>
      <c r="P2570" s="93" t="s">
        <v>111</v>
      </c>
      <c r="Q2570" s="93" t="s">
        <v>111</v>
      </c>
      <c r="R2570" s="93" t="s">
        <v>228</v>
      </c>
      <c r="S2570" s="93" t="s">
        <v>2</v>
      </c>
      <c r="T2570" s="93" t="s">
        <v>115</v>
      </c>
      <c r="U2570" s="93" t="s">
        <v>116</v>
      </c>
      <c r="V2570" s="94">
        <v>44596.69027777778</v>
      </c>
      <c r="W2570" s="93" t="s">
        <v>1170</v>
      </c>
      <c r="X2570" s="93" t="s">
        <v>24</v>
      </c>
    </row>
    <row r="2571" spans="1:24" x14ac:dyDescent="0.15">
      <c r="A2571" s="93" t="s">
        <v>7962</v>
      </c>
      <c r="B2571" s="93" t="s">
        <v>7963</v>
      </c>
      <c r="C2571" s="410">
        <v>46</v>
      </c>
      <c r="D2571" s="93" t="s">
        <v>24</v>
      </c>
      <c r="E2571" s="93" t="s">
        <v>24</v>
      </c>
      <c r="F2571" s="93" t="s">
        <v>7070</v>
      </c>
      <c r="G2571" s="93" t="s">
        <v>7108</v>
      </c>
      <c r="H2571" s="93" t="s">
        <v>118</v>
      </c>
      <c r="I2571" s="93" t="s">
        <v>111</v>
      </c>
      <c r="J2571" s="93" t="s">
        <v>118</v>
      </c>
      <c r="K2571" s="93">
        <v>3</v>
      </c>
      <c r="L2571" s="93" t="s">
        <v>111</v>
      </c>
      <c r="M2571" s="93" t="s">
        <v>111</v>
      </c>
      <c r="N2571" s="93" t="s">
        <v>111</v>
      </c>
      <c r="O2571" s="93" t="s">
        <v>111</v>
      </c>
      <c r="P2571" s="93" t="s">
        <v>111</v>
      </c>
      <c r="Q2571" s="93" t="s">
        <v>111</v>
      </c>
      <c r="R2571" s="93" t="s">
        <v>228</v>
      </c>
      <c r="S2571" s="93" t="s">
        <v>2</v>
      </c>
      <c r="T2571" s="93" t="s">
        <v>115</v>
      </c>
      <c r="U2571" s="93" t="s">
        <v>116</v>
      </c>
      <c r="V2571" s="94">
        <v>44602.491666666669</v>
      </c>
      <c r="W2571" s="93" t="s">
        <v>402</v>
      </c>
      <c r="X2571" s="93" t="s">
        <v>24</v>
      </c>
    </row>
    <row r="2572" spans="1:24" x14ac:dyDescent="0.15">
      <c r="A2572" s="93" t="s">
        <v>7964</v>
      </c>
      <c r="B2572" s="93" t="s">
        <v>7965</v>
      </c>
      <c r="C2572" s="410">
        <v>51</v>
      </c>
      <c r="D2572" s="93" t="s">
        <v>24</v>
      </c>
      <c r="E2572" s="93" t="s">
        <v>24</v>
      </c>
      <c r="F2572" s="93" t="s">
        <v>7070</v>
      </c>
      <c r="G2572" s="93" t="s">
        <v>7108</v>
      </c>
      <c r="H2572" s="93" t="s">
        <v>118</v>
      </c>
      <c r="I2572" s="93" t="s">
        <v>111</v>
      </c>
      <c r="J2572" s="93" t="s">
        <v>118</v>
      </c>
      <c r="K2572" s="93">
        <v>3</v>
      </c>
      <c r="L2572" s="93" t="s">
        <v>111</v>
      </c>
      <c r="M2572" s="93" t="s">
        <v>111</v>
      </c>
      <c r="N2572" s="93" t="s">
        <v>111</v>
      </c>
      <c r="O2572" s="93" t="s">
        <v>111</v>
      </c>
      <c r="P2572" s="93" t="s">
        <v>111</v>
      </c>
      <c r="Q2572" s="93" t="s">
        <v>111</v>
      </c>
      <c r="R2572" s="93" t="s">
        <v>228</v>
      </c>
      <c r="S2572" s="93" t="s">
        <v>2</v>
      </c>
      <c r="T2572" s="93" t="s">
        <v>115</v>
      </c>
      <c r="U2572" s="93" t="s">
        <v>116</v>
      </c>
      <c r="V2572" s="94">
        <v>44602.986805555556</v>
      </c>
      <c r="W2572" s="93" t="s">
        <v>402</v>
      </c>
      <c r="X2572" s="93" t="s">
        <v>24</v>
      </c>
    </row>
    <row r="2573" spans="1:24" x14ac:dyDescent="0.15">
      <c r="A2573" s="93" t="s">
        <v>7024</v>
      </c>
      <c r="B2573" s="93" t="s">
        <v>7026</v>
      </c>
      <c r="C2573" s="410">
        <v>80</v>
      </c>
      <c r="D2573" s="93" t="s">
        <v>24</v>
      </c>
      <c r="E2573" s="93" t="s">
        <v>24</v>
      </c>
      <c r="F2573" s="93" t="s">
        <v>7070</v>
      </c>
      <c r="G2573" s="93" t="s">
        <v>7108</v>
      </c>
      <c r="H2573" s="93" t="s">
        <v>400</v>
      </c>
      <c r="I2573" s="93" t="s">
        <v>111</v>
      </c>
      <c r="J2573" s="93" t="s">
        <v>7105</v>
      </c>
      <c r="K2573" s="93" t="s">
        <v>111</v>
      </c>
      <c r="L2573" s="93" t="s">
        <v>111</v>
      </c>
      <c r="M2573" s="93" t="s">
        <v>111</v>
      </c>
      <c r="N2573" s="93" t="s">
        <v>111</v>
      </c>
      <c r="O2573" s="93" t="s">
        <v>111</v>
      </c>
      <c r="P2573" s="93" t="s">
        <v>111</v>
      </c>
      <c r="Q2573" s="93" t="s">
        <v>111</v>
      </c>
      <c r="R2573" s="93" t="s">
        <v>228</v>
      </c>
      <c r="S2573" s="93" t="s">
        <v>111</v>
      </c>
      <c r="T2573" s="93" t="s">
        <v>115</v>
      </c>
      <c r="U2573" s="93" t="s">
        <v>116</v>
      </c>
      <c r="V2573" s="94">
        <v>44610.202777777777</v>
      </c>
      <c r="W2573" s="93" t="s">
        <v>402</v>
      </c>
      <c r="X2573" s="93" t="s">
        <v>24</v>
      </c>
    </row>
    <row r="2574" spans="1:24" x14ac:dyDescent="0.15">
      <c r="A2574" s="93" t="s">
        <v>7035</v>
      </c>
      <c r="B2574" s="93" t="s">
        <v>7036</v>
      </c>
      <c r="C2574" s="410">
        <v>117</v>
      </c>
      <c r="D2574" s="93" t="s">
        <v>24</v>
      </c>
      <c r="E2574" s="93" t="s">
        <v>24</v>
      </c>
      <c r="F2574" s="93" t="s">
        <v>7070</v>
      </c>
      <c r="G2574" s="93" t="s">
        <v>7108</v>
      </c>
      <c r="H2574" s="93" t="s">
        <v>400</v>
      </c>
      <c r="I2574" s="93" t="s">
        <v>111</v>
      </c>
      <c r="J2574" s="93" t="s">
        <v>7105</v>
      </c>
      <c r="K2574" s="93" t="s">
        <v>111</v>
      </c>
      <c r="L2574" s="93" t="s">
        <v>111</v>
      </c>
      <c r="M2574" s="93" t="s">
        <v>111</v>
      </c>
      <c r="N2574" s="93" t="s">
        <v>111</v>
      </c>
      <c r="O2574" s="93" t="s">
        <v>111</v>
      </c>
      <c r="P2574" s="93" t="s">
        <v>111</v>
      </c>
      <c r="Q2574" s="93" t="s">
        <v>111</v>
      </c>
      <c r="R2574" s="93" t="s">
        <v>228</v>
      </c>
      <c r="S2574" s="93" t="s">
        <v>111</v>
      </c>
      <c r="T2574" s="93" t="s">
        <v>115</v>
      </c>
      <c r="U2574" s="93" t="s">
        <v>116</v>
      </c>
      <c r="V2574" s="94">
        <v>44610.164583333331</v>
      </c>
      <c r="W2574" s="93" t="s">
        <v>402</v>
      </c>
      <c r="X2574" s="93" t="s">
        <v>24</v>
      </c>
    </row>
    <row r="2575" spans="1:24" x14ac:dyDescent="0.15">
      <c r="A2575" s="93" t="s">
        <v>7970</v>
      </c>
      <c r="B2575" s="93" t="s">
        <v>7971</v>
      </c>
      <c r="C2575" s="410">
        <v>48</v>
      </c>
      <c r="D2575" s="93" t="s">
        <v>24</v>
      </c>
      <c r="E2575" s="93" t="s">
        <v>24</v>
      </c>
      <c r="F2575" s="93" t="s">
        <v>7070</v>
      </c>
      <c r="G2575" s="93" t="s">
        <v>7108</v>
      </c>
      <c r="H2575" s="93" t="s">
        <v>118</v>
      </c>
      <c r="I2575" s="93" t="s">
        <v>111</v>
      </c>
      <c r="J2575" s="93" t="s">
        <v>118</v>
      </c>
      <c r="K2575" s="93">
        <v>3</v>
      </c>
      <c r="L2575" s="93" t="s">
        <v>111</v>
      </c>
      <c r="M2575" s="93" t="s">
        <v>111</v>
      </c>
      <c r="N2575" s="93" t="s">
        <v>111</v>
      </c>
      <c r="O2575" s="93" t="s">
        <v>111</v>
      </c>
      <c r="P2575" s="93" t="s">
        <v>111</v>
      </c>
      <c r="Q2575" s="93" t="s">
        <v>111</v>
      </c>
      <c r="R2575" s="93" t="s">
        <v>228</v>
      </c>
      <c r="S2575" s="93" t="s">
        <v>2</v>
      </c>
      <c r="T2575" s="93" t="s">
        <v>115</v>
      </c>
      <c r="U2575" s="93" t="s">
        <v>116</v>
      </c>
      <c r="V2575" s="94">
        <v>44597.637499999997</v>
      </c>
      <c r="W2575" s="93" t="s">
        <v>402</v>
      </c>
      <c r="X2575" s="93" t="s">
        <v>24</v>
      </c>
    </row>
    <row r="2576" spans="1:24" x14ac:dyDescent="0.15">
      <c r="A2576" s="93" t="s">
        <v>7972</v>
      </c>
      <c r="B2576" s="93" t="s">
        <v>7973</v>
      </c>
      <c r="C2576" s="410">
        <v>69</v>
      </c>
      <c r="D2576" s="93" t="s">
        <v>24</v>
      </c>
      <c r="E2576" s="93" t="s">
        <v>24</v>
      </c>
      <c r="F2576" s="93" t="s">
        <v>7070</v>
      </c>
      <c r="G2576" s="93" t="s">
        <v>7108</v>
      </c>
      <c r="H2576" s="93" t="s">
        <v>118</v>
      </c>
      <c r="I2576" s="93" t="s">
        <v>111</v>
      </c>
      <c r="J2576" s="93" t="s">
        <v>118</v>
      </c>
      <c r="K2576" s="93">
        <v>3</v>
      </c>
      <c r="L2576" s="93" t="s">
        <v>111</v>
      </c>
      <c r="M2576" s="93" t="s">
        <v>111</v>
      </c>
      <c r="N2576" s="93" t="s">
        <v>111</v>
      </c>
      <c r="O2576" s="93" t="s">
        <v>111</v>
      </c>
      <c r="P2576" s="93" t="s">
        <v>111</v>
      </c>
      <c r="Q2576" s="93" t="s">
        <v>111</v>
      </c>
      <c r="R2576" s="93" t="s">
        <v>228</v>
      </c>
      <c r="S2576" s="93" t="s">
        <v>2</v>
      </c>
      <c r="T2576" s="93" t="s">
        <v>115</v>
      </c>
      <c r="U2576" s="93" t="s">
        <v>116</v>
      </c>
      <c r="V2576" s="94">
        <v>44602.491666666669</v>
      </c>
      <c r="W2576" s="93" t="s">
        <v>402</v>
      </c>
      <c r="X2576" s="93" t="s">
        <v>24</v>
      </c>
    </row>
    <row r="2577" spans="1:24" x14ac:dyDescent="0.15">
      <c r="A2577" s="93" t="s">
        <v>7045</v>
      </c>
      <c r="B2577" s="93" t="s">
        <v>7046</v>
      </c>
      <c r="C2577" s="410">
        <v>123</v>
      </c>
      <c r="D2577" s="93" t="s">
        <v>24</v>
      </c>
      <c r="E2577" s="93" t="s">
        <v>24</v>
      </c>
      <c r="F2577" s="93" t="s">
        <v>7070</v>
      </c>
      <c r="G2577" s="93" t="s">
        <v>7108</v>
      </c>
      <c r="H2577" s="93" t="s">
        <v>400</v>
      </c>
      <c r="I2577" s="93" t="s">
        <v>111</v>
      </c>
      <c r="J2577" s="93" t="s">
        <v>7105</v>
      </c>
      <c r="K2577" s="93" t="s">
        <v>111</v>
      </c>
      <c r="L2577" s="93" t="s">
        <v>111</v>
      </c>
      <c r="M2577" s="93" t="s">
        <v>111</v>
      </c>
      <c r="N2577" s="93" t="s">
        <v>111</v>
      </c>
      <c r="O2577" s="93" t="s">
        <v>111</v>
      </c>
      <c r="P2577" s="93" t="s">
        <v>111</v>
      </c>
      <c r="Q2577" s="93" t="s">
        <v>111</v>
      </c>
      <c r="R2577" s="93" t="s">
        <v>228</v>
      </c>
      <c r="S2577" s="93" t="s">
        <v>111</v>
      </c>
      <c r="T2577" s="93" t="s">
        <v>115</v>
      </c>
      <c r="U2577" s="93" t="s">
        <v>116</v>
      </c>
      <c r="V2577" s="94">
        <v>44610.196527777778</v>
      </c>
      <c r="W2577" s="93" t="s">
        <v>402</v>
      </c>
      <c r="X2577" s="93" t="s">
        <v>24</v>
      </c>
    </row>
    <row r="2578" spans="1:24" x14ac:dyDescent="0.15">
      <c r="A2578" s="93" t="s">
        <v>7974</v>
      </c>
      <c r="B2578" s="93" t="s">
        <v>7975</v>
      </c>
      <c r="C2578" s="410">
        <v>80</v>
      </c>
      <c r="D2578" s="93" t="s">
        <v>24</v>
      </c>
      <c r="E2578" s="93" t="s">
        <v>24</v>
      </c>
      <c r="F2578" s="93" t="s">
        <v>7070</v>
      </c>
      <c r="G2578" s="93" t="s">
        <v>7108</v>
      </c>
      <c r="H2578" s="93" t="s">
        <v>118</v>
      </c>
      <c r="I2578" s="93" t="s">
        <v>111</v>
      </c>
      <c r="J2578" s="93" t="s">
        <v>118</v>
      </c>
      <c r="K2578" s="93">
        <v>3</v>
      </c>
      <c r="L2578" s="93" t="s">
        <v>111</v>
      </c>
      <c r="M2578" s="93" t="s">
        <v>111</v>
      </c>
      <c r="N2578" s="93" t="s">
        <v>111</v>
      </c>
      <c r="O2578" s="93" t="s">
        <v>111</v>
      </c>
      <c r="P2578" s="93" t="s">
        <v>111</v>
      </c>
      <c r="Q2578" s="93" t="s">
        <v>111</v>
      </c>
      <c r="R2578" s="93" t="s">
        <v>228</v>
      </c>
      <c r="S2578" s="93" t="s">
        <v>2</v>
      </c>
      <c r="T2578" s="93" t="s">
        <v>115</v>
      </c>
      <c r="U2578" s="93" t="s">
        <v>116</v>
      </c>
      <c r="V2578" s="94">
        <v>44597.637499999997</v>
      </c>
      <c r="W2578" s="93" t="s">
        <v>402</v>
      </c>
      <c r="X2578" s="93" t="s">
        <v>24</v>
      </c>
    </row>
    <row r="2579" spans="1:24" x14ac:dyDescent="0.15">
      <c r="A2579" s="93" t="s">
        <v>7976</v>
      </c>
      <c r="B2579" s="93" t="s">
        <v>7977</v>
      </c>
      <c r="C2579" s="410">
        <v>112</v>
      </c>
      <c r="D2579" s="93" t="s">
        <v>24</v>
      </c>
      <c r="E2579" s="93" t="s">
        <v>24</v>
      </c>
      <c r="F2579" s="93" t="s">
        <v>7070</v>
      </c>
      <c r="G2579" s="93" t="s">
        <v>7108</v>
      </c>
      <c r="H2579" s="93" t="s">
        <v>118</v>
      </c>
      <c r="I2579" s="93" t="s">
        <v>111</v>
      </c>
      <c r="J2579" s="93" t="s">
        <v>118</v>
      </c>
      <c r="K2579" s="93">
        <v>3</v>
      </c>
      <c r="L2579" s="93" t="s">
        <v>111</v>
      </c>
      <c r="M2579" s="93" t="s">
        <v>111</v>
      </c>
      <c r="N2579" s="93" t="s">
        <v>111</v>
      </c>
      <c r="O2579" s="93" t="s">
        <v>111</v>
      </c>
      <c r="P2579" s="93" t="s">
        <v>111</v>
      </c>
      <c r="Q2579" s="93" t="s">
        <v>111</v>
      </c>
      <c r="R2579" s="93" t="s">
        <v>228</v>
      </c>
      <c r="S2579" s="93" t="s">
        <v>2</v>
      </c>
      <c r="T2579" s="93" t="s">
        <v>115</v>
      </c>
      <c r="U2579" s="93" t="s">
        <v>116</v>
      </c>
      <c r="V2579" s="94">
        <v>44597.637499999997</v>
      </c>
      <c r="W2579" s="93" t="s">
        <v>402</v>
      </c>
      <c r="X2579" s="93" t="s">
        <v>24</v>
      </c>
    </row>
    <row r="2580" spans="1:24" x14ac:dyDescent="0.15">
      <c r="A2580" s="93" t="s">
        <v>7978</v>
      </c>
      <c r="B2580" s="93" t="s">
        <v>7979</v>
      </c>
      <c r="C2580" s="410">
        <v>96</v>
      </c>
      <c r="D2580" s="93" t="s">
        <v>24</v>
      </c>
      <c r="E2580" s="93" t="s">
        <v>24</v>
      </c>
      <c r="F2580" s="93" t="s">
        <v>7070</v>
      </c>
      <c r="G2580" s="93" t="s">
        <v>7108</v>
      </c>
      <c r="H2580" s="93" t="s">
        <v>118</v>
      </c>
      <c r="I2580" s="93" t="s">
        <v>111</v>
      </c>
      <c r="J2580" s="93" t="s">
        <v>118</v>
      </c>
      <c r="K2580" s="93">
        <v>3</v>
      </c>
      <c r="L2580" s="93" t="s">
        <v>111</v>
      </c>
      <c r="M2580" s="93" t="s">
        <v>111</v>
      </c>
      <c r="N2580" s="93" t="s">
        <v>111</v>
      </c>
      <c r="O2580" s="93" t="s">
        <v>111</v>
      </c>
      <c r="P2580" s="93" t="s">
        <v>111</v>
      </c>
      <c r="Q2580" s="93" t="s">
        <v>111</v>
      </c>
      <c r="R2580" s="93" t="s">
        <v>228</v>
      </c>
      <c r="S2580" s="93" t="s">
        <v>2</v>
      </c>
      <c r="T2580" s="93" t="s">
        <v>115</v>
      </c>
      <c r="U2580" s="93" t="s">
        <v>116</v>
      </c>
      <c r="V2580" s="94">
        <v>44597.637499999997</v>
      </c>
      <c r="W2580" s="93" t="s">
        <v>402</v>
      </c>
      <c r="X2580" s="93" t="s">
        <v>24</v>
      </c>
    </row>
    <row r="2581" spans="1:24" x14ac:dyDescent="0.15">
      <c r="A2581" s="93" t="s">
        <v>7980</v>
      </c>
      <c r="B2581" s="93" t="s">
        <v>7981</v>
      </c>
      <c r="C2581" s="410">
        <v>508</v>
      </c>
      <c r="D2581" s="93" t="s">
        <v>24</v>
      </c>
      <c r="E2581" s="93" t="s">
        <v>24</v>
      </c>
      <c r="F2581" s="93" t="s">
        <v>5978</v>
      </c>
      <c r="G2581" s="93" t="s">
        <v>7108</v>
      </c>
      <c r="H2581" s="93" t="s">
        <v>118</v>
      </c>
      <c r="I2581" s="93" t="s">
        <v>111</v>
      </c>
      <c r="J2581" s="93" t="s">
        <v>118</v>
      </c>
      <c r="K2581" s="93">
        <v>3</v>
      </c>
      <c r="L2581" s="93" t="s">
        <v>111</v>
      </c>
      <c r="M2581" s="93" t="s">
        <v>111</v>
      </c>
      <c r="N2581" s="93" t="s">
        <v>111</v>
      </c>
      <c r="O2581" s="93" t="s">
        <v>111</v>
      </c>
      <c r="P2581" s="93" t="s">
        <v>111</v>
      </c>
      <c r="Q2581" s="93" t="s">
        <v>111</v>
      </c>
      <c r="R2581" s="93" t="s">
        <v>228</v>
      </c>
      <c r="S2581" s="93" t="s">
        <v>2</v>
      </c>
      <c r="T2581" s="93" t="s">
        <v>115</v>
      </c>
      <c r="U2581" s="93" t="s">
        <v>116</v>
      </c>
      <c r="V2581" s="94">
        <v>44602.491666666669</v>
      </c>
      <c r="W2581" s="93" t="s">
        <v>402</v>
      </c>
      <c r="X2581" s="93" t="s">
        <v>24</v>
      </c>
    </row>
    <row r="2582" spans="1:24" x14ac:dyDescent="0.15">
      <c r="A2582" s="93" t="s">
        <v>7982</v>
      </c>
      <c r="B2582" s="93" t="s">
        <v>7983</v>
      </c>
      <c r="C2582" s="410">
        <v>33</v>
      </c>
      <c r="D2582" s="93" t="s">
        <v>24</v>
      </c>
      <c r="E2582" s="93" t="s">
        <v>24</v>
      </c>
      <c r="F2582" s="93" t="s">
        <v>5978</v>
      </c>
      <c r="G2582" s="93" t="s">
        <v>7108</v>
      </c>
      <c r="H2582" s="93" t="s">
        <v>118</v>
      </c>
      <c r="I2582" s="93" t="s">
        <v>111</v>
      </c>
      <c r="J2582" s="93" t="s">
        <v>118</v>
      </c>
      <c r="K2582" s="93">
        <v>3</v>
      </c>
      <c r="L2582" s="93" t="s">
        <v>111</v>
      </c>
      <c r="M2582" s="93" t="s">
        <v>111</v>
      </c>
      <c r="N2582" s="93" t="s">
        <v>111</v>
      </c>
      <c r="O2582" s="93" t="s">
        <v>111</v>
      </c>
      <c r="P2582" s="93" t="s">
        <v>111</v>
      </c>
      <c r="Q2582" s="93" t="s">
        <v>111</v>
      </c>
      <c r="R2582" s="93" t="s">
        <v>228</v>
      </c>
      <c r="S2582" s="93" t="s">
        <v>2</v>
      </c>
      <c r="T2582" s="93" t="s">
        <v>115</v>
      </c>
      <c r="U2582" s="93" t="s">
        <v>116</v>
      </c>
      <c r="V2582" s="94">
        <v>44602.491666666669</v>
      </c>
      <c r="W2582" s="93" t="s">
        <v>402</v>
      </c>
      <c r="X2582" s="93" t="s">
        <v>24</v>
      </c>
    </row>
    <row r="2583" spans="1:24" x14ac:dyDescent="0.15">
      <c r="A2583" s="93" t="s">
        <v>6295</v>
      </c>
      <c r="B2583" s="93" t="s">
        <v>6296</v>
      </c>
      <c r="C2583" s="410">
        <v>14</v>
      </c>
      <c r="D2583" s="93" t="s">
        <v>24</v>
      </c>
      <c r="E2583" s="93" t="s">
        <v>24</v>
      </c>
      <c r="F2583" s="93" t="s">
        <v>7070</v>
      </c>
      <c r="G2583" s="93" t="s">
        <v>7108</v>
      </c>
      <c r="H2583" s="93" t="s">
        <v>118</v>
      </c>
      <c r="I2583" s="93" t="s">
        <v>111</v>
      </c>
      <c r="J2583" s="93" t="s">
        <v>118</v>
      </c>
      <c r="K2583" s="93">
        <v>3</v>
      </c>
      <c r="L2583" s="93" t="s">
        <v>111</v>
      </c>
      <c r="M2583" s="93" t="s">
        <v>111</v>
      </c>
      <c r="N2583" s="93" t="s">
        <v>111</v>
      </c>
      <c r="O2583" s="93" t="s">
        <v>111</v>
      </c>
      <c r="P2583" s="93" t="s">
        <v>111</v>
      </c>
      <c r="Q2583" s="93" t="s">
        <v>111</v>
      </c>
      <c r="R2583" s="93" t="s">
        <v>228</v>
      </c>
      <c r="S2583" s="93" t="s">
        <v>2</v>
      </c>
      <c r="T2583" s="93" t="s">
        <v>115</v>
      </c>
      <c r="U2583" s="93" t="s">
        <v>116</v>
      </c>
      <c r="V2583" s="94">
        <v>44596.682638888888</v>
      </c>
      <c r="W2583" s="93" t="s">
        <v>1170</v>
      </c>
      <c r="X2583" s="93" t="s">
        <v>24</v>
      </c>
    </row>
    <row r="2584" spans="1:24" x14ac:dyDescent="0.15">
      <c r="A2584" s="93" t="s">
        <v>6304</v>
      </c>
      <c r="B2584" s="93" t="s">
        <v>6305</v>
      </c>
      <c r="C2584" s="410">
        <v>32</v>
      </c>
      <c r="D2584" s="93" t="s">
        <v>24</v>
      </c>
      <c r="E2584" s="93" t="s">
        <v>24</v>
      </c>
      <c r="F2584" s="93" t="s">
        <v>7070</v>
      </c>
      <c r="G2584" s="93" t="s">
        <v>7108</v>
      </c>
      <c r="H2584" s="93" t="s">
        <v>118</v>
      </c>
      <c r="I2584" s="93" t="s">
        <v>111</v>
      </c>
      <c r="J2584" s="93" t="s">
        <v>118</v>
      </c>
      <c r="K2584" s="93">
        <v>3</v>
      </c>
      <c r="L2584" s="93" t="s">
        <v>111</v>
      </c>
      <c r="M2584" s="93" t="s">
        <v>111</v>
      </c>
      <c r="N2584" s="93" t="s">
        <v>111</v>
      </c>
      <c r="O2584" s="93" t="s">
        <v>111</v>
      </c>
      <c r="P2584" s="93" t="s">
        <v>111</v>
      </c>
      <c r="Q2584" s="93" t="s">
        <v>111</v>
      </c>
      <c r="R2584" s="93" t="s">
        <v>228</v>
      </c>
      <c r="S2584" s="93" t="s">
        <v>2</v>
      </c>
      <c r="T2584" s="93" t="s">
        <v>115</v>
      </c>
      <c r="U2584" s="93" t="s">
        <v>116</v>
      </c>
      <c r="V2584" s="94">
        <v>44596.659722222219</v>
      </c>
      <c r="W2584" s="93" t="s">
        <v>1170</v>
      </c>
      <c r="X2584" s="93" t="s">
        <v>24</v>
      </c>
    </row>
    <row r="2585" spans="1:24" x14ac:dyDescent="0.15">
      <c r="A2585" s="93" t="s">
        <v>6313</v>
      </c>
      <c r="B2585" s="93" t="s">
        <v>6314</v>
      </c>
      <c r="C2585" s="410">
        <v>67</v>
      </c>
      <c r="D2585" s="93" t="s">
        <v>24</v>
      </c>
      <c r="E2585" s="93" t="s">
        <v>24</v>
      </c>
      <c r="F2585" s="93" t="s">
        <v>7070</v>
      </c>
      <c r="G2585" s="93" t="s">
        <v>7108</v>
      </c>
      <c r="H2585" s="93" t="s">
        <v>118</v>
      </c>
      <c r="I2585" s="93" t="s">
        <v>111</v>
      </c>
      <c r="J2585" s="93" t="s">
        <v>118</v>
      </c>
      <c r="K2585" s="93">
        <v>3</v>
      </c>
      <c r="L2585" s="93" t="s">
        <v>111</v>
      </c>
      <c r="M2585" s="93" t="s">
        <v>111</v>
      </c>
      <c r="N2585" s="93" t="s">
        <v>111</v>
      </c>
      <c r="O2585" s="93" t="s">
        <v>111</v>
      </c>
      <c r="P2585" s="93" t="s">
        <v>111</v>
      </c>
      <c r="Q2585" s="93" t="s">
        <v>111</v>
      </c>
      <c r="R2585" s="93" t="s">
        <v>228</v>
      </c>
      <c r="S2585" s="93" t="s">
        <v>2</v>
      </c>
      <c r="T2585" s="93" t="s">
        <v>115</v>
      </c>
      <c r="U2585" s="93" t="s">
        <v>116</v>
      </c>
      <c r="V2585" s="94">
        <v>44596.686111111114</v>
      </c>
      <c r="W2585" s="93" t="s">
        <v>1170</v>
      </c>
      <c r="X2585" s="93" t="s">
        <v>24</v>
      </c>
    </row>
    <row r="2586" spans="1:24" x14ac:dyDescent="0.15">
      <c r="A2586" s="93" t="s">
        <v>6280</v>
      </c>
      <c r="B2586" s="93" t="s">
        <v>9307</v>
      </c>
      <c r="C2586" s="410">
        <v>22</v>
      </c>
      <c r="D2586" s="93" t="s">
        <v>24</v>
      </c>
      <c r="E2586" s="93" t="s">
        <v>24</v>
      </c>
      <c r="F2586" s="93" t="s">
        <v>7070</v>
      </c>
      <c r="G2586" s="93" t="s">
        <v>7108</v>
      </c>
      <c r="H2586" s="93" t="s">
        <v>118</v>
      </c>
      <c r="I2586" s="93" t="s">
        <v>111</v>
      </c>
      <c r="J2586" s="93" t="s">
        <v>118</v>
      </c>
      <c r="K2586" s="93">
        <v>3</v>
      </c>
      <c r="L2586" s="93" t="s">
        <v>111</v>
      </c>
      <c r="M2586" s="93" t="s">
        <v>111</v>
      </c>
      <c r="N2586" s="93" t="s">
        <v>111</v>
      </c>
      <c r="O2586" s="93" t="s">
        <v>111</v>
      </c>
      <c r="P2586" s="93" t="s">
        <v>111</v>
      </c>
      <c r="Q2586" s="93" t="s">
        <v>111</v>
      </c>
      <c r="R2586" s="93" t="s">
        <v>228</v>
      </c>
      <c r="S2586" s="93" t="s">
        <v>2</v>
      </c>
      <c r="T2586" s="93" t="s">
        <v>115</v>
      </c>
      <c r="U2586" s="93" t="s">
        <v>116</v>
      </c>
      <c r="V2586" s="94">
        <v>44596.646527777775</v>
      </c>
      <c r="W2586" s="93" t="s">
        <v>1170</v>
      </c>
      <c r="X2586" s="93" t="s">
        <v>24</v>
      </c>
    </row>
    <row r="2587" spans="1:24" x14ac:dyDescent="0.15">
      <c r="A2587" s="93" t="s">
        <v>6282</v>
      </c>
      <c r="B2587" s="93" t="s">
        <v>7984</v>
      </c>
      <c r="C2587" s="410">
        <v>22</v>
      </c>
      <c r="D2587" s="93" t="s">
        <v>24</v>
      </c>
      <c r="E2587" s="93" t="s">
        <v>24</v>
      </c>
      <c r="F2587" s="93" t="s">
        <v>7070</v>
      </c>
      <c r="G2587" s="93" t="s">
        <v>7108</v>
      </c>
      <c r="H2587" s="93" t="s">
        <v>118</v>
      </c>
      <c r="I2587" s="93" t="s">
        <v>111</v>
      </c>
      <c r="J2587" s="93" t="s">
        <v>118</v>
      </c>
      <c r="K2587" s="93">
        <v>3</v>
      </c>
      <c r="L2587" s="93" t="s">
        <v>111</v>
      </c>
      <c r="M2587" s="93" t="s">
        <v>111</v>
      </c>
      <c r="N2587" s="93" t="s">
        <v>111</v>
      </c>
      <c r="O2587" s="93" t="s">
        <v>111</v>
      </c>
      <c r="P2587" s="93" t="s">
        <v>111</v>
      </c>
      <c r="Q2587" s="93" t="s">
        <v>111</v>
      </c>
      <c r="R2587" s="93" t="s">
        <v>228</v>
      </c>
      <c r="S2587" s="93" t="s">
        <v>2</v>
      </c>
      <c r="T2587" s="93" t="s">
        <v>115</v>
      </c>
      <c r="U2587" s="93" t="s">
        <v>116</v>
      </c>
      <c r="V2587" s="94">
        <v>44596.659722222219</v>
      </c>
      <c r="W2587" s="93" t="s">
        <v>402</v>
      </c>
      <c r="X2587" s="93" t="s">
        <v>24</v>
      </c>
    </row>
    <row r="2588" spans="1:24" x14ac:dyDescent="0.15">
      <c r="A2588" s="93" t="s">
        <v>3945</v>
      </c>
      <c r="B2588" s="93" t="s">
        <v>3946</v>
      </c>
      <c r="C2588" s="410">
        <v>189</v>
      </c>
      <c r="D2588" s="93" t="s">
        <v>24</v>
      </c>
      <c r="E2588" s="93" t="s">
        <v>24</v>
      </c>
      <c r="F2588" s="93" t="s">
        <v>7070</v>
      </c>
      <c r="G2588" s="93" t="s">
        <v>7108</v>
      </c>
      <c r="H2588" s="93" t="s">
        <v>118</v>
      </c>
      <c r="I2588" s="93" t="s">
        <v>111</v>
      </c>
      <c r="J2588" s="93" t="s">
        <v>7105</v>
      </c>
      <c r="K2588" s="93" t="s">
        <v>111</v>
      </c>
      <c r="L2588" s="93" t="s">
        <v>111</v>
      </c>
      <c r="M2588" s="93" t="s">
        <v>111</v>
      </c>
      <c r="N2588" s="93" t="s">
        <v>111</v>
      </c>
      <c r="O2588" s="93" t="s">
        <v>111</v>
      </c>
      <c r="P2588" s="93" t="s">
        <v>111</v>
      </c>
      <c r="Q2588" s="93" t="s">
        <v>111</v>
      </c>
      <c r="R2588" s="93" t="s">
        <v>111</v>
      </c>
      <c r="S2588" s="93" t="s">
        <v>111</v>
      </c>
      <c r="T2588" s="93" t="s">
        <v>115</v>
      </c>
      <c r="U2588" s="93" t="s">
        <v>116</v>
      </c>
      <c r="V2588" s="94">
        <v>44610.161111111112</v>
      </c>
      <c r="W2588" s="93" t="s">
        <v>1170</v>
      </c>
      <c r="X2588" s="93" t="s">
        <v>24</v>
      </c>
    </row>
    <row r="2589" spans="1:24" x14ac:dyDescent="0.15">
      <c r="A2589" s="93" t="s">
        <v>3947</v>
      </c>
      <c r="B2589" s="93" t="s">
        <v>3948</v>
      </c>
      <c r="C2589" s="410">
        <v>432</v>
      </c>
      <c r="D2589" s="93" t="s">
        <v>24</v>
      </c>
      <c r="E2589" s="93" t="s">
        <v>24</v>
      </c>
      <c r="F2589" s="93" t="s">
        <v>7070</v>
      </c>
      <c r="G2589" s="93" t="s">
        <v>7108</v>
      </c>
      <c r="H2589" s="93" t="s">
        <v>118</v>
      </c>
      <c r="I2589" s="93" t="s">
        <v>111</v>
      </c>
      <c r="J2589" s="93" t="s">
        <v>7105</v>
      </c>
      <c r="K2589" s="93" t="s">
        <v>111</v>
      </c>
      <c r="L2589" s="93" t="s">
        <v>111</v>
      </c>
      <c r="M2589" s="93" t="s">
        <v>111</v>
      </c>
      <c r="N2589" s="93" t="s">
        <v>111</v>
      </c>
      <c r="O2589" s="93" t="s">
        <v>111</v>
      </c>
      <c r="P2589" s="93" t="s">
        <v>111</v>
      </c>
      <c r="Q2589" s="93" t="s">
        <v>111</v>
      </c>
      <c r="R2589" s="93" t="s">
        <v>111</v>
      </c>
      <c r="S2589" s="93" t="s">
        <v>111</v>
      </c>
      <c r="T2589" s="93" t="s">
        <v>115</v>
      </c>
      <c r="U2589" s="93" t="s">
        <v>116</v>
      </c>
      <c r="V2589" s="94">
        <v>44610.178472222222</v>
      </c>
      <c r="W2589" s="93" t="s">
        <v>1170</v>
      </c>
      <c r="X2589" s="93" t="s">
        <v>24</v>
      </c>
    </row>
    <row r="2590" spans="1:24" x14ac:dyDescent="0.15">
      <c r="A2590" s="93" t="s">
        <v>3949</v>
      </c>
      <c r="B2590" s="93" t="s">
        <v>3950</v>
      </c>
      <c r="C2590" s="410">
        <v>80</v>
      </c>
      <c r="D2590" s="93" t="s">
        <v>9</v>
      </c>
      <c r="E2590" s="93" t="s">
        <v>24</v>
      </c>
      <c r="F2590" s="93" t="s">
        <v>7070</v>
      </c>
      <c r="G2590" s="93" t="s">
        <v>7108</v>
      </c>
      <c r="H2590" s="93" t="s">
        <v>118</v>
      </c>
      <c r="I2590" s="93" t="s">
        <v>111</v>
      </c>
      <c r="J2590" s="93" t="s">
        <v>7105</v>
      </c>
      <c r="K2590" s="93" t="s">
        <v>111</v>
      </c>
      <c r="L2590" s="93" t="s">
        <v>111</v>
      </c>
      <c r="M2590" s="93" t="s">
        <v>111</v>
      </c>
      <c r="N2590" s="93" t="s">
        <v>111</v>
      </c>
      <c r="O2590" s="93" t="s">
        <v>111</v>
      </c>
      <c r="P2590" s="93" t="s">
        <v>111</v>
      </c>
      <c r="Q2590" s="93" t="s">
        <v>111</v>
      </c>
      <c r="R2590" s="93" t="s">
        <v>111</v>
      </c>
      <c r="S2590" s="93" t="s">
        <v>111</v>
      </c>
      <c r="T2590" s="93" t="s">
        <v>115</v>
      </c>
      <c r="U2590" s="93" t="s">
        <v>116</v>
      </c>
      <c r="V2590" s="94">
        <v>44596.665277777778</v>
      </c>
      <c r="W2590" s="93" t="s">
        <v>1170</v>
      </c>
      <c r="X2590" s="93" t="s">
        <v>24</v>
      </c>
    </row>
    <row r="2591" spans="1:24" x14ac:dyDescent="0.15">
      <c r="A2591" s="93" t="s">
        <v>3951</v>
      </c>
      <c r="B2591" s="93" t="s">
        <v>3952</v>
      </c>
      <c r="C2591" s="410">
        <v>113</v>
      </c>
      <c r="D2591" s="93" t="s">
        <v>9</v>
      </c>
      <c r="E2591" s="93" t="s">
        <v>24</v>
      </c>
      <c r="F2591" s="93" t="s">
        <v>7070</v>
      </c>
      <c r="G2591" s="93" t="s">
        <v>7108</v>
      </c>
      <c r="H2591" s="93" t="s">
        <v>118</v>
      </c>
      <c r="I2591" s="93" t="s">
        <v>111</v>
      </c>
      <c r="J2591" s="93" t="s">
        <v>7105</v>
      </c>
      <c r="K2591" s="93" t="s">
        <v>111</v>
      </c>
      <c r="L2591" s="93" t="s">
        <v>111</v>
      </c>
      <c r="M2591" s="93" t="s">
        <v>111</v>
      </c>
      <c r="N2591" s="93" t="s">
        <v>111</v>
      </c>
      <c r="O2591" s="93" t="s">
        <v>111</v>
      </c>
      <c r="P2591" s="93" t="s">
        <v>111</v>
      </c>
      <c r="Q2591" s="93" t="s">
        <v>111</v>
      </c>
      <c r="R2591" s="93" t="s">
        <v>111</v>
      </c>
      <c r="S2591" s="93" t="s">
        <v>111</v>
      </c>
      <c r="T2591" s="93" t="s">
        <v>115</v>
      </c>
      <c r="U2591" s="93" t="s">
        <v>116</v>
      </c>
      <c r="V2591" s="94">
        <v>44596.692361111112</v>
      </c>
      <c r="W2591" s="93" t="s">
        <v>1170</v>
      </c>
      <c r="X2591" s="93" t="s">
        <v>24</v>
      </c>
    </row>
    <row r="2592" spans="1:24" x14ac:dyDescent="0.15">
      <c r="A2592" s="93" t="s">
        <v>7985</v>
      </c>
      <c r="B2592" s="93" t="s">
        <v>7986</v>
      </c>
      <c r="C2592" s="410">
        <v>70</v>
      </c>
      <c r="D2592" s="93" t="s">
        <v>24</v>
      </c>
      <c r="E2592" s="93" t="s">
        <v>24</v>
      </c>
      <c r="F2592" s="93" t="s">
        <v>7070</v>
      </c>
      <c r="G2592" s="93" t="s">
        <v>7108</v>
      </c>
      <c r="H2592" s="93" t="s">
        <v>118</v>
      </c>
      <c r="I2592" s="93" t="s">
        <v>111</v>
      </c>
      <c r="J2592" s="93" t="s">
        <v>118</v>
      </c>
      <c r="K2592" s="93">
        <v>3</v>
      </c>
      <c r="L2592" s="93" t="s">
        <v>111</v>
      </c>
      <c r="M2592" s="93" t="s">
        <v>111</v>
      </c>
      <c r="N2592" s="93" t="s">
        <v>111</v>
      </c>
      <c r="O2592" s="93" t="s">
        <v>111</v>
      </c>
      <c r="P2592" s="93" t="s">
        <v>111</v>
      </c>
      <c r="Q2592" s="93" t="s">
        <v>111</v>
      </c>
      <c r="R2592" s="93" t="s">
        <v>228</v>
      </c>
      <c r="S2592" s="93" t="s">
        <v>2</v>
      </c>
      <c r="T2592" s="93" t="s">
        <v>115</v>
      </c>
      <c r="U2592" s="93" t="s">
        <v>116</v>
      </c>
      <c r="V2592" s="94">
        <v>44596.698611111111</v>
      </c>
      <c r="W2592" s="93" t="s">
        <v>402</v>
      </c>
      <c r="X2592" s="93" t="s">
        <v>24</v>
      </c>
    </row>
    <row r="2593" spans="1:24" x14ac:dyDescent="0.15">
      <c r="A2593" s="93" t="s">
        <v>5943</v>
      </c>
      <c r="B2593" s="93" t="s">
        <v>6679</v>
      </c>
      <c r="C2593" s="410">
        <v>26.5</v>
      </c>
      <c r="D2593" s="93" t="s">
        <v>9</v>
      </c>
      <c r="E2593" s="93" t="s">
        <v>24</v>
      </c>
      <c r="F2593" s="93" t="s">
        <v>7070</v>
      </c>
      <c r="G2593" s="93" t="s">
        <v>7108</v>
      </c>
      <c r="H2593" s="93" t="s">
        <v>118</v>
      </c>
      <c r="I2593" s="93" t="s">
        <v>111</v>
      </c>
      <c r="J2593" s="93" t="s">
        <v>7105</v>
      </c>
      <c r="K2593" s="93" t="s">
        <v>111</v>
      </c>
      <c r="L2593" s="93" t="s">
        <v>111</v>
      </c>
      <c r="M2593" s="93" t="s">
        <v>111</v>
      </c>
      <c r="N2593" s="93" t="s">
        <v>111</v>
      </c>
      <c r="O2593" s="93" t="s">
        <v>111</v>
      </c>
      <c r="P2593" s="93" t="s">
        <v>111</v>
      </c>
      <c r="Q2593" s="93" t="s">
        <v>111</v>
      </c>
      <c r="R2593" s="93" t="s">
        <v>111</v>
      </c>
      <c r="S2593" s="93" t="s">
        <v>111</v>
      </c>
      <c r="T2593" s="93" t="s">
        <v>115</v>
      </c>
      <c r="U2593" s="93" t="s">
        <v>116</v>
      </c>
      <c r="V2593" s="94">
        <v>44596.695833333331</v>
      </c>
      <c r="W2593" s="93" t="s">
        <v>402</v>
      </c>
      <c r="X2593" s="93" t="s">
        <v>24</v>
      </c>
    </row>
    <row r="2594" spans="1:24" x14ac:dyDescent="0.15">
      <c r="A2594" s="93" t="s">
        <v>5946</v>
      </c>
      <c r="B2594" s="93" t="s">
        <v>5947</v>
      </c>
      <c r="C2594" s="410">
        <v>34.75</v>
      </c>
      <c r="D2594" s="93" t="s">
        <v>24</v>
      </c>
      <c r="E2594" s="93" t="s">
        <v>24</v>
      </c>
      <c r="F2594" s="93" t="s">
        <v>7070</v>
      </c>
      <c r="G2594" s="93" t="s">
        <v>7108</v>
      </c>
      <c r="H2594" s="93" t="s">
        <v>118</v>
      </c>
      <c r="I2594" s="93" t="s">
        <v>111</v>
      </c>
      <c r="J2594" s="93" t="s">
        <v>118</v>
      </c>
      <c r="K2594" s="93">
        <v>3</v>
      </c>
      <c r="L2594" s="93" t="s">
        <v>111</v>
      </c>
      <c r="M2594" s="93" t="s">
        <v>111</v>
      </c>
      <c r="N2594" s="93" t="s">
        <v>111</v>
      </c>
      <c r="O2594" s="93" t="s">
        <v>111</v>
      </c>
      <c r="P2594" s="93" t="s">
        <v>111</v>
      </c>
      <c r="Q2594" s="93" t="s">
        <v>111</v>
      </c>
      <c r="R2594" s="93" t="s">
        <v>111</v>
      </c>
      <c r="S2594" s="93" t="s">
        <v>111</v>
      </c>
      <c r="T2594" s="93" t="s">
        <v>115</v>
      </c>
      <c r="U2594" s="93" t="s">
        <v>116</v>
      </c>
      <c r="V2594" s="94">
        <v>44596.684027777781</v>
      </c>
      <c r="W2594" s="93" t="s">
        <v>7959</v>
      </c>
      <c r="X2594" s="93" t="s">
        <v>24</v>
      </c>
    </row>
    <row r="2595" spans="1:24" x14ac:dyDescent="0.15">
      <c r="A2595" s="93" t="s">
        <v>3953</v>
      </c>
      <c r="B2595" s="93" t="s">
        <v>3954</v>
      </c>
      <c r="C2595" s="410">
        <v>164</v>
      </c>
      <c r="D2595" s="93" t="s">
        <v>24</v>
      </c>
      <c r="E2595" s="93" t="s">
        <v>24</v>
      </c>
      <c r="F2595" s="93" t="s">
        <v>7070</v>
      </c>
      <c r="G2595" s="93" t="s">
        <v>7108</v>
      </c>
      <c r="H2595" s="93" t="s">
        <v>118</v>
      </c>
      <c r="I2595" s="93" t="s">
        <v>111</v>
      </c>
      <c r="J2595" s="93" t="s">
        <v>118</v>
      </c>
      <c r="K2595" s="93">
        <v>3</v>
      </c>
      <c r="L2595" s="93" t="s">
        <v>111</v>
      </c>
      <c r="M2595" s="93" t="s">
        <v>111</v>
      </c>
      <c r="N2595" s="93" t="s">
        <v>111</v>
      </c>
      <c r="O2595" s="93" t="s">
        <v>111</v>
      </c>
      <c r="P2595" s="93" t="s">
        <v>111</v>
      </c>
      <c r="Q2595" s="93" t="s">
        <v>111</v>
      </c>
      <c r="R2595" s="93" t="s">
        <v>111</v>
      </c>
      <c r="S2595" s="93" t="s">
        <v>111</v>
      </c>
      <c r="T2595" s="93" t="s">
        <v>115</v>
      </c>
      <c r="U2595" s="93" t="s">
        <v>116</v>
      </c>
      <c r="V2595" s="94">
        <v>44596.638888888891</v>
      </c>
      <c r="W2595" s="93" t="s">
        <v>1170</v>
      </c>
      <c r="X2595" s="93" t="s">
        <v>24</v>
      </c>
    </row>
    <row r="2596" spans="1:24" x14ac:dyDescent="0.15">
      <c r="A2596" s="93" t="s">
        <v>3955</v>
      </c>
      <c r="B2596" s="93" t="s">
        <v>3956</v>
      </c>
      <c r="C2596" s="410">
        <v>54</v>
      </c>
      <c r="D2596" s="93" t="s">
        <v>24</v>
      </c>
      <c r="E2596" s="93" t="s">
        <v>24</v>
      </c>
      <c r="F2596" s="93" t="s">
        <v>7070</v>
      </c>
      <c r="G2596" s="93" t="s">
        <v>7108</v>
      </c>
      <c r="H2596" s="93" t="s">
        <v>118</v>
      </c>
      <c r="I2596" s="93" t="s">
        <v>111</v>
      </c>
      <c r="J2596" s="93" t="s">
        <v>118</v>
      </c>
      <c r="K2596" s="93">
        <v>3</v>
      </c>
      <c r="L2596" s="93" t="s">
        <v>111</v>
      </c>
      <c r="M2596" s="93" t="s">
        <v>111</v>
      </c>
      <c r="N2596" s="93" t="s">
        <v>111</v>
      </c>
      <c r="O2596" s="93" t="s">
        <v>111</v>
      </c>
      <c r="P2596" s="93" t="s">
        <v>111</v>
      </c>
      <c r="Q2596" s="93" t="s">
        <v>111</v>
      </c>
      <c r="R2596" s="93" t="s">
        <v>228</v>
      </c>
      <c r="S2596" s="93" t="s">
        <v>2</v>
      </c>
      <c r="T2596" s="93" t="s">
        <v>115</v>
      </c>
      <c r="U2596" s="93" t="s">
        <v>116</v>
      </c>
      <c r="V2596" s="94">
        <v>44596.686111111114</v>
      </c>
      <c r="W2596" s="93" t="s">
        <v>1170</v>
      </c>
      <c r="X2596" s="93" t="s">
        <v>24</v>
      </c>
    </row>
    <row r="2597" spans="1:24" x14ac:dyDescent="0.15">
      <c r="A2597" s="93" t="s">
        <v>3957</v>
      </c>
      <c r="B2597" s="93" t="s">
        <v>3958</v>
      </c>
      <c r="C2597" s="410">
        <v>16</v>
      </c>
      <c r="D2597" s="93" t="s">
        <v>24</v>
      </c>
      <c r="E2597" s="93" t="s">
        <v>24</v>
      </c>
      <c r="F2597" s="93" t="s">
        <v>7070</v>
      </c>
      <c r="G2597" s="93" t="s">
        <v>7108</v>
      </c>
      <c r="H2597" s="93" t="s">
        <v>118</v>
      </c>
      <c r="I2597" s="93" t="s">
        <v>111</v>
      </c>
      <c r="J2597" s="93" t="s">
        <v>118</v>
      </c>
      <c r="K2597" s="93">
        <v>3</v>
      </c>
      <c r="L2597" s="93" t="s">
        <v>111</v>
      </c>
      <c r="M2597" s="93" t="s">
        <v>111</v>
      </c>
      <c r="N2597" s="93" t="s">
        <v>111</v>
      </c>
      <c r="O2597" s="93" t="s">
        <v>111</v>
      </c>
      <c r="P2597" s="93" t="s">
        <v>111</v>
      </c>
      <c r="Q2597" s="93" t="s">
        <v>111</v>
      </c>
      <c r="R2597" s="93" t="s">
        <v>111</v>
      </c>
      <c r="S2597" s="93" t="s">
        <v>111</v>
      </c>
      <c r="T2597" s="93" t="s">
        <v>115</v>
      </c>
      <c r="U2597" s="93" t="s">
        <v>116</v>
      </c>
      <c r="V2597" s="94">
        <v>44596.643055555556</v>
      </c>
      <c r="W2597" s="93" t="s">
        <v>1170</v>
      </c>
      <c r="X2597" s="93" t="s">
        <v>24</v>
      </c>
    </row>
    <row r="2598" spans="1:24" x14ac:dyDescent="0.15">
      <c r="A2598" s="93" t="s">
        <v>3959</v>
      </c>
      <c r="B2598" s="93" t="s">
        <v>3960</v>
      </c>
      <c r="C2598" s="410">
        <v>36</v>
      </c>
      <c r="D2598" s="93" t="s">
        <v>24</v>
      </c>
      <c r="E2598" s="93" t="s">
        <v>24</v>
      </c>
      <c r="F2598" s="93" t="s">
        <v>7070</v>
      </c>
      <c r="G2598" s="93" t="s">
        <v>7108</v>
      </c>
      <c r="H2598" s="93" t="s">
        <v>118</v>
      </c>
      <c r="I2598" s="93" t="s">
        <v>111</v>
      </c>
      <c r="J2598" s="93" t="s">
        <v>118</v>
      </c>
      <c r="K2598" s="93">
        <v>3</v>
      </c>
      <c r="L2598" s="93" t="s">
        <v>111</v>
      </c>
      <c r="M2598" s="93" t="s">
        <v>111</v>
      </c>
      <c r="N2598" s="93" t="s">
        <v>111</v>
      </c>
      <c r="O2598" s="93" t="s">
        <v>111</v>
      </c>
      <c r="P2598" s="93" t="s">
        <v>111</v>
      </c>
      <c r="Q2598" s="93" t="s">
        <v>111</v>
      </c>
      <c r="R2598" s="93" t="s">
        <v>111</v>
      </c>
      <c r="S2598" s="93" t="s">
        <v>111</v>
      </c>
      <c r="T2598" s="93" t="s">
        <v>115</v>
      </c>
      <c r="U2598" s="93" t="s">
        <v>116</v>
      </c>
      <c r="V2598" s="94">
        <v>44596.692361111112</v>
      </c>
      <c r="W2598" s="93" t="s">
        <v>1170</v>
      </c>
      <c r="X2598" s="93" t="s">
        <v>24</v>
      </c>
    </row>
    <row r="2599" spans="1:24" x14ac:dyDescent="0.15">
      <c r="A2599" s="93" t="s">
        <v>3961</v>
      </c>
      <c r="B2599" s="93" t="s">
        <v>3962</v>
      </c>
      <c r="C2599" s="410">
        <v>378</v>
      </c>
      <c r="D2599" s="93" t="s">
        <v>24</v>
      </c>
      <c r="E2599" s="93" t="s">
        <v>24</v>
      </c>
      <c r="F2599" s="93" t="s">
        <v>7070</v>
      </c>
      <c r="G2599" s="93" t="s">
        <v>7108</v>
      </c>
      <c r="H2599" s="93" t="s">
        <v>118</v>
      </c>
      <c r="I2599" s="93" t="s">
        <v>111</v>
      </c>
      <c r="J2599" s="93" t="s">
        <v>118</v>
      </c>
      <c r="K2599" s="93">
        <v>3</v>
      </c>
      <c r="L2599" s="93" t="s">
        <v>111</v>
      </c>
      <c r="M2599" s="93" t="s">
        <v>111</v>
      </c>
      <c r="N2599" s="93" t="s">
        <v>111</v>
      </c>
      <c r="O2599" s="93" t="s">
        <v>111</v>
      </c>
      <c r="P2599" s="93" t="s">
        <v>111</v>
      </c>
      <c r="Q2599" s="93" t="s">
        <v>111</v>
      </c>
      <c r="R2599" s="93" t="s">
        <v>111</v>
      </c>
      <c r="S2599" s="93" t="s">
        <v>111</v>
      </c>
      <c r="T2599" s="93" t="s">
        <v>115</v>
      </c>
      <c r="U2599" s="93" t="s">
        <v>116</v>
      </c>
      <c r="V2599" s="94">
        <v>44596.688194444447</v>
      </c>
      <c r="W2599" s="93" t="s">
        <v>1170</v>
      </c>
      <c r="X2599" s="93" t="s">
        <v>24</v>
      </c>
    </row>
    <row r="2600" spans="1:24" x14ac:dyDescent="0.15">
      <c r="A2600" s="93" t="s">
        <v>3963</v>
      </c>
      <c r="B2600" s="93" t="s">
        <v>3964</v>
      </c>
      <c r="C2600" s="410">
        <v>54</v>
      </c>
      <c r="D2600" s="93" t="s">
        <v>9</v>
      </c>
      <c r="E2600" s="93" t="s">
        <v>24</v>
      </c>
      <c r="F2600" s="93" t="s">
        <v>7070</v>
      </c>
      <c r="G2600" s="93" t="s">
        <v>7108</v>
      </c>
      <c r="H2600" s="93" t="s">
        <v>118</v>
      </c>
      <c r="I2600" s="93" t="s">
        <v>111</v>
      </c>
      <c r="J2600" s="93" t="s">
        <v>118</v>
      </c>
      <c r="K2600" s="93">
        <v>3</v>
      </c>
      <c r="L2600" s="93" t="s">
        <v>111</v>
      </c>
      <c r="M2600" s="93" t="s">
        <v>111</v>
      </c>
      <c r="N2600" s="93" t="s">
        <v>111</v>
      </c>
      <c r="O2600" s="93" t="s">
        <v>111</v>
      </c>
      <c r="P2600" s="93" t="s">
        <v>111</v>
      </c>
      <c r="Q2600" s="93" t="s">
        <v>111</v>
      </c>
      <c r="R2600" s="93" t="s">
        <v>111</v>
      </c>
      <c r="S2600" s="93" t="s">
        <v>111</v>
      </c>
      <c r="T2600" s="93" t="s">
        <v>115</v>
      </c>
      <c r="U2600" s="93" t="s">
        <v>116</v>
      </c>
      <c r="V2600" s="94">
        <v>44596.695833333331</v>
      </c>
      <c r="W2600" s="93" t="s">
        <v>1170</v>
      </c>
      <c r="X2600" s="93" t="s">
        <v>24</v>
      </c>
    </row>
    <row r="2601" spans="1:24" x14ac:dyDescent="0.15">
      <c r="A2601" s="93" t="s">
        <v>3965</v>
      </c>
      <c r="B2601" s="93" t="s">
        <v>3966</v>
      </c>
      <c r="C2601" s="410">
        <v>70</v>
      </c>
      <c r="D2601" s="93" t="s">
        <v>9</v>
      </c>
      <c r="E2601" s="93" t="s">
        <v>24</v>
      </c>
      <c r="F2601" s="93" t="s">
        <v>7070</v>
      </c>
      <c r="G2601" s="93" t="s">
        <v>7108</v>
      </c>
      <c r="H2601" s="93" t="s">
        <v>118</v>
      </c>
      <c r="I2601" s="93" t="s">
        <v>111</v>
      </c>
      <c r="J2601" s="93" t="s">
        <v>118</v>
      </c>
      <c r="K2601" s="93">
        <v>3</v>
      </c>
      <c r="L2601" s="93" t="s">
        <v>111</v>
      </c>
      <c r="M2601" s="93" t="s">
        <v>111</v>
      </c>
      <c r="N2601" s="93" t="s">
        <v>111</v>
      </c>
      <c r="O2601" s="93" t="s">
        <v>111</v>
      </c>
      <c r="P2601" s="93" t="s">
        <v>111</v>
      </c>
      <c r="Q2601" s="93" t="s">
        <v>111</v>
      </c>
      <c r="R2601" s="93" t="s">
        <v>111</v>
      </c>
      <c r="S2601" s="93" t="s">
        <v>111</v>
      </c>
      <c r="T2601" s="93" t="s">
        <v>115</v>
      </c>
      <c r="U2601" s="93" t="s">
        <v>116</v>
      </c>
      <c r="V2601" s="94">
        <v>44596.643055555556</v>
      </c>
      <c r="W2601" s="93" t="s">
        <v>1170</v>
      </c>
      <c r="X2601" s="93" t="s">
        <v>24</v>
      </c>
    </row>
    <row r="2602" spans="1:24" x14ac:dyDescent="0.15">
      <c r="A2602" s="93" t="s">
        <v>3967</v>
      </c>
      <c r="B2602" s="93" t="s">
        <v>3968</v>
      </c>
      <c r="C2602" s="410">
        <v>32</v>
      </c>
      <c r="D2602" s="93" t="s">
        <v>24</v>
      </c>
      <c r="E2602" s="93" t="s">
        <v>24</v>
      </c>
      <c r="F2602" s="93" t="s">
        <v>7070</v>
      </c>
      <c r="G2602" s="93" t="s">
        <v>7108</v>
      </c>
      <c r="H2602" s="93" t="s">
        <v>118</v>
      </c>
      <c r="I2602" s="93" t="s">
        <v>111</v>
      </c>
      <c r="J2602" s="93" t="s">
        <v>7105</v>
      </c>
      <c r="K2602" s="93" t="s">
        <v>111</v>
      </c>
      <c r="L2602" s="93" t="s">
        <v>111</v>
      </c>
      <c r="M2602" s="93" t="s">
        <v>111</v>
      </c>
      <c r="N2602" s="93" t="s">
        <v>111</v>
      </c>
      <c r="O2602" s="93" t="s">
        <v>111</v>
      </c>
      <c r="P2602" s="93" t="s">
        <v>111</v>
      </c>
      <c r="Q2602" s="93" t="s">
        <v>111</v>
      </c>
      <c r="R2602" s="93" t="s">
        <v>111</v>
      </c>
      <c r="S2602" s="93" t="s">
        <v>111</v>
      </c>
      <c r="T2602" s="93" t="s">
        <v>115</v>
      </c>
      <c r="U2602" s="93" t="s">
        <v>116</v>
      </c>
      <c r="V2602" s="94">
        <v>44596.647916666669</v>
      </c>
      <c r="W2602" s="93" t="s">
        <v>1170</v>
      </c>
      <c r="X2602" s="93" t="s">
        <v>24</v>
      </c>
    </row>
    <row r="2603" spans="1:24" x14ac:dyDescent="0.15">
      <c r="A2603" s="93" t="s">
        <v>3969</v>
      </c>
      <c r="B2603" s="93" t="s">
        <v>3970</v>
      </c>
      <c r="C2603" s="410">
        <v>24</v>
      </c>
      <c r="D2603" s="93" t="s">
        <v>24</v>
      </c>
      <c r="E2603" s="93" t="s">
        <v>24</v>
      </c>
      <c r="F2603" s="93" t="s">
        <v>7070</v>
      </c>
      <c r="G2603" s="93" t="s">
        <v>7108</v>
      </c>
      <c r="H2603" s="93" t="s">
        <v>118</v>
      </c>
      <c r="I2603" s="93" t="s">
        <v>111</v>
      </c>
      <c r="J2603" s="93" t="s">
        <v>118</v>
      </c>
      <c r="K2603" s="93">
        <v>3</v>
      </c>
      <c r="L2603" s="93" t="s">
        <v>111</v>
      </c>
      <c r="M2603" s="93" t="s">
        <v>111</v>
      </c>
      <c r="N2603" s="93" t="s">
        <v>111</v>
      </c>
      <c r="O2603" s="93" t="s">
        <v>111</v>
      </c>
      <c r="P2603" s="93" t="s">
        <v>111</v>
      </c>
      <c r="Q2603" s="93" t="s">
        <v>111</v>
      </c>
      <c r="R2603" s="93" t="s">
        <v>111</v>
      </c>
      <c r="S2603" s="93" t="s">
        <v>111</v>
      </c>
      <c r="T2603" s="93" t="s">
        <v>115</v>
      </c>
      <c r="U2603" s="93" t="s">
        <v>116</v>
      </c>
      <c r="V2603" s="94">
        <v>44607.638194444444</v>
      </c>
      <c r="W2603" s="93" t="s">
        <v>1170</v>
      </c>
      <c r="X2603" s="93" t="s">
        <v>24</v>
      </c>
    </row>
    <row r="2604" spans="1:24" x14ac:dyDescent="0.15">
      <c r="A2604" s="93" t="s">
        <v>3971</v>
      </c>
      <c r="B2604" s="93" t="s">
        <v>3972</v>
      </c>
      <c r="C2604" s="410">
        <v>48</v>
      </c>
      <c r="D2604" s="93" t="s">
        <v>24</v>
      </c>
      <c r="E2604" s="93" t="s">
        <v>24</v>
      </c>
      <c r="F2604" s="93" t="s">
        <v>7070</v>
      </c>
      <c r="G2604" s="93" t="s">
        <v>7108</v>
      </c>
      <c r="H2604" s="93" t="s">
        <v>118</v>
      </c>
      <c r="I2604" s="93" t="s">
        <v>111</v>
      </c>
      <c r="J2604" s="93" t="s">
        <v>7105</v>
      </c>
      <c r="K2604" s="93" t="s">
        <v>111</v>
      </c>
      <c r="L2604" s="93" t="s">
        <v>111</v>
      </c>
      <c r="M2604" s="93" t="s">
        <v>111</v>
      </c>
      <c r="N2604" s="93" t="s">
        <v>111</v>
      </c>
      <c r="O2604" s="93" t="s">
        <v>111</v>
      </c>
      <c r="P2604" s="93" t="s">
        <v>111</v>
      </c>
      <c r="Q2604" s="93" t="s">
        <v>111</v>
      </c>
      <c r="R2604" s="93" t="s">
        <v>111</v>
      </c>
      <c r="S2604" s="93" t="s">
        <v>111</v>
      </c>
      <c r="T2604" s="93" t="s">
        <v>115</v>
      </c>
      <c r="U2604" s="93" t="s">
        <v>116</v>
      </c>
      <c r="V2604" s="94">
        <v>44596.688194444447</v>
      </c>
      <c r="W2604" s="93" t="s">
        <v>1170</v>
      </c>
      <c r="X2604" s="93" t="s">
        <v>24</v>
      </c>
    </row>
    <row r="2605" spans="1:24" x14ac:dyDescent="0.15">
      <c r="A2605" s="93" t="s">
        <v>3973</v>
      </c>
      <c r="B2605" s="93" t="s">
        <v>3974</v>
      </c>
      <c r="C2605" s="410">
        <v>38</v>
      </c>
      <c r="D2605" s="93" t="s">
        <v>24</v>
      </c>
      <c r="E2605" s="93" t="s">
        <v>24</v>
      </c>
      <c r="F2605" s="93" t="s">
        <v>7070</v>
      </c>
      <c r="G2605" s="93" t="s">
        <v>7108</v>
      </c>
      <c r="H2605" s="93" t="s">
        <v>118</v>
      </c>
      <c r="I2605" s="93" t="s">
        <v>111</v>
      </c>
      <c r="J2605" s="93" t="s">
        <v>7105</v>
      </c>
      <c r="K2605" s="93" t="s">
        <v>111</v>
      </c>
      <c r="L2605" s="93" t="s">
        <v>111</v>
      </c>
      <c r="M2605" s="93" t="s">
        <v>111</v>
      </c>
      <c r="N2605" s="93" t="s">
        <v>111</v>
      </c>
      <c r="O2605" s="93" t="s">
        <v>111</v>
      </c>
      <c r="P2605" s="93" t="s">
        <v>111</v>
      </c>
      <c r="Q2605" s="93" t="s">
        <v>111</v>
      </c>
      <c r="R2605" s="93" t="s">
        <v>111</v>
      </c>
      <c r="S2605" s="93" t="s">
        <v>111</v>
      </c>
      <c r="T2605" s="93" t="s">
        <v>115</v>
      </c>
      <c r="U2605" s="93" t="s">
        <v>116</v>
      </c>
      <c r="V2605" s="94">
        <v>44596.684027777781</v>
      </c>
      <c r="W2605" s="93" t="s">
        <v>1216</v>
      </c>
      <c r="X2605" s="93" t="s">
        <v>24</v>
      </c>
    </row>
    <row r="2606" spans="1:24" x14ac:dyDescent="0.15">
      <c r="A2606" s="93" t="s">
        <v>3975</v>
      </c>
      <c r="B2606" s="93" t="s">
        <v>3976</v>
      </c>
      <c r="C2606" s="410">
        <v>470</v>
      </c>
      <c r="D2606" s="93" t="s">
        <v>24</v>
      </c>
      <c r="E2606" s="93" t="s">
        <v>24</v>
      </c>
      <c r="F2606" s="93" t="s">
        <v>7070</v>
      </c>
      <c r="G2606" s="93" t="s">
        <v>7108</v>
      </c>
      <c r="H2606" s="93" t="s">
        <v>118</v>
      </c>
      <c r="I2606" s="93" t="s">
        <v>111</v>
      </c>
      <c r="J2606" s="93" t="s">
        <v>7105</v>
      </c>
      <c r="K2606" s="93" t="s">
        <v>111</v>
      </c>
      <c r="L2606" s="93" t="s">
        <v>111</v>
      </c>
      <c r="M2606" s="93" t="s">
        <v>111</v>
      </c>
      <c r="N2606" s="93" t="s">
        <v>111</v>
      </c>
      <c r="O2606" s="93" t="s">
        <v>111</v>
      </c>
      <c r="P2606" s="93" t="s">
        <v>111</v>
      </c>
      <c r="Q2606" s="93" t="s">
        <v>111</v>
      </c>
      <c r="R2606" s="93" t="s">
        <v>111</v>
      </c>
      <c r="S2606" s="93" t="s">
        <v>111</v>
      </c>
      <c r="T2606" s="93" t="s">
        <v>115</v>
      </c>
      <c r="U2606" s="93" t="s">
        <v>116</v>
      </c>
      <c r="V2606" s="94">
        <v>44596.65625</v>
      </c>
      <c r="W2606" s="93" t="s">
        <v>1170</v>
      </c>
      <c r="X2606" s="93" t="s">
        <v>24</v>
      </c>
    </row>
    <row r="2607" spans="1:24" x14ac:dyDescent="0.15">
      <c r="A2607" s="93" t="s">
        <v>3977</v>
      </c>
      <c r="B2607" s="93" t="s">
        <v>9308</v>
      </c>
      <c r="C2607" s="410">
        <v>149</v>
      </c>
      <c r="D2607" s="93" t="s">
        <v>24</v>
      </c>
      <c r="E2607" s="93" t="s">
        <v>24</v>
      </c>
      <c r="F2607" s="93" t="s">
        <v>7070</v>
      </c>
      <c r="G2607" s="93" t="s">
        <v>7108</v>
      </c>
      <c r="H2607" s="93" t="s">
        <v>118</v>
      </c>
      <c r="I2607" s="93" t="s">
        <v>111</v>
      </c>
      <c r="J2607" s="93" t="s">
        <v>118</v>
      </c>
      <c r="K2607" s="93">
        <v>3</v>
      </c>
      <c r="L2607" s="93" t="s">
        <v>111</v>
      </c>
      <c r="M2607" s="93" t="s">
        <v>111</v>
      </c>
      <c r="N2607" s="93" t="s">
        <v>111</v>
      </c>
      <c r="O2607" s="93" t="s">
        <v>111</v>
      </c>
      <c r="P2607" s="93" t="s">
        <v>111</v>
      </c>
      <c r="Q2607" s="93" t="s">
        <v>111</v>
      </c>
      <c r="R2607" s="93" t="s">
        <v>111</v>
      </c>
      <c r="S2607" s="93" t="s">
        <v>111</v>
      </c>
      <c r="T2607" s="93" t="s">
        <v>115</v>
      </c>
      <c r="U2607" s="93" t="s">
        <v>116</v>
      </c>
      <c r="V2607" s="94">
        <v>44600.431944444441</v>
      </c>
      <c r="W2607" s="93" t="s">
        <v>1170</v>
      </c>
      <c r="X2607" s="93" t="s">
        <v>24</v>
      </c>
    </row>
    <row r="2608" spans="1:24" x14ac:dyDescent="0.15">
      <c r="A2608" s="93" t="s">
        <v>3978</v>
      </c>
      <c r="B2608" s="93" t="s">
        <v>3979</v>
      </c>
      <c r="C2608" s="410">
        <v>320</v>
      </c>
      <c r="D2608" s="93" t="s">
        <v>24</v>
      </c>
      <c r="E2608" s="93" t="s">
        <v>24</v>
      </c>
      <c r="F2608" s="93" t="s">
        <v>7070</v>
      </c>
      <c r="G2608" s="93" t="s">
        <v>7108</v>
      </c>
      <c r="H2608" s="93" t="s">
        <v>118</v>
      </c>
      <c r="I2608" s="93" t="s">
        <v>111</v>
      </c>
      <c r="J2608" s="93" t="s">
        <v>7105</v>
      </c>
      <c r="K2608" s="93" t="s">
        <v>111</v>
      </c>
      <c r="L2608" s="93" t="s">
        <v>111</v>
      </c>
      <c r="M2608" s="93" t="s">
        <v>111</v>
      </c>
      <c r="N2608" s="93" t="s">
        <v>111</v>
      </c>
      <c r="O2608" s="93" t="s">
        <v>111</v>
      </c>
      <c r="P2608" s="93" t="s">
        <v>111</v>
      </c>
      <c r="Q2608" s="93" t="s">
        <v>111</v>
      </c>
      <c r="R2608" s="93" t="s">
        <v>111</v>
      </c>
      <c r="S2608" s="93" t="s">
        <v>111</v>
      </c>
      <c r="T2608" s="93" t="s">
        <v>115</v>
      </c>
      <c r="U2608" s="93" t="s">
        <v>116</v>
      </c>
      <c r="V2608" s="94">
        <v>44596.638888888891</v>
      </c>
      <c r="W2608" s="93" t="s">
        <v>1170</v>
      </c>
      <c r="X2608" s="93" t="s">
        <v>24</v>
      </c>
    </row>
    <row r="2609" spans="1:24" x14ac:dyDescent="0.15">
      <c r="A2609" s="93" t="s">
        <v>3980</v>
      </c>
      <c r="B2609" s="93" t="s">
        <v>3981</v>
      </c>
      <c r="C2609" s="410">
        <v>225</v>
      </c>
      <c r="D2609" s="93" t="s">
        <v>24</v>
      </c>
      <c r="E2609" s="93" t="s">
        <v>24</v>
      </c>
      <c r="F2609" s="93" t="s">
        <v>7070</v>
      </c>
      <c r="G2609" s="93" t="s">
        <v>7108</v>
      </c>
      <c r="H2609" s="93" t="s">
        <v>118</v>
      </c>
      <c r="I2609" s="93" t="s">
        <v>111</v>
      </c>
      <c r="J2609" s="93" t="s">
        <v>118</v>
      </c>
      <c r="K2609" s="93">
        <v>3</v>
      </c>
      <c r="L2609" s="93" t="s">
        <v>111</v>
      </c>
      <c r="M2609" s="93" t="s">
        <v>111</v>
      </c>
      <c r="N2609" s="93" t="s">
        <v>111</v>
      </c>
      <c r="O2609" s="93" t="s">
        <v>111</v>
      </c>
      <c r="P2609" s="93" t="s">
        <v>111</v>
      </c>
      <c r="Q2609" s="93" t="s">
        <v>111</v>
      </c>
      <c r="R2609" s="93" t="s">
        <v>111</v>
      </c>
      <c r="S2609" s="93" t="s">
        <v>111</v>
      </c>
      <c r="T2609" s="93" t="s">
        <v>115</v>
      </c>
      <c r="U2609" s="93" t="s">
        <v>116</v>
      </c>
      <c r="V2609" s="94">
        <v>44586.547222222223</v>
      </c>
      <c r="W2609" s="93" t="s">
        <v>1170</v>
      </c>
      <c r="X2609" s="93" t="s">
        <v>24</v>
      </c>
    </row>
    <row r="2610" spans="1:24" x14ac:dyDescent="0.15">
      <c r="A2610" s="93" t="s">
        <v>3982</v>
      </c>
      <c r="B2610" s="93" t="s">
        <v>3983</v>
      </c>
      <c r="C2610" s="410">
        <v>187</v>
      </c>
      <c r="D2610" s="93" t="s">
        <v>24</v>
      </c>
      <c r="E2610" s="93" t="s">
        <v>24</v>
      </c>
      <c r="F2610" s="93" t="s">
        <v>7070</v>
      </c>
      <c r="G2610" s="93" t="s">
        <v>7108</v>
      </c>
      <c r="H2610" s="93" t="s">
        <v>118</v>
      </c>
      <c r="I2610" s="93" t="s">
        <v>111</v>
      </c>
      <c r="J2610" s="93" t="s">
        <v>7105</v>
      </c>
      <c r="K2610" s="93" t="s">
        <v>111</v>
      </c>
      <c r="L2610" s="93" t="s">
        <v>111</v>
      </c>
      <c r="M2610" s="93" t="s">
        <v>111</v>
      </c>
      <c r="N2610" s="93" t="s">
        <v>111</v>
      </c>
      <c r="O2610" s="93" t="s">
        <v>111</v>
      </c>
      <c r="P2610" s="93" t="s">
        <v>111</v>
      </c>
      <c r="Q2610" s="93" t="s">
        <v>111</v>
      </c>
      <c r="R2610" s="93" t="s">
        <v>111</v>
      </c>
      <c r="S2610" s="93" t="s">
        <v>111</v>
      </c>
      <c r="T2610" s="93" t="s">
        <v>115</v>
      </c>
      <c r="U2610" s="93" t="s">
        <v>116</v>
      </c>
      <c r="V2610" s="94">
        <v>44596.661111111112</v>
      </c>
      <c r="W2610" s="93" t="s">
        <v>1170</v>
      </c>
      <c r="X2610" s="93" t="s">
        <v>24</v>
      </c>
    </row>
    <row r="2611" spans="1:24" x14ac:dyDescent="0.15">
      <c r="A2611" s="93" t="s">
        <v>3984</v>
      </c>
      <c r="B2611" s="93" t="s">
        <v>3985</v>
      </c>
      <c r="C2611" s="410">
        <v>409</v>
      </c>
      <c r="D2611" s="93" t="s">
        <v>24</v>
      </c>
      <c r="E2611" s="93" t="s">
        <v>24</v>
      </c>
      <c r="F2611" s="93" t="s">
        <v>7070</v>
      </c>
      <c r="G2611" s="93" t="s">
        <v>7108</v>
      </c>
      <c r="H2611" s="93" t="s">
        <v>118</v>
      </c>
      <c r="I2611" s="93" t="s">
        <v>111</v>
      </c>
      <c r="J2611" s="93" t="s">
        <v>118</v>
      </c>
      <c r="K2611" s="93">
        <v>3</v>
      </c>
      <c r="L2611" s="93" t="s">
        <v>111</v>
      </c>
      <c r="M2611" s="93" t="s">
        <v>111</v>
      </c>
      <c r="N2611" s="93" t="s">
        <v>111</v>
      </c>
      <c r="O2611" s="93" t="s">
        <v>111</v>
      </c>
      <c r="P2611" s="93" t="s">
        <v>111</v>
      </c>
      <c r="Q2611" s="93" t="s">
        <v>111</v>
      </c>
      <c r="R2611" s="93" t="s">
        <v>111</v>
      </c>
      <c r="S2611" s="93" t="s">
        <v>111</v>
      </c>
      <c r="T2611" s="93" t="s">
        <v>115</v>
      </c>
      <c r="U2611" s="93" t="s">
        <v>116</v>
      </c>
      <c r="V2611" s="94">
        <v>44586.547222222223</v>
      </c>
      <c r="W2611" s="93" t="s">
        <v>1170</v>
      </c>
      <c r="X2611" s="93" t="s">
        <v>24</v>
      </c>
    </row>
    <row r="2612" spans="1:24" x14ac:dyDescent="0.15">
      <c r="A2612" s="93" t="s">
        <v>3986</v>
      </c>
      <c r="B2612" s="93" t="s">
        <v>3987</v>
      </c>
      <c r="C2612" s="410">
        <v>251</v>
      </c>
      <c r="D2612" s="93" t="s">
        <v>24</v>
      </c>
      <c r="E2612" s="93" t="s">
        <v>24</v>
      </c>
      <c r="F2612" s="93" t="s">
        <v>7070</v>
      </c>
      <c r="G2612" s="93" t="s">
        <v>7108</v>
      </c>
      <c r="H2612" s="93" t="s">
        <v>118</v>
      </c>
      <c r="I2612" s="93" t="s">
        <v>111</v>
      </c>
      <c r="J2612" s="93" t="s">
        <v>118</v>
      </c>
      <c r="K2612" s="93">
        <v>3</v>
      </c>
      <c r="L2612" s="93" t="s">
        <v>111</v>
      </c>
      <c r="M2612" s="93" t="s">
        <v>111</v>
      </c>
      <c r="N2612" s="93" t="s">
        <v>111</v>
      </c>
      <c r="O2612" s="93" t="s">
        <v>111</v>
      </c>
      <c r="P2612" s="93" t="s">
        <v>111</v>
      </c>
      <c r="Q2612" s="93" t="s">
        <v>111</v>
      </c>
      <c r="R2612" s="93" t="s">
        <v>111</v>
      </c>
      <c r="S2612" s="93" t="s">
        <v>111</v>
      </c>
      <c r="T2612" s="93" t="s">
        <v>115</v>
      </c>
      <c r="U2612" s="93" t="s">
        <v>116</v>
      </c>
      <c r="V2612" s="94">
        <v>44586.547222222223</v>
      </c>
      <c r="W2612" s="93" t="s">
        <v>1170</v>
      </c>
      <c r="X2612" s="93" t="s">
        <v>24</v>
      </c>
    </row>
    <row r="2613" spans="1:24" x14ac:dyDescent="0.15">
      <c r="A2613" s="93" t="s">
        <v>3988</v>
      </c>
      <c r="B2613" s="93" t="s">
        <v>3989</v>
      </c>
      <c r="C2613" s="410">
        <v>289</v>
      </c>
      <c r="D2613" s="93" t="s">
        <v>24</v>
      </c>
      <c r="E2613" s="93" t="s">
        <v>24</v>
      </c>
      <c r="F2613" s="93" t="s">
        <v>7070</v>
      </c>
      <c r="G2613" s="93" t="s">
        <v>7108</v>
      </c>
      <c r="H2613" s="93" t="s">
        <v>118</v>
      </c>
      <c r="I2613" s="93" t="s">
        <v>111</v>
      </c>
      <c r="J2613" s="93" t="s">
        <v>118</v>
      </c>
      <c r="K2613" s="93">
        <v>3</v>
      </c>
      <c r="L2613" s="93" t="s">
        <v>111</v>
      </c>
      <c r="M2613" s="93" t="s">
        <v>111</v>
      </c>
      <c r="N2613" s="93" t="s">
        <v>111</v>
      </c>
      <c r="O2613" s="93" t="s">
        <v>111</v>
      </c>
      <c r="P2613" s="93" t="s">
        <v>111</v>
      </c>
      <c r="Q2613" s="93" t="s">
        <v>111</v>
      </c>
      <c r="R2613" s="93" t="s">
        <v>111</v>
      </c>
      <c r="S2613" s="93" t="s">
        <v>111</v>
      </c>
      <c r="T2613" s="93" t="s">
        <v>115</v>
      </c>
      <c r="U2613" s="93" t="s">
        <v>116</v>
      </c>
      <c r="V2613" s="94">
        <v>44586.547222222223</v>
      </c>
      <c r="W2613" s="93" t="s">
        <v>1170</v>
      </c>
      <c r="X2613" s="93" t="s">
        <v>24</v>
      </c>
    </row>
    <row r="2614" spans="1:24" x14ac:dyDescent="0.15">
      <c r="A2614" s="93" t="s">
        <v>3990</v>
      </c>
      <c r="B2614" s="93" t="s">
        <v>3991</v>
      </c>
      <c r="C2614" s="410">
        <v>567</v>
      </c>
      <c r="D2614" s="93" t="s">
        <v>24</v>
      </c>
      <c r="E2614" s="93" t="s">
        <v>24</v>
      </c>
      <c r="F2614" s="93" t="s">
        <v>7070</v>
      </c>
      <c r="G2614" s="93" t="s">
        <v>7108</v>
      </c>
      <c r="H2614" s="93" t="s">
        <v>118</v>
      </c>
      <c r="I2614" s="93" t="s">
        <v>111</v>
      </c>
      <c r="J2614" s="93" t="s">
        <v>118</v>
      </c>
      <c r="K2614" s="93">
        <v>3</v>
      </c>
      <c r="L2614" s="93" t="s">
        <v>111</v>
      </c>
      <c r="M2614" s="93" t="s">
        <v>111</v>
      </c>
      <c r="N2614" s="93" t="s">
        <v>111</v>
      </c>
      <c r="O2614" s="93" t="s">
        <v>111</v>
      </c>
      <c r="P2614" s="93" t="s">
        <v>111</v>
      </c>
      <c r="Q2614" s="93" t="s">
        <v>111</v>
      </c>
      <c r="R2614" s="93" t="s">
        <v>111</v>
      </c>
      <c r="S2614" s="93" t="s">
        <v>111</v>
      </c>
      <c r="T2614" s="93" t="s">
        <v>115</v>
      </c>
      <c r="U2614" s="93" t="s">
        <v>116</v>
      </c>
      <c r="V2614" s="94">
        <v>44586.547222222223</v>
      </c>
      <c r="W2614" s="93" t="s">
        <v>1170</v>
      </c>
      <c r="X2614" s="93" t="s">
        <v>24</v>
      </c>
    </row>
    <row r="2615" spans="1:24" x14ac:dyDescent="0.15">
      <c r="A2615" s="93" t="s">
        <v>3992</v>
      </c>
      <c r="B2615" s="93" t="s">
        <v>3993</v>
      </c>
      <c r="C2615" s="410">
        <v>161</v>
      </c>
      <c r="D2615" s="93" t="s">
        <v>24</v>
      </c>
      <c r="E2615" s="93" t="s">
        <v>24</v>
      </c>
      <c r="F2615" s="93" t="s">
        <v>7070</v>
      </c>
      <c r="G2615" s="93" t="s">
        <v>7108</v>
      </c>
      <c r="H2615" s="93" t="s">
        <v>118</v>
      </c>
      <c r="I2615" s="93" t="s">
        <v>111</v>
      </c>
      <c r="J2615" s="93" t="s">
        <v>118</v>
      </c>
      <c r="K2615" s="93">
        <v>3</v>
      </c>
      <c r="L2615" s="93" t="s">
        <v>111</v>
      </c>
      <c r="M2615" s="93" t="s">
        <v>111</v>
      </c>
      <c r="N2615" s="93" t="s">
        <v>111</v>
      </c>
      <c r="O2615" s="93" t="s">
        <v>111</v>
      </c>
      <c r="P2615" s="93" t="s">
        <v>111</v>
      </c>
      <c r="Q2615" s="93" t="s">
        <v>111</v>
      </c>
      <c r="R2615" s="93" t="s">
        <v>111</v>
      </c>
      <c r="S2615" s="93" t="s">
        <v>111</v>
      </c>
      <c r="T2615" s="93" t="s">
        <v>115</v>
      </c>
      <c r="U2615" s="93" t="s">
        <v>116</v>
      </c>
      <c r="V2615" s="94">
        <v>44586.547222222223</v>
      </c>
      <c r="W2615" s="93" t="s">
        <v>1170</v>
      </c>
      <c r="X2615" s="93" t="s">
        <v>24</v>
      </c>
    </row>
    <row r="2616" spans="1:24" x14ac:dyDescent="0.15">
      <c r="A2616" s="93" t="s">
        <v>3994</v>
      </c>
      <c r="B2616" s="93" t="s">
        <v>3995</v>
      </c>
      <c r="C2616" s="410">
        <v>267</v>
      </c>
      <c r="D2616" s="93" t="s">
        <v>24</v>
      </c>
      <c r="E2616" s="93" t="s">
        <v>24</v>
      </c>
      <c r="F2616" s="93" t="s">
        <v>7070</v>
      </c>
      <c r="G2616" s="93" t="s">
        <v>7108</v>
      </c>
      <c r="H2616" s="93" t="s">
        <v>118</v>
      </c>
      <c r="I2616" s="93" t="s">
        <v>111</v>
      </c>
      <c r="J2616" s="93" t="s">
        <v>118</v>
      </c>
      <c r="K2616" s="93">
        <v>3</v>
      </c>
      <c r="L2616" s="93" t="s">
        <v>111</v>
      </c>
      <c r="M2616" s="93" t="s">
        <v>111</v>
      </c>
      <c r="N2616" s="93" t="s">
        <v>111</v>
      </c>
      <c r="O2616" s="93" t="s">
        <v>111</v>
      </c>
      <c r="P2616" s="93" t="s">
        <v>111</v>
      </c>
      <c r="Q2616" s="93" t="s">
        <v>111</v>
      </c>
      <c r="R2616" s="93" t="s">
        <v>111</v>
      </c>
      <c r="S2616" s="93" t="s">
        <v>111</v>
      </c>
      <c r="T2616" s="93" t="s">
        <v>115</v>
      </c>
      <c r="U2616" s="93" t="s">
        <v>116</v>
      </c>
      <c r="V2616" s="94">
        <v>44586.547222222223</v>
      </c>
      <c r="W2616" s="93" t="s">
        <v>1170</v>
      </c>
      <c r="X2616" s="93" t="s">
        <v>24</v>
      </c>
    </row>
    <row r="2617" spans="1:24" x14ac:dyDescent="0.15">
      <c r="A2617" s="93" t="s">
        <v>3996</v>
      </c>
      <c r="B2617" s="93" t="s">
        <v>3997</v>
      </c>
      <c r="C2617" s="410">
        <v>121</v>
      </c>
      <c r="D2617" s="93" t="s">
        <v>24</v>
      </c>
      <c r="E2617" s="93" t="s">
        <v>24</v>
      </c>
      <c r="F2617" s="93" t="s">
        <v>7070</v>
      </c>
      <c r="G2617" s="93" t="s">
        <v>7108</v>
      </c>
      <c r="H2617" s="93" t="s">
        <v>118</v>
      </c>
      <c r="I2617" s="93" t="s">
        <v>111</v>
      </c>
      <c r="J2617" s="93" t="s">
        <v>118</v>
      </c>
      <c r="K2617" s="93">
        <v>3</v>
      </c>
      <c r="L2617" s="93" t="s">
        <v>111</v>
      </c>
      <c r="M2617" s="93" t="s">
        <v>111</v>
      </c>
      <c r="N2617" s="93" t="s">
        <v>111</v>
      </c>
      <c r="O2617" s="93" t="s">
        <v>111</v>
      </c>
      <c r="P2617" s="93" t="s">
        <v>111</v>
      </c>
      <c r="Q2617" s="93" t="s">
        <v>111</v>
      </c>
      <c r="R2617" s="93" t="s">
        <v>111</v>
      </c>
      <c r="S2617" s="93" t="s">
        <v>111</v>
      </c>
      <c r="T2617" s="93" t="s">
        <v>115</v>
      </c>
      <c r="U2617" s="93" t="s">
        <v>116</v>
      </c>
      <c r="V2617" s="94">
        <v>44586.547222222223</v>
      </c>
      <c r="W2617" s="93" t="s">
        <v>1170</v>
      </c>
      <c r="X2617" s="93" t="s">
        <v>24</v>
      </c>
    </row>
    <row r="2618" spans="1:24" x14ac:dyDescent="0.15">
      <c r="A2618" s="93" t="s">
        <v>3998</v>
      </c>
      <c r="B2618" s="93" t="s">
        <v>3999</v>
      </c>
      <c r="C2618" s="410">
        <v>227</v>
      </c>
      <c r="D2618" s="93" t="s">
        <v>24</v>
      </c>
      <c r="E2618" s="93" t="s">
        <v>24</v>
      </c>
      <c r="F2618" s="93" t="s">
        <v>7070</v>
      </c>
      <c r="G2618" s="93" t="s">
        <v>7108</v>
      </c>
      <c r="H2618" s="93" t="s">
        <v>118</v>
      </c>
      <c r="I2618" s="93" t="s">
        <v>111</v>
      </c>
      <c r="J2618" s="93" t="s">
        <v>118</v>
      </c>
      <c r="K2618" s="93">
        <v>3</v>
      </c>
      <c r="L2618" s="93" t="s">
        <v>111</v>
      </c>
      <c r="M2618" s="93" t="s">
        <v>111</v>
      </c>
      <c r="N2618" s="93" t="s">
        <v>111</v>
      </c>
      <c r="O2618" s="93" t="s">
        <v>111</v>
      </c>
      <c r="P2618" s="93" t="s">
        <v>111</v>
      </c>
      <c r="Q2618" s="93" t="s">
        <v>111</v>
      </c>
      <c r="R2618" s="93" t="s">
        <v>111</v>
      </c>
      <c r="S2618" s="93" t="s">
        <v>111</v>
      </c>
      <c r="T2618" s="93" t="s">
        <v>115</v>
      </c>
      <c r="U2618" s="93" t="s">
        <v>116</v>
      </c>
      <c r="V2618" s="94">
        <v>44586.547222222223</v>
      </c>
      <c r="W2618" s="93" t="s">
        <v>1170</v>
      </c>
      <c r="X2618" s="93" t="s">
        <v>24</v>
      </c>
    </row>
    <row r="2619" spans="1:24" x14ac:dyDescent="0.15">
      <c r="A2619" s="93" t="s">
        <v>4000</v>
      </c>
      <c r="B2619" s="93" t="s">
        <v>4001</v>
      </c>
      <c r="C2619" s="410">
        <v>195</v>
      </c>
      <c r="D2619" s="93" t="s">
        <v>24</v>
      </c>
      <c r="E2619" s="93" t="s">
        <v>24</v>
      </c>
      <c r="F2619" s="93" t="s">
        <v>7070</v>
      </c>
      <c r="G2619" s="93" t="s">
        <v>7108</v>
      </c>
      <c r="H2619" s="93" t="s">
        <v>118</v>
      </c>
      <c r="I2619" s="93" t="s">
        <v>111</v>
      </c>
      <c r="J2619" s="93" t="s">
        <v>7105</v>
      </c>
      <c r="K2619" s="93" t="s">
        <v>111</v>
      </c>
      <c r="L2619" s="93" t="s">
        <v>111</v>
      </c>
      <c r="M2619" s="93" t="s">
        <v>111</v>
      </c>
      <c r="N2619" s="93" t="s">
        <v>111</v>
      </c>
      <c r="O2619" s="93" t="s">
        <v>111</v>
      </c>
      <c r="P2619" s="93" t="s">
        <v>111</v>
      </c>
      <c r="Q2619" s="93" t="s">
        <v>111</v>
      </c>
      <c r="R2619" s="93" t="s">
        <v>111</v>
      </c>
      <c r="S2619" s="93" t="s">
        <v>111</v>
      </c>
      <c r="T2619" s="93" t="s">
        <v>115</v>
      </c>
      <c r="U2619" s="93" t="s">
        <v>116</v>
      </c>
      <c r="V2619" s="94">
        <v>44596.684027777781</v>
      </c>
      <c r="W2619" s="93" t="s">
        <v>1170</v>
      </c>
      <c r="X2619" s="93" t="s">
        <v>24</v>
      </c>
    </row>
    <row r="2620" spans="1:24" x14ac:dyDescent="0.15">
      <c r="A2620" s="93" t="s">
        <v>4002</v>
      </c>
      <c r="B2620" s="93" t="s">
        <v>4003</v>
      </c>
      <c r="C2620" s="410">
        <v>259</v>
      </c>
      <c r="D2620" s="93" t="s">
        <v>24</v>
      </c>
      <c r="E2620" s="93" t="s">
        <v>24</v>
      </c>
      <c r="F2620" s="93" t="s">
        <v>7070</v>
      </c>
      <c r="G2620" s="93" t="s">
        <v>7108</v>
      </c>
      <c r="H2620" s="93" t="s">
        <v>118</v>
      </c>
      <c r="I2620" s="93" t="s">
        <v>111</v>
      </c>
      <c r="J2620" s="93" t="s">
        <v>7105</v>
      </c>
      <c r="K2620" s="93" t="s">
        <v>111</v>
      </c>
      <c r="L2620" s="93" t="s">
        <v>111</v>
      </c>
      <c r="M2620" s="93" t="s">
        <v>111</v>
      </c>
      <c r="N2620" s="93" t="s">
        <v>111</v>
      </c>
      <c r="O2620" s="93" t="s">
        <v>111</v>
      </c>
      <c r="P2620" s="93" t="s">
        <v>111</v>
      </c>
      <c r="Q2620" s="93" t="s">
        <v>111</v>
      </c>
      <c r="R2620" s="93" t="s">
        <v>111</v>
      </c>
      <c r="S2620" s="93" t="s">
        <v>111</v>
      </c>
      <c r="T2620" s="93" t="s">
        <v>115</v>
      </c>
      <c r="U2620" s="93" t="s">
        <v>116</v>
      </c>
      <c r="V2620" s="94">
        <v>44596.652777777781</v>
      </c>
      <c r="W2620" s="93" t="s">
        <v>1170</v>
      </c>
      <c r="X2620" s="93" t="s">
        <v>24</v>
      </c>
    </row>
    <row r="2621" spans="1:24" x14ac:dyDescent="0.15">
      <c r="A2621" s="93" t="s">
        <v>4004</v>
      </c>
      <c r="B2621" s="93" t="s">
        <v>4005</v>
      </c>
      <c r="C2621" s="410">
        <v>628</v>
      </c>
      <c r="D2621" s="93" t="s">
        <v>24</v>
      </c>
      <c r="E2621" s="93" t="s">
        <v>24</v>
      </c>
      <c r="F2621" s="93" t="s">
        <v>7070</v>
      </c>
      <c r="G2621" s="93" t="s">
        <v>7108</v>
      </c>
      <c r="H2621" s="93" t="s">
        <v>118</v>
      </c>
      <c r="I2621" s="93" t="s">
        <v>111</v>
      </c>
      <c r="J2621" s="93" t="s">
        <v>7105</v>
      </c>
      <c r="K2621" s="93" t="s">
        <v>111</v>
      </c>
      <c r="L2621" s="93" t="s">
        <v>111</v>
      </c>
      <c r="M2621" s="93" t="s">
        <v>111</v>
      </c>
      <c r="N2621" s="93" t="s">
        <v>111</v>
      </c>
      <c r="O2621" s="93" t="s">
        <v>111</v>
      </c>
      <c r="P2621" s="93" t="s">
        <v>111</v>
      </c>
      <c r="Q2621" s="93" t="s">
        <v>111</v>
      </c>
      <c r="R2621" s="93" t="s">
        <v>111</v>
      </c>
      <c r="S2621" s="93" t="s">
        <v>111</v>
      </c>
      <c r="T2621" s="93" t="s">
        <v>115</v>
      </c>
      <c r="U2621" s="93" t="s">
        <v>116</v>
      </c>
      <c r="V2621" s="94">
        <v>44596.665277777778</v>
      </c>
      <c r="W2621" s="93" t="s">
        <v>1170</v>
      </c>
      <c r="X2621" s="93" t="s">
        <v>24</v>
      </c>
    </row>
    <row r="2622" spans="1:24" x14ac:dyDescent="0.15">
      <c r="A2622" s="93" t="s">
        <v>4006</v>
      </c>
      <c r="B2622" s="93" t="s">
        <v>4007</v>
      </c>
      <c r="C2622" s="410">
        <v>257</v>
      </c>
      <c r="D2622" s="93" t="s">
        <v>24</v>
      </c>
      <c r="E2622" s="93" t="s">
        <v>24</v>
      </c>
      <c r="F2622" s="93" t="s">
        <v>7070</v>
      </c>
      <c r="G2622" s="93" t="s">
        <v>7108</v>
      </c>
      <c r="H2622" s="93" t="s">
        <v>118</v>
      </c>
      <c r="I2622" s="93" t="s">
        <v>111</v>
      </c>
      <c r="J2622" s="93" t="s">
        <v>7105</v>
      </c>
      <c r="K2622" s="93" t="s">
        <v>111</v>
      </c>
      <c r="L2622" s="93" t="s">
        <v>111</v>
      </c>
      <c r="M2622" s="93" t="s">
        <v>111</v>
      </c>
      <c r="N2622" s="93" t="s">
        <v>111</v>
      </c>
      <c r="O2622" s="93" t="s">
        <v>111</v>
      </c>
      <c r="P2622" s="93" t="s">
        <v>111</v>
      </c>
      <c r="Q2622" s="93" t="s">
        <v>111</v>
      </c>
      <c r="R2622" s="93" t="s">
        <v>111</v>
      </c>
      <c r="S2622" s="93" t="s">
        <v>111</v>
      </c>
      <c r="T2622" s="93" t="s">
        <v>115</v>
      </c>
      <c r="U2622" s="93" t="s">
        <v>116</v>
      </c>
      <c r="V2622" s="94">
        <v>44596.692361111112</v>
      </c>
      <c r="W2622" s="93" t="s">
        <v>1170</v>
      </c>
      <c r="X2622" s="93" t="s">
        <v>24</v>
      </c>
    </row>
    <row r="2623" spans="1:24" x14ac:dyDescent="0.15">
      <c r="A2623" s="93" t="s">
        <v>4008</v>
      </c>
      <c r="B2623" s="93" t="s">
        <v>4009</v>
      </c>
      <c r="C2623" s="410">
        <v>174</v>
      </c>
      <c r="D2623" s="93" t="s">
        <v>24</v>
      </c>
      <c r="E2623" s="93" t="s">
        <v>24</v>
      </c>
      <c r="F2623" s="93" t="s">
        <v>7070</v>
      </c>
      <c r="G2623" s="93" t="s">
        <v>7108</v>
      </c>
      <c r="H2623" s="93" t="s">
        <v>118</v>
      </c>
      <c r="I2623" s="93" t="s">
        <v>111</v>
      </c>
      <c r="J2623" s="93" t="s">
        <v>118</v>
      </c>
      <c r="K2623" s="93">
        <v>3</v>
      </c>
      <c r="L2623" s="93" t="s">
        <v>111</v>
      </c>
      <c r="M2623" s="93" t="s">
        <v>111</v>
      </c>
      <c r="N2623" s="93" t="s">
        <v>111</v>
      </c>
      <c r="O2623" s="93" t="s">
        <v>111</v>
      </c>
      <c r="P2623" s="93" t="s">
        <v>111</v>
      </c>
      <c r="Q2623" s="93" t="s">
        <v>111</v>
      </c>
      <c r="R2623" s="93" t="s">
        <v>111</v>
      </c>
      <c r="S2623" s="93" t="s">
        <v>111</v>
      </c>
      <c r="T2623" s="93" t="s">
        <v>115</v>
      </c>
      <c r="U2623" s="93" t="s">
        <v>116</v>
      </c>
      <c r="V2623" s="94">
        <v>44586.547222222223</v>
      </c>
      <c r="W2623" s="93" t="s">
        <v>1170</v>
      </c>
      <c r="X2623" s="93" t="s">
        <v>24</v>
      </c>
    </row>
    <row r="2624" spans="1:24" x14ac:dyDescent="0.15">
      <c r="A2624" s="93" t="s">
        <v>9309</v>
      </c>
      <c r="B2624" s="93" t="s">
        <v>9310</v>
      </c>
      <c r="C2624" s="410">
        <v>320</v>
      </c>
      <c r="D2624" s="93" t="s">
        <v>24</v>
      </c>
      <c r="E2624" s="93" t="s">
        <v>24</v>
      </c>
      <c r="F2624" s="93" t="s">
        <v>7070</v>
      </c>
      <c r="G2624" s="93" t="s">
        <v>7108</v>
      </c>
      <c r="H2624" s="93" t="s">
        <v>118</v>
      </c>
      <c r="I2624" s="93" t="s">
        <v>111</v>
      </c>
      <c r="J2624" s="93" t="s">
        <v>118</v>
      </c>
      <c r="K2624" s="93">
        <v>3</v>
      </c>
      <c r="L2624" s="93" t="s">
        <v>111</v>
      </c>
      <c r="M2624" s="93" t="s">
        <v>111</v>
      </c>
      <c r="N2624" s="93" t="s">
        <v>111</v>
      </c>
      <c r="O2624" s="93" t="s">
        <v>111</v>
      </c>
      <c r="P2624" s="93" t="s">
        <v>111</v>
      </c>
      <c r="Q2624" s="93" t="s">
        <v>111</v>
      </c>
      <c r="R2624" s="93" t="s">
        <v>228</v>
      </c>
      <c r="S2624" s="93" t="s">
        <v>2</v>
      </c>
      <c r="T2624" s="93" t="s">
        <v>115</v>
      </c>
      <c r="U2624" s="93" t="s">
        <v>116</v>
      </c>
      <c r="V2624" s="94">
        <v>44596.659722222219</v>
      </c>
      <c r="W2624" s="93" t="s">
        <v>1170</v>
      </c>
      <c r="X2624" s="93" t="s">
        <v>24</v>
      </c>
    </row>
    <row r="2625" spans="1:24" x14ac:dyDescent="0.15">
      <c r="A2625" s="93" t="s">
        <v>4010</v>
      </c>
      <c r="B2625" s="93" t="s">
        <v>4011</v>
      </c>
      <c r="C2625" s="410">
        <v>348</v>
      </c>
      <c r="D2625" s="93" t="s">
        <v>24</v>
      </c>
      <c r="E2625" s="93" t="s">
        <v>24</v>
      </c>
      <c r="F2625" s="93" t="s">
        <v>7070</v>
      </c>
      <c r="G2625" s="93" t="s">
        <v>7108</v>
      </c>
      <c r="H2625" s="93" t="s">
        <v>118</v>
      </c>
      <c r="I2625" s="93" t="s">
        <v>111</v>
      </c>
      <c r="J2625" s="93" t="s">
        <v>7105</v>
      </c>
      <c r="K2625" s="93" t="s">
        <v>111</v>
      </c>
      <c r="L2625" s="93" t="s">
        <v>111</v>
      </c>
      <c r="M2625" s="93" t="s">
        <v>111</v>
      </c>
      <c r="N2625" s="93" t="s">
        <v>111</v>
      </c>
      <c r="O2625" s="93" t="s">
        <v>111</v>
      </c>
      <c r="P2625" s="93" t="s">
        <v>111</v>
      </c>
      <c r="Q2625" s="93" t="s">
        <v>111</v>
      </c>
      <c r="R2625" s="93" t="s">
        <v>228</v>
      </c>
      <c r="S2625" s="93" t="s">
        <v>2</v>
      </c>
      <c r="T2625" s="93" t="s">
        <v>115</v>
      </c>
      <c r="U2625" s="93" t="s">
        <v>116</v>
      </c>
      <c r="V2625" s="94">
        <v>44596.686111111114</v>
      </c>
      <c r="W2625" s="93" t="s">
        <v>1170</v>
      </c>
      <c r="X2625" s="93" t="s">
        <v>24</v>
      </c>
    </row>
    <row r="2626" spans="1:24" x14ac:dyDescent="0.15">
      <c r="A2626" s="93" t="s">
        <v>9311</v>
      </c>
      <c r="B2626" s="93" t="s">
        <v>9312</v>
      </c>
      <c r="C2626" s="410">
        <v>187</v>
      </c>
      <c r="D2626" s="93" t="s">
        <v>24</v>
      </c>
      <c r="E2626" s="93" t="s">
        <v>24</v>
      </c>
      <c r="F2626" s="93" t="s">
        <v>7070</v>
      </c>
      <c r="G2626" s="93" t="s">
        <v>7108</v>
      </c>
      <c r="H2626" s="93" t="s">
        <v>118</v>
      </c>
      <c r="I2626" s="93" t="s">
        <v>111</v>
      </c>
      <c r="J2626" s="93" t="s">
        <v>118</v>
      </c>
      <c r="K2626" s="93">
        <v>3</v>
      </c>
      <c r="L2626" s="93" t="s">
        <v>111</v>
      </c>
      <c r="M2626" s="93" t="s">
        <v>111</v>
      </c>
      <c r="N2626" s="93" t="s">
        <v>111</v>
      </c>
      <c r="O2626" s="93" t="s">
        <v>111</v>
      </c>
      <c r="P2626" s="93" t="s">
        <v>111</v>
      </c>
      <c r="Q2626" s="93" t="s">
        <v>111</v>
      </c>
      <c r="R2626" s="93" t="s">
        <v>228</v>
      </c>
      <c r="S2626" s="93" t="s">
        <v>2</v>
      </c>
      <c r="T2626" s="93" t="s">
        <v>115</v>
      </c>
      <c r="U2626" s="93" t="s">
        <v>116</v>
      </c>
      <c r="V2626" s="94">
        <v>44596.655555555553</v>
      </c>
      <c r="W2626" s="93" t="s">
        <v>1170</v>
      </c>
      <c r="X2626" s="93" t="s">
        <v>24</v>
      </c>
    </row>
    <row r="2627" spans="1:24" x14ac:dyDescent="0.15">
      <c r="A2627" s="93" t="s">
        <v>4012</v>
      </c>
      <c r="B2627" s="93" t="s">
        <v>4013</v>
      </c>
      <c r="C2627" s="410">
        <v>12</v>
      </c>
      <c r="D2627" s="93" t="s">
        <v>24</v>
      </c>
      <c r="E2627" s="93" t="s">
        <v>24</v>
      </c>
      <c r="F2627" s="93" t="s">
        <v>7070</v>
      </c>
      <c r="G2627" s="93" t="s">
        <v>7108</v>
      </c>
      <c r="H2627" s="93" t="s">
        <v>118</v>
      </c>
      <c r="I2627" s="93" t="s">
        <v>111</v>
      </c>
      <c r="J2627" s="93" t="s">
        <v>7105</v>
      </c>
      <c r="K2627" s="93" t="s">
        <v>111</v>
      </c>
      <c r="L2627" s="93" t="s">
        <v>111</v>
      </c>
      <c r="M2627" s="93" t="s">
        <v>111</v>
      </c>
      <c r="N2627" s="93" t="s">
        <v>111</v>
      </c>
      <c r="O2627" s="93" t="s">
        <v>111</v>
      </c>
      <c r="P2627" s="93" t="s">
        <v>111</v>
      </c>
      <c r="Q2627" s="93" t="s">
        <v>111</v>
      </c>
      <c r="R2627" s="93" t="s">
        <v>111</v>
      </c>
      <c r="S2627" s="93" t="s">
        <v>111</v>
      </c>
      <c r="T2627" s="93" t="s">
        <v>115</v>
      </c>
      <c r="U2627" s="93" t="s">
        <v>116</v>
      </c>
      <c r="V2627" s="94">
        <v>44610.210416666669</v>
      </c>
      <c r="W2627" s="93" t="s">
        <v>1170</v>
      </c>
      <c r="X2627" s="93" t="s">
        <v>24</v>
      </c>
    </row>
    <row r="2628" spans="1:24" x14ac:dyDescent="0.15">
      <c r="A2628" s="93" t="s">
        <v>4014</v>
      </c>
      <c r="B2628" s="93" t="s">
        <v>4015</v>
      </c>
      <c r="C2628" s="410">
        <v>17</v>
      </c>
      <c r="D2628" s="93" t="s">
        <v>24</v>
      </c>
      <c r="E2628" s="93" t="s">
        <v>24</v>
      </c>
      <c r="F2628" s="93" t="s">
        <v>7070</v>
      </c>
      <c r="G2628" s="93" t="s">
        <v>7108</v>
      </c>
      <c r="H2628" s="93" t="s">
        <v>118</v>
      </c>
      <c r="I2628" s="93" t="s">
        <v>111</v>
      </c>
      <c r="J2628" s="93" t="s">
        <v>7105</v>
      </c>
      <c r="K2628" s="93" t="s">
        <v>111</v>
      </c>
      <c r="L2628" s="93" t="s">
        <v>111</v>
      </c>
      <c r="M2628" s="93" t="s">
        <v>111</v>
      </c>
      <c r="N2628" s="93" t="s">
        <v>111</v>
      </c>
      <c r="O2628" s="93" t="s">
        <v>111</v>
      </c>
      <c r="P2628" s="93" t="s">
        <v>111</v>
      </c>
      <c r="Q2628" s="93" t="s">
        <v>111</v>
      </c>
      <c r="R2628" s="93" t="s">
        <v>111</v>
      </c>
      <c r="S2628" s="93" t="s">
        <v>111</v>
      </c>
      <c r="T2628" s="93" t="s">
        <v>115</v>
      </c>
      <c r="U2628" s="93" t="s">
        <v>116</v>
      </c>
      <c r="V2628" s="94">
        <v>44610.188194444447</v>
      </c>
      <c r="W2628" s="93" t="s">
        <v>1170</v>
      </c>
      <c r="X2628" s="93" t="s">
        <v>24</v>
      </c>
    </row>
    <row r="2629" spans="1:24" x14ac:dyDescent="0.15">
      <c r="A2629" s="93" t="s">
        <v>7987</v>
      </c>
      <c r="B2629" s="93" t="s">
        <v>7988</v>
      </c>
      <c r="C2629" s="410">
        <v>26.5</v>
      </c>
      <c r="D2629" s="93" t="s">
        <v>24</v>
      </c>
      <c r="E2629" s="93" t="s">
        <v>24</v>
      </c>
      <c r="F2629" s="93" t="s">
        <v>7</v>
      </c>
      <c r="G2629" s="93" t="s">
        <v>7108</v>
      </c>
      <c r="H2629" s="93" t="s">
        <v>118</v>
      </c>
      <c r="I2629" s="93" t="s">
        <v>111</v>
      </c>
      <c r="J2629" s="93" t="s">
        <v>118</v>
      </c>
      <c r="K2629" s="93">
        <v>3</v>
      </c>
      <c r="L2629" s="93" t="s">
        <v>111</v>
      </c>
      <c r="M2629" s="93" t="s">
        <v>111</v>
      </c>
      <c r="N2629" s="93" t="s">
        <v>111</v>
      </c>
      <c r="O2629" s="93" t="s">
        <v>111</v>
      </c>
      <c r="P2629" s="93" t="s">
        <v>111</v>
      </c>
      <c r="Q2629" s="93" t="s">
        <v>111</v>
      </c>
      <c r="R2629" s="93" t="s">
        <v>228</v>
      </c>
      <c r="S2629" s="93" t="s">
        <v>2</v>
      </c>
      <c r="T2629" s="93" t="s">
        <v>115</v>
      </c>
      <c r="U2629" s="93" t="s">
        <v>116</v>
      </c>
      <c r="V2629" s="94">
        <v>44597.636805555558</v>
      </c>
      <c r="W2629" s="93" t="s">
        <v>7913</v>
      </c>
      <c r="X2629" s="93" t="s">
        <v>24</v>
      </c>
    </row>
    <row r="2630" spans="1:24" x14ac:dyDescent="0.15">
      <c r="A2630" s="93" t="s">
        <v>9313</v>
      </c>
      <c r="B2630" s="93" t="s">
        <v>9314</v>
      </c>
      <c r="C2630" s="410">
        <v>176</v>
      </c>
      <c r="D2630" s="93" t="s">
        <v>24</v>
      </c>
      <c r="E2630" s="93" t="s">
        <v>24</v>
      </c>
      <c r="F2630" s="93" t="s">
        <v>7070</v>
      </c>
      <c r="G2630" s="93" t="s">
        <v>7108</v>
      </c>
      <c r="H2630" s="93" t="s">
        <v>118</v>
      </c>
      <c r="I2630" s="93" t="s">
        <v>111</v>
      </c>
      <c r="J2630" s="93" t="s">
        <v>7105</v>
      </c>
      <c r="K2630" s="93" t="s">
        <v>111</v>
      </c>
      <c r="L2630" s="93" t="s">
        <v>111</v>
      </c>
      <c r="M2630" s="93" t="s">
        <v>111</v>
      </c>
      <c r="N2630" s="93" t="s">
        <v>111</v>
      </c>
      <c r="O2630" s="93" t="s">
        <v>111</v>
      </c>
      <c r="P2630" s="93" t="s">
        <v>111</v>
      </c>
      <c r="Q2630" s="93" t="s">
        <v>111</v>
      </c>
      <c r="R2630" s="93" t="s">
        <v>228</v>
      </c>
      <c r="S2630" s="93" t="s">
        <v>2</v>
      </c>
      <c r="T2630" s="93" t="s">
        <v>115</v>
      </c>
      <c r="U2630" s="93" t="s">
        <v>116</v>
      </c>
      <c r="V2630" s="94">
        <v>44596.663194444445</v>
      </c>
      <c r="W2630" s="93" t="s">
        <v>1170</v>
      </c>
      <c r="X2630" s="93" t="s">
        <v>24</v>
      </c>
    </row>
    <row r="2631" spans="1:24" x14ac:dyDescent="0.15">
      <c r="A2631" s="93" t="s">
        <v>7989</v>
      </c>
      <c r="B2631" s="93" t="s">
        <v>7990</v>
      </c>
      <c r="C2631" s="410">
        <v>667</v>
      </c>
      <c r="D2631" s="93" t="s">
        <v>24</v>
      </c>
      <c r="E2631" s="93" t="s">
        <v>24</v>
      </c>
      <c r="F2631" s="93" t="s">
        <v>5978</v>
      </c>
      <c r="G2631" s="93" t="s">
        <v>7108</v>
      </c>
      <c r="H2631" s="93" t="s">
        <v>118</v>
      </c>
      <c r="I2631" s="93" t="s">
        <v>111</v>
      </c>
      <c r="J2631" s="93" t="s">
        <v>118</v>
      </c>
      <c r="K2631" s="93">
        <v>3</v>
      </c>
      <c r="L2631" s="93" t="s">
        <v>111</v>
      </c>
      <c r="M2631" s="93" t="s">
        <v>111</v>
      </c>
      <c r="N2631" s="93" t="s">
        <v>111</v>
      </c>
      <c r="O2631" s="93" t="s">
        <v>111</v>
      </c>
      <c r="P2631" s="93" t="s">
        <v>111</v>
      </c>
      <c r="Q2631" s="93" t="s">
        <v>111</v>
      </c>
      <c r="R2631" s="93" t="s">
        <v>228</v>
      </c>
      <c r="S2631" s="93" t="s">
        <v>2</v>
      </c>
      <c r="T2631" s="93" t="s">
        <v>115</v>
      </c>
      <c r="U2631" s="93" t="s">
        <v>116</v>
      </c>
      <c r="V2631" s="94">
        <v>44602.491666666669</v>
      </c>
      <c r="W2631" s="93" t="s">
        <v>402</v>
      </c>
      <c r="X2631" s="93" t="s">
        <v>24</v>
      </c>
    </row>
    <row r="2632" spans="1:24" x14ac:dyDescent="0.15">
      <c r="A2632" s="93" t="s">
        <v>7991</v>
      </c>
      <c r="B2632" s="93" t="s">
        <v>7992</v>
      </c>
      <c r="C2632" s="410">
        <v>44</v>
      </c>
      <c r="D2632" s="93" t="s">
        <v>24</v>
      </c>
      <c r="E2632" s="93" t="s">
        <v>24</v>
      </c>
      <c r="F2632" s="93" t="s">
        <v>5978</v>
      </c>
      <c r="G2632" s="93" t="s">
        <v>7108</v>
      </c>
      <c r="H2632" s="93" t="s">
        <v>118</v>
      </c>
      <c r="I2632" s="93" t="s">
        <v>111</v>
      </c>
      <c r="J2632" s="93" t="s">
        <v>118</v>
      </c>
      <c r="K2632" s="93">
        <v>3</v>
      </c>
      <c r="L2632" s="93" t="s">
        <v>111</v>
      </c>
      <c r="M2632" s="93" t="s">
        <v>111</v>
      </c>
      <c r="N2632" s="93" t="s">
        <v>111</v>
      </c>
      <c r="O2632" s="93" t="s">
        <v>111</v>
      </c>
      <c r="P2632" s="93" t="s">
        <v>111</v>
      </c>
      <c r="Q2632" s="93" t="s">
        <v>111</v>
      </c>
      <c r="R2632" s="93" t="s">
        <v>228</v>
      </c>
      <c r="S2632" s="93" t="s">
        <v>2</v>
      </c>
      <c r="T2632" s="93" t="s">
        <v>115</v>
      </c>
      <c r="U2632" s="93" t="s">
        <v>116</v>
      </c>
      <c r="V2632" s="94">
        <v>44602.491666666669</v>
      </c>
      <c r="W2632" s="93" t="s">
        <v>402</v>
      </c>
      <c r="X2632" s="93" t="s">
        <v>24</v>
      </c>
    </row>
    <row r="2633" spans="1:24" x14ac:dyDescent="0.15">
      <c r="A2633" s="93" t="s">
        <v>4016</v>
      </c>
      <c r="B2633" s="93" t="s">
        <v>4017</v>
      </c>
      <c r="C2633" s="410">
        <v>101</v>
      </c>
      <c r="D2633" s="93" t="s">
        <v>9</v>
      </c>
      <c r="E2633" s="93" t="s">
        <v>24</v>
      </c>
      <c r="F2633" s="93" t="s">
        <v>7070</v>
      </c>
      <c r="G2633" s="93" t="s">
        <v>7108</v>
      </c>
      <c r="H2633" s="93" t="s">
        <v>118</v>
      </c>
      <c r="I2633" s="93" t="s">
        <v>111</v>
      </c>
      <c r="J2633" s="93" t="s">
        <v>7105</v>
      </c>
      <c r="K2633" s="93" t="s">
        <v>111</v>
      </c>
      <c r="L2633" s="93" t="s">
        <v>111</v>
      </c>
      <c r="M2633" s="93" t="s">
        <v>111</v>
      </c>
      <c r="N2633" s="93" t="s">
        <v>111</v>
      </c>
      <c r="O2633" s="93" t="s">
        <v>111</v>
      </c>
      <c r="P2633" s="93" t="s">
        <v>111</v>
      </c>
      <c r="Q2633" s="93" t="s">
        <v>111</v>
      </c>
      <c r="R2633" s="93" t="s">
        <v>111</v>
      </c>
      <c r="S2633" s="93" t="s">
        <v>111</v>
      </c>
      <c r="T2633" s="93" t="s">
        <v>115</v>
      </c>
      <c r="U2633" s="93" t="s">
        <v>116</v>
      </c>
      <c r="V2633" s="94">
        <v>44596.661111111112</v>
      </c>
      <c r="W2633" s="93" t="s">
        <v>1170</v>
      </c>
      <c r="X2633" s="93" t="s">
        <v>24</v>
      </c>
    </row>
    <row r="2634" spans="1:24" x14ac:dyDescent="0.15">
      <c r="A2634" s="93" t="s">
        <v>4018</v>
      </c>
      <c r="B2634" s="93" t="s">
        <v>4019</v>
      </c>
      <c r="C2634" s="410">
        <v>141</v>
      </c>
      <c r="D2634" s="93" t="s">
        <v>9</v>
      </c>
      <c r="E2634" s="93" t="s">
        <v>24</v>
      </c>
      <c r="F2634" s="93" t="s">
        <v>7070</v>
      </c>
      <c r="G2634" s="93" t="s">
        <v>7108</v>
      </c>
      <c r="H2634" s="93" t="s">
        <v>118</v>
      </c>
      <c r="I2634" s="93" t="s">
        <v>111</v>
      </c>
      <c r="J2634" s="93" t="s">
        <v>7105</v>
      </c>
      <c r="K2634" s="93" t="s">
        <v>111</v>
      </c>
      <c r="L2634" s="93" t="s">
        <v>111</v>
      </c>
      <c r="M2634" s="93" t="s">
        <v>111</v>
      </c>
      <c r="N2634" s="93" t="s">
        <v>111</v>
      </c>
      <c r="O2634" s="93" t="s">
        <v>111</v>
      </c>
      <c r="P2634" s="93" t="s">
        <v>111</v>
      </c>
      <c r="Q2634" s="93" t="s">
        <v>111</v>
      </c>
      <c r="R2634" s="93" t="s">
        <v>111</v>
      </c>
      <c r="S2634" s="93" t="s">
        <v>111</v>
      </c>
      <c r="T2634" s="93" t="s">
        <v>115</v>
      </c>
      <c r="U2634" s="93" t="s">
        <v>116</v>
      </c>
      <c r="V2634" s="94">
        <v>44596.661111111112</v>
      </c>
      <c r="W2634" s="93" t="s">
        <v>1170</v>
      </c>
      <c r="X2634" s="93" t="s">
        <v>24</v>
      </c>
    </row>
    <row r="2635" spans="1:24" x14ac:dyDescent="0.15">
      <c r="A2635" s="93" t="s">
        <v>4020</v>
      </c>
      <c r="B2635" s="93" t="s">
        <v>4021</v>
      </c>
      <c r="C2635" s="410">
        <v>67</v>
      </c>
      <c r="D2635" s="93" t="s">
        <v>9</v>
      </c>
      <c r="E2635" s="93" t="s">
        <v>24</v>
      </c>
      <c r="F2635" s="93" t="s">
        <v>7070</v>
      </c>
      <c r="G2635" s="93" t="s">
        <v>7108</v>
      </c>
      <c r="H2635" s="93" t="s">
        <v>118</v>
      </c>
      <c r="I2635" s="93" t="s">
        <v>111</v>
      </c>
      <c r="J2635" s="93" t="s">
        <v>7105</v>
      </c>
      <c r="K2635" s="93" t="s">
        <v>111</v>
      </c>
      <c r="L2635" s="93" t="s">
        <v>111</v>
      </c>
      <c r="M2635" s="93" t="s">
        <v>111</v>
      </c>
      <c r="N2635" s="93" t="s">
        <v>111</v>
      </c>
      <c r="O2635" s="93" t="s">
        <v>111</v>
      </c>
      <c r="P2635" s="93" t="s">
        <v>111</v>
      </c>
      <c r="Q2635" s="93" t="s">
        <v>111</v>
      </c>
      <c r="R2635" s="93" t="s">
        <v>111</v>
      </c>
      <c r="S2635" s="93" t="s">
        <v>111</v>
      </c>
      <c r="T2635" s="93" t="s">
        <v>115</v>
      </c>
      <c r="U2635" s="93" t="s">
        <v>116</v>
      </c>
      <c r="V2635" s="94">
        <v>44596.638888888891</v>
      </c>
      <c r="W2635" s="93" t="s">
        <v>1170</v>
      </c>
      <c r="X2635" s="93" t="s">
        <v>24</v>
      </c>
    </row>
    <row r="2636" spans="1:24" x14ac:dyDescent="0.15">
      <c r="A2636" s="93" t="s">
        <v>4022</v>
      </c>
      <c r="B2636" s="93" t="s">
        <v>4023</v>
      </c>
      <c r="C2636" s="410">
        <v>87</v>
      </c>
      <c r="D2636" s="93" t="s">
        <v>9</v>
      </c>
      <c r="E2636" s="93" t="s">
        <v>24</v>
      </c>
      <c r="F2636" s="93" t="s">
        <v>7070</v>
      </c>
      <c r="G2636" s="93" t="s">
        <v>7108</v>
      </c>
      <c r="H2636" s="93" t="s">
        <v>118</v>
      </c>
      <c r="I2636" s="93" t="s">
        <v>111</v>
      </c>
      <c r="J2636" s="93" t="s">
        <v>7105</v>
      </c>
      <c r="K2636" s="93" t="s">
        <v>111</v>
      </c>
      <c r="L2636" s="93" t="s">
        <v>111</v>
      </c>
      <c r="M2636" s="93" t="s">
        <v>111</v>
      </c>
      <c r="N2636" s="93" t="s">
        <v>111</v>
      </c>
      <c r="O2636" s="93" t="s">
        <v>111</v>
      </c>
      <c r="P2636" s="93" t="s">
        <v>111</v>
      </c>
      <c r="Q2636" s="93" t="s">
        <v>111</v>
      </c>
      <c r="R2636" s="93" t="s">
        <v>111</v>
      </c>
      <c r="S2636" s="93" t="s">
        <v>111</v>
      </c>
      <c r="T2636" s="93" t="s">
        <v>115</v>
      </c>
      <c r="U2636" s="93" t="s">
        <v>116</v>
      </c>
      <c r="V2636" s="94">
        <v>44596.656944444447</v>
      </c>
      <c r="W2636" s="93" t="s">
        <v>1170</v>
      </c>
      <c r="X2636" s="93" t="s">
        <v>24</v>
      </c>
    </row>
    <row r="2637" spans="1:24" x14ac:dyDescent="0.15">
      <c r="A2637" s="93" t="s">
        <v>4024</v>
      </c>
      <c r="B2637" s="93" t="s">
        <v>4025</v>
      </c>
      <c r="C2637" s="410">
        <v>618</v>
      </c>
      <c r="D2637" s="93" t="s">
        <v>24</v>
      </c>
      <c r="E2637" s="93" t="s">
        <v>24</v>
      </c>
      <c r="F2637" s="93" t="s">
        <v>7070</v>
      </c>
      <c r="G2637" s="93" t="s">
        <v>7108</v>
      </c>
      <c r="H2637" s="93" t="s">
        <v>118</v>
      </c>
      <c r="I2637" s="93" t="s">
        <v>111</v>
      </c>
      <c r="J2637" s="93" t="s">
        <v>7105</v>
      </c>
      <c r="K2637" s="93" t="s">
        <v>111</v>
      </c>
      <c r="L2637" s="93" t="s">
        <v>111</v>
      </c>
      <c r="M2637" s="93" t="s">
        <v>111</v>
      </c>
      <c r="N2637" s="93" t="s">
        <v>111</v>
      </c>
      <c r="O2637" s="93" t="s">
        <v>111</v>
      </c>
      <c r="P2637" s="93" t="s">
        <v>111</v>
      </c>
      <c r="Q2637" s="93" t="s">
        <v>111</v>
      </c>
      <c r="R2637" s="93" t="s">
        <v>111</v>
      </c>
      <c r="S2637" s="93" t="s">
        <v>111</v>
      </c>
      <c r="T2637" s="93" t="s">
        <v>115</v>
      </c>
      <c r="U2637" s="93" t="s">
        <v>116</v>
      </c>
      <c r="V2637" s="94">
        <v>44596.665972222225</v>
      </c>
      <c r="W2637" s="93" t="s">
        <v>1170</v>
      </c>
      <c r="X2637" s="93" t="s">
        <v>24</v>
      </c>
    </row>
    <row r="2638" spans="1:24" x14ac:dyDescent="0.15">
      <c r="A2638" s="93" t="s">
        <v>4026</v>
      </c>
      <c r="B2638" s="93" t="s">
        <v>9315</v>
      </c>
      <c r="C2638" s="410">
        <v>196</v>
      </c>
      <c r="D2638" s="93" t="s">
        <v>24</v>
      </c>
      <c r="E2638" s="93" t="s">
        <v>24</v>
      </c>
      <c r="F2638" s="93" t="s">
        <v>7070</v>
      </c>
      <c r="G2638" s="93" t="s">
        <v>7108</v>
      </c>
      <c r="H2638" s="93" t="s">
        <v>118</v>
      </c>
      <c r="I2638" s="93" t="s">
        <v>111</v>
      </c>
      <c r="J2638" s="93" t="s">
        <v>7105</v>
      </c>
      <c r="K2638" s="93" t="s">
        <v>111</v>
      </c>
      <c r="L2638" s="93" t="s">
        <v>111</v>
      </c>
      <c r="M2638" s="93" t="s">
        <v>111</v>
      </c>
      <c r="N2638" s="93" t="s">
        <v>111</v>
      </c>
      <c r="O2638" s="93" t="s">
        <v>111</v>
      </c>
      <c r="P2638" s="93" t="s">
        <v>111</v>
      </c>
      <c r="Q2638" s="93" t="s">
        <v>111</v>
      </c>
      <c r="R2638" s="93" t="s">
        <v>111</v>
      </c>
      <c r="S2638" s="93" t="s">
        <v>111</v>
      </c>
      <c r="T2638" s="93" t="s">
        <v>115</v>
      </c>
      <c r="U2638" s="93" t="s">
        <v>116</v>
      </c>
      <c r="V2638" s="94">
        <v>44600.432638888888</v>
      </c>
      <c r="W2638" s="93" t="s">
        <v>1170</v>
      </c>
      <c r="X2638" s="93" t="s">
        <v>24</v>
      </c>
    </row>
    <row r="2639" spans="1:24" x14ac:dyDescent="0.15">
      <c r="A2639" s="93" t="s">
        <v>4027</v>
      </c>
      <c r="B2639" s="93" t="s">
        <v>4028</v>
      </c>
      <c r="C2639" s="410">
        <v>420</v>
      </c>
      <c r="D2639" s="93" t="s">
        <v>24</v>
      </c>
      <c r="E2639" s="93" t="s">
        <v>24</v>
      </c>
      <c r="F2639" s="93" t="s">
        <v>7070</v>
      </c>
      <c r="G2639" s="93" t="s">
        <v>7108</v>
      </c>
      <c r="H2639" s="93" t="s">
        <v>118</v>
      </c>
      <c r="I2639" s="93" t="s">
        <v>111</v>
      </c>
      <c r="J2639" s="93" t="s">
        <v>7105</v>
      </c>
      <c r="K2639" s="93" t="s">
        <v>111</v>
      </c>
      <c r="L2639" s="93" t="s">
        <v>111</v>
      </c>
      <c r="M2639" s="93" t="s">
        <v>111</v>
      </c>
      <c r="N2639" s="93" t="s">
        <v>111</v>
      </c>
      <c r="O2639" s="93" t="s">
        <v>111</v>
      </c>
      <c r="P2639" s="93" t="s">
        <v>111</v>
      </c>
      <c r="Q2639" s="93" t="s">
        <v>111</v>
      </c>
      <c r="R2639" s="93" t="s">
        <v>111</v>
      </c>
      <c r="S2639" s="93" t="s">
        <v>111</v>
      </c>
      <c r="T2639" s="93" t="s">
        <v>115</v>
      </c>
      <c r="U2639" s="93" t="s">
        <v>116</v>
      </c>
      <c r="V2639" s="94">
        <v>44596.647916666669</v>
      </c>
      <c r="W2639" s="93" t="s">
        <v>1170</v>
      </c>
      <c r="X2639" s="93" t="s">
        <v>24</v>
      </c>
    </row>
    <row r="2640" spans="1:24" x14ac:dyDescent="0.15">
      <c r="A2640" s="93" t="s">
        <v>4029</v>
      </c>
      <c r="B2640" s="93" t="s">
        <v>4030</v>
      </c>
      <c r="C2640" s="410">
        <v>295</v>
      </c>
      <c r="D2640" s="93" t="s">
        <v>24</v>
      </c>
      <c r="E2640" s="93" t="s">
        <v>24</v>
      </c>
      <c r="F2640" s="93" t="s">
        <v>7070</v>
      </c>
      <c r="G2640" s="93" t="s">
        <v>7108</v>
      </c>
      <c r="H2640" s="93" t="s">
        <v>118</v>
      </c>
      <c r="I2640" s="93" t="s">
        <v>111</v>
      </c>
      <c r="J2640" s="93" t="s">
        <v>118</v>
      </c>
      <c r="K2640" s="93">
        <v>3</v>
      </c>
      <c r="L2640" s="93" t="s">
        <v>111</v>
      </c>
      <c r="M2640" s="93" t="s">
        <v>111</v>
      </c>
      <c r="N2640" s="93" t="s">
        <v>111</v>
      </c>
      <c r="O2640" s="93" t="s">
        <v>111</v>
      </c>
      <c r="P2640" s="93" t="s">
        <v>111</v>
      </c>
      <c r="Q2640" s="93" t="s">
        <v>111</v>
      </c>
      <c r="R2640" s="93" t="s">
        <v>111</v>
      </c>
      <c r="S2640" s="93" t="s">
        <v>111</v>
      </c>
      <c r="T2640" s="93" t="s">
        <v>115</v>
      </c>
      <c r="U2640" s="93" t="s">
        <v>116</v>
      </c>
      <c r="V2640" s="94">
        <v>44586.54791666667</v>
      </c>
      <c r="W2640" s="93" t="s">
        <v>1170</v>
      </c>
      <c r="X2640" s="93" t="s">
        <v>24</v>
      </c>
    </row>
    <row r="2641" spans="1:24" x14ac:dyDescent="0.15">
      <c r="A2641" s="93" t="s">
        <v>4031</v>
      </c>
      <c r="B2641" s="93" t="s">
        <v>4032</v>
      </c>
      <c r="C2641" s="410">
        <v>246</v>
      </c>
      <c r="D2641" s="93" t="s">
        <v>24</v>
      </c>
      <c r="E2641" s="93" t="s">
        <v>24</v>
      </c>
      <c r="F2641" s="93" t="s">
        <v>7070</v>
      </c>
      <c r="G2641" s="93" t="s">
        <v>7108</v>
      </c>
      <c r="H2641" s="93" t="s">
        <v>118</v>
      </c>
      <c r="I2641" s="93" t="s">
        <v>111</v>
      </c>
      <c r="J2641" s="93" t="s">
        <v>7105</v>
      </c>
      <c r="K2641" s="93" t="s">
        <v>111</v>
      </c>
      <c r="L2641" s="93" t="s">
        <v>111</v>
      </c>
      <c r="M2641" s="93" t="s">
        <v>111</v>
      </c>
      <c r="N2641" s="93" t="s">
        <v>111</v>
      </c>
      <c r="O2641" s="93" t="s">
        <v>111</v>
      </c>
      <c r="P2641" s="93" t="s">
        <v>111</v>
      </c>
      <c r="Q2641" s="93" t="s">
        <v>111</v>
      </c>
      <c r="R2641" s="93" t="s">
        <v>111</v>
      </c>
      <c r="S2641" s="93" t="s">
        <v>111</v>
      </c>
      <c r="T2641" s="93" t="s">
        <v>115</v>
      </c>
      <c r="U2641" s="93" t="s">
        <v>116</v>
      </c>
      <c r="V2641" s="94">
        <v>44596.661111111112</v>
      </c>
      <c r="W2641" s="93" t="s">
        <v>1170</v>
      </c>
      <c r="X2641" s="93" t="s">
        <v>24</v>
      </c>
    </row>
    <row r="2642" spans="1:24" x14ac:dyDescent="0.15">
      <c r="A2642" s="93" t="s">
        <v>4033</v>
      </c>
      <c r="B2642" s="93" t="s">
        <v>4034</v>
      </c>
      <c r="C2642" s="410">
        <v>538</v>
      </c>
      <c r="D2642" s="93" t="s">
        <v>24</v>
      </c>
      <c r="E2642" s="93" t="s">
        <v>24</v>
      </c>
      <c r="F2642" s="93" t="s">
        <v>7070</v>
      </c>
      <c r="G2642" s="93" t="s">
        <v>7108</v>
      </c>
      <c r="H2642" s="93" t="s">
        <v>118</v>
      </c>
      <c r="I2642" s="93" t="s">
        <v>111</v>
      </c>
      <c r="J2642" s="93" t="s">
        <v>118</v>
      </c>
      <c r="K2642" s="93">
        <v>3</v>
      </c>
      <c r="L2642" s="93" t="s">
        <v>111</v>
      </c>
      <c r="M2642" s="93" t="s">
        <v>111</v>
      </c>
      <c r="N2642" s="93" t="s">
        <v>111</v>
      </c>
      <c r="O2642" s="93" t="s">
        <v>111</v>
      </c>
      <c r="P2642" s="93" t="s">
        <v>111</v>
      </c>
      <c r="Q2642" s="93" t="s">
        <v>111</v>
      </c>
      <c r="R2642" s="93" t="s">
        <v>111</v>
      </c>
      <c r="S2642" s="93" t="s">
        <v>111</v>
      </c>
      <c r="T2642" s="93" t="s">
        <v>115</v>
      </c>
      <c r="U2642" s="93" t="s">
        <v>116</v>
      </c>
      <c r="V2642" s="94">
        <v>44586.54791666667</v>
      </c>
      <c r="W2642" s="93" t="s">
        <v>1170</v>
      </c>
      <c r="X2642" s="93" t="s">
        <v>24</v>
      </c>
    </row>
    <row r="2643" spans="1:24" x14ac:dyDescent="0.15">
      <c r="A2643" s="93" t="s">
        <v>4035</v>
      </c>
      <c r="B2643" s="93" t="s">
        <v>4036</v>
      </c>
      <c r="C2643" s="410">
        <v>329</v>
      </c>
      <c r="D2643" s="93" t="s">
        <v>24</v>
      </c>
      <c r="E2643" s="93" t="s">
        <v>24</v>
      </c>
      <c r="F2643" s="93" t="s">
        <v>7070</v>
      </c>
      <c r="G2643" s="93" t="s">
        <v>7108</v>
      </c>
      <c r="H2643" s="93" t="s">
        <v>118</v>
      </c>
      <c r="I2643" s="93" t="s">
        <v>111</v>
      </c>
      <c r="J2643" s="93" t="s">
        <v>118</v>
      </c>
      <c r="K2643" s="93">
        <v>3</v>
      </c>
      <c r="L2643" s="93" t="s">
        <v>111</v>
      </c>
      <c r="M2643" s="93" t="s">
        <v>111</v>
      </c>
      <c r="N2643" s="93" t="s">
        <v>111</v>
      </c>
      <c r="O2643" s="93" t="s">
        <v>111</v>
      </c>
      <c r="P2643" s="93" t="s">
        <v>111</v>
      </c>
      <c r="Q2643" s="93" t="s">
        <v>111</v>
      </c>
      <c r="R2643" s="93" t="s">
        <v>111</v>
      </c>
      <c r="S2643" s="93" t="s">
        <v>111</v>
      </c>
      <c r="T2643" s="93" t="s">
        <v>115</v>
      </c>
      <c r="U2643" s="93" t="s">
        <v>116</v>
      </c>
      <c r="V2643" s="94">
        <v>44586.54791666667</v>
      </c>
      <c r="W2643" s="93" t="s">
        <v>1170</v>
      </c>
      <c r="X2643" s="93" t="s">
        <v>24</v>
      </c>
    </row>
    <row r="2644" spans="1:24" x14ac:dyDescent="0.15">
      <c r="A2644" s="93" t="s">
        <v>4037</v>
      </c>
      <c r="B2644" s="93" t="s">
        <v>4038</v>
      </c>
      <c r="C2644" s="410">
        <v>380</v>
      </c>
      <c r="D2644" s="93" t="s">
        <v>24</v>
      </c>
      <c r="E2644" s="93" t="s">
        <v>24</v>
      </c>
      <c r="F2644" s="93" t="s">
        <v>7070</v>
      </c>
      <c r="G2644" s="93" t="s">
        <v>7108</v>
      </c>
      <c r="H2644" s="93" t="s">
        <v>118</v>
      </c>
      <c r="I2644" s="93" t="s">
        <v>111</v>
      </c>
      <c r="J2644" s="93" t="s">
        <v>118</v>
      </c>
      <c r="K2644" s="93">
        <v>3</v>
      </c>
      <c r="L2644" s="93" t="s">
        <v>111</v>
      </c>
      <c r="M2644" s="93" t="s">
        <v>111</v>
      </c>
      <c r="N2644" s="93" t="s">
        <v>111</v>
      </c>
      <c r="O2644" s="93" t="s">
        <v>111</v>
      </c>
      <c r="P2644" s="93" t="s">
        <v>111</v>
      </c>
      <c r="Q2644" s="93" t="s">
        <v>111</v>
      </c>
      <c r="R2644" s="93" t="s">
        <v>111</v>
      </c>
      <c r="S2644" s="93" t="s">
        <v>111</v>
      </c>
      <c r="T2644" s="93" t="s">
        <v>115</v>
      </c>
      <c r="U2644" s="93" t="s">
        <v>116</v>
      </c>
      <c r="V2644" s="94">
        <v>44586.54791666667</v>
      </c>
      <c r="W2644" s="93" t="s">
        <v>1170</v>
      </c>
      <c r="X2644" s="93" t="s">
        <v>24</v>
      </c>
    </row>
    <row r="2645" spans="1:24" x14ac:dyDescent="0.15">
      <c r="A2645" s="93" t="s">
        <v>4039</v>
      </c>
      <c r="B2645" s="93" t="s">
        <v>4040</v>
      </c>
      <c r="C2645" s="410">
        <v>1010</v>
      </c>
      <c r="D2645" s="93" t="s">
        <v>24</v>
      </c>
      <c r="E2645" s="93" t="s">
        <v>24</v>
      </c>
      <c r="F2645" s="93" t="s">
        <v>7070</v>
      </c>
      <c r="G2645" s="93" t="s">
        <v>7108</v>
      </c>
      <c r="H2645" s="93" t="s">
        <v>118</v>
      </c>
      <c r="I2645" s="93" t="s">
        <v>111</v>
      </c>
      <c r="J2645" s="93" t="s">
        <v>118</v>
      </c>
      <c r="K2645" s="93">
        <v>3</v>
      </c>
      <c r="L2645" s="93" t="s">
        <v>111</v>
      </c>
      <c r="M2645" s="93" t="s">
        <v>111</v>
      </c>
      <c r="N2645" s="93" t="s">
        <v>111</v>
      </c>
      <c r="O2645" s="93" t="s">
        <v>111</v>
      </c>
      <c r="P2645" s="93" t="s">
        <v>111</v>
      </c>
      <c r="Q2645" s="93" t="s">
        <v>111</v>
      </c>
      <c r="R2645" s="93" t="s">
        <v>111</v>
      </c>
      <c r="S2645" s="93" t="s">
        <v>111</v>
      </c>
      <c r="T2645" s="93" t="s">
        <v>115</v>
      </c>
      <c r="U2645" s="93" t="s">
        <v>116</v>
      </c>
      <c r="V2645" s="94">
        <v>44586.54791666667</v>
      </c>
      <c r="W2645" s="93" t="s">
        <v>1170</v>
      </c>
      <c r="X2645" s="93" t="s">
        <v>24</v>
      </c>
    </row>
    <row r="2646" spans="1:24" x14ac:dyDescent="0.15">
      <c r="A2646" s="93" t="s">
        <v>4041</v>
      </c>
      <c r="B2646" s="93" t="s">
        <v>4042</v>
      </c>
      <c r="C2646" s="410">
        <v>211</v>
      </c>
      <c r="D2646" s="93" t="s">
        <v>24</v>
      </c>
      <c r="E2646" s="93" t="s">
        <v>24</v>
      </c>
      <c r="F2646" s="93" t="s">
        <v>7070</v>
      </c>
      <c r="G2646" s="93" t="s">
        <v>7108</v>
      </c>
      <c r="H2646" s="93" t="s">
        <v>118</v>
      </c>
      <c r="I2646" s="93" t="s">
        <v>111</v>
      </c>
      <c r="J2646" s="93" t="s">
        <v>118</v>
      </c>
      <c r="K2646" s="93">
        <v>3</v>
      </c>
      <c r="L2646" s="93" t="s">
        <v>111</v>
      </c>
      <c r="M2646" s="93" t="s">
        <v>111</v>
      </c>
      <c r="N2646" s="93" t="s">
        <v>111</v>
      </c>
      <c r="O2646" s="93" t="s">
        <v>111</v>
      </c>
      <c r="P2646" s="93" t="s">
        <v>111</v>
      </c>
      <c r="Q2646" s="93" t="s">
        <v>111</v>
      </c>
      <c r="R2646" s="93" t="s">
        <v>111</v>
      </c>
      <c r="S2646" s="93" t="s">
        <v>111</v>
      </c>
      <c r="T2646" s="93" t="s">
        <v>115</v>
      </c>
      <c r="U2646" s="93" t="s">
        <v>116</v>
      </c>
      <c r="V2646" s="94">
        <v>44586.54791666667</v>
      </c>
      <c r="W2646" s="93" t="s">
        <v>1170</v>
      </c>
      <c r="X2646" s="93" t="s">
        <v>24</v>
      </c>
    </row>
    <row r="2647" spans="1:24" x14ac:dyDescent="0.15">
      <c r="A2647" s="93" t="s">
        <v>4043</v>
      </c>
      <c r="B2647" s="93" t="s">
        <v>4044</v>
      </c>
      <c r="C2647" s="410">
        <v>351</v>
      </c>
      <c r="D2647" s="93" t="s">
        <v>24</v>
      </c>
      <c r="E2647" s="93" t="s">
        <v>24</v>
      </c>
      <c r="F2647" s="93" t="s">
        <v>7070</v>
      </c>
      <c r="G2647" s="93" t="s">
        <v>7108</v>
      </c>
      <c r="H2647" s="93" t="s">
        <v>118</v>
      </c>
      <c r="I2647" s="93" t="s">
        <v>111</v>
      </c>
      <c r="J2647" s="93" t="s">
        <v>118</v>
      </c>
      <c r="K2647" s="93">
        <v>3</v>
      </c>
      <c r="L2647" s="93" t="s">
        <v>111</v>
      </c>
      <c r="M2647" s="93" t="s">
        <v>111</v>
      </c>
      <c r="N2647" s="93" t="s">
        <v>111</v>
      </c>
      <c r="O2647" s="93" t="s">
        <v>111</v>
      </c>
      <c r="P2647" s="93" t="s">
        <v>111</v>
      </c>
      <c r="Q2647" s="93" t="s">
        <v>111</v>
      </c>
      <c r="R2647" s="93" t="s">
        <v>111</v>
      </c>
      <c r="S2647" s="93" t="s">
        <v>111</v>
      </c>
      <c r="T2647" s="93" t="s">
        <v>115</v>
      </c>
      <c r="U2647" s="93" t="s">
        <v>116</v>
      </c>
      <c r="V2647" s="94">
        <v>44586.54791666667</v>
      </c>
      <c r="W2647" s="93" t="s">
        <v>1170</v>
      </c>
      <c r="X2647" s="93" t="s">
        <v>24</v>
      </c>
    </row>
    <row r="2648" spans="1:24" x14ac:dyDescent="0.15">
      <c r="A2648" s="93" t="s">
        <v>4045</v>
      </c>
      <c r="B2648" s="93" t="s">
        <v>4046</v>
      </c>
      <c r="C2648" s="410">
        <v>158</v>
      </c>
      <c r="D2648" s="93" t="s">
        <v>24</v>
      </c>
      <c r="E2648" s="93" t="s">
        <v>24</v>
      </c>
      <c r="F2648" s="93" t="s">
        <v>7070</v>
      </c>
      <c r="G2648" s="93" t="s">
        <v>7108</v>
      </c>
      <c r="H2648" s="93" t="s">
        <v>118</v>
      </c>
      <c r="I2648" s="93" t="s">
        <v>111</v>
      </c>
      <c r="J2648" s="93" t="s">
        <v>118</v>
      </c>
      <c r="K2648" s="93">
        <v>3</v>
      </c>
      <c r="L2648" s="93" t="s">
        <v>111</v>
      </c>
      <c r="M2648" s="93" t="s">
        <v>111</v>
      </c>
      <c r="N2648" s="93" t="s">
        <v>111</v>
      </c>
      <c r="O2648" s="93" t="s">
        <v>111</v>
      </c>
      <c r="P2648" s="93" t="s">
        <v>111</v>
      </c>
      <c r="Q2648" s="93" t="s">
        <v>111</v>
      </c>
      <c r="R2648" s="93" t="s">
        <v>111</v>
      </c>
      <c r="S2648" s="93" t="s">
        <v>111</v>
      </c>
      <c r="T2648" s="93" t="s">
        <v>115</v>
      </c>
      <c r="U2648" s="93" t="s">
        <v>116</v>
      </c>
      <c r="V2648" s="94">
        <v>44586.54791666667</v>
      </c>
      <c r="W2648" s="93" t="s">
        <v>1170</v>
      </c>
      <c r="X2648" s="93" t="s">
        <v>24</v>
      </c>
    </row>
    <row r="2649" spans="1:24" x14ac:dyDescent="0.15">
      <c r="A2649" s="93" t="s">
        <v>4047</v>
      </c>
      <c r="B2649" s="93" t="s">
        <v>4048</v>
      </c>
      <c r="C2649" s="410">
        <v>299</v>
      </c>
      <c r="D2649" s="93" t="s">
        <v>24</v>
      </c>
      <c r="E2649" s="93" t="s">
        <v>24</v>
      </c>
      <c r="F2649" s="93" t="s">
        <v>7070</v>
      </c>
      <c r="G2649" s="93" t="s">
        <v>7108</v>
      </c>
      <c r="H2649" s="93" t="s">
        <v>118</v>
      </c>
      <c r="I2649" s="93" t="s">
        <v>111</v>
      </c>
      <c r="J2649" s="93" t="s">
        <v>118</v>
      </c>
      <c r="K2649" s="93">
        <v>3</v>
      </c>
      <c r="L2649" s="93" t="s">
        <v>111</v>
      </c>
      <c r="M2649" s="93" t="s">
        <v>111</v>
      </c>
      <c r="N2649" s="93" t="s">
        <v>111</v>
      </c>
      <c r="O2649" s="93" t="s">
        <v>111</v>
      </c>
      <c r="P2649" s="93" t="s">
        <v>111</v>
      </c>
      <c r="Q2649" s="93" t="s">
        <v>111</v>
      </c>
      <c r="R2649" s="93" t="s">
        <v>111</v>
      </c>
      <c r="S2649" s="93" t="s">
        <v>111</v>
      </c>
      <c r="T2649" s="93" t="s">
        <v>115</v>
      </c>
      <c r="U2649" s="93" t="s">
        <v>116</v>
      </c>
      <c r="V2649" s="94">
        <v>44586.54791666667</v>
      </c>
      <c r="W2649" s="93" t="s">
        <v>1170</v>
      </c>
      <c r="X2649" s="93" t="s">
        <v>24</v>
      </c>
    </row>
    <row r="2650" spans="1:24" x14ac:dyDescent="0.15">
      <c r="A2650" s="93" t="s">
        <v>4049</v>
      </c>
      <c r="B2650" s="93" t="s">
        <v>4050</v>
      </c>
      <c r="C2650" s="410">
        <v>256</v>
      </c>
      <c r="D2650" s="93" t="s">
        <v>24</v>
      </c>
      <c r="E2650" s="93" t="s">
        <v>24</v>
      </c>
      <c r="F2650" s="93" t="s">
        <v>7070</v>
      </c>
      <c r="G2650" s="93" t="s">
        <v>7108</v>
      </c>
      <c r="H2650" s="93" t="s">
        <v>118</v>
      </c>
      <c r="I2650" s="93" t="s">
        <v>111</v>
      </c>
      <c r="J2650" s="93" t="s">
        <v>7105</v>
      </c>
      <c r="K2650" s="93" t="s">
        <v>111</v>
      </c>
      <c r="L2650" s="93" t="s">
        <v>111</v>
      </c>
      <c r="M2650" s="93" t="s">
        <v>111</v>
      </c>
      <c r="N2650" s="93" t="s">
        <v>111</v>
      </c>
      <c r="O2650" s="93" t="s">
        <v>111</v>
      </c>
      <c r="P2650" s="93" t="s">
        <v>111</v>
      </c>
      <c r="Q2650" s="93" t="s">
        <v>111</v>
      </c>
      <c r="R2650" s="93" t="s">
        <v>111</v>
      </c>
      <c r="S2650" s="93" t="s">
        <v>111</v>
      </c>
      <c r="T2650" s="93" t="s">
        <v>115</v>
      </c>
      <c r="U2650" s="93" t="s">
        <v>116</v>
      </c>
      <c r="V2650" s="94">
        <v>44596.692361111112</v>
      </c>
      <c r="W2650" s="93" t="s">
        <v>1170</v>
      </c>
      <c r="X2650" s="93" t="s">
        <v>24</v>
      </c>
    </row>
    <row r="2651" spans="1:24" x14ac:dyDescent="0.15">
      <c r="A2651" s="93" t="s">
        <v>4051</v>
      </c>
      <c r="B2651" s="93" t="s">
        <v>4052</v>
      </c>
      <c r="C2651" s="410">
        <v>340</v>
      </c>
      <c r="D2651" s="93" t="s">
        <v>24</v>
      </c>
      <c r="E2651" s="93" t="s">
        <v>24</v>
      </c>
      <c r="F2651" s="93" t="s">
        <v>7070</v>
      </c>
      <c r="G2651" s="93" t="s">
        <v>7108</v>
      </c>
      <c r="H2651" s="93" t="s">
        <v>118</v>
      </c>
      <c r="I2651" s="93" t="s">
        <v>111</v>
      </c>
      <c r="J2651" s="93" t="s">
        <v>7105</v>
      </c>
      <c r="K2651" s="93" t="s">
        <v>111</v>
      </c>
      <c r="L2651" s="93" t="s">
        <v>111</v>
      </c>
      <c r="M2651" s="93" t="s">
        <v>111</v>
      </c>
      <c r="N2651" s="93" t="s">
        <v>111</v>
      </c>
      <c r="O2651" s="93" t="s">
        <v>111</v>
      </c>
      <c r="P2651" s="93" t="s">
        <v>111</v>
      </c>
      <c r="Q2651" s="93" t="s">
        <v>111</v>
      </c>
      <c r="R2651" s="93" t="s">
        <v>111</v>
      </c>
      <c r="S2651" s="93" t="s">
        <v>111</v>
      </c>
      <c r="T2651" s="93" t="s">
        <v>115</v>
      </c>
      <c r="U2651" s="93" t="s">
        <v>116</v>
      </c>
      <c r="V2651" s="94">
        <v>44596.652777777781</v>
      </c>
      <c r="W2651" s="93" t="s">
        <v>1170</v>
      </c>
      <c r="X2651" s="93" t="s">
        <v>24</v>
      </c>
    </row>
    <row r="2652" spans="1:24" x14ac:dyDescent="0.15">
      <c r="A2652" s="93" t="s">
        <v>4053</v>
      </c>
      <c r="B2652" s="93" t="s">
        <v>4054</v>
      </c>
      <c r="C2652" s="410">
        <v>825</v>
      </c>
      <c r="D2652" s="93" t="s">
        <v>24</v>
      </c>
      <c r="E2652" s="93" t="s">
        <v>24</v>
      </c>
      <c r="F2652" s="93" t="s">
        <v>7070</v>
      </c>
      <c r="G2652" s="93" t="s">
        <v>7108</v>
      </c>
      <c r="H2652" s="93" t="s">
        <v>118</v>
      </c>
      <c r="I2652" s="93" t="s">
        <v>111</v>
      </c>
      <c r="J2652" s="93" t="s">
        <v>7105</v>
      </c>
      <c r="K2652" s="93" t="s">
        <v>111</v>
      </c>
      <c r="L2652" s="93" t="s">
        <v>111</v>
      </c>
      <c r="M2652" s="93" t="s">
        <v>111</v>
      </c>
      <c r="N2652" s="93" t="s">
        <v>111</v>
      </c>
      <c r="O2652" s="93" t="s">
        <v>111</v>
      </c>
      <c r="P2652" s="93" t="s">
        <v>111</v>
      </c>
      <c r="Q2652" s="93" t="s">
        <v>111</v>
      </c>
      <c r="R2652" s="93" t="s">
        <v>111</v>
      </c>
      <c r="S2652" s="93" t="s">
        <v>111</v>
      </c>
      <c r="T2652" s="93" t="s">
        <v>115</v>
      </c>
      <c r="U2652" s="93" t="s">
        <v>116</v>
      </c>
      <c r="V2652" s="94">
        <v>44596.684027777781</v>
      </c>
      <c r="W2652" s="93" t="s">
        <v>1170</v>
      </c>
      <c r="X2652" s="93" t="s">
        <v>24</v>
      </c>
    </row>
    <row r="2653" spans="1:24" x14ac:dyDescent="0.15">
      <c r="A2653" s="93" t="s">
        <v>4055</v>
      </c>
      <c r="B2653" s="93" t="s">
        <v>4056</v>
      </c>
      <c r="C2653" s="410">
        <v>338</v>
      </c>
      <c r="D2653" s="93" t="s">
        <v>24</v>
      </c>
      <c r="E2653" s="93" t="s">
        <v>24</v>
      </c>
      <c r="F2653" s="93" t="s">
        <v>7070</v>
      </c>
      <c r="G2653" s="93" t="s">
        <v>7108</v>
      </c>
      <c r="H2653" s="93" t="s">
        <v>118</v>
      </c>
      <c r="I2653" s="93" t="s">
        <v>111</v>
      </c>
      <c r="J2653" s="93" t="s">
        <v>7105</v>
      </c>
      <c r="K2653" s="93" t="s">
        <v>111</v>
      </c>
      <c r="L2653" s="93" t="s">
        <v>111</v>
      </c>
      <c r="M2653" s="93" t="s">
        <v>111</v>
      </c>
      <c r="N2653" s="93" t="s">
        <v>111</v>
      </c>
      <c r="O2653" s="93" t="s">
        <v>111</v>
      </c>
      <c r="P2653" s="93" t="s">
        <v>111</v>
      </c>
      <c r="Q2653" s="93" t="s">
        <v>111</v>
      </c>
      <c r="R2653" s="93" t="s">
        <v>111</v>
      </c>
      <c r="S2653" s="93" t="s">
        <v>111</v>
      </c>
      <c r="T2653" s="93" t="s">
        <v>115</v>
      </c>
      <c r="U2653" s="93" t="s">
        <v>116</v>
      </c>
      <c r="V2653" s="94">
        <v>44596.638888888891</v>
      </c>
      <c r="W2653" s="93" t="s">
        <v>1170</v>
      </c>
      <c r="X2653" s="93" t="s">
        <v>24</v>
      </c>
    </row>
    <row r="2654" spans="1:24" x14ac:dyDescent="0.15">
      <c r="A2654" s="93" t="s">
        <v>4057</v>
      </c>
      <c r="B2654" s="93" t="s">
        <v>4058</v>
      </c>
      <c r="C2654" s="410">
        <v>229</v>
      </c>
      <c r="D2654" s="93" t="s">
        <v>24</v>
      </c>
      <c r="E2654" s="93" t="s">
        <v>24</v>
      </c>
      <c r="F2654" s="93" t="s">
        <v>7070</v>
      </c>
      <c r="G2654" s="93" t="s">
        <v>7108</v>
      </c>
      <c r="H2654" s="93" t="s">
        <v>118</v>
      </c>
      <c r="I2654" s="93" t="s">
        <v>111</v>
      </c>
      <c r="J2654" s="93" t="s">
        <v>118</v>
      </c>
      <c r="K2654" s="93">
        <v>3</v>
      </c>
      <c r="L2654" s="93" t="s">
        <v>111</v>
      </c>
      <c r="M2654" s="93" t="s">
        <v>111</v>
      </c>
      <c r="N2654" s="93" t="s">
        <v>111</v>
      </c>
      <c r="O2654" s="93" t="s">
        <v>111</v>
      </c>
      <c r="P2654" s="93" t="s">
        <v>111</v>
      </c>
      <c r="Q2654" s="93" t="s">
        <v>111</v>
      </c>
      <c r="R2654" s="93" t="s">
        <v>111</v>
      </c>
      <c r="S2654" s="93" t="s">
        <v>111</v>
      </c>
      <c r="T2654" s="93" t="s">
        <v>115</v>
      </c>
      <c r="U2654" s="93" t="s">
        <v>116</v>
      </c>
      <c r="V2654" s="94">
        <v>44586.54791666667</v>
      </c>
      <c r="W2654" s="93" t="s">
        <v>1170</v>
      </c>
      <c r="X2654" s="93" t="s">
        <v>24</v>
      </c>
    </row>
    <row r="2655" spans="1:24" x14ac:dyDescent="0.15">
      <c r="A2655" s="93" t="s">
        <v>9316</v>
      </c>
      <c r="B2655" s="93" t="s">
        <v>9317</v>
      </c>
      <c r="C2655" s="410">
        <v>420</v>
      </c>
      <c r="D2655" s="93" t="s">
        <v>24</v>
      </c>
      <c r="E2655" s="93" t="s">
        <v>24</v>
      </c>
      <c r="F2655" s="93" t="s">
        <v>7070</v>
      </c>
      <c r="G2655" s="93" t="s">
        <v>7108</v>
      </c>
      <c r="H2655" s="93" t="s">
        <v>118</v>
      </c>
      <c r="I2655" s="93" t="s">
        <v>111</v>
      </c>
      <c r="J2655" s="93" t="s">
        <v>118</v>
      </c>
      <c r="K2655" s="93">
        <v>3</v>
      </c>
      <c r="L2655" s="93" t="s">
        <v>111</v>
      </c>
      <c r="M2655" s="93" t="s">
        <v>111</v>
      </c>
      <c r="N2655" s="93" t="s">
        <v>111</v>
      </c>
      <c r="O2655" s="93" t="s">
        <v>111</v>
      </c>
      <c r="P2655" s="93" t="s">
        <v>111</v>
      </c>
      <c r="Q2655" s="93" t="s">
        <v>111</v>
      </c>
      <c r="R2655" s="93" t="s">
        <v>228</v>
      </c>
      <c r="S2655" s="93" t="s">
        <v>2</v>
      </c>
      <c r="T2655" s="93" t="s">
        <v>115</v>
      </c>
      <c r="U2655" s="93" t="s">
        <v>116</v>
      </c>
      <c r="V2655" s="94">
        <v>44596.646527777775</v>
      </c>
      <c r="W2655" s="93" t="s">
        <v>1170</v>
      </c>
      <c r="X2655" s="93" t="s">
        <v>24</v>
      </c>
    </row>
    <row r="2656" spans="1:24" x14ac:dyDescent="0.15">
      <c r="A2656" s="93" t="s">
        <v>4059</v>
      </c>
      <c r="B2656" s="93" t="s">
        <v>4060</v>
      </c>
      <c r="C2656" s="410">
        <v>457</v>
      </c>
      <c r="D2656" s="93" t="s">
        <v>24</v>
      </c>
      <c r="E2656" s="93" t="s">
        <v>24</v>
      </c>
      <c r="F2656" s="93" t="s">
        <v>7070</v>
      </c>
      <c r="G2656" s="93" t="s">
        <v>7108</v>
      </c>
      <c r="H2656" s="93" t="s">
        <v>118</v>
      </c>
      <c r="I2656" s="93" t="s">
        <v>111</v>
      </c>
      <c r="J2656" s="93" t="s">
        <v>7105</v>
      </c>
      <c r="K2656" s="93" t="s">
        <v>111</v>
      </c>
      <c r="L2656" s="93" t="s">
        <v>111</v>
      </c>
      <c r="M2656" s="93" t="s">
        <v>111</v>
      </c>
      <c r="N2656" s="93" t="s">
        <v>111</v>
      </c>
      <c r="O2656" s="93" t="s">
        <v>111</v>
      </c>
      <c r="P2656" s="93" t="s">
        <v>111</v>
      </c>
      <c r="Q2656" s="93" t="s">
        <v>111</v>
      </c>
      <c r="R2656" s="93" t="s">
        <v>228</v>
      </c>
      <c r="S2656" s="93" t="s">
        <v>2</v>
      </c>
      <c r="T2656" s="93" t="s">
        <v>115</v>
      </c>
      <c r="U2656" s="93" t="s">
        <v>116</v>
      </c>
      <c r="V2656" s="94">
        <v>44596.694444444445</v>
      </c>
      <c r="W2656" s="93" t="s">
        <v>1170</v>
      </c>
      <c r="X2656" s="93" t="s">
        <v>24</v>
      </c>
    </row>
    <row r="2657" spans="1:24" x14ac:dyDescent="0.15">
      <c r="A2657" s="93" t="s">
        <v>9318</v>
      </c>
      <c r="B2657" s="93" t="s">
        <v>9319</v>
      </c>
      <c r="C2657" s="410">
        <v>246</v>
      </c>
      <c r="D2657" s="93" t="s">
        <v>24</v>
      </c>
      <c r="E2657" s="93" t="s">
        <v>24</v>
      </c>
      <c r="F2657" s="93" t="s">
        <v>7070</v>
      </c>
      <c r="G2657" s="93" t="s">
        <v>7108</v>
      </c>
      <c r="H2657" s="93" t="s">
        <v>118</v>
      </c>
      <c r="I2657" s="93" t="s">
        <v>111</v>
      </c>
      <c r="J2657" s="93" t="s">
        <v>118</v>
      </c>
      <c r="K2657" s="93">
        <v>3</v>
      </c>
      <c r="L2657" s="93" t="s">
        <v>111</v>
      </c>
      <c r="M2657" s="93" t="s">
        <v>111</v>
      </c>
      <c r="N2657" s="93" t="s">
        <v>111</v>
      </c>
      <c r="O2657" s="93" t="s">
        <v>111</v>
      </c>
      <c r="P2657" s="93" t="s">
        <v>111</v>
      </c>
      <c r="Q2657" s="93" t="s">
        <v>111</v>
      </c>
      <c r="R2657" s="93" t="s">
        <v>228</v>
      </c>
      <c r="S2657" s="93" t="s">
        <v>2</v>
      </c>
      <c r="T2657" s="93" t="s">
        <v>115</v>
      </c>
      <c r="U2657" s="93" t="s">
        <v>116</v>
      </c>
      <c r="V2657" s="94">
        <v>44596.698611111111</v>
      </c>
      <c r="W2657" s="93" t="s">
        <v>1170</v>
      </c>
      <c r="X2657" s="93" t="s">
        <v>24</v>
      </c>
    </row>
    <row r="2658" spans="1:24" x14ac:dyDescent="0.15">
      <c r="A2658" s="93" t="s">
        <v>9320</v>
      </c>
      <c r="B2658" s="93" t="s">
        <v>9321</v>
      </c>
      <c r="C2658" s="410">
        <v>200</v>
      </c>
      <c r="D2658" s="93" t="s">
        <v>24</v>
      </c>
      <c r="E2658" s="93" t="s">
        <v>24</v>
      </c>
      <c r="F2658" s="93" t="s">
        <v>7070</v>
      </c>
      <c r="G2658" s="93" t="s">
        <v>7108</v>
      </c>
      <c r="H2658" s="93" t="s">
        <v>118</v>
      </c>
      <c r="I2658" s="93" t="s">
        <v>111</v>
      </c>
      <c r="J2658" s="93" t="s">
        <v>7105</v>
      </c>
      <c r="K2658" s="93" t="s">
        <v>111</v>
      </c>
      <c r="L2658" s="93" t="s">
        <v>111</v>
      </c>
      <c r="M2658" s="93" t="s">
        <v>111</v>
      </c>
      <c r="N2658" s="93" t="s">
        <v>111</v>
      </c>
      <c r="O2658" s="93" t="s">
        <v>111</v>
      </c>
      <c r="P2658" s="93" t="s">
        <v>111</v>
      </c>
      <c r="Q2658" s="93" t="s">
        <v>111</v>
      </c>
      <c r="R2658" s="93" t="s">
        <v>228</v>
      </c>
      <c r="S2658" s="93" t="s">
        <v>2</v>
      </c>
      <c r="T2658" s="93" t="s">
        <v>115</v>
      </c>
      <c r="U2658" s="93" t="s">
        <v>116</v>
      </c>
      <c r="V2658" s="94">
        <v>44596.645833333336</v>
      </c>
      <c r="W2658" s="93" t="s">
        <v>1170</v>
      </c>
      <c r="X2658" s="93" t="s">
        <v>24</v>
      </c>
    </row>
    <row r="2659" spans="1:24" x14ac:dyDescent="0.15">
      <c r="A2659" s="93" t="s">
        <v>7993</v>
      </c>
      <c r="B2659" s="93" t="s">
        <v>7994</v>
      </c>
      <c r="C2659" s="410">
        <v>761</v>
      </c>
      <c r="D2659" s="93" t="s">
        <v>24</v>
      </c>
      <c r="E2659" s="93" t="s">
        <v>24</v>
      </c>
      <c r="F2659" s="93" t="s">
        <v>5978</v>
      </c>
      <c r="G2659" s="93" t="s">
        <v>7108</v>
      </c>
      <c r="H2659" s="93" t="s">
        <v>118</v>
      </c>
      <c r="I2659" s="93" t="s">
        <v>111</v>
      </c>
      <c r="J2659" s="93" t="s">
        <v>118</v>
      </c>
      <c r="K2659" s="93">
        <v>3</v>
      </c>
      <c r="L2659" s="93" t="s">
        <v>111</v>
      </c>
      <c r="M2659" s="93" t="s">
        <v>111</v>
      </c>
      <c r="N2659" s="93" t="s">
        <v>111</v>
      </c>
      <c r="O2659" s="93" t="s">
        <v>111</v>
      </c>
      <c r="P2659" s="93" t="s">
        <v>111</v>
      </c>
      <c r="Q2659" s="93" t="s">
        <v>111</v>
      </c>
      <c r="R2659" s="93" t="s">
        <v>228</v>
      </c>
      <c r="S2659" s="93" t="s">
        <v>2</v>
      </c>
      <c r="T2659" s="93" t="s">
        <v>115</v>
      </c>
      <c r="U2659" s="93" t="s">
        <v>116</v>
      </c>
      <c r="V2659" s="94">
        <v>44602.491666666669</v>
      </c>
      <c r="W2659" s="93" t="s">
        <v>402</v>
      </c>
      <c r="X2659" s="93" t="s">
        <v>24</v>
      </c>
    </row>
    <row r="2660" spans="1:24" x14ac:dyDescent="0.15">
      <c r="A2660" s="93" t="s">
        <v>7995</v>
      </c>
      <c r="B2660" s="93" t="s">
        <v>7996</v>
      </c>
      <c r="C2660" s="410">
        <v>50</v>
      </c>
      <c r="D2660" s="93" t="s">
        <v>24</v>
      </c>
      <c r="E2660" s="93" t="s">
        <v>24</v>
      </c>
      <c r="F2660" s="93" t="s">
        <v>5978</v>
      </c>
      <c r="G2660" s="93" t="s">
        <v>7108</v>
      </c>
      <c r="H2660" s="93" t="s">
        <v>118</v>
      </c>
      <c r="I2660" s="93" t="s">
        <v>111</v>
      </c>
      <c r="J2660" s="93" t="s">
        <v>118</v>
      </c>
      <c r="K2660" s="93">
        <v>3</v>
      </c>
      <c r="L2660" s="93" t="s">
        <v>111</v>
      </c>
      <c r="M2660" s="93" t="s">
        <v>111</v>
      </c>
      <c r="N2660" s="93" t="s">
        <v>111</v>
      </c>
      <c r="O2660" s="93" t="s">
        <v>111</v>
      </c>
      <c r="P2660" s="93" t="s">
        <v>111</v>
      </c>
      <c r="Q2660" s="93" t="s">
        <v>111</v>
      </c>
      <c r="R2660" s="93" t="s">
        <v>228</v>
      </c>
      <c r="S2660" s="93" t="s">
        <v>2</v>
      </c>
      <c r="T2660" s="93" t="s">
        <v>115</v>
      </c>
      <c r="U2660" s="93" t="s">
        <v>116</v>
      </c>
      <c r="V2660" s="94">
        <v>44602.491666666669</v>
      </c>
      <c r="W2660" s="93" t="s">
        <v>402</v>
      </c>
      <c r="X2660" s="93" t="s">
        <v>24</v>
      </c>
    </row>
    <row r="2661" spans="1:24" x14ac:dyDescent="0.15">
      <c r="A2661" s="93" t="s">
        <v>4061</v>
      </c>
      <c r="B2661" s="93" t="s">
        <v>4062</v>
      </c>
      <c r="C2661" s="410">
        <v>120</v>
      </c>
      <c r="D2661" s="93" t="s">
        <v>9</v>
      </c>
      <c r="E2661" s="93" t="s">
        <v>24</v>
      </c>
      <c r="F2661" s="93" t="s">
        <v>7070</v>
      </c>
      <c r="G2661" s="93" t="s">
        <v>7108</v>
      </c>
      <c r="H2661" s="93" t="s">
        <v>118</v>
      </c>
      <c r="I2661" s="93" t="s">
        <v>111</v>
      </c>
      <c r="J2661" s="93" t="s">
        <v>7105</v>
      </c>
      <c r="K2661" s="93" t="s">
        <v>111</v>
      </c>
      <c r="L2661" s="93" t="s">
        <v>111</v>
      </c>
      <c r="M2661" s="93" t="s">
        <v>111</v>
      </c>
      <c r="N2661" s="93" t="s">
        <v>111</v>
      </c>
      <c r="O2661" s="93" t="s">
        <v>111</v>
      </c>
      <c r="P2661" s="93" t="s">
        <v>111</v>
      </c>
      <c r="Q2661" s="93" t="s">
        <v>111</v>
      </c>
      <c r="R2661" s="93" t="s">
        <v>111</v>
      </c>
      <c r="S2661" s="93" t="s">
        <v>111</v>
      </c>
      <c r="T2661" s="93" t="s">
        <v>115</v>
      </c>
      <c r="U2661" s="93" t="s">
        <v>116</v>
      </c>
      <c r="V2661" s="94">
        <v>44596.638888888891</v>
      </c>
      <c r="W2661" s="93" t="s">
        <v>1170</v>
      </c>
      <c r="X2661" s="93" t="s">
        <v>24</v>
      </c>
    </row>
    <row r="2662" spans="1:24" x14ac:dyDescent="0.15">
      <c r="A2662" s="93" t="s">
        <v>4063</v>
      </c>
      <c r="B2662" s="93" t="s">
        <v>4064</v>
      </c>
      <c r="C2662" s="410">
        <v>168</v>
      </c>
      <c r="D2662" s="93" t="s">
        <v>9</v>
      </c>
      <c r="E2662" s="93" t="s">
        <v>24</v>
      </c>
      <c r="F2662" s="93" t="s">
        <v>7070</v>
      </c>
      <c r="G2662" s="93" t="s">
        <v>7108</v>
      </c>
      <c r="H2662" s="93" t="s">
        <v>118</v>
      </c>
      <c r="I2662" s="93" t="s">
        <v>111</v>
      </c>
      <c r="J2662" s="93" t="s">
        <v>7105</v>
      </c>
      <c r="K2662" s="93" t="s">
        <v>111</v>
      </c>
      <c r="L2662" s="93" t="s">
        <v>111</v>
      </c>
      <c r="M2662" s="93" t="s">
        <v>111</v>
      </c>
      <c r="N2662" s="93" t="s">
        <v>111</v>
      </c>
      <c r="O2662" s="93" t="s">
        <v>111</v>
      </c>
      <c r="P2662" s="93" t="s">
        <v>111</v>
      </c>
      <c r="Q2662" s="93" t="s">
        <v>111</v>
      </c>
      <c r="R2662" s="93" t="s">
        <v>111</v>
      </c>
      <c r="S2662" s="93" t="s">
        <v>111</v>
      </c>
      <c r="T2662" s="93" t="s">
        <v>115</v>
      </c>
      <c r="U2662" s="93" t="s">
        <v>116</v>
      </c>
      <c r="V2662" s="94">
        <v>44596.665972222225</v>
      </c>
      <c r="W2662" s="93" t="s">
        <v>1170</v>
      </c>
      <c r="X2662" s="93" t="s">
        <v>24</v>
      </c>
    </row>
    <row r="2663" spans="1:24" x14ac:dyDescent="0.15">
      <c r="A2663" s="93" t="s">
        <v>4065</v>
      </c>
      <c r="B2663" s="93" t="s">
        <v>4066</v>
      </c>
      <c r="C2663" s="410">
        <v>80</v>
      </c>
      <c r="D2663" s="93" t="s">
        <v>9</v>
      </c>
      <c r="E2663" s="93" t="s">
        <v>24</v>
      </c>
      <c r="F2663" s="93" t="s">
        <v>7070</v>
      </c>
      <c r="G2663" s="93" t="s">
        <v>7108</v>
      </c>
      <c r="H2663" s="93" t="s">
        <v>118</v>
      </c>
      <c r="I2663" s="93" t="s">
        <v>111</v>
      </c>
      <c r="J2663" s="93" t="s">
        <v>7105</v>
      </c>
      <c r="K2663" s="93" t="s">
        <v>111</v>
      </c>
      <c r="L2663" s="93" t="s">
        <v>111</v>
      </c>
      <c r="M2663" s="93" t="s">
        <v>111</v>
      </c>
      <c r="N2663" s="93" t="s">
        <v>111</v>
      </c>
      <c r="O2663" s="93" t="s">
        <v>111</v>
      </c>
      <c r="P2663" s="93" t="s">
        <v>111</v>
      </c>
      <c r="Q2663" s="93" t="s">
        <v>111</v>
      </c>
      <c r="R2663" s="93" t="s">
        <v>111</v>
      </c>
      <c r="S2663" s="93" t="s">
        <v>111</v>
      </c>
      <c r="T2663" s="93" t="s">
        <v>115</v>
      </c>
      <c r="U2663" s="93" t="s">
        <v>116</v>
      </c>
      <c r="V2663" s="94">
        <v>44596.692361111112</v>
      </c>
      <c r="W2663" s="93" t="s">
        <v>1170</v>
      </c>
      <c r="X2663" s="93" t="s">
        <v>24</v>
      </c>
    </row>
    <row r="2664" spans="1:24" x14ac:dyDescent="0.15">
      <c r="A2664" s="93" t="s">
        <v>4067</v>
      </c>
      <c r="B2664" s="93" t="s">
        <v>4068</v>
      </c>
      <c r="C2664" s="410">
        <v>104</v>
      </c>
      <c r="D2664" s="93" t="s">
        <v>9</v>
      </c>
      <c r="E2664" s="93" t="s">
        <v>24</v>
      </c>
      <c r="F2664" s="93" t="s">
        <v>7070</v>
      </c>
      <c r="G2664" s="93" t="s">
        <v>7108</v>
      </c>
      <c r="H2664" s="93" t="s">
        <v>118</v>
      </c>
      <c r="I2664" s="93" t="s">
        <v>111</v>
      </c>
      <c r="J2664" s="93" t="s">
        <v>7105</v>
      </c>
      <c r="K2664" s="93" t="s">
        <v>111</v>
      </c>
      <c r="L2664" s="93" t="s">
        <v>111</v>
      </c>
      <c r="M2664" s="93" t="s">
        <v>111</v>
      </c>
      <c r="N2664" s="93" t="s">
        <v>111</v>
      </c>
      <c r="O2664" s="93" t="s">
        <v>111</v>
      </c>
      <c r="P2664" s="93" t="s">
        <v>111</v>
      </c>
      <c r="Q2664" s="93" t="s">
        <v>111</v>
      </c>
      <c r="R2664" s="93" t="s">
        <v>111</v>
      </c>
      <c r="S2664" s="93" t="s">
        <v>111</v>
      </c>
      <c r="T2664" s="93" t="s">
        <v>115</v>
      </c>
      <c r="U2664" s="93" t="s">
        <v>116</v>
      </c>
      <c r="V2664" s="94">
        <v>44596.688194444447</v>
      </c>
      <c r="W2664" s="93" t="s">
        <v>1170</v>
      </c>
      <c r="X2664" s="93" t="s">
        <v>24</v>
      </c>
    </row>
    <row r="2665" spans="1:24" x14ac:dyDescent="0.15">
      <c r="A2665" s="93" t="s">
        <v>4069</v>
      </c>
      <c r="B2665" s="93" t="s">
        <v>4070</v>
      </c>
      <c r="C2665" s="410">
        <v>704</v>
      </c>
      <c r="D2665" s="93" t="s">
        <v>24</v>
      </c>
      <c r="E2665" s="93" t="s">
        <v>24</v>
      </c>
      <c r="F2665" s="93" t="s">
        <v>7070</v>
      </c>
      <c r="G2665" s="93" t="s">
        <v>7108</v>
      </c>
      <c r="H2665" s="93" t="s">
        <v>118</v>
      </c>
      <c r="I2665" s="93" t="s">
        <v>111</v>
      </c>
      <c r="J2665" s="93" t="s">
        <v>7105</v>
      </c>
      <c r="K2665" s="93" t="s">
        <v>111</v>
      </c>
      <c r="L2665" s="93" t="s">
        <v>111</v>
      </c>
      <c r="M2665" s="93" t="s">
        <v>111</v>
      </c>
      <c r="N2665" s="93" t="s">
        <v>111</v>
      </c>
      <c r="O2665" s="93" t="s">
        <v>111</v>
      </c>
      <c r="P2665" s="93" t="s">
        <v>111</v>
      </c>
      <c r="Q2665" s="93" t="s">
        <v>111</v>
      </c>
      <c r="R2665" s="93" t="s">
        <v>111</v>
      </c>
      <c r="S2665" s="93" t="s">
        <v>111</v>
      </c>
      <c r="T2665" s="93" t="s">
        <v>115</v>
      </c>
      <c r="U2665" s="93" t="s">
        <v>116</v>
      </c>
      <c r="V2665" s="94">
        <v>44596.652777777781</v>
      </c>
      <c r="W2665" s="93" t="s">
        <v>1170</v>
      </c>
      <c r="X2665" s="93" t="s">
        <v>24</v>
      </c>
    </row>
    <row r="2666" spans="1:24" x14ac:dyDescent="0.15">
      <c r="A2666" s="93" t="s">
        <v>4071</v>
      </c>
      <c r="B2666" s="93" t="s">
        <v>9322</v>
      </c>
      <c r="C2666" s="410">
        <v>224</v>
      </c>
      <c r="D2666" s="93" t="s">
        <v>24</v>
      </c>
      <c r="E2666" s="93" t="s">
        <v>24</v>
      </c>
      <c r="F2666" s="93" t="s">
        <v>7070</v>
      </c>
      <c r="G2666" s="93" t="s">
        <v>7108</v>
      </c>
      <c r="H2666" s="93" t="s">
        <v>118</v>
      </c>
      <c r="I2666" s="93" t="s">
        <v>111</v>
      </c>
      <c r="J2666" s="93" t="s">
        <v>118</v>
      </c>
      <c r="K2666" s="93">
        <v>3</v>
      </c>
      <c r="L2666" s="93" t="s">
        <v>111</v>
      </c>
      <c r="M2666" s="93" t="s">
        <v>111</v>
      </c>
      <c r="N2666" s="93" t="s">
        <v>111</v>
      </c>
      <c r="O2666" s="93" t="s">
        <v>111</v>
      </c>
      <c r="P2666" s="93" t="s">
        <v>111</v>
      </c>
      <c r="Q2666" s="93" t="s">
        <v>111</v>
      </c>
      <c r="R2666" s="93" t="s">
        <v>111</v>
      </c>
      <c r="S2666" s="93" t="s">
        <v>111</v>
      </c>
      <c r="T2666" s="93" t="s">
        <v>115</v>
      </c>
      <c r="U2666" s="93" t="s">
        <v>116</v>
      </c>
      <c r="V2666" s="94">
        <v>44600.431944444441</v>
      </c>
      <c r="W2666" s="93" t="s">
        <v>1170</v>
      </c>
      <c r="X2666" s="93" t="s">
        <v>24</v>
      </c>
    </row>
    <row r="2667" spans="1:24" x14ac:dyDescent="0.15">
      <c r="A2667" s="93" t="s">
        <v>4072</v>
      </c>
      <c r="B2667" s="93" t="s">
        <v>4073</v>
      </c>
      <c r="C2667" s="410">
        <v>480</v>
      </c>
      <c r="D2667" s="93" t="s">
        <v>24</v>
      </c>
      <c r="E2667" s="93" t="s">
        <v>24</v>
      </c>
      <c r="F2667" s="93" t="s">
        <v>7070</v>
      </c>
      <c r="G2667" s="93" t="s">
        <v>7108</v>
      </c>
      <c r="H2667" s="93" t="s">
        <v>118</v>
      </c>
      <c r="I2667" s="93" t="s">
        <v>111</v>
      </c>
      <c r="J2667" s="93" t="s">
        <v>118</v>
      </c>
      <c r="K2667" s="93">
        <v>3</v>
      </c>
      <c r="L2667" s="93" t="s">
        <v>111</v>
      </c>
      <c r="M2667" s="93" t="s">
        <v>111</v>
      </c>
      <c r="N2667" s="93" t="s">
        <v>111</v>
      </c>
      <c r="O2667" s="93" t="s">
        <v>111</v>
      </c>
      <c r="P2667" s="93" t="s">
        <v>111</v>
      </c>
      <c r="Q2667" s="93" t="s">
        <v>111</v>
      </c>
      <c r="R2667" s="93" t="s">
        <v>111</v>
      </c>
      <c r="S2667" s="93" t="s">
        <v>2</v>
      </c>
      <c r="T2667" s="93" t="s">
        <v>115</v>
      </c>
      <c r="U2667" s="93" t="s">
        <v>116</v>
      </c>
      <c r="V2667" s="94">
        <v>44596.661111111112</v>
      </c>
      <c r="W2667" s="93" t="s">
        <v>1170</v>
      </c>
      <c r="X2667" s="93" t="s">
        <v>24</v>
      </c>
    </row>
    <row r="2668" spans="1:24" x14ac:dyDescent="0.15">
      <c r="A2668" s="93" t="s">
        <v>4074</v>
      </c>
      <c r="B2668" s="93" t="s">
        <v>4075</v>
      </c>
      <c r="C2668" s="410">
        <v>337</v>
      </c>
      <c r="D2668" s="93" t="s">
        <v>24</v>
      </c>
      <c r="E2668" s="93" t="s">
        <v>24</v>
      </c>
      <c r="F2668" s="93" t="s">
        <v>7070</v>
      </c>
      <c r="G2668" s="93" t="s">
        <v>7108</v>
      </c>
      <c r="H2668" s="93" t="s">
        <v>118</v>
      </c>
      <c r="I2668" s="93" t="s">
        <v>111</v>
      </c>
      <c r="J2668" s="93" t="s">
        <v>118</v>
      </c>
      <c r="K2668" s="93">
        <v>3</v>
      </c>
      <c r="L2668" s="93" t="s">
        <v>111</v>
      </c>
      <c r="M2668" s="93" t="s">
        <v>111</v>
      </c>
      <c r="N2668" s="93" t="s">
        <v>111</v>
      </c>
      <c r="O2668" s="93" t="s">
        <v>111</v>
      </c>
      <c r="P2668" s="93" t="s">
        <v>111</v>
      </c>
      <c r="Q2668" s="93" t="s">
        <v>111</v>
      </c>
      <c r="R2668" s="93" t="s">
        <v>111</v>
      </c>
      <c r="S2668" s="93" t="s">
        <v>111</v>
      </c>
      <c r="T2668" s="93" t="s">
        <v>115</v>
      </c>
      <c r="U2668" s="93" t="s">
        <v>116</v>
      </c>
      <c r="V2668" s="94">
        <v>44586.54791666667</v>
      </c>
      <c r="W2668" s="93" t="s">
        <v>1170</v>
      </c>
      <c r="X2668" s="93" t="s">
        <v>24</v>
      </c>
    </row>
    <row r="2669" spans="1:24" x14ac:dyDescent="0.15">
      <c r="A2669" s="93" t="s">
        <v>4076</v>
      </c>
      <c r="B2669" s="93" t="s">
        <v>4077</v>
      </c>
      <c r="C2669" s="410">
        <v>280</v>
      </c>
      <c r="D2669" s="93" t="s">
        <v>24</v>
      </c>
      <c r="E2669" s="93" t="s">
        <v>24</v>
      </c>
      <c r="F2669" s="93" t="s">
        <v>7070</v>
      </c>
      <c r="G2669" s="93" t="s">
        <v>7108</v>
      </c>
      <c r="H2669" s="93" t="s">
        <v>118</v>
      </c>
      <c r="I2669" s="93" t="s">
        <v>111</v>
      </c>
      <c r="J2669" s="93" t="s">
        <v>118</v>
      </c>
      <c r="K2669" s="93">
        <v>3</v>
      </c>
      <c r="L2669" s="93" t="s">
        <v>111</v>
      </c>
      <c r="M2669" s="93" t="s">
        <v>111</v>
      </c>
      <c r="N2669" s="93" t="s">
        <v>111</v>
      </c>
      <c r="O2669" s="93" t="s">
        <v>111</v>
      </c>
      <c r="P2669" s="93" t="s">
        <v>111</v>
      </c>
      <c r="Q2669" s="93" t="s">
        <v>111</v>
      </c>
      <c r="R2669" s="93" t="s">
        <v>111</v>
      </c>
      <c r="S2669" s="93" t="s">
        <v>2</v>
      </c>
      <c r="T2669" s="93" t="s">
        <v>115</v>
      </c>
      <c r="U2669" s="93" t="s">
        <v>116</v>
      </c>
      <c r="V2669" s="94">
        <v>44596.684027777781</v>
      </c>
      <c r="W2669" s="93" t="s">
        <v>1170</v>
      </c>
      <c r="X2669" s="93" t="s">
        <v>24</v>
      </c>
    </row>
    <row r="2670" spans="1:24" x14ac:dyDescent="0.15">
      <c r="A2670" s="93" t="s">
        <v>4078</v>
      </c>
      <c r="B2670" s="93" t="s">
        <v>4079</v>
      </c>
      <c r="C2670" s="410">
        <v>613</v>
      </c>
      <c r="D2670" s="93" t="s">
        <v>24</v>
      </c>
      <c r="E2670" s="93" t="s">
        <v>24</v>
      </c>
      <c r="F2670" s="93" t="s">
        <v>7070</v>
      </c>
      <c r="G2670" s="93" t="s">
        <v>7108</v>
      </c>
      <c r="H2670" s="93" t="s">
        <v>118</v>
      </c>
      <c r="I2670" s="93" t="s">
        <v>111</v>
      </c>
      <c r="J2670" s="93" t="s">
        <v>118</v>
      </c>
      <c r="K2670" s="93">
        <v>3</v>
      </c>
      <c r="L2670" s="93" t="s">
        <v>111</v>
      </c>
      <c r="M2670" s="93" t="s">
        <v>111</v>
      </c>
      <c r="N2670" s="93" t="s">
        <v>111</v>
      </c>
      <c r="O2670" s="93" t="s">
        <v>111</v>
      </c>
      <c r="P2670" s="93" t="s">
        <v>111</v>
      </c>
      <c r="Q2670" s="93" t="s">
        <v>111</v>
      </c>
      <c r="R2670" s="93" t="s">
        <v>111</v>
      </c>
      <c r="S2670" s="93" t="s">
        <v>111</v>
      </c>
      <c r="T2670" s="93" t="s">
        <v>115</v>
      </c>
      <c r="U2670" s="93" t="s">
        <v>116</v>
      </c>
      <c r="V2670" s="94">
        <v>44586.54791666667</v>
      </c>
      <c r="W2670" s="93" t="s">
        <v>1170</v>
      </c>
      <c r="X2670" s="93" t="s">
        <v>24</v>
      </c>
    </row>
    <row r="2671" spans="1:24" x14ac:dyDescent="0.15">
      <c r="A2671" s="93" t="s">
        <v>4080</v>
      </c>
      <c r="B2671" s="93" t="s">
        <v>4081</v>
      </c>
      <c r="C2671" s="410">
        <v>375</v>
      </c>
      <c r="D2671" s="93" t="s">
        <v>24</v>
      </c>
      <c r="E2671" s="93" t="s">
        <v>24</v>
      </c>
      <c r="F2671" s="93" t="s">
        <v>7070</v>
      </c>
      <c r="G2671" s="93" t="s">
        <v>7108</v>
      </c>
      <c r="H2671" s="93" t="s">
        <v>118</v>
      </c>
      <c r="I2671" s="93" t="s">
        <v>111</v>
      </c>
      <c r="J2671" s="93" t="s">
        <v>118</v>
      </c>
      <c r="K2671" s="93">
        <v>3</v>
      </c>
      <c r="L2671" s="93" t="s">
        <v>111</v>
      </c>
      <c r="M2671" s="93" t="s">
        <v>111</v>
      </c>
      <c r="N2671" s="93" t="s">
        <v>111</v>
      </c>
      <c r="O2671" s="93" t="s">
        <v>111</v>
      </c>
      <c r="P2671" s="93" t="s">
        <v>111</v>
      </c>
      <c r="Q2671" s="93" t="s">
        <v>111</v>
      </c>
      <c r="R2671" s="93" t="s">
        <v>111</v>
      </c>
      <c r="S2671" s="93" t="s">
        <v>111</v>
      </c>
      <c r="T2671" s="93" t="s">
        <v>115</v>
      </c>
      <c r="U2671" s="93" t="s">
        <v>116</v>
      </c>
      <c r="V2671" s="94">
        <v>44586.54791666667</v>
      </c>
      <c r="W2671" s="93" t="s">
        <v>1170</v>
      </c>
      <c r="X2671" s="93" t="s">
        <v>24</v>
      </c>
    </row>
    <row r="2672" spans="1:24" x14ac:dyDescent="0.15">
      <c r="A2672" s="93" t="s">
        <v>4082</v>
      </c>
      <c r="B2672" s="93" t="s">
        <v>4083</v>
      </c>
      <c r="C2672" s="410">
        <v>433</v>
      </c>
      <c r="D2672" s="93" t="s">
        <v>24</v>
      </c>
      <c r="E2672" s="93" t="s">
        <v>24</v>
      </c>
      <c r="F2672" s="93" t="s">
        <v>7070</v>
      </c>
      <c r="G2672" s="93" t="s">
        <v>7108</v>
      </c>
      <c r="H2672" s="93" t="s">
        <v>118</v>
      </c>
      <c r="I2672" s="93" t="s">
        <v>111</v>
      </c>
      <c r="J2672" s="93" t="s">
        <v>118</v>
      </c>
      <c r="K2672" s="93">
        <v>3</v>
      </c>
      <c r="L2672" s="93" t="s">
        <v>111</v>
      </c>
      <c r="M2672" s="93" t="s">
        <v>111</v>
      </c>
      <c r="N2672" s="93" t="s">
        <v>111</v>
      </c>
      <c r="O2672" s="93" t="s">
        <v>111</v>
      </c>
      <c r="P2672" s="93" t="s">
        <v>111</v>
      </c>
      <c r="Q2672" s="93" t="s">
        <v>111</v>
      </c>
      <c r="R2672" s="93" t="s">
        <v>111</v>
      </c>
      <c r="S2672" s="93" t="s">
        <v>111</v>
      </c>
      <c r="T2672" s="93" t="s">
        <v>115</v>
      </c>
      <c r="U2672" s="93" t="s">
        <v>116</v>
      </c>
      <c r="V2672" s="94">
        <v>44586.54791666667</v>
      </c>
      <c r="W2672" s="93" t="s">
        <v>1170</v>
      </c>
      <c r="X2672" s="93" t="s">
        <v>24</v>
      </c>
    </row>
    <row r="2673" spans="1:24" x14ac:dyDescent="0.15">
      <c r="A2673" s="93" t="s">
        <v>4084</v>
      </c>
      <c r="B2673" s="93" t="s">
        <v>4085</v>
      </c>
      <c r="C2673" s="410">
        <v>1327</v>
      </c>
      <c r="D2673" s="93" t="s">
        <v>24</v>
      </c>
      <c r="E2673" s="93" t="s">
        <v>24</v>
      </c>
      <c r="F2673" s="93" t="s">
        <v>7070</v>
      </c>
      <c r="G2673" s="93" t="s">
        <v>7108</v>
      </c>
      <c r="H2673" s="93" t="s">
        <v>118</v>
      </c>
      <c r="I2673" s="93" t="s">
        <v>111</v>
      </c>
      <c r="J2673" s="93" t="s">
        <v>118</v>
      </c>
      <c r="K2673" s="93">
        <v>3</v>
      </c>
      <c r="L2673" s="93" t="s">
        <v>111</v>
      </c>
      <c r="M2673" s="93" t="s">
        <v>111</v>
      </c>
      <c r="N2673" s="93" t="s">
        <v>111</v>
      </c>
      <c r="O2673" s="93" t="s">
        <v>111</v>
      </c>
      <c r="P2673" s="93" t="s">
        <v>111</v>
      </c>
      <c r="Q2673" s="93" t="s">
        <v>111</v>
      </c>
      <c r="R2673" s="93" t="s">
        <v>111</v>
      </c>
      <c r="S2673" s="93" t="s">
        <v>111</v>
      </c>
      <c r="T2673" s="93" t="s">
        <v>115</v>
      </c>
      <c r="U2673" s="93" t="s">
        <v>116</v>
      </c>
      <c r="V2673" s="94">
        <v>44586.54791666667</v>
      </c>
      <c r="W2673" s="93" t="s">
        <v>1170</v>
      </c>
      <c r="X2673" s="93" t="s">
        <v>24</v>
      </c>
    </row>
    <row r="2674" spans="1:24" x14ac:dyDescent="0.15">
      <c r="A2674" s="93" t="s">
        <v>4086</v>
      </c>
      <c r="B2674" s="93" t="s">
        <v>4087</v>
      </c>
      <c r="C2674" s="410">
        <v>241</v>
      </c>
      <c r="D2674" s="93" t="s">
        <v>24</v>
      </c>
      <c r="E2674" s="93" t="s">
        <v>24</v>
      </c>
      <c r="F2674" s="93" t="s">
        <v>7070</v>
      </c>
      <c r="G2674" s="93" t="s">
        <v>7108</v>
      </c>
      <c r="H2674" s="93" t="s">
        <v>118</v>
      </c>
      <c r="I2674" s="93" t="s">
        <v>111</v>
      </c>
      <c r="J2674" s="93" t="s">
        <v>118</v>
      </c>
      <c r="K2674" s="93">
        <v>3</v>
      </c>
      <c r="L2674" s="93" t="s">
        <v>111</v>
      </c>
      <c r="M2674" s="93" t="s">
        <v>111</v>
      </c>
      <c r="N2674" s="93" t="s">
        <v>111</v>
      </c>
      <c r="O2674" s="93" t="s">
        <v>111</v>
      </c>
      <c r="P2674" s="93" t="s">
        <v>111</v>
      </c>
      <c r="Q2674" s="93" t="s">
        <v>111</v>
      </c>
      <c r="R2674" s="93" t="s">
        <v>111</v>
      </c>
      <c r="S2674" s="93" t="s">
        <v>111</v>
      </c>
      <c r="T2674" s="93" t="s">
        <v>115</v>
      </c>
      <c r="U2674" s="93" t="s">
        <v>116</v>
      </c>
      <c r="V2674" s="94">
        <v>44586.54791666667</v>
      </c>
      <c r="W2674" s="93" t="s">
        <v>1170</v>
      </c>
      <c r="X2674" s="93" t="s">
        <v>24</v>
      </c>
    </row>
    <row r="2675" spans="1:24" x14ac:dyDescent="0.15">
      <c r="A2675" s="93" t="s">
        <v>4088</v>
      </c>
      <c r="B2675" s="93" t="s">
        <v>4089</v>
      </c>
      <c r="C2675" s="410">
        <v>401</v>
      </c>
      <c r="D2675" s="93" t="s">
        <v>24</v>
      </c>
      <c r="E2675" s="93" t="s">
        <v>24</v>
      </c>
      <c r="F2675" s="93" t="s">
        <v>7070</v>
      </c>
      <c r="G2675" s="93" t="s">
        <v>7108</v>
      </c>
      <c r="H2675" s="93" t="s">
        <v>118</v>
      </c>
      <c r="I2675" s="93" t="s">
        <v>111</v>
      </c>
      <c r="J2675" s="93" t="s">
        <v>118</v>
      </c>
      <c r="K2675" s="93">
        <v>3</v>
      </c>
      <c r="L2675" s="93" t="s">
        <v>111</v>
      </c>
      <c r="M2675" s="93" t="s">
        <v>111</v>
      </c>
      <c r="N2675" s="93" t="s">
        <v>111</v>
      </c>
      <c r="O2675" s="93" t="s">
        <v>111</v>
      </c>
      <c r="P2675" s="93" t="s">
        <v>111</v>
      </c>
      <c r="Q2675" s="93" t="s">
        <v>111</v>
      </c>
      <c r="R2675" s="93" t="s">
        <v>111</v>
      </c>
      <c r="S2675" s="93" t="s">
        <v>111</v>
      </c>
      <c r="T2675" s="93" t="s">
        <v>115</v>
      </c>
      <c r="U2675" s="93" t="s">
        <v>116</v>
      </c>
      <c r="V2675" s="94">
        <v>44586.54791666667</v>
      </c>
      <c r="W2675" s="93" t="s">
        <v>1170</v>
      </c>
      <c r="X2675" s="93" t="s">
        <v>24</v>
      </c>
    </row>
    <row r="2676" spans="1:24" x14ac:dyDescent="0.15">
      <c r="A2676" s="93" t="s">
        <v>4090</v>
      </c>
      <c r="B2676" s="93" t="s">
        <v>4091</v>
      </c>
      <c r="C2676" s="410">
        <v>181</v>
      </c>
      <c r="D2676" s="93" t="s">
        <v>24</v>
      </c>
      <c r="E2676" s="93" t="s">
        <v>24</v>
      </c>
      <c r="F2676" s="93" t="s">
        <v>7070</v>
      </c>
      <c r="G2676" s="93" t="s">
        <v>7108</v>
      </c>
      <c r="H2676" s="93" t="s">
        <v>118</v>
      </c>
      <c r="I2676" s="93" t="s">
        <v>111</v>
      </c>
      <c r="J2676" s="93" t="s">
        <v>118</v>
      </c>
      <c r="K2676" s="93">
        <v>3</v>
      </c>
      <c r="L2676" s="93" t="s">
        <v>111</v>
      </c>
      <c r="M2676" s="93" t="s">
        <v>111</v>
      </c>
      <c r="N2676" s="93" t="s">
        <v>111</v>
      </c>
      <c r="O2676" s="93" t="s">
        <v>111</v>
      </c>
      <c r="P2676" s="93" t="s">
        <v>111</v>
      </c>
      <c r="Q2676" s="93" t="s">
        <v>111</v>
      </c>
      <c r="R2676" s="93" t="s">
        <v>111</v>
      </c>
      <c r="S2676" s="93" t="s">
        <v>111</v>
      </c>
      <c r="T2676" s="93" t="s">
        <v>115</v>
      </c>
      <c r="U2676" s="93" t="s">
        <v>116</v>
      </c>
      <c r="V2676" s="94">
        <v>44586.54791666667</v>
      </c>
      <c r="W2676" s="93" t="s">
        <v>1170</v>
      </c>
      <c r="X2676" s="93" t="s">
        <v>24</v>
      </c>
    </row>
    <row r="2677" spans="1:24" x14ac:dyDescent="0.15">
      <c r="A2677" s="93" t="s">
        <v>4092</v>
      </c>
      <c r="B2677" s="93" t="s">
        <v>4093</v>
      </c>
      <c r="C2677" s="410">
        <v>341</v>
      </c>
      <c r="D2677" s="93" t="s">
        <v>24</v>
      </c>
      <c r="E2677" s="93" t="s">
        <v>24</v>
      </c>
      <c r="F2677" s="93" t="s">
        <v>7070</v>
      </c>
      <c r="G2677" s="93" t="s">
        <v>7108</v>
      </c>
      <c r="H2677" s="93" t="s">
        <v>118</v>
      </c>
      <c r="I2677" s="93" t="s">
        <v>111</v>
      </c>
      <c r="J2677" s="93" t="s">
        <v>118</v>
      </c>
      <c r="K2677" s="93">
        <v>3</v>
      </c>
      <c r="L2677" s="93" t="s">
        <v>111</v>
      </c>
      <c r="M2677" s="93" t="s">
        <v>111</v>
      </c>
      <c r="N2677" s="93" t="s">
        <v>111</v>
      </c>
      <c r="O2677" s="93" t="s">
        <v>111</v>
      </c>
      <c r="P2677" s="93" t="s">
        <v>111</v>
      </c>
      <c r="Q2677" s="93" t="s">
        <v>111</v>
      </c>
      <c r="R2677" s="93" t="s">
        <v>111</v>
      </c>
      <c r="S2677" s="93" t="s">
        <v>111</v>
      </c>
      <c r="T2677" s="93" t="s">
        <v>115</v>
      </c>
      <c r="U2677" s="93" t="s">
        <v>116</v>
      </c>
      <c r="V2677" s="94">
        <v>44586.54791666667</v>
      </c>
      <c r="W2677" s="93" t="s">
        <v>1170</v>
      </c>
      <c r="X2677" s="93" t="s">
        <v>24</v>
      </c>
    </row>
    <row r="2678" spans="1:24" x14ac:dyDescent="0.15">
      <c r="A2678" s="93" t="s">
        <v>4094</v>
      </c>
      <c r="B2678" s="93" t="s">
        <v>4095</v>
      </c>
      <c r="C2678" s="410">
        <v>292</v>
      </c>
      <c r="D2678" s="93" t="s">
        <v>24</v>
      </c>
      <c r="E2678" s="93" t="s">
        <v>24</v>
      </c>
      <c r="F2678" s="93" t="s">
        <v>7070</v>
      </c>
      <c r="G2678" s="93" t="s">
        <v>7108</v>
      </c>
      <c r="H2678" s="93" t="s">
        <v>118</v>
      </c>
      <c r="I2678" s="93" t="s">
        <v>111</v>
      </c>
      <c r="J2678" s="93" t="s">
        <v>118</v>
      </c>
      <c r="K2678" s="93">
        <v>3</v>
      </c>
      <c r="L2678" s="93" t="s">
        <v>111</v>
      </c>
      <c r="M2678" s="93" t="s">
        <v>111</v>
      </c>
      <c r="N2678" s="93" t="s">
        <v>111</v>
      </c>
      <c r="O2678" s="93" t="s">
        <v>111</v>
      </c>
      <c r="P2678" s="93" t="s">
        <v>111</v>
      </c>
      <c r="Q2678" s="93" t="s">
        <v>111</v>
      </c>
      <c r="R2678" s="93" t="s">
        <v>111</v>
      </c>
      <c r="S2678" s="93" t="s">
        <v>111</v>
      </c>
      <c r="T2678" s="93" t="s">
        <v>115</v>
      </c>
      <c r="U2678" s="93" t="s">
        <v>116</v>
      </c>
      <c r="V2678" s="94">
        <v>44596.695833333331</v>
      </c>
      <c r="W2678" s="93" t="s">
        <v>1170</v>
      </c>
      <c r="X2678" s="93" t="s">
        <v>24</v>
      </c>
    </row>
    <row r="2679" spans="1:24" x14ac:dyDescent="0.15">
      <c r="A2679" s="93" t="s">
        <v>4096</v>
      </c>
      <c r="B2679" s="93" t="s">
        <v>4097</v>
      </c>
      <c r="C2679" s="410">
        <v>387</v>
      </c>
      <c r="D2679" s="93" t="s">
        <v>24</v>
      </c>
      <c r="E2679" s="93" t="s">
        <v>24</v>
      </c>
      <c r="F2679" s="93" t="s">
        <v>7070</v>
      </c>
      <c r="G2679" s="93" t="s">
        <v>7108</v>
      </c>
      <c r="H2679" s="93" t="s">
        <v>118</v>
      </c>
      <c r="I2679" s="93" t="s">
        <v>111</v>
      </c>
      <c r="J2679" s="93" t="s">
        <v>7105</v>
      </c>
      <c r="K2679" s="93" t="s">
        <v>111</v>
      </c>
      <c r="L2679" s="93" t="s">
        <v>111</v>
      </c>
      <c r="M2679" s="93" t="s">
        <v>111</v>
      </c>
      <c r="N2679" s="93" t="s">
        <v>111</v>
      </c>
      <c r="O2679" s="93" t="s">
        <v>111</v>
      </c>
      <c r="P2679" s="93" t="s">
        <v>111</v>
      </c>
      <c r="Q2679" s="93" t="s">
        <v>111</v>
      </c>
      <c r="R2679" s="93" t="s">
        <v>111</v>
      </c>
      <c r="S2679" s="93" t="s">
        <v>111</v>
      </c>
      <c r="T2679" s="93" t="s">
        <v>115</v>
      </c>
      <c r="U2679" s="93" t="s">
        <v>116</v>
      </c>
      <c r="V2679" s="94">
        <v>44596.652777777781</v>
      </c>
      <c r="W2679" s="93" t="s">
        <v>1170</v>
      </c>
      <c r="X2679" s="93" t="s">
        <v>24</v>
      </c>
    </row>
    <row r="2680" spans="1:24" x14ac:dyDescent="0.15">
      <c r="A2680" s="93" t="s">
        <v>4098</v>
      </c>
      <c r="B2680" s="93" t="s">
        <v>4099</v>
      </c>
      <c r="C2680" s="410">
        <v>941</v>
      </c>
      <c r="D2680" s="93" t="s">
        <v>24</v>
      </c>
      <c r="E2680" s="93" t="s">
        <v>24</v>
      </c>
      <c r="F2680" s="93" t="s">
        <v>7070</v>
      </c>
      <c r="G2680" s="93" t="s">
        <v>7108</v>
      </c>
      <c r="H2680" s="93" t="s">
        <v>118</v>
      </c>
      <c r="I2680" s="93" t="s">
        <v>111</v>
      </c>
      <c r="J2680" s="93" t="s">
        <v>118</v>
      </c>
      <c r="K2680" s="93">
        <v>3</v>
      </c>
      <c r="L2680" s="93" t="s">
        <v>111</v>
      </c>
      <c r="M2680" s="93" t="s">
        <v>111</v>
      </c>
      <c r="N2680" s="93" t="s">
        <v>111</v>
      </c>
      <c r="O2680" s="93" t="s">
        <v>111</v>
      </c>
      <c r="P2680" s="93" t="s">
        <v>111</v>
      </c>
      <c r="Q2680" s="93" t="s">
        <v>111</v>
      </c>
      <c r="R2680" s="93" t="s">
        <v>111</v>
      </c>
      <c r="S2680" s="93" t="s">
        <v>111</v>
      </c>
      <c r="T2680" s="93" t="s">
        <v>115</v>
      </c>
      <c r="U2680" s="93" t="s">
        <v>116</v>
      </c>
      <c r="V2680" s="94">
        <v>44596.661111111112</v>
      </c>
      <c r="W2680" s="93" t="s">
        <v>1170</v>
      </c>
      <c r="X2680" s="93" t="s">
        <v>24</v>
      </c>
    </row>
    <row r="2681" spans="1:24" x14ac:dyDescent="0.15">
      <c r="A2681" s="93" t="s">
        <v>4100</v>
      </c>
      <c r="B2681" s="93" t="s">
        <v>4101</v>
      </c>
      <c r="C2681" s="410">
        <v>385</v>
      </c>
      <c r="D2681" s="93" t="s">
        <v>24</v>
      </c>
      <c r="E2681" s="93" t="s">
        <v>24</v>
      </c>
      <c r="F2681" s="93" t="s">
        <v>7070</v>
      </c>
      <c r="G2681" s="93" t="s">
        <v>7108</v>
      </c>
      <c r="H2681" s="93" t="s">
        <v>118</v>
      </c>
      <c r="I2681" s="93" t="s">
        <v>111</v>
      </c>
      <c r="J2681" s="93" t="s">
        <v>118</v>
      </c>
      <c r="K2681" s="93">
        <v>3</v>
      </c>
      <c r="L2681" s="93" t="s">
        <v>111</v>
      </c>
      <c r="M2681" s="93" t="s">
        <v>111</v>
      </c>
      <c r="N2681" s="93" t="s">
        <v>111</v>
      </c>
      <c r="O2681" s="93" t="s">
        <v>111</v>
      </c>
      <c r="P2681" s="93" t="s">
        <v>111</v>
      </c>
      <c r="Q2681" s="93" t="s">
        <v>111</v>
      </c>
      <c r="R2681" s="93" t="s">
        <v>111</v>
      </c>
      <c r="S2681" s="93" t="s">
        <v>111</v>
      </c>
      <c r="T2681" s="93" t="s">
        <v>115</v>
      </c>
      <c r="U2681" s="93" t="s">
        <v>116</v>
      </c>
      <c r="V2681" s="94">
        <v>44596.647916666669</v>
      </c>
      <c r="W2681" s="93" t="s">
        <v>1170</v>
      </c>
      <c r="X2681" s="93" t="s">
        <v>24</v>
      </c>
    </row>
    <row r="2682" spans="1:24" x14ac:dyDescent="0.15">
      <c r="A2682" s="93" t="s">
        <v>4102</v>
      </c>
      <c r="B2682" s="93" t="s">
        <v>4103</v>
      </c>
      <c r="C2682" s="410">
        <v>261</v>
      </c>
      <c r="D2682" s="93" t="s">
        <v>24</v>
      </c>
      <c r="E2682" s="93" t="s">
        <v>24</v>
      </c>
      <c r="F2682" s="93" t="s">
        <v>7070</v>
      </c>
      <c r="G2682" s="93" t="s">
        <v>7108</v>
      </c>
      <c r="H2682" s="93" t="s">
        <v>118</v>
      </c>
      <c r="I2682" s="93" t="s">
        <v>111</v>
      </c>
      <c r="J2682" s="93" t="s">
        <v>118</v>
      </c>
      <c r="K2682" s="93">
        <v>3</v>
      </c>
      <c r="L2682" s="93" t="s">
        <v>111</v>
      </c>
      <c r="M2682" s="93" t="s">
        <v>111</v>
      </c>
      <c r="N2682" s="93" t="s">
        <v>111</v>
      </c>
      <c r="O2682" s="93" t="s">
        <v>111</v>
      </c>
      <c r="P2682" s="93" t="s">
        <v>111</v>
      </c>
      <c r="Q2682" s="93" t="s">
        <v>111</v>
      </c>
      <c r="R2682" s="93" t="s">
        <v>111</v>
      </c>
      <c r="S2682" s="93" t="s">
        <v>111</v>
      </c>
      <c r="T2682" s="93" t="s">
        <v>115</v>
      </c>
      <c r="U2682" s="93" t="s">
        <v>116</v>
      </c>
      <c r="V2682" s="94">
        <v>44586.54791666667</v>
      </c>
      <c r="W2682" s="93" t="s">
        <v>1170</v>
      </c>
      <c r="X2682" s="93" t="s">
        <v>24</v>
      </c>
    </row>
    <row r="2683" spans="1:24" x14ac:dyDescent="0.15">
      <c r="A2683" s="93" t="s">
        <v>9323</v>
      </c>
      <c r="B2683" s="93" t="s">
        <v>9324</v>
      </c>
      <c r="C2683" s="410">
        <v>480</v>
      </c>
      <c r="D2683" s="93" t="s">
        <v>24</v>
      </c>
      <c r="E2683" s="93" t="s">
        <v>24</v>
      </c>
      <c r="F2683" s="93" t="s">
        <v>7070</v>
      </c>
      <c r="G2683" s="93" t="s">
        <v>7108</v>
      </c>
      <c r="H2683" s="93" t="s">
        <v>118</v>
      </c>
      <c r="I2683" s="93" t="s">
        <v>111</v>
      </c>
      <c r="J2683" s="93" t="s">
        <v>118</v>
      </c>
      <c r="K2683" s="93">
        <v>3</v>
      </c>
      <c r="L2683" s="93" t="s">
        <v>111</v>
      </c>
      <c r="M2683" s="93" t="s">
        <v>111</v>
      </c>
      <c r="N2683" s="93" t="s">
        <v>111</v>
      </c>
      <c r="O2683" s="93" t="s">
        <v>111</v>
      </c>
      <c r="P2683" s="93" t="s">
        <v>111</v>
      </c>
      <c r="Q2683" s="93" t="s">
        <v>111</v>
      </c>
      <c r="R2683" s="93" t="s">
        <v>228</v>
      </c>
      <c r="S2683" s="93" t="s">
        <v>2</v>
      </c>
      <c r="T2683" s="93" t="s">
        <v>115</v>
      </c>
      <c r="U2683" s="93" t="s">
        <v>116</v>
      </c>
      <c r="V2683" s="94">
        <v>44596.695138888892</v>
      </c>
      <c r="W2683" s="93" t="s">
        <v>1170</v>
      </c>
      <c r="X2683" s="93" t="s">
        <v>24</v>
      </c>
    </row>
    <row r="2684" spans="1:24" x14ac:dyDescent="0.15">
      <c r="A2684" s="93" t="s">
        <v>4104</v>
      </c>
      <c r="B2684" s="93" t="s">
        <v>4105</v>
      </c>
      <c r="C2684" s="410">
        <v>521</v>
      </c>
      <c r="D2684" s="93" t="s">
        <v>24</v>
      </c>
      <c r="E2684" s="93" t="s">
        <v>24</v>
      </c>
      <c r="F2684" s="93" t="s">
        <v>7070</v>
      </c>
      <c r="G2684" s="93" t="s">
        <v>7108</v>
      </c>
      <c r="H2684" s="93" t="s">
        <v>118</v>
      </c>
      <c r="I2684" s="93" t="s">
        <v>111</v>
      </c>
      <c r="J2684" s="93" t="s">
        <v>118</v>
      </c>
      <c r="K2684" s="93">
        <v>3</v>
      </c>
      <c r="L2684" s="93" t="s">
        <v>111</v>
      </c>
      <c r="M2684" s="93" t="s">
        <v>111</v>
      </c>
      <c r="N2684" s="93" t="s">
        <v>111</v>
      </c>
      <c r="O2684" s="93" t="s">
        <v>111</v>
      </c>
      <c r="P2684" s="93" t="s">
        <v>111</v>
      </c>
      <c r="Q2684" s="93" t="s">
        <v>111</v>
      </c>
      <c r="R2684" s="93" t="s">
        <v>228</v>
      </c>
      <c r="S2684" s="93" t="s">
        <v>2</v>
      </c>
      <c r="T2684" s="93" t="s">
        <v>115</v>
      </c>
      <c r="U2684" s="93" t="s">
        <v>116</v>
      </c>
      <c r="V2684" s="94">
        <v>44596.645833333336</v>
      </c>
      <c r="W2684" s="93" t="s">
        <v>1170</v>
      </c>
      <c r="X2684" s="93" t="s">
        <v>24</v>
      </c>
    </row>
    <row r="2685" spans="1:24" x14ac:dyDescent="0.15">
      <c r="A2685" s="93" t="s">
        <v>9325</v>
      </c>
      <c r="B2685" s="93" t="s">
        <v>9326</v>
      </c>
      <c r="C2685" s="410">
        <v>280</v>
      </c>
      <c r="D2685" s="93" t="s">
        <v>24</v>
      </c>
      <c r="E2685" s="93" t="s">
        <v>24</v>
      </c>
      <c r="F2685" s="93" t="s">
        <v>7070</v>
      </c>
      <c r="G2685" s="93" t="s">
        <v>7108</v>
      </c>
      <c r="H2685" s="93" t="s">
        <v>118</v>
      </c>
      <c r="I2685" s="93" t="s">
        <v>111</v>
      </c>
      <c r="J2685" s="93" t="s">
        <v>118</v>
      </c>
      <c r="K2685" s="93">
        <v>3</v>
      </c>
      <c r="L2685" s="93" t="s">
        <v>111</v>
      </c>
      <c r="M2685" s="93" t="s">
        <v>111</v>
      </c>
      <c r="N2685" s="93" t="s">
        <v>111</v>
      </c>
      <c r="O2685" s="93" t="s">
        <v>111</v>
      </c>
      <c r="P2685" s="93" t="s">
        <v>111</v>
      </c>
      <c r="Q2685" s="93" t="s">
        <v>111</v>
      </c>
      <c r="R2685" s="93" t="s">
        <v>228</v>
      </c>
      <c r="S2685" s="93" t="s">
        <v>2</v>
      </c>
      <c r="T2685" s="93" t="s">
        <v>115</v>
      </c>
      <c r="U2685" s="93" t="s">
        <v>116</v>
      </c>
      <c r="V2685" s="94">
        <v>44596.686805555553</v>
      </c>
      <c r="W2685" s="93" t="s">
        <v>1170</v>
      </c>
      <c r="X2685" s="93" t="s">
        <v>24</v>
      </c>
    </row>
    <row r="2686" spans="1:24" x14ac:dyDescent="0.15">
      <c r="A2686" s="93" t="s">
        <v>9327</v>
      </c>
      <c r="B2686" s="93" t="s">
        <v>9328</v>
      </c>
      <c r="C2686" s="410">
        <v>390</v>
      </c>
      <c r="D2686" s="93" t="s">
        <v>24</v>
      </c>
      <c r="E2686" s="93" t="s">
        <v>24</v>
      </c>
      <c r="F2686" s="93" t="s">
        <v>1525</v>
      </c>
      <c r="G2686" s="93" t="s">
        <v>7108</v>
      </c>
      <c r="H2686" s="93" t="s">
        <v>118</v>
      </c>
      <c r="I2686" s="93" t="s">
        <v>111</v>
      </c>
      <c r="J2686" s="93" t="s">
        <v>118</v>
      </c>
      <c r="K2686" s="93">
        <v>3</v>
      </c>
      <c r="L2686" s="93" t="s">
        <v>111</v>
      </c>
      <c r="M2686" s="93" t="s">
        <v>111</v>
      </c>
      <c r="N2686" s="93" t="s">
        <v>111</v>
      </c>
      <c r="O2686" s="93" t="s">
        <v>111</v>
      </c>
      <c r="P2686" s="93" t="s">
        <v>111</v>
      </c>
      <c r="Q2686" s="93" t="s">
        <v>111</v>
      </c>
      <c r="R2686" s="93" t="s">
        <v>228</v>
      </c>
      <c r="S2686" s="93" t="s">
        <v>2</v>
      </c>
      <c r="T2686" s="93" t="s">
        <v>115</v>
      </c>
      <c r="U2686" s="93" t="s">
        <v>116</v>
      </c>
      <c r="V2686" s="94">
        <v>44596.655555555553</v>
      </c>
      <c r="W2686" s="93" t="s">
        <v>1170</v>
      </c>
      <c r="X2686" s="93" t="s">
        <v>24</v>
      </c>
    </row>
    <row r="2687" spans="1:24" x14ac:dyDescent="0.15">
      <c r="A2687" s="93" t="s">
        <v>9329</v>
      </c>
      <c r="B2687" s="93" t="s">
        <v>9330</v>
      </c>
      <c r="C2687" s="410">
        <v>785</v>
      </c>
      <c r="D2687" s="93" t="s">
        <v>24</v>
      </c>
      <c r="E2687" s="93" t="s">
        <v>24</v>
      </c>
      <c r="F2687" s="93" t="s">
        <v>1525</v>
      </c>
      <c r="G2687" s="93" t="s">
        <v>7108</v>
      </c>
      <c r="H2687" s="93" t="s">
        <v>118</v>
      </c>
      <c r="I2687" s="93" t="s">
        <v>111</v>
      </c>
      <c r="J2687" s="93" t="s">
        <v>118</v>
      </c>
      <c r="K2687" s="93">
        <v>3</v>
      </c>
      <c r="L2687" s="93" t="s">
        <v>111</v>
      </c>
      <c r="M2687" s="93" t="s">
        <v>111</v>
      </c>
      <c r="N2687" s="93" t="s">
        <v>111</v>
      </c>
      <c r="O2687" s="93" t="s">
        <v>111</v>
      </c>
      <c r="P2687" s="93" t="s">
        <v>111</v>
      </c>
      <c r="Q2687" s="93" t="s">
        <v>111</v>
      </c>
      <c r="R2687" s="93" t="s">
        <v>228</v>
      </c>
      <c r="S2687" s="93" t="s">
        <v>2</v>
      </c>
      <c r="T2687" s="93" t="s">
        <v>115</v>
      </c>
      <c r="U2687" s="93" t="s">
        <v>116</v>
      </c>
      <c r="V2687" s="94">
        <v>44596.686111111114</v>
      </c>
      <c r="W2687" s="93" t="s">
        <v>1170</v>
      </c>
      <c r="X2687" s="93" t="s">
        <v>24</v>
      </c>
    </row>
    <row r="2688" spans="1:24" x14ac:dyDescent="0.15">
      <c r="A2688" s="93" t="s">
        <v>9331</v>
      </c>
      <c r="B2688" s="93" t="s">
        <v>9332</v>
      </c>
      <c r="C2688" s="410">
        <v>1204</v>
      </c>
      <c r="D2688" s="93" t="s">
        <v>24</v>
      </c>
      <c r="E2688" s="93" t="s">
        <v>24</v>
      </c>
      <c r="F2688" s="93" t="s">
        <v>1525</v>
      </c>
      <c r="G2688" s="93" t="s">
        <v>7108</v>
      </c>
      <c r="H2688" s="93" t="s">
        <v>118</v>
      </c>
      <c r="I2688" s="93" t="s">
        <v>111</v>
      </c>
      <c r="J2688" s="93" t="s">
        <v>118</v>
      </c>
      <c r="K2688" s="93">
        <v>3</v>
      </c>
      <c r="L2688" s="93" t="s">
        <v>111</v>
      </c>
      <c r="M2688" s="93" t="s">
        <v>111</v>
      </c>
      <c r="N2688" s="93" t="s">
        <v>111</v>
      </c>
      <c r="O2688" s="93" t="s">
        <v>111</v>
      </c>
      <c r="P2688" s="93" t="s">
        <v>111</v>
      </c>
      <c r="Q2688" s="93" t="s">
        <v>111</v>
      </c>
      <c r="R2688" s="93" t="s">
        <v>228</v>
      </c>
      <c r="S2688" s="93" t="s">
        <v>2</v>
      </c>
      <c r="T2688" s="93" t="s">
        <v>115</v>
      </c>
      <c r="U2688" s="93" t="s">
        <v>116</v>
      </c>
      <c r="V2688" s="94">
        <v>44596.64166666667</v>
      </c>
      <c r="W2688" s="93" t="s">
        <v>1170</v>
      </c>
      <c r="X2688" s="93" t="s">
        <v>24</v>
      </c>
    </row>
    <row r="2689" spans="1:24" x14ac:dyDescent="0.15">
      <c r="A2689" s="93" t="s">
        <v>9333</v>
      </c>
      <c r="B2689" s="93" t="s">
        <v>9334</v>
      </c>
      <c r="C2689" s="410">
        <v>1659</v>
      </c>
      <c r="D2689" s="93" t="s">
        <v>24</v>
      </c>
      <c r="E2689" s="93" t="s">
        <v>24</v>
      </c>
      <c r="F2689" s="93" t="s">
        <v>1525</v>
      </c>
      <c r="G2689" s="93" t="s">
        <v>7108</v>
      </c>
      <c r="H2689" s="93" t="s">
        <v>118</v>
      </c>
      <c r="I2689" s="93" t="s">
        <v>111</v>
      </c>
      <c r="J2689" s="93" t="s">
        <v>118</v>
      </c>
      <c r="K2689" s="93">
        <v>3</v>
      </c>
      <c r="L2689" s="93" t="s">
        <v>111</v>
      </c>
      <c r="M2689" s="93" t="s">
        <v>111</v>
      </c>
      <c r="N2689" s="93" t="s">
        <v>111</v>
      </c>
      <c r="O2689" s="93" t="s">
        <v>111</v>
      </c>
      <c r="P2689" s="93" t="s">
        <v>111</v>
      </c>
      <c r="Q2689" s="93" t="s">
        <v>111</v>
      </c>
      <c r="R2689" s="93" t="s">
        <v>228</v>
      </c>
      <c r="S2689" s="93" t="s">
        <v>2</v>
      </c>
      <c r="T2689" s="93" t="s">
        <v>115</v>
      </c>
      <c r="U2689" s="93" t="s">
        <v>116</v>
      </c>
      <c r="V2689" s="94">
        <v>44596.663888888892</v>
      </c>
      <c r="W2689" s="93" t="s">
        <v>1170</v>
      </c>
      <c r="X2689" s="93" t="s">
        <v>24</v>
      </c>
    </row>
    <row r="2690" spans="1:24" x14ac:dyDescent="0.15">
      <c r="A2690" s="93" t="s">
        <v>9335</v>
      </c>
      <c r="B2690" s="93" t="s">
        <v>9336</v>
      </c>
      <c r="C2690" s="410">
        <v>657</v>
      </c>
      <c r="D2690" s="93" t="s">
        <v>24</v>
      </c>
      <c r="E2690" s="93" t="s">
        <v>24</v>
      </c>
      <c r="F2690" s="93" t="s">
        <v>1525</v>
      </c>
      <c r="G2690" s="93" t="s">
        <v>7108</v>
      </c>
      <c r="H2690" s="93" t="s">
        <v>118</v>
      </c>
      <c r="I2690" s="93" t="s">
        <v>111</v>
      </c>
      <c r="J2690" s="93" t="s">
        <v>118</v>
      </c>
      <c r="K2690" s="93">
        <v>3</v>
      </c>
      <c r="L2690" s="93" t="s">
        <v>111</v>
      </c>
      <c r="M2690" s="93" t="s">
        <v>111</v>
      </c>
      <c r="N2690" s="93" t="s">
        <v>111</v>
      </c>
      <c r="O2690" s="93" t="s">
        <v>111</v>
      </c>
      <c r="P2690" s="93" t="s">
        <v>111</v>
      </c>
      <c r="Q2690" s="93" t="s">
        <v>111</v>
      </c>
      <c r="R2690" s="93" t="s">
        <v>228</v>
      </c>
      <c r="S2690" s="93" t="s">
        <v>2</v>
      </c>
      <c r="T2690" s="93" t="s">
        <v>115</v>
      </c>
      <c r="U2690" s="93" t="s">
        <v>116</v>
      </c>
      <c r="V2690" s="94">
        <v>44596.697916666664</v>
      </c>
      <c r="W2690" s="93" t="s">
        <v>1170</v>
      </c>
      <c r="X2690" s="93" t="s">
        <v>24</v>
      </c>
    </row>
    <row r="2691" spans="1:24" x14ac:dyDescent="0.15">
      <c r="A2691" s="93" t="s">
        <v>9337</v>
      </c>
      <c r="B2691" s="93" t="s">
        <v>9338</v>
      </c>
      <c r="C2691" s="410">
        <v>1328</v>
      </c>
      <c r="D2691" s="93" t="s">
        <v>24</v>
      </c>
      <c r="E2691" s="93" t="s">
        <v>24</v>
      </c>
      <c r="F2691" s="93" t="s">
        <v>1525</v>
      </c>
      <c r="G2691" s="93" t="s">
        <v>7108</v>
      </c>
      <c r="H2691" s="93" t="s">
        <v>118</v>
      </c>
      <c r="I2691" s="93" t="s">
        <v>111</v>
      </c>
      <c r="J2691" s="93" t="s">
        <v>118</v>
      </c>
      <c r="K2691" s="93">
        <v>3</v>
      </c>
      <c r="L2691" s="93" t="s">
        <v>111</v>
      </c>
      <c r="M2691" s="93" t="s">
        <v>111</v>
      </c>
      <c r="N2691" s="93" t="s">
        <v>111</v>
      </c>
      <c r="O2691" s="93" t="s">
        <v>111</v>
      </c>
      <c r="P2691" s="93" t="s">
        <v>111</v>
      </c>
      <c r="Q2691" s="93" t="s">
        <v>111</v>
      </c>
      <c r="R2691" s="93" t="s">
        <v>228</v>
      </c>
      <c r="S2691" s="93" t="s">
        <v>2</v>
      </c>
      <c r="T2691" s="93" t="s">
        <v>115</v>
      </c>
      <c r="U2691" s="93" t="s">
        <v>116</v>
      </c>
      <c r="V2691" s="94">
        <v>44596.690972222219</v>
      </c>
      <c r="W2691" s="93" t="s">
        <v>1170</v>
      </c>
      <c r="X2691" s="93" t="s">
        <v>24</v>
      </c>
    </row>
    <row r="2692" spans="1:24" x14ac:dyDescent="0.15">
      <c r="A2692" s="93" t="s">
        <v>9339</v>
      </c>
      <c r="B2692" s="93" t="s">
        <v>9340</v>
      </c>
      <c r="C2692" s="410">
        <v>2038</v>
      </c>
      <c r="D2692" s="93" t="s">
        <v>24</v>
      </c>
      <c r="E2692" s="93" t="s">
        <v>24</v>
      </c>
      <c r="F2692" s="93" t="s">
        <v>1525</v>
      </c>
      <c r="G2692" s="93" t="s">
        <v>7108</v>
      </c>
      <c r="H2692" s="93" t="s">
        <v>118</v>
      </c>
      <c r="I2692" s="93" t="s">
        <v>111</v>
      </c>
      <c r="J2692" s="93" t="s">
        <v>118</v>
      </c>
      <c r="K2692" s="93">
        <v>3</v>
      </c>
      <c r="L2692" s="93" t="s">
        <v>111</v>
      </c>
      <c r="M2692" s="93" t="s">
        <v>111</v>
      </c>
      <c r="N2692" s="93" t="s">
        <v>111</v>
      </c>
      <c r="O2692" s="93" t="s">
        <v>111</v>
      </c>
      <c r="P2692" s="93" t="s">
        <v>111</v>
      </c>
      <c r="Q2692" s="93" t="s">
        <v>111</v>
      </c>
      <c r="R2692" s="93" t="s">
        <v>228</v>
      </c>
      <c r="S2692" s="93" t="s">
        <v>2</v>
      </c>
      <c r="T2692" s="93" t="s">
        <v>115</v>
      </c>
      <c r="U2692" s="93" t="s">
        <v>116</v>
      </c>
      <c r="V2692" s="94">
        <v>44596.690972222219</v>
      </c>
      <c r="W2692" s="93" t="s">
        <v>1170</v>
      </c>
      <c r="X2692" s="93" t="s">
        <v>24</v>
      </c>
    </row>
    <row r="2693" spans="1:24" x14ac:dyDescent="0.15">
      <c r="A2693" s="93" t="s">
        <v>9341</v>
      </c>
      <c r="B2693" s="93" t="s">
        <v>9342</v>
      </c>
      <c r="C2693" s="410">
        <v>2809</v>
      </c>
      <c r="D2693" s="93" t="s">
        <v>24</v>
      </c>
      <c r="E2693" s="93" t="s">
        <v>24</v>
      </c>
      <c r="F2693" s="93" t="s">
        <v>1525</v>
      </c>
      <c r="G2693" s="93" t="s">
        <v>7108</v>
      </c>
      <c r="H2693" s="93" t="s">
        <v>118</v>
      </c>
      <c r="I2693" s="93" t="s">
        <v>111</v>
      </c>
      <c r="J2693" s="93" t="s">
        <v>118</v>
      </c>
      <c r="K2693" s="93">
        <v>3</v>
      </c>
      <c r="L2693" s="93" t="s">
        <v>111</v>
      </c>
      <c r="M2693" s="93" t="s">
        <v>111</v>
      </c>
      <c r="N2693" s="93" t="s">
        <v>111</v>
      </c>
      <c r="O2693" s="93" t="s">
        <v>111</v>
      </c>
      <c r="P2693" s="93" t="s">
        <v>111</v>
      </c>
      <c r="Q2693" s="93" t="s">
        <v>111</v>
      </c>
      <c r="R2693" s="93" t="s">
        <v>228</v>
      </c>
      <c r="S2693" s="93" t="s">
        <v>2</v>
      </c>
      <c r="T2693" s="93" t="s">
        <v>115</v>
      </c>
      <c r="U2693" s="93" t="s">
        <v>116</v>
      </c>
      <c r="V2693" s="94">
        <v>44596.645833333336</v>
      </c>
      <c r="W2693" s="93" t="s">
        <v>1170</v>
      </c>
      <c r="X2693" s="93" t="s">
        <v>24</v>
      </c>
    </row>
    <row r="2694" spans="1:24" x14ac:dyDescent="0.15">
      <c r="A2694" s="93" t="s">
        <v>9343</v>
      </c>
      <c r="B2694" s="93" t="s">
        <v>9344</v>
      </c>
      <c r="C2694" s="410">
        <v>454</v>
      </c>
      <c r="D2694" s="93" t="s">
        <v>24</v>
      </c>
      <c r="E2694" s="93" t="s">
        <v>24</v>
      </c>
      <c r="F2694" s="93" t="s">
        <v>1525</v>
      </c>
      <c r="G2694" s="93" t="s">
        <v>7108</v>
      </c>
      <c r="H2694" s="93" t="s">
        <v>118</v>
      </c>
      <c r="I2694" s="93" t="s">
        <v>111</v>
      </c>
      <c r="J2694" s="93" t="s">
        <v>118</v>
      </c>
      <c r="K2694" s="93">
        <v>3</v>
      </c>
      <c r="L2694" s="93" t="s">
        <v>111</v>
      </c>
      <c r="M2694" s="93" t="s">
        <v>111</v>
      </c>
      <c r="N2694" s="93" t="s">
        <v>111</v>
      </c>
      <c r="O2694" s="93" t="s">
        <v>111</v>
      </c>
      <c r="P2694" s="93" t="s">
        <v>111</v>
      </c>
      <c r="Q2694" s="93" t="s">
        <v>111</v>
      </c>
      <c r="R2694" s="93" t="s">
        <v>228</v>
      </c>
      <c r="S2694" s="93" t="s">
        <v>2</v>
      </c>
      <c r="T2694" s="93" t="s">
        <v>115</v>
      </c>
      <c r="U2694" s="93" t="s">
        <v>116</v>
      </c>
      <c r="V2694" s="94">
        <v>44596.686111111114</v>
      </c>
      <c r="W2694" s="93" t="s">
        <v>1170</v>
      </c>
      <c r="X2694" s="93" t="s">
        <v>24</v>
      </c>
    </row>
    <row r="2695" spans="1:24" x14ac:dyDescent="0.15">
      <c r="A2695" s="93" t="s">
        <v>4106</v>
      </c>
      <c r="B2695" s="93" t="s">
        <v>4107</v>
      </c>
      <c r="C2695" s="410">
        <v>914</v>
      </c>
      <c r="D2695" s="93" t="s">
        <v>24</v>
      </c>
      <c r="E2695" s="93" t="s">
        <v>24</v>
      </c>
      <c r="F2695" s="93" t="s">
        <v>1525</v>
      </c>
      <c r="G2695" s="93" t="s">
        <v>7108</v>
      </c>
      <c r="H2695" s="93" t="s">
        <v>118</v>
      </c>
      <c r="I2695" s="93" t="s">
        <v>111</v>
      </c>
      <c r="J2695" s="93" t="s">
        <v>118</v>
      </c>
      <c r="K2695" s="93">
        <v>3</v>
      </c>
      <c r="L2695" s="93" t="s">
        <v>111</v>
      </c>
      <c r="M2695" s="93" t="s">
        <v>111</v>
      </c>
      <c r="N2695" s="93" t="s">
        <v>111</v>
      </c>
      <c r="O2695" s="93" t="s">
        <v>111</v>
      </c>
      <c r="P2695" s="93" t="s">
        <v>111</v>
      </c>
      <c r="Q2695" s="93" t="s">
        <v>111</v>
      </c>
      <c r="R2695" s="93" t="s">
        <v>228</v>
      </c>
      <c r="S2695" s="93" t="s">
        <v>2</v>
      </c>
      <c r="T2695" s="93" t="s">
        <v>115</v>
      </c>
      <c r="U2695" s="93" t="s">
        <v>116</v>
      </c>
      <c r="V2695" s="94">
        <v>44596.698611111111</v>
      </c>
      <c r="W2695" s="93" t="s">
        <v>1170</v>
      </c>
      <c r="X2695" s="93" t="s">
        <v>24</v>
      </c>
    </row>
    <row r="2696" spans="1:24" x14ac:dyDescent="0.15">
      <c r="A2696" s="93" t="s">
        <v>4109</v>
      </c>
      <c r="B2696" s="93" t="s">
        <v>4110</v>
      </c>
      <c r="C2696" s="410">
        <v>1400</v>
      </c>
      <c r="D2696" s="93" t="s">
        <v>24</v>
      </c>
      <c r="E2696" s="93" t="s">
        <v>24</v>
      </c>
      <c r="F2696" s="93" t="s">
        <v>1525</v>
      </c>
      <c r="G2696" s="93" t="s">
        <v>7108</v>
      </c>
      <c r="H2696" s="93" t="s">
        <v>118</v>
      </c>
      <c r="I2696" s="93" t="s">
        <v>111</v>
      </c>
      <c r="J2696" s="93" t="s">
        <v>118</v>
      </c>
      <c r="K2696" s="93">
        <v>3</v>
      </c>
      <c r="L2696" s="93" t="s">
        <v>111</v>
      </c>
      <c r="M2696" s="93" t="s">
        <v>111</v>
      </c>
      <c r="N2696" s="93" t="s">
        <v>111</v>
      </c>
      <c r="O2696" s="93" t="s">
        <v>111</v>
      </c>
      <c r="P2696" s="93" t="s">
        <v>111</v>
      </c>
      <c r="Q2696" s="93" t="s">
        <v>111</v>
      </c>
      <c r="R2696" s="93" t="s">
        <v>228</v>
      </c>
      <c r="S2696" s="93" t="s">
        <v>2</v>
      </c>
      <c r="T2696" s="93" t="s">
        <v>115</v>
      </c>
      <c r="U2696" s="93" t="s">
        <v>116</v>
      </c>
      <c r="V2696" s="94">
        <v>44596.682638888888</v>
      </c>
      <c r="W2696" s="93" t="s">
        <v>1170</v>
      </c>
      <c r="X2696" s="93" t="s">
        <v>24</v>
      </c>
    </row>
    <row r="2697" spans="1:24" x14ac:dyDescent="0.15">
      <c r="A2697" s="93" t="s">
        <v>4111</v>
      </c>
      <c r="B2697" s="93" t="s">
        <v>4112</v>
      </c>
      <c r="C2697" s="410">
        <v>1928</v>
      </c>
      <c r="D2697" s="93" t="s">
        <v>24</v>
      </c>
      <c r="E2697" s="93" t="s">
        <v>24</v>
      </c>
      <c r="F2697" s="93" t="s">
        <v>1525</v>
      </c>
      <c r="G2697" s="93" t="s">
        <v>7108</v>
      </c>
      <c r="H2697" s="93" t="s">
        <v>118</v>
      </c>
      <c r="I2697" s="93" t="s">
        <v>111</v>
      </c>
      <c r="J2697" s="93" t="s">
        <v>118</v>
      </c>
      <c r="K2697" s="93">
        <v>3</v>
      </c>
      <c r="L2697" s="93" t="s">
        <v>111</v>
      </c>
      <c r="M2697" s="93" t="s">
        <v>111</v>
      </c>
      <c r="N2697" s="93" t="s">
        <v>111</v>
      </c>
      <c r="O2697" s="93" t="s">
        <v>111</v>
      </c>
      <c r="P2697" s="93" t="s">
        <v>111</v>
      </c>
      <c r="Q2697" s="93" t="s">
        <v>111</v>
      </c>
      <c r="R2697" s="93" t="s">
        <v>228</v>
      </c>
      <c r="S2697" s="93" t="s">
        <v>2</v>
      </c>
      <c r="T2697" s="93" t="s">
        <v>115</v>
      </c>
      <c r="U2697" s="93" t="s">
        <v>116</v>
      </c>
      <c r="V2697" s="94">
        <v>44596.646527777775</v>
      </c>
      <c r="W2697" s="93" t="s">
        <v>1170</v>
      </c>
      <c r="X2697" s="93" t="s">
        <v>24</v>
      </c>
    </row>
    <row r="2698" spans="1:24" hidden="1" x14ac:dyDescent="0.15">
      <c r="A2698" s="93" t="s">
        <v>9345</v>
      </c>
      <c r="B2698" s="93" t="s">
        <v>9346</v>
      </c>
      <c r="C2698" s="410">
        <v>1</v>
      </c>
      <c r="D2698" s="93" t="s">
        <v>24</v>
      </c>
      <c r="E2698" s="93" t="s">
        <v>24</v>
      </c>
      <c r="F2698" s="93" t="s">
        <v>70</v>
      </c>
      <c r="G2698" s="93" t="s">
        <v>8461</v>
      </c>
      <c r="H2698" s="93" t="s">
        <v>400</v>
      </c>
      <c r="I2698" s="93" t="s">
        <v>111</v>
      </c>
      <c r="J2698" s="93" t="s">
        <v>7105</v>
      </c>
      <c r="K2698" s="93" t="s">
        <v>111</v>
      </c>
      <c r="L2698" s="93" t="s">
        <v>111</v>
      </c>
      <c r="M2698" s="93" t="s">
        <v>111</v>
      </c>
      <c r="N2698" s="93" t="s">
        <v>111</v>
      </c>
      <c r="O2698" s="93" t="s">
        <v>111</v>
      </c>
      <c r="P2698" s="93" t="s">
        <v>111</v>
      </c>
      <c r="Q2698" s="93" t="s">
        <v>111</v>
      </c>
      <c r="R2698" s="93" t="s">
        <v>111</v>
      </c>
      <c r="S2698" s="93" t="s">
        <v>2</v>
      </c>
      <c r="T2698" s="93" t="s">
        <v>111</v>
      </c>
      <c r="U2698" s="93" t="s">
        <v>116</v>
      </c>
      <c r="V2698" s="94">
        <v>44588.191666666666</v>
      </c>
      <c r="W2698" s="93" t="s">
        <v>1170</v>
      </c>
      <c r="X2698" s="93" t="s">
        <v>24</v>
      </c>
    </row>
    <row r="2699" spans="1:24" hidden="1" x14ac:dyDescent="0.15">
      <c r="A2699" s="93" t="s">
        <v>4116</v>
      </c>
      <c r="B2699" s="93" t="s">
        <v>4117</v>
      </c>
      <c r="C2699" s="410">
        <v>409.32</v>
      </c>
      <c r="D2699" s="93" t="s">
        <v>24</v>
      </c>
      <c r="E2699" s="93" t="s">
        <v>24</v>
      </c>
      <c r="F2699" s="93" t="s">
        <v>7070</v>
      </c>
      <c r="G2699" s="93" t="s">
        <v>7168</v>
      </c>
      <c r="H2699" s="93" t="s">
        <v>1916</v>
      </c>
      <c r="I2699" s="93" t="s">
        <v>111</v>
      </c>
      <c r="J2699" s="93" t="s">
        <v>387</v>
      </c>
      <c r="K2699" s="93">
        <v>60</v>
      </c>
      <c r="L2699" s="93">
        <v>1</v>
      </c>
      <c r="M2699" s="93">
        <v>19</v>
      </c>
      <c r="N2699" s="93" t="s">
        <v>113</v>
      </c>
      <c r="O2699" s="93">
        <v>27</v>
      </c>
      <c r="P2699" s="93">
        <v>59</v>
      </c>
      <c r="Q2699" s="93">
        <v>62</v>
      </c>
      <c r="R2699" s="93" t="s">
        <v>117</v>
      </c>
      <c r="S2699" s="93" t="s">
        <v>16</v>
      </c>
      <c r="T2699" s="93" t="s">
        <v>115</v>
      </c>
      <c r="U2699" s="93" t="s">
        <v>119</v>
      </c>
      <c r="V2699" s="94">
        <v>44628.565972222219</v>
      </c>
      <c r="W2699" s="93" t="s">
        <v>1170</v>
      </c>
      <c r="X2699" s="93" t="s">
        <v>9</v>
      </c>
    </row>
    <row r="2700" spans="1:24" hidden="1" x14ac:dyDescent="0.15">
      <c r="A2700" s="93" t="s">
        <v>9347</v>
      </c>
      <c r="B2700" s="93" t="s">
        <v>9348</v>
      </c>
      <c r="C2700" s="410">
        <v>144178.98000000001</v>
      </c>
      <c r="D2700" s="93" t="s">
        <v>24</v>
      </c>
      <c r="E2700" s="93" t="s">
        <v>24</v>
      </c>
      <c r="F2700" s="93" t="s">
        <v>386</v>
      </c>
      <c r="G2700" s="93" t="s">
        <v>9349</v>
      </c>
      <c r="H2700" s="93" t="s">
        <v>400</v>
      </c>
      <c r="I2700" s="93" t="s">
        <v>111</v>
      </c>
      <c r="J2700" s="93" t="s">
        <v>118</v>
      </c>
      <c r="K2700" s="93">
        <v>3</v>
      </c>
      <c r="L2700" s="93" t="s">
        <v>111</v>
      </c>
      <c r="M2700" s="93" t="s">
        <v>111</v>
      </c>
      <c r="N2700" s="93" t="s">
        <v>111</v>
      </c>
      <c r="O2700" s="93" t="s">
        <v>111</v>
      </c>
      <c r="P2700" s="93" t="s">
        <v>111</v>
      </c>
      <c r="Q2700" s="93" t="s">
        <v>111</v>
      </c>
      <c r="R2700" s="93" t="s">
        <v>4115</v>
      </c>
      <c r="S2700" s="93" t="s">
        <v>2</v>
      </c>
      <c r="T2700" s="93" t="s">
        <v>124</v>
      </c>
      <c r="U2700" s="93" t="s">
        <v>116</v>
      </c>
      <c r="V2700" s="94">
        <v>44628.575694444444</v>
      </c>
      <c r="W2700" s="93" t="s">
        <v>4118</v>
      </c>
      <c r="X2700" s="93" t="s">
        <v>24</v>
      </c>
    </row>
    <row r="2701" spans="1:24" hidden="1" x14ac:dyDescent="0.15">
      <c r="A2701" s="93" t="s">
        <v>4119</v>
      </c>
      <c r="B2701" s="93" t="s">
        <v>4120</v>
      </c>
      <c r="C2701" s="410">
        <v>8394.75</v>
      </c>
      <c r="D2701" s="93" t="s">
        <v>9</v>
      </c>
      <c r="E2701" s="93" t="s">
        <v>9</v>
      </c>
      <c r="F2701" s="93" t="s">
        <v>7070</v>
      </c>
      <c r="G2701" s="93" t="s">
        <v>9350</v>
      </c>
      <c r="H2701" s="93" t="s">
        <v>6</v>
      </c>
      <c r="I2701" s="93" t="s">
        <v>111</v>
      </c>
      <c r="J2701" s="93" t="s">
        <v>1197</v>
      </c>
      <c r="K2701" s="93">
        <v>60</v>
      </c>
      <c r="L2701" s="93" t="s">
        <v>111</v>
      </c>
      <c r="M2701" s="93" t="s">
        <v>111</v>
      </c>
      <c r="N2701" s="93" t="s">
        <v>111</v>
      </c>
      <c r="O2701" s="93" t="s">
        <v>111</v>
      </c>
      <c r="P2701" s="93" t="s">
        <v>111</v>
      </c>
      <c r="Q2701" s="93" t="s">
        <v>111</v>
      </c>
      <c r="R2701" s="93" t="s">
        <v>123</v>
      </c>
      <c r="S2701" s="93" t="s">
        <v>18</v>
      </c>
      <c r="T2701" s="93" t="s">
        <v>383</v>
      </c>
      <c r="U2701" s="93" t="s">
        <v>116</v>
      </c>
      <c r="V2701" s="94">
        <v>44628.598611111112</v>
      </c>
      <c r="W2701" s="93" t="s">
        <v>1170</v>
      </c>
      <c r="X2701" s="93" t="s">
        <v>24</v>
      </c>
    </row>
    <row r="2702" spans="1:24" hidden="1" x14ac:dyDescent="0.15">
      <c r="A2702" s="93" t="s">
        <v>4121</v>
      </c>
      <c r="B2702" s="93" t="s">
        <v>4122</v>
      </c>
      <c r="C2702" s="410">
        <v>78.75</v>
      </c>
      <c r="D2702" s="93" t="s">
        <v>9</v>
      </c>
      <c r="E2702" s="93" t="s">
        <v>24</v>
      </c>
      <c r="F2702" s="93" t="s">
        <v>7070</v>
      </c>
      <c r="G2702" s="93" t="s">
        <v>9023</v>
      </c>
      <c r="H2702" s="93" t="s">
        <v>11</v>
      </c>
      <c r="I2702" s="93" t="s">
        <v>111</v>
      </c>
      <c r="J2702" s="93" t="s">
        <v>1197</v>
      </c>
      <c r="K2702" s="93">
        <v>60</v>
      </c>
      <c r="L2702" s="93">
        <v>1</v>
      </c>
      <c r="M2702" s="93">
        <v>0.2</v>
      </c>
      <c r="N2702" s="93" t="s">
        <v>113</v>
      </c>
      <c r="O2702" s="93">
        <v>1.2</v>
      </c>
      <c r="P2702" s="93">
        <v>5.4</v>
      </c>
      <c r="Q2702" s="93">
        <v>8.6</v>
      </c>
      <c r="R2702" s="93" t="s">
        <v>4123</v>
      </c>
      <c r="S2702" s="93" t="s">
        <v>18</v>
      </c>
      <c r="T2702" s="93" t="s">
        <v>115</v>
      </c>
      <c r="U2702" s="93" t="s">
        <v>116</v>
      </c>
      <c r="V2702" s="94">
        <v>44628.634722222225</v>
      </c>
      <c r="W2702" s="93" t="s">
        <v>1170</v>
      </c>
      <c r="X2702" s="93" t="s">
        <v>24</v>
      </c>
    </row>
    <row r="2703" spans="1:24" hidden="1" x14ac:dyDescent="0.15">
      <c r="A2703" s="93" t="s">
        <v>4124</v>
      </c>
      <c r="B2703" s="93" t="s">
        <v>9351</v>
      </c>
      <c r="C2703" s="410">
        <v>25</v>
      </c>
      <c r="D2703" s="93" t="s">
        <v>24</v>
      </c>
      <c r="E2703" s="93" t="s">
        <v>24</v>
      </c>
      <c r="F2703" s="93" t="s">
        <v>4125</v>
      </c>
      <c r="G2703" s="93" t="s">
        <v>8022</v>
      </c>
      <c r="H2703" s="93" t="s">
        <v>118</v>
      </c>
      <c r="I2703" s="93" t="s">
        <v>111</v>
      </c>
      <c r="J2703" s="93" t="s">
        <v>118</v>
      </c>
      <c r="K2703" s="93">
        <v>3</v>
      </c>
      <c r="L2703" s="93" t="s">
        <v>111</v>
      </c>
      <c r="M2703" s="93" t="s">
        <v>111</v>
      </c>
      <c r="N2703" s="93" t="s">
        <v>111</v>
      </c>
      <c r="O2703" s="93" t="s">
        <v>111</v>
      </c>
      <c r="P2703" s="93" t="s">
        <v>111</v>
      </c>
      <c r="Q2703" s="93" t="s">
        <v>111</v>
      </c>
      <c r="R2703" s="93" t="s">
        <v>228</v>
      </c>
      <c r="S2703" s="93" t="s">
        <v>2</v>
      </c>
      <c r="T2703" s="93" t="s">
        <v>115</v>
      </c>
      <c r="U2703" s="93" t="s">
        <v>116</v>
      </c>
      <c r="V2703" s="94">
        <v>44596.659722222219</v>
      </c>
      <c r="W2703" s="93" t="s">
        <v>1170</v>
      </c>
      <c r="X2703" s="93" t="s">
        <v>24</v>
      </c>
    </row>
    <row r="2704" spans="1:24" hidden="1" x14ac:dyDescent="0.15">
      <c r="A2704" s="93" t="s">
        <v>4126</v>
      </c>
      <c r="B2704" s="93" t="s">
        <v>9352</v>
      </c>
      <c r="C2704" s="410">
        <v>50</v>
      </c>
      <c r="D2704" s="93" t="s">
        <v>24</v>
      </c>
      <c r="E2704" s="93" t="s">
        <v>24</v>
      </c>
      <c r="F2704" s="93" t="s">
        <v>4125</v>
      </c>
      <c r="G2704" s="93" t="s">
        <v>8022</v>
      </c>
      <c r="H2704" s="93" t="s">
        <v>118</v>
      </c>
      <c r="I2704" s="93" t="s">
        <v>111</v>
      </c>
      <c r="J2704" s="93" t="s">
        <v>118</v>
      </c>
      <c r="K2704" s="93">
        <v>3</v>
      </c>
      <c r="L2704" s="93" t="s">
        <v>111</v>
      </c>
      <c r="M2704" s="93" t="s">
        <v>111</v>
      </c>
      <c r="N2704" s="93" t="s">
        <v>111</v>
      </c>
      <c r="O2704" s="93" t="s">
        <v>111</v>
      </c>
      <c r="P2704" s="93" t="s">
        <v>111</v>
      </c>
      <c r="Q2704" s="93" t="s">
        <v>111</v>
      </c>
      <c r="R2704" s="93" t="s">
        <v>228</v>
      </c>
      <c r="S2704" s="93" t="s">
        <v>18</v>
      </c>
      <c r="T2704" s="93" t="s">
        <v>115</v>
      </c>
      <c r="U2704" s="93" t="s">
        <v>116</v>
      </c>
      <c r="V2704" s="94">
        <v>44596.646527777775</v>
      </c>
      <c r="W2704" s="93" t="s">
        <v>1170</v>
      </c>
      <c r="X2704" s="93" t="s">
        <v>24</v>
      </c>
    </row>
    <row r="2705" spans="1:24" hidden="1" x14ac:dyDescent="0.15">
      <c r="A2705" s="93" t="s">
        <v>4127</v>
      </c>
      <c r="B2705" s="93" t="s">
        <v>9353</v>
      </c>
      <c r="C2705" s="410">
        <v>75</v>
      </c>
      <c r="D2705" s="93" t="s">
        <v>24</v>
      </c>
      <c r="E2705" s="93" t="s">
        <v>24</v>
      </c>
      <c r="F2705" s="93" t="s">
        <v>4125</v>
      </c>
      <c r="G2705" s="93" t="s">
        <v>8022</v>
      </c>
      <c r="H2705" s="93" t="s">
        <v>118</v>
      </c>
      <c r="I2705" s="93" t="s">
        <v>111</v>
      </c>
      <c r="J2705" s="93" t="s">
        <v>118</v>
      </c>
      <c r="K2705" s="93">
        <v>3</v>
      </c>
      <c r="L2705" s="93" t="s">
        <v>111</v>
      </c>
      <c r="M2705" s="93" t="s">
        <v>111</v>
      </c>
      <c r="N2705" s="93" t="s">
        <v>111</v>
      </c>
      <c r="O2705" s="93" t="s">
        <v>111</v>
      </c>
      <c r="P2705" s="93" t="s">
        <v>111</v>
      </c>
      <c r="Q2705" s="93" t="s">
        <v>111</v>
      </c>
      <c r="R2705" s="93" t="s">
        <v>228</v>
      </c>
      <c r="S2705" s="93" t="s">
        <v>2</v>
      </c>
      <c r="T2705" s="93" t="s">
        <v>115</v>
      </c>
      <c r="U2705" s="93" t="s">
        <v>116</v>
      </c>
      <c r="V2705" s="94">
        <v>44596.690972222219</v>
      </c>
      <c r="W2705" s="93" t="s">
        <v>1170</v>
      </c>
      <c r="X2705" s="93" t="s">
        <v>24</v>
      </c>
    </row>
    <row r="2706" spans="1:24" hidden="1" x14ac:dyDescent="0.15">
      <c r="A2706" s="93" t="s">
        <v>8002</v>
      </c>
      <c r="B2706" s="93" t="s">
        <v>8003</v>
      </c>
      <c r="C2706" s="410">
        <v>8</v>
      </c>
      <c r="D2706" s="93" t="s">
        <v>24</v>
      </c>
      <c r="E2706" s="93" t="s">
        <v>24</v>
      </c>
      <c r="F2706" s="93" t="s">
        <v>4125</v>
      </c>
      <c r="G2706" s="93" t="s">
        <v>8004</v>
      </c>
      <c r="H2706" s="93" t="s">
        <v>118</v>
      </c>
      <c r="I2706" s="93" t="s">
        <v>111</v>
      </c>
      <c r="J2706" s="93" t="s">
        <v>118</v>
      </c>
      <c r="K2706" s="93">
        <v>3</v>
      </c>
      <c r="L2706" s="93" t="s">
        <v>111</v>
      </c>
      <c r="M2706" s="93" t="s">
        <v>111</v>
      </c>
      <c r="N2706" s="93" t="s">
        <v>111</v>
      </c>
      <c r="O2706" s="93" t="s">
        <v>111</v>
      </c>
      <c r="P2706" s="93" t="s">
        <v>111</v>
      </c>
      <c r="Q2706" s="93" t="s">
        <v>111</v>
      </c>
      <c r="R2706" s="93" t="s">
        <v>228</v>
      </c>
      <c r="S2706" s="93" t="s">
        <v>2</v>
      </c>
      <c r="T2706" s="93" t="s">
        <v>115</v>
      </c>
      <c r="U2706" s="93" t="s">
        <v>116</v>
      </c>
      <c r="V2706" s="94">
        <v>44602.491666666669</v>
      </c>
      <c r="W2706" s="93" t="s">
        <v>120</v>
      </c>
      <c r="X2706" s="93" t="s">
        <v>24</v>
      </c>
    </row>
    <row r="2707" spans="1:24" hidden="1" x14ac:dyDescent="0.15">
      <c r="A2707" s="93" t="s">
        <v>8005</v>
      </c>
      <c r="B2707" s="93" t="s">
        <v>8006</v>
      </c>
      <c r="C2707" s="410">
        <v>16</v>
      </c>
      <c r="D2707" s="93" t="s">
        <v>24</v>
      </c>
      <c r="E2707" s="93" t="s">
        <v>24</v>
      </c>
      <c r="F2707" s="93" t="s">
        <v>4125</v>
      </c>
      <c r="G2707" s="93" t="s">
        <v>8004</v>
      </c>
      <c r="H2707" s="93" t="s">
        <v>118</v>
      </c>
      <c r="I2707" s="93" t="s">
        <v>111</v>
      </c>
      <c r="J2707" s="93" t="s">
        <v>118</v>
      </c>
      <c r="K2707" s="93">
        <v>3</v>
      </c>
      <c r="L2707" s="93" t="s">
        <v>111</v>
      </c>
      <c r="M2707" s="93" t="s">
        <v>111</v>
      </c>
      <c r="N2707" s="93" t="s">
        <v>111</v>
      </c>
      <c r="O2707" s="93" t="s">
        <v>111</v>
      </c>
      <c r="P2707" s="93" t="s">
        <v>111</v>
      </c>
      <c r="Q2707" s="93" t="s">
        <v>111</v>
      </c>
      <c r="R2707" s="93" t="s">
        <v>228</v>
      </c>
      <c r="S2707" s="93" t="s">
        <v>2</v>
      </c>
      <c r="T2707" s="93" t="s">
        <v>115</v>
      </c>
      <c r="U2707" s="93" t="s">
        <v>116</v>
      </c>
      <c r="V2707" s="94">
        <v>44602.491666666669</v>
      </c>
      <c r="W2707" s="93" t="s">
        <v>120</v>
      </c>
      <c r="X2707" s="93" t="s">
        <v>24</v>
      </c>
    </row>
    <row r="2708" spans="1:24" hidden="1" x14ac:dyDescent="0.15">
      <c r="A2708" s="93" t="s">
        <v>8007</v>
      </c>
      <c r="B2708" s="93" t="s">
        <v>8008</v>
      </c>
      <c r="C2708" s="410">
        <v>24</v>
      </c>
      <c r="D2708" s="93" t="s">
        <v>24</v>
      </c>
      <c r="E2708" s="93" t="s">
        <v>24</v>
      </c>
      <c r="F2708" s="93" t="s">
        <v>4125</v>
      </c>
      <c r="G2708" s="93" t="s">
        <v>8004</v>
      </c>
      <c r="H2708" s="93" t="s">
        <v>118</v>
      </c>
      <c r="I2708" s="93" t="s">
        <v>111</v>
      </c>
      <c r="J2708" s="93" t="s">
        <v>118</v>
      </c>
      <c r="K2708" s="93">
        <v>3</v>
      </c>
      <c r="L2708" s="93" t="s">
        <v>111</v>
      </c>
      <c r="M2708" s="93" t="s">
        <v>111</v>
      </c>
      <c r="N2708" s="93" t="s">
        <v>111</v>
      </c>
      <c r="O2708" s="93" t="s">
        <v>111</v>
      </c>
      <c r="P2708" s="93" t="s">
        <v>111</v>
      </c>
      <c r="Q2708" s="93" t="s">
        <v>111</v>
      </c>
      <c r="R2708" s="93" t="s">
        <v>228</v>
      </c>
      <c r="S2708" s="93" t="s">
        <v>2</v>
      </c>
      <c r="T2708" s="93" t="s">
        <v>115</v>
      </c>
      <c r="U2708" s="93" t="s">
        <v>116</v>
      </c>
      <c r="V2708" s="94">
        <v>44602.491666666669</v>
      </c>
      <c r="W2708" s="93" t="s">
        <v>120</v>
      </c>
      <c r="X2708" s="93" t="s">
        <v>24</v>
      </c>
    </row>
    <row r="2709" spans="1:24" hidden="1" x14ac:dyDescent="0.15">
      <c r="A2709" s="93" t="s">
        <v>8009</v>
      </c>
      <c r="B2709" s="93" t="s">
        <v>9354</v>
      </c>
      <c r="C2709" s="410">
        <v>30</v>
      </c>
      <c r="D2709" s="93" t="s">
        <v>24</v>
      </c>
      <c r="E2709" s="93" t="s">
        <v>24</v>
      </c>
      <c r="F2709" s="93" t="s">
        <v>4125</v>
      </c>
      <c r="G2709" s="93" t="s">
        <v>8004</v>
      </c>
      <c r="H2709" s="93" t="s">
        <v>118</v>
      </c>
      <c r="I2709" s="93" t="s">
        <v>111</v>
      </c>
      <c r="J2709" s="93" t="s">
        <v>118</v>
      </c>
      <c r="K2709" s="93">
        <v>3</v>
      </c>
      <c r="L2709" s="93" t="s">
        <v>111</v>
      </c>
      <c r="M2709" s="93" t="s">
        <v>111</v>
      </c>
      <c r="N2709" s="93" t="s">
        <v>111</v>
      </c>
      <c r="O2709" s="93" t="s">
        <v>111</v>
      </c>
      <c r="P2709" s="93" t="s">
        <v>111</v>
      </c>
      <c r="Q2709" s="93" t="s">
        <v>111</v>
      </c>
      <c r="R2709" s="93" t="s">
        <v>228</v>
      </c>
      <c r="S2709" s="93" t="s">
        <v>2</v>
      </c>
      <c r="T2709" s="93" t="s">
        <v>115</v>
      </c>
      <c r="U2709" s="93" t="s">
        <v>116</v>
      </c>
      <c r="V2709" s="94">
        <v>44602.491666666669</v>
      </c>
      <c r="W2709" s="93" t="s">
        <v>120</v>
      </c>
      <c r="X2709" s="93" t="s">
        <v>24</v>
      </c>
    </row>
    <row r="2710" spans="1:24" hidden="1" x14ac:dyDescent="0.15">
      <c r="A2710" s="93" t="s">
        <v>8011</v>
      </c>
      <c r="B2710" s="93" t="s">
        <v>9355</v>
      </c>
      <c r="C2710" s="410">
        <v>60</v>
      </c>
      <c r="D2710" s="93" t="s">
        <v>24</v>
      </c>
      <c r="E2710" s="93" t="s">
        <v>24</v>
      </c>
      <c r="F2710" s="93" t="s">
        <v>4125</v>
      </c>
      <c r="G2710" s="93" t="s">
        <v>8004</v>
      </c>
      <c r="H2710" s="93" t="s">
        <v>118</v>
      </c>
      <c r="I2710" s="93" t="s">
        <v>111</v>
      </c>
      <c r="J2710" s="93" t="s">
        <v>118</v>
      </c>
      <c r="K2710" s="93">
        <v>3</v>
      </c>
      <c r="L2710" s="93" t="s">
        <v>111</v>
      </c>
      <c r="M2710" s="93" t="s">
        <v>111</v>
      </c>
      <c r="N2710" s="93" t="s">
        <v>111</v>
      </c>
      <c r="O2710" s="93" t="s">
        <v>111</v>
      </c>
      <c r="P2710" s="93" t="s">
        <v>111</v>
      </c>
      <c r="Q2710" s="93" t="s">
        <v>111</v>
      </c>
      <c r="R2710" s="93" t="s">
        <v>228</v>
      </c>
      <c r="S2710" s="93" t="s">
        <v>2</v>
      </c>
      <c r="T2710" s="93" t="s">
        <v>115</v>
      </c>
      <c r="U2710" s="93" t="s">
        <v>116</v>
      </c>
      <c r="V2710" s="94">
        <v>44602.491666666669</v>
      </c>
      <c r="W2710" s="93" t="s">
        <v>120</v>
      </c>
      <c r="X2710" s="93" t="s">
        <v>24</v>
      </c>
    </row>
    <row r="2711" spans="1:24" hidden="1" x14ac:dyDescent="0.15">
      <c r="A2711" s="93" t="s">
        <v>8013</v>
      </c>
      <c r="B2711" s="93" t="s">
        <v>9356</v>
      </c>
      <c r="C2711" s="410">
        <v>90</v>
      </c>
      <c r="D2711" s="93" t="s">
        <v>24</v>
      </c>
      <c r="E2711" s="93" t="s">
        <v>24</v>
      </c>
      <c r="F2711" s="93" t="s">
        <v>4125</v>
      </c>
      <c r="G2711" s="93" t="s">
        <v>8004</v>
      </c>
      <c r="H2711" s="93" t="s">
        <v>118</v>
      </c>
      <c r="I2711" s="93" t="s">
        <v>111</v>
      </c>
      <c r="J2711" s="93" t="s">
        <v>118</v>
      </c>
      <c r="K2711" s="93">
        <v>3</v>
      </c>
      <c r="L2711" s="93" t="s">
        <v>111</v>
      </c>
      <c r="M2711" s="93" t="s">
        <v>111</v>
      </c>
      <c r="N2711" s="93" t="s">
        <v>111</v>
      </c>
      <c r="O2711" s="93" t="s">
        <v>111</v>
      </c>
      <c r="P2711" s="93" t="s">
        <v>111</v>
      </c>
      <c r="Q2711" s="93" t="s">
        <v>111</v>
      </c>
      <c r="R2711" s="93" t="s">
        <v>228</v>
      </c>
      <c r="S2711" s="93" t="s">
        <v>2</v>
      </c>
      <c r="T2711" s="93" t="s">
        <v>115</v>
      </c>
      <c r="U2711" s="93" t="s">
        <v>116</v>
      </c>
      <c r="V2711" s="94">
        <v>44602.491666666669</v>
      </c>
      <c r="W2711" s="93" t="s">
        <v>120</v>
      </c>
      <c r="X2711" s="93" t="s">
        <v>24</v>
      </c>
    </row>
    <row r="2712" spans="1:24" hidden="1" x14ac:dyDescent="0.15">
      <c r="A2712" s="93" t="s">
        <v>8015</v>
      </c>
      <c r="B2712" s="93" t="s">
        <v>9357</v>
      </c>
      <c r="C2712" s="410">
        <v>50</v>
      </c>
      <c r="D2712" s="93" t="s">
        <v>24</v>
      </c>
      <c r="E2712" s="93" t="s">
        <v>24</v>
      </c>
      <c r="F2712" s="93" t="s">
        <v>4128</v>
      </c>
      <c r="G2712" s="93" t="s">
        <v>8004</v>
      </c>
      <c r="H2712" s="93" t="s">
        <v>118</v>
      </c>
      <c r="I2712" s="93" t="s">
        <v>111</v>
      </c>
      <c r="J2712" s="93" t="s">
        <v>118</v>
      </c>
      <c r="K2712" s="93">
        <v>3</v>
      </c>
      <c r="L2712" s="93" t="s">
        <v>111</v>
      </c>
      <c r="M2712" s="93" t="s">
        <v>111</v>
      </c>
      <c r="N2712" s="93" t="s">
        <v>111</v>
      </c>
      <c r="O2712" s="93" t="s">
        <v>111</v>
      </c>
      <c r="P2712" s="93" t="s">
        <v>111</v>
      </c>
      <c r="Q2712" s="93" t="s">
        <v>111</v>
      </c>
      <c r="R2712" s="93" t="s">
        <v>228</v>
      </c>
      <c r="S2712" s="93" t="s">
        <v>2</v>
      </c>
      <c r="T2712" s="93" t="s">
        <v>115</v>
      </c>
      <c r="U2712" s="93" t="s">
        <v>116</v>
      </c>
      <c r="V2712" s="94">
        <v>44602.491666666669</v>
      </c>
      <c r="W2712" s="93" t="s">
        <v>120</v>
      </c>
      <c r="X2712" s="93" t="s">
        <v>24</v>
      </c>
    </row>
    <row r="2713" spans="1:24" hidden="1" x14ac:dyDescent="0.15">
      <c r="A2713" s="93" t="s">
        <v>8017</v>
      </c>
      <c r="B2713" s="93" t="s">
        <v>9358</v>
      </c>
      <c r="C2713" s="410">
        <v>100</v>
      </c>
      <c r="D2713" s="93" t="s">
        <v>24</v>
      </c>
      <c r="E2713" s="93" t="s">
        <v>24</v>
      </c>
      <c r="F2713" s="93" t="s">
        <v>4128</v>
      </c>
      <c r="G2713" s="93" t="s">
        <v>8004</v>
      </c>
      <c r="H2713" s="93" t="s">
        <v>118</v>
      </c>
      <c r="I2713" s="93" t="s">
        <v>111</v>
      </c>
      <c r="J2713" s="93" t="s">
        <v>118</v>
      </c>
      <c r="K2713" s="93">
        <v>3</v>
      </c>
      <c r="L2713" s="93" t="s">
        <v>111</v>
      </c>
      <c r="M2713" s="93" t="s">
        <v>111</v>
      </c>
      <c r="N2713" s="93" t="s">
        <v>111</v>
      </c>
      <c r="O2713" s="93" t="s">
        <v>111</v>
      </c>
      <c r="P2713" s="93" t="s">
        <v>111</v>
      </c>
      <c r="Q2713" s="93" t="s">
        <v>111</v>
      </c>
      <c r="R2713" s="93" t="s">
        <v>228</v>
      </c>
      <c r="S2713" s="93" t="s">
        <v>2</v>
      </c>
      <c r="T2713" s="93" t="s">
        <v>115</v>
      </c>
      <c r="U2713" s="93" t="s">
        <v>116</v>
      </c>
      <c r="V2713" s="94">
        <v>44602.491666666669</v>
      </c>
      <c r="W2713" s="93" t="s">
        <v>120</v>
      </c>
      <c r="X2713" s="93" t="s">
        <v>24</v>
      </c>
    </row>
    <row r="2714" spans="1:24" hidden="1" x14ac:dyDescent="0.15">
      <c r="A2714" s="93" t="s">
        <v>8019</v>
      </c>
      <c r="B2714" s="93" t="s">
        <v>9359</v>
      </c>
      <c r="C2714" s="410">
        <v>150</v>
      </c>
      <c r="D2714" s="93" t="s">
        <v>24</v>
      </c>
      <c r="E2714" s="93" t="s">
        <v>24</v>
      </c>
      <c r="F2714" s="93" t="s">
        <v>4128</v>
      </c>
      <c r="G2714" s="93" t="s">
        <v>8004</v>
      </c>
      <c r="H2714" s="93" t="s">
        <v>118</v>
      </c>
      <c r="I2714" s="93" t="s">
        <v>111</v>
      </c>
      <c r="J2714" s="93" t="s">
        <v>118</v>
      </c>
      <c r="K2714" s="93">
        <v>3</v>
      </c>
      <c r="L2714" s="93" t="s">
        <v>111</v>
      </c>
      <c r="M2714" s="93" t="s">
        <v>111</v>
      </c>
      <c r="N2714" s="93" t="s">
        <v>111</v>
      </c>
      <c r="O2714" s="93" t="s">
        <v>111</v>
      </c>
      <c r="P2714" s="93" t="s">
        <v>111</v>
      </c>
      <c r="Q2714" s="93" t="s">
        <v>111</v>
      </c>
      <c r="R2714" s="93" t="s">
        <v>228</v>
      </c>
      <c r="S2714" s="93" t="s">
        <v>2</v>
      </c>
      <c r="T2714" s="93" t="s">
        <v>115</v>
      </c>
      <c r="U2714" s="93" t="s">
        <v>116</v>
      </c>
      <c r="V2714" s="94">
        <v>44602.491666666669</v>
      </c>
      <c r="W2714" s="93" t="s">
        <v>120</v>
      </c>
      <c r="X2714" s="93" t="s">
        <v>24</v>
      </c>
    </row>
    <row r="2715" spans="1:24" hidden="1" x14ac:dyDescent="0.15">
      <c r="A2715" s="93" t="s">
        <v>1148</v>
      </c>
      <c r="B2715" s="93" t="s">
        <v>8021</v>
      </c>
      <c r="C2715" s="410">
        <v>8</v>
      </c>
      <c r="D2715" s="93" t="s">
        <v>24</v>
      </c>
      <c r="E2715" s="93" t="s">
        <v>24</v>
      </c>
      <c r="F2715" s="93" t="s">
        <v>4125</v>
      </c>
      <c r="G2715" s="93" t="s">
        <v>8022</v>
      </c>
      <c r="H2715" s="93" t="s">
        <v>118</v>
      </c>
      <c r="I2715" s="93" t="s">
        <v>111</v>
      </c>
      <c r="J2715" s="93" t="s">
        <v>118</v>
      </c>
      <c r="K2715" s="93">
        <v>3</v>
      </c>
      <c r="L2715" s="93" t="s">
        <v>111</v>
      </c>
      <c r="M2715" s="93" t="s">
        <v>111</v>
      </c>
      <c r="N2715" s="93" t="s">
        <v>111</v>
      </c>
      <c r="O2715" s="93" t="s">
        <v>111</v>
      </c>
      <c r="P2715" s="93" t="s">
        <v>111</v>
      </c>
      <c r="Q2715" s="93" t="s">
        <v>111</v>
      </c>
      <c r="R2715" s="93" t="s">
        <v>228</v>
      </c>
      <c r="S2715" s="93" t="s">
        <v>2</v>
      </c>
      <c r="T2715" s="93" t="s">
        <v>115</v>
      </c>
      <c r="U2715" s="93" t="s">
        <v>116</v>
      </c>
      <c r="V2715" s="94">
        <v>44610.173611111109</v>
      </c>
      <c r="W2715" s="93" t="s">
        <v>120</v>
      </c>
      <c r="X2715" s="93" t="s">
        <v>24</v>
      </c>
    </row>
    <row r="2716" spans="1:24" hidden="1" x14ac:dyDescent="0.15">
      <c r="A2716" s="93" t="s">
        <v>9360</v>
      </c>
      <c r="B2716" s="93" t="s">
        <v>9361</v>
      </c>
      <c r="C2716" s="410">
        <v>48</v>
      </c>
      <c r="D2716" s="93" t="s">
        <v>24</v>
      </c>
      <c r="E2716" s="93" t="s">
        <v>24</v>
      </c>
      <c r="F2716" s="93" t="s">
        <v>4125</v>
      </c>
      <c r="G2716" s="93" t="s">
        <v>8022</v>
      </c>
      <c r="H2716" s="93" t="s">
        <v>118</v>
      </c>
      <c r="I2716" s="93" t="s">
        <v>111</v>
      </c>
      <c r="J2716" s="93" t="s">
        <v>118</v>
      </c>
      <c r="K2716" s="93">
        <v>3</v>
      </c>
      <c r="L2716" s="93" t="s">
        <v>111</v>
      </c>
      <c r="M2716" s="93" t="s">
        <v>111</v>
      </c>
      <c r="N2716" s="93" t="s">
        <v>111</v>
      </c>
      <c r="O2716" s="93" t="s">
        <v>111</v>
      </c>
      <c r="P2716" s="93" t="s">
        <v>111</v>
      </c>
      <c r="Q2716" s="93" t="s">
        <v>111</v>
      </c>
      <c r="R2716" s="93" t="s">
        <v>228</v>
      </c>
      <c r="S2716" s="93" t="s">
        <v>2</v>
      </c>
      <c r="T2716" s="93" t="s">
        <v>115</v>
      </c>
      <c r="U2716" s="93" t="s">
        <v>116</v>
      </c>
      <c r="V2716" s="94">
        <v>44596.695138888892</v>
      </c>
      <c r="W2716" s="93" t="s">
        <v>1170</v>
      </c>
      <c r="X2716" s="93" t="s">
        <v>24</v>
      </c>
    </row>
    <row r="2717" spans="1:24" hidden="1" x14ac:dyDescent="0.15">
      <c r="A2717" s="93" t="s">
        <v>1149</v>
      </c>
      <c r="B2717" s="93" t="s">
        <v>8023</v>
      </c>
      <c r="C2717" s="410">
        <v>16</v>
      </c>
      <c r="D2717" s="93" t="s">
        <v>24</v>
      </c>
      <c r="E2717" s="93" t="s">
        <v>24</v>
      </c>
      <c r="F2717" s="93" t="s">
        <v>4125</v>
      </c>
      <c r="G2717" s="93" t="s">
        <v>8022</v>
      </c>
      <c r="H2717" s="93" t="s">
        <v>118</v>
      </c>
      <c r="I2717" s="93" t="s">
        <v>111</v>
      </c>
      <c r="J2717" s="93" t="s">
        <v>118</v>
      </c>
      <c r="K2717" s="93">
        <v>3</v>
      </c>
      <c r="L2717" s="93" t="s">
        <v>111</v>
      </c>
      <c r="M2717" s="93" t="s">
        <v>111</v>
      </c>
      <c r="N2717" s="93" t="s">
        <v>111</v>
      </c>
      <c r="O2717" s="93" t="s">
        <v>111</v>
      </c>
      <c r="P2717" s="93" t="s">
        <v>111</v>
      </c>
      <c r="Q2717" s="93" t="s">
        <v>111</v>
      </c>
      <c r="R2717" s="93" t="s">
        <v>228</v>
      </c>
      <c r="S2717" s="93" t="s">
        <v>2</v>
      </c>
      <c r="T2717" s="93" t="s">
        <v>115</v>
      </c>
      <c r="U2717" s="93" t="s">
        <v>116</v>
      </c>
      <c r="V2717" s="94">
        <v>44610.211805555555</v>
      </c>
      <c r="W2717" s="93" t="s">
        <v>120</v>
      </c>
      <c r="X2717" s="93" t="s">
        <v>24</v>
      </c>
    </row>
    <row r="2718" spans="1:24" hidden="1" x14ac:dyDescent="0.15">
      <c r="A2718" s="93" t="s">
        <v>1150</v>
      </c>
      <c r="B2718" s="93" t="s">
        <v>8024</v>
      </c>
      <c r="C2718" s="410">
        <v>24</v>
      </c>
      <c r="D2718" s="93" t="s">
        <v>24</v>
      </c>
      <c r="E2718" s="93" t="s">
        <v>24</v>
      </c>
      <c r="F2718" s="93" t="s">
        <v>4125</v>
      </c>
      <c r="G2718" s="93" t="s">
        <v>8022</v>
      </c>
      <c r="H2718" s="93" t="s">
        <v>118</v>
      </c>
      <c r="I2718" s="93" t="s">
        <v>111</v>
      </c>
      <c r="J2718" s="93" t="s">
        <v>118</v>
      </c>
      <c r="K2718" s="93">
        <v>3</v>
      </c>
      <c r="L2718" s="93" t="s">
        <v>111</v>
      </c>
      <c r="M2718" s="93" t="s">
        <v>111</v>
      </c>
      <c r="N2718" s="93" t="s">
        <v>111</v>
      </c>
      <c r="O2718" s="93" t="s">
        <v>111</v>
      </c>
      <c r="P2718" s="93" t="s">
        <v>111</v>
      </c>
      <c r="Q2718" s="93" t="s">
        <v>111</v>
      </c>
      <c r="R2718" s="93" t="s">
        <v>228</v>
      </c>
      <c r="S2718" s="93" t="s">
        <v>2</v>
      </c>
      <c r="T2718" s="93" t="s">
        <v>115</v>
      </c>
      <c r="U2718" s="93" t="s">
        <v>116</v>
      </c>
      <c r="V2718" s="94">
        <v>44610.14166666667</v>
      </c>
      <c r="W2718" s="93" t="s">
        <v>120</v>
      </c>
      <c r="X2718" s="93" t="s">
        <v>24</v>
      </c>
    </row>
    <row r="2719" spans="1:24" hidden="1" x14ac:dyDescent="0.15">
      <c r="A2719" s="93" t="s">
        <v>9362</v>
      </c>
      <c r="B2719" s="93" t="s">
        <v>9363</v>
      </c>
      <c r="C2719" s="410">
        <v>0.65</v>
      </c>
      <c r="D2719" s="93" t="s">
        <v>24</v>
      </c>
      <c r="E2719" s="93" t="s">
        <v>24</v>
      </c>
      <c r="F2719" s="93" t="s">
        <v>4125</v>
      </c>
      <c r="G2719" s="93" t="s">
        <v>8004</v>
      </c>
      <c r="H2719" s="93" t="s">
        <v>118</v>
      </c>
      <c r="I2719" s="93" t="s">
        <v>111</v>
      </c>
      <c r="J2719" s="93" t="s">
        <v>118</v>
      </c>
      <c r="K2719" s="93">
        <v>3</v>
      </c>
      <c r="L2719" s="93" t="s">
        <v>111</v>
      </c>
      <c r="M2719" s="93" t="s">
        <v>111</v>
      </c>
      <c r="N2719" s="93" t="s">
        <v>111</v>
      </c>
      <c r="O2719" s="93" t="s">
        <v>111</v>
      </c>
      <c r="P2719" s="93" t="s">
        <v>111</v>
      </c>
      <c r="Q2719" s="93" t="s">
        <v>111</v>
      </c>
      <c r="R2719" s="93" t="s">
        <v>228</v>
      </c>
      <c r="S2719" s="93" t="s">
        <v>2</v>
      </c>
      <c r="T2719" s="93" t="s">
        <v>115</v>
      </c>
      <c r="U2719" s="93" t="s">
        <v>116</v>
      </c>
      <c r="V2719" s="94">
        <v>44602.491666666669</v>
      </c>
      <c r="W2719" s="93" t="s">
        <v>1207</v>
      </c>
      <c r="X2719" s="93" t="s">
        <v>24</v>
      </c>
    </row>
    <row r="2720" spans="1:24" hidden="1" x14ac:dyDescent="0.15">
      <c r="A2720" s="93" t="s">
        <v>1151</v>
      </c>
      <c r="B2720" s="93" t="s">
        <v>8025</v>
      </c>
      <c r="C2720" s="410">
        <v>30</v>
      </c>
      <c r="D2720" s="93" t="s">
        <v>24</v>
      </c>
      <c r="E2720" s="93" t="s">
        <v>24</v>
      </c>
      <c r="F2720" s="93" t="s">
        <v>4125</v>
      </c>
      <c r="G2720" s="93" t="s">
        <v>8022</v>
      </c>
      <c r="H2720" s="93" t="s">
        <v>118</v>
      </c>
      <c r="I2720" s="93" t="s">
        <v>111</v>
      </c>
      <c r="J2720" s="93" t="s">
        <v>118</v>
      </c>
      <c r="K2720" s="93">
        <v>3</v>
      </c>
      <c r="L2720" s="93" t="s">
        <v>111</v>
      </c>
      <c r="M2720" s="93" t="s">
        <v>111</v>
      </c>
      <c r="N2720" s="93" t="s">
        <v>111</v>
      </c>
      <c r="O2720" s="93" t="s">
        <v>111</v>
      </c>
      <c r="P2720" s="93" t="s">
        <v>111</v>
      </c>
      <c r="Q2720" s="93" t="s">
        <v>111</v>
      </c>
      <c r="R2720" s="93" t="s">
        <v>228</v>
      </c>
      <c r="S2720" s="93" t="s">
        <v>2</v>
      </c>
      <c r="T2720" s="93" t="s">
        <v>115</v>
      </c>
      <c r="U2720" s="93" t="s">
        <v>116</v>
      </c>
      <c r="V2720" s="94">
        <v>44610.188888888886</v>
      </c>
      <c r="W2720" s="93" t="s">
        <v>120</v>
      </c>
      <c r="X2720" s="93" t="s">
        <v>24</v>
      </c>
    </row>
    <row r="2721" spans="1:24" hidden="1" x14ac:dyDescent="0.15">
      <c r="A2721" s="93" t="s">
        <v>9364</v>
      </c>
      <c r="B2721" s="93" t="s">
        <v>9365</v>
      </c>
      <c r="C2721" s="410">
        <v>180</v>
      </c>
      <c r="D2721" s="93" t="s">
        <v>24</v>
      </c>
      <c r="E2721" s="93" t="s">
        <v>24</v>
      </c>
      <c r="F2721" s="93" t="s">
        <v>4125</v>
      </c>
      <c r="G2721" s="93" t="s">
        <v>8022</v>
      </c>
      <c r="H2721" s="93" t="s">
        <v>118</v>
      </c>
      <c r="I2721" s="93" t="s">
        <v>111</v>
      </c>
      <c r="J2721" s="93" t="s">
        <v>118</v>
      </c>
      <c r="K2721" s="93">
        <v>3</v>
      </c>
      <c r="L2721" s="93" t="s">
        <v>111</v>
      </c>
      <c r="M2721" s="93" t="s">
        <v>111</v>
      </c>
      <c r="N2721" s="93" t="s">
        <v>111</v>
      </c>
      <c r="O2721" s="93" t="s">
        <v>111</v>
      </c>
      <c r="P2721" s="93" t="s">
        <v>111</v>
      </c>
      <c r="Q2721" s="93" t="s">
        <v>111</v>
      </c>
      <c r="R2721" s="93" t="s">
        <v>228</v>
      </c>
      <c r="S2721" s="93" t="s">
        <v>2</v>
      </c>
      <c r="T2721" s="93" t="s">
        <v>115</v>
      </c>
      <c r="U2721" s="93" t="s">
        <v>116</v>
      </c>
      <c r="V2721" s="94">
        <v>44610.148611111108</v>
      </c>
      <c r="W2721" s="93" t="s">
        <v>1170</v>
      </c>
      <c r="X2721" s="93" t="s">
        <v>24</v>
      </c>
    </row>
    <row r="2722" spans="1:24" hidden="1" x14ac:dyDescent="0.15">
      <c r="A2722" s="93" t="s">
        <v>1152</v>
      </c>
      <c r="B2722" s="93" t="s">
        <v>8026</v>
      </c>
      <c r="C2722" s="410">
        <v>60</v>
      </c>
      <c r="D2722" s="93" t="s">
        <v>24</v>
      </c>
      <c r="E2722" s="93" t="s">
        <v>24</v>
      </c>
      <c r="F2722" s="93" t="s">
        <v>4125</v>
      </c>
      <c r="G2722" s="93" t="s">
        <v>8022</v>
      </c>
      <c r="H2722" s="93" t="s">
        <v>118</v>
      </c>
      <c r="I2722" s="93" t="s">
        <v>111</v>
      </c>
      <c r="J2722" s="93" t="s">
        <v>118</v>
      </c>
      <c r="K2722" s="93">
        <v>3</v>
      </c>
      <c r="L2722" s="93" t="s">
        <v>111</v>
      </c>
      <c r="M2722" s="93" t="s">
        <v>111</v>
      </c>
      <c r="N2722" s="93" t="s">
        <v>111</v>
      </c>
      <c r="O2722" s="93" t="s">
        <v>111</v>
      </c>
      <c r="P2722" s="93" t="s">
        <v>111</v>
      </c>
      <c r="Q2722" s="93" t="s">
        <v>111</v>
      </c>
      <c r="R2722" s="93" t="s">
        <v>228</v>
      </c>
      <c r="S2722" s="93" t="s">
        <v>2</v>
      </c>
      <c r="T2722" s="93" t="s">
        <v>115</v>
      </c>
      <c r="U2722" s="93" t="s">
        <v>116</v>
      </c>
      <c r="V2722" s="94">
        <v>44610.165972222225</v>
      </c>
      <c r="W2722" s="93" t="s">
        <v>120</v>
      </c>
      <c r="X2722" s="93" t="s">
        <v>24</v>
      </c>
    </row>
    <row r="2723" spans="1:24" hidden="1" x14ac:dyDescent="0.15">
      <c r="A2723" s="93" t="s">
        <v>1153</v>
      </c>
      <c r="B2723" s="93" t="s">
        <v>8027</v>
      </c>
      <c r="C2723" s="410">
        <v>90</v>
      </c>
      <c r="D2723" s="93" t="s">
        <v>24</v>
      </c>
      <c r="E2723" s="93" t="s">
        <v>24</v>
      </c>
      <c r="F2723" s="93" t="s">
        <v>4125</v>
      </c>
      <c r="G2723" s="93" t="s">
        <v>8022</v>
      </c>
      <c r="H2723" s="93" t="s">
        <v>118</v>
      </c>
      <c r="I2723" s="93" t="s">
        <v>111</v>
      </c>
      <c r="J2723" s="93" t="s">
        <v>118</v>
      </c>
      <c r="K2723" s="93">
        <v>3</v>
      </c>
      <c r="L2723" s="93" t="s">
        <v>111</v>
      </c>
      <c r="M2723" s="93" t="s">
        <v>111</v>
      </c>
      <c r="N2723" s="93" t="s">
        <v>111</v>
      </c>
      <c r="O2723" s="93" t="s">
        <v>111</v>
      </c>
      <c r="P2723" s="93" t="s">
        <v>111</v>
      </c>
      <c r="Q2723" s="93" t="s">
        <v>111</v>
      </c>
      <c r="R2723" s="93" t="s">
        <v>228</v>
      </c>
      <c r="S2723" s="93" t="s">
        <v>2</v>
      </c>
      <c r="T2723" s="93" t="s">
        <v>115</v>
      </c>
      <c r="U2723" s="93" t="s">
        <v>116</v>
      </c>
      <c r="V2723" s="94">
        <v>44610.173611111109</v>
      </c>
      <c r="W2723" s="93" t="s">
        <v>120</v>
      </c>
      <c r="X2723" s="93" t="s">
        <v>24</v>
      </c>
    </row>
    <row r="2724" spans="1:24" hidden="1" x14ac:dyDescent="0.15">
      <c r="A2724" s="93" t="s">
        <v>661</v>
      </c>
      <c r="B2724" s="93" t="s">
        <v>8028</v>
      </c>
      <c r="C2724" s="410">
        <v>50</v>
      </c>
      <c r="D2724" s="93" t="s">
        <v>24</v>
      </c>
      <c r="E2724" s="93" t="s">
        <v>9</v>
      </c>
      <c r="F2724" s="93" t="s">
        <v>4128</v>
      </c>
      <c r="G2724" s="93" t="s">
        <v>8004</v>
      </c>
      <c r="H2724" s="93" t="s">
        <v>118</v>
      </c>
      <c r="I2724" s="93" t="s">
        <v>111</v>
      </c>
      <c r="J2724" s="93" t="s">
        <v>118</v>
      </c>
      <c r="K2724" s="93">
        <v>3</v>
      </c>
      <c r="L2724" s="93" t="s">
        <v>111</v>
      </c>
      <c r="M2724" s="93" t="s">
        <v>111</v>
      </c>
      <c r="N2724" s="93" t="s">
        <v>111</v>
      </c>
      <c r="O2724" s="93" t="s">
        <v>111</v>
      </c>
      <c r="P2724" s="93" t="s">
        <v>111</v>
      </c>
      <c r="Q2724" s="93" t="s">
        <v>111</v>
      </c>
      <c r="R2724" s="93" t="s">
        <v>228</v>
      </c>
      <c r="S2724" s="93" t="s">
        <v>2</v>
      </c>
      <c r="T2724" s="93" t="s">
        <v>115</v>
      </c>
      <c r="U2724" s="93" t="s">
        <v>116</v>
      </c>
      <c r="V2724" s="94">
        <v>44588.352777777778</v>
      </c>
      <c r="W2724" s="93" t="s">
        <v>120</v>
      </c>
      <c r="X2724" s="93" t="s">
        <v>24</v>
      </c>
    </row>
    <row r="2725" spans="1:24" hidden="1" x14ac:dyDescent="0.15">
      <c r="A2725" s="93" t="s">
        <v>8029</v>
      </c>
      <c r="B2725" s="93" t="s">
        <v>8030</v>
      </c>
      <c r="C2725" s="410">
        <v>300</v>
      </c>
      <c r="D2725" s="93" t="s">
        <v>24</v>
      </c>
      <c r="E2725" s="93" t="s">
        <v>9</v>
      </c>
      <c r="F2725" s="93" t="s">
        <v>4128</v>
      </c>
      <c r="G2725" s="93" t="s">
        <v>8004</v>
      </c>
      <c r="H2725" s="93" t="s">
        <v>118</v>
      </c>
      <c r="I2725" s="93" t="s">
        <v>111</v>
      </c>
      <c r="J2725" s="93" t="s">
        <v>118</v>
      </c>
      <c r="K2725" s="93">
        <v>3</v>
      </c>
      <c r="L2725" s="93" t="s">
        <v>111</v>
      </c>
      <c r="M2725" s="93" t="s">
        <v>111</v>
      </c>
      <c r="N2725" s="93" t="s">
        <v>111</v>
      </c>
      <c r="O2725" s="93" t="s">
        <v>111</v>
      </c>
      <c r="P2725" s="93" t="s">
        <v>111</v>
      </c>
      <c r="Q2725" s="93" t="s">
        <v>111</v>
      </c>
      <c r="R2725" s="93" t="s">
        <v>228</v>
      </c>
      <c r="S2725" s="93" t="s">
        <v>2</v>
      </c>
      <c r="T2725" s="93" t="s">
        <v>115</v>
      </c>
      <c r="U2725" s="93" t="s">
        <v>116</v>
      </c>
      <c r="V2725" s="94">
        <v>44596.650694444441</v>
      </c>
      <c r="W2725" s="93" t="s">
        <v>120</v>
      </c>
      <c r="X2725" s="93" t="s">
        <v>24</v>
      </c>
    </row>
    <row r="2726" spans="1:24" hidden="1" x14ac:dyDescent="0.15">
      <c r="A2726" s="93" t="s">
        <v>662</v>
      </c>
      <c r="B2726" s="93" t="s">
        <v>8031</v>
      </c>
      <c r="C2726" s="410">
        <v>100</v>
      </c>
      <c r="D2726" s="93" t="s">
        <v>24</v>
      </c>
      <c r="E2726" s="93" t="s">
        <v>9</v>
      </c>
      <c r="F2726" s="93" t="s">
        <v>4128</v>
      </c>
      <c r="G2726" s="93" t="s">
        <v>8004</v>
      </c>
      <c r="H2726" s="93" t="s">
        <v>118</v>
      </c>
      <c r="I2726" s="93" t="s">
        <v>111</v>
      </c>
      <c r="J2726" s="93" t="s">
        <v>118</v>
      </c>
      <c r="K2726" s="93">
        <v>3</v>
      </c>
      <c r="L2726" s="93" t="s">
        <v>111</v>
      </c>
      <c r="M2726" s="93" t="s">
        <v>111</v>
      </c>
      <c r="N2726" s="93" t="s">
        <v>111</v>
      </c>
      <c r="O2726" s="93" t="s">
        <v>111</v>
      </c>
      <c r="P2726" s="93" t="s">
        <v>111</v>
      </c>
      <c r="Q2726" s="93" t="s">
        <v>111</v>
      </c>
      <c r="R2726" s="93" t="s">
        <v>228</v>
      </c>
      <c r="S2726" s="93" t="s">
        <v>2</v>
      </c>
      <c r="T2726" s="93" t="s">
        <v>115</v>
      </c>
      <c r="U2726" s="93" t="s">
        <v>116</v>
      </c>
      <c r="V2726" s="94">
        <v>44602.491666666669</v>
      </c>
      <c r="W2726" s="93" t="s">
        <v>120</v>
      </c>
      <c r="X2726" s="93" t="s">
        <v>24</v>
      </c>
    </row>
    <row r="2727" spans="1:24" hidden="1" x14ac:dyDescent="0.15">
      <c r="A2727" s="93" t="s">
        <v>663</v>
      </c>
      <c r="B2727" s="93" t="s">
        <v>8032</v>
      </c>
      <c r="C2727" s="410">
        <v>150</v>
      </c>
      <c r="D2727" s="93" t="s">
        <v>24</v>
      </c>
      <c r="E2727" s="93" t="s">
        <v>9</v>
      </c>
      <c r="F2727" s="93" t="s">
        <v>4128</v>
      </c>
      <c r="G2727" s="93" t="s">
        <v>8004</v>
      </c>
      <c r="H2727" s="93" t="s">
        <v>118</v>
      </c>
      <c r="I2727" s="93" t="s">
        <v>111</v>
      </c>
      <c r="J2727" s="93" t="s">
        <v>118</v>
      </c>
      <c r="K2727" s="93">
        <v>3</v>
      </c>
      <c r="L2727" s="93" t="s">
        <v>111</v>
      </c>
      <c r="M2727" s="93" t="s">
        <v>111</v>
      </c>
      <c r="N2727" s="93" t="s">
        <v>111</v>
      </c>
      <c r="O2727" s="93" t="s">
        <v>111</v>
      </c>
      <c r="P2727" s="93" t="s">
        <v>111</v>
      </c>
      <c r="Q2727" s="93" t="s">
        <v>111</v>
      </c>
      <c r="R2727" s="93" t="s">
        <v>228</v>
      </c>
      <c r="S2727" s="93" t="s">
        <v>2</v>
      </c>
      <c r="T2727" s="93" t="s">
        <v>115</v>
      </c>
      <c r="U2727" s="93" t="s">
        <v>116</v>
      </c>
      <c r="V2727" s="94">
        <v>44588.353472222225</v>
      </c>
      <c r="W2727" s="93" t="s">
        <v>120</v>
      </c>
      <c r="X2727" s="93" t="s">
        <v>24</v>
      </c>
    </row>
    <row r="2728" spans="1:24" hidden="1" x14ac:dyDescent="0.15">
      <c r="A2728" s="93" t="s">
        <v>1154</v>
      </c>
      <c r="B2728" s="93" t="s">
        <v>8033</v>
      </c>
      <c r="C2728" s="410">
        <v>15</v>
      </c>
      <c r="D2728" s="93" t="s">
        <v>24</v>
      </c>
      <c r="E2728" s="93" t="s">
        <v>24</v>
      </c>
      <c r="F2728" s="93" t="s">
        <v>4125</v>
      </c>
      <c r="G2728" s="93" t="s">
        <v>8022</v>
      </c>
      <c r="H2728" s="93" t="s">
        <v>118</v>
      </c>
      <c r="I2728" s="93" t="s">
        <v>111</v>
      </c>
      <c r="J2728" s="93" t="s">
        <v>118</v>
      </c>
      <c r="K2728" s="93">
        <v>3</v>
      </c>
      <c r="L2728" s="93" t="s">
        <v>111</v>
      </c>
      <c r="M2728" s="93" t="s">
        <v>111</v>
      </c>
      <c r="N2728" s="93" t="s">
        <v>111</v>
      </c>
      <c r="O2728" s="93" t="s">
        <v>111</v>
      </c>
      <c r="P2728" s="93" t="s">
        <v>111</v>
      </c>
      <c r="Q2728" s="93" t="s">
        <v>111</v>
      </c>
      <c r="R2728" s="93" t="s">
        <v>228</v>
      </c>
      <c r="S2728" s="93" t="s">
        <v>2</v>
      </c>
      <c r="T2728" s="93" t="s">
        <v>115</v>
      </c>
      <c r="U2728" s="93" t="s">
        <v>116</v>
      </c>
      <c r="V2728" s="94">
        <v>44596.64166666667</v>
      </c>
      <c r="W2728" s="93" t="s">
        <v>402</v>
      </c>
      <c r="X2728" s="93" t="s">
        <v>24</v>
      </c>
    </row>
    <row r="2729" spans="1:24" hidden="1" x14ac:dyDescent="0.15">
      <c r="A2729" s="93" t="s">
        <v>8034</v>
      </c>
      <c r="B2729" s="93" t="s">
        <v>8035</v>
      </c>
      <c r="C2729" s="410">
        <v>90</v>
      </c>
      <c r="D2729" s="93" t="s">
        <v>24</v>
      </c>
      <c r="E2729" s="93" t="s">
        <v>24</v>
      </c>
      <c r="F2729" s="93" t="s">
        <v>4125</v>
      </c>
      <c r="G2729" s="93" t="s">
        <v>8022</v>
      </c>
      <c r="H2729" s="93" t="s">
        <v>118</v>
      </c>
      <c r="I2729" s="93" t="s">
        <v>111</v>
      </c>
      <c r="J2729" s="93" t="s">
        <v>118</v>
      </c>
      <c r="K2729" s="93">
        <v>3</v>
      </c>
      <c r="L2729" s="93" t="s">
        <v>111</v>
      </c>
      <c r="M2729" s="93" t="s">
        <v>111</v>
      </c>
      <c r="N2729" s="93" t="s">
        <v>111</v>
      </c>
      <c r="O2729" s="93" t="s">
        <v>111</v>
      </c>
      <c r="P2729" s="93" t="s">
        <v>111</v>
      </c>
      <c r="Q2729" s="93" t="s">
        <v>111</v>
      </c>
      <c r="R2729" s="93" t="s">
        <v>228</v>
      </c>
      <c r="S2729" s="93" t="s">
        <v>2</v>
      </c>
      <c r="T2729" s="93" t="s">
        <v>115</v>
      </c>
      <c r="U2729" s="93" t="s">
        <v>116</v>
      </c>
      <c r="V2729" s="94">
        <v>44600.142361111109</v>
      </c>
      <c r="W2729" s="93" t="s">
        <v>402</v>
      </c>
      <c r="X2729" s="93" t="s">
        <v>24</v>
      </c>
    </row>
    <row r="2730" spans="1:24" hidden="1" x14ac:dyDescent="0.15">
      <c r="A2730" s="93" t="s">
        <v>1155</v>
      </c>
      <c r="B2730" s="93" t="s">
        <v>8036</v>
      </c>
      <c r="C2730" s="410">
        <v>30</v>
      </c>
      <c r="D2730" s="93" t="s">
        <v>24</v>
      </c>
      <c r="E2730" s="93" t="s">
        <v>24</v>
      </c>
      <c r="F2730" s="93" t="s">
        <v>4125</v>
      </c>
      <c r="G2730" s="93" t="s">
        <v>8022</v>
      </c>
      <c r="H2730" s="93" t="s">
        <v>118</v>
      </c>
      <c r="I2730" s="93" t="s">
        <v>111</v>
      </c>
      <c r="J2730" s="93" t="s">
        <v>118</v>
      </c>
      <c r="K2730" s="93">
        <v>3</v>
      </c>
      <c r="L2730" s="93" t="s">
        <v>111</v>
      </c>
      <c r="M2730" s="93" t="s">
        <v>111</v>
      </c>
      <c r="N2730" s="93" t="s">
        <v>111</v>
      </c>
      <c r="O2730" s="93" t="s">
        <v>111</v>
      </c>
      <c r="P2730" s="93" t="s">
        <v>111</v>
      </c>
      <c r="Q2730" s="93" t="s">
        <v>111</v>
      </c>
      <c r="R2730" s="93" t="s">
        <v>228</v>
      </c>
      <c r="S2730" s="93" t="s">
        <v>2</v>
      </c>
      <c r="T2730" s="93" t="s">
        <v>115</v>
      </c>
      <c r="U2730" s="93" t="s">
        <v>116</v>
      </c>
      <c r="V2730" s="94">
        <v>44596.663888888892</v>
      </c>
      <c r="W2730" s="93" t="s">
        <v>402</v>
      </c>
      <c r="X2730" s="93" t="s">
        <v>24</v>
      </c>
    </row>
    <row r="2731" spans="1:24" hidden="1" x14ac:dyDescent="0.15">
      <c r="A2731" s="93" t="s">
        <v>1156</v>
      </c>
      <c r="B2731" s="93" t="s">
        <v>8037</v>
      </c>
      <c r="C2731" s="410">
        <v>45</v>
      </c>
      <c r="D2731" s="93" t="s">
        <v>24</v>
      </c>
      <c r="E2731" s="93" t="s">
        <v>24</v>
      </c>
      <c r="F2731" s="93" t="s">
        <v>4125</v>
      </c>
      <c r="G2731" s="93" t="s">
        <v>8022</v>
      </c>
      <c r="H2731" s="93" t="s">
        <v>118</v>
      </c>
      <c r="I2731" s="93" t="s">
        <v>111</v>
      </c>
      <c r="J2731" s="93" t="s">
        <v>118</v>
      </c>
      <c r="K2731" s="93">
        <v>3</v>
      </c>
      <c r="L2731" s="93" t="s">
        <v>111</v>
      </c>
      <c r="M2731" s="93" t="s">
        <v>111</v>
      </c>
      <c r="N2731" s="93" t="s">
        <v>111</v>
      </c>
      <c r="O2731" s="93" t="s">
        <v>111</v>
      </c>
      <c r="P2731" s="93" t="s">
        <v>111</v>
      </c>
      <c r="Q2731" s="93" t="s">
        <v>111</v>
      </c>
      <c r="R2731" s="93" t="s">
        <v>228</v>
      </c>
      <c r="S2731" s="93" t="s">
        <v>2</v>
      </c>
      <c r="T2731" s="93" t="s">
        <v>115</v>
      </c>
      <c r="U2731" s="93" t="s">
        <v>116</v>
      </c>
      <c r="V2731" s="94">
        <v>44596.697916666664</v>
      </c>
      <c r="W2731" s="93" t="s">
        <v>402</v>
      </c>
      <c r="X2731" s="93" t="s">
        <v>24</v>
      </c>
    </row>
    <row r="2732" spans="1:24" hidden="1" x14ac:dyDescent="0.15">
      <c r="A2732" s="93" t="s">
        <v>1157</v>
      </c>
      <c r="B2732" s="93" t="s">
        <v>8038</v>
      </c>
      <c r="C2732" s="410">
        <v>35</v>
      </c>
      <c r="D2732" s="93" t="s">
        <v>24</v>
      </c>
      <c r="E2732" s="93" t="s">
        <v>24</v>
      </c>
      <c r="F2732" s="93" t="s">
        <v>4125</v>
      </c>
      <c r="G2732" s="93" t="s">
        <v>8022</v>
      </c>
      <c r="H2732" s="93" t="s">
        <v>118</v>
      </c>
      <c r="I2732" s="93" t="s">
        <v>111</v>
      </c>
      <c r="J2732" s="93" t="s">
        <v>118</v>
      </c>
      <c r="K2732" s="93">
        <v>3</v>
      </c>
      <c r="L2732" s="93" t="s">
        <v>111</v>
      </c>
      <c r="M2732" s="93" t="s">
        <v>111</v>
      </c>
      <c r="N2732" s="93" t="s">
        <v>111</v>
      </c>
      <c r="O2732" s="93" t="s">
        <v>111</v>
      </c>
      <c r="P2732" s="93" t="s">
        <v>111</v>
      </c>
      <c r="Q2732" s="93" t="s">
        <v>111</v>
      </c>
      <c r="R2732" s="93" t="s">
        <v>228</v>
      </c>
      <c r="S2732" s="93" t="s">
        <v>2</v>
      </c>
      <c r="T2732" s="93" t="s">
        <v>115</v>
      </c>
      <c r="U2732" s="93" t="s">
        <v>116</v>
      </c>
      <c r="V2732" s="94">
        <v>44596.64166666667</v>
      </c>
      <c r="W2732" s="93" t="s">
        <v>402</v>
      </c>
      <c r="X2732" s="93" t="s">
        <v>24</v>
      </c>
    </row>
    <row r="2733" spans="1:24" hidden="1" x14ac:dyDescent="0.15">
      <c r="A2733" s="93" t="s">
        <v>8039</v>
      </c>
      <c r="B2733" s="93" t="s">
        <v>8040</v>
      </c>
      <c r="C2733" s="410">
        <v>210</v>
      </c>
      <c r="D2733" s="93" t="s">
        <v>24</v>
      </c>
      <c r="E2733" s="93" t="s">
        <v>24</v>
      </c>
      <c r="F2733" s="93" t="s">
        <v>4125</v>
      </c>
      <c r="G2733" s="93" t="s">
        <v>8022</v>
      </c>
      <c r="H2733" s="93" t="s">
        <v>118</v>
      </c>
      <c r="I2733" s="93" t="s">
        <v>111</v>
      </c>
      <c r="J2733" s="93" t="s">
        <v>118</v>
      </c>
      <c r="K2733" s="93">
        <v>3</v>
      </c>
      <c r="L2733" s="93" t="s">
        <v>111</v>
      </c>
      <c r="M2733" s="93" t="s">
        <v>111</v>
      </c>
      <c r="N2733" s="93" t="s">
        <v>111</v>
      </c>
      <c r="O2733" s="93" t="s">
        <v>111</v>
      </c>
      <c r="P2733" s="93" t="s">
        <v>111</v>
      </c>
      <c r="Q2733" s="93" t="s">
        <v>111</v>
      </c>
      <c r="R2733" s="93" t="s">
        <v>228</v>
      </c>
      <c r="S2733" s="93" t="s">
        <v>2</v>
      </c>
      <c r="T2733" s="93" t="s">
        <v>115</v>
      </c>
      <c r="U2733" s="93" t="s">
        <v>116</v>
      </c>
      <c r="V2733" s="94">
        <v>44600.142361111109</v>
      </c>
      <c r="W2733" s="93" t="s">
        <v>402</v>
      </c>
      <c r="X2733" s="93" t="s">
        <v>24</v>
      </c>
    </row>
    <row r="2734" spans="1:24" hidden="1" x14ac:dyDescent="0.15">
      <c r="A2734" s="93" t="s">
        <v>1158</v>
      </c>
      <c r="B2734" s="93" t="s">
        <v>8041</v>
      </c>
      <c r="C2734" s="410">
        <v>70</v>
      </c>
      <c r="D2734" s="93" t="s">
        <v>24</v>
      </c>
      <c r="E2734" s="93" t="s">
        <v>24</v>
      </c>
      <c r="F2734" s="93" t="s">
        <v>4125</v>
      </c>
      <c r="G2734" s="93" t="s">
        <v>8022</v>
      </c>
      <c r="H2734" s="93" t="s">
        <v>118</v>
      </c>
      <c r="I2734" s="93" t="s">
        <v>111</v>
      </c>
      <c r="J2734" s="93" t="s">
        <v>118</v>
      </c>
      <c r="K2734" s="93">
        <v>3</v>
      </c>
      <c r="L2734" s="93" t="s">
        <v>111</v>
      </c>
      <c r="M2734" s="93" t="s">
        <v>111</v>
      </c>
      <c r="N2734" s="93" t="s">
        <v>111</v>
      </c>
      <c r="O2734" s="93" t="s">
        <v>111</v>
      </c>
      <c r="P2734" s="93" t="s">
        <v>111</v>
      </c>
      <c r="Q2734" s="93" t="s">
        <v>111</v>
      </c>
      <c r="R2734" s="93" t="s">
        <v>228</v>
      </c>
      <c r="S2734" s="93" t="s">
        <v>2</v>
      </c>
      <c r="T2734" s="93" t="s">
        <v>115</v>
      </c>
      <c r="U2734" s="93" t="s">
        <v>116</v>
      </c>
      <c r="V2734" s="94">
        <v>44596.694444444445</v>
      </c>
      <c r="W2734" s="93" t="s">
        <v>402</v>
      </c>
      <c r="X2734" s="93" t="s">
        <v>24</v>
      </c>
    </row>
    <row r="2735" spans="1:24" hidden="1" x14ac:dyDescent="0.15">
      <c r="A2735" s="93" t="s">
        <v>1159</v>
      </c>
      <c r="B2735" s="93" t="s">
        <v>8042</v>
      </c>
      <c r="C2735" s="410">
        <v>105</v>
      </c>
      <c r="D2735" s="93" t="s">
        <v>24</v>
      </c>
      <c r="E2735" s="93" t="s">
        <v>24</v>
      </c>
      <c r="F2735" s="93" t="s">
        <v>4125</v>
      </c>
      <c r="G2735" s="93" t="s">
        <v>8022</v>
      </c>
      <c r="H2735" s="93" t="s">
        <v>118</v>
      </c>
      <c r="I2735" s="93" t="s">
        <v>111</v>
      </c>
      <c r="J2735" s="93" t="s">
        <v>118</v>
      </c>
      <c r="K2735" s="93">
        <v>3</v>
      </c>
      <c r="L2735" s="93" t="s">
        <v>111</v>
      </c>
      <c r="M2735" s="93" t="s">
        <v>111</v>
      </c>
      <c r="N2735" s="93" t="s">
        <v>111</v>
      </c>
      <c r="O2735" s="93" t="s">
        <v>111</v>
      </c>
      <c r="P2735" s="93" t="s">
        <v>111</v>
      </c>
      <c r="Q2735" s="93" t="s">
        <v>111</v>
      </c>
      <c r="R2735" s="93" t="s">
        <v>228</v>
      </c>
      <c r="S2735" s="93" t="s">
        <v>2</v>
      </c>
      <c r="T2735" s="93" t="s">
        <v>115</v>
      </c>
      <c r="U2735" s="93" t="s">
        <v>116</v>
      </c>
      <c r="V2735" s="94">
        <v>44596.686111111114</v>
      </c>
      <c r="W2735" s="93" t="s">
        <v>402</v>
      </c>
      <c r="X2735" s="93" t="s">
        <v>24</v>
      </c>
    </row>
    <row r="2736" spans="1:24" hidden="1" x14ac:dyDescent="0.15">
      <c r="A2736" s="93" t="s">
        <v>8043</v>
      </c>
      <c r="B2736" s="93" t="s">
        <v>8044</v>
      </c>
      <c r="C2736" s="410">
        <v>20</v>
      </c>
      <c r="D2736" s="93" t="s">
        <v>24</v>
      </c>
      <c r="E2736" s="93" t="s">
        <v>24</v>
      </c>
      <c r="F2736" s="93" t="s">
        <v>4125</v>
      </c>
      <c r="G2736" s="93" t="s">
        <v>8004</v>
      </c>
      <c r="H2736" s="93" t="s">
        <v>118</v>
      </c>
      <c r="I2736" s="93" t="s">
        <v>111</v>
      </c>
      <c r="J2736" s="93" t="s">
        <v>118</v>
      </c>
      <c r="K2736" s="93">
        <v>3</v>
      </c>
      <c r="L2736" s="93" t="s">
        <v>111</v>
      </c>
      <c r="M2736" s="93" t="s">
        <v>111</v>
      </c>
      <c r="N2736" s="93" t="s">
        <v>111</v>
      </c>
      <c r="O2736" s="93" t="s">
        <v>111</v>
      </c>
      <c r="P2736" s="93" t="s">
        <v>111</v>
      </c>
      <c r="Q2736" s="93" t="s">
        <v>111</v>
      </c>
      <c r="R2736" s="93" t="s">
        <v>228</v>
      </c>
      <c r="S2736" s="93" t="s">
        <v>2</v>
      </c>
      <c r="T2736" s="93" t="s">
        <v>115</v>
      </c>
      <c r="U2736" s="93" t="s">
        <v>116</v>
      </c>
      <c r="V2736" s="94">
        <v>44628.636111111111</v>
      </c>
      <c r="W2736" s="93" t="s">
        <v>402</v>
      </c>
      <c r="X2736" s="93" t="s">
        <v>24</v>
      </c>
    </row>
    <row r="2737" spans="1:24" hidden="1" x14ac:dyDescent="0.15">
      <c r="A2737" s="93" t="s">
        <v>8045</v>
      </c>
      <c r="B2737" s="93" t="s">
        <v>8046</v>
      </c>
      <c r="C2737" s="410">
        <v>120</v>
      </c>
      <c r="D2737" s="93" t="s">
        <v>24</v>
      </c>
      <c r="E2737" s="93" t="s">
        <v>24</v>
      </c>
      <c r="F2737" s="93" t="s">
        <v>4125</v>
      </c>
      <c r="G2737" s="93" t="s">
        <v>8004</v>
      </c>
      <c r="H2737" s="93" t="s">
        <v>118</v>
      </c>
      <c r="I2737" s="93" t="s">
        <v>111</v>
      </c>
      <c r="J2737" s="93" t="s">
        <v>118</v>
      </c>
      <c r="K2737" s="93">
        <v>3</v>
      </c>
      <c r="L2737" s="93" t="s">
        <v>111</v>
      </c>
      <c r="M2737" s="93" t="s">
        <v>111</v>
      </c>
      <c r="N2737" s="93" t="s">
        <v>111</v>
      </c>
      <c r="O2737" s="93" t="s">
        <v>111</v>
      </c>
      <c r="P2737" s="93" t="s">
        <v>111</v>
      </c>
      <c r="Q2737" s="93" t="s">
        <v>111</v>
      </c>
      <c r="R2737" s="93" t="s">
        <v>228</v>
      </c>
      <c r="S2737" s="93" t="s">
        <v>2</v>
      </c>
      <c r="T2737" s="93" t="s">
        <v>115</v>
      </c>
      <c r="U2737" s="93" t="s">
        <v>116</v>
      </c>
      <c r="V2737" s="94">
        <v>44597.637499999997</v>
      </c>
      <c r="W2737" s="93" t="s">
        <v>402</v>
      </c>
      <c r="X2737" s="93" t="s">
        <v>24</v>
      </c>
    </row>
    <row r="2738" spans="1:24" hidden="1" x14ac:dyDescent="0.15">
      <c r="A2738" s="93" t="s">
        <v>8047</v>
      </c>
      <c r="B2738" s="93" t="s">
        <v>8048</v>
      </c>
      <c r="C2738" s="410">
        <v>60</v>
      </c>
      <c r="D2738" s="93" t="s">
        <v>24</v>
      </c>
      <c r="E2738" s="93" t="s">
        <v>24</v>
      </c>
      <c r="F2738" s="93" t="s">
        <v>4125</v>
      </c>
      <c r="G2738" s="93" t="s">
        <v>8004</v>
      </c>
      <c r="H2738" s="93" t="s">
        <v>118</v>
      </c>
      <c r="I2738" s="93" t="s">
        <v>111</v>
      </c>
      <c r="J2738" s="93" t="s">
        <v>118</v>
      </c>
      <c r="K2738" s="93">
        <v>3</v>
      </c>
      <c r="L2738" s="93" t="s">
        <v>111</v>
      </c>
      <c r="M2738" s="93" t="s">
        <v>111</v>
      </c>
      <c r="N2738" s="93" t="s">
        <v>111</v>
      </c>
      <c r="O2738" s="93" t="s">
        <v>111</v>
      </c>
      <c r="P2738" s="93" t="s">
        <v>111</v>
      </c>
      <c r="Q2738" s="93" t="s">
        <v>111</v>
      </c>
      <c r="R2738" s="93" t="s">
        <v>228</v>
      </c>
      <c r="S2738" s="93" t="s">
        <v>2</v>
      </c>
      <c r="T2738" s="93" t="s">
        <v>115</v>
      </c>
      <c r="U2738" s="93" t="s">
        <v>116</v>
      </c>
      <c r="V2738" s="94">
        <v>44597.636805555558</v>
      </c>
      <c r="W2738" s="93" t="s">
        <v>402</v>
      </c>
      <c r="X2738" s="93" t="s">
        <v>24</v>
      </c>
    </row>
    <row r="2739" spans="1:24" hidden="1" x14ac:dyDescent="0.15">
      <c r="A2739" s="93" t="s">
        <v>8049</v>
      </c>
      <c r="B2739" s="93" t="s">
        <v>8050</v>
      </c>
      <c r="C2739" s="410">
        <v>267</v>
      </c>
      <c r="D2739" s="93" t="s">
        <v>24</v>
      </c>
      <c r="E2739" s="93" t="s">
        <v>24</v>
      </c>
      <c r="F2739" s="93" t="s">
        <v>4125</v>
      </c>
      <c r="G2739" s="93" t="s">
        <v>8022</v>
      </c>
      <c r="H2739" s="93" t="s">
        <v>118</v>
      </c>
      <c r="I2739" s="93" t="s">
        <v>111</v>
      </c>
      <c r="J2739" s="93" t="s">
        <v>118</v>
      </c>
      <c r="K2739" s="93">
        <v>3</v>
      </c>
      <c r="L2739" s="93" t="s">
        <v>111</v>
      </c>
      <c r="M2739" s="93" t="s">
        <v>111</v>
      </c>
      <c r="N2739" s="93" t="s">
        <v>111</v>
      </c>
      <c r="O2739" s="93" t="s">
        <v>111</v>
      </c>
      <c r="P2739" s="93" t="s">
        <v>111</v>
      </c>
      <c r="Q2739" s="93" t="s">
        <v>111</v>
      </c>
      <c r="R2739" s="93" t="s">
        <v>228</v>
      </c>
      <c r="S2739" s="93" t="s">
        <v>2</v>
      </c>
      <c r="T2739" s="93" t="s">
        <v>115</v>
      </c>
      <c r="U2739" s="93" t="s">
        <v>116</v>
      </c>
      <c r="V2739" s="94">
        <v>44596.663888888892</v>
      </c>
      <c r="W2739" s="93" t="s">
        <v>402</v>
      </c>
      <c r="X2739" s="93" t="s">
        <v>24</v>
      </c>
    </row>
    <row r="2740" spans="1:24" hidden="1" x14ac:dyDescent="0.15">
      <c r="A2740" s="93" t="s">
        <v>8051</v>
      </c>
      <c r="B2740" s="93" t="s">
        <v>8052</v>
      </c>
      <c r="C2740" s="410">
        <v>1600</v>
      </c>
      <c r="D2740" s="93" t="s">
        <v>24</v>
      </c>
      <c r="E2740" s="93" t="s">
        <v>24</v>
      </c>
      <c r="F2740" s="93" t="s">
        <v>4125</v>
      </c>
      <c r="G2740" s="93" t="s">
        <v>8004</v>
      </c>
      <c r="H2740" s="93" t="s">
        <v>118</v>
      </c>
      <c r="I2740" s="93" t="s">
        <v>111</v>
      </c>
      <c r="J2740" s="93" t="s">
        <v>118</v>
      </c>
      <c r="K2740" s="93">
        <v>3</v>
      </c>
      <c r="L2740" s="93" t="s">
        <v>111</v>
      </c>
      <c r="M2740" s="93" t="s">
        <v>111</v>
      </c>
      <c r="N2740" s="93" t="s">
        <v>111</v>
      </c>
      <c r="O2740" s="93" t="s">
        <v>111</v>
      </c>
      <c r="P2740" s="93" t="s">
        <v>111</v>
      </c>
      <c r="Q2740" s="93" t="s">
        <v>111</v>
      </c>
      <c r="R2740" s="93" t="s">
        <v>228</v>
      </c>
      <c r="S2740" s="93" t="s">
        <v>2</v>
      </c>
      <c r="T2740" s="93" t="s">
        <v>115</v>
      </c>
      <c r="U2740" s="93" t="s">
        <v>116</v>
      </c>
      <c r="V2740" s="94">
        <v>44597.637499999997</v>
      </c>
      <c r="W2740" s="93" t="s">
        <v>402</v>
      </c>
      <c r="X2740" s="93" t="s">
        <v>24</v>
      </c>
    </row>
    <row r="2741" spans="1:24" hidden="1" x14ac:dyDescent="0.15">
      <c r="A2741" s="93" t="s">
        <v>8053</v>
      </c>
      <c r="B2741" s="93" t="s">
        <v>8054</v>
      </c>
      <c r="C2741" s="410">
        <v>533</v>
      </c>
      <c r="D2741" s="93" t="s">
        <v>24</v>
      </c>
      <c r="E2741" s="93" t="s">
        <v>24</v>
      </c>
      <c r="F2741" s="93" t="s">
        <v>4125</v>
      </c>
      <c r="G2741" s="93" t="s">
        <v>8022</v>
      </c>
      <c r="H2741" s="93" t="s">
        <v>118</v>
      </c>
      <c r="I2741" s="93" t="s">
        <v>111</v>
      </c>
      <c r="J2741" s="93" t="s">
        <v>118</v>
      </c>
      <c r="K2741" s="93">
        <v>3</v>
      </c>
      <c r="L2741" s="93" t="s">
        <v>111</v>
      </c>
      <c r="M2741" s="93" t="s">
        <v>111</v>
      </c>
      <c r="N2741" s="93" t="s">
        <v>111</v>
      </c>
      <c r="O2741" s="93" t="s">
        <v>111</v>
      </c>
      <c r="P2741" s="93" t="s">
        <v>111</v>
      </c>
      <c r="Q2741" s="93" t="s">
        <v>111</v>
      </c>
      <c r="R2741" s="93" t="s">
        <v>228</v>
      </c>
      <c r="S2741" s="93" t="s">
        <v>2</v>
      </c>
      <c r="T2741" s="93" t="s">
        <v>115</v>
      </c>
      <c r="U2741" s="93" t="s">
        <v>116</v>
      </c>
      <c r="V2741" s="94">
        <v>44596.686805555553</v>
      </c>
      <c r="W2741" s="93" t="s">
        <v>402</v>
      </c>
      <c r="X2741" s="93" t="s">
        <v>24</v>
      </c>
    </row>
    <row r="2742" spans="1:24" hidden="1" x14ac:dyDescent="0.15">
      <c r="A2742" s="93" t="s">
        <v>8055</v>
      </c>
      <c r="B2742" s="93" t="s">
        <v>8056</v>
      </c>
      <c r="C2742" s="410">
        <v>800</v>
      </c>
      <c r="D2742" s="93" t="s">
        <v>24</v>
      </c>
      <c r="E2742" s="93" t="s">
        <v>24</v>
      </c>
      <c r="F2742" s="93" t="s">
        <v>4125</v>
      </c>
      <c r="G2742" s="93" t="s">
        <v>8022</v>
      </c>
      <c r="H2742" s="93" t="s">
        <v>118</v>
      </c>
      <c r="I2742" s="93" t="s">
        <v>111</v>
      </c>
      <c r="J2742" s="93" t="s">
        <v>118</v>
      </c>
      <c r="K2742" s="93">
        <v>3</v>
      </c>
      <c r="L2742" s="93" t="s">
        <v>111</v>
      </c>
      <c r="M2742" s="93" t="s">
        <v>111</v>
      </c>
      <c r="N2742" s="93" t="s">
        <v>111</v>
      </c>
      <c r="O2742" s="93" t="s">
        <v>111</v>
      </c>
      <c r="P2742" s="93" t="s">
        <v>111</v>
      </c>
      <c r="Q2742" s="93" t="s">
        <v>111</v>
      </c>
      <c r="R2742" s="93" t="s">
        <v>228</v>
      </c>
      <c r="S2742" s="93" t="s">
        <v>2</v>
      </c>
      <c r="T2742" s="93" t="s">
        <v>115</v>
      </c>
      <c r="U2742" s="93" t="s">
        <v>116</v>
      </c>
      <c r="V2742" s="94">
        <v>44600.142361111109</v>
      </c>
      <c r="W2742" s="93" t="s">
        <v>402</v>
      </c>
      <c r="X2742" s="93" t="s">
        <v>24</v>
      </c>
    </row>
    <row r="2743" spans="1:24" hidden="1" x14ac:dyDescent="0.15">
      <c r="A2743" s="93" t="s">
        <v>9366</v>
      </c>
      <c r="B2743" s="93" t="s">
        <v>9367</v>
      </c>
      <c r="C2743" s="410">
        <v>0</v>
      </c>
      <c r="D2743" s="93" t="s">
        <v>24</v>
      </c>
      <c r="E2743" s="93" t="s">
        <v>24</v>
      </c>
      <c r="F2743" s="93" t="s">
        <v>4125</v>
      </c>
      <c r="G2743" s="93" t="s">
        <v>9349</v>
      </c>
      <c r="H2743" s="93" t="s">
        <v>118</v>
      </c>
      <c r="I2743" s="93" t="s">
        <v>111</v>
      </c>
      <c r="J2743" s="93" t="s">
        <v>118</v>
      </c>
      <c r="K2743" s="93">
        <v>3</v>
      </c>
      <c r="L2743" s="93" t="s">
        <v>111</v>
      </c>
      <c r="M2743" s="93" t="s">
        <v>111</v>
      </c>
      <c r="N2743" s="93" t="s">
        <v>111</v>
      </c>
      <c r="O2743" s="93" t="s">
        <v>111</v>
      </c>
      <c r="P2743" s="93" t="s">
        <v>111</v>
      </c>
      <c r="Q2743" s="93" t="s">
        <v>111</v>
      </c>
      <c r="R2743" s="93" t="s">
        <v>228</v>
      </c>
      <c r="S2743" s="93" t="s">
        <v>2</v>
      </c>
      <c r="T2743" s="93" t="s">
        <v>115</v>
      </c>
      <c r="U2743" s="93" t="s">
        <v>116</v>
      </c>
      <c r="V2743" s="94">
        <v>44596.694444444445</v>
      </c>
      <c r="W2743" s="93" t="s">
        <v>1170</v>
      </c>
      <c r="X2743" s="93" t="s">
        <v>24</v>
      </c>
    </row>
    <row r="2744" spans="1:24" hidden="1" x14ac:dyDescent="0.15">
      <c r="A2744" s="93" t="s">
        <v>8057</v>
      </c>
      <c r="B2744" s="93" t="s">
        <v>8058</v>
      </c>
      <c r="C2744" s="410">
        <v>25.45</v>
      </c>
      <c r="D2744" s="93" t="s">
        <v>24</v>
      </c>
      <c r="E2744" s="93" t="s">
        <v>24</v>
      </c>
      <c r="F2744" s="93" t="s">
        <v>7070</v>
      </c>
      <c r="G2744" s="93" t="s">
        <v>8059</v>
      </c>
      <c r="H2744" s="93" t="s">
        <v>11</v>
      </c>
      <c r="I2744" s="93" t="s">
        <v>111</v>
      </c>
      <c r="J2744" s="93" t="s">
        <v>33</v>
      </c>
      <c r="K2744" s="93">
        <v>90</v>
      </c>
      <c r="L2744" s="93">
        <v>10</v>
      </c>
      <c r="M2744" s="93">
        <v>3.0880000000000001</v>
      </c>
      <c r="N2744" s="93" t="s">
        <v>113</v>
      </c>
      <c r="O2744" s="93">
        <v>2</v>
      </c>
      <c r="P2744" s="93">
        <v>6</v>
      </c>
      <c r="Q2744" s="93">
        <v>5.6</v>
      </c>
      <c r="R2744" s="93" t="s">
        <v>385</v>
      </c>
      <c r="S2744" s="93" t="s">
        <v>20</v>
      </c>
      <c r="T2744" s="93" t="s">
        <v>115</v>
      </c>
      <c r="U2744" s="93" t="s">
        <v>116</v>
      </c>
      <c r="V2744" s="94">
        <v>44628.628472222219</v>
      </c>
      <c r="W2744" s="93" t="s">
        <v>8060</v>
      </c>
      <c r="X2744" s="93" t="s">
        <v>9</v>
      </c>
    </row>
    <row r="2745" spans="1:24" hidden="1" x14ac:dyDescent="0.15">
      <c r="A2745" s="93" t="s">
        <v>8061</v>
      </c>
      <c r="B2745" s="93" t="s">
        <v>8062</v>
      </c>
      <c r="C2745" s="410">
        <v>394.2</v>
      </c>
      <c r="D2745" s="93" t="s">
        <v>9</v>
      </c>
      <c r="E2745" s="93" t="s">
        <v>24</v>
      </c>
      <c r="F2745" s="93" t="s">
        <v>33</v>
      </c>
      <c r="G2745" s="93" t="s">
        <v>8063</v>
      </c>
      <c r="H2745" s="93" t="s">
        <v>8064</v>
      </c>
      <c r="I2745" s="93" t="s">
        <v>111</v>
      </c>
      <c r="J2745" s="93" t="s">
        <v>33</v>
      </c>
      <c r="K2745" s="93">
        <v>90</v>
      </c>
      <c r="L2745" s="93">
        <v>5</v>
      </c>
      <c r="M2745" s="93">
        <v>2.4500000000000002</v>
      </c>
      <c r="N2745" s="93" t="s">
        <v>113</v>
      </c>
      <c r="O2745" s="93">
        <v>9.3000000000000007</v>
      </c>
      <c r="P2745" s="93">
        <v>26.7</v>
      </c>
      <c r="Q2745" s="93">
        <v>37.700000000000003</v>
      </c>
      <c r="R2745" s="93" t="s">
        <v>7166</v>
      </c>
      <c r="S2745" s="93" t="s">
        <v>16</v>
      </c>
      <c r="T2745" s="93" t="s">
        <v>383</v>
      </c>
      <c r="U2745" s="93" t="s">
        <v>116</v>
      </c>
      <c r="V2745" s="94">
        <v>44628.530555555553</v>
      </c>
      <c r="W2745" s="93" t="s">
        <v>33</v>
      </c>
      <c r="X2745" s="93" t="s">
        <v>9</v>
      </c>
    </row>
    <row r="2746" spans="1:24" hidden="1" x14ac:dyDescent="0.15">
      <c r="A2746" s="93" t="s">
        <v>8065</v>
      </c>
      <c r="B2746" s="93" t="s">
        <v>8066</v>
      </c>
      <c r="C2746" s="410">
        <v>394.2</v>
      </c>
      <c r="D2746" s="93" t="s">
        <v>9</v>
      </c>
      <c r="E2746" s="93" t="s">
        <v>24</v>
      </c>
      <c r="F2746" s="93" t="s">
        <v>33</v>
      </c>
      <c r="G2746" s="93" t="s">
        <v>8063</v>
      </c>
      <c r="H2746" s="93" t="s">
        <v>8064</v>
      </c>
      <c r="I2746" s="93" t="s">
        <v>111</v>
      </c>
      <c r="J2746" s="93" t="s">
        <v>33</v>
      </c>
      <c r="K2746" s="93">
        <v>90</v>
      </c>
      <c r="L2746" s="93">
        <v>5</v>
      </c>
      <c r="M2746" s="93">
        <v>2.4500000000000002</v>
      </c>
      <c r="N2746" s="93" t="s">
        <v>113</v>
      </c>
      <c r="O2746" s="93">
        <v>9.3000000000000007</v>
      </c>
      <c r="P2746" s="93">
        <v>26.7</v>
      </c>
      <c r="Q2746" s="93">
        <v>37.700000000000003</v>
      </c>
      <c r="R2746" s="93" t="s">
        <v>7166</v>
      </c>
      <c r="S2746" s="93" t="s">
        <v>16</v>
      </c>
      <c r="T2746" s="93" t="s">
        <v>383</v>
      </c>
      <c r="U2746" s="93" t="s">
        <v>116</v>
      </c>
      <c r="V2746" s="94">
        <v>44628.507638888892</v>
      </c>
      <c r="W2746" s="93" t="s">
        <v>33</v>
      </c>
      <c r="X2746" s="93" t="s">
        <v>9</v>
      </c>
    </row>
    <row r="2747" spans="1:24" hidden="1" x14ac:dyDescent="0.15">
      <c r="A2747" s="93" t="s">
        <v>8070</v>
      </c>
      <c r="B2747" s="93" t="s">
        <v>8071</v>
      </c>
      <c r="C2747" s="410">
        <v>280.8</v>
      </c>
      <c r="D2747" s="93" t="s">
        <v>9</v>
      </c>
      <c r="E2747" s="93" t="s">
        <v>24</v>
      </c>
      <c r="F2747" s="93" t="s">
        <v>33</v>
      </c>
      <c r="G2747" s="93" t="s">
        <v>8072</v>
      </c>
      <c r="H2747" s="93" t="s">
        <v>8064</v>
      </c>
      <c r="I2747" s="93" t="s">
        <v>111</v>
      </c>
      <c r="J2747" s="93" t="s">
        <v>33</v>
      </c>
      <c r="K2747" s="93">
        <v>90</v>
      </c>
      <c r="L2747" s="93">
        <v>5</v>
      </c>
      <c r="M2747" s="93">
        <v>2.1</v>
      </c>
      <c r="N2747" s="93" t="s">
        <v>113</v>
      </c>
      <c r="O2747" s="93">
        <v>9.3000000000000007</v>
      </c>
      <c r="P2747" s="93">
        <v>26.7</v>
      </c>
      <c r="Q2747" s="93">
        <v>37.700000000000003</v>
      </c>
      <c r="R2747" s="93" t="s">
        <v>7166</v>
      </c>
      <c r="S2747" s="93" t="s">
        <v>16</v>
      </c>
      <c r="T2747" s="93" t="s">
        <v>383</v>
      </c>
      <c r="U2747" s="93" t="s">
        <v>116</v>
      </c>
      <c r="V2747" s="94">
        <v>44628.595833333333</v>
      </c>
      <c r="W2747" s="93" t="s">
        <v>33</v>
      </c>
      <c r="X2747" s="93" t="s">
        <v>9</v>
      </c>
    </row>
    <row r="2748" spans="1:24" hidden="1" x14ac:dyDescent="0.15">
      <c r="A2748" s="93" t="s">
        <v>8073</v>
      </c>
      <c r="B2748" s="93" t="s">
        <v>8074</v>
      </c>
      <c r="C2748" s="410">
        <v>280.8</v>
      </c>
      <c r="D2748" s="93" t="s">
        <v>9</v>
      </c>
      <c r="E2748" s="93" t="s">
        <v>24</v>
      </c>
      <c r="F2748" s="93" t="s">
        <v>33</v>
      </c>
      <c r="G2748" s="93" t="s">
        <v>8072</v>
      </c>
      <c r="H2748" s="93" t="s">
        <v>8064</v>
      </c>
      <c r="I2748" s="93" t="s">
        <v>111</v>
      </c>
      <c r="J2748" s="93" t="s">
        <v>33</v>
      </c>
      <c r="K2748" s="93">
        <v>90</v>
      </c>
      <c r="L2748" s="93">
        <v>5</v>
      </c>
      <c r="M2748" s="93">
        <v>2.1</v>
      </c>
      <c r="N2748" s="93" t="s">
        <v>113</v>
      </c>
      <c r="O2748" s="93">
        <v>9.3000000000000007</v>
      </c>
      <c r="P2748" s="93">
        <v>26.7</v>
      </c>
      <c r="Q2748" s="93">
        <v>37.700000000000003</v>
      </c>
      <c r="R2748" s="93" t="s">
        <v>7166</v>
      </c>
      <c r="S2748" s="93" t="s">
        <v>16</v>
      </c>
      <c r="T2748" s="93" t="s">
        <v>383</v>
      </c>
      <c r="U2748" s="93" t="s">
        <v>116</v>
      </c>
      <c r="V2748" s="94">
        <v>44628.507638888892</v>
      </c>
      <c r="W2748" s="93" t="s">
        <v>33</v>
      </c>
      <c r="X2748" s="93" t="s">
        <v>9</v>
      </c>
    </row>
    <row r="2749" spans="1:24" hidden="1" x14ac:dyDescent="0.15">
      <c r="A2749" s="93" t="s">
        <v>8078</v>
      </c>
      <c r="B2749" s="93" t="s">
        <v>8079</v>
      </c>
      <c r="C2749" s="410">
        <v>745.2</v>
      </c>
      <c r="D2749" s="93" t="s">
        <v>9</v>
      </c>
      <c r="E2749" s="93" t="s">
        <v>24</v>
      </c>
      <c r="F2749" s="93" t="s">
        <v>33</v>
      </c>
      <c r="G2749" s="93" t="s">
        <v>8080</v>
      </c>
      <c r="H2749" s="93" t="s">
        <v>8064</v>
      </c>
      <c r="I2749" s="93" t="s">
        <v>111</v>
      </c>
      <c r="J2749" s="93" t="s">
        <v>33</v>
      </c>
      <c r="K2749" s="93">
        <v>90</v>
      </c>
      <c r="L2749" s="93">
        <v>4</v>
      </c>
      <c r="M2749" s="93">
        <v>4.55</v>
      </c>
      <c r="N2749" s="93" t="s">
        <v>113</v>
      </c>
      <c r="O2749" s="93">
        <v>48.4</v>
      </c>
      <c r="P2749" s="93">
        <v>9.3000000000000007</v>
      </c>
      <c r="Q2749" s="93">
        <v>34.299999999999997</v>
      </c>
      <c r="R2749" s="93" t="s">
        <v>7166</v>
      </c>
      <c r="S2749" s="93" t="s">
        <v>16</v>
      </c>
      <c r="T2749" s="93" t="s">
        <v>383</v>
      </c>
      <c r="U2749" s="93" t="s">
        <v>116</v>
      </c>
      <c r="V2749" s="94">
        <v>44628.465277777781</v>
      </c>
      <c r="W2749" s="93" t="s">
        <v>33</v>
      </c>
      <c r="X2749" s="93" t="s">
        <v>9</v>
      </c>
    </row>
    <row r="2750" spans="1:24" hidden="1" x14ac:dyDescent="0.15">
      <c r="A2750" s="93" t="s">
        <v>8081</v>
      </c>
      <c r="B2750" s="93" t="s">
        <v>8082</v>
      </c>
      <c r="C2750" s="410">
        <v>745.2</v>
      </c>
      <c r="D2750" s="93" t="s">
        <v>9</v>
      </c>
      <c r="E2750" s="93" t="s">
        <v>24</v>
      </c>
      <c r="F2750" s="93" t="s">
        <v>33</v>
      </c>
      <c r="G2750" s="93" t="s">
        <v>8080</v>
      </c>
      <c r="H2750" s="93" t="s">
        <v>8064</v>
      </c>
      <c r="I2750" s="93" t="s">
        <v>111</v>
      </c>
      <c r="J2750" s="93" t="s">
        <v>33</v>
      </c>
      <c r="K2750" s="93">
        <v>90</v>
      </c>
      <c r="L2750" s="93">
        <v>4</v>
      </c>
      <c r="M2750" s="93">
        <v>4.55</v>
      </c>
      <c r="N2750" s="93" t="s">
        <v>113</v>
      </c>
      <c r="O2750" s="93">
        <v>48.4</v>
      </c>
      <c r="P2750" s="93">
        <v>9.3000000000000007</v>
      </c>
      <c r="Q2750" s="93">
        <v>34.299999999999997</v>
      </c>
      <c r="R2750" s="93" t="s">
        <v>7166</v>
      </c>
      <c r="S2750" s="93" t="s">
        <v>16</v>
      </c>
      <c r="T2750" s="93" t="s">
        <v>383</v>
      </c>
      <c r="U2750" s="93" t="s">
        <v>116</v>
      </c>
      <c r="V2750" s="94">
        <v>44628.551388888889</v>
      </c>
      <c r="W2750" s="93" t="s">
        <v>33</v>
      </c>
      <c r="X2750" s="93" t="s">
        <v>9</v>
      </c>
    </row>
    <row r="2751" spans="1:24" hidden="1" x14ac:dyDescent="0.15">
      <c r="A2751" s="93" t="s">
        <v>8085</v>
      </c>
      <c r="B2751" s="93" t="s">
        <v>8086</v>
      </c>
      <c r="C2751" s="410">
        <v>513</v>
      </c>
      <c r="D2751" s="93" t="s">
        <v>9</v>
      </c>
      <c r="E2751" s="93" t="s">
        <v>24</v>
      </c>
      <c r="F2751" s="93" t="s">
        <v>33</v>
      </c>
      <c r="G2751" s="93" t="s">
        <v>8087</v>
      </c>
      <c r="H2751" s="93" t="s">
        <v>8064</v>
      </c>
      <c r="I2751" s="93" t="s">
        <v>111</v>
      </c>
      <c r="J2751" s="93" t="s">
        <v>33</v>
      </c>
      <c r="K2751" s="93">
        <v>90</v>
      </c>
      <c r="L2751" s="93">
        <v>4</v>
      </c>
      <c r="M2751" s="93">
        <v>3.3</v>
      </c>
      <c r="N2751" s="93" t="s">
        <v>113</v>
      </c>
      <c r="O2751" s="93">
        <v>48.4</v>
      </c>
      <c r="P2751" s="93">
        <v>9.3000000000000007</v>
      </c>
      <c r="Q2751" s="93">
        <v>30.3</v>
      </c>
      <c r="R2751" s="93" t="s">
        <v>7166</v>
      </c>
      <c r="S2751" s="93" t="s">
        <v>16</v>
      </c>
      <c r="T2751" s="93" t="s">
        <v>383</v>
      </c>
      <c r="U2751" s="93" t="s">
        <v>116</v>
      </c>
      <c r="V2751" s="94">
        <v>44628.487500000003</v>
      </c>
      <c r="W2751" s="93" t="s">
        <v>33</v>
      </c>
      <c r="X2751" s="93" t="s">
        <v>9</v>
      </c>
    </row>
    <row r="2752" spans="1:24" hidden="1" x14ac:dyDescent="0.15">
      <c r="A2752" s="93" t="s">
        <v>8088</v>
      </c>
      <c r="B2752" s="93" t="s">
        <v>8089</v>
      </c>
      <c r="C2752" s="410">
        <v>513</v>
      </c>
      <c r="D2752" s="93" t="s">
        <v>9</v>
      </c>
      <c r="E2752" s="93" t="s">
        <v>24</v>
      </c>
      <c r="F2752" s="93" t="s">
        <v>33</v>
      </c>
      <c r="G2752" s="93" t="s">
        <v>8087</v>
      </c>
      <c r="H2752" s="93" t="s">
        <v>8064</v>
      </c>
      <c r="I2752" s="93" t="s">
        <v>111</v>
      </c>
      <c r="J2752" s="93" t="s">
        <v>33</v>
      </c>
      <c r="K2752" s="93">
        <v>90</v>
      </c>
      <c r="L2752" s="93">
        <v>4</v>
      </c>
      <c r="M2752" s="93">
        <v>3.3</v>
      </c>
      <c r="N2752" s="93" t="s">
        <v>113</v>
      </c>
      <c r="O2752" s="93">
        <v>48.4</v>
      </c>
      <c r="P2752" s="93">
        <v>9.3000000000000007</v>
      </c>
      <c r="Q2752" s="93">
        <v>30.3</v>
      </c>
      <c r="R2752" s="93" t="s">
        <v>7166</v>
      </c>
      <c r="S2752" s="93" t="s">
        <v>16</v>
      </c>
      <c r="T2752" s="93" t="s">
        <v>383</v>
      </c>
      <c r="U2752" s="93" t="s">
        <v>116</v>
      </c>
      <c r="V2752" s="94">
        <v>44628.629166666666</v>
      </c>
      <c r="W2752" s="93" t="s">
        <v>33</v>
      </c>
      <c r="X2752" s="93" t="s">
        <v>9</v>
      </c>
    </row>
    <row r="2753" spans="1:24" hidden="1" x14ac:dyDescent="0.15">
      <c r="A2753" s="93" t="s">
        <v>8092</v>
      </c>
      <c r="B2753" s="93" t="s">
        <v>8093</v>
      </c>
      <c r="C2753" s="410">
        <v>750.6</v>
      </c>
      <c r="D2753" s="93" t="s">
        <v>9</v>
      </c>
      <c r="E2753" s="93" t="s">
        <v>9</v>
      </c>
      <c r="F2753" s="93" t="s">
        <v>33</v>
      </c>
      <c r="G2753" s="93" t="s">
        <v>8094</v>
      </c>
      <c r="H2753" s="93" t="s">
        <v>8064</v>
      </c>
      <c r="I2753" s="93" t="s">
        <v>111</v>
      </c>
      <c r="J2753" s="93" t="s">
        <v>33</v>
      </c>
      <c r="K2753" s="93">
        <v>90</v>
      </c>
      <c r="L2753" s="93">
        <v>5</v>
      </c>
      <c r="M2753" s="93">
        <v>2.6</v>
      </c>
      <c r="N2753" s="93" t="s">
        <v>113</v>
      </c>
      <c r="O2753" s="93">
        <v>9.3000000000000007</v>
      </c>
      <c r="P2753" s="93">
        <v>26.7</v>
      </c>
      <c r="Q2753" s="93">
        <v>37.700000000000003</v>
      </c>
      <c r="R2753" s="93" t="s">
        <v>8095</v>
      </c>
      <c r="S2753" s="93" t="s">
        <v>16</v>
      </c>
      <c r="T2753" s="93" t="s">
        <v>383</v>
      </c>
      <c r="U2753" s="93" t="s">
        <v>116</v>
      </c>
      <c r="V2753" s="94">
        <v>44628.470138888886</v>
      </c>
      <c r="W2753" s="93" t="s">
        <v>33</v>
      </c>
      <c r="X2753" s="93" t="s">
        <v>9</v>
      </c>
    </row>
    <row r="2754" spans="1:24" hidden="1" x14ac:dyDescent="0.15">
      <c r="A2754" s="93" t="s">
        <v>8096</v>
      </c>
      <c r="B2754" s="93" t="s">
        <v>8097</v>
      </c>
      <c r="C2754" s="410">
        <v>750.6</v>
      </c>
      <c r="D2754" s="93" t="s">
        <v>9</v>
      </c>
      <c r="E2754" s="93" t="s">
        <v>9</v>
      </c>
      <c r="F2754" s="93" t="s">
        <v>33</v>
      </c>
      <c r="G2754" s="93" t="s">
        <v>8094</v>
      </c>
      <c r="H2754" s="93" t="s">
        <v>8064</v>
      </c>
      <c r="I2754" s="93" t="s">
        <v>111</v>
      </c>
      <c r="J2754" s="93" t="s">
        <v>33</v>
      </c>
      <c r="K2754" s="93">
        <v>90</v>
      </c>
      <c r="L2754" s="93">
        <v>5</v>
      </c>
      <c r="M2754" s="93">
        <v>2.7519999999999998</v>
      </c>
      <c r="N2754" s="93" t="s">
        <v>113</v>
      </c>
      <c r="O2754" s="93">
        <v>9.3000000000000007</v>
      </c>
      <c r="P2754" s="93">
        <v>26.7</v>
      </c>
      <c r="Q2754" s="93">
        <v>37.700000000000003</v>
      </c>
      <c r="R2754" s="93" t="s">
        <v>8077</v>
      </c>
      <c r="S2754" s="93" t="s">
        <v>16</v>
      </c>
      <c r="T2754" s="93" t="s">
        <v>384</v>
      </c>
      <c r="U2754" s="93" t="s">
        <v>116</v>
      </c>
      <c r="V2754" s="94">
        <v>44628.470138888886</v>
      </c>
      <c r="W2754" s="93" t="s">
        <v>33</v>
      </c>
      <c r="X2754" s="93" t="s">
        <v>9</v>
      </c>
    </row>
    <row r="2755" spans="1:24" hidden="1" x14ac:dyDescent="0.15">
      <c r="A2755" s="93" t="s">
        <v>8098</v>
      </c>
      <c r="B2755" s="93" t="s">
        <v>8099</v>
      </c>
      <c r="C2755" s="410">
        <v>750.6</v>
      </c>
      <c r="D2755" s="93" t="s">
        <v>9</v>
      </c>
      <c r="E2755" s="93" t="s">
        <v>9</v>
      </c>
      <c r="F2755" s="93" t="s">
        <v>33</v>
      </c>
      <c r="G2755" s="93" t="s">
        <v>8094</v>
      </c>
      <c r="H2755" s="93" t="s">
        <v>8064</v>
      </c>
      <c r="I2755" s="93" t="s">
        <v>111</v>
      </c>
      <c r="J2755" s="93" t="s">
        <v>33</v>
      </c>
      <c r="K2755" s="93">
        <v>90</v>
      </c>
      <c r="L2755" s="93">
        <v>5</v>
      </c>
      <c r="M2755" s="93">
        <v>2.71</v>
      </c>
      <c r="N2755" s="93" t="s">
        <v>113</v>
      </c>
      <c r="O2755" s="93">
        <v>9.3000000000000007</v>
      </c>
      <c r="P2755" s="93">
        <v>26.7</v>
      </c>
      <c r="Q2755" s="93">
        <v>37.700000000000003</v>
      </c>
      <c r="R2755" s="93" t="s">
        <v>8077</v>
      </c>
      <c r="S2755" s="93" t="s">
        <v>16</v>
      </c>
      <c r="T2755" s="93" t="s">
        <v>384</v>
      </c>
      <c r="U2755" s="93" t="s">
        <v>116</v>
      </c>
      <c r="V2755" s="94">
        <v>44628.513194444444</v>
      </c>
      <c r="W2755" s="93" t="s">
        <v>33</v>
      </c>
      <c r="X2755" s="93" t="s">
        <v>9</v>
      </c>
    </row>
    <row r="2756" spans="1:24" hidden="1" x14ac:dyDescent="0.15">
      <c r="A2756" s="93" t="s">
        <v>8100</v>
      </c>
      <c r="B2756" s="93" t="s">
        <v>8101</v>
      </c>
      <c r="C2756" s="410">
        <v>750.6</v>
      </c>
      <c r="D2756" s="93" t="s">
        <v>9</v>
      </c>
      <c r="E2756" s="93" t="s">
        <v>9</v>
      </c>
      <c r="F2756" s="93" t="s">
        <v>33</v>
      </c>
      <c r="G2756" s="93" t="s">
        <v>8094</v>
      </c>
      <c r="H2756" s="93" t="s">
        <v>8064</v>
      </c>
      <c r="I2756" s="93" t="s">
        <v>111</v>
      </c>
      <c r="J2756" s="93" t="s">
        <v>33</v>
      </c>
      <c r="K2756" s="93">
        <v>90</v>
      </c>
      <c r="L2756" s="93">
        <v>5</v>
      </c>
      <c r="M2756" s="93">
        <v>2.7210000000000001</v>
      </c>
      <c r="N2756" s="93" t="s">
        <v>113</v>
      </c>
      <c r="O2756" s="93">
        <v>9.3000000000000007</v>
      </c>
      <c r="P2756" s="93">
        <v>26.7</v>
      </c>
      <c r="Q2756" s="93">
        <v>37.700000000000003</v>
      </c>
      <c r="R2756" s="93" t="s">
        <v>8077</v>
      </c>
      <c r="S2756" s="93" t="s">
        <v>16</v>
      </c>
      <c r="T2756" s="93" t="s">
        <v>384</v>
      </c>
      <c r="U2756" s="93" t="s">
        <v>116</v>
      </c>
      <c r="V2756" s="94">
        <v>44628.513194444444</v>
      </c>
      <c r="W2756" s="93" t="s">
        <v>33</v>
      </c>
      <c r="X2756" s="93" t="s">
        <v>9</v>
      </c>
    </row>
    <row r="2757" spans="1:24" hidden="1" x14ac:dyDescent="0.15">
      <c r="A2757" s="93" t="s">
        <v>8102</v>
      </c>
      <c r="B2757" s="93" t="s">
        <v>8103</v>
      </c>
      <c r="C2757" s="410">
        <v>750.6</v>
      </c>
      <c r="D2757" s="93" t="s">
        <v>9</v>
      </c>
      <c r="E2757" s="93" t="s">
        <v>9</v>
      </c>
      <c r="F2757" s="93" t="s">
        <v>33</v>
      </c>
      <c r="G2757" s="93" t="s">
        <v>8094</v>
      </c>
      <c r="H2757" s="93" t="s">
        <v>8064</v>
      </c>
      <c r="I2757" s="93" t="s">
        <v>111</v>
      </c>
      <c r="J2757" s="93" t="s">
        <v>33</v>
      </c>
      <c r="K2757" s="93">
        <v>90</v>
      </c>
      <c r="L2757" s="93">
        <v>5</v>
      </c>
      <c r="M2757" s="93">
        <v>2.74</v>
      </c>
      <c r="N2757" s="93" t="s">
        <v>113</v>
      </c>
      <c r="O2757" s="93">
        <v>9.3000000000000007</v>
      </c>
      <c r="P2757" s="93">
        <v>26.7</v>
      </c>
      <c r="Q2757" s="93">
        <v>37.700000000000003</v>
      </c>
      <c r="R2757" s="93" t="s">
        <v>7166</v>
      </c>
      <c r="S2757" s="93" t="s">
        <v>16</v>
      </c>
      <c r="T2757" s="93" t="s">
        <v>383</v>
      </c>
      <c r="U2757" s="93" t="s">
        <v>116</v>
      </c>
      <c r="V2757" s="94">
        <v>44628.634722222225</v>
      </c>
      <c r="W2757" s="93" t="s">
        <v>33</v>
      </c>
      <c r="X2757" s="93" t="s">
        <v>9</v>
      </c>
    </row>
    <row r="2758" spans="1:24" hidden="1" x14ac:dyDescent="0.15">
      <c r="A2758" s="93" t="s">
        <v>8104</v>
      </c>
      <c r="B2758" s="93" t="s">
        <v>8105</v>
      </c>
      <c r="C2758" s="410">
        <v>750.6</v>
      </c>
      <c r="D2758" s="93" t="s">
        <v>9</v>
      </c>
      <c r="E2758" s="93" t="s">
        <v>9</v>
      </c>
      <c r="F2758" s="93" t="s">
        <v>33</v>
      </c>
      <c r="G2758" s="93" t="s">
        <v>8094</v>
      </c>
      <c r="H2758" s="93" t="s">
        <v>8064</v>
      </c>
      <c r="I2758" s="93" t="s">
        <v>111</v>
      </c>
      <c r="J2758" s="93" t="s">
        <v>33</v>
      </c>
      <c r="K2758" s="93">
        <v>90</v>
      </c>
      <c r="L2758" s="93">
        <v>5</v>
      </c>
      <c r="M2758" s="93">
        <v>2.74</v>
      </c>
      <c r="N2758" s="93" t="s">
        <v>113</v>
      </c>
      <c r="O2758" s="93">
        <v>9.3000000000000007</v>
      </c>
      <c r="P2758" s="93">
        <v>26.7</v>
      </c>
      <c r="Q2758" s="93">
        <v>37.700000000000003</v>
      </c>
      <c r="R2758" s="93" t="s">
        <v>7166</v>
      </c>
      <c r="S2758" s="93" t="s">
        <v>16</v>
      </c>
      <c r="T2758" s="93" t="s">
        <v>383</v>
      </c>
      <c r="U2758" s="93" t="s">
        <v>116</v>
      </c>
      <c r="V2758" s="94">
        <v>44628.634722222225</v>
      </c>
      <c r="W2758" s="93" t="s">
        <v>33</v>
      </c>
      <c r="X2758" s="93" t="s">
        <v>9</v>
      </c>
    </row>
    <row r="2759" spans="1:24" hidden="1" x14ac:dyDescent="0.15">
      <c r="A2759" s="93" t="s">
        <v>8106</v>
      </c>
      <c r="B2759" s="93" t="s">
        <v>8107</v>
      </c>
      <c r="C2759" s="410">
        <v>750.6</v>
      </c>
      <c r="D2759" s="93" t="s">
        <v>9</v>
      </c>
      <c r="E2759" s="93" t="s">
        <v>9</v>
      </c>
      <c r="F2759" s="93" t="s">
        <v>33</v>
      </c>
      <c r="G2759" s="93" t="s">
        <v>8094</v>
      </c>
      <c r="H2759" s="93" t="s">
        <v>8064</v>
      </c>
      <c r="I2759" s="93" t="s">
        <v>111</v>
      </c>
      <c r="J2759" s="93" t="s">
        <v>33</v>
      </c>
      <c r="K2759" s="93">
        <v>90</v>
      </c>
      <c r="L2759" s="93">
        <v>5</v>
      </c>
      <c r="M2759" s="93">
        <v>2.7669999999999999</v>
      </c>
      <c r="N2759" s="93" t="s">
        <v>113</v>
      </c>
      <c r="O2759" s="93">
        <v>9.3000000000000007</v>
      </c>
      <c r="P2759" s="93">
        <v>26.7</v>
      </c>
      <c r="Q2759" s="93">
        <v>37.700000000000003</v>
      </c>
      <c r="R2759" s="93" t="s">
        <v>7166</v>
      </c>
      <c r="S2759" s="93" t="s">
        <v>16</v>
      </c>
      <c r="T2759" s="93" t="s">
        <v>383</v>
      </c>
      <c r="U2759" s="93" t="s">
        <v>116</v>
      </c>
      <c r="V2759" s="94">
        <v>44628.490972222222</v>
      </c>
      <c r="W2759" s="93" t="s">
        <v>33</v>
      </c>
      <c r="X2759" s="93" t="s">
        <v>9</v>
      </c>
    </row>
    <row r="2760" spans="1:24" hidden="1" x14ac:dyDescent="0.15">
      <c r="A2760" s="93" t="s">
        <v>8108</v>
      </c>
      <c r="B2760" s="93" t="s">
        <v>8109</v>
      </c>
      <c r="C2760" s="410">
        <v>750.6</v>
      </c>
      <c r="D2760" s="93" t="s">
        <v>9</v>
      </c>
      <c r="E2760" s="93" t="s">
        <v>9</v>
      </c>
      <c r="F2760" s="93" t="s">
        <v>33</v>
      </c>
      <c r="G2760" s="93" t="s">
        <v>8094</v>
      </c>
      <c r="H2760" s="93" t="s">
        <v>8064</v>
      </c>
      <c r="I2760" s="93" t="s">
        <v>111</v>
      </c>
      <c r="J2760" s="93" t="s">
        <v>33</v>
      </c>
      <c r="K2760" s="93">
        <v>90</v>
      </c>
      <c r="L2760" s="93">
        <v>5</v>
      </c>
      <c r="M2760" s="93">
        <v>2.72</v>
      </c>
      <c r="N2760" s="93" t="s">
        <v>113</v>
      </c>
      <c r="O2760" s="93">
        <v>9.3000000000000007</v>
      </c>
      <c r="P2760" s="93">
        <v>26.7</v>
      </c>
      <c r="Q2760" s="93">
        <v>37.700000000000003</v>
      </c>
      <c r="R2760" s="93" t="s">
        <v>7166</v>
      </c>
      <c r="S2760" s="93" t="s">
        <v>16</v>
      </c>
      <c r="T2760" s="93" t="s">
        <v>383</v>
      </c>
      <c r="U2760" s="93" t="s">
        <v>116</v>
      </c>
      <c r="V2760" s="94">
        <v>44628.470138888886</v>
      </c>
      <c r="W2760" s="93" t="s">
        <v>33</v>
      </c>
      <c r="X2760" s="93" t="s">
        <v>9</v>
      </c>
    </row>
    <row r="2761" spans="1:24" hidden="1" x14ac:dyDescent="0.15">
      <c r="A2761" s="93" t="s">
        <v>8110</v>
      </c>
      <c r="B2761" s="93" t="s">
        <v>8111</v>
      </c>
      <c r="C2761" s="410">
        <v>795.64</v>
      </c>
      <c r="D2761" s="93" t="s">
        <v>9</v>
      </c>
      <c r="E2761" s="93" t="s">
        <v>9</v>
      </c>
      <c r="F2761" s="93" t="s">
        <v>33</v>
      </c>
      <c r="G2761" s="93" t="s">
        <v>8094</v>
      </c>
      <c r="H2761" s="93" t="s">
        <v>8064</v>
      </c>
      <c r="I2761" s="93" t="s">
        <v>111</v>
      </c>
      <c r="J2761" s="93" t="s">
        <v>33</v>
      </c>
      <c r="K2761" s="93">
        <v>90</v>
      </c>
      <c r="L2761" s="93">
        <v>5</v>
      </c>
      <c r="M2761" s="93">
        <v>2.72</v>
      </c>
      <c r="N2761" s="93" t="s">
        <v>113</v>
      </c>
      <c r="O2761" s="93">
        <v>9.3000000000000007</v>
      </c>
      <c r="P2761" s="93">
        <v>26.7</v>
      </c>
      <c r="Q2761" s="93">
        <v>37.700000000000003</v>
      </c>
      <c r="R2761" s="93" t="s">
        <v>7166</v>
      </c>
      <c r="S2761" s="93" t="s">
        <v>16</v>
      </c>
      <c r="T2761" s="93" t="s">
        <v>383</v>
      </c>
      <c r="U2761" s="93" t="s">
        <v>116</v>
      </c>
      <c r="V2761" s="94">
        <v>44628.634722222225</v>
      </c>
      <c r="W2761" s="93" t="s">
        <v>33</v>
      </c>
      <c r="X2761" s="93" t="s">
        <v>9</v>
      </c>
    </row>
    <row r="2762" spans="1:24" hidden="1" x14ac:dyDescent="0.15">
      <c r="A2762" s="93" t="s">
        <v>8112</v>
      </c>
      <c r="B2762" s="93" t="s">
        <v>8113</v>
      </c>
      <c r="C2762" s="410">
        <v>534.6</v>
      </c>
      <c r="D2762" s="93" t="s">
        <v>9</v>
      </c>
      <c r="E2762" s="93" t="s">
        <v>9</v>
      </c>
      <c r="F2762" s="93" t="s">
        <v>33</v>
      </c>
      <c r="G2762" s="93" t="s">
        <v>8114</v>
      </c>
      <c r="H2762" s="93" t="s">
        <v>8064</v>
      </c>
      <c r="I2762" s="93" t="s">
        <v>111</v>
      </c>
      <c r="J2762" s="93" t="s">
        <v>33</v>
      </c>
      <c r="K2762" s="93">
        <v>90</v>
      </c>
      <c r="L2762" s="93">
        <v>5</v>
      </c>
      <c r="M2762" s="93">
        <v>2.21</v>
      </c>
      <c r="N2762" s="93" t="s">
        <v>113</v>
      </c>
      <c r="O2762" s="93">
        <v>9.3000000000000007</v>
      </c>
      <c r="P2762" s="93">
        <v>26.7</v>
      </c>
      <c r="Q2762" s="93">
        <v>37.700000000000003</v>
      </c>
      <c r="R2762" s="93" t="s">
        <v>8095</v>
      </c>
      <c r="S2762" s="93" t="s">
        <v>16</v>
      </c>
      <c r="T2762" s="93" t="s">
        <v>383</v>
      </c>
      <c r="U2762" s="93" t="s">
        <v>116</v>
      </c>
      <c r="V2762" s="94">
        <v>44628.634722222225</v>
      </c>
      <c r="W2762" s="93" t="s">
        <v>33</v>
      </c>
      <c r="X2762" s="93" t="s">
        <v>9</v>
      </c>
    </row>
    <row r="2763" spans="1:24" hidden="1" x14ac:dyDescent="0.15">
      <c r="A2763" s="93" t="s">
        <v>8115</v>
      </c>
      <c r="B2763" s="93" t="s">
        <v>8116</v>
      </c>
      <c r="C2763" s="410">
        <v>534.6</v>
      </c>
      <c r="D2763" s="93" t="s">
        <v>9</v>
      </c>
      <c r="E2763" s="93" t="s">
        <v>9</v>
      </c>
      <c r="F2763" s="93" t="s">
        <v>33</v>
      </c>
      <c r="G2763" s="93" t="s">
        <v>8114</v>
      </c>
      <c r="H2763" s="93" t="s">
        <v>8064</v>
      </c>
      <c r="I2763" s="93" t="s">
        <v>111</v>
      </c>
      <c r="J2763" s="93" t="s">
        <v>33</v>
      </c>
      <c r="K2763" s="93">
        <v>90</v>
      </c>
      <c r="L2763" s="93">
        <v>5</v>
      </c>
      <c r="M2763" s="93">
        <v>2.3620000000000001</v>
      </c>
      <c r="N2763" s="93" t="s">
        <v>113</v>
      </c>
      <c r="O2763" s="93">
        <v>9.3000000000000007</v>
      </c>
      <c r="P2763" s="93">
        <v>26.7</v>
      </c>
      <c r="Q2763" s="93">
        <v>37.700000000000003</v>
      </c>
      <c r="R2763" s="93" t="s">
        <v>8077</v>
      </c>
      <c r="S2763" s="93" t="s">
        <v>16</v>
      </c>
      <c r="T2763" s="93" t="s">
        <v>384</v>
      </c>
      <c r="U2763" s="93" t="s">
        <v>116</v>
      </c>
      <c r="V2763" s="94">
        <v>44628.634722222225</v>
      </c>
      <c r="W2763" s="93" t="s">
        <v>33</v>
      </c>
      <c r="X2763" s="93" t="s">
        <v>9</v>
      </c>
    </row>
    <row r="2764" spans="1:24" hidden="1" x14ac:dyDescent="0.15">
      <c r="A2764" s="93" t="s">
        <v>8117</v>
      </c>
      <c r="B2764" s="93" t="s">
        <v>8118</v>
      </c>
      <c r="C2764" s="410">
        <v>534.6</v>
      </c>
      <c r="D2764" s="93" t="s">
        <v>9</v>
      </c>
      <c r="E2764" s="93" t="s">
        <v>9</v>
      </c>
      <c r="F2764" s="93" t="s">
        <v>33</v>
      </c>
      <c r="G2764" s="93" t="s">
        <v>8114</v>
      </c>
      <c r="H2764" s="93" t="s">
        <v>8064</v>
      </c>
      <c r="I2764" s="93" t="s">
        <v>111</v>
      </c>
      <c r="J2764" s="93" t="s">
        <v>33</v>
      </c>
      <c r="K2764" s="93">
        <v>90</v>
      </c>
      <c r="L2764" s="93">
        <v>5</v>
      </c>
      <c r="M2764" s="93">
        <v>2.3199999999999998</v>
      </c>
      <c r="N2764" s="93" t="s">
        <v>113</v>
      </c>
      <c r="O2764" s="93">
        <v>9.3000000000000007</v>
      </c>
      <c r="P2764" s="93">
        <v>26.7</v>
      </c>
      <c r="Q2764" s="93">
        <v>37.700000000000003</v>
      </c>
      <c r="R2764" s="93" t="s">
        <v>8077</v>
      </c>
      <c r="S2764" s="93" t="s">
        <v>16</v>
      </c>
      <c r="T2764" s="93" t="s">
        <v>384</v>
      </c>
      <c r="U2764" s="93" t="s">
        <v>116</v>
      </c>
      <c r="V2764" s="94">
        <v>44628.513194444444</v>
      </c>
      <c r="W2764" s="93" t="s">
        <v>33</v>
      </c>
      <c r="X2764" s="93" t="s">
        <v>9</v>
      </c>
    </row>
    <row r="2765" spans="1:24" hidden="1" x14ac:dyDescent="0.15">
      <c r="A2765" s="93" t="s">
        <v>8119</v>
      </c>
      <c r="B2765" s="93" t="s">
        <v>8120</v>
      </c>
      <c r="C2765" s="410">
        <v>534.6</v>
      </c>
      <c r="D2765" s="93" t="s">
        <v>9</v>
      </c>
      <c r="E2765" s="93" t="s">
        <v>9</v>
      </c>
      <c r="F2765" s="93" t="s">
        <v>33</v>
      </c>
      <c r="G2765" s="93" t="s">
        <v>8114</v>
      </c>
      <c r="H2765" s="93" t="s">
        <v>8064</v>
      </c>
      <c r="I2765" s="93" t="s">
        <v>111</v>
      </c>
      <c r="J2765" s="93" t="s">
        <v>33</v>
      </c>
      <c r="K2765" s="93">
        <v>90</v>
      </c>
      <c r="L2765" s="93">
        <v>5</v>
      </c>
      <c r="M2765" s="93">
        <v>2.331</v>
      </c>
      <c r="N2765" s="93" t="s">
        <v>113</v>
      </c>
      <c r="O2765" s="93">
        <v>9.3000000000000007</v>
      </c>
      <c r="P2765" s="93">
        <v>26.7</v>
      </c>
      <c r="Q2765" s="93">
        <v>37.700000000000003</v>
      </c>
      <c r="R2765" s="93" t="s">
        <v>8077</v>
      </c>
      <c r="S2765" s="93" t="s">
        <v>16</v>
      </c>
      <c r="T2765" s="93" t="s">
        <v>384</v>
      </c>
      <c r="U2765" s="93" t="s">
        <v>116</v>
      </c>
      <c r="V2765" s="94">
        <v>44628.6</v>
      </c>
      <c r="W2765" s="93" t="s">
        <v>33</v>
      </c>
      <c r="X2765" s="93" t="s">
        <v>9</v>
      </c>
    </row>
    <row r="2766" spans="1:24" hidden="1" x14ac:dyDescent="0.15">
      <c r="A2766" s="93" t="s">
        <v>8121</v>
      </c>
      <c r="B2766" s="93" t="s">
        <v>8122</v>
      </c>
      <c r="C2766" s="410">
        <v>534.6</v>
      </c>
      <c r="D2766" s="93" t="s">
        <v>9</v>
      </c>
      <c r="E2766" s="93" t="s">
        <v>9</v>
      </c>
      <c r="F2766" s="93" t="s">
        <v>33</v>
      </c>
      <c r="G2766" s="93" t="s">
        <v>8114</v>
      </c>
      <c r="H2766" s="93" t="s">
        <v>8064</v>
      </c>
      <c r="I2766" s="93" t="s">
        <v>111</v>
      </c>
      <c r="J2766" s="93" t="s">
        <v>33</v>
      </c>
      <c r="K2766" s="93">
        <v>90</v>
      </c>
      <c r="L2766" s="93">
        <v>5</v>
      </c>
      <c r="M2766" s="93">
        <v>2.35</v>
      </c>
      <c r="N2766" s="93" t="s">
        <v>113</v>
      </c>
      <c r="O2766" s="93">
        <v>9.3000000000000007</v>
      </c>
      <c r="P2766" s="93">
        <v>26.7</v>
      </c>
      <c r="Q2766" s="93">
        <v>37.700000000000003</v>
      </c>
      <c r="R2766" s="93" t="s">
        <v>7166</v>
      </c>
      <c r="S2766" s="93" t="s">
        <v>16</v>
      </c>
      <c r="T2766" s="93" t="s">
        <v>383</v>
      </c>
      <c r="U2766" s="93" t="s">
        <v>116</v>
      </c>
      <c r="V2766" s="94">
        <v>44628.470138888886</v>
      </c>
      <c r="W2766" s="93" t="s">
        <v>33</v>
      </c>
      <c r="X2766" s="93" t="s">
        <v>9</v>
      </c>
    </row>
    <row r="2767" spans="1:24" hidden="1" x14ac:dyDescent="0.15">
      <c r="A2767" s="93" t="s">
        <v>8123</v>
      </c>
      <c r="B2767" s="93" t="s">
        <v>8124</v>
      </c>
      <c r="C2767" s="410">
        <v>534.6</v>
      </c>
      <c r="D2767" s="93" t="s">
        <v>9</v>
      </c>
      <c r="E2767" s="93" t="s">
        <v>9</v>
      </c>
      <c r="F2767" s="93" t="s">
        <v>33</v>
      </c>
      <c r="G2767" s="93" t="s">
        <v>8114</v>
      </c>
      <c r="H2767" s="93" t="s">
        <v>8064</v>
      </c>
      <c r="I2767" s="93" t="s">
        <v>111</v>
      </c>
      <c r="J2767" s="93" t="s">
        <v>33</v>
      </c>
      <c r="K2767" s="93">
        <v>90</v>
      </c>
      <c r="L2767" s="93">
        <v>5</v>
      </c>
      <c r="M2767" s="93">
        <v>2.35</v>
      </c>
      <c r="N2767" s="93" t="s">
        <v>113</v>
      </c>
      <c r="O2767" s="93">
        <v>9.3000000000000007</v>
      </c>
      <c r="P2767" s="93">
        <v>26.7</v>
      </c>
      <c r="Q2767" s="93">
        <v>37.700000000000003</v>
      </c>
      <c r="R2767" s="93" t="s">
        <v>8077</v>
      </c>
      <c r="S2767" s="93" t="s">
        <v>16</v>
      </c>
      <c r="T2767" s="93" t="s">
        <v>384</v>
      </c>
      <c r="U2767" s="93" t="s">
        <v>116</v>
      </c>
      <c r="V2767" s="94">
        <v>44628.635416666664</v>
      </c>
      <c r="W2767" s="93" t="s">
        <v>33</v>
      </c>
      <c r="X2767" s="93" t="s">
        <v>9</v>
      </c>
    </row>
    <row r="2768" spans="1:24" hidden="1" x14ac:dyDescent="0.15">
      <c r="A2768" s="93" t="s">
        <v>8125</v>
      </c>
      <c r="B2768" s="93" t="s">
        <v>8126</v>
      </c>
      <c r="C2768" s="410">
        <v>534.6</v>
      </c>
      <c r="D2768" s="93" t="s">
        <v>9</v>
      </c>
      <c r="E2768" s="93" t="s">
        <v>9</v>
      </c>
      <c r="F2768" s="93" t="s">
        <v>33</v>
      </c>
      <c r="G2768" s="93" t="s">
        <v>8114</v>
      </c>
      <c r="H2768" s="93" t="s">
        <v>8064</v>
      </c>
      <c r="I2768" s="93" t="s">
        <v>111</v>
      </c>
      <c r="J2768" s="93" t="s">
        <v>33</v>
      </c>
      <c r="K2768" s="93">
        <v>90</v>
      </c>
      <c r="L2768" s="93">
        <v>5</v>
      </c>
      <c r="M2768" s="93">
        <v>2.3769999999999998</v>
      </c>
      <c r="N2768" s="93" t="s">
        <v>113</v>
      </c>
      <c r="O2768" s="93">
        <v>9.3000000000000007</v>
      </c>
      <c r="P2768" s="93">
        <v>26.7</v>
      </c>
      <c r="Q2768" s="93">
        <v>37.700000000000003</v>
      </c>
      <c r="R2768" s="93" t="s">
        <v>8077</v>
      </c>
      <c r="S2768" s="93" t="s">
        <v>16</v>
      </c>
      <c r="T2768" s="93" t="s">
        <v>384</v>
      </c>
      <c r="U2768" s="93" t="s">
        <v>116</v>
      </c>
      <c r="V2768" s="94">
        <v>44628.513194444444</v>
      </c>
      <c r="W2768" s="93" t="s">
        <v>33</v>
      </c>
      <c r="X2768" s="93" t="s">
        <v>9</v>
      </c>
    </row>
    <row r="2769" spans="1:24" hidden="1" x14ac:dyDescent="0.15">
      <c r="A2769" s="93" t="s">
        <v>8127</v>
      </c>
      <c r="B2769" s="93" t="s">
        <v>8128</v>
      </c>
      <c r="C2769" s="410">
        <v>534.6</v>
      </c>
      <c r="D2769" s="93" t="s">
        <v>9</v>
      </c>
      <c r="E2769" s="93" t="s">
        <v>9</v>
      </c>
      <c r="F2769" s="93" t="s">
        <v>33</v>
      </c>
      <c r="G2769" s="93" t="s">
        <v>8114</v>
      </c>
      <c r="H2769" s="93" t="s">
        <v>8064</v>
      </c>
      <c r="I2769" s="93" t="s">
        <v>111</v>
      </c>
      <c r="J2769" s="93" t="s">
        <v>33</v>
      </c>
      <c r="K2769" s="93">
        <v>90</v>
      </c>
      <c r="L2769" s="93">
        <v>5</v>
      </c>
      <c r="M2769" s="93">
        <v>2.33</v>
      </c>
      <c r="N2769" s="93" t="s">
        <v>113</v>
      </c>
      <c r="O2769" s="93">
        <v>9.3000000000000007</v>
      </c>
      <c r="P2769" s="93">
        <v>26.7</v>
      </c>
      <c r="Q2769" s="93">
        <v>37.700000000000003</v>
      </c>
      <c r="R2769" s="93" t="s">
        <v>7166</v>
      </c>
      <c r="S2769" s="93" t="s">
        <v>16</v>
      </c>
      <c r="T2769" s="93" t="s">
        <v>383</v>
      </c>
      <c r="U2769" s="93" t="s">
        <v>116</v>
      </c>
      <c r="V2769" s="94">
        <v>44628.490972222222</v>
      </c>
      <c r="W2769" s="93" t="s">
        <v>33</v>
      </c>
      <c r="X2769" s="93" t="s">
        <v>9</v>
      </c>
    </row>
    <row r="2770" spans="1:24" hidden="1" x14ac:dyDescent="0.15">
      <c r="A2770" s="93" t="s">
        <v>8129</v>
      </c>
      <c r="B2770" s="93" t="s">
        <v>8130</v>
      </c>
      <c r="C2770" s="410">
        <v>566.67999999999995</v>
      </c>
      <c r="D2770" s="93" t="s">
        <v>9</v>
      </c>
      <c r="E2770" s="93" t="s">
        <v>9</v>
      </c>
      <c r="F2770" s="93" t="s">
        <v>33</v>
      </c>
      <c r="G2770" s="93" t="s">
        <v>8114</v>
      </c>
      <c r="H2770" s="93" t="s">
        <v>8064</v>
      </c>
      <c r="I2770" s="93" t="s">
        <v>111</v>
      </c>
      <c r="J2770" s="93" t="s">
        <v>33</v>
      </c>
      <c r="K2770" s="93">
        <v>90</v>
      </c>
      <c r="L2770" s="93">
        <v>5</v>
      </c>
      <c r="M2770" s="93">
        <v>2.33</v>
      </c>
      <c r="N2770" s="93" t="s">
        <v>113</v>
      </c>
      <c r="O2770" s="93">
        <v>9.3000000000000007</v>
      </c>
      <c r="P2770" s="93">
        <v>26.7</v>
      </c>
      <c r="Q2770" s="93">
        <v>37.700000000000003</v>
      </c>
      <c r="R2770" s="93" t="s">
        <v>8077</v>
      </c>
      <c r="S2770" s="93" t="s">
        <v>16</v>
      </c>
      <c r="T2770" s="93" t="s">
        <v>384</v>
      </c>
      <c r="U2770" s="93" t="s">
        <v>116</v>
      </c>
      <c r="V2770" s="94">
        <v>44628.535416666666</v>
      </c>
      <c r="W2770" s="93" t="s">
        <v>33</v>
      </c>
      <c r="X2770" s="93" t="s">
        <v>9</v>
      </c>
    </row>
    <row r="2771" spans="1:24" hidden="1" x14ac:dyDescent="0.15">
      <c r="A2771" s="93" t="s">
        <v>8131</v>
      </c>
      <c r="B2771" s="93" t="s">
        <v>8132</v>
      </c>
      <c r="C2771" s="410">
        <v>1398.6</v>
      </c>
      <c r="D2771" s="93" t="s">
        <v>9</v>
      </c>
      <c r="E2771" s="93" t="s">
        <v>9</v>
      </c>
      <c r="F2771" s="93" t="s">
        <v>33</v>
      </c>
      <c r="G2771" s="93" t="s">
        <v>8133</v>
      </c>
      <c r="H2771" s="93" t="s">
        <v>8064</v>
      </c>
      <c r="I2771" s="93" t="s">
        <v>111</v>
      </c>
      <c r="J2771" s="93" t="s">
        <v>33</v>
      </c>
      <c r="K2771" s="93">
        <v>90</v>
      </c>
      <c r="L2771" s="93">
        <v>4</v>
      </c>
      <c r="M2771" s="93">
        <v>4.57</v>
      </c>
      <c r="N2771" s="93" t="s">
        <v>113</v>
      </c>
      <c r="O2771" s="93">
        <v>9.3000000000000007</v>
      </c>
      <c r="P2771" s="93">
        <v>34.299999999999997</v>
      </c>
      <c r="Q2771" s="93">
        <v>48.4</v>
      </c>
      <c r="R2771" s="93" t="s">
        <v>8095</v>
      </c>
      <c r="S2771" s="93" t="s">
        <v>16</v>
      </c>
      <c r="T2771" s="93" t="s">
        <v>383</v>
      </c>
      <c r="U2771" s="93" t="s">
        <v>116</v>
      </c>
      <c r="V2771" s="94">
        <v>44628.556250000001</v>
      </c>
      <c r="W2771" s="93" t="s">
        <v>33</v>
      </c>
      <c r="X2771" s="93" t="s">
        <v>9</v>
      </c>
    </row>
    <row r="2772" spans="1:24" hidden="1" x14ac:dyDescent="0.15">
      <c r="A2772" s="93" t="s">
        <v>8134</v>
      </c>
      <c r="B2772" s="93" t="s">
        <v>8135</v>
      </c>
      <c r="C2772" s="410">
        <v>1398.6</v>
      </c>
      <c r="D2772" s="93" t="s">
        <v>9</v>
      </c>
      <c r="E2772" s="93" t="s">
        <v>9</v>
      </c>
      <c r="F2772" s="93" t="s">
        <v>33</v>
      </c>
      <c r="G2772" s="93" t="s">
        <v>8133</v>
      </c>
      <c r="H2772" s="93" t="s">
        <v>8064</v>
      </c>
      <c r="I2772" s="93" t="s">
        <v>111</v>
      </c>
      <c r="J2772" s="93" t="s">
        <v>33</v>
      </c>
      <c r="K2772" s="93">
        <v>90</v>
      </c>
      <c r="L2772" s="93">
        <v>4</v>
      </c>
      <c r="M2772" s="93">
        <v>4.7220000000000004</v>
      </c>
      <c r="N2772" s="93" t="s">
        <v>113</v>
      </c>
      <c r="O2772" s="93">
        <v>9.3000000000000007</v>
      </c>
      <c r="P2772" s="93">
        <v>34.299999999999997</v>
      </c>
      <c r="Q2772" s="93">
        <v>48.4</v>
      </c>
      <c r="R2772" s="93" t="s">
        <v>8077</v>
      </c>
      <c r="S2772" s="93" t="s">
        <v>16</v>
      </c>
      <c r="T2772" s="93" t="s">
        <v>384</v>
      </c>
      <c r="U2772" s="93" t="s">
        <v>116</v>
      </c>
      <c r="V2772" s="94">
        <v>44628.6</v>
      </c>
      <c r="W2772" s="93" t="s">
        <v>33</v>
      </c>
      <c r="X2772" s="93" t="s">
        <v>9</v>
      </c>
    </row>
    <row r="2773" spans="1:24" hidden="1" x14ac:dyDescent="0.15">
      <c r="A2773" s="93" t="s">
        <v>8136</v>
      </c>
      <c r="B2773" s="93" t="s">
        <v>8137</v>
      </c>
      <c r="C2773" s="410">
        <v>1398.6</v>
      </c>
      <c r="D2773" s="93" t="s">
        <v>9</v>
      </c>
      <c r="E2773" s="93" t="s">
        <v>9</v>
      </c>
      <c r="F2773" s="93" t="s">
        <v>33</v>
      </c>
      <c r="G2773" s="93" t="s">
        <v>8133</v>
      </c>
      <c r="H2773" s="93" t="s">
        <v>8064</v>
      </c>
      <c r="I2773" s="93" t="s">
        <v>111</v>
      </c>
      <c r="J2773" s="93" t="s">
        <v>33</v>
      </c>
      <c r="K2773" s="93">
        <v>90</v>
      </c>
      <c r="L2773" s="93">
        <v>4</v>
      </c>
      <c r="M2773" s="93">
        <v>4.68</v>
      </c>
      <c r="N2773" s="93" t="s">
        <v>113</v>
      </c>
      <c r="O2773" s="93">
        <v>9.3000000000000007</v>
      </c>
      <c r="P2773" s="93">
        <v>34.299999999999997</v>
      </c>
      <c r="Q2773" s="93">
        <v>48.4</v>
      </c>
      <c r="R2773" s="93" t="s">
        <v>8077</v>
      </c>
      <c r="S2773" s="93" t="s">
        <v>16</v>
      </c>
      <c r="T2773" s="93" t="s">
        <v>384</v>
      </c>
      <c r="U2773" s="93" t="s">
        <v>116</v>
      </c>
      <c r="V2773" s="94">
        <v>44628.634722222225</v>
      </c>
      <c r="W2773" s="93" t="s">
        <v>33</v>
      </c>
      <c r="X2773" s="93" t="s">
        <v>9</v>
      </c>
    </row>
    <row r="2774" spans="1:24" hidden="1" x14ac:dyDescent="0.15">
      <c r="A2774" s="93" t="s">
        <v>8138</v>
      </c>
      <c r="B2774" s="93" t="s">
        <v>8139</v>
      </c>
      <c r="C2774" s="410">
        <v>1398.6</v>
      </c>
      <c r="D2774" s="93" t="s">
        <v>9</v>
      </c>
      <c r="E2774" s="93" t="s">
        <v>9</v>
      </c>
      <c r="F2774" s="93" t="s">
        <v>33</v>
      </c>
      <c r="G2774" s="93" t="s">
        <v>8133</v>
      </c>
      <c r="H2774" s="93" t="s">
        <v>8064</v>
      </c>
      <c r="I2774" s="93" t="s">
        <v>111</v>
      </c>
      <c r="J2774" s="93" t="s">
        <v>33</v>
      </c>
      <c r="K2774" s="93">
        <v>90</v>
      </c>
      <c r="L2774" s="93">
        <v>4</v>
      </c>
      <c r="M2774" s="93">
        <v>4.6909999999999998</v>
      </c>
      <c r="N2774" s="93" t="s">
        <v>113</v>
      </c>
      <c r="O2774" s="93">
        <v>9.3000000000000007</v>
      </c>
      <c r="P2774" s="93">
        <v>34.299999999999997</v>
      </c>
      <c r="Q2774" s="93">
        <v>48.4</v>
      </c>
      <c r="R2774" s="93" t="s">
        <v>8077</v>
      </c>
      <c r="S2774" s="93" t="s">
        <v>16</v>
      </c>
      <c r="T2774" s="93" t="s">
        <v>384</v>
      </c>
      <c r="U2774" s="93" t="s">
        <v>116</v>
      </c>
      <c r="V2774" s="94">
        <v>44628.513194444444</v>
      </c>
      <c r="W2774" s="93" t="s">
        <v>33</v>
      </c>
      <c r="X2774" s="93" t="s">
        <v>9</v>
      </c>
    </row>
    <row r="2775" spans="1:24" hidden="1" x14ac:dyDescent="0.15">
      <c r="A2775" s="93" t="s">
        <v>8140</v>
      </c>
      <c r="B2775" s="93" t="s">
        <v>8141</v>
      </c>
      <c r="C2775" s="410">
        <v>1398.6</v>
      </c>
      <c r="D2775" s="93" t="s">
        <v>9</v>
      </c>
      <c r="E2775" s="93" t="s">
        <v>9</v>
      </c>
      <c r="F2775" s="93" t="s">
        <v>33</v>
      </c>
      <c r="G2775" s="93" t="s">
        <v>8133</v>
      </c>
      <c r="H2775" s="93" t="s">
        <v>8064</v>
      </c>
      <c r="I2775" s="93" t="s">
        <v>111</v>
      </c>
      <c r="J2775" s="93" t="s">
        <v>33</v>
      </c>
      <c r="K2775" s="93">
        <v>90</v>
      </c>
      <c r="L2775" s="93">
        <v>4</v>
      </c>
      <c r="M2775" s="93">
        <v>4.71</v>
      </c>
      <c r="N2775" s="93" t="s">
        <v>113</v>
      </c>
      <c r="O2775" s="93">
        <v>9.3000000000000007</v>
      </c>
      <c r="P2775" s="93">
        <v>34.299999999999997</v>
      </c>
      <c r="Q2775" s="93">
        <v>48.4</v>
      </c>
      <c r="R2775" s="93" t="s">
        <v>7166</v>
      </c>
      <c r="S2775" s="93" t="s">
        <v>16</v>
      </c>
      <c r="T2775" s="93" t="s">
        <v>383</v>
      </c>
      <c r="U2775" s="93" t="s">
        <v>116</v>
      </c>
      <c r="V2775" s="94">
        <v>44628.513194444444</v>
      </c>
      <c r="W2775" s="93" t="s">
        <v>33</v>
      </c>
      <c r="X2775" s="93" t="s">
        <v>9</v>
      </c>
    </row>
    <row r="2776" spans="1:24" hidden="1" x14ac:dyDescent="0.15">
      <c r="A2776" s="93" t="s">
        <v>8142</v>
      </c>
      <c r="B2776" s="93" t="s">
        <v>8143</v>
      </c>
      <c r="C2776" s="410">
        <v>1398.6</v>
      </c>
      <c r="D2776" s="93" t="s">
        <v>9</v>
      </c>
      <c r="E2776" s="93" t="s">
        <v>9</v>
      </c>
      <c r="F2776" s="93" t="s">
        <v>33</v>
      </c>
      <c r="G2776" s="93" t="s">
        <v>8133</v>
      </c>
      <c r="H2776" s="93" t="s">
        <v>8064</v>
      </c>
      <c r="I2776" s="93" t="s">
        <v>111</v>
      </c>
      <c r="J2776" s="93" t="s">
        <v>33</v>
      </c>
      <c r="K2776" s="93">
        <v>90</v>
      </c>
      <c r="L2776" s="93">
        <v>4</v>
      </c>
      <c r="M2776" s="93">
        <v>4.71</v>
      </c>
      <c r="N2776" s="93" t="s">
        <v>113</v>
      </c>
      <c r="O2776" s="93">
        <v>9.3000000000000007</v>
      </c>
      <c r="P2776" s="93">
        <v>34.299999999999997</v>
      </c>
      <c r="Q2776" s="93">
        <v>48.4</v>
      </c>
      <c r="R2776" s="93" t="s">
        <v>7166</v>
      </c>
      <c r="S2776" s="93" t="s">
        <v>16</v>
      </c>
      <c r="T2776" s="93" t="s">
        <v>383</v>
      </c>
      <c r="U2776" s="93" t="s">
        <v>116</v>
      </c>
      <c r="V2776" s="94">
        <v>44628.634722222225</v>
      </c>
      <c r="W2776" s="93" t="s">
        <v>33</v>
      </c>
      <c r="X2776" s="93" t="s">
        <v>9</v>
      </c>
    </row>
    <row r="2777" spans="1:24" hidden="1" x14ac:dyDescent="0.15">
      <c r="A2777" s="93" t="s">
        <v>8144</v>
      </c>
      <c r="B2777" s="93" t="s">
        <v>8145</v>
      </c>
      <c r="C2777" s="410">
        <v>1398.6</v>
      </c>
      <c r="D2777" s="93" t="s">
        <v>9</v>
      </c>
      <c r="E2777" s="93" t="s">
        <v>9</v>
      </c>
      <c r="F2777" s="93" t="s">
        <v>33</v>
      </c>
      <c r="G2777" s="93" t="s">
        <v>8133</v>
      </c>
      <c r="H2777" s="93" t="s">
        <v>8064</v>
      </c>
      <c r="I2777" s="93" t="s">
        <v>111</v>
      </c>
      <c r="J2777" s="93" t="s">
        <v>33</v>
      </c>
      <c r="K2777" s="93">
        <v>90</v>
      </c>
      <c r="L2777" s="93">
        <v>4</v>
      </c>
      <c r="M2777" s="93">
        <v>4.7370000000000001</v>
      </c>
      <c r="N2777" s="93" t="s">
        <v>113</v>
      </c>
      <c r="O2777" s="93">
        <v>9.3000000000000007</v>
      </c>
      <c r="P2777" s="93">
        <v>34.299999999999997</v>
      </c>
      <c r="Q2777" s="93">
        <v>48.4</v>
      </c>
      <c r="R2777" s="93" t="s">
        <v>7166</v>
      </c>
      <c r="S2777" s="93" t="s">
        <v>16</v>
      </c>
      <c r="T2777" s="93" t="s">
        <v>383</v>
      </c>
      <c r="U2777" s="93" t="s">
        <v>116</v>
      </c>
      <c r="V2777" s="94">
        <v>44628.470138888886</v>
      </c>
      <c r="W2777" s="93" t="s">
        <v>33</v>
      </c>
      <c r="X2777" s="93" t="s">
        <v>9</v>
      </c>
    </row>
    <row r="2778" spans="1:24" hidden="1" x14ac:dyDescent="0.15">
      <c r="A2778" s="93" t="s">
        <v>8146</v>
      </c>
      <c r="B2778" s="93" t="s">
        <v>8147</v>
      </c>
      <c r="C2778" s="410">
        <v>1398.6</v>
      </c>
      <c r="D2778" s="93" t="s">
        <v>9</v>
      </c>
      <c r="E2778" s="93" t="s">
        <v>9</v>
      </c>
      <c r="F2778" s="93" t="s">
        <v>33</v>
      </c>
      <c r="G2778" s="93" t="s">
        <v>8133</v>
      </c>
      <c r="H2778" s="93" t="s">
        <v>8064</v>
      </c>
      <c r="I2778" s="93" t="s">
        <v>111</v>
      </c>
      <c r="J2778" s="93" t="s">
        <v>33</v>
      </c>
      <c r="K2778" s="93">
        <v>90</v>
      </c>
      <c r="L2778" s="93">
        <v>4</v>
      </c>
      <c r="M2778" s="93">
        <v>4.6900000000000004</v>
      </c>
      <c r="N2778" s="93" t="s">
        <v>113</v>
      </c>
      <c r="O2778" s="93">
        <v>9.3000000000000007</v>
      </c>
      <c r="P2778" s="93">
        <v>34.299999999999997</v>
      </c>
      <c r="Q2778" s="93">
        <v>48.4</v>
      </c>
      <c r="R2778" s="93" t="s">
        <v>7166</v>
      </c>
      <c r="S2778" s="93" t="s">
        <v>16</v>
      </c>
      <c r="T2778" s="93" t="s">
        <v>383</v>
      </c>
      <c r="U2778" s="93" t="s">
        <v>116</v>
      </c>
      <c r="V2778" s="94">
        <v>44628.490972222222</v>
      </c>
      <c r="W2778" s="93" t="s">
        <v>33</v>
      </c>
      <c r="X2778" s="93" t="s">
        <v>9</v>
      </c>
    </row>
    <row r="2779" spans="1:24" hidden="1" x14ac:dyDescent="0.15">
      <c r="A2779" s="93" t="s">
        <v>8148</v>
      </c>
      <c r="B2779" s="93" t="s">
        <v>8149</v>
      </c>
      <c r="C2779" s="410">
        <v>1482.52</v>
      </c>
      <c r="D2779" s="93" t="s">
        <v>9</v>
      </c>
      <c r="E2779" s="93" t="s">
        <v>9</v>
      </c>
      <c r="F2779" s="93" t="s">
        <v>33</v>
      </c>
      <c r="G2779" s="93" t="s">
        <v>8133</v>
      </c>
      <c r="H2779" s="93" t="s">
        <v>8064</v>
      </c>
      <c r="I2779" s="93" t="s">
        <v>111</v>
      </c>
      <c r="J2779" s="93" t="s">
        <v>33</v>
      </c>
      <c r="K2779" s="93">
        <v>90</v>
      </c>
      <c r="L2779" s="93">
        <v>4</v>
      </c>
      <c r="M2779" s="93">
        <v>4.6900000000000004</v>
      </c>
      <c r="N2779" s="93" t="s">
        <v>113</v>
      </c>
      <c r="O2779" s="93">
        <v>9.3000000000000007</v>
      </c>
      <c r="P2779" s="93">
        <v>34.299999999999997</v>
      </c>
      <c r="Q2779" s="93">
        <v>48.4</v>
      </c>
      <c r="R2779" s="93" t="s">
        <v>7166</v>
      </c>
      <c r="S2779" s="93" t="s">
        <v>16</v>
      </c>
      <c r="T2779" s="93" t="s">
        <v>383</v>
      </c>
      <c r="U2779" s="93" t="s">
        <v>116</v>
      </c>
      <c r="V2779" s="94">
        <v>44628.513194444444</v>
      </c>
      <c r="W2779" s="93" t="s">
        <v>33</v>
      </c>
      <c r="X2779" s="93" t="s">
        <v>9</v>
      </c>
    </row>
    <row r="2780" spans="1:24" hidden="1" x14ac:dyDescent="0.15">
      <c r="A2780" s="93" t="s">
        <v>8150</v>
      </c>
      <c r="B2780" s="93" t="s">
        <v>8151</v>
      </c>
      <c r="C2780" s="410">
        <v>966.6</v>
      </c>
      <c r="D2780" s="93" t="s">
        <v>9</v>
      </c>
      <c r="E2780" s="93" t="s">
        <v>9</v>
      </c>
      <c r="F2780" s="93" t="s">
        <v>33</v>
      </c>
      <c r="G2780" s="93" t="s">
        <v>8152</v>
      </c>
      <c r="H2780" s="93" t="s">
        <v>8064</v>
      </c>
      <c r="I2780" s="93" t="s">
        <v>111</v>
      </c>
      <c r="J2780" s="93" t="s">
        <v>33</v>
      </c>
      <c r="K2780" s="93">
        <v>90</v>
      </c>
      <c r="L2780" s="93">
        <v>4</v>
      </c>
      <c r="M2780" s="93">
        <v>3.32</v>
      </c>
      <c r="N2780" s="93" t="s">
        <v>113</v>
      </c>
      <c r="O2780" s="93">
        <v>9.3000000000000007</v>
      </c>
      <c r="P2780" s="93">
        <v>30.3</v>
      </c>
      <c r="Q2780" s="93">
        <v>48.4</v>
      </c>
      <c r="R2780" s="93" t="s">
        <v>8095</v>
      </c>
      <c r="S2780" s="93" t="s">
        <v>16</v>
      </c>
      <c r="T2780" s="93" t="s">
        <v>383</v>
      </c>
      <c r="U2780" s="93" t="s">
        <v>116</v>
      </c>
      <c r="V2780" s="94">
        <v>44628.599305555559</v>
      </c>
      <c r="W2780" s="93" t="s">
        <v>33</v>
      </c>
      <c r="X2780" s="93" t="s">
        <v>9</v>
      </c>
    </row>
    <row r="2781" spans="1:24" hidden="1" x14ac:dyDescent="0.15">
      <c r="A2781" s="93" t="s">
        <v>8153</v>
      </c>
      <c r="B2781" s="93" t="s">
        <v>8154</v>
      </c>
      <c r="C2781" s="410">
        <v>966.6</v>
      </c>
      <c r="D2781" s="93" t="s">
        <v>9</v>
      </c>
      <c r="E2781" s="93" t="s">
        <v>9</v>
      </c>
      <c r="F2781" s="93" t="s">
        <v>33</v>
      </c>
      <c r="G2781" s="93" t="s">
        <v>8152</v>
      </c>
      <c r="H2781" s="93" t="s">
        <v>8064</v>
      </c>
      <c r="I2781" s="93" t="s">
        <v>111</v>
      </c>
      <c r="J2781" s="93" t="s">
        <v>33</v>
      </c>
      <c r="K2781" s="93">
        <v>90</v>
      </c>
      <c r="L2781" s="93">
        <v>4</v>
      </c>
      <c r="M2781" s="93">
        <v>3.472</v>
      </c>
      <c r="N2781" s="93" t="s">
        <v>113</v>
      </c>
      <c r="O2781" s="93">
        <v>9.3000000000000007</v>
      </c>
      <c r="P2781" s="93">
        <v>30.3</v>
      </c>
      <c r="Q2781" s="93">
        <v>48.4</v>
      </c>
      <c r="R2781" s="93" t="s">
        <v>8077</v>
      </c>
      <c r="S2781" s="93" t="s">
        <v>16</v>
      </c>
      <c r="T2781" s="93" t="s">
        <v>384</v>
      </c>
      <c r="U2781" s="93" t="s">
        <v>116</v>
      </c>
      <c r="V2781" s="94">
        <v>44628.535416666666</v>
      </c>
      <c r="W2781" s="93" t="s">
        <v>33</v>
      </c>
      <c r="X2781" s="93" t="s">
        <v>9</v>
      </c>
    </row>
    <row r="2782" spans="1:24" hidden="1" x14ac:dyDescent="0.15">
      <c r="A2782" s="93" t="s">
        <v>8155</v>
      </c>
      <c r="B2782" s="93" t="s">
        <v>8156</v>
      </c>
      <c r="C2782" s="410">
        <v>966.6</v>
      </c>
      <c r="D2782" s="93" t="s">
        <v>9</v>
      </c>
      <c r="E2782" s="93" t="s">
        <v>9</v>
      </c>
      <c r="F2782" s="93" t="s">
        <v>33</v>
      </c>
      <c r="G2782" s="93" t="s">
        <v>8152</v>
      </c>
      <c r="H2782" s="93" t="s">
        <v>8064</v>
      </c>
      <c r="I2782" s="93" t="s">
        <v>111</v>
      </c>
      <c r="J2782" s="93" t="s">
        <v>33</v>
      </c>
      <c r="K2782" s="93">
        <v>90</v>
      </c>
      <c r="L2782" s="93">
        <v>4</v>
      </c>
      <c r="M2782" s="93">
        <v>3.43</v>
      </c>
      <c r="N2782" s="93" t="s">
        <v>113</v>
      </c>
      <c r="O2782" s="93">
        <v>9.3000000000000007</v>
      </c>
      <c r="P2782" s="93">
        <v>30.3</v>
      </c>
      <c r="Q2782" s="93">
        <v>48.4</v>
      </c>
      <c r="R2782" s="93" t="s">
        <v>8077</v>
      </c>
      <c r="S2782" s="93" t="s">
        <v>16</v>
      </c>
      <c r="T2782" s="93" t="s">
        <v>384</v>
      </c>
      <c r="U2782" s="93" t="s">
        <v>116</v>
      </c>
      <c r="V2782" s="94">
        <v>44628.470138888886</v>
      </c>
      <c r="W2782" s="93" t="s">
        <v>33</v>
      </c>
      <c r="X2782" s="93" t="s">
        <v>9</v>
      </c>
    </row>
    <row r="2783" spans="1:24" hidden="1" x14ac:dyDescent="0.15">
      <c r="A2783" s="93" t="s">
        <v>8157</v>
      </c>
      <c r="B2783" s="93" t="s">
        <v>8158</v>
      </c>
      <c r="C2783" s="410">
        <v>966.6</v>
      </c>
      <c r="D2783" s="93" t="s">
        <v>9</v>
      </c>
      <c r="E2783" s="93" t="s">
        <v>9</v>
      </c>
      <c r="F2783" s="93" t="s">
        <v>33</v>
      </c>
      <c r="G2783" s="93" t="s">
        <v>8152</v>
      </c>
      <c r="H2783" s="93" t="s">
        <v>8064</v>
      </c>
      <c r="I2783" s="93" t="s">
        <v>111</v>
      </c>
      <c r="J2783" s="93" t="s">
        <v>33</v>
      </c>
      <c r="K2783" s="93">
        <v>90</v>
      </c>
      <c r="L2783" s="93">
        <v>4</v>
      </c>
      <c r="M2783" s="93">
        <v>3.4409999999999998</v>
      </c>
      <c r="N2783" s="93" t="s">
        <v>113</v>
      </c>
      <c r="O2783" s="93">
        <v>9.3000000000000007</v>
      </c>
      <c r="P2783" s="93">
        <v>30.3</v>
      </c>
      <c r="Q2783" s="93">
        <v>48.4</v>
      </c>
      <c r="R2783" s="93" t="s">
        <v>8077</v>
      </c>
      <c r="S2783" s="93" t="s">
        <v>16</v>
      </c>
      <c r="T2783" s="93" t="s">
        <v>384</v>
      </c>
      <c r="U2783" s="93" t="s">
        <v>116</v>
      </c>
      <c r="V2783" s="94">
        <v>44628.490972222222</v>
      </c>
      <c r="W2783" s="93" t="s">
        <v>33</v>
      </c>
      <c r="X2783" s="93" t="s">
        <v>9</v>
      </c>
    </row>
    <row r="2784" spans="1:24" hidden="1" x14ac:dyDescent="0.15">
      <c r="A2784" s="93" t="s">
        <v>8159</v>
      </c>
      <c r="B2784" s="93" t="s">
        <v>8160</v>
      </c>
      <c r="C2784" s="410">
        <v>966.6</v>
      </c>
      <c r="D2784" s="93" t="s">
        <v>9</v>
      </c>
      <c r="E2784" s="93" t="s">
        <v>9</v>
      </c>
      <c r="F2784" s="93" t="s">
        <v>33</v>
      </c>
      <c r="G2784" s="93" t="s">
        <v>8152</v>
      </c>
      <c r="H2784" s="93" t="s">
        <v>8064</v>
      </c>
      <c r="I2784" s="93" t="s">
        <v>111</v>
      </c>
      <c r="J2784" s="93" t="s">
        <v>33</v>
      </c>
      <c r="K2784" s="93">
        <v>90</v>
      </c>
      <c r="L2784" s="93">
        <v>4</v>
      </c>
      <c r="M2784" s="93">
        <v>3.46</v>
      </c>
      <c r="N2784" s="93" t="s">
        <v>113</v>
      </c>
      <c r="O2784" s="93">
        <v>9.3000000000000007</v>
      </c>
      <c r="P2784" s="93">
        <v>30.3</v>
      </c>
      <c r="Q2784" s="93">
        <v>48.4</v>
      </c>
      <c r="R2784" s="93" t="s">
        <v>7166</v>
      </c>
      <c r="S2784" s="93" t="s">
        <v>16</v>
      </c>
      <c r="T2784" s="93" t="s">
        <v>383</v>
      </c>
      <c r="U2784" s="93" t="s">
        <v>116</v>
      </c>
      <c r="V2784" s="94">
        <v>44628.556250000001</v>
      </c>
      <c r="W2784" s="93" t="s">
        <v>33</v>
      </c>
      <c r="X2784" s="93" t="s">
        <v>9</v>
      </c>
    </row>
    <row r="2785" spans="1:24" hidden="1" x14ac:dyDescent="0.15">
      <c r="A2785" s="93" t="s">
        <v>8161</v>
      </c>
      <c r="B2785" s="93" t="s">
        <v>8162</v>
      </c>
      <c r="C2785" s="410">
        <v>966.6</v>
      </c>
      <c r="D2785" s="93" t="s">
        <v>9</v>
      </c>
      <c r="E2785" s="93" t="s">
        <v>9</v>
      </c>
      <c r="F2785" s="93" t="s">
        <v>33</v>
      </c>
      <c r="G2785" s="93" t="s">
        <v>8152</v>
      </c>
      <c r="H2785" s="93" t="s">
        <v>8064</v>
      </c>
      <c r="I2785" s="93" t="s">
        <v>111</v>
      </c>
      <c r="J2785" s="93" t="s">
        <v>33</v>
      </c>
      <c r="K2785" s="93">
        <v>90</v>
      </c>
      <c r="L2785" s="93">
        <v>4</v>
      </c>
      <c r="M2785" s="93">
        <v>3.46</v>
      </c>
      <c r="N2785" s="93" t="s">
        <v>113</v>
      </c>
      <c r="O2785" s="93">
        <v>9.3000000000000007</v>
      </c>
      <c r="P2785" s="93">
        <v>30.3</v>
      </c>
      <c r="Q2785" s="93">
        <v>48.4</v>
      </c>
      <c r="R2785" s="93" t="s">
        <v>8077</v>
      </c>
      <c r="S2785" s="93" t="s">
        <v>16</v>
      </c>
      <c r="T2785" s="93" t="s">
        <v>384</v>
      </c>
      <c r="U2785" s="93" t="s">
        <v>116</v>
      </c>
      <c r="V2785" s="94">
        <v>44628.556250000001</v>
      </c>
      <c r="W2785" s="93" t="s">
        <v>33</v>
      </c>
      <c r="X2785" s="93" t="s">
        <v>9</v>
      </c>
    </row>
    <row r="2786" spans="1:24" hidden="1" x14ac:dyDescent="0.15">
      <c r="A2786" s="93" t="s">
        <v>8163</v>
      </c>
      <c r="B2786" s="93" t="s">
        <v>8164</v>
      </c>
      <c r="C2786" s="410">
        <v>966.6</v>
      </c>
      <c r="D2786" s="93" t="s">
        <v>9</v>
      </c>
      <c r="E2786" s="93" t="s">
        <v>9</v>
      </c>
      <c r="F2786" s="93" t="s">
        <v>33</v>
      </c>
      <c r="G2786" s="93" t="s">
        <v>8152</v>
      </c>
      <c r="H2786" s="93" t="s">
        <v>8064</v>
      </c>
      <c r="I2786" s="93" t="s">
        <v>111</v>
      </c>
      <c r="J2786" s="93" t="s">
        <v>33</v>
      </c>
      <c r="K2786" s="93">
        <v>90</v>
      </c>
      <c r="L2786" s="93">
        <v>4</v>
      </c>
      <c r="M2786" s="93">
        <v>3.4870000000000001</v>
      </c>
      <c r="N2786" s="93" t="s">
        <v>113</v>
      </c>
      <c r="O2786" s="93">
        <v>9.3000000000000007</v>
      </c>
      <c r="P2786" s="93">
        <v>30.3</v>
      </c>
      <c r="Q2786" s="93">
        <v>48.4</v>
      </c>
      <c r="R2786" s="93" t="s">
        <v>8077</v>
      </c>
      <c r="S2786" s="93" t="s">
        <v>16</v>
      </c>
      <c r="T2786" s="93" t="s">
        <v>384</v>
      </c>
      <c r="U2786" s="93" t="s">
        <v>116</v>
      </c>
      <c r="V2786" s="94">
        <v>44628.6</v>
      </c>
      <c r="W2786" s="93" t="s">
        <v>33</v>
      </c>
      <c r="X2786" s="93" t="s">
        <v>9</v>
      </c>
    </row>
    <row r="2787" spans="1:24" hidden="1" x14ac:dyDescent="0.15">
      <c r="A2787" s="93" t="s">
        <v>8165</v>
      </c>
      <c r="B2787" s="93" t="s">
        <v>8166</v>
      </c>
      <c r="C2787" s="410">
        <v>966.6</v>
      </c>
      <c r="D2787" s="93" t="s">
        <v>9</v>
      </c>
      <c r="E2787" s="93" t="s">
        <v>9</v>
      </c>
      <c r="F2787" s="93" t="s">
        <v>33</v>
      </c>
      <c r="G2787" s="93" t="s">
        <v>8152</v>
      </c>
      <c r="H2787" s="93" t="s">
        <v>8064</v>
      </c>
      <c r="I2787" s="93" t="s">
        <v>111</v>
      </c>
      <c r="J2787" s="93" t="s">
        <v>33</v>
      </c>
      <c r="K2787" s="93">
        <v>90</v>
      </c>
      <c r="L2787" s="93">
        <v>4</v>
      </c>
      <c r="M2787" s="93">
        <v>3.44</v>
      </c>
      <c r="N2787" s="93" t="s">
        <v>113</v>
      </c>
      <c r="O2787" s="93">
        <v>9.3000000000000007</v>
      </c>
      <c r="P2787" s="93">
        <v>30.3</v>
      </c>
      <c r="Q2787" s="93">
        <v>48.4</v>
      </c>
      <c r="R2787" s="93" t="s">
        <v>8077</v>
      </c>
      <c r="S2787" s="93" t="s">
        <v>16</v>
      </c>
      <c r="T2787" s="93" t="s">
        <v>384</v>
      </c>
      <c r="U2787" s="93" t="s">
        <v>116</v>
      </c>
      <c r="V2787" s="94">
        <v>44628.577777777777</v>
      </c>
      <c r="W2787" s="93" t="s">
        <v>33</v>
      </c>
      <c r="X2787" s="93" t="s">
        <v>9</v>
      </c>
    </row>
    <row r="2788" spans="1:24" hidden="1" x14ac:dyDescent="0.15">
      <c r="A2788" s="93" t="s">
        <v>8167</v>
      </c>
      <c r="B2788" s="93" t="s">
        <v>8168</v>
      </c>
      <c r="C2788" s="410">
        <v>1024.5999999999999</v>
      </c>
      <c r="D2788" s="93" t="s">
        <v>9</v>
      </c>
      <c r="E2788" s="93" t="s">
        <v>9</v>
      </c>
      <c r="F2788" s="93" t="s">
        <v>33</v>
      </c>
      <c r="G2788" s="93" t="s">
        <v>8152</v>
      </c>
      <c r="H2788" s="93" t="s">
        <v>8064</v>
      </c>
      <c r="I2788" s="93" t="s">
        <v>111</v>
      </c>
      <c r="J2788" s="93" t="s">
        <v>33</v>
      </c>
      <c r="K2788" s="93">
        <v>90</v>
      </c>
      <c r="L2788" s="93">
        <v>4</v>
      </c>
      <c r="M2788" s="93">
        <v>3.44</v>
      </c>
      <c r="N2788" s="93" t="s">
        <v>113</v>
      </c>
      <c r="O2788" s="93">
        <v>9.3000000000000007</v>
      </c>
      <c r="P2788" s="93">
        <v>30.3</v>
      </c>
      <c r="Q2788" s="93">
        <v>48.4</v>
      </c>
      <c r="R2788" s="93" t="s">
        <v>8077</v>
      </c>
      <c r="S2788" s="93" t="s">
        <v>16</v>
      </c>
      <c r="T2788" s="93" t="s">
        <v>384</v>
      </c>
      <c r="U2788" s="93" t="s">
        <v>116</v>
      </c>
      <c r="V2788" s="94">
        <v>44628.513194444444</v>
      </c>
      <c r="W2788" s="93" t="s">
        <v>33</v>
      </c>
      <c r="X2788" s="93" t="s">
        <v>9</v>
      </c>
    </row>
    <row r="2789" spans="1:24" hidden="1" x14ac:dyDescent="0.15">
      <c r="A2789" s="93" t="s">
        <v>8169</v>
      </c>
      <c r="B2789" s="93" t="s">
        <v>8170</v>
      </c>
      <c r="C2789" s="410">
        <v>9.67</v>
      </c>
      <c r="D2789" s="93" t="s">
        <v>24</v>
      </c>
      <c r="E2789" s="93" t="s">
        <v>24</v>
      </c>
      <c r="F2789" s="93" t="s">
        <v>7070</v>
      </c>
      <c r="G2789" s="93" t="s">
        <v>8059</v>
      </c>
      <c r="H2789" s="93" t="s">
        <v>11</v>
      </c>
      <c r="I2789" s="93" t="s">
        <v>111</v>
      </c>
      <c r="J2789" s="93" t="s">
        <v>33</v>
      </c>
      <c r="K2789" s="93">
        <v>90</v>
      </c>
      <c r="L2789" s="93">
        <v>10</v>
      </c>
      <c r="M2789" s="93">
        <v>0.1</v>
      </c>
      <c r="N2789" s="93" t="s">
        <v>113</v>
      </c>
      <c r="O2789" s="93">
        <v>2.95</v>
      </c>
      <c r="P2789" s="93">
        <v>6.9</v>
      </c>
      <c r="Q2789" s="93">
        <v>7.3</v>
      </c>
      <c r="R2789" s="93" t="s">
        <v>385</v>
      </c>
      <c r="S2789" s="93" t="s">
        <v>20</v>
      </c>
      <c r="T2789" s="93" t="s">
        <v>115</v>
      </c>
      <c r="U2789" s="93" t="s">
        <v>116</v>
      </c>
      <c r="V2789" s="94">
        <v>44628.631249999999</v>
      </c>
      <c r="W2789" s="93" t="s">
        <v>8060</v>
      </c>
      <c r="X2789" s="93" t="s">
        <v>9</v>
      </c>
    </row>
    <row r="2790" spans="1:24" hidden="1" x14ac:dyDescent="0.15">
      <c r="A2790" s="93" t="s">
        <v>8171</v>
      </c>
      <c r="B2790" s="93" t="s">
        <v>8172</v>
      </c>
      <c r="C2790" s="410">
        <v>17.82</v>
      </c>
      <c r="D2790" s="93" t="s">
        <v>9</v>
      </c>
      <c r="E2790" s="93" t="s">
        <v>24</v>
      </c>
      <c r="F2790" s="93" t="s">
        <v>7070</v>
      </c>
      <c r="G2790" s="93" t="s">
        <v>8059</v>
      </c>
      <c r="H2790" s="93" t="s">
        <v>11</v>
      </c>
      <c r="I2790" s="93" t="s">
        <v>111</v>
      </c>
      <c r="J2790" s="93" t="s">
        <v>33</v>
      </c>
      <c r="K2790" s="93">
        <v>90</v>
      </c>
      <c r="L2790" s="93">
        <v>10</v>
      </c>
      <c r="M2790" s="93">
        <v>0.28199999999999997</v>
      </c>
      <c r="N2790" s="93" t="s">
        <v>113</v>
      </c>
      <c r="O2790" s="93">
        <v>5.05</v>
      </c>
      <c r="P2790" s="93">
        <v>5.9</v>
      </c>
      <c r="Q2790" s="93">
        <v>25.7</v>
      </c>
      <c r="R2790" s="93" t="s">
        <v>385</v>
      </c>
      <c r="S2790" s="93" t="s">
        <v>20</v>
      </c>
      <c r="T2790" s="93" t="s">
        <v>115</v>
      </c>
      <c r="U2790" s="93" t="s">
        <v>116</v>
      </c>
      <c r="V2790" s="94">
        <v>44628.57708333333</v>
      </c>
      <c r="W2790" s="93" t="s">
        <v>8060</v>
      </c>
      <c r="X2790" s="93" t="s">
        <v>9</v>
      </c>
    </row>
    <row r="2791" spans="1:24" hidden="1" x14ac:dyDescent="0.15">
      <c r="A2791" s="93" t="s">
        <v>8173</v>
      </c>
      <c r="B2791" s="93" t="s">
        <v>8174</v>
      </c>
      <c r="C2791" s="410">
        <v>15.95</v>
      </c>
      <c r="D2791" s="93" t="s">
        <v>24</v>
      </c>
      <c r="E2791" s="93" t="s">
        <v>24</v>
      </c>
      <c r="F2791" s="93" t="s">
        <v>7070</v>
      </c>
      <c r="G2791" s="93" t="s">
        <v>8059</v>
      </c>
      <c r="H2791" s="93" t="s">
        <v>11</v>
      </c>
      <c r="I2791" s="93" t="s">
        <v>111</v>
      </c>
      <c r="J2791" s="93" t="s">
        <v>33</v>
      </c>
      <c r="K2791" s="93">
        <v>90</v>
      </c>
      <c r="L2791" s="93">
        <v>10</v>
      </c>
      <c r="M2791" s="93">
        <v>2.8849999999999998</v>
      </c>
      <c r="N2791" s="93" t="s">
        <v>113</v>
      </c>
      <c r="O2791" s="93">
        <v>5.0999999999999996</v>
      </c>
      <c r="P2791" s="93">
        <v>24</v>
      </c>
      <c r="Q2791" s="93">
        <v>6.9</v>
      </c>
      <c r="R2791" s="93" t="s">
        <v>385</v>
      </c>
      <c r="S2791" s="93" t="s">
        <v>20</v>
      </c>
      <c r="T2791" s="93" t="s">
        <v>115</v>
      </c>
      <c r="U2791" s="93" t="s">
        <v>116</v>
      </c>
      <c r="V2791" s="94">
        <v>44628.486805555556</v>
      </c>
      <c r="W2791" s="93" t="s">
        <v>8060</v>
      </c>
      <c r="X2791" s="93" t="s">
        <v>9</v>
      </c>
    </row>
    <row r="2792" spans="1:24" hidden="1" x14ac:dyDescent="0.15">
      <c r="A2792" s="93" t="s">
        <v>8175</v>
      </c>
      <c r="B2792" s="93" t="s">
        <v>9368</v>
      </c>
      <c r="C2792" s="410">
        <v>17.23</v>
      </c>
      <c r="D2792" s="93" t="s">
        <v>24</v>
      </c>
      <c r="E2792" s="93" t="s">
        <v>24</v>
      </c>
      <c r="F2792" s="93" t="s">
        <v>7070</v>
      </c>
      <c r="G2792" s="93" t="s">
        <v>8059</v>
      </c>
      <c r="H2792" s="93" t="s">
        <v>11</v>
      </c>
      <c r="I2792" s="93" t="s">
        <v>111</v>
      </c>
      <c r="J2792" s="93" t="s">
        <v>33</v>
      </c>
      <c r="K2792" s="93">
        <v>90</v>
      </c>
      <c r="L2792" s="93">
        <v>10</v>
      </c>
      <c r="M2792" s="93">
        <v>0.26200000000000001</v>
      </c>
      <c r="N2792" s="93" t="s">
        <v>113</v>
      </c>
      <c r="O2792" s="93">
        <v>5.05</v>
      </c>
      <c r="P2792" s="93">
        <v>5.9</v>
      </c>
      <c r="Q2792" s="93">
        <v>25.7</v>
      </c>
      <c r="R2792" s="93" t="s">
        <v>385</v>
      </c>
      <c r="S2792" s="93" t="s">
        <v>20</v>
      </c>
      <c r="T2792" s="93" t="s">
        <v>115</v>
      </c>
      <c r="U2792" s="93" t="s">
        <v>116</v>
      </c>
      <c r="V2792" s="94">
        <v>44628.59375</v>
      </c>
      <c r="W2792" s="93" t="s">
        <v>8060</v>
      </c>
      <c r="X2792" s="93" t="s">
        <v>9</v>
      </c>
    </row>
    <row r="2793" spans="1:24" hidden="1" x14ac:dyDescent="0.15">
      <c r="A2793" s="93" t="s">
        <v>8177</v>
      </c>
      <c r="B2793" s="93" t="s">
        <v>8178</v>
      </c>
      <c r="C2793" s="410">
        <v>696.6</v>
      </c>
      <c r="D2793" s="93" t="s">
        <v>24</v>
      </c>
      <c r="E2793" s="93" t="s">
        <v>24</v>
      </c>
      <c r="F2793" s="93" t="s">
        <v>7070</v>
      </c>
      <c r="G2793" s="93" t="s">
        <v>8059</v>
      </c>
      <c r="H2793" s="93" t="s">
        <v>11</v>
      </c>
      <c r="I2793" s="93" t="s">
        <v>111</v>
      </c>
      <c r="J2793" s="93" t="s">
        <v>33</v>
      </c>
      <c r="K2793" s="93">
        <v>90</v>
      </c>
      <c r="L2793" s="93">
        <v>1</v>
      </c>
      <c r="M2793" s="93">
        <v>1.33</v>
      </c>
      <c r="N2793" s="93" t="s">
        <v>113</v>
      </c>
      <c r="O2793" s="93">
        <v>32.5</v>
      </c>
      <c r="P2793" s="93">
        <v>10.4</v>
      </c>
      <c r="Q2793" s="93">
        <v>16</v>
      </c>
      <c r="R2793" s="93" t="s">
        <v>121</v>
      </c>
      <c r="S2793" s="93" t="s">
        <v>16</v>
      </c>
      <c r="T2793" s="93" t="s">
        <v>115</v>
      </c>
      <c r="U2793" s="93" t="s">
        <v>116</v>
      </c>
      <c r="V2793" s="94">
        <v>44628.59652777778</v>
      </c>
      <c r="W2793" s="93" t="s">
        <v>8060</v>
      </c>
      <c r="X2793" s="93" t="s">
        <v>9</v>
      </c>
    </row>
    <row r="2794" spans="1:24" hidden="1" x14ac:dyDescent="0.15">
      <c r="A2794" s="93" t="s">
        <v>8179</v>
      </c>
      <c r="B2794" s="93" t="s">
        <v>8180</v>
      </c>
      <c r="C2794" s="410">
        <v>372.6</v>
      </c>
      <c r="D2794" s="93" t="s">
        <v>24</v>
      </c>
      <c r="E2794" s="93" t="s">
        <v>24</v>
      </c>
      <c r="F2794" s="93" t="s">
        <v>7070</v>
      </c>
      <c r="G2794" s="93" t="s">
        <v>8059</v>
      </c>
      <c r="H2794" s="93" t="s">
        <v>11</v>
      </c>
      <c r="I2794" s="93" t="s">
        <v>111</v>
      </c>
      <c r="J2794" s="93" t="s">
        <v>33</v>
      </c>
      <c r="K2794" s="93">
        <v>90</v>
      </c>
      <c r="L2794" s="93">
        <v>6</v>
      </c>
      <c r="M2794" s="93">
        <v>1.33</v>
      </c>
      <c r="N2794" s="93" t="s">
        <v>113</v>
      </c>
      <c r="O2794" s="93">
        <v>32.5</v>
      </c>
      <c r="P2794" s="93">
        <v>10.4</v>
      </c>
      <c r="Q2794" s="93">
        <v>16</v>
      </c>
      <c r="R2794" s="93" t="s">
        <v>121</v>
      </c>
      <c r="S2794" s="93" t="s">
        <v>16</v>
      </c>
      <c r="T2794" s="93" t="s">
        <v>115</v>
      </c>
      <c r="U2794" s="93" t="s">
        <v>116</v>
      </c>
      <c r="V2794" s="94">
        <v>44628.509722222225</v>
      </c>
      <c r="W2794" s="93" t="s">
        <v>8060</v>
      </c>
      <c r="X2794" s="93" t="s">
        <v>9</v>
      </c>
    </row>
    <row r="2795" spans="1:24" hidden="1" x14ac:dyDescent="0.15">
      <c r="A2795" s="93" t="s">
        <v>8181</v>
      </c>
      <c r="B2795" s="93" t="s">
        <v>8182</v>
      </c>
      <c r="C2795" s="410">
        <v>588.6</v>
      </c>
      <c r="D2795" s="93" t="s">
        <v>24</v>
      </c>
      <c r="E2795" s="93" t="s">
        <v>24</v>
      </c>
      <c r="F2795" s="93" t="s">
        <v>7070</v>
      </c>
      <c r="G2795" s="93" t="s">
        <v>8059</v>
      </c>
      <c r="H2795" s="93" t="s">
        <v>11</v>
      </c>
      <c r="I2795" s="93" t="s">
        <v>111</v>
      </c>
      <c r="J2795" s="93" t="s">
        <v>33</v>
      </c>
      <c r="K2795" s="93">
        <v>90</v>
      </c>
      <c r="L2795" s="93">
        <v>6</v>
      </c>
      <c r="M2795" s="93">
        <v>1.33</v>
      </c>
      <c r="N2795" s="93" t="s">
        <v>113</v>
      </c>
      <c r="O2795" s="93">
        <v>32.5</v>
      </c>
      <c r="P2795" s="93">
        <v>10.4</v>
      </c>
      <c r="Q2795" s="93">
        <v>16</v>
      </c>
      <c r="R2795" s="93" t="s">
        <v>121</v>
      </c>
      <c r="S2795" s="93" t="s">
        <v>16</v>
      </c>
      <c r="T2795" s="93" t="s">
        <v>115</v>
      </c>
      <c r="U2795" s="93" t="s">
        <v>116</v>
      </c>
      <c r="V2795" s="94">
        <v>44628.574305555558</v>
      </c>
      <c r="W2795" s="93" t="s">
        <v>8060</v>
      </c>
      <c r="X2795" s="93" t="s">
        <v>9</v>
      </c>
    </row>
    <row r="2796" spans="1:24" hidden="1" x14ac:dyDescent="0.15">
      <c r="A2796" s="93" t="s">
        <v>8183</v>
      </c>
      <c r="B2796" s="93" t="s">
        <v>8184</v>
      </c>
      <c r="C2796" s="410">
        <v>1182.5999999999999</v>
      </c>
      <c r="D2796" s="93" t="s">
        <v>24</v>
      </c>
      <c r="E2796" s="93" t="s">
        <v>24</v>
      </c>
      <c r="F2796" s="93" t="s">
        <v>7070</v>
      </c>
      <c r="G2796" s="93" t="s">
        <v>8059</v>
      </c>
      <c r="H2796" s="93" t="s">
        <v>11</v>
      </c>
      <c r="I2796" s="93" t="s">
        <v>111</v>
      </c>
      <c r="J2796" s="93" t="s">
        <v>33</v>
      </c>
      <c r="K2796" s="93">
        <v>90</v>
      </c>
      <c r="L2796" s="93">
        <v>1</v>
      </c>
      <c r="M2796" s="93" t="s">
        <v>111</v>
      </c>
      <c r="N2796" s="93" t="s">
        <v>111</v>
      </c>
      <c r="O2796" s="93" t="s">
        <v>111</v>
      </c>
      <c r="P2796" s="93" t="s">
        <v>111</v>
      </c>
      <c r="Q2796" s="93" t="s">
        <v>111</v>
      </c>
      <c r="R2796" s="93" t="s">
        <v>121</v>
      </c>
      <c r="S2796" s="93" t="s">
        <v>16</v>
      </c>
      <c r="T2796" s="93" t="s">
        <v>115</v>
      </c>
      <c r="U2796" s="93" t="s">
        <v>116</v>
      </c>
      <c r="V2796" s="94">
        <v>44628.531944444447</v>
      </c>
      <c r="W2796" s="93" t="s">
        <v>8060</v>
      </c>
      <c r="X2796" s="93" t="s">
        <v>9</v>
      </c>
    </row>
    <row r="2797" spans="1:24" hidden="1" x14ac:dyDescent="0.15">
      <c r="A2797" s="93" t="s">
        <v>8185</v>
      </c>
      <c r="B2797" s="93" t="s">
        <v>8186</v>
      </c>
      <c r="C2797" s="410">
        <v>804.6</v>
      </c>
      <c r="D2797" s="93" t="s">
        <v>24</v>
      </c>
      <c r="E2797" s="93" t="s">
        <v>24</v>
      </c>
      <c r="F2797" s="93" t="s">
        <v>7070</v>
      </c>
      <c r="G2797" s="93" t="s">
        <v>8059</v>
      </c>
      <c r="H2797" s="93" t="s">
        <v>11</v>
      </c>
      <c r="I2797" s="93" t="s">
        <v>111</v>
      </c>
      <c r="J2797" s="93" t="s">
        <v>33</v>
      </c>
      <c r="K2797" s="93">
        <v>90</v>
      </c>
      <c r="L2797" s="93">
        <v>4</v>
      </c>
      <c r="M2797" s="93" t="s">
        <v>111</v>
      </c>
      <c r="N2797" s="93" t="s">
        <v>111</v>
      </c>
      <c r="O2797" s="93" t="s">
        <v>111</v>
      </c>
      <c r="P2797" s="93" t="s">
        <v>111</v>
      </c>
      <c r="Q2797" s="93" t="s">
        <v>111</v>
      </c>
      <c r="R2797" s="93" t="s">
        <v>121</v>
      </c>
      <c r="S2797" s="93" t="s">
        <v>16</v>
      </c>
      <c r="T2797" s="93" t="s">
        <v>115</v>
      </c>
      <c r="U2797" s="93" t="s">
        <v>116</v>
      </c>
      <c r="V2797" s="94">
        <v>44628.509722222225</v>
      </c>
      <c r="W2797" s="93" t="s">
        <v>8060</v>
      </c>
      <c r="X2797" s="93" t="s">
        <v>9</v>
      </c>
    </row>
    <row r="2798" spans="1:24" hidden="1" x14ac:dyDescent="0.15">
      <c r="A2798" s="93" t="s">
        <v>8187</v>
      </c>
      <c r="B2798" s="93" t="s">
        <v>8188</v>
      </c>
      <c r="C2798" s="410">
        <v>1020.6</v>
      </c>
      <c r="D2798" s="93" t="s">
        <v>24</v>
      </c>
      <c r="E2798" s="93" t="s">
        <v>24</v>
      </c>
      <c r="F2798" s="93" t="s">
        <v>7070</v>
      </c>
      <c r="G2798" s="93" t="s">
        <v>8059</v>
      </c>
      <c r="H2798" s="93" t="s">
        <v>11</v>
      </c>
      <c r="I2798" s="93" t="s">
        <v>111</v>
      </c>
      <c r="J2798" s="93" t="s">
        <v>33</v>
      </c>
      <c r="K2798" s="93">
        <v>90</v>
      </c>
      <c r="L2798" s="93">
        <v>4</v>
      </c>
      <c r="M2798" s="93" t="s">
        <v>111</v>
      </c>
      <c r="N2798" s="93" t="s">
        <v>111</v>
      </c>
      <c r="O2798" s="93" t="s">
        <v>111</v>
      </c>
      <c r="P2798" s="93" t="s">
        <v>111</v>
      </c>
      <c r="Q2798" s="93" t="s">
        <v>111</v>
      </c>
      <c r="R2798" s="93" t="s">
        <v>121</v>
      </c>
      <c r="S2798" s="93" t="s">
        <v>16</v>
      </c>
      <c r="T2798" s="93" t="s">
        <v>115</v>
      </c>
      <c r="U2798" s="93" t="s">
        <v>116</v>
      </c>
      <c r="V2798" s="94">
        <v>44628.631249999999</v>
      </c>
      <c r="W2798" s="93" t="s">
        <v>8060</v>
      </c>
      <c r="X2798" s="93" t="s">
        <v>9</v>
      </c>
    </row>
    <row r="2799" spans="1:24" hidden="1" x14ac:dyDescent="0.15">
      <c r="A2799" s="93" t="s">
        <v>8189</v>
      </c>
      <c r="B2799" s="93" t="s">
        <v>8190</v>
      </c>
      <c r="C2799" s="410">
        <v>1830.6</v>
      </c>
      <c r="D2799" s="93" t="s">
        <v>9</v>
      </c>
      <c r="E2799" s="93" t="s">
        <v>9</v>
      </c>
      <c r="F2799" s="93" t="s">
        <v>33</v>
      </c>
      <c r="G2799" s="93" t="s">
        <v>8191</v>
      </c>
      <c r="H2799" s="93" t="s">
        <v>8064</v>
      </c>
      <c r="I2799" s="93" t="s">
        <v>111</v>
      </c>
      <c r="J2799" s="93" t="s">
        <v>33</v>
      </c>
      <c r="K2799" s="93">
        <v>90</v>
      </c>
      <c r="L2799" s="93">
        <v>4</v>
      </c>
      <c r="M2799" s="93">
        <v>4.5</v>
      </c>
      <c r="N2799" s="93" t="s">
        <v>113</v>
      </c>
      <c r="O2799" s="93">
        <v>9.3000000000000007</v>
      </c>
      <c r="P2799" s="93">
        <v>48.4</v>
      </c>
      <c r="Q2799" s="93">
        <v>34.299999999999997</v>
      </c>
      <c r="R2799" s="93" t="s">
        <v>7166</v>
      </c>
      <c r="S2799" s="93" t="s">
        <v>16</v>
      </c>
      <c r="T2799" s="93" t="s">
        <v>383</v>
      </c>
      <c r="U2799" s="93" t="s">
        <v>116</v>
      </c>
      <c r="V2799" s="94">
        <v>44628.554166666669</v>
      </c>
      <c r="W2799" s="93" t="s">
        <v>33</v>
      </c>
      <c r="X2799" s="93" t="s">
        <v>9</v>
      </c>
    </row>
    <row r="2800" spans="1:24" hidden="1" x14ac:dyDescent="0.15">
      <c r="A2800" s="93" t="s">
        <v>8192</v>
      </c>
      <c r="B2800" s="93" t="s">
        <v>8193</v>
      </c>
      <c r="C2800" s="410">
        <v>1830.6</v>
      </c>
      <c r="D2800" s="93" t="s">
        <v>9</v>
      </c>
      <c r="E2800" s="93" t="s">
        <v>9</v>
      </c>
      <c r="F2800" s="93" t="s">
        <v>33</v>
      </c>
      <c r="G2800" s="93" t="s">
        <v>8191</v>
      </c>
      <c r="H2800" s="93" t="s">
        <v>8064</v>
      </c>
      <c r="I2800" s="93" t="s">
        <v>111</v>
      </c>
      <c r="J2800" s="93" t="s">
        <v>33</v>
      </c>
      <c r="K2800" s="93">
        <v>90</v>
      </c>
      <c r="L2800" s="93">
        <v>4</v>
      </c>
      <c r="M2800" s="93">
        <v>4.5</v>
      </c>
      <c r="N2800" s="93" t="s">
        <v>113</v>
      </c>
      <c r="O2800" s="93">
        <v>9.3000000000000007</v>
      </c>
      <c r="P2800" s="93">
        <v>48.4</v>
      </c>
      <c r="Q2800" s="93">
        <v>34.299999999999997</v>
      </c>
      <c r="R2800" s="93" t="s">
        <v>7166</v>
      </c>
      <c r="S2800" s="93" t="s">
        <v>16</v>
      </c>
      <c r="T2800" s="93" t="s">
        <v>383</v>
      </c>
      <c r="U2800" s="93" t="s">
        <v>116</v>
      </c>
      <c r="V2800" s="94">
        <v>44628.572222222225</v>
      </c>
      <c r="W2800" s="93" t="s">
        <v>33</v>
      </c>
      <c r="X2800" s="93" t="s">
        <v>9</v>
      </c>
    </row>
    <row r="2801" spans="1:24" hidden="1" x14ac:dyDescent="0.15">
      <c r="A2801" s="93" t="s">
        <v>8194</v>
      </c>
      <c r="B2801" s="93" t="s">
        <v>8195</v>
      </c>
      <c r="C2801" s="410">
        <v>2262.6</v>
      </c>
      <c r="D2801" s="93" t="s">
        <v>9</v>
      </c>
      <c r="E2801" s="93" t="s">
        <v>9</v>
      </c>
      <c r="F2801" s="93" t="s">
        <v>33</v>
      </c>
      <c r="G2801" s="93" t="s">
        <v>8196</v>
      </c>
      <c r="H2801" s="93" t="s">
        <v>8064</v>
      </c>
      <c r="I2801" s="93" t="s">
        <v>111</v>
      </c>
      <c r="J2801" s="93" t="s">
        <v>33</v>
      </c>
      <c r="K2801" s="93">
        <v>90</v>
      </c>
      <c r="L2801" s="93">
        <v>4</v>
      </c>
      <c r="M2801" s="93">
        <v>6.57</v>
      </c>
      <c r="N2801" s="93" t="s">
        <v>113</v>
      </c>
      <c r="O2801" s="93">
        <v>55.1</v>
      </c>
      <c r="P2801" s="93">
        <v>12.8</v>
      </c>
      <c r="Q2801" s="93">
        <v>48.5</v>
      </c>
      <c r="R2801" s="93" t="s">
        <v>7166</v>
      </c>
      <c r="S2801" s="93" t="s">
        <v>16</v>
      </c>
      <c r="T2801" s="93" t="s">
        <v>383</v>
      </c>
      <c r="U2801" s="93" t="s">
        <v>116</v>
      </c>
      <c r="V2801" s="94">
        <v>44628.631944444445</v>
      </c>
      <c r="W2801" s="93" t="s">
        <v>33</v>
      </c>
      <c r="X2801" s="93" t="s">
        <v>9</v>
      </c>
    </row>
    <row r="2802" spans="1:24" hidden="1" x14ac:dyDescent="0.15">
      <c r="A2802" s="93" t="s">
        <v>8197</v>
      </c>
      <c r="B2802" s="93" t="s">
        <v>8198</v>
      </c>
      <c r="C2802" s="410">
        <v>2262.6</v>
      </c>
      <c r="D2802" s="93" t="s">
        <v>9</v>
      </c>
      <c r="E2802" s="93" t="s">
        <v>9</v>
      </c>
      <c r="F2802" s="93" t="s">
        <v>33</v>
      </c>
      <c r="G2802" s="93" t="s">
        <v>8196</v>
      </c>
      <c r="H2802" s="93" t="s">
        <v>8064</v>
      </c>
      <c r="I2802" s="93" t="s">
        <v>111</v>
      </c>
      <c r="J2802" s="93" t="s">
        <v>33</v>
      </c>
      <c r="K2802" s="93">
        <v>90</v>
      </c>
      <c r="L2802" s="93">
        <v>4</v>
      </c>
      <c r="M2802" s="93">
        <v>6.57</v>
      </c>
      <c r="N2802" s="93" t="s">
        <v>113</v>
      </c>
      <c r="O2802" s="93">
        <v>55.1</v>
      </c>
      <c r="P2802" s="93">
        <v>12.8</v>
      </c>
      <c r="Q2802" s="93">
        <v>48.5</v>
      </c>
      <c r="R2802" s="93" t="s">
        <v>7166</v>
      </c>
      <c r="S2802" s="93" t="s">
        <v>16</v>
      </c>
      <c r="T2802" s="93" t="s">
        <v>383</v>
      </c>
      <c r="U2802" s="93" t="s">
        <v>116</v>
      </c>
      <c r="V2802" s="94">
        <v>44628.629166666666</v>
      </c>
      <c r="W2802" s="93" t="s">
        <v>33</v>
      </c>
      <c r="X2802" s="93" t="s">
        <v>9</v>
      </c>
    </row>
    <row r="2803" spans="1:24" hidden="1" x14ac:dyDescent="0.15">
      <c r="A2803" s="93" t="s">
        <v>8199</v>
      </c>
      <c r="B2803" s="93" t="s">
        <v>8200</v>
      </c>
      <c r="C2803" s="410">
        <v>1938.6</v>
      </c>
      <c r="D2803" s="93" t="s">
        <v>9</v>
      </c>
      <c r="E2803" s="93" t="s">
        <v>9</v>
      </c>
      <c r="F2803" s="93" t="s">
        <v>33</v>
      </c>
      <c r="G2803" s="93" t="s">
        <v>8201</v>
      </c>
      <c r="H2803" s="93" t="s">
        <v>8064</v>
      </c>
      <c r="I2803" s="93" t="s">
        <v>111</v>
      </c>
      <c r="J2803" s="93" t="s">
        <v>33</v>
      </c>
      <c r="K2803" s="93">
        <v>90</v>
      </c>
      <c r="L2803" s="93">
        <v>2</v>
      </c>
      <c r="M2803" s="93">
        <v>5.6</v>
      </c>
      <c r="N2803" s="93" t="s">
        <v>113</v>
      </c>
      <c r="O2803" s="93">
        <v>55.1</v>
      </c>
      <c r="P2803" s="93">
        <v>12.8</v>
      </c>
      <c r="Q2803" s="93">
        <v>48.5</v>
      </c>
      <c r="R2803" s="93" t="s">
        <v>7166</v>
      </c>
      <c r="S2803" s="93" t="s">
        <v>16</v>
      </c>
      <c r="T2803" s="93" t="s">
        <v>383</v>
      </c>
      <c r="U2803" s="93" t="s">
        <v>116</v>
      </c>
      <c r="V2803" s="94">
        <v>44628.488194444442</v>
      </c>
      <c r="W2803" s="93" t="s">
        <v>33</v>
      </c>
      <c r="X2803" s="93" t="s">
        <v>9</v>
      </c>
    </row>
    <row r="2804" spans="1:24" hidden="1" x14ac:dyDescent="0.15">
      <c r="A2804" s="93" t="s">
        <v>8202</v>
      </c>
      <c r="B2804" s="93" t="s">
        <v>8203</v>
      </c>
      <c r="C2804" s="410">
        <v>1938.6</v>
      </c>
      <c r="D2804" s="93" t="s">
        <v>9</v>
      </c>
      <c r="E2804" s="93" t="s">
        <v>9</v>
      </c>
      <c r="F2804" s="93" t="s">
        <v>33</v>
      </c>
      <c r="G2804" s="93" t="s">
        <v>8201</v>
      </c>
      <c r="H2804" s="93" t="s">
        <v>8064</v>
      </c>
      <c r="I2804" s="93" t="s">
        <v>111</v>
      </c>
      <c r="J2804" s="93" t="s">
        <v>33</v>
      </c>
      <c r="K2804" s="93">
        <v>90</v>
      </c>
      <c r="L2804" s="93">
        <v>2</v>
      </c>
      <c r="M2804" s="93">
        <v>5.6</v>
      </c>
      <c r="N2804" s="93" t="s">
        <v>113</v>
      </c>
      <c r="O2804" s="93">
        <v>55.1</v>
      </c>
      <c r="P2804" s="93">
        <v>12.8</v>
      </c>
      <c r="Q2804" s="93">
        <v>48.5</v>
      </c>
      <c r="R2804" s="93" t="s">
        <v>7166</v>
      </c>
      <c r="S2804" s="93" t="s">
        <v>16</v>
      </c>
      <c r="T2804" s="93" t="s">
        <v>383</v>
      </c>
      <c r="U2804" s="93" t="s">
        <v>116</v>
      </c>
      <c r="V2804" s="94">
        <v>44628.594444444447</v>
      </c>
      <c r="W2804" s="93" t="s">
        <v>33</v>
      </c>
      <c r="X2804" s="93" t="s">
        <v>9</v>
      </c>
    </row>
    <row r="2805" spans="1:24" hidden="1" x14ac:dyDescent="0.15">
      <c r="A2805" s="93" t="s">
        <v>8204</v>
      </c>
      <c r="B2805" s="93" t="s">
        <v>8205</v>
      </c>
      <c r="C2805" s="410">
        <v>1614.6</v>
      </c>
      <c r="D2805" s="93" t="s">
        <v>9</v>
      </c>
      <c r="E2805" s="93" t="s">
        <v>9</v>
      </c>
      <c r="F2805" s="93" t="s">
        <v>33</v>
      </c>
      <c r="G2805" s="93" t="s">
        <v>8206</v>
      </c>
      <c r="H2805" s="93" t="s">
        <v>8064</v>
      </c>
      <c r="I2805" s="93" t="s">
        <v>111</v>
      </c>
      <c r="J2805" s="93" t="s">
        <v>33</v>
      </c>
      <c r="K2805" s="93">
        <v>90</v>
      </c>
      <c r="L2805" s="93">
        <v>4</v>
      </c>
      <c r="M2805" s="93">
        <v>4.5999999999999996</v>
      </c>
      <c r="N2805" s="93" t="s">
        <v>113</v>
      </c>
      <c r="O2805" s="93">
        <v>9.3000000000000007</v>
      </c>
      <c r="P2805" s="93">
        <v>48.4</v>
      </c>
      <c r="Q2805" s="93">
        <v>34.299999999999997</v>
      </c>
      <c r="R2805" s="93" t="s">
        <v>7166</v>
      </c>
      <c r="S2805" s="93" t="s">
        <v>16</v>
      </c>
      <c r="T2805" s="93" t="s">
        <v>383</v>
      </c>
      <c r="U2805" s="93" t="s">
        <v>116</v>
      </c>
      <c r="V2805" s="94">
        <v>44628.531944444447</v>
      </c>
      <c r="W2805" s="93" t="s">
        <v>33</v>
      </c>
      <c r="X2805" s="93" t="s">
        <v>9</v>
      </c>
    </row>
    <row r="2806" spans="1:24" hidden="1" x14ac:dyDescent="0.15">
      <c r="A2806" s="93" t="s">
        <v>8207</v>
      </c>
      <c r="B2806" s="93" t="s">
        <v>8208</v>
      </c>
      <c r="C2806" s="410">
        <v>1614.6</v>
      </c>
      <c r="D2806" s="93" t="s">
        <v>9</v>
      </c>
      <c r="E2806" s="93" t="s">
        <v>9</v>
      </c>
      <c r="F2806" s="93" t="s">
        <v>33</v>
      </c>
      <c r="G2806" s="93" t="s">
        <v>8206</v>
      </c>
      <c r="H2806" s="93" t="s">
        <v>8064</v>
      </c>
      <c r="I2806" s="93" t="s">
        <v>111</v>
      </c>
      <c r="J2806" s="93" t="s">
        <v>33</v>
      </c>
      <c r="K2806" s="93">
        <v>90</v>
      </c>
      <c r="L2806" s="93">
        <v>4</v>
      </c>
      <c r="M2806" s="93">
        <v>4.5999999999999996</v>
      </c>
      <c r="N2806" s="93" t="s">
        <v>113</v>
      </c>
      <c r="O2806" s="93">
        <v>9.3000000000000007</v>
      </c>
      <c r="P2806" s="93">
        <v>48.4</v>
      </c>
      <c r="Q2806" s="93">
        <v>34.299999999999997</v>
      </c>
      <c r="R2806" s="93" t="s">
        <v>7166</v>
      </c>
      <c r="S2806" s="93" t="s">
        <v>16</v>
      </c>
      <c r="T2806" s="93" t="s">
        <v>383</v>
      </c>
      <c r="U2806" s="93" t="s">
        <v>116</v>
      </c>
      <c r="V2806" s="94">
        <v>44628.486805555556</v>
      </c>
      <c r="W2806" s="93" t="s">
        <v>33</v>
      </c>
      <c r="X2806" s="93" t="s">
        <v>9</v>
      </c>
    </row>
    <row r="2807" spans="1:24" hidden="1" x14ac:dyDescent="0.15">
      <c r="A2807" s="93" t="s">
        <v>8209</v>
      </c>
      <c r="B2807" s="93" t="s">
        <v>8210</v>
      </c>
      <c r="C2807" s="410">
        <v>845</v>
      </c>
      <c r="D2807" s="93" t="s">
        <v>9</v>
      </c>
      <c r="E2807" s="93" t="s">
        <v>24</v>
      </c>
      <c r="F2807" s="93" t="s">
        <v>33</v>
      </c>
      <c r="G2807" s="93" t="s">
        <v>8211</v>
      </c>
      <c r="H2807" s="93" t="s">
        <v>8064</v>
      </c>
      <c r="I2807" s="93" t="s">
        <v>111</v>
      </c>
      <c r="J2807" s="93" t="s">
        <v>33</v>
      </c>
      <c r="K2807" s="93">
        <v>90</v>
      </c>
      <c r="L2807" s="93">
        <v>5</v>
      </c>
      <c r="M2807" s="93">
        <v>2.38</v>
      </c>
      <c r="N2807" s="93" t="s">
        <v>113</v>
      </c>
      <c r="O2807" s="93">
        <v>4.4000000000000004</v>
      </c>
      <c r="P2807" s="93">
        <v>23</v>
      </c>
      <c r="Q2807" s="93">
        <v>28</v>
      </c>
      <c r="R2807" s="93" t="s">
        <v>7166</v>
      </c>
      <c r="S2807" s="93" t="s">
        <v>20</v>
      </c>
      <c r="T2807" s="93" t="s">
        <v>383</v>
      </c>
      <c r="U2807" s="93" t="s">
        <v>116</v>
      </c>
      <c r="V2807" s="94">
        <v>44628.486805555556</v>
      </c>
      <c r="W2807" s="93" t="s">
        <v>8060</v>
      </c>
      <c r="X2807" s="93" t="s">
        <v>9</v>
      </c>
    </row>
    <row r="2808" spans="1:24" hidden="1" x14ac:dyDescent="0.15">
      <c r="A2808" s="93" t="s">
        <v>8212</v>
      </c>
      <c r="B2808" s="93" t="s">
        <v>8213</v>
      </c>
      <c r="C2808" s="410">
        <v>895.7</v>
      </c>
      <c r="D2808" s="93" t="s">
        <v>9</v>
      </c>
      <c r="E2808" s="93" t="s">
        <v>24</v>
      </c>
      <c r="F2808" s="93" t="s">
        <v>33</v>
      </c>
      <c r="G2808" s="93" t="s">
        <v>8211</v>
      </c>
      <c r="H2808" s="93" t="s">
        <v>8064</v>
      </c>
      <c r="I2808" s="93" t="s">
        <v>111</v>
      </c>
      <c r="J2808" s="93" t="s">
        <v>33</v>
      </c>
      <c r="K2808" s="93">
        <v>90</v>
      </c>
      <c r="L2808" s="93">
        <v>5</v>
      </c>
      <c r="M2808" s="93">
        <v>2.1</v>
      </c>
      <c r="N2808" s="93" t="s">
        <v>113</v>
      </c>
      <c r="O2808" s="93">
        <v>4.4000000000000004</v>
      </c>
      <c r="P2808" s="93">
        <v>23</v>
      </c>
      <c r="Q2808" s="93">
        <v>28</v>
      </c>
      <c r="R2808" s="93" t="s">
        <v>7166</v>
      </c>
      <c r="S2808" s="93" t="s">
        <v>20</v>
      </c>
      <c r="T2808" s="93" t="s">
        <v>383</v>
      </c>
      <c r="U2808" s="93" t="s">
        <v>116</v>
      </c>
      <c r="V2808" s="94">
        <v>44628.551388888889</v>
      </c>
      <c r="W2808" s="93" t="s">
        <v>8060</v>
      </c>
      <c r="X2808" s="93" t="s">
        <v>9</v>
      </c>
    </row>
    <row r="2809" spans="1:24" hidden="1" x14ac:dyDescent="0.15">
      <c r="A2809" s="93" t="s">
        <v>8214</v>
      </c>
      <c r="B2809" s="93" t="s">
        <v>8215</v>
      </c>
      <c r="C2809" s="410">
        <v>945</v>
      </c>
      <c r="D2809" s="93" t="s">
        <v>9</v>
      </c>
      <c r="E2809" s="93" t="s">
        <v>24</v>
      </c>
      <c r="F2809" s="93" t="s">
        <v>33</v>
      </c>
      <c r="G2809" s="93" t="s">
        <v>8216</v>
      </c>
      <c r="H2809" s="93" t="s">
        <v>8064</v>
      </c>
      <c r="I2809" s="93" t="s">
        <v>111</v>
      </c>
      <c r="J2809" s="93" t="s">
        <v>33</v>
      </c>
      <c r="K2809" s="93">
        <v>90</v>
      </c>
      <c r="L2809" s="93">
        <v>5</v>
      </c>
      <c r="M2809" s="93">
        <v>2.1</v>
      </c>
      <c r="N2809" s="93" t="s">
        <v>113</v>
      </c>
      <c r="O2809" s="93">
        <v>4.4000000000000004</v>
      </c>
      <c r="P2809" s="93">
        <v>23</v>
      </c>
      <c r="Q2809" s="93">
        <v>28</v>
      </c>
      <c r="R2809" s="93" t="s">
        <v>7166</v>
      </c>
      <c r="S2809" s="93" t="s">
        <v>20</v>
      </c>
      <c r="T2809" s="93" t="s">
        <v>383</v>
      </c>
      <c r="U2809" s="93" t="s">
        <v>116</v>
      </c>
      <c r="V2809" s="94">
        <v>44628.594444444447</v>
      </c>
      <c r="W2809" s="93" t="s">
        <v>8060</v>
      </c>
      <c r="X2809" s="93" t="s">
        <v>9</v>
      </c>
    </row>
    <row r="2810" spans="1:24" hidden="1" x14ac:dyDescent="0.15">
      <c r="A2810" s="93" t="s">
        <v>8217</v>
      </c>
      <c r="B2810" s="93" t="s">
        <v>8218</v>
      </c>
      <c r="C2810" s="410">
        <v>1001.7</v>
      </c>
      <c r="D2810" s="93" t="s">
        <v>9</v>
      </c>
      <c r="E2810" s="93" t="s">
        <v>24</v>
      </c>
      <c r="F2810" s="93" t="s">
        <v>33</v>
      </c>
      <c r="G2810" s="93" t="s">
        <v>8216</v>
      </c>
      <c r="H2810" s="93" t="s">
        <v>8064</v>
      </c>
      <c r="I2810" s="93" t="s">
        <v>111</v>
      </c>
      <c r="J2810" s="93" t="s">
        <v>33</v>
      </c>
      <c r="K2810" s="93">
        <v>90</v>
      </c>
      <c r="L2810" s="93">
        <v>5</v>
      </c>
      <c r="M2810" s="93">
        <v>2.1</v>
      </c>
      <c r="N2810" s="93" t="s">
        <v>113</v>
      </c>
      <c r="O2810" s="93">
        <v>4.4000000000000004</v>
      </c>
      <c r="P2810" s="93">
        <v>23</v>
      </c>
      <c r="Q2810" s="93">
        <v>28</v>
      </c>
      <c r="R2810" s="93" t="s">
        <v>7166</v>
      </c>
      <c r="S2810" s="93" t="s">
        <v>20</v>
      </c>
      <c r="T2810" s="93" t="s">
        <v>383</v>
      </c>
      <c r="U2810" s="93" t="s">
        <v>116</v>
      </c>
      <c r="V2810" s="94">
        <v>44628.551388888889</v>
      </c>
      <c r="W2810" s="93" t="s">
        <v>8060</v>
      </c>
      <c r="X2810" s="93" t="s">
        <v>9</v>
      </c>
    </row>
    <row r="2811" spans="1:24" hidden="1" x14ac:dyDescent="0.15">
      <c r="A2811" s="93" t="s">
        <v>8219</v>
      </c>
      <c r="B2811" s="93" t="s">
        <v>8220</v>
      </c>
      <c r="C2811" s="410">
        <v>1614.6</v>
      </c>
      <c r="D2811" s="93" t="s">
        <v>9</v>
      </c>
      <c r="E2811" s="93" t="s">
        <v>9</v>
      </c>
      <c r="F2811" s="93" t="s">
        <v>33</v>
      </c>
      <c r="G2811" s="93" t="s">
        <v>8221</v>
      </c>
      <c r="H2811" s="93" t="s">
        <v>8064</v>
      </c>
      <c r="I2811" s="93" t="s">
        <v>111</v>
      </c>
      <c r="J2811" s="93" t="s">
        <v>33</v>
      </c>
      <c r="K2811" s="93">
        <v>90</v>
      </c>
      <c r="L2811" s="93">
        <v>4</v>
      </c>
      <c r="M2811" s="93">
        <v>2.73</v>
      </c>
      <c r="N2811" s="93" t="s">
        <v>113</v>
      </c>
      <c r="O2811" s="93">
        <v>9.1999999999999993</v>
      </c>
      <c r="P2811" s="93">
        <v>31.5</v>
      </c>
      <c r="Q2811" s="93">
        <v>37.5</v>
      </c>
      <c r="R2811" s="93" t="s">
        <v>7166</v>
      </c>
      <c r="S2811" s="93" t="s">
        <v>16</v>
      </c>
      <c r="T2811" s="93" t="s">
        <v>383</v>
      </c>
      <c r="U2811" s="93" t="s">
        <v>116</v>
      </c>
      <c r="V2811" s="94">
        <v>44628.530555555553</v>
      </c>
      <c r="W2811" s="93" t="s">
        <v>8060</v>
      </c>
      <c r="X2811" s="93" t="s">
        <v>9</v>
      </c>
    </row>
    <row r="2812" spans="1:24" hidden="1" x14ac:dyDescent="0.15">
      <c r="A2812" s="93" t="s">
        <v>8222</v>
      </c>
      <c r="B2812" s="93" t="s">
        <v>8223</v>
      </c>
      <c r="C2812" s="410">
        <v>1711.48</v>
      </c>
      <c r="D2812" s="93" t="s">
        <v>9</v>
      </c>
      <c r="E2812" s="93" t="s">
        <v>9</v>
      </c>
      <c r="F2812" s="93" t="s">
        <v>33</v>
      </c>
      <c r="G2812" s="93" t="s">
        <v>8221</v>
      </c>
      <c r="H2812" s="93" t="s">
        <v>8064</v>
      </c>
      <c r="I2812" s="93" t="s">
        <v>111</v>
      </c>
      <c r="J2812" s="93" t="s">
        <v>33</v>
      </c>
      <c r="K2812" s="93">
        <v>90</v>
      </c>
      <c r="L2812" s="93">
        <v>1</v>
      </c>
      <c r="M2812" s="93">
        <v>2.73</v>
      </c>
      <c r="N2812" s="93" t="s">
        <v>113</v>
      </c>
      <c r="O2812" s="93">
        <v>9.1999999999999993</v>
      </c>
      <c r="P2812" s="93">
        <v>31.5</v>
      </c>
      <c r="Q2812" s="93">
        <v>37.5</v>
      </c>
      <c r="R2812" s="93" t="s">
        <v>7166</v>
      </c>
      <c r="S2812" s="93" t="s">
        <v>16</v>
      </c>
      <c r="T2812" s="93" t="s">
        <v>383</v>
      </c>
      <c r="U2812" s="93" t="s">
        <v>116</v>
      </c>
      <c r="V2812" s="94">
        <v>44628.507638888892</v>
      </c>
      <c r="W2812" s="93" t="s">
        <v>8060</v>
      </c>
      <c r="X2812" s="93" t="s">
        <v>9</v>
      </c>
    </row>
    <row r="2813" spans="1:24" hidden="1" x14ac:dyDescent="0.15">
      <c r="A2813" s="93" t="s">
        <v>8224</v>
      </c>
      <c r="B2813" s="93" t="s">
        <v>8225</v>
      </c>
      <c r="C2813" s="410">
        <v>2370.6</v>
      </c>
      <c r="D2813" s="93" t="s">
        <v>9</v>
      </c>
      <c r="E2813" s="93" t="s">
        <v>9</v>
      </c>
      <c r="F2813" s="93" t="s">
        <v>33</v>
      </c>
      <c r="G2813" s="93" t="s">
        <v>8226</v>
      </c>
      <c r="H2813" s="93" t="s">
        <v>8064</v>
      </c>
      <c r="I2813" s="93" t="s">
        <v>111</v>
      </c>
      <c r="J2813" s="93" t="s">
        <v>33</v>
      </c>
      <c r="K2813" s="93">
        <v>90</v>
      </c>
      <c r="L2813" s="93">
        <v>2</v>
      </c>
      <c r="M2813" s="93">
        <v>5.35</v>
      </c>
      <c r="N2813" s="93" t="s">
        <v>113</v>
      </c>
      <c r="O2813" s="93">
        <v>55.1</v>
      </c>
      <c r="P2813" s="93">
        <v>12.8</v>
      </c>
      <c r="Q2813" s="93">
        <v>48.5</v>
      </c>
      <c r="R2813" s="93" t="s">
        <v>7166</v>
      </c>
      <c r="S2813" s="93" t="s">
        <v>16</v>
      </c>
      <c r="T2813" s="93" t="s">
        <v>383</v>
      </c>
      <c r="U2813" s="93" t="s">
        <v>116</v>
      </c>
      <c r="V2813" s="94">
        <v>44628.530555555553</v>
      </c>
      <c r="W2813" s="93" t="s">
        <v>8060</v>
      </c>
      <c r="X2813" s="93" t="s">
        <v>9</v>
      </c>
    </row>
    <row r="2814" spans="1:24" hidden="1" x14ac:dyDescent="0.15">
      <c r="A2814" s="93" t="s">
        <v>8227</v>
      </c>
      <c r="B2814" s="93" t="s">
        <v>8228</v>
      </c>
      <c r="C2814" s="410">
        <v>2512.84</v>
      </c>
      <c r="D2814" s="93" t="s">
        <v>9</v>
      </c>
      <c r="E2814" s="93" t="s">
        <v>9</v>
      </c>
      <c r="F2814" s="93" t="s">
        <v>33</v>
      </c>
      <c r="G2814" s="93" t="s">
        <v>8226</v>
      </c>
      <c r="H2814" s="93" t="s">
        <v>8064</v>
      </c>
      <c r="I2814" s="93" t="s">
        <v>111</v>
      </c>
      <c r="J2814" s="93" t="s">
        <v>33</v>
      </c>
      <c r="K2814" s="93">
        <v>90</v>
      </c>
      <c r="L2814" s="93">
        <v>2</v>
      </c>
      <c r="M2814" s="93">
        <v>5.35</v>
      </c>
      <c r="N2814" s="93" t="s">
        <v>113</v>
      </c>
      <c r="O2814" s="93">
        <v>55.1</v>
      </c>
      <c r="P2814" s="93">
        <v>12.8</v>
      </c>
      <c r="Q2814" s="93">
        <v>48.5</v>
      </c>
      <c r="R2814" s="93" t="s">
        <v>7166</v>
      </c>
      <c r="S2814" s="93" t="s">
        <v>16</v>
      </c>
      <c r="T2814" s="93" t="s">
        <v>383</v>
      </c>
      <c r="U2814" s="93" t="s">
        <v>116</v>
      </c>
      <c r="V2814" s="94">
        <v>44628.507638888892</v>
      </c>
      <c r="W2814" s="93" t="s">
        <v>8060</v>
      </c>
      <c r="X2814" s="93" t="s">
        <v>9</v>
      </c>
    </row>
    <row r="2815" spans="1:24" hidden="1" x14ac:dyDescent="0.15">
      <c r="A2815" s="93" t="s">
        <v>8229</v>
      </c>
      <c r="B2815" s="93" t="s">
        <v>8230</v>
      </c>
      <c r="C2815" s="410">
        <v>2694.6</v>
      </c>
      <c r="D2815" s="93" t="s">
        <v>9</v>
      </c>
      <c r="E2815" s="93" t="s">
        <v>9</v>
      </c>
      <c r="F2815" s="93" t="s">
        <v>33</v>
      </c>
      <c r="G2815" s="93" t="s">
        <v>8231</v>
      </c>
      <c r="H2815" s="93" t="s">
        <v>8064</v>
      </c>
      <c r="I2815" s="93" t="s">
        <v>111</v>
      </c>
      <c r="J2815" s="93" t="s">
        <v>33</v>
      </c>
      <c r="K2815" s="93">
        <v>90</v>
      </c>
      <c r="L2815" s="93">
        <v>2</v>
      </c>
      <c r="M2815" s="93">
        <v>5.4</v>
      </c>
      <c r="N2815" s="93" t="s">
        <v>113</v>
      </c>
      <c r="O2815" s="93">
        <v>55.1</v>
      </c>
      <c r="P2815" s="93">
        <v>12.8</v>
      </c>
      <c r="Q2815" s="93">
        <v>48.5</v>
      </c>
      <c r="R2815" s="93" t="s">
        <v>7166</v>
      </c>
      <c r="S2815" s="93" t="s">
        <v>16</v>
      </c>
      <c r="T2815" s="93" t="s">
        <v>383</v>
      </c>
      <c r="U2815" s="93" t="s">
        <v>116</v>
      </c>
      <c r="V2815" s="94">
        <v>44628.508333333331</v>
      </c>
      <c r="W2815" s="93" t="s">
        <v>8060</v>
      </c>
      <c r="X2815" s="93" t="s">
        <v>9</v>
      </c>
    </row>
    <row r="2816" spans="1:24" hidden="1" x14ac:dyDescent="0.15">
      <c r="A2816" s="93" t="s">
        <v>8232</v>
      </c>
      <c r="B2816" s="93" t="s">
        <v>8233</v>
      </c>
      <c r="C2816" s="410">
        <v>2856.28</v>
      </c>
      <c r="D2816" s="93" t="s">
        <v>9</v>
      </c>
      <c r="E2816" s="93" t="s">
        <v>9</v>
      </c>
      <c r="F2816" s="93" t="s">
        <v>33</v>
      </c>
      <c r="G2816" s="93" t="s">
        <v>8231</v>
      </c>
      <c r="H2816" s="93" t="s">
        <v>8064</v>
      </c>
      <c r="I2816" s="93" t="s">
        <v>111</v>
      </c>
      <c r="J2816" s="93" t="s">
        <v>33</v>
      </c>
      <c r="K2816" s="93">
        <v>90</v>
      </c>
      <c r="L2816" s="93">
        <v>1</v>
      </c>
      <c r="M2816" s="93">
        <v>5.4</v>
      </c>
      <c r="N2816" s="93" t="s">
        <v>113</v>
      </c>
      <c r="O2816" s="93">
        <v>0</v>
      </c>
      <c r="P2816" s="93">
        <v>0</v>
      </c>
      <c r="Q2816" s="93">
        <v>0</v>
      </c>
      <c r="R2816" s="93" t="s">
        <v>7166</v>
      </c>
      <c r="S2816" s="93" t="s">
        <v>16</v>
      </c>
      <c r="T2816" s="93" t="s">
        <v>383</v>
      </c>
      <c r="U2816" s="93" t="s">
        <v>116</v>
      </c>
      <c r="V2816" s="94">
        <v>44628.551388888889</v>
      </c>
      <c r="W2816" s="93" t="s">
        <v>8060</v>
      </c>
      <c r="X2816" s="93" t="s">
        <v>9</v>
      </c>
    </row>
    <row r="2817" spans="1:24" hidden="1" x14ac:dyDescent="0.15">
      <c r="A2817" s="93" t="s">
        <v>4129</v>
      </c>
      <c r="B2817" s="93" t="s">
        <v>4130</v>
      </c>
      <c r="C2817" s="410">
        <v>1350</v>
      </c>
      <c r="D2817" s="93" t="s">
        <v>24</v>
      </c>
      <c r="E2817" s="93" t="s">
        <v>24</v>
      </c>
      <c r="F2817" s="93" t="s">
        <v>7070</v>
      </c>
      <c r="G2817" s="93" t="s">
        <v>9296</v>
      </c>
      <c r="H2817" s="93" t="s">
        <v>1198</v>
      </c>
      <c r="I2817" s="93" t="s">
        <v>111</v>
      </c>
      <c r="J2817" s="93" t="s">
        <v>4131</v>
      </c>
      <c r="K2817" s="93">
        <v>50</v>
      </c>
      <c r="L2817" s="93" t="s">
        <v>111</v>
      </c>
      <c r="M2817" s="93">
        <v>8.1</v>
      </c>
      <c r="N2817" s="93" t="s">
        <v>113</v>
      </c>
      <c r="O2817" s="93">
        <v>71</v>
      </c>
      <c r="P2817" s="93">
        <v>71</v>
      </c>
      <c r="Q2817" s="93">
        <v>20</v>
      </c>
      <c r="R2817" s="93" t="s">
        <v>117</v>
      </c>
      <c r="S2817" s="93" t="s">
        <v>20</v>
      </c>
      <c r="T2817" s="93" t="s">
        <v>4132</v>
      </c>
      <c r="U2817" s="93" t="s">
        <v>116</v>
      </c>
      <c r="V2817" s="94">
        <v>44628.521527777775</v>
      </c>
      <c r="W2817" s="93" t="s">
        <v>1170</v>
      </c>
      <c r="X2817" s="93" t="s">
        <v>24</v>
      </c>
    </row>
    <row r="2818" spans="1:24" hidden="1" x14ac:dyDescent="0.15">
      <c r="A2818" s="93" t="s">
        <v>4133</v>
      </c>
      <c r="B2818" s="93" t="s">
        <v>4134</v>
      </c>
      <c r="C2818" s="410">
        <v>2754</v>
      </c>
      <c r="D2818" s="93" t="s">
        <v>24</v>
      </c>
      <c r="E2818" s="93" t="s">
        <v>24</v>
      </c>
      <c r="F2818" s="93" t="s">
        <v>7070</v>
      </c>
      <c r="G2818" s="93" t="s">
        <v>9296</v>
      </c>
      <c r="H2818" s="93" t="s">
        <v>1198</v>
      </c>
      <c r="I2818" s="93" t="s">
        <v>111</v>
      </c>
      <c r="J2818" s="93" t="s">
        <v>4131</v>
      </c>
      <c r="K2818" s="93">
        <v>50</v>
      </c>
      <c r="L2818" s="93" t="s">
        <v>111</v>
      </c>
      <c r="M2818" s="93">
        <v>57.15</v>
      </c>
      <c r="N2818" s="93" t="s">
        <v>113</v>
      </c>
      <c r="O2818" s="93">
        <v>152</v>
      </c>
      <c r="P2818" s="93">
        <v>150</v>
      </c>
      <c r="Q2818" s="93">
        <v>48</v>
      </c>
      <c r="R2818" s="93" t="s">
        <v>117</v>
      </c>
      <c r="S2818" s="93" t="s">
        <v>2</v>
      </c>
      <c r="T2818" s="93" t="s">
        <v>4132</v>
      </c>
      <c r="U2818" s="93" t="s">
        <v>116</v>
      </c>
      <c r="V2818" s="94">
        <v>44628.521527777775</v>
      </c>
      <c r="W2818" s="93" t="s">
        <v>1170</v>
      </c>
      <c r="X2818" s="93" t="s">
        <v>24</v>
      </c>
    </row>
    <row r="2819" spans="1:24" hidden="1" x14ac:dyDescent="0.15">
      <c r="A2819" s="93" t="s">
        <v>4135</v>
      </c>
      <c r="B2819" s="93" t="s">
        <v>4136</v>
      </c>
      <c r="C2819" s="410">
        <v>2214</v>
      </c>
      <c r="D2819" s="93" t="s">
        <v>24</v>
      </c>
      <c r="E2819" s="93" t="s">
        <v>24</v>
      </c>
      <c r="F2819" s="93" t="s">
        <v>7070</v>
      </c>
      <c r="G2819" s="93" t="s">
        <v>9296</v>
      </c>
      <c r="H2819" s="93" t="s">
        <v>1198</v>
      </c>
      <c r="I2819" s="93" t="s">
        <v>111</v>
      </c>
      <c r="J2819" s="93" t="s">
        <v>4131</v>
      </c>
      <c r="K2819" s="93">
        <v>50</v>
      </c>
      <c r="L2819" s="93" t="s">
        <v>111</v>
      </c>
      <c r="M2819" s="93">
        <v>8.6</v>
      </c>
      <c r="N2819" s="93" t="s">
        <v>113</v>
      </c>
      <c r="O2819" s="93">
        <v>23</v>
      </c>
      <c r="P2819" s="93">
        <v>112</v>
      </c>
      <c r="Q2819" s="93">
        <v>33</v>
      </c>
      <c r="R2819" s="93" t="s">
        <v>117</v>
      </c>
      <c r="S2819" s="93" t="s">
        <v>2</v>
      </c>
      <c r="T2819" s="93" t="s">
        <v>4132</v>
      </c>
      <c r="U2819" s="93" t="s">
        <v>116</v>
      </c>
      <c r="V2819" s="94">
        <v>44628.478472222225</v>
      </c>
      <c r="W2819" s="93" t="s">
        <v>1170</v>
      </c>
      <c r="X2819" s="93" t="s">
        <v>24</v>
      </c>
    </row>
    <row r="2820" spans="1:24" hidden="1" x14ac:dyDescent="0.15">
      <c r="A2820" s="93" t="s">
        <v>4137</v>
      </c>
      <c r="B2820" s="93" t="s">
        <v>4138</v>
      </c>
      <c r="C2820" s="410">
        <v>972</v>
      </c>
      <c r="D2820" s="93" t="s">
        <v>24</v>
      </c>
      <c r="E2820" s="93" t="s">
        <v>24</v>
      </c>
      <c r="F2820" s="93" t="s">
        <v>7070</v>
      </c>
      <c r="G2820" s="93" t="s">
        <v>9296</v>
      </c>
      <c r="H2820" s="93" t="s">
        <v>11</v>
      </c>
      <c r="I2820" s="93" t="s">
        <v>111</v>
      </c>
      <c r="J2820" s="93" t="s">
        <v>4131</v>
      </c>
      <c r="K2820" s="93">
        <v>50</v>
      </c>
      <c r="L2820" s="93" t="s">
        <v>111</v>
      </c>
      <c r="M2820" s="93">
        <v>14</v>
      </c>
      <c r="N2820" s="93" t="s">
        <v>113</v>
      </c>
      <c r="O2820" s="93">
        <v>160</v>
      </c>
      <c r="P2820" s="93">
        <v>23</v>
      </c>
      <c r="Q2820" s="93">
        <v>23</v>
      </c>
      <c r="R2820" s="93" t="s">
        <v>385</v>
      </c>
      <c r="S2820" s="93" t="s">
        <v>2</v>
      </c>
      <c r="T2820" s="93" t="s">
        <v>4132</v>
      </c>
      <c r="U2820" s="93" t="s">
        <v>116</v>
      </c>
      <c r="V2820" s="94">
        <v>44628.544444444444</v>
      </c>
      <c r="W2820" s="93" t="s">
        <v>1207</v>
      </c>
      <c r="X2820" s="93" t="s">
        <v>24</v>
      </c>
    </row>
    <row r="2821" spans="1:24" hidden="1" x14ac:dyDescent="0.15">
      <c r="A2821" s="93" t="s">
        <v>4139</v>
      </c>
      <c r="B2821" s="93" t="s">
        <v>4140</v>
      </c>
      <c r="C2821" s="410">
        <v>1998</v>
      </c>
      <c r="D2821" s="93" t="s">
        <v>24</v>
      </c>
      <c r="E2821" s="93" t="s">
        <v>24</v>
      </c>
      <c r="F2821" s="93" t="s">
        <v>7070</v>
      </c>
      <c r="G2821" s="93" t="s">
        <v>9296</v>
      </c>
      <c r="H2821" s="93" t="s">
        <v>1198</v>
      </c>
      <c r="I2821" s="93" t="s">
        <v>111</v>
      </c>
      <c r="J2821" s="93" t="s">
        <v>4131</v>
      </c>
      <c r="K2821" s="93">
        <v>50</v>
      </c>
      <c r="L2821" s="93" t="s">
        <v>111</v>
      </c>
      <c r="M2821" s="93">
        <v>35.299999999999997</v>
      </c>
      <c r="N2821" s="93" t="s">
        <v>113</v>
      </c>
      <c r="O2821" s="93">
        <v>112</v>
      </c>
      <c r="P2821" s="93">
        <v>102</v>
      </c>
      <c r="Q2821" s="93">
        <v>43</v>
      </c>
      <c r="R2821" s="93" t="s">
        <v>117</v>
      </c>
      <c r="S2821" s="93" t="s">
        <v>20</v>
      </c>
      <c r="T2821" s="93" t="s">
        <v>4132</v>
      </c>
      <c r="U2821" s="93" t="s">
        <v>116</v>
      </c>
      <c r="V2821" s="94">
        <v>44628.479166666664</v>
      </c>
      <c r="W2821" s="93" t="s">
        <v>1170</v>
      </c>
      <c r="X2821" s="93" t="s">
        <v>24</v>
      </c>
    </row>
    <row r="2822" spans="1:24" hidden="1" x14ac:dyDescent="0.15">
      <c r="A2822" s="93" t="s">
        <v>4141</v>
      </c>
      <c r="B2822" s="93" t="s">
        <v>4142</v>
      </c>
      <c r="C2822" s="410">
        <v>1182.5999999999999</v>
      </c>
      <c r="D2822" s="93" t="s">
        <v>24</v>
      </c>
      <c r="E2822" s="93" t="s">
        <v>24</v>
      </c>
      <c r="F2822" s="93" t="s">
        <v>7070</v>
      </c>
      <c r="G2822" s="93" t="s">
        <v>9296</v>
      </c>
      <c r="H2822" s="93" t="s">
        <v>1198</v>
      </c>
      <c r="I2822" s="93" t="s">
        <v>111</v>
      </c>
      <c r="J2822" s="93" t="s">
        <v>4131</v>
      </c>
      <c r="K2822" s="93">
        <v>50</v>
      </c>
      <c r="L2822" s="93" t="s">
        <v>111</v>
      </c>
      <c r="M2822" s="93">
        <v>1.1000000000000001</v>
      </c>
      <c r="N2822" s="93" t="s">
        <v>113</v>
      </c>
      <c r="O2822" s="93">
        <v>7</v>
      </c>
      <c r="P2822" s="93">
        <v>7</v>
      </c>
      <c r="Q2822" s="93">
        <v>34</v>
      </c>
      <c r="R2822" s="93" t="s">
        <v>117</v>
      </c>
      <c r="S2822" s="93" t="s">
        <v>2</v>
      </c>
      <c r="T2822" s="93" t="s">
        <v>115</v>
      </c>
      <c r="U2822" s="93" t="s">
        <v>119</v>
      </c>
      <c r="V2822" s="94">
        <v>44628.477777777778</v>
      </c>
      <c r="W2822" s="93" t="s">
        <v>1170</v>
      </c>
      <c r="X2822" s="93" t="s">
        <v>24</v>
      </c>
    </row>
    <row r="2823" spans="1:24" hidden="1" x14ac:dyDescent="0.15">
      <c r="A2823" s="93" t="s">
        <v>4143</v>
      </c>
      <c r="B2823" s="93" t="s">
        <v>4144</v>
      </c>
      <c r="C2823" s="410">
        <v>642.6</v>
      </c>
      <c r="D2823" s="93" t="s">
        <v>24</v>
      </c>
      <c r="E2823" s="93" t="s">
        <v>24</v>
      </c>
      <c r="F2823" s="93" t="s">
        <v>7070</v>
      </c>
      <c r="G2823" s="93" t="s">
        <v>9296</v>
      </c>
      <c r="H2823" s="93" t="s">
        <v>11</v>
      </c>
      <c r="I2823" s="93" t="s">
        <v>111</v>
      </c>
      <c r="J2823" s="93" t="s">
        <v>4131</v>
      </c>
      <c r="K2823" s="93">
        <v>50</v>
      </c>
      <c r="L2823" s="93" t="s">
        <v>111</v>
      </c>
      <c r="M2823" s="93">
        <v>11.3</v>
      </c>
      <c r="N2823" s="93" t="s">
        <v>113</v>
      </c>
      <c r="O2823" s="93">
        <v>17</v>
      </c>
      <c r="P2823" s="93">
        <v>17</v>
      </c>
      <c r="Q2823" s="93">
        <v>168</v>
      </c>
      <c r="R2823" s="93" t="s">
        <v>385</v>
      </c>
      <c r="S2823" s="93" t="s">
        <v>2</v>
      </c>
      <c r="T2823" s="93" t="s">
        <v>4132</v>
      </c>
      <c r="U2823" s="93" t="s">
        <v>116</v>
      </c>
      <c r="V2823" s="94">
        <v>44628.581944444442</v>
      </c>
      <c r="W2823" s="93" t="s">
        <v>1170</v>
      </c>
      <c r="X2823" s="93" t="s">
        <v>24</v>
      </c>
    </row>
    <row r="2824" spans="1:24" hidden="1" x14ac:dyDescent="0.15">
      <c r="A2824" s="93" t="s">
        <v>8234</v>
      </c>
      <c r="B2824" s="93" t="s">
        <v>8235</v>
      </c>
      <c r="C2824" s="410">
        <v>28.62</v>
      </c>
      <c r="D2824" s="93" t="s">
        <v>24</v>
      </c>
      <c r="E2824" s="93" t="s">
        <v>24</v>
      </c>
      <c r="F2824" s="93" t="s">
        <v>7070</v>
      </c>
      <c r="G2824" s="93" t="s">
        <v>7168</v>
      </c>
      <c r="H2824" s="93" t="s">
        <v>11</v>
      </c>
      <c r="I2824" s="93" t="s">
        <v>111</v>
      </c>
      <c r="J2824" s="93" t="s">
        <v>387</v>
      </c>
      <c r="K2824" s="93">
        <v>60</v>
      </c>
      <c r="L2824" s="93">
        <v>1</v>
      </c>
      <c r="M2824" s="93" t="s">
        <v>111</v>
      </c>
      <c r="N2824" s="93" t="s">
        <v>111</v>
      </c>
      <c r="O2824" s="93" t="s">
        <v>111</v>
      </c>
      <c r="P2824" s="93" t="s">
        <v>111</v>
      </c>
      <c r="Q2824" s="93" t="s">
        <v>111</v>
      </c>
      <c r="R2824" s="93" t="s">
        <v>121</v>
      </c>
      <c r="S2824" s="93" t="s">
        <v>20</v>
      </c>
      <c r="T2824" s="93" t="s">
        <v>115</v>
      </c>
      <c r="U2824" s="93" t="s">
        <v>116</v>
      </c>
      <c r="V2824" s="94">
        <v>44628.595833333333</v>
      </c>
      <c r="W2824" s="93" t="s">
        <v>402</v>
      </c>
      <c r="X2824" s="93" t="s">
        <v>24</v>
      </c>
    </row>
    <row r="2825" spans="1:24" hidden="1" x14ac:dyDescent="0.15">
      <c r="A2825" s="93" t="s">
        <v>4145</v>
      </c>
      <c r="B2825" s="93" t="s">
        <v>4146</v>
      </c>
      <c r="C2825" s="410">
        <v>214.92</v>
      </c>
      <c r="D2825" s="93" t="s">
        <v>24</v>
      </c>
      <c r="E2825" s="93" t="s">
        <v>24</v>
      </c>
      <c r="F2825" s="93" t="s">
        <v>7070</v>
      </c>
      <c r="G2825" s="93" t="s">
        <v>7168</v>
      </c>
      <c r="H2825" s="93" t="s">
        <v>11</v>
      </c>
      <c r="I2825" s="93" t="s">
        <v>111</v>
      </c>
      <c r="J2825" s="93" t="s">
        <v>387</v>
      </c>
      <c r="K2825" s="93">
        <v>60</v>
      </c>
      <c r="L2825" s="93" t="s">
        <v>111</v>
      </c>
      <c r="M2825" s="93">
        <v>0.45</v>
      </c>
      <c r="N2825" s="93" t="s">
        <v>113</v>
      </c>
      <c r="O2825" s="93">
        <v>43</v>
      </c>
      <c r="P2825" s="93">
        <v>87</v>
      </c>
      <c r="Q2825" s="93">
        <v>166</v>
      </c>
      <c r="R2825" s="93" t="s">
        <v>121</v>
      </c>
      <c r="S2825" s="93" t="s">
        <v>19</v>
      </c>
      <c r="T2825" s="93" t="s">
        <v>115</v>
      </c>
      <c r="U2825" s="93" t="s">
        <v>116</v>
      </c>
      <c r="V2825" s="94">
        <v>44628.581944444442</v>
      </c>
      <c r="W2825" s="93" t="s">
        <v>1170</v>
      </c>
      <c r="X2825" s="93" t="s">
        <v>9</v>
      </c>
    </row>
    <row r="2826" spans="1:24" hidden="1" x14ac:dyDescent="0.15">
      <c r="A2826" s="93" t="s">
        <v>4147</v>
      </c>
      <c r="B2826" s="93" t="s">
        <v>4148</v>
      </c>
      <c r="C2826" s="410">
        <v>216</v>
      </c>
      <c r="D2826" s="93" t="s">
        <v>24</v>
      </c>
      <c r="E2826" s="93" t="s">
        <v>24</v>
      </c>
      <c r="F2826" s="93" t="s">
        <v>7070</v>
      </c>
      <c r="G2826" s="93" t="s">
        <v>7168</v>
      </c>
      <c r="H2826" s="93" t="s">
        <v>11</v>
      </c>
      <c r="I2826" s="93" t="s">
        <v>111</v>
      </c>
      <c r="J2826" s="93" t="s">
        <v>387</v>
      </c>
      <c r="K2826" s="93">
        <v>60</v>
      </c>
      <c r="L2826" s="93" t="s">
        <v>111</v>
      </c>
      <c r="M2826" s="93">
        <v>1.2</v>
      </c>
      <c r="N2826" s="93" t="s">
        <v>113</v>
      </c>
      <c r="O2826" s="93">
        <v>7</v>
      </c>
      <c r="P2826" s="93">
        <v>11</v>
      </c>
      <c r="Q2826" s="93">
        <v>30</v>
      </c>
      <c r="R2826" s="93" t="s">
        <v>121</v>
      </c>
      <c r="S2826" s="93" t="s">
        <v>20</v>
      </c>
      <c r="T2826" s="93" t="s">
        <v>115</v>
      </c>
      <c r="U2826" s="93" t="s">
        <v>119</v>
      </c>
      <c r="V2826" s="94">
        <v>44628.581250000003</v>
      </c>
      <c r="W2826" s="93" t="s">
        <v>1170</v>
      </c>
      <c r="X2826" s="93" t="s">
        <v>24</v>
      </c>
    </row>
    <row r="2827" spans="1:24" hidden="1" x14ac:dyDescent="0.15">
      <c r="A2827" s="93" t="s">
        <v>4149</v>
      </c>
      <c r="B2827" s="93" t="s">
        <v>4150</v>
      </c>
      <c r="C2827" s="410">
        <v>216</v>
      </c>
      <c r="D2827" s="93" t="s">
        <v>24</v>
      </c>
      <c r="E2827" s="93" t="s">
        <v>24</v>
      </c>
      <c r="F2827" s="93" t="s">
        <v>7070</v>
      </c>
      <c r="G2827" s="93" t="s">
        <v>7168</v>
      </c>
      <c r="H2827" s="93" t="s">
        <v>11</v>
      </c>
      <c r="I2827" s="93" t="s">
        <v>111</v>
      </c>
      <c r="J2827" s="93" t="s">
        <v>387</v>
      </c>
      <c r="K2827" s="93">
        <v>60</v>
      </c>
      <c r="L2827" s="93" t="s">
        <v>111</v>
      </c>
      <c r="M2827" s="93">
        <v>1.3</v>
      </c>
      <c r="N2827" s="93" t="s">
        <v>113</v>
      </c>
      <c r="O2827" s="93">
        <v>3.8</v>
      </c>
      <c r="P2827" s="93">
        <v>6.8</v>
      </c>
      <c r="Q2827" s="93">
        <v>24.4</v>
      </c>
      <c r="R2827" s="93" t="s">
        <v>121</v>
      </c>
      <c r="S2827" s="93" t="s">
        <v>16</v>
      </c>
      <c r="T2827" s="93" t="s">
        <v>115</v>
      </c>
      <c r="U2827" s="93" t="s">
        <v>116</v>
      </c>
      <c r="V2827" s="94">
        <v>44628.602777777778</v>
      </c>
      <c r="W2827" s="93" t="s">
        <v>1170</v>
      </c>
      <c r="X2827" s="93" t="s">
        <v>9</v>
      </c>
    </row>
    <row r="2828" spans="1:24" hidden="1" x14ac:dyDescent="0.15">
      <c r="A2828" s="93" t="s">
        <v>4151</v>
      </c>
      <c r="B2828" s="93" t="s">
        <v>4152</v>
      </c>
      <c r="C2828" s="410">
        <v>216</v>
      </c>
      <c r="D2828" s="93" t="s">
        <v>24</v>
      </c>
      <c r="E2828" s="93" t="s">
        <v>24</v>
      </c>
      <c r="F2828" s="93" t="s">
        <v>7070</v>
      </c>
      <c r="G2828" s="93" t="s">
        <v>7168</v>
      </c>
      <c r="H2828" s="93" t="s">
        <v>11</v>
      </c>
      <c r="I2828" s="93" t="s">
        <v>111</v>
      </c>
      <c r="J2828" s="93" t="s">
        <v>387</v>
      </c>
      <c r="K2828" s="93">
        <v>60</v>
      </c>
      <c r="L2828" s="93" t="s">
        <v>111</v>
      </c>
      <c r="M2828" s="93">
        <v>1.2</v>
      </c>
      <c r="N2828" s="93" t="s">
        <v>113</v>
      </c>
      <c r="O2828" s="93">
        <v>7</v>
      </c>
      <c r="P2828" s="93">
        <v>11</v>
      </c>
      <c r="Q2828" s="93">
        <v>30</v>
      </c>
      <c r="R2828" s="93" t="s">
        <v>121</v>
      </c>
      <c r="S2828" s="93" t="s">
        <v>20</v>
      </c>
      <c r="T2828" s="93" t="s">
        <v>115</v>
      </c>
      <c r="U2828" s="93" t="s">
        <v>119</v>
      </c>
      <c r="V2828" s="94">
        <v>44628.603472222225</v>
      </c>
      <c r="W2828" s="93" t="s">
        <v>1170</v>
      </c>
      <c r="X2828" s="93" t="s">
        <v>24</v>
      </c>
    </row>
    <row r="2829" spans="1:24" hidden="1" x14ac:dyDescent="0.15">
      <c r="A2829" s="93" t="s">
        <v>4153</v>
      </c>
      <c r="B2829" s="93" t="s">
        <v>4154</v>
      </c>
      <c r="C2829" s="410">
        <v>32.4</v>
      </c>
      <c r="D2829" s="93" t="s">
        <v>24</v>
      </c>
      <c r="E2829" s="93" t="s">
        <v>24</v>
      </c>
      <c r="F2829" s="93" t="s">
        <v>7070</v>
      </c>
      <c r="G2829" s="93" t="s">
        <v>7168</v>
      </c>
      <c r="H2829" s="93" t="s">
        <v>11</v>
      </c>
      <c r="I2829" s="93" t="s">
        <v>111</v>
      </c>
      <c r="J2829" s="93" t="s">
        <v>387</v>
      </c>
      <c r="K2829" s="93">
        <v>60</v>
      </c>
      <c r="L2829" s="93" t="s">
        <v>111</v>
      </c>
      <c r="M2829" s="93">
        <v>0.45</v>
      </c>
      <c r="N2829" s="93" t="s">
        <v>113</v>
      </c>
      <c r="O2829" s="93" t="s">
        <v>111</v>
      </c>
      <c r="P2829" s="93" t="s">
        <v>111</v>
      </c>
      <c r="Q2829" s="93" t="s">
        <v>111</v>
      </c>
      <c r="R2829" s="93" t="s">
        <v>411</v>
      </c>
      <c r="S2829" s="93" t="s">
        <v>20</v>
      </c>
      <c r="T2829" s="93" t="s">
        <v>115</v>
      </c>
      <c r="U2829" s="93" t="s">
        <v>116</v>
      </c>
      <c r="V2829" s="94">
        <v>44628.472916666666</v>
      </c>
      <c r="W2829" s="93" t="s">
        <v>1170</v>
      </c>
      <c r="X2829" s="93" t="s">
        <v>24</v>
      </c>
    </row>
    <row r="2830" spans="1:24" hidden="1" x14ac:dyDescent="0.15">
      <c r="A2830" s="93" t="s">
        <v>4155</v>
      </c>
      <c r="B2830" s="93" t="s">
        <v>4156</v>
      </c>
      <c r="C2830" s="410">
        <v>484.92</v>
      </c>
      <c r="D2830" s="93" t="s">
        <v>24</v>
      </c>
      <c r="E2830" s="93" t="s">
        <v>24</v>
      </c>
      <c r="F2830" s="93" t="s">
        <v>7070</v>
      </c>
      <c r="G2830" s="93" t="s">
        <v>7168</v>
      </c>
      <c r="H2830" s="93" t="s">
        <v>11</v>
      </c>
      <c r="I2830" s="93" t="s">
        <v>111</v>
      </c>
      <c r="J2830" s="93" t="s">
        <v>387</v>
      </c>
      <c r="K2830" s="93">
        <v>60</v>
      </c>
      <c r="L2830" s="93" t="s">
        <v>111</v>
      </c>
      <c r="M2830" s="93">
        <v>3.9</v>
      </c>
      <c r="N2830" s="93" t="s">
        <v>113</v>
      </c>
      <c r="O2830" s="93">
        <v>4.8</v>
      </c>
      <c r="P2830" s="93">
        <v>14.4</v>
      </c>
      <c r="Q2830" s="93">
        <v>28</v>
      </c>
      <c r="R2830" s="93" t="s">
        <v>121</v>
      </c>
      <c r="S2830" s="93" t="s">
        <v>16</v>
      </c>
      <c r="T2830" s="93" t="s">
        <v>115</v>
      </c>
      <c r="U2830" s="93" t="s">
        <v>119</v>
      </c>
      <c r="V2830" s="94">
        <v>44628.580555555556</v>
      </c>
      <c r="W2830" s="93" t="s">
        <v>1170</v>
      </c>
      <c r="X2830" s="93" t="s">
        <v>9</v>
      </c>
    </row>
    <row r="2831" spans="1:24" hidden="1" x14ac:dyDescent="0.15">
      <c r="A2831" s="93" t="s">
        <v>4157</v>
      </c>
      <c r="B2831" s="93" t="s">
        <v>4158</v>
      </c>
      <c r="C2831" s="410">
        <v>150.12</v>
      </c>
      <c r="D2831" s="93" t="s">
        <v>24</v>
      </c>
      <c r="E2831" s="93" t="s">
        <v>24</v>
      </c>
      <c r="F2831" s="93" t="s">
        <v>7070</v>
      </c>
      <c r="G2831" s="93" t="s">
        <v>7168</v>
      </c>
      <c r="H2831" s="93" t="s">
        <v>11</v>
      </c>
      <c r="I2831" s="93" t="s">
        <v>111</v>
      </c>
      <c r="J2831" s="93" t="s">
        <v>387</v>
      </c>
      <c r="K2831" s="93">
        <v>60</v>
      </c>
      <c r="L2831" s="93" t="s">
        <v>111</v>
      </c>
      <c r="M2831" s="93">
        <v>0.9</v>
      </c>
      <c r="N2831" s="93" t="s">
        <v>113</v>
      </c>
      <c r="O2831" s="93">
        <v>5</v>
      </c>
      <c r="P2831" s="93">
        <v>31.8</v>
      </c>
      <c r="Q2831" s="93">
        <v>31.8</v>
      </c>
      <c r="R2831" s="93" t="s">
        <v>114</v>
      </c>
      <c r="S2831" s="93" t="s">
        <v>2</v>
      </c>
      <c r="T2831" s="93" t="s">
        <v>115</v>
      </c>
      <c r="U2831" s="93" t="s">
        <v>119</v>
      </c>
      <c r="V2831" s="94">
        <v>44628.637499999997</v>
      </c>
      <c r="W2831" s="93" t="s">
        <v>1170</v>
      </c>
      <c r="X2831" s="93" t="s">
        <v>24</v>
      </c>
    </row>
    <row r="2832" spans="1:24" hidden="1" x14ac:dyDescent="0.15">
      <c r="A2832" s="93" t="s">
        <v>4159</v>
      </c>
      <c r="B2832" s="93" t="s">
        <v>4160</v>
      </c>
      <c r="C2832" s="410">
        <v>183.6</v>
      </c>
      <c r="D2832" s="93" t="s">
        <v>24</v>
      </c>
      <c r="E2832" s="93" t="s">
        <v>24</v>
      </c>
      <c r="F2832" s="93" t="s">
        <v>7070</v>
      </c>
      <c r="G2832" s="93" t="s">
        <v>7168</v>
      </c>
      <c r="H2832" s="93" t="s">
        <v>11</v>
      </c>
      <c r="I2832" s="93" t="s">
        <v>111</v>
      </c>
      <c r="J2832" s="93" t="s">
        <v>387</v>
      </c>
      <c r="K2832" s="93">
        <v>60</v>
      </c>
      <c r="L2832" s="93" t="s">
        <v>111</v>
      </c>
      <c r="M2832" s="93">
        <v>5.44</v>
      </c>
      <c r="N2832" s="93" t="s">
        <v>113</v>
      </c>
      <c r="O2832" s="93">
        <v>16.8</v>
      </c>
      <c r="P2832" s="93">
        <v>30.5</v>
      </c>
      <c r="Q2832" s="93">
        <v>30.5</v>
      </c>
      <c r="R2832" s="93" t="s">
        <v>114</v>
      </c>
      <c r="S2832" s="93" t="s">
        <v>18</v>
      </c>
      <c r="T2832" s="93" t="s">
        <v>115</v>
      </c>
      <c r="U2832" s="93" t="s">
        <v>119</v>
      </c>
      <c r="V2832" s="94">
        <v>44628.556944444441</v>
      </c>
      <c r="W2832" s="93" t="s">
        <v>1170</v>
      </c>
      <c r="X2832" s="93" t="s">
        <v>24</v>
      </c>
    </row>
    <row r="2833" spans="1:24" hidden="1" x14ac:dyDescent="0.15">
      <c r="A2833" s="93" t="s">
        <v>4161</v>
      </c>
      <c r="B2833" s="93" t="s">
        <v>4162</v>
      </c>
      <c r="C2833" s="410">
        <v>361.8</v>
      </c>
      <c r="D2833" s="93" t="s">
        <v>24</v>
      </c>
      <c r="E2833" s="93" t="s">
        <v>24</v>
      </c>
      <c r="F2833" s="93" t="s">
        <v>7070</v>
      </c>
      <c r="G2833" s="93" t="s">
        <v>7168</v>
      </c>
      <c r="H2833" s="93" t="s">
        <v>11</v>
      </c>
      <c r="I2833" s="93" t="s">
        <v>111</v>
      </c>
      <c r="J2833" s="93" t="s">
        <v>387</v>
      </c>
      <c r="K2833" s="93">
        <v>60</v>
      </c>
      <c r="L2833" s="93" t="s">
        <v>111</v>
      </c>
      <c r="M2833" s="93">
        <v>9.5</v>
      </c>
      <c r="N2833" s="93" t="s">
        <v>113</v>
      </c>
      <c r="O2833" s="93">
        <v>20.3</v>
      </c>
      <c r="P2833" s="93">
        <v>22.9</v>
      </c>
      <c r="Q2833" s="93">
        <v>31.8</v>
      </c>
      <c r="R2833" s="93" t="s">
        <v>114</v>
      </c>
      <c r="S2833" s="93" t="s">
        <v>18</v>
      </c>
      <c r="T2833" s="93" t="s">
        <v>115</v>
      </c>
      <c r="U2833" s="93" t="s">
        <v>119</v>
      </c>
      <c r="V2833" s="94">
        <v>44628.536111111112</v>
      </c>
      <c r="W2833" s="93" t="s">
        <v>1170</v>
      </c>
      <c r="X2833" s="93" t="s">
        <v>24</v>
      </c>
    </row>
    <row r="2834" spans="1:24" hidden="1" x14ac:dyDescent="0.15">
      <c r="A2834" s="93" t="s">
        <v>4163</v>
      </c>
      <c r="B2834" s="93" t="s">
        <v>4164</v>
      </c>
      <c r="C2834" s="410">
        <v>1074.5999999999999</v>
      </c>
      <c r="D2834" s="93" t="s">
        <v>24</v>
      </c>
      <c r="E2834" s="93" t="s">
        <v>24</v>
      </c>
      <c r="F2834" s="93" t="s">
        <v>7070</v>
      </c>
      <c r="G2834" s="93" t="s">
        <v>7168</v>
      </c>
      <c r="H2834" s="93" t="s">
        <v>11</v>
      </c>
      <c r="I2834" s="93" t="s">
        <v>111</v>
      </c>
      <c r="J2834" s="93" t="s">
        <v>387</v>
      </c>
      <c r="K2834" s="93">
        <v>60</v>
      </c>
      <c r="L2834" s="93" t="s">
        <v>111</v>
      </c>
      <c r="M2834" s="93">
        <v>24</v>
      </c>
      <c r="N2834" s="93" t="s">
        <v>113</v>
      </c>
      <c r="O2834" s="93">
        <v>20.3</v>
      </c>
      <c r="P2834" s="93">
        <v>22.9</v>
      </c>
      <c r="Q2834" s="93">
        <v>45.7</v>
      </c>
      <c r="R2834" s="93" t="s">
        <v>114</v>
      </c>
      <c r="S2834" s="93" t="s">
        <v>18</v>
      </c>
      <c r="T2834" s="93" t="s">
        <v>115</v>
      </c>
      <c r="U2834" s="93" t="s">
        <v>119</v>
      </c>
      <c r="V2834" s="94">
        <v>44628.536111111112</v>
      </c>
      <c r="W2834" s="93" t="s">
        <v>1170</v>
      </c>
      <c r="X2834" s="93" t="s">
        <v>24</v>
      </c>
    </row>
    <row r="2835" spans="1:24" hidden="1" x14ac:dyDescent="0.15">
      <c r="A2835" s="93" t="s">
        <v>4165</v>
      </c>
      <c r="B2835" s="93" t="s">
        <v>4166</v>
      </c>
      <c r="C2835" s="410">
        <v>409.32</v>
      </c>
      <c r="D2835" s="93" t="s">
        <v>24</v>
      </c>
      <c r="E2835" s="93" t="s">
        <v>24</v>
      </c>
      <c r="F2835" s="93" t="s">
        <v>7070</v>
      </c>
      <c r="G2835" s="93" t="s">
        <v>7168</v>
      </c>
      <c r="H2835" s="93" t="s">
        <v>11</v>
      </c>
      <c r="I2835" s="93" t="s">
        <v>9369</v>
      </c>
      <c r="J2835" s="93" t="s">
        <v>387</v>
      </c>
      <c r="K2835" s="93">
        <v>60</v>
      </c>
      <c r="L2835" s="93" t="s">
        <v>111</v>
      </c>
      <c r="M2835" s="93">
        <v>1.36</v>
      </c>
      <c r="N2835" s="93" t="s">
        <v>113</v>
      </c>
      <c r="O2835" s="93">
        <v>10.16</v>
      </c>
      <c r="P2835" s="93">
        <v>15.88</v>
      </c>
      <c r="Q2835" s="93">
        <v>15.88</v>
      </c>
      <c r="R2835" s="93" t="s">
        <v>121</v>
      </c>
      <c r="S2835" s="93" t="s">
        <v>2</v>
      </c>
      <c r="T2835" s="93" t="s">
        <v>115</v>
      </c>
      <c r="U2835" s="93" t="s">
        <v>116</v>
      </c>
      <c r="V2835" s="94">
        <v>44628.51458333333</v>
      </c>
      <c r="W2835" s="93" t="s">
        <v>1170</v>
      </c>
      <c r="X2835" s="93" t="s">
        <v>24</v>
      </c>
    </row>
    <row r="2836" spans="1:24" hidden="1" x14ac:dyDescent="0.15">
      <c r="A2836" s="93" t="s">
        <v>4167</v>
      </c>
      <c r="B2836" s="93" t="s">
        <v>4168</v>
      </c>
      <c r="C2836" s="410">
        <v>636.12</v>
      </c>
      <c r="D2836" s="93" t="s">
        <v>24</v>
      </c>
      <c r="E2836" s="93" t="s">
        <v>24</v>
      </c>
      <c r="F2836" s="93" t="s">
        <v>7070</v>
      </c>
      <c r="G2836" s="93" t="s">
        <v>7168</v>
      </c>
      <c r="H2836" s="93" t="s">
        <v>11</v>
      </c>
      <c r="I2836" s="93" t="s">
        <v>111</v>
      </c>
      <c r="J2836" s="93" t="s">
        <v>387</v>
      </c>
      <c r="K2836" s="93">
        <v>60</v>
      </c>
      <c r="L2836" s="93" t="s">
        <v>111</v>
      </c>
      <c r="M2836" s="93">
        <v>2.27</v>
      </c>
      <c r="N2836" s="93" t="s">
        <v>113</v>
      </c>
      <c r="O2836" s="93">
        <v>19.05</v>
      </c>
      <c r="P2836" s="93">
        <v>16.510000000000002</v>
      </c>
      <c r="Q2836" s="93">
        <v>22.86</v>
      </c>
      <c r="R2836" s="93" t="s">
        <v>121</v>
      </c>
      <c r="S2836" s="93" t="s">
        <v>2</v>
      </c>
      <c r="T2836" s="93" t="s">
        <v>115</v>
      </c>
      <c r="U2836" s="93" t="s">
        <v>119</v>
      </c>
      <c r="V2836" s="94">
        <v>44628.513888888891</v>
      </c>
      <c r="W2836" s="93" t="s">
        <v>1170</v>
      </c>
      <c r="X2836" s="93" t="s">
        <v>24</v>
      </c>
    </row>
    <row r="2837" spans="1:24" hidden="1" x14ac:dyDescent="0.15">
      <c r="A2837" s="93" t="s">
        <v>4169</v>
      </c>
      <c r="B2837" s="93" t="s">
        <v>4170</v>
      </c>
      <c r="C2837" s="410">
        <v>1132.92</v>
      </c>
      <c r="D2837" s="93" t="s">
        <v>9</v>
      </c>
      <c r="E2837" s="93" t="s">
        <v>24</v>
      </c>
      <c r="F2837" s="93" t="s">
        <v>7070</v>
      </c>
      <c r="G2837" s="93" t="s">
        <v>7168</v>
      </c>
      <c r="H2837" s="93" t="s">
        <v>11</v>
      </c>
      <c r="I2837" s="93" t="s">
        <v>111</v>
      </c>
      <c r="J2837" s="93" t="s">
        <v>387</v>
      </c>
      <c r="K2837" s="93">
        <v>60</v>
      </c>
      <c r="L2837" s="93" t="s">
        <v>111</v>
      </c>
      <c r="M2837" s="93">
        <v>11.7</v>
      </c>
      <c r="N2837" s="93" t="s">
        <v>113</v>
      </c>
      <c r="O2837" s="93" t="s">
        <v>111</v>
      </c>
      <c r="P2837" s="93" t="s">
        <v>111</v>
      </c>
      <c r="Q2837" s="93">
        <v>30</v>
      </c>
      <c r="R2837" s="93" t="s">
        <v>4171</v>
      </c>
      <c r="S2837" s="93" t="s">
        <v>4172</v>
      </c>
      <c r="T2837" s="93" t="s">
        <v>115</v>
      </c>
      <c r="U2837" s="93" t="s">
        <v>116</v>
      </c>
      <c r="V2837" s="94">
        <v>44628.512499999997</v>
      </c>
      <c r="W2837" s="93" t="s">
        <v>1170</v>
      </c>
      <c r="X2837" s="93" t="s">
        <v>24</v>
      </c>
    </row>
    <row r="2838" spans="1:24" hidden="1" x14ac:dyDescent="0.15">
      <c r="A2838" s="93" t="s">
        <v>4173</v>
      </c>
      <c r="B2838" s="93" t="s">
        <v>4174</v>
      </c>
      <c r="C2838" s="410">
        <v>3346.92</v>
      </c>
      <c r="D2838" s="93" t="s">
        <v>9</v>
      </c>
      <c r="E2838" s="93" t="s">
        <v>24</v>
      </c>
      <c r="F2838" s="93" t="s">
        <v>7070</v>
      </c>
      <c r="G2838" s="93" t="s">
        <v>7168</v>
      </c>
      <c r="H2838" s="93" t="s">
        <v>11</v>
      </c>
      <c r="I2838" s="93" t="s">
        <v>111</v>
      </c>
      <c r="J2838" s="93" t="s">
        <v>387</v>
      </c>
      <c r="K2838" s="93">
        <v>60</v>
      </c>
      <c r="L2838" s="93" t="s">
        <v>111</v>
      </c>
      <c r="M2838" s="93">
        <v>35.1</v>
      </c>
      <c r="N2838" s="93" t="s">
        <v>113</v>
      </c>
      <c r="O2838" s="93" t="s">
        <v>111</v>
      </c>
      <c r="P2838" s="93" t="s">
        <v>111</v>
      </c>
      <c r="Q2838" s="93">
        <v>30</v>
      </c>
      <c r="R2838" s="93" t="s">
        <v>4171</v>
      </c>
      <c r="S2838" s="93" t="s">
        <v>4172</v>
      </c>
      <c r="T2838" s="93" t="s">
        <v>115</v>
      </c>
      <c r="U2838" s="93" t="s">
        <v>116</v>
      </c>
      <c r="V2838" s="94">
        <v>44628.634722222225</v>
      </c>
      <c r="W2838" s="93" t="s">
        <v>1170</v>
      </c>
      <c r="X2838" s="93" t="s">
        <v>24</v>
      </c>
    </row>
    <row r="2839" spans="1:24" hidden="1" x14ac:dyDescent="0.15">
      <c r="A2839" s="93" t="s">
        <v>4175</v>
      </c>
      <c r="B2839" s="93" t="s">
        <v>4176</v>
      </c>
      <c r="C2839" s="410">
        <v>3832.92</v>
      </c>
      <c r="D2839" s="93" t="s">
        <v>9</v>
      </c>
      <c r="E2839" s="93" t="s">
        <v>24</v>
      </c>
      <c r="F2839" s="93" t="s">
        <v>7070</v>
      </c>
      <c r="G2839" s="93" t="s">
        <v>7168</v>
      </c>
      <c r="H2839" s="93" t="s">
        <v>11</v>
      </c>
      <c r="I2839" s="93" t="s">
        <v>111</v>
      </c>
      <c r="J2839" s="93" t="s">
        <v>387</v>
      </c>
      <c r="K2839" s="93">
        <v>60</v>
      </c>
      <c r="L2839" s="93" t="s">
        <v>111</v>
      </c>
      <c r="M2839" s="93">
        <v>39.299999999999997</v>
      </c>
      <c r="N2839" s="93" t="s">
        <v>113</v>
      </c>
      <c r="O2839" s="93" t="s">
        <v>111</v>
      </c>
      <c r="P2839" s="93" t="s">
        <v>111</v>
      </c>
      <c r="Q2839" s="93">
        <v>30</v>
      </c>
      <c r="R2839" s="93" t="s">
        <v>4171</v>
      </c>
      <c r="S2839" s="93" t="s">
        <v>4172</v>
      </c>
      <c r="T2839" s="93" t="s">
        <v>115</v>
      </c>
      <c r="U2839" s="93" t="s">
        <v>116</v>
      </c>
      <c r="V2839" s="94">
        <v>44628.534722222219</v>
      </c>
      <c r="W2839" s="93" t="s">
        <v>1170</v>
      </c>
      <c r="X2839" s="93" t="s">
        <v>24</v>
      </c>
    </row>
    <row r="2840" spans="1:24" hidden="1" x14ac:dyDescent="0.15">
      <c r="A2840" s="93" t="s">
        <v>4177</v>
      </c>
      <c r="B2840" s="93" t="s">
        <v>4178</v>
      </c>
      <c r="C2840" s="410">
        <v>55.08</v>
      </c>
      <c r="D2840" s="93" t="s">
        <v>9</v>
      </c>
      <c r="E2840" s="93" t="s">
        <v>24</v>
      </c>
      <c r="F2840" s="93" t="s">
        <v>7070</v>
      </c>
      <c r="G2840" s="93" t="s">
        <v>7168</v>
      </c>
      <c r="H2840" s="93" t="s">
        <v>11</v>
      </c>
      <c r="I2840" s="93" t="s">
        <v>111</v>
      </c>
      <c r="J2840" s="93" t="s">
        <v>387</v>
      </c>
      <c r="K2840" s="93">
        <v>60</v>
      </c>
      <c r="L2840" s="93" t="s">
        <v>111</v>
      </c>
      <c r="M2840" s="93">
        <v>0.77</v>
      </c>
      <c r="N2840" s="93" t="s">
        <v>113</v>
      </c>
      <c r="O2840" s="93">
        <v>4.82</v>
      </c>
      <c r="P2840" s="93">
        <v>30.48</v>
      </c>
      <c r="Q2840" s="93">
        <v>17.010000000000002</v>
      </c>
      <c r="R2840" s="93" t="s">
        <v>4179</v>
      </c>
      <c r="S2840" s="93" t="s">
        <v>18</v>
      </c>
      <c r="T2840" s="93" t="s">
        <v>115</v>
      </c>
      <c r="U2840" s="93" t="s">
        <v>116</v>
      </c>
      <c r="V2840" s="94">
        <v>44628.599305555559</v>
      </c>
      <c r="W2840" s="93" t="s">
        <v>1170</v>
      </c>
      <c r="X2840" s="93" t="s">
        <v>24</v>
      </c>
    </row>
    <row r="2841" spans="1:24" hidden="1" x14ac:dyDescent="0.15">
      <c r="A2841" s="93" t="s">
        <v>4180</v>
      </c>
      <c r="B2841" s="93" t="s">
        <v>4181</v>
      </c>
      <c r="C2841" s="410">
        <v>55.08</v>
      </c>
      <c r="D2841" s="93" t="s">
        <v>9</v>
      </c>
      <c r="E2841" s="93" t="s">
        <v>24</v>
      </c>
      <c r="F2841" s="93" t="s">
        <v>7070</v>
      </c>
      <c r="G2841" s="93" t="s">
        <v>7168</v>
      </c>
      <c r="H2841" s="93" t="s">
        <v>11</v>
      </c>
      <c r="I2841" s="93" t="s">
        <v>111</v>
      </c>
      <c r="J2841" s="93" t="s">
        <v>387</v>
      </c>
      <c r="K2841" s="93">
        <v>60</v>
      </c>
      <c r="L2841" s="93" t="s">
        <v>111</v>
      </c>
      <c r="M2841" s="93">
        <v>0.77</v>
      </c>
      <c r="N2841" s="93" t="s">
        <v>113</v>
      </c>
      <c r="O2841" s="93">
        <v>4.82</v>
      </c>
      <c r="P2841" s="93">
        <v>30.48</v>
      </c>
      <c r="Q2841" s="93">
        <v>17.010000000000002</v>
      </c>
      <c r="R2841" s="93" t="s">
        <v>4179</v>
      </c>
      <c r="S2841" s="93" t="s">
        <v>18</v>
      </c>
      <c r="T2841" s="93" t="s">
        <v>115</v>
      </c>
      <c r="U2841" s="93" t="s">
        <v>116</v>
      </c>
      <c r="V2841" s="94">
        <v>44628.577777777777</v>
      </c>
      <c r="W2841" s="93" t="s">
        <v>1170</v>
      </c>
      <c r="X2841" s="93" t="s">
        <v>24</v>
      </c>
    </row>
    <row r="2842" spans="1:24" hidden="1" x14ac:dyDescent="0.15">
      <c r="A2842" s="93" t="s">
        <v>4182</v>
      </c>
      <c r="B2842" s="93" t="s">
        <v>4183</v>
      </c>
      <c r="C2842" s="410">
        <v>85.32</v>
      </c>
      <c r="D2842" s="93" t="s">
        <v>24</v>
      </c>
      <c r="E2842" s="93" t="s">
        <v>24</v>
      </c>
      <c r="F2842" s="93" t="s">
        <v>7070</v>
      </c>
      <c r="G2842" s="93" t="s">
        <v>7168</v>
      </c>
      <c r="H2842" s="93" t="s">
        <v>11</v>
      </c>
      <c r="I2842" s="93" t="s">
        <v>111</v>
      </c>
      <c r="J2842" s="93" t="s">
        <v>387</v>
      </c>
      <c r="K2842" s="93">
        <v>60</v>
      </c>
      <c r="L2842" s="93" t="s">
        <v>111</v>
      </c>
      <c r="M2842" s="93">
        <v>0.9</v>
      </c>
      <c r="N2842" s="93" t="s">
        <v>113</v>
      </c>
      <c r="O2842" s="93">
        <v>5</v>
      </c>
      <c r="P2842" s="93">
        <v>32</v>
      </c>
      <c r="Q2842" s="93">
        <v>32</v>
      </c>
      <c r="R2842" s="93" t="s">
        <v>114</v>
      </c>
      <c r="S2842" s="93" t="s">
        <v>18</v>
      </c>
      <c r="T2842" s="93" t="s">
        <v>115</v>
      </c>
      <c r="U2842" s="93" t="s">
        <v>119</v>
      </c>
      <c r="V2842" s="94">
        <v>44628.512499999997</v>
      </c>
      <c r="W2842" s="93" t="s">
        <v>1170</v>
      </c>
      <c r="X2842" s="93" t="s">
        <v>24</v>
      </c>
    </row>
    <row r="2843" spans="1:24" hidden="1" x14ac:dyDescent="0.15">
      <c r="A2843" s="93" t="s">
        <v>4184</v>
      </c>
      <c r="B2843" s="93" t="s">
        <v>4185</v>
      </c>
      <c r="C2843" s="410">
        <v>20.52</v>
      </c>
      <c r="D2843" s="93" t="s">
        <v>24</v>
      </c>
      <c r="E2843" s="93" t="s">
        <v>24</v>
      </c>
      <c r="F2843" s="93" t="s">
        <v>7070</v>
      </c>
      <c r="G2843" s="93" t="s">
        <v>7168</v>
      </c>
      <c r="H2843" s="93" t="s">
        <v>11</v>
      </c>
      <c r="I2843" s="93" t="s">
        <v>111</v>
      </c>
      <c r="J2843" s="93" t="s">
        <v>387</v>
      </c>
      <c r="K2843" s="93">
        <v>60</v>
      </c>
      <c r="L2843" s="93">
        <v>1</v>
      </c>
      <c r="M2843" s="93">
        <v>0.1</v>
      </c>
      <c r="N2843" s="93" t="s">
        <v>113</v>
      </c>
      <c r="O2843" s="93">
        <v>25</v>
      </c>
      <c r="P2843" s="93">
        <v>0.5</v>
      </c>
      <c r="Q2843" s="93">
        <v>18</v>
      </c>
      <c r="R2843" s="93" t="s">
        <v>114</v>
      </c>
      <c r="S2843" s="93" t="s">
        <v>18</v>
      </c>
      <c r="T2843" s="93" t="s">
        <v>111</v>
      </c>
      <c r="U2843" s="93" t="s">
        <v>116</v>
      </c>
      <c r="V2843" s="94">
        <v>44628.512499999997</v>
      </c>
      <c r="W2843" s="93" t="s">
        <v>1170</v>
      </c>
      <c r="X2843" s="93" t="s">
        <v>9</v>
      </c>
    </row>
    <row r="2844" spans="1:24" hidden="1" x14ac:dyDescent="0.15">
      <c r="A2844" s="93" t="s">
        <v>4186</v>
      </c>
      <c r="B2844" s="93" t="s">
        <v>9370</v>
      </c>
      <c r="C2844" s="410">
        <v>93.45</v>
      </c>
      <c r="D2844" s="93" t="s">
        <v>9</v>
      </c>
      <c r="E2844" s="93" t="s">
        <v>24</v>
      </c>
      <c r="F2844" s="93" t="s">
        <v>7070</v>
      </c>
      <c r="G2844" s="93" t="s">
        <v>9023</v>
      </c>
      <c r="H2844" s="93" t="s">
        <v>11</v>
      </c>
      <c r="I2844" s="93" t="s">
        <v>111</v>
      </c>
      <c r="J2844" s="93" t="s">
        <v>1197</v>
      </c>
      <c r="K2844" s="93">
        <v>60</v>
      </c>
      <c r="L2844" s="93">
        <v>1</v>
      </c>
      <c r="M2844" s="93">
        <v>3.5</v>
      </c>
      <c r="N2844" s="93" t="s">
        <v>113</v>
      </c>
      <c r="O2844" s="93">
        <v>11.7</v>
      </c>
      <c r="P2844" s="93">
        <v>25.2</v>
      </c>
      <c r="Q2844" s="93">
        <v>28.1</v>
      </c>
      <c r="R2844" s="93" t="s">
        <v>4187</v>
      </c>
      <c r="S2844" s="93" t="s">
        <v>20</v>
      </c>
      <c r="T2844" s="93" t="s">
        <v>115</v>
      </c>
      <c r="U2844" s="93" t="s">
        <v>116</v>
      </c>
      <c r="V2844" s="94">
        <v>44628.57708333333</v>
      </c>
      <c r="W2844" s="93" t="s">
        <v>1170</v>
      </c>
      <c r="X2844" s="93" t="s">
        <v>24</v>
      </c>
    </row>
    <row r="2845" spans="1:24" hidden="1" x14ac:dyDescent="0.15">
      <c r="A2845" s="93" t="s">
        <v>4188</v>
      </c>
      <c r="B2845" s="93" t="s">
        <v>4189</v>
      </c>
      <c r="C2845" s="410">
        <v>313.95</v>
      </c>
      <c r="D2845" s="93" t="s">
        <v>9</v>
      </c>
      <c r="E2845" s="93" t="s">
        <v>24</v>
      </c>
      <c r="F2845" s="93" t="s">
        <v>7070</v>
      </c>
      <c r="G2845" s="93" t="s">
        <v>9023</v>
      </c>
      <c r="H2845" s="93" t="s">
        <v>11</v>
      </c>
      <c r="I2845" s="93" t="s">
        <v>111</v>
      </c>
      <c r="J2845" s="93" t="s">
        <v>1197</v>
      </c>
      <c r="K2845" s="93">
        <v>60</v>
      </c>
      <c r="L2845" s="93">
        <v>1</v>
      </c>
      <c r="M2845" s="93">
        <v>0.92</v>
      </c>
      <c r="N2845" s="93" t="s">
        <v>113</v>
      </c>
      <c r="O2845" s="93">
        <v>12</v>
      </c>
      <c r="P2845" s="93">
        <v>8.3000000000000007</v>
      </c>
      <c r="Q2845" s="93">
        <v>12</v>
      </c>
      <c r="R2845" s="93" t="s">
        <v>4190</v>
      </c>
      <c r="S2845" s="93" t="s">
        <v>16</v>
      </c>
      <c r="T2845" s="93" t="s">
        <v>115</v>
      </c>
      <c r="U2845" s="93" t="s">
        <v>116</v>
      </c>
      <c r="V2845" s="94">
        <v>44628.555555555555</v>
      </c>
      <c r="W2845" s="93" t="s">
        <v>1170</v>
      </c>
      <c r="X2845" s="93" t="s">
        <v>24</v>
      </c>
    </row>
    <row r="2846" spans="1:24" hidden="1" x14ac:dyDescent="0.15">
      <c r="A2846" s="93" t="s">
        <v>4191</v>
      </c>
      <c r="B2846" s="93" t="s">
        <v>4192</v>
      </c>
      <c r="C2846" s="410">
        <v>77.7</v>
      </c>
      <c r="D2846" s="93" t="s">
        <v>9</v>
      </c>
      <c r="E2846" s="93" t="s">
        <v>24</v>
      </c>
      <c r="F2846" s="93" t="s">
        <v>7070</v>
      </c>
      <c r="G2846" s="93" t="s">
        <v>9023</v>
      </c>
      <c r="H2846" s="93" t="s">
        <v>11</v>
      </c>
      <c r="I2846" s="93" t="s">
        <v>111</v>
      </c>
      <c r="J2846" s="93" t="s">
        <v>1197</v>
      </c>
      <c r="K2846" s="93">
        <v>60</v>
      </c>
      <c r="L2846" s="93">
        <v>1</v>
      </c>
      <c r="M2846" s="93">
        <v>1.3120000000000001</v>
      </c>
      <c r="N2846" s="93" t="s">
        <v>113</v>
      </c>
      <c r="O2846" s="93">
        <v>18</v>
      </c>
      <c r="P2846" s="93">
        <v>4.5</v>
      </c>
      <c r="Q2846" s="93">
        <v>18</v>
      </c>
      <c r="R2846" s="93" t="s">
        <v>392</v>
      </c>
      <c r="S2846" s="93" t="s">
        <v>20</v>
      </c>
      <c r="T2846" s="93" t="s">
        <v>115</v>
      </c>
      <c r="U2846" s="93" t="s">
        <v>116</v>
      </c>
      <c r="V2846" s="94">
        <v>44628.633333333331</v>
      </c>
      <c r="W2846" s="93" t="s">
        <v>1170</v>
      </c>
      <c r="X2846" s="93" t="s">
        <v>24</v>
      </c>
    </row>
    <row r="2847" spans="1:24" hidden="1" x14ac:dyDescent="0.15">
      <c r="A2847" s="93" t="s">
        <v>4193</v>
      </c>
      <c r="B2847" s="93" t="s">
        <v>4194</v>
      </c>
      <c r="C2847" s="410">
        <v>37.799999999999997</v>
      </c>
      <c r="D2847" s="93" t="s">
        <v>9</v>
      </c>
      <c r="E2847" s="93" t="s">
        <v>24</v>
      </c>
      <c r="F2847" s="93" t="s">
        <v>7070</v>
      </c>
      <c r="G2847" s="93" t="s">
        <v>9023</v>
      </c>
      <c r="H2847" s="93" t="s">
        <v>11</v>
      </c>
      <c r="I2847" s="93" t="s">
        <v>111</v>
      </c>
      <c r="J2847" s="93" t="s">
        <v>1197</v>
      </c>
      <c r="K2847" s="93">
        <v>60</v>
      </c>
      <c r="L2847" s="93">
        <v>1</v>
      </c>
      <c r="M2847" s="93">
        <v>0.1</v>
      </c>
      <c r="N2847" s="93" t="s">
        <v>113</v>
      </c>
      <c r="O2847" s="93" t="s">
        <v>111</v>
      </c>
      <c r="P2847" s="93" t="s">
        <v>111</v>
      </c>
      <c r="Q2847" s="93" t="s">
        <v>111</v>
      </c>
      <c r="R2847" s="93" t="s">
        <v>4195</v>
      </c>
      <c r="S2847" s="93" t="s">
        <v>20</v>
      </c>
      <c r="T2847" s="93" t="s">
        <v>115</v>
      </c>
      <c r="U2847" s="93" t="s">
        <v>116</v>
      </c>
      <c r="V2847" s="94">
        <v>44628.632638888892</v>
      </c>
      <c r="W2847" s="93" t="s">
        <v>1170</v>
      </c>
      <c r="X2847" s="93" t="s">
        <v>24</v>
      </c>
    </row>
    <row r="2848" spans="1:24" hidden="1" x14ac:dyDescent="0.15">
      <c r="A2848" s="93" t="s">
        <v>4196</v>
      </c>
      <c r="B2848" s="93" t="s">
        <v>4197</v>
      </c>
      <c r="C2848" s="410">
        <v>93.96</v>
      </c>
      <c r="D2848" s="93" t="s">
        <v>24</v>
      </c>
      <c r="E2848" s="93" t="s">
        <v>24</v>
      </c>
      <c r="F2848" s="93" t="s">
        <v>7070</v>
      </c>
      <c r="G2848" s="93" t="s">
        <v>7168</v>
      </c>
      <c r="H2848" s="93" t="s">
        <v>11</v>
      </c>
      <c r="I2848" s="93" t="s">
        <v>111</v>
      </c>
      <c r="J2848" s="93" t="s">
        <v>647</v>
      </c>
      <c r="K2848" s="93">
        <v>120</v>
      </c>
      <c r="L2848" s="93" t="s">
        <v>111</v>
      </c>
      <c r="M2848" s="93">
        <v>0.2</v>
      </c>
      <c r="N2848" s="93" t="s">
        <v>113</v>
      </c>
      <c r="O2848" s="93">
        <v>15</v>
      </c>
      <c r="P2848" s="93">
        <v>7</v>
      </c>
      <c r="Q2848" s="93">
        <v>15</v>
      </c>
      <c r="R2848" s="93" t="s">
        <v>413</v>
      </c>
      <c r="S2848" s="93" t="s">
        <v>20</v>
      </c>
      <c r="T2848" s="93" t="s">
        <v>115</v>
      </c>
      <c r="U2848" s="93" t="s">
        <v>116</v>
      </c>
      <c r="V2848" s="94">
        <v>44628.511111111111</v>
      </c>
      <c r="W2848" s="93" t="s">
        <v>1170</v>
      </c>
      <c r="X2848" s="93" t="s">
        <v>9</v>
      </c>
    </row>
    <row r="2849" spans="1:24" hidden="1" x14ac:dyDescent="0.15">
      <c r="A2849" s="93" t="s">
        <v>645</v>
      </c>
      <c r="B2849" s="93" t="s">
        <v>646</v>
      </c>
      <c r="C2849" s="410">
        <v>216</v>
      </c>
      <c r="D2849" s="93" t="s">
        <v>24</v>
      </c>
      <c r="E2849" s="93" t="s">
        <v>24</v>
      </c>
      <c r="F2849" s="93" t="s">
        <v>7070</v>
      </c>
      <c r="G2849" s="93" t="s">
        <v>7168</v>
      </c>
      <c r="H2849" s="93" t="s">
        <v>11</v>
      </c>
      <c r="I2849" s="93" t="s">
        <v>111</v>
      </c>
      <c r="J2849" s="93" t="s">
        <v>647</v>
      </c>
      <c r="K2849" s="93">
        <v>120</v>
      </c>
      <c r="L2849" s="93">
        <v>1</v>
      </c>
      <c r="M2849" s="93" t="s">
        <v>111</v>
      </c>
      <c r="N2849" s="93" t="s">
        <v>111</v>
      </c>
      <c r="O2849" s="93" t="s">
        <v>111</v>
      </c>
      <c r="P2849" s="93" t="s">
        <v>111</v>
      </c>
      <c r="Q2849" s="93" t="s">
        <v>111</v>
      </c>
      <c r="R2849" s="93" t="s">
        <v>413</v>
      </c>
      <c r="S2849" s="93" t="s">
        <v>17</v>
      </c>
      <c r="T2849" s="93" t="s">
        <v>115</v>
      </c>
      <c r="U2849" s="93" t="s">
        <v>116</v>
      </c>
      <c r="V2849" s="94">
        <v>44628.554166666669</v>
      </c>
      <c r="W2849" s="93" t="s">
        <v>402</v>
      </c>
      <c r="X2849" s="93" t="s">
        <v>24</v>
      </c>
    </row>
    <row r="2850" spans="1:24" hidden="1" x14ac:dyDescent="0.15">
      <c r="A2850" s="93" t="s">
        <v>4198</v>
      </c>
      <c r="B2850" s="93" t="s">
        <v>4199</v>
      </c>
      <c r="C2850" s="410">
        <v>486</v>
      </c>
      <c r="D2850" s="93" t="s">
        <v>24</v>
      </c>
      <c r="E2850" s="93" t="s">
        <v>24</v>
      </c>
      <c r="F2850" s="93" t="s">
        <v>7070</v>
      </c>
      <c r="G2850" s="93" t="s">
        <v>7168</v>
      </c>
      <c r="H2850" s="93" t="s">
        <v>11</v>
      </c>
      <c r="I2850" s="93" t="s">
        <v>111</v>
      </c>
      <c r="J2850" s="93" t="s">
        <v>387</v>
      </c>
      <c r="K2850" s="93">
        <v>60</v>
      </c>
      <c r="L2850" s="93" t="s">
        <v>111</v>
      </c>
      <c r="M2850" s="93">
        <v>0.45800000000000002</v>
      </c>
      <c r="N2850" s="93" t="s">
        <v>113</v>
      </c>
      <c r="O2850" s="93">
        <v>8</v>
      </c>
      <c r="P2850" s="93">
        <v>7</v>
      </c>
      <c r="Q2850" s="93">
        <v>17.5</v>
      </c>
      <c r="R2850" s="93" t="s">
        <v>4200</v>
      </c>
      <c r="S2850" s="93" t="s">
        <v>4172</v>
      </c>
      <c r="T2850" s="93" t="s">
        <v>115</v>
      </c>
      <c r="U2850" s="93" t="s">
        <v>116</v>
      </c>
      <c r="V2850" s="94">
        <v>44628.510416666664</v>
      </c>
      <c r="W2850" s="93" t="s">
        <v>1170</v>
      </c>
      <c r="X2850" s="93" t="s">
        <v>24</v>
      </c>
    </row>
    <row r="2851" spans="1:24" hidden="1" x14ac:dyDescent="0.15">
      <c r="A2851" s="93" t="s">
        <v>51</v>
      </c>
      <c r="B2851" s="93" t="s">
        <v>8236</v>
      </c>
      <c r="C2851" s="410">
        <v>32.4</v>
      </c>
      <c r="D2851" s="93" t="s">
        <v>24</v>
      </c>
      <c r="E2851" s="93" t="s">
        <v>24</v>
      </c>
      <c r="F2851" s="93" t="s">
        <v>7070</v>
      </c>
      <c r="G2851" s="93" t="s">
        <v>7174</v>
      </c>
      <c r="H2851" s="93" t="s">
        <v>11</v>
      </c>
      <c r="I2851" s="93" t="s">
        <v>111</v>
      </c>
      <c r="J2851" s="93" t="s">
        <v>1552</v>
      </c>
      <c r="K2851" s="93">
        <v>80</v>
      </c>
      <c r="L2851" s="93">
        <v>1</v>
      </c>
      <c r="M2851" s="93">
        <v>0.18</v>
      </c>
      <c r="N2851" s="93" t="s">
        <v>113</v>
      </c>
      <c r="O2851" s="93">
        <v>3.5</v>
      </c>
      <c r="P2851" s="93">
        <v>5.3</v>
      </c>
      <c r="Q2851" s="93">
        <v>14</v>
      </c>
      <c r="R2851" s="93" t="s">
        <v>121</v>
      </c>
      <c r="S2851" s="93" t="s">
        <v>20</v>
      </c>
      <c r="T2851" s="93" t="s">
        <v>115</v>
      </c>
      <c r="U2851" s="93" t="s">
        <v>116</v>
      </c>
      <c r="V2851" s="94">
        <v>44628.509027777778</v>
      </c>
      <c r="W2851" s="93" t="s">
        <v>402</v>
      </c>
      <c r="X2851" s="93" t="s">
        <v>9</v>
      </c>
    </row>
    <row r="2852" spans="1:24" hidden="1" x14ac:dyDescent="0.15">
      <c r="A2852" s="93" t="s">
        <v>4201</v>
      </c>
      <c r="B2852" s="93" t="s">
        <v>4202</v>
      </c>
      <c r="C2852" s="410">
        <v>526</v>
      </c>
      <c r="D2852" s="93" t="s">
        <v>24</v>
      </c>
      <c r="E2852" s="93" t="s">
        <v>24</v>
      </c>
      <c r="F2852" s="93" t="s">
        <v>1525</v>
      </c>
      <c r="G2852" s="93" t="s">
        <v>9084</v>
      </c>
      <c r="H2852" s="93" t="s">
        <v>11</v>
      </c>
      <c r="I2852" s="93" t="s">
        <v>111</v>
      </c>
      <c r="J2852" s="93" t="s">
        <v>390</v>
      </c>
      <c r="K2852" s="93">
        <v>80</v>
      </c>
      <c r="L2852" s="93">
        <v>1</v>
      </c>
      <c r="M2852" s="93">
        <v>1.6</v>
      </c>
      <c r="N2852" s="93" t="s">
        <v>113</v>
      </c>
      <c r="O2852" s="93">
        <v>5.9</v>
      </c>
      <c r="P2852" s="93">
        <v>17.899999999999999</v>
      </c>
      <c r="Q2852" s="93">
        <v>14.9</v>
      </c>
      <c r="R2852" s="93" t="s">
        <v>114</v>
      </c>
      <c r="S2852" s="93" t="s">
        <v>2</v>
      </c>
      <c r="T2852" s="93" t="s">
        <v>115</v>
      </c>
      <c r="U2852" s="93" t="s">
        <v>116</v>
      </c>
      <c r="V2852" s="94">
        <v>44628.509027777778</v>
      </c>
      <c r="W2852" s="93" t="s">
        <v>1170</v>
      </c>
      <c r="X2852" s="93" t="s">
        <v>24</v>
      </c>
    </row>
    <row r="2853" spans="1:24" hidden="1" x14ac:dyDescent="0.15">
      <c r="A2853" s="93" t="s">
        <v>4203</v>
      </c>
      <c r="B2853" s="93" t="s">
        <v>4204</v>
      </c>
      <c r="C2853" s="410">
        <v>420</v>
      </c>
      <c r="D2853" s="93" t="s">
        <v>24</v>
      </c>
      <c r="E2853" s="93" t="s">
        <v>24</v>
      </c>
      <c r="F2853" s="93" t="s">
        <v>1525</v>
      </c>
      <c r="G2853" s="93" t="s">
        <v>9084</v>
      </c>
      <c r="H2853" s="93" t="s">
        <v>11</v>
      </c>
      <c r="I2853" s="93" t="s">
        <v>111</v>
      </c>
      <c r="J2853" s="93" t="s">
        <v>390</v>
      </c>
      <c r="K2853" s="93">
        <v>80</v>
      </c>
      <c r="L2853" s="93">
        <v>1</v>
      </c>
      <c r="M2853" s="93">
        <v>0.2</v>
      </c>
      <c r="N2853" s="93" t="s">
        <v>113</v>
      </c>
      <c r="O2853" s="93">
        <v>11</v>
      </c>
      <c r="P2853" s="93">
        <v>14.9</v>
      </c>
      <c r="Q2853" s="93">
        <v>13.8</v>
      </c>
      <c r="R2853" s="93" t="s">
        <v>4205</v>
      </c>
      <c r="S2853" s="93" t="s">
        <v>2</v>
      </c>
      <c r="T2853" s="93" t="s">
        <v>115</v>
      </c>
      <c r="U2853" s="93" t="s">
        <v>116</v>
      </c>
      <c r="V2853" s="94">
        <v>44628.509027777778</v>
      </c>
      <c r="W2853" s="93" t="s">
        <v>1170</v>
      </c>
      <c r="X2853" s="93" t="s">
        <v>24</v>
      </c>
    </row>
    <row r="2854" spans="1:24" hidden="1" x14ac:dyDescent="0.15">
      <c r="A2854" s="93" t="s">
        <v>4206</v>
      </c>
      <c r="B2854" s="93" t="s">
        <v>4207</v>
      </c>
      <c r="C2854" s="410">
        <v>421</v>
      </c>
      <c r="D2854" s="93" t="s">
        <v>24</v>
      </c>
      <c r="E2854" s="93" t="s">
        <v>24</v>
      </c>
      <c r="F2854" s="93" t="s">
        <v>1525</v>
      </c>
      <c r="G2854" s="93" t="s">
        <v>9084</v>
      </c>
      <c r="H2854" s="93" t="s">
        <v>11</v>
      </c>
      <c r="I2854" s="93" t="s">
        <v>111</v>
      </c>
      <c r="J2854" s="93" t="s">
        <v>390</v>
      </c>
      <c r="K2854" s="93">
        <v>80</v>
      </c>
      <c r="L2854" s="93" t="s">
        <v>111</v>
      </c>
      <c r="M2854" s="93" t="s">
        <v>111</v>
      </c>
      <c r="N2854" s="93" t="s">
        <v>111</v>
      </c>
      <c r="O2854" s="93" t="s">
        <v>111</v>
      </c>
      <c r="P2854" s="93" t="s">
        <v>111</v>
      </c>
      <c r="Q2854" s="93" t="s">
        <v>111</v>
      </c>
      <c r="R2854" s="93" t="s">
        <v>4205</v>
      </c>
      <c r="S2854" s="93" t="s">
        <v>2</v>
      </c>
      <c r="T2854" s="93" t="s">
        <v>115</v>
      </c>
      <c r="U2854" s="93" t="s">
        <v>116</v>
      </c>
      <c r="V2854" s="94">
        <v>44628.59652777778</v>
      </c>
      <c r="W2854" s="93" t="s">
        <v>1170</v>
      </c>
      <c r="X2854" s="93" t="s">
        <v>24</v>
      </c>
    </row>
    <row r="2855" spans="1:24" hidden="1" x14ac:dyDescent="0.15">
      <c r="A2855" s="93" t="s">
        <v>4208</v>
      </c>
      <c r="B2855" s="93" t="s">
        <v>4209</v>
      </c>
      <c r="C2855" s="410">
        <v>14312</v>
      </c>
      <c r="D2855" s="93" t="s">
        <v>24</v>
      </c>
      <c r="E2855" s="93" t="s">
        <v>24</v>
      </c>
      <c r="F2855" s="93" t="s">
        <v>1525</v>
      </c>
      <c r="G2855" s="93" t="s">
        <v>9084</v>
      </c>
      <c r="H2855" s="93" t="s">
        <v>11</v>
      </c>
      <c r="I2855" s="93" t="s">
        <v>111</v>
      </c>
      <c r="J2855" s="93" t="s">
        <v>390</v>
      </c>
      <c r="K2855" s="93">
        <v>80</v>
      </c>
      <c r="L2855" s="93" t="s">
        <v>111</v>
      </c>
      <c r="M2855" s="93" t="s">
        <v>111</v>
      </c>
      <c r="N2855" s="93" t="s">
        <v>111</v>
      </c>
      <c r="O2855" s="93" t="s">
        <v>111</v>
      </c>
      <c r="P2855" s="93" t="s">
        <v>111</v>
      </c>
      <c r="Q2855" s="93" t="s">
        <v>111</v>
      </c>
      <c r="R2855" s="93" t="s">
        <v>4210</v>
      </c>
      <c r="S2855" s="93" t="s">
        <v>2</v>
      </c>
      <c r="T2855" s="93" t="s">
        <v>115</v>
      </c>
      <c r="U2855" s="93" t="s">
        <v>116</v>
      </c>
      <c r="V2855" s="94">
        <v>44628.59652777778</v>
      </c>
      <c r="W2855" s="93" t="s">
        <v>1170</v>
      </c>
      <c r="X2855" s="93" t="s">
        <v>24</v>
      </c>
    </row>
    <row r="2856" spans="1:24" hidden="1" x14ac:dyDescent="0.15">
      <c r="A2856" s="93" t="s">
        <v>4211</v>
      </c>
      <c r="B2856" s="93" t="s">
        <v>4212</v>
      </c>
      <c r="C2856" s="410">
        <v>468</v>
      </c>
      <c r="D2856" s="93" t="s">
        <v>24</v>
      </c>
      <c r="E2856" s="93" t="s">
        <v>24</v>
      </c>
      <c r="F2856" s="93" t="s">
        <v>1525</v>
      </c>
      <c r="G2856" s="93" t="s">
        <v>9084</v>
      </c>
      <c r="H2856" s="93" t="s">
        <v>11</v>
      </c>
      <c r="I2856" s="93" t="s">
        <v>111</v>
      </c>
      <c r="J2856" s="93" t="s">
        <v>390</v>
      </c>
      <c r="K2856" s="93">
        <v>80</v>
      </c>
      <c r="L2856" s="93" t="s">
        <v>111</v>
      </c>
      <c r="M2856" s="93" t="s">
        <v>111</v>
      </c>
      <c r="N2856" s="93" t="s">
        <v>111</v>
      </c>
      <c r="O2856" s="93" t="s">
        <v>111</v>
      </c>
      <c r="P2856" s="93" t="s">
        <v>111</v>
      </c>
      <c r="Q2856" s="93" t="s">
        <v>111</v>
      </c>
      <c r="R2856" s="93" t="s">
        <v>4205</v>
      </c>
      <c r="S2856" s="93" t="s">
        <v>2</v>
      </c>
      <c r="T2856" s="93" t="s">
        <v>115</v>
      </c>
      <c r="U2856" s="93" t="s">
        <v>116</v>
      </c>
      <c r="V2856" s="94">
        <v>44628.53125</v>
      </c>
      <c r="W2856" s="93" t="s">
        <v>1170</v>
      </c>
      <c r="X2856" s="93" t="s">
        <v>24</v>
      </c>
    </row>
    <row r="2857" spans="1:24" hidden="1" x14ac:dyDescent="0.15">
      <c r="A2857" s="93" t="s">
        <v>9371</v>
      </c>
      <c r="B2857" s="93" t="s">
        <v>9372</v>
      </c>
      <c r="C2857" s="410">
        <v>108</v>
      </c>
      <c r="D2857" s="93" t="s">
        <v>24</v>
      </c>
      <c r="E2857" s="93" t="s">
        <v>24</v>
      </c>
      <c r="F2857" s="93" t="s">
        <v>7070</v>
      </c>
      <c r="G2857" s="93" t="s">
        <v>7174</v>
      </c>
      <c r="H2857" s="93" t="s">
        <v>11</v>
      </c>
      <c r="I2857" s="93" t="s">
        <v>111</v>
      </c>
      <c r="J2857" s="93" t="s">
        <v>1552</v>
      </c>
      <c r="K2857" s="93">
        <v>80</v>
      </c>
      <c r="L2857" s="93" t="s">
        <v>111</v>
      </c>
      <c r="M2857" s="93" t="s">
        <v>111</v>
      </c>
      <c r="N2857" s="93" t="s">
        <v>111</v>
      </c>
      <c r="O2857" s="93" t="s">
        <v>111</v>
      </c>
      <c r="P2857" s="93" t="s">
        <v>111</v>
      </c>
      <c r="Q2857" s="93" t="s">
        <v>111</v>
      </c>
      <c r="R2857" s="93" t="s">
        <v>123</v>
      </c>
      <c r="S2857" s="93" t="s">
        <v>20</v>
      </c>
      <c r="T2857" s="93" t="s">
        <v>397</v>
      </c>
      <c r="U2857" s="93" t="s">
        <v>395</v>
      </c>
      <c r="V2857" s="94">
        <v>44628.59652777778</v>
      </c>
      <c r="W2857" s="93" t="s">
        <v>1170</v>
      </c>
      <c r="X2857" s="93" t="s">
        <v>24</v>
      </c>
    </row>
    <row r="2858" spans="1:24" hidden="1" x14ac:dyDescent="0.15">
      <c r="A2858" s="93" t="s">
        <v>4213</v>
      </c>
      <c r="B2858" s="93" t="s">
        <v>4214</v>
      </c>
      <c r="C2858" s="410">
        <v>252</v>
      </c>
      <c r="D2858" s="93" t="s">
        <v>24</v>
      </c>
      <c r="E2858" s="93" t="s">
        <v>24</v>
      </c>
      <c r="F2858" s="93" t="s">
        <v>7070</v>
      </c>
      <c r="G2858" s="93" t="s">
        <v>8237</v>
      </c>
      <c r="H2858" s="93" t="s">
        <v>11</v>
      </c>
      <c r="I2858" s="93" t="s">
        <v>111</v>
      </c>
      <c r="J2858" s="93" t="s">
        <v>387</v>
      </c>
      <c r="K2858" s="93">
        <v>60</v>
      </c>
      <c r="L2858" s="93">
        <v>1</v>
      </c>
      <c r="M2858" s="93" t="s">
        <v>111</v>
      </c>
      <c r="N2858" s="93" t="s">
        <v>111</v>
      </c>
      <c r="O2858" s="93" t="s">
        <v>111</v>
      </c>
      <c r="P2858" s="93" t="s">
        <v>111</v>
      </c>
      <c r="Q2858" s="93" t="s">
        <v>111</v>
      </c>
      <c r="R2858" s="93" t="s">
        <v>4215</v>
      </c>
      <c r="S2858" s="93" t="s">
        <v>20</v>
      </c>
      <c r="T2858" s="93" t="s">
        <v>115</v>
      </c>
      <c r="U2858" s="93" t="s">
        <v>116</v>
      </c>
      <c r="V2858" s="94">
        <v>44628.552777777775</v>
      </c>
      <c r="W2858" s="93" t="s">
        <v>402</v>
      </c>
      <c r="X2858" s="93" t="s">
        <v>24</v>
      </c>
    </row>
    <row r="2859" spans="1:24" hidden="1" x14ac:dyDescent="0.15">
      <c r="A2859" s="93" t="s">
        <v>9373</v>
      </c>
      <c r="B2859" s="93" t="s">
        <v>9374</v>
      </c>
      <c r="C2859" s="410">
        <v>714.24</v>
      </c>
      <c r="D2859" s="93" t="s">
        <v>24</v>
      </c>
      <c r="E2859" s="93" t="s">
        <v>24</v>
      </c>
      <c r="F2859" s="93" t="s">
        <v>1525</v>
      </c>
      <c r="G2859" s="93" t="s">
        <v>9084</v>
      </c>
      <c r="H2859" s="93" t="s">
        <v>11</v>
      </c>
      <c r="I2859" s="93" t="s">
        <v>111</v>
      </c>
      <c r="J2859" s="93" t="s">
        <v>390</v>
      </c>
      <c r="K2859" s="93">
        <v>80</v>
      </c>
      <c r="L2859" s="93" t="s">
        <v>111</v>
      </c>
      <c r="M2859" s="93" t="s">
        <v>111</v>
      </c>
      <c r="N2859" s="93" t="s">
        <v>111</v>
      </c>
      <c r="O2859" s="93" t="s">
        <v>111</v>
      </c>
      <c r="P2859" s="93" t="s">
        <v>111</v>
      </c>
      <c r="Q2859" s="93" t="s">
        <v>111</v>
      </c>
      <c r="R2859" s="93" t="s">
        <v>4205</v>
      </c>
      <c r="S2859" s="93" t="s">
        <v>2</v>
      </c>
      <c r="T2859" s="93" t="s">
        <v>115</v>
      </c>
      <c r="U2859" s="93" t="s">
        <v>395</v>
      </c>
      <c r="V2859" s="94">
        <v>44628.507638888892</v>
      </c>
      <c r="W2859" s="93" t="s">
        <v>1170</v>
      </c>
      <c r="X2859" s="93" t="s">
        <v>24</v>
      </c>
    </row>
    <row r="2860" spans="1:24" hidden="1" x14ac:dyDescent="0.15">
      <c r="A2860" s="93" t="s">
        <v>9375</v>
      </c>
      <c r="B2860" s="93" t="s">
        <v>9376</v>
      </c>
      <c r="C2860" s="410">
        <v>99</v>
      </c>
      <c r="D2860" s="93" t="s">
        <v>24</v>
      </c>
      <c r="E2860" s="93" t="s">
        <v>24</v>
      </c>
      <c r="F2860" s="93" t="s">
        <v>5978</v>
      </c>
      <c r="G2860" s="93" t="s">
        <v>9257</v>
      </c>
      <c r="H2860" s="93" t="s">
        <v>11</v>
      </c>
      <c r="I2860" s="93" t="s">
        <v>111</v>
      </c>
      <c r="J2860" s="93" t="s">
        <v>9251</v>
      </c>
      <c r="K2860" s="93">
        <v>80</v>
      </c>
      <c r="L2860" s="93" t="s">
        <v>111</v>
      </c>
      <c r="M2860" s="93" t="s">
        <v>111</v>
      </c>
      <c r="N2860" s="93" t="s">
        <v>111</v>
      </c>
      <c r="O2860" s="93" t="s">
        <v>111</v>
      </c>
      <c r="P2860" s="93" t="s">
        <v>111</v>
      </c>
      <c r="Q2860" s="93" t="s">
        <v>111</v>
      </c>
      <c r="R2860" s="93" t="s">
        <v>122</v>
      </c>
      <c r="S2860" s="93" t="s">
        <v>20</v>
      </c>
      <c r="T2860" s="93" t="s">
        <v>115</v>
      </c>
      <c r="U2860" s="93" t="s">
        <v>395</v>
      </c>
      <c r="V2860" s="94">
        <v>44628.486805555556</v>
      </c>
      <c r="W2860" s="93" t="s">
        <v>1170</v>
      </c>
      <c r="X2860" s="93" t="s">
        <v>24</v>
      </c>
    </row>
    <row r="2861" spans="1:24" hidden="1" x14ac:dyDescent="0.15">
      <c r="A2861" s="93" t="s">
        <v>9377</v>
      </c>
      <c r="B2861" s="93" t="s">
        <v>9378</v>
      </c>
      <c r="C2861" s="410">
        <v>1675</v>
      </c>
      <c r="D2861" s="93" t="s">
        <v>24</v>
      </c>
      <c r="E2861" s="93" t="s">
        <v>24</v>
      </c>
      <c r="F2861" s="93" t="s">
        <v>1525</v>
      </c>
      <c r="G2861" s="93" t="s">
        <v>9084</v>
      </c>
      <c r="H2861" s="93" t="s">
        <v>11</v>
      </c>
      <c r="I2861" s="93" t="s">
        <v>111</v>
      </c>
      <c r="J2861" s="93" t="s">
        <v>1642</v>
      </c>
      <c r="K2861" s="93">
        <v>120</v>
      </c>
      <c r="L2861" s="93" t="s">
        <v>111</v>
      </c>
      <c r="M2861" s="93" t="s">
        <v>111</v>
      </c>
      <c r="N2861" s="93" t="s">
        <v>111</v>
      </c>
      <c r="O2861" s="93" t="s">
        <v>111</v>
      </c>
      <c r="P2861" s="93" t="s">
        <v>111</v>
      </c>
      <c r="Q2861" s="93" t="s">
        <v>111</v>
      </c>
      <c r="R2861" s="93" t="s">
        <v>4205</v>
      </c>
      <c r="S2861" s="93" t="s">
        <v>2</v>
      </c>
      <c r="T2861" s="93" t="s">
        <v>115</v>
      </c>
      <c r="U2861" s="93" t="s">
        <v>116</v>
      </c>
      <c r="V2861" s="94">
        <v>44628.572222222225</v>
      </c>
      <c r="W2861" s="93" t="s">
        <v>1170</v>
      </c>
      <c r="X2861" s="93" t="s">
        <v>24</v>
      </c>
    </row>
    <row r="2862" spans="1:24" hidden="1" x14ac:dyDescent="0.15">
      <c r="A2862" s="93" t="s">
        <v>648</v>
      </c>
      <c r="B2862" s="93" t="s">
        <v>649</v>
      </c>
      <c r="C2862" s="410">
        <v>64.8</v>
      </c>
      <c r="D2862" s="93" t="s">
        <v>24</v>
      </c>
      <c r="E2862" s="93" t="s">
        <v>24</v>
      </c>
      <c r="F2862" s="93" t="s">
        <v>7070</v>
      </c>
      <c r="G2862" s="93" t="s">
        <v>7174</v>
      </c>
      <c r="H2862" s="93" t="s">
        <v>11</v>
      </c>
      <c r="I2862" s="93" t="s">
        <v>111</v>
      </c>
      <c r="J2862" s="93" t="s">
        <v>1552</v>
      </c>
      <c r="K2862" s="93">
        <v>80</v>
      </c>
      <c r="L2862" s="93">
        <v>1</v>
      </c>
      <c r="M2862" s="93">
        <v>0.1</v>
      </c>
      <c r="N2862" s="93" t="s">
        <v>113</v>
      </c>
      <c r="O2862" s="93">
        <v>0.66</v>
      </c>
      <c r="P2862" s="93">
        <v>1.1679999999999999</v>
      </c>
      <c r="Q2862" s="93">
        <v>2.25</v>
      </c>
      <c r="R2862" s="93" t="s">
        <v>121</v>
      </c>
      <c r="S2862" s="93" t="s">
        <v>2</v>
      </c>
      <c r="T2862" s="93" t="s">
        <v>115</v>
      </c>
      <c r="U2862" s="93" t="s">
        <v>119</v>
      </c>
      <c r="V2862" s="94">
        <v>44628.630555555559</v>
      </c>
      <c r="W2862" s="93" t="s">
        <v>402</v>
      </c>
      <c r="X2862" s="93" t="s">
        <v>24</v>
      </c>
    </row>
    <row r="2863" spans="1:24" hidden="1" x14ac:dyDescent="0.15">
      <c r="A2863" s="93" t="s">
        <v>8238</v>
      </c>
      <c r="B2863" s="93" t="s">
        <v>4216</v>
      </c>
      <c r="C2863" s="410">
        <v>189</v>
      </c>
      <c r="D2863" s="93" t="s">
        <v>24</v>
      </c>
      <c r="E2863" s="93" t="s">
        <v>24</v>
      </c>
      <c r="F2863" s="93" t="s">
        <v>7070</v>
      </c>
      <c r="G2863" s="93" t="s">
        <v>7174</v>
      </c>
      <c r="H2863" s="93" t="s">
        <v>11</v>
      </c>
      <c r="I2863" s="93" t="s">
        <v>111</v>
      </c>
      <c r="J2863" s="93" t="s">
        <v>1552</v>
      </c>
      <c r="K2863" s="93">
        <v>80</v>
      </c>
      <c r="L2863" s="93">
        <v>1</v>
      </c>
      <c r="M2863" s="93">
        <v>1.1200000000000001</v>
      </c>
      <c r="N2863" s="93" t="s">
        <v>113</v>
      </c>
      <c r="O2863" s="93">
        <v>3.88</v>
      </c>
      <c r="P2863" s="93">
        <v>6.8</v>
      </c>
      <c r="Q2863" s="93">
        <v>22</v>
      </c>
      <c r="R2863" s="93" t="s">
        <v>121</v>
      </c>
      <c r="S2863" s="93" t="s">
        <v>20</v>
      </c>
      <c r="T2863" s="93" t="s">
        <v>115</v>
      </c>
      <c r="U2863" s="93" t="s">
        <v>116</v>
      </c>
      <c r="V2863" s="94">
        <v>44628.529166666667</v>
      </c>
      <c r="W2863" s="93" t="s">
        <v>402</v>
      </c>
      <c r="X2863" s="93" t="s">
        <v>24</v>
      </c>
    </row>
    <row r="2864" spans="1:24" hidden="1" x14ac:dyDescent="0.15">
      <c r="A2864" s="93" t="s">
        <v>4217</v>
      </c>
      <c r="B2864" s="93" t="s">
        <v>4218</v>
      </c>
      <c r="C2864" s="410">
        <v>10.8</v>
      </c>
      <c r="D2864" s="93" t="s">
        <v>24</v>
      </c>
      <c r="E2864" s="93" t="s">
        <v>24</v>
      </c>
      <c r="F2864" s="93" t="s">
        <v>7070</v>
      </c>
      <c r="G2864" s="93" t="s">
        <v>7174</v>
      </c>
      <c r="H2864" s="93" t="s">
        <v>11</v>
      </c>
      <c r="I2864" s="93" t="s">
        <v>111</v>
      </c>
      <c r="J2864" s="93" t="s">
        <v>1552</v>
      </c>
      <c r="K2864" s="93">
        <v>80</v>
      </c>
      <c r="L2864" s="93">
        <v>1</v>
      </c>
      <c r="M2864" s="93">
        <v>2.8000000000000001E-2</v>
      </c>
      <c r="N2864" s="93" t="s">
        <v>113</v>
      </c>
      <c r="O2864" s="93">
        <v>2.5</v>
      </c>
      <c r="P2864" s="93">
        <v>2.5</v>
      </c>
      <c r="Q2864" s="93">
        <v>6.6</v>
      </c>
      <c r="R2864" s="93" t="s">
        <v>1548</v>
      </c>
      <c r="S2864" s="93" t="s">
        <v>2</v>
      </c>
      <c r="T2864" s="93" t="s">
        <v>115</v>
      </c>
      <c r="U2864" s="93" t="s">
        <v>116</v>
      </c>
      <c r="V2864" s="94">
        <v>44628.508333333331</v>
      </c>
      <c r="W2864" s="93" t="s">
        <v>402</v>
      </c>
      <c r="X2864" s="93" t="s">
        <v>24</v>
      </c>
    </row>
    <row r="2865" spans="1:24" hidden="1" x14ac:dyDescent="0.15">
      <c r="A2865" s="93" t="s">
        <v>9379</v>
      </c>
      <c r="B2865" s="93" t="s">
        <v>9380</v>
      </c>
      <c r="C2865" s="410">
        <v>1795</v>
      </c>
      <c r="D2865" s="93" t="s">
        <v>24</v>
      </c>
      <c r="E2865" s="93" t="s">
        <v>24</v>
      </c>
      <c r="F2865" s="93" t="s">
        <v>1525</v>
      </c>
      <c r="G2865" s="93" t="s">
        <v>9084</v>
      </c>
      <c r="H2865" s="93" t="s">
        <v>11</v>
      </c>
      <c r="I2865" s="93" t="s">
        <v>111</v>
      </c>
      <c r="J2865" s="93" t="s">
        <v>390</v>
      </c>
      <c r="K2865" s="93">
        <v>80</v>
      </c>
      <c r="L2865" s="93" t="s">
        <v>111</v>
      </c>
      <c r="M2865" s="93" t="s">
        <v>111</v>
      </c>
      <c r="N2865" s="93" t="s">
        <v>111</v>
      </c>
      <c r="O2865" s="93" t="s">
        <v>111</v>
      </c>
      <c r="P2865" s="93" t="s">
        <v>111</v>
      </c>
      <c r="Q2865" s="93" t="s">
        <v>111</v>
      </c>
      <c r="R2865" s="93" t="s">
        <v>391</v>
      </c>
      <c r="S2865" s="93" t="s">
        <v>2</v>
      </c>
      <c r="T2865" s="93" t="s">
        <v>115</v>
      </c>
      <c r="U2865" s="93" t="s">
        <v>116</v>
      </c>
      <c r="V2865" s="94">
        <v>44628.572222222225</v>
      </c>
      <c r="W2865" s="93" t="s">
        <v>1170</v>
      </c>
      <c r="X2865" s="93" t="s">
        <v>24</v>
      </c>
    </row>
    <row r="2866" spans="1:24" hidden="1" x14ac:dyDescent="0.15">
      <c r="A2866" s="93" t="s">
        <v>9381</v>
      </c>
      <c r="B2866" s="93" t="s">
        <v>9382</v>
      </c>
      <c r="C2866" s="410">
        <v>1468.95</v>
      </c>
      <c r="D2866" s="93" t="s">
        <v>24</v>
      </c>
      <c r="E2866" s="93" t="s">
        <v>24</v>
      </c>
      <c r="F2866" s="93" t="s">
        <v>7070</v>
      </c>
      <c r="G2866" s="93" t="s">
        <v>8237</v>
      </c>
      <c r="H2866" s="93" t="s">
        <v>11</v>
      </c>
      <c r="I2866" s="93" t="s">
        <v>111</v>
      </c>
      <c r="J2866" s="93" t="s">
        <v>963</v>
      </c>
      <c r="K2866" s="93">
        <v>60</v>
      </c>
      <c r="L2866" s="93">
        <v>1</v>
      </c>
      <c r="M2866" s="93">
        <v>28</v>
      </c>
      <c r="N2866" s="93" t="s">
        <v>113</v>
      </c>
      <c r="O2866" s="93">
        <v>22.9</v>
      </c>
      <c r="P2866" s="93">
        <v>86.3</v>
      </c>
      <c r="Q2866" s="93">
        <v>86.3</v>
      </c>
      <c r="R2866" s="93" t="s">
        <v>1210</v>
      </c>
      <c r="S2866" s="93" t="s">
        <v>2</v>
      </c>
      <c r="T2866" s="93" t="s">
        <v>115</v>
      </c>
      <c r="U2866" s="93" t="s">
        <v>116</v>
      </c>
      <c r="V2866" s="94">
        <v>44628.59375</v>
      </c>
      <c r="W2866" s="93" t="s">
        <v>1170</v>
      </c>
      <c r="X2866" s="93" t="s">
        <v>24</v>
      </c>
    </row>
    <row r="2867" spans="1:24" hidden="1" x14ac:dyDescent="0.15">
      <c r="A2867" s="93" t="s">
        <v>9383</v>
      </c>
      <c r="B2867" s="93" t="s">
        <v>9384</v>
      </c>
      <c r="C2867" s="410">
        <v>9973.9500000000007</v>
      </c>
      <c r="D2867" s="93" t="s">
        <v>24</v>
      </c>
      <c r="E2867" s="93" t="s">
        <v>24</v>
      </c>
      <c r="F2867" s="93" t="s">
        <v>7070</v>
      </c>
      <c r="G2867" s="93" t="s">
        <v>8237</v>
      </c>
      <c r="H2867" s="93" t="s">
        <v>11</v>
      </c>
      <c r="I2867" s="93" t="s">
        <v>111</v>
      </c>
      <c r="J2867" s="93" t="s">
        <v>963</v>
      </c>
      <c r="K2867" s="93">
        <v>60</v>
      </c>
      <c r="L2867" s="93">
        <v>1</v>
      </c>
      <c r="M2867" s="93">
        <v>154</v>
      </c>
      <c r="N2867" s="93" t="s">
        <v>113</v>
      </c>
      <c r="O2867" s="93">
        <v>81.3</v>
      </c>
      <c r="P2867" s="93">
        <v>111.7</v>
      </c>
      <c r="Q2867" s="93">
        <v>111.7</v>
      </c>
      <c r="R2867" s="93" t="s">
        <v>1210</v>
      </c>
      <c r="S2867" s="93" t="s">
        <v>2</v>
      </c>
      <c r="T2867" s="93" t="s">
        <v>115</v>
      </c>
      <c r="U2867" s="93" t="s">
        <v>116</v>
      </c>
      <c r="V2867" s="94">
        <v>44628.59375</v>
      </c>
      <c r="W2867" s="93" t="s">
        <v>1170</v>
      </c>
      <c r="X2867" s="93" t="s">
        <v>24</v>
      </c>
    </row>
    <row r="2868" spans="1:24" hidden="1" x14ac:dyDescent="0.15">
      <c r="A2868" s="93" t="s">
        <v>9385</v>
      </c>
      <c r="B2868" s="93" t="s">
        <v>9386</v>
      </c>
      <c r="C2868" s="410">
        <v>51.45</v>
      </c>
      <c r="D2868" s="93" t="s">
        <v>24</v>
      </c>
      <c r="E2868" s="93" t="s">
        <v>24</v>
      </c>
      <c r="F2868" s="93" t="s">
        <v>7070</v>
      </c>
      <c r="G2868" s="93" t="s">
        <v>8237</v>
      </c>
      <c r="H2868" s="93" t="s">
        <v>11</v>
      </c>
      <c r="I2868" s="93" t="s">
        <v>111</v>
      </c>
      <c r="J2868" s="93" t="s">
        <v>963</v>
      </c>
      <c r="K2868" s="93">
        <v>60</v>
      </c>
      <c r="L2868" s="93">
        <v>1</v>
      </c>
      <c r="M2868" s="93">
        <v>0.1</v>
      </c>
      <c r="N2868" s="93" t="s">
        <v>113</v>
      </c>
      <c r="O2868" s="93">
        <v>76</v>
      </c>
      <c r="P2868" s="93">
        <v>22</v>
      </c>
      <c r="Q2868" s="93">
        <v>22</v>
      </c>
      <c r="R2868" s="93" t="s">
        <v>1173</v>
      </c>
      <c r="S2868" s="93" t="s">
        <v>20</v>
      </c>
      <c r="T2868" s="93" t="s">
        <v>115</v>
      </c>
      <c r="U2868" s="93" t="s">
        <v>116</v>
      </c>
      <c r="V2868" s="94">
        <v>44628.486805555556</v>
      </c>
      <c r="W2868" s="93" t="s">
        <v>1170</v>
      </c>
      <c r="X2868" s="93" t="s">
        <v>24</v>
      </c>
    </row>
    <row r="2869" spans="1:24" hidden="1" x14ac:dyDescent="0.15">
      <c r="A2869" s="93" t="s">
        <v>9387</v>
      </c>
      <c r="B2869" s="93" t="s">
        <v>9388</v>
      </c>
      <c r="C2869" s="410">
        <v>51.45</v>
      </c>
      <c r="D2869" s="93" t="s">
        <v>24</v>
      </c>
      <c r="E2869" s="93" t="s">
        <v>24</v>
      </c>
      <c r="F2869" s="93" t="s">
        <v>7070</v>
      </c>
      <c r="G2869" s="93" t="s">
        <v>8237</v>
      </c>
      <c r="H2869" s="93" t="s">
        <v>11</v>
      </c>
      <c r="I2869" s="93" t="s">
        <v>111</v>
      </c>
      <c r="J2869" s="93" t="s">
        <v>963</v>
      </c>
      <c r="K2869" s="93">
        <v>60</v>
      </c>
      <c r="L2869" s="93">
        <v>1</v>
      </c>
      <c r="M2869" s="93">
        <v>0.72</v>
      </c>
      <c r="N2869" s="93" t="s">
        <v>113</v>
      </c>
      <c r="O2869" s="93">
        <v>5.8</v>
      </c>
      <c r="P2869" s="93">
        <v>26.6</v>
      </c>
      <c r="Q2869" s="93">
        <v>26.6</v>
      </c>
      <c r="R2869" s="93" t="s">
        <v>411</v>
      </c>
      <c r="S2869" s="93" t="s">
        <v>16</v>
      </c>
      <c r="T2869" s="93" t="s">
        <v>115</v>
      </c>
      <c r="U2869" s="93" t="s">
        <v>116</v>
      </c>
      <c r="V2869" s="94">
        <v>44628.529166666667</v>
      </c>
      <c r="W2869" s="93" t="s">
        <v>1170</v>
      </c>
      <c r="X2869" s="93" t="s">
        <v>24</v>
      </c>
    </row>
    <row r="2870" spans="1:24" hidden="1" x14ac:dyDescent="0.15">
      <c r="A2870" s="93" t="s">
        <v>9389</v>
      </c>
      <c r="B2870" s="93" t="s">
        <v>9390</v>
      </c>
      <c r="C2870" s="410">
        <v>47.25</v>
      </c>
      <c r="D2870" s="93" t="s">
        <v>24</v>
      </c>
      <c r="E2870" s="93" t="s">
        <v>24</v>
      </c>
      <c r="F2870" s="93" t="s">
        <v>7070</v>
      </c>
      <c r="G2870" s="93" t="s">
        <v>8237</v>
      </c>
      <c r="H2870" s="93" t="s">
        <v>11</v>
      </c>
      <c r="I2870" s="93" t="s">
        <v>111</v>
      </c>
      <c r="J2870" s="93" t="s">
        <v>963</v>
      </c>
      <c r="K2870" s="93">
        <v>60</v>
      </c>
      <c r="L2870" s="93">
        <v>1</v>
      </c>
      <c r="M2870" s="93">
        <v>0.3</v>
      </c>
      <c r="N2870" s="93" t="s">
        <v>113</v>
      </c>
      <c r="O2870" s="93">
        <v>28</v>
      </c>
      <c r="P2870" s="93">
        <v>7.9</v>
      </c>
      <c r="Q2870" s="93">
        <v>17</v>
      </c>
      <c r="R2870" s="93" t="s">
        <v>1177</v>
      </c>
      <c r="S2870" s="93" t="s">
        <v>2</v>
      </c>
      <c r="T2870" s="93" t="s">
        <v>115</v>
      </c>
      <c r="U2870" s="93" t="s">
        <v>116</v>
      </c>
      <c r="V2870" s="94">
        <v>44628.529166666667</v>
      </c>
      <c r="W2870" s="93" t="s">
        <v>1170</v>
      </c>
      <c r="X2870" s="93" t="s">
        <v>24</v>
      </c>
    </row>
    <row r="2871" spans="1:24" hidden="1" x14ac:dyDescent="0.15">
      <c r="A2871" s="93" t="s">
        <v>4219</v>
      </c>
      <c r="B2871" s="93" t="s">
        <v>4220</v>
      </c>
      <c r="C2871" s="410">
        <v>1</v>
      </c>
      <c r="D2871" s="93" t="s">
        <v>24</v>
      </c>
      <c r="E2871" s="93" t="s">
        <v>24</v>
      </c>
      <c r="F2871" s="93" t="s">
        <v>399</v>
      </c>
      <c r="G2871" s="93" t="s">
        <v>8461</v>
      </c>
      <c r="H2871" s="93" t="s">
        <v>400</v>
      </c>
      <c r="I2871" s="93" t="s">
        <v>111</v>
      </c>
      <c r="J2871" s="93" t="s">
        <v>4221</v>
      </c>
      <c r="K2871" s="93">
        <v>60</v>
      </c>
      <c r="L2871" s="93" t="s">
        <v>111</v>
      </c>
      <c r="M2871" s="93" t="s">
        <v>111</v>
      </c>
      <c r="N2871" s="93" t="s">
        <v>111</v>
      </c>
      <c r="O2871" s="93" t="s">
        <v>111</v>
      </c>
      <c r="P2871" s="93" t="s">
        <v>111</v>
      </c>
      <c r="Q2871" s="93" t="s">
        <v>111</v>
      </c>
      <c r="R2871" s="93" t="s">
        <v>111</v>
      </c>
      <c r="S2871" s="93" t="s">
        <v>111</v>
      </c>
      <c r="T2871" s="93" t="s">
        <v>115</v>
      </c>
      <c r="U2871" s="93" t="s">
        <v>116</v>
      </c>
      <c r="V2871" s="94">
        <v>44600.52847222222</v>
      </c>
      <c r="W2871" s="93" t="s">
        <v>1216</v>
      </c>
      <c r="X2871" s="93" t="s">
        <v>111</v>
      </c>
    </row>
    <row r="2872" spans="1:24" hidden="1" x14ac:dyDescent="0.15">
      <c r="A2872" s="93" t="s">
        <v>4222</v>
      </c>
      <c r="B2872" s="93" t="s">
        <v>4223</v>
      </c>
      <c r="C2872" s="410">
        <v>918</v>
      </c>
      <c r="D2872" s="93" t="s">
        <v>9</v>
      </c>
      <c r="E2872" s="93" t="s">
        <v>24</v>
      </c>
      <c r="F2872" s="93" t="s">
        <v>7070</v>
      </c>
      <c r="G2872" s="93" t="s">
        <v>7168</v>
      </c>
      <c r="H2872" s="93" t="s">
        <v>11</v>
      </c>
      <c r="I2872" s="93" t="s">
        <v>111</v>
      </c>
      <c r="J2872" s="93" t="s">
        <v>387</v>
      </c>
      <c r="K2872" s="93">
        <v>60</v>
      </c>
      <c r="L2872" s="93" t="s">
        <v>111</v>
      </c>
      <c r="M2872" s="93">
        <v>0.2</v>
      </c>
      <c r="N2872" s="93" t="s">
        <v>113</v>
      </c>
      <c r="O2872" s="93">
        <v>2.54</v>
      </c>
      <c r="P2872" s="93">
        <v>20.32</v>
      </c>
      <c r="Q2872" s="93">
        <v>7.62</v>
      </c>
      <c r="R2872" s="93" t="s">
        <v>4224</v>
      </c>
      <c r="S2872" s="93" t="s">
        <v>18</v>
      </c>
      <c r="T2872" s="93" t="s">
        <v>115</v>
      </c>
      <c r="U2872" s="93" t="s">
        <v>116</v>
      </c>
      <c r="V2872" s="94">
        <v>44628.577777777777</v>
      </c>
      <c r="W2872" s="93" t="s">
        <v>1170</v>
      </c>
      <c r="X2872" s="93" t="s">
        <v>24</v>
      </c>
    </row>
    <row r="2873" spans="1:24" hidden="1" x14ac:dyDescent="0.15">
      <c r="A2873" s="93" t="s">
        <v>4225</v>
      </c>
      <c r="B2873" s="93" t="s">
        <v>4226</v>
      </c>
      <c r="C2873" s="410">
        <v>64.8</v>
      </c>
      <c r="D2873" s="93" t="s">
        <v>9</v>
      </c>
      <c r="E2873" s="93" t="s">
        <v>24</v>
      </c>
      <c r="F2873" s="93" t="s">
        <v>7070</v>
      </c>
      <c r="G2873" s="93" t="s">
        <v>7168</v>
      </c>
      <c r="H2873" s="93" t="s">
        <v>11</v>
      </c>
      <c r="I2873" s="93" t="s">
        <v>111</v>
      </c>
      <c r="J2873" s="93" t="s">
        <v>387</v>
      </c>
      <c r="K2873" s="93">
        <v>60</v>
      </c>
      <c r="L2873" s="93" t="s">
        <v>111</v>
      </c>
      <c r="M2873" s="93">
        <v>0.1</v>
      </c>
      <c r="N2873" s="93" t="s">
        <v>113</v>
      </c>
      <c r="O2873" s="93">
        <v>0.3</v>
      </c>
      <c r="P2873" s="93">
        <v>0.5</v>
      </c>
      <c r="Q2873" s="93">
        <v>5</v>
      </c>
      <c r="R2873" s="93" t="s">
        <v>4227</v>
      </c>
      <c r="S2873" s="93" t="s">
        <v>18</v>
      </c>
      <c r="T2873" s="93" t="s">
        <v>115</v>
      </c>
      <c r="U2873" s="93" t="s">
        <v>116</v>
      </c>
      <c r="V2873" s="94">
        <v>44628.556250000001</v>
      </c>
      <c r="W2873" s="93" t="s">
        <v>1170</v>
      </c>
      <c r="X2873" s="93" t="s">
        <v>24</v>
      </c>
    </row>
    <row r="2874" spans="1:24" hidden="1" x14ac:dyDescent="0.15">
      <c r="A2874" s="93" t="s">
        <v>4228</v>
      </c>
      <c r="B2874" s="93" t="s">
        <v>4229</v>
      </c>
      <c r="C2874" s="410">
        <v>31.32</v>
      </c>
      <c r="D2874" s="93" t="s">
        <v>24</v>
      </c>
      <c r="E2874" s="93" t="s">
        <v>24</v>
      </c>
      <c r="F2874" s="93" t="s">
        <v>7070</v>
      </c>
      <c r="G2874" s="93" t="s">
        <v>7168</v>
      </c>
      <c r="H2874" s="93" t="s">
        <v>11</v>
      </c>
      <c r="I2874" s="93" t="s">
        <v>111</v>
      </c>
      <c r="J2874" s="93" t="s">
        <v>387</v>
      </c>
      <c r="K2874" s="93">
        <v>60</v>
      </c>
      <c r="L2874" s="93" t="s">
        <v>111</v>
      </c>
      <c r="M2874" s="93">
        <v>0.05</v>
      </c>
      <c r="N2874" s="93" t="s">
        <v>113</v>
      </c>
      <c r="O2874" s="93">
        <v>2.0299999999999998</v>
      </c>
      <c r="P2874" s="93">
        <v>2.0299999999999998</v>
      </c>
      <c r="Q2874" s="93">
        <v>24.13</v>
      </c>
      <c r="R2874" s="93" t="s">
        <v>114</v>
      </c>
      <c r="S2874" s="93" t="s">
        <v>20</v>
      </c>
      <c r="T2874" s="93" t="s">
        <v>115</v>
      </c>
      <c r="U2874" s="93" t="s">
        <v>119</v>
      </c>
      <c r="V2874" s="94">
        <v>44628.560416666667</v>
      </c>
      <c r="W2874" s="93" t="s">
        <v>1216</v>
      </c>
      <c r="X2874" s="93" t="s">
        <v>9</v>
      </c>
    </row>
    <row r="2875" spans="1:24" hidden="1" x14ac:dyDescent="0.15">
      <c r="A2875" s="93" t="s">
        <v>4230</v>
      </c>
      <c r="B2875" s="93" t="s">
        <v>4231</v>
      </c>
      <c r="C2875" s="410">
        <v>32.67</v>
      </c>
      <c r="D2875" s="93" t="s">
        <v>24</v>
      </c>
      <c r="E2875" s="93" t="s">
        <v>24</v>
      </c>
      <c r="F2875" s="93" t="s">
        <v>7070</v>
      </c>
      <c r="G2875" s="93" t="s">
        <v>7168</v>
      </c>
      <c r="H2875" s="93" t="s">
        <v>11</v>
      </c>
      <c r="I2875" s="93" t="s">
        <v>111</v>
      </c>
      <c r="J2875" s="93" t="s">
        <v>387</v>
      </c>
      <c r="K2875" s="93">
        <v>60</v>
      </c>
      <c r="L2875" s="93" t="s">
        <v>111</v>
      </c>
      <c r="M2875" s="93">
        <v>1.1499999999999999</v>
      </c>
      <c r="N2875" s="93" t="s">
        <v>113</v>
      </c>
      <c r="O2875" s="93">
        <v>8</v>
      </c>
      <c r="P2875" s="93">
        <v>13</v>
      </c>
      <c r="Q2875" s="93">
        <v>14</v>
      </c>
      <c r="R2875" s="93" t="s">
        <v>122</v>
      </c>
      <c r="S2875" s="93" t="s">
        <v>20</v>
      </c>
      <c r="T2875" s="93" t="s">
        <v>115</v>
      </c>
      <c r="U2875" s="93" t="s">
        <v>116</v>
      </c>
      <c r="V2875" s="94">
        <v>44628.604166666664</v>
      </c>
      <c r="W2875" s="93" t="s">
        <v>402</v>
      </c>
      <c r="X2875" s="93" t="s">
        <v>9</v>
      </c>
    </row>
    <row r="2876" spans="1:24" hidden="1" x14ac:dyDescent="0.15">
      <c r="A2876" s="93" t="s">
        <v>4232</v>
      </c>
      <c r="B2876" s="93" t="s">
        <v>4233</v>
      </c>
      <c r="C2876" s="410">
        <v>168.48</v>
      </c>
      <c r="D2876" s="93" t="s">
        <v>24</v>
      </c>
      <c r="E2876" s="93" t="s">
        <v>24</v>
      </c>
      <c r="F2876" s="93" t="s">
        <v>7070</v>
      </c>
      <c r="G2876" s="93" t="s">
        <v>7175</v>
      </c>
      <c r="H2876" s="93" t="s">
        <v>11</v>
      </c>
      <c r="I2876" s="93" t="s">
        <v>111</v>
      </c>
      <c r="J2876" s="93" t="s">
        <v>390</v>
      </c>
      <c r="K2876" s="93">
        <v>80</v>
      </c>
      <c r="L2876" s="93" t="s">
        <v>111</v>
      </c>
      <c r="M2876" s="93">
        <v>0.5</v>
      </c>
      <c r="N2876" s="93" t="s">
        <v>113</v>
      </c>
      <c r="O2876" s="93">
        <v>3.8</v>
      </c>
      <c r="P2876" s="93">
        <v>7.2</v>
      </c>
      <c r="Q2876" s="93">
        <v>12.5</v>
      </c>
      <c r="R2876" s="93" t="s">
        <v>121</v>
      </c>
      <c r="S2876" s="93" t="s">
        <v>2</v>
      </c>
      <c r="T2876" s="93" t="s">
        <v>115</v>
      </c>
      <c r="U2876" s="93" t="s">
        <v>116</v>
      </c>
      <c r="V2876" s="94">
        <v>44628.535416666666</v>
      </c>
      <c r="W2876" s="93" t="s">
        <v>1170</v>
      </c>
      <c r="X2876" s="93" t="s">
        <v>24</v>
      </c>
    </row>
    <row r="2877" spans="1:24" hidden="1" x14ac:dyDescent="0.15">
      <c r="A2877" s="93" t="s">
        <v>75</v>
      </c>
      <c r="B2877" s="93" t="s">
        <v>389</v>
      </c>
      <c r="C2877" s="410">
        <v>89.64</v>
      </c>
      <c r="D2877" s="93" t="s">
        <v>24</v>
      </c>
      <c r="E2877" s="93" t="s">
        <v>24</v>
      </c>
      <c r="F2877" s="93" t="s">
        <v>7070</v>
      </c>
      <c r="G2877" s="93" t="s">
        <v>7175</v>
      </c>
      <c r="H2877" s="93" t="s">
        <v>11</v>
      </c>
      <c r="I2877" s="93" t="s">
        <v>111</v>
      </c>
      <c r="J2877" s="93" t="s">
        <v>390</v>
      </c>
      <c r="K2877" s="93">
        <v>80</v>
      </c>
      <c r="L2877" s="93">
        <v>1</v>
      </c>
      <c r="M2877" s="93">
        <v>0.24</v>
      </c>
      <c r="N2877" s="93" t="s">
        <v>113</v>
      </c>
      <c r="O2877" s="93">
        <v>5.8</v>
      </c>
      <c r="P2877" s="93">
        <v>5.8</v>
      </c>
      <c r="Q2877" s="93">
        <v>13</v>
      </c>
      <c r="R2877" s="93" t="s">
        <v>121</v>
      </c>
      <c r="S2877" s="93" t="s">
        <v>20</v>
      </c>
      <c r="T2877" s="93" t="s">
        <v>115</v>
      </c>
      <c r="U2877" s="93" t="s">
        <v>116</v>
      </c>
      <c r="V2877" s="94">
        <v>44628.637499999997</v>
      </c>
      <c r="W2877" s="93" t="s">
        <v>402</v>
      </c>
      <c r="X2877" s="93" t="s">
        <v>9</v>
      </c>
    </row>
    <row r="2878" spans="1:24" hidden="1" x14ac:dyDescent="0.15">
      <c r="A2878" s="93" t="s">
        <v>4234</v>
      </c>
      <c r="B2878" s="93" t="s">
        <v>4235</v>
      </c>
      <c r="C2878" s="410">
        <v>26.46</v>
      </c>
      <c r="D2878" s="93" t="s">
        <v>24</v>
      </c>
      <c r="E2878" s="93" t="s">
        <v>24</v>
      </c>
      <c r="F2878" s="93" t="s">
        <v>7070</v>
      </c>
      <c r="G2878" s="93" t="s">
        <v>7175</v>
      </c>
      <c r="H2878" s="93" t="s">
        <v>11</v>
      </c>
      <c r="I2878" s="93" t="s">
        <v>111</v>
      </c>
      <c r="J2878" s="93" t="s">
        <v>390</v>
      </c>
      <c r="K2878" s="93">
        <v>80</v>
      </c>
      <c r="L2878" s="93" t="s">
        <v>111</v>
      </c>
      <c r="M2878" s="93">
        <v>0.113</v>
      </c>
      <c r="N2878" s="93" t="s">
        <v>113</v>
      </c>
      <c r="O2878" s="93">
        <v>4</v>
      </c>
      <c r="P2878" s="93">
        <v>7</v>
      </c>
      <c r="Q2878" s="93">
        <v>19</v>
      </c>
      <c r="R2878" s="93" t="s">
        <v>391</v>
      </c>
      <c r="S2878" s="93" t="s">
        <v>20</v>
      </c>
      <c r="T2878" s="93" t="s">
        <v>115</v>
      </c>
      <c r="U2878" s="93" t="s">
        <v>116</v>
      </c>
      <c r="V2878" s="94">
        <v>44628.521527777775</v>
      </c>
      <c r="W2878" s="93" t="s">
        <v>1170</v>
      </c>
      <c r="X2878" s="93" t="s">
        <v>9</v>
      </c>
    </row>
    <row r="2879" spans="1:24" hidden="1" x14ac:dyDescent="0.15">
      <c r="A2879" s="93" t="s">
        <v>4236</v>
      </c>
      <c r="B2879" s="93" t="s">
        <v>4237</v>
      </c>
      <c r="C2879" s="410">
        <v>21.6</v>
      </c>
      <c r="D2879" s="93" t="s">
        <v>24</v>
      </c>
      <c r="E2879" s="93" t="s">
        <v>24</v>
      </c>
      <c r="F2879" s="93" t="s">
        <v>7070</v>
      </c>
      <c r="G2879" s="93" t="s">
        <v>7175</v>
      </c>
      <c r="H2879" s="93" t="s">
        <v>11</v>
      </c>
      <c r="I2879" s="93" t="s">
        <v>111</v>
      </c>
      <c r="J2879" s="93" t="s">
        <v>390</v>
      </c>
      <c r="K2879" s="93">
        <v>80</v>
      </c>
      <c r="L2879" s="93" t="s">
        <v>111</v>
      </c>
      <c r="M2879" s="93">
        <v>0.15</v>
      </c>
      <c r="N2879" s="93" t="s">
        <v>113</v>
      </c>
      <c r="O2879" s="93">
        <v>5.5</v>
      </c>
      <c r="P2879" s="93">
        <v>22.5</v>
      </c>
      <c r="Q2879" s="93">
        <v>16</v>
      </c>
      <c r="R2879" s="93" t="s">
        <v>391</v>
      </c>
      <c r="S2879" s="93" t="s">
        <v>20</v>
      </c>
      <c r="T2879" s="93" t="s">
        <v>115</v>
      </c>
      <c r="U2879" s="93" t="s">
        <v>116</v>
      </c>
      <c r="V2879" s="94">
        <v>44628.478472222225</v>
      </c>
      <c r="W2879" s="93" t="s">
        <v>1170</v>
      </c>
      <c r="X2879" s="93" t="s">
        <v>9</v>
      </c>
    </row>
    <row r="2880" spans="1:24" hidden="1" x14ac:dyDescent="0.15">
      <c r="A2880" s="93" t="s">
        <v>4238</v>
      </c>
      <c r="B2880" s="93" t="s">
        <v>4239</v>
      </c>
      <c r="C2880" s="410">
        <v>21.6</v>
      </c>
      <c r="D2880" s="93" t="s">
        <v>24</v>
      </c>
      <c r="E2880" s="93" t="s">
        <v>24</v>
      </c>
      <c r="F2880" s="93" t="s">
        <v>7070</v>
      </c>
      <c r="G2880" s="93" t="s">
        <v>7175</v>
      </c>
      <c r="H2880" s="93" t="s">
        <v>11</v>
      </c>
      <c r="I2880" s="93" t="s">
        <v>111</v>
      </c>
      <c r="J2880" s="93" t="s">
        <v>390</v>
      </c>
      <c r="K2880" s="93">
        <v>80</v>
      </c>
      <c r="L2880" s="93" t="s">
        <v>111</v>
      </c>
      <c r="M2880" s="93">
        <v>0.1</v>
      </c>
      <c r="N2880" s="93" t="s">
        <v>113</v>
      </c>
      <c r="O2880" s="93">
        <v>2</v>
      </c>
      <c r="P2880" s="93">
        <v>12</v>
      </c>
      <c r="Q2880" s="93">
        <v>18</v>
      </c>
      <c r="R2880" s="93" t="s">
        <v>391</v>
      </c>
      <c r="S2880" s="93" t="s">
        <v>20</v>
      </c>
      <c r="T2880" s="93" t="s">
        <v>115</v>
      </c>
      <c r="U2880" s="93" t="s">
        <v>116</v>
      </c>
      <c r="V2880" s="94">
        <v>44628.564583333333</v>
      </c>
      <c r="W2880" s="93" t="s">
        <v>1170</v>
      </c>
      <c r="X2880" s="93" t="s">
        <v>9</v>
      </c>
    </row>
    <row r="2881" spans="1:24" hidden="1" x14ac:dyDescent="0.15">
      <c r="A2881" s="93" t="s">
        <v>4240</v>
      </c>
      <c r="B2881" s="93" t="s">
        <v>4241</v>
      </c>
      <c r="C2881" s="410">
        <v>21.6</v>
      </c>
      <c r="D2881" s="93" t="s">
        <v>24</v>
      </c>
      <c r="E2881" s="93" t="s">
        <v>24</v>
      </c>
      <c r="F2881" s="93" t="s">
        <v>7070</v>
      </c>
      <c r="G2881" s="93" t="s">
        <v>7175</v>
      </c>
      <c r="H2881" s="93" t="s">
        <v>11</v>
      </c>
      <c r="I2881" s="93" t="s">
        <v>111</v>
      </c>
      <c r="J2881" s="93" t="s">
        <v>390</v>
      </c>
      <c r="K2881" s="93">
        <v>80</v>
      </c>
      <c r="L2881" s="93" t="s">
        <v>111</v>
      </c>
      <c r="M2881" s="93">
        <v>0.14000000000000001</v>
      </c>
      <c r="N2881" s="93" t="s">
        <v>113</v>
      </c>
      <c r="O2881" s="93">
        <v>4</v>
      </c>
      <c r="P2881" s="93">
        <v>14</v>
      </c>
      <c r="Q2881" s="93">
        <v>16</v>
      </c>
      <c r="R2881" s="93" t="s">
        <v>391</v>
      </c>
      <c r="S2881" s="93" t="s">
        <v>20</v>
      </c>
      <c r="T2881" s="93" t="s">
        <v>115</v>
      </c>
      <c r="U2881" s="93" t="s">
        <v>116</v>
      </c>
      <c r="V2881" s="94">
        <v>44628.586805555555</v>
      </c>
      <c r="W2881" s="93" t="s">
        <v>1170</v>
      </c>
      <c r="X2881" s="93" t="s">
        <v>9</v>
      </c>
    </row>
    <row r="2882" spans="1:24" hidden="1" x14ac:dyDescent="0.15">
      <c r="A2882" s="93" t="s">
        <v>4242</v>
      </c>
      <c r="B2882" s="93" t="s">
        <v>4243</v>
      </c>
      <c r="C2882" s="410">
        <v>324</v>
      </c>
      <c r="D2882" s="93" t="s">
        <v>24</v>
      </c>
      <c r="E2882" s="93" t="s">
        <v>24</v>
      </c>
      <c r="F2882" s="93" t="s">
        <v>7070</v>
      </c>
      <c r="G2882" s="93" t="s">
        <v>7175</v>
      </c>
      <c r="H2882" s="93" t="s">
        <v>11</v>
      </c>
      <c r="I2882" s="93" t="s">
        <v>111</v>
      </c>
      <c r="J2882" s="93" t="s">
        <v>390</v>
      </c>
      <c r="K2882" s="93">
        <v>80</v>
      </c>
      <c r="L2882" s="93" t="s">
        <v>111</v>
      </c>
      <c r="M2882" s="93">
        <v>1.7</v>
      </c>
      <c r="N2882" s="93" t="s">
        <v>113</v>
      </c>
      <c r="O2882" s="93">
        <v>10</v>
      </c>
      <c r="P2882" s="93">
        <v>16</v>
      </c>
      <c r="Q2882" s="93">
        <v>18</v>
      </c>
      <c r="R2882" s="93" t="s">
        <v>122</v>
      </c>
      <c r="S2882" s="93" t="s">
        <v>4172</v>
      </c>
      <c r="T2882" s="93" t="s">
        <v>115</v>
      </c>
      <c r="U2882" s="93" t="s">
        <v>116</v>
      </c>
      <c r="V2882" s="94">
        <v>44628.478472222225</v>
      </c>
      <c r="W2882" s="93" t="s">
        <v>1170</v>
      </c>
      <c r="X2882" s="93" t="s">
        <v>9</v>
      </c>
    </row>
    <row r="2883" spans="1:24" hidden="1" x14ac:dyDescent="0.15">
      <c r="A2883" s="93" t="s">
        <v>4244</v>
      </c>
      <c r="B2883" s="93" t="s">
        <v>4245</v>
      </c>
      <c r="C2883" s="410">
        <v>86.4</v>
      </c>
      <c r="D2883" s="93" t="s">
        <v>24</v>
      </c>
      <c r="E2883" s="93" t="s">
        <v>24</v>
      </c>
      <c r="F2883" s="93" t="s">
        <v>7070</v>
      </c>
      <c r="G2883" s="93" t="s">
        <v>7175</v>
      </c>
      <c r="H2883" s="93" t="s">
        <v>11</v>
      </c>
      <c r="I2883" s="93" t="s">
        <v>111</v>
      </c>
      <c r="J2883" s="93" t="s">
        <v>390</v>
      </c>
      <c r="K2883" s="93">
        <v>80</v>
      </c>
      <c r="L2883" s="93" t="s">
        <v>111</v>
      </c>
      <c r="M2883" s="93">
        <v>0.9</v>
      </c>
      <c r="N2883" s="93" t="s">
        <v>113</v>
      </c>
      <c r="O2883" s="93">
        <v>10</v>
      </c>
      <c r="P2883" s="93">
        <v>15</v>
      </c>
      <c r="Q2883" s="93">
        <v>18</v>
      </c>
      <c r="R2883" s="93" t="s">
        <v>122</v>
      </c>
      <c r="S2883" s="93" t="s">
        <v>4172</v>
      </c>
      <c r="T2883" s="93" t="s">
        <v>115</v>
      </c>
      <c r="U2883" s="93" t="s">
        <v>116</v>
      </c>
      <c r="V2883" s="94">
        <v>44628.586805555555</v>
      </c>
      <c r="W2883" s="93" t="s">
        <v>1170</v>
      </c>
      <c r="X2883" s="93" t="s">
        <v>9</v>
      </c>
    </row>
    <row r="2884" spans="1:24" hidden="1" x14ac:dyDescent="0.15">
      <c r="A2884" s="93" t="s">
        <v>4246</v>
      </c>
      <c r="B2884" s="93" t="s">
        <v>4247</v>
      </c>
      <c r="C2884" s="410">
        <v>189</v>
      </c>
      <c r="D2884" s="93" t="s">
        <v>24</v>
      </c>
      <c r="E2884" s="93" t="s">
        <v>24</v>
      </c>
      <c r="F2884" s="93" t="s">
        <v>7070</v>
      </c>
      <c r="G2884" s="93" t="s">
        <v>7175</v>
      </c>
      <c r="H2884" s="93" t="s">
        <v>11</v>
      </c>
      <c r="I2884" s="93" t="s">
        <v>111</v>
      </c>
      <c r="J2884" s="93" t="s">
        <v>390</v>
      </c>
      <c r="K2884" s="93">
        <v>80</v>
      </c>
      <c r="L2884" s="93" t="s">
        <v>111</v>
      </c>
      <c r="M2884" s="93">
        <v>0.55000000000000004</v>
      </c>
      <c r="N2884" s="93" t="s">
        <v>113</v>
      </c>
      <c r="O2884" s="93">
        <v>3</v>
      </c>
      <c r="P2884" s="93">
        <v>22.5</v>
      </c>
      <c r="Q2884" s="93">
        <v>16</v>
      </c>
      <c r="R2884" s="93" t="s">
        <v>413</v>
      </c>
      <c r="S2884" s="93" t="s">
        <v>17</v>
      </c>
      <c r="T2884" s="93" t="s">
        <v>115</v>
      </c>
      <c r="U2884" s="93" t="s">
        <v>116</v>
      </c>
      <c r="V2884" s="94">
        <v>44628.60833333333</v>
      </c>
      <c r="W2884" s="93" t="s">
        <v>1170</v>
      </c>
      <c r="X2884" s="93" t="s">
        <v>9</v>
      </c>
    </row>
    <row r="2885" spans="1:24" hidden="1" x14ac:dyDescent="0.15">
      <c r="A2885" s="93" t="s">
        <v>4248</v>
      </c>
      <c r="B2885" s="93" t="s">
        <v>4249</v>
      </c>
      <c r="C2885" s="410">
        <v>27</v>
      </c>
      <c r="D2885" s="93" t="s">
        <v>24</v>
      </c>
      <c r="E2885" s="93" t="s">
        <v>24</v>
      </c>
      <c r="F2885" s="93" t="s">
        <v>7070</v>
      </c>
      <c r="G2885" s="93" t="s">
        <v>7175</v>
      </c>
      <c r="H2885" s="93" t="s">
        <v>11</v>
      </c>
      <c r="I2885" s="93" t="s">
        <v>111</v>
      </c>
      <c r="J2885" s="93" t="s">
        <v>390</v>
      </c>
      <c r="K2885" s="93">
        <v>80</v>
      </c>
      <c r="L2885" s="93" t="s">
        <v>111</v>
      </c>
      <c r="M2885" s="93">
        <v>0.5</v>
      </c>
      <c r="N2885" s="93" t="s">
        <v>113</v>
      </c>
      <c r="O2885" s="93">
        <v>5</v>
      </c>
      <c r="P2885" s="93">
        <v>17</v>
      </c>
      <c r="Q2885" s="93">
        <v>30</v>
      </c>
      <c r="R2885" s="93" t="s">
        <v>1756</v>
      </c>
      <c r="S2885" s="93" t="s">
        <v>18</v>
      </c>
      <c r="T2885" s="93" t="s">
        <v>115</v>
      </c>
      <c r="U2885" s="93" t="s">
        <v>116</v>
      </c>
      <c r="V2885" s="94">
        <v>44628.478472222225</v>
      </c>
      <c r="W2885" s="93" t="s">
        <v>1170</v>
      </c>
      <c r="X2885" s="93" t="s">
        <v>9</v>
      </c>
    </row>
    <row r="2886" spans="1:24" hidden="1" x14ac:dyDescent="0.15">
      <c r="A2886" s="93" t="s">
        <v>4250</v>
      </c>
      <c r="B2886" s="93" t="s">
        <v>4251</v>
      </c>
      <c r="C2886" s="410">
        <v>172.8</v>
      </c>
      <c r="D2886" s="93" t="s">
        <v>24</v>
      </c>
      <c r="E2886" s="93" t="s">
        <v>24</v>
      </c>
      <c r="F2886" s="93" t="s">
        <v>7070</v>
      </c>
      <c r="G2886" s="93" t="s">
        <v>7175</v>
      </c>
      <c r="H2886" s="93" t="s">
        <v>11</v>
      </c>
      <c r="I2886" s="93" t="s">
        <v>111</v>
      </c>
      <c r="J2886" s="93" t="s">
        <v>390</v>
      </c>
      <c r="K2886" s="93">
        <v>80</v>
      </c>
      <c r="L2886" s="93" t="s">
        <v>111</v>
      </c>
      <c r="M2886" s="93">
        <v>1.58</v>
      </c>
      <c r="N2886" s="93" t="s">
        <v>113</v>
      </c>
      <c r="O2886" s="93">
        <v>4</v>
      </c>
      <c r="P2886" s="93">
        <v>18.5</v>
      </c>
      <c r="Q2886" s="93">
        <v>15.5</v>
      </c>
      <c r="R2886" s="93" t="s">
        <v>122</v>
      </c>
      <c r="S2886" s="93" t="s">
        <v>4172</v>
      </c>
      <c r="T2886" s="93" t="s">
        <v>115</v>
      </c>
      <c r="U2886" s="93" t="s">
        <v>116</v>
      </c>
      <c r="V2886" s="94">
        <v>44628.586805555555</v>
      </c>
      <c r="W2886" s="93" t="s">
        <v>1170</v>
      </c>
      <c r="X2886" s="93" t="s">
        <v>9</v>
      </c>
    </row>
    <row r="2887" spans="1:24" hidden="1" x14ac:dyDescent="0.15">
      <c r="A2887" s="93" t="s">
        <v>4252</v>
      </c>
      <c r="B2887" s="93" t="s">
        <v>4253</v>
      </c>
      <c r="C2887" s="410">
        <v>108</v>
      </c>
      <c r="D2887" s="93" t="s">
        <v>24</v>
      </c>
      <c r="E2887" s="93" t="s">
        <v>24</v>
      </c>
      <c r="F2887" s="93" t="s">
        <v>7070</v>
      </c>
      <c r="G2887" s="93" t="s">
        <v>7175</v>
      </c>
      <c r="H2887" s="93" t="s">
        <v>11</v>
      </c>
      <c r="I2887" s="93" t="s">
        <v>111</v>
      </c>
      <c r="J2887" s="93" t="s">
        <v>390</v>
      </c>
      <c r="K2887" s="93">
        <v>80</v>
      </c>
      <c r="L2887" s="93" t="s">
        <v>111</v>
      </c>
      <c r="M2887" s="93">
        <v>0.81</v>
      </c>
      <c r="N2887" s="93" t="s">
        <v>113</v>
      </c>
      <c r="O2887" s="93">
        <v>4</v>
      </c>
      <c r="P2887" s="93">
        <v>18.5</v>
      </c>
      <c r="Q2887" s="93">
        <v>15.5</v>
      </c>
      <c r="R2887" s="93" t="s">
        <v>122</v>
      </c>
      <c r="S2887" s="93" t="s">
        <v>4172</v>
      </c>
      <c r="T2887" s="93" t="s">
        <v>115</v>
      </c>
      <c r="U2887" s="93" t="s">
        <v>116</v>
      </c>
      <c r="V2887" s="94">
        <v>44628.543749999997</v>
      </c>
      <c r="W2887" s="93" t="s">
        <v>1170</v>
      </c>
      <c r="X2887" s="93" t="s">
        <v>9</v>
      </c>
    </row>
    <row r="2888" spans="1:24" hidden="1" x14ac:dyDescent="0.15">
      <c r="A2888" s="93" t="s">
        <v>4254</v>
      </c>
      <c r="B2888" s="93" t="s">
        <v>4255</v>
      </c>
      <c r="C2888" s="410">
        <v>6425</v>
      </c>
      <c r="D2888" s="93" t="s">
        <v>24</v>
      </c>
      <c r="E2888" s="93" t="s">
        <v>24</v>
      </c>
      <c r="F2888" s="93" t="s">
        <v>7070</v>
      </c>
      <c r="G2888" s="93" t="s">
        <v>9084</v>
      </c>
      <c r="H2888" s="93" t="s">
        <v>11</v>
      </c>
      <c r="I2888" s="93" t="s">
        <v>111</v>
      </c>
      <c r="J2888" s="93" t="s">
        <v>1642</v>
      </c>
      <c r="K2888" s="93">
        <v>120</v>
      </c>
      <c r="L2888" s="93" t="s">
        <v>111</v>
      </c>
      <c r="M2888" s="93">
        <v>2</v>
      </c>
      <c r="N2888" s="93" t="s">
        <v>113</v>
      </c>
      <c r="O2888" s="93">
        <v>25</v>
      </c>
      <c r="P2888" s="93">
        <v>10</v>
      </c>
      <c r="Q2888" s="93">
        <v>20</v>
      </c>
      <c r="R2888" s="93" t="s">
        <v>4256</v>
      </c>
      <c r="S2888" s="93" t="s">
        <v>2</v>
      </c>
      <c r="T2888" s="93" t="s">
        <v>1567</v>
      </c>
      <c r="U2888" s="93" t="s">
        <v>116</v>
      </c>
      <c r="V2888" s="94">
        <v>44628.581250000003</v>
      </c>
      <c r="W2888" s="93" t="s">
        <v>1170</v>
      </c>
      <c r="X2888" s="93" t="s">
        <v>24</v>
      </c>
    </row>
    <row r="2889" spans="1:24" hidden="1" x14ac:dyDescent="0.15">
      <c r="A2889" s="93" t="s">
        <v>4257</v>
      </c>
      <c r="B2889" s="93" t="s">
        <v>4258</v>
      </c>
      <c r="C2889" s="410">
        <v>16300</v>
      </c>
      <c r="D2889" s="93" t="s">
        <v>24</v>
      </c>
      <c r="E2889" s="93" t="s">
        <v>24</v>
      </c>
      <c r="F2889" s="93" t="s">
        <v>7070</v>
      </c>
      <c r="G2889" s="93" t="s">
        <v>9084</v>
      </c>
      <c r="H2889" s="93" t="s">
        <v>11</v>
      </c>
      <c r="I2889" s="93" t="s">
        <v>111</v>
      </c>
      <c r="J2889" s="93" t="s">
        <v>1642</v>
      </c>
      <c r="K2889" s="93">
        <v>120</v>
      </c>
      <c r="L2889" s="93" t="s">
        <v>111</v>
      </c>
      <c r="M2889" s="93">
        <v>7.7</v>
      </c>
      <c r="N2889" s="93" t="s">
        <v>113</v>
      </c>
      <c r="O2889" s="93">
        <v>33</v>
      </c>
      <c r="P2889" s="93">
        <v>20</v>
      </c>
      <c r="Q2889" s="93">
        <v>28</v>
      </c>
      <c r="R2889" s="93" t="s">
        <v>4256</v>
      </c>
      <c r="S2889" s="93" t="s">
        <v>2</v>
      </c>
      <c r="T2889" s="93" t="s">
        <v>1567</v>
      </c>
      <c r="U2889" s="93" t="s">
        <v>116</v>
      </c>
      <c r="V2889" s="94">
        <v>44628.472916666666</v>
      </c>
      <c r="W2889" s="93" t="s">
        <v>1170</v>
      </c>
      <c r="X2889" s="93" t="s">
        <v>24</v>
      </c>
    </row>
    <row r="2890" spans="1:24" hidden="1" x14ac:dyDescent="0.15">
      <c r="A2890" s="93" t="s">
        <v>4259</v>
      </c>
      <c r="B2890" s="93" t="s">
        <v>4260</v>
      </c>
      <c r="C2890" s="410">
        <v>525</v>
      </c>
      <c r="D2890" s="93" t="s">
        <v>24</v>
      </c>
      <c r="E2890" s="93" t="s">
        <v>24</v>
      </c>
      <c r="F2890" s="93" t="s">
        <v>7070</v>
      </c>
      <c r="G2890" s="93" t="s">
        <v>9084</v>
      </c>
      <c r="H2890" s="93" t="s">
        <v>11</v>
      </c>
      <c r="I2890" s="93" t="s">
        <v>111</v>
      </c>
      <c r="J2890" s="93" t="s">
        <v>1642</v>
      </c>
      <c r="K2890" s="93">
        <v>120</v>
      </c>
      <c r="L2890" s="93" t="s">
        <v>111</v>
      </c>
      <c r="M2890" s="93">
        <v>2</v>
      </c>
      <c r="N2890" s="93" t="s">
        <v>113</v>
      </c>
      <c r="O2890" s="93">
        <v>41</v>
      </c>
      <c r="P2890" s="93">
        <v>10</v>
      </c>
      <c r="Q2890" s="93">
        <v>41</v>
      </c>
      <c r="R2890" s="93" t="s">
        <v>114</v>
      </c>
      <c r="S2890" s="93" t="s">
        <v>2</v>
      </c>
      <c r="T2890" s="93" t="s">
        <v>115</v>
      </c>
      <c r="U2890" s="93" t="s">
        <v>116</v>
      </c>
      <c r="V2890" s="94">
        <v>44628.638194444444</v>
      </c>
      <c r="W2890" s="93" t="s">
        <v>1170</v>
      </c>
      <c r="X2890" s="93" t="s">
        <v>24</v>
      </c>
    </row>
    <row r="2891" spans="1:24" hidden="1" x14ac:dyDescent="0.15">
      <c r="A2891" s="93" t="s">
        <v>4261</v>
      </c>
      <c r="B2891" s="93" t="s">
        <v>4262</v>
      </c>
      <c r="C2891" s="410">
        <v>235</v>
      </c>
      <c r="D2891" s="93" t="s">
        <v>24</v>
      </c>
      <c r="E2891" s="93" t="s">
        <v>24</v>
      </c>
      <c r="F2891" s="93" t="s">
        <v>7070</v>
      </c>
      <c r="G2891" s="93" t="s">
        <v>9084</v>
      </c>
      <c r="H2891" s="93" t="s">
        <v>11</v>
      </c>
      <c r="I2891" s="93" t="s">
        <v>111</v>
      </c>
      <c r="J2891" s="93" t="s">
        <v>1642</v>
      </c>
      <c r="K2891" s="93">
        <v>120</v>
      </c>
      <c r="L2891" s="93" t="s">
        <v>111</v>
      </c>
      <c r="M2891" s="93">
        <v>1</v>
      </c>
      <c r="N2891" s="93" t="s">
        <v>113</v>
      </c>
      <c r="O2891" s="93">
        <v>20</v>
      </c>
      <c r="P2891" s="93">
        <v>10</v>
      </c>
      <c r="Q2891" s="93">
        <v>13</v>
      </c>
      <c r="R2891" s="93" t="s">
        <v>121</v>
      </c>
      <c r="S2891" s="93" t="s">
        <v>2</v>
      </c>
      <c r="T2891" s="93" t="s">
        <v>115</v>
      </c>
      <c r="U2891" s="93" t="s">
        <v>116</v>
      </c>
      <c r="V2891" s="94">
        <v>44628.638194444444</v>
      </c>
      <c r="W2891" s="93" t="s">
        <v>1170</v>
      </c>
      <c r="X2891" s="93" t="s">
        <v>24</v>
      </c>
    </row>
    <row r="2892" spans="1:24" hidden="1" x14ac:dyDescent="0.15">
      <c r="A2892" s="93" t="s">
        <v>4263</v>
      </c>
      <c r="B2892" s="93" t="s">
        <v>4264</v>
      </c>
      <c r="C2892" s="410">
        <v>380</v>
      </c>
      <c r="D2892" s="93" t="s">
        <v>24</v>
      </c>
      <c r="E2892" s="93" t="s">
        <v>24</v>
      </c>
      <c r="F2892" s="93" t="s">
        <v>7070</v>
      </c>
      <c r="G2892" s="93" t="s">
        <v>9084</v>
      </c>
      <c r="H2892" s="93" t="s">
        <v>11</v>
      </c>
      <c r="I2892" s="93" t="s">
        <v>111</v>
      </c>
      <c r="J2892" s="93" t="s">
        <v>1642</v>
      </c>
      <c r="K2892" s="93">
        <v>120</v>
      </c>
      <c r="L2892" s="93" t="s">
        <v>111</v>
      </c>
      <c r="M2892" s="93">
        <v>6.8</v>
      </c>
      <c r="N2892" s="93" t="s">
        <v>113</v>
      </c>
      <c r="O2892" s="93">
        <v>43</v>
      </c>
      <c r="P2892" s="93">
        <v>15</v>
      </c>
      <c r="Q2892" s="93">
        <v>43</v>
      </c>
      <c r="R2892" s="93" t="s">
        <v>391</v>
      </c>
      <c r="S2892" s="93" t="s">
        <v>2</v>
      </c>
      <c r="T2892" s="93" t="s">
        <v>115</v>
      </c>
      <c r="U2892" s="93" t="s">
        <v>116</v>
      </c>
      <c r="V2892" s="94">
        <v>44628.638194444444</v>
      </c>
      <c r="W2892" s="93" t="s">
        <v>1170</v>
      </c>
      <c r="X2892" s="93" t="s">
        <v>24</v>
      </c>
    </row>
    <row r="2893" spans="1:24" hidden="1" x14ac:dyDescent="0.15">
      <c r="A2893" s="93" t="s">
        <v>4265</v>
      </c>
      <c r="B2893" s="93" t="s">
        <v>4266</v>
      </c>
      <c r="C2893" s="410">
        <v>640</v>
      </c>
      <c r="D2893" s="93" t="s">
        <v>24</v>
      </c>
      <c r="E2893" s="93" t="s">
        <v>24</v>
      </c>
      <c r="F2893" s="93" t="s">
        <v>7070</v>
      </c>
      <c r="G2893" s="93" t="s">
        <v>9084</v>
      </c>
      <c r="H2893" s="93" t="s">
        <v>11</v>
      </c>
      <c r="I2893" s="93" t="s">
        <v>111</v>
      </c>
      <c r="J2893" s="93" t="s">
        <v>1642</v>
      </c>
      <c r="K2893" s="93">
        <v>120</v>
      </c>
      <c r="L2893" s="93" t="s">
        <v>111</v>
      </c>
      <c r="M2893" s="93">
        <v>1.8</v>
      </c>
      <c r="N2893" s="93" t="s">
        <v>113</v>
      </c>
      <c r="O2893" s="93">
        <v>20</v>
      </c>
      <c r="P2893" s="93">
        <v>13</v>
      </c>
      <c r="Q2893" s="93">
        <v>20</v>
      </c>
      <c r="R2893" s="93" t="s">
        <v>121</v>
      </c>
      <c r="S2893" s="93" t="s">
        <v>2</v>
      </c>
      <c r="T2893" s="93" t="s">
        <v>115</v>
      </c>
      <c r="U2893" s="93" t="s">
        <v>116</v>
      </c>
      <c r="V2893" s="94">
        <v>44628.494444444441</v>
      </c>
      <c r="W2893" s="93" t="s">
        <v>1170</v>
      </c>
      <c r="X2893" s="93" t="s">
        <v>24</v>
      </c>
    </row>
    <row r="2894" spans="1:24" hidden="1" x14ac:dyDescent="0.15">
      <c r="A2894" s="93" t="s">
        <v>4267</v>
      </c>
      <c r="B2894" s="93" t="s">
        <v>4268</v>
      </c>
      <c r="C2894" s="410">
        <v>990</v>
      </c>
      <c r="D2894" s="93" t="s">
        <v>24</v>
      </c>
      <c r="E2894" s="93" t="s">
        <v>24</v>
      </c>
      <c r="F2894" s="93" t="s">
        <v>7070</v>
      </c>
      <c r="G2894" s="93" t="s">
        <v>9084</v>
      </c>
      <c r="H2894" s="93" t="s">
        <v>11</v>
      </c>
      <c r="I2894" s="93" t="s">
        <v>111</v>
      </c>
      <c r="J2894" s="93" t="s">
        <v>1642</v>
      </c>
      <c r="K2894" s="93">
        <v>120</v>
      </c>
      <c r="L2894" s="93" t="s">
        <v>111</v>
      </c>
      <c r="M2894" s="93">
        <v>2.2999999999999998</v>
      </c>
      <c r="N2894" s="93" t="s">
        <v>113</v>
      </c>
      <c r="O2894" s="93">
        <v>20</v>
      </c>
      <c r="P2894" s="93">
        <v>30</v>
      </c>
      <c r="Q2894" s="93">
        <v>20</v>
      </c>
      <c r="R2894" s="93" t="s">
        <v>4256</v>
      </c>
      <c r="S2894" s="93" t="s">
        <v>2</v>
      </c>
      <c r="T2894" s="93" t="s">
        <v>115</v>
      </c>
      <c r="U2894" s="93" t="s">
        <v>116</v>
      </c>
      <c r="V2894" s="94">
        <v>44628.538194444445</v>
      </c>
      <c r="W2894" s="93" t="s">
        <v>1170</v>
      </c>
      <c r="X2894" s="93" t="s">
        <v>24</v>
      </c>
    </row>
    <row r="2895" spans="1:24" hidden="1" x14ac:dyDescent="0.15">
      <c r="A2895" s="93" t="s">
        <v>4269</v>
      </c>
      <c r="B2895" s="93" t="s">
        <v>4270</v>
      </c>
      <c r="C2895" s="410">
        <v>2150</v>
      </c>
      <c r="D2895" s="93" t="s">
        <v>24</v>
      </c>
      <c r="E2895" s="93" t="s">
        <v>24</v>
      </c>
      <c r="F2895" s="93" t="s">
        <v>7070</v>
      </c>
      <c r="G2895" s="93" t="s">
        <v>9084</v>
      </c>
      <c r="H2895" s="93" t="s">
        <v>11</v>
      </c>
      <c r="I2895" s="93" t="s">
        <v>111</v>
      </c>
      <c r="J2895" s="93" t="s">
        <v>1642</v>
      </c>
      <c r="K2895" s="93">
        <v>120</v>
      </c>
      <c r="L2895" s="93" t="s">
        <v>111</v>
      </c>
      <c r="M2895" s="93">
        <v>6.3</v>
      </c>
      <c r="N2895" s="93" t="s">
        <v>113</v>
      </c>
      <c r="O2895" s="93">
        <v>33</v>
      </c>
      <c r="P2895" s="93">
        <v>20</v>
      </c>
      <c r="Q2895" s="93">
        <v>23</v>
      </c>
      <c r="R2895" s="93" t="s">
        <v>4256</v>
      </c>
      <c r="S2895" s="93" t="s">
        <v>2</v>
      </c>
      <c r="T2895" s="93" t="s">
        <v>115</v>
      </c>
      <c r="U2895" s="93" t="s">
        <v>116</v>
      </c>
      <c r="V2895" s="94">
        <v>44628.472916666666</v>
      </c>
      <c r="W2895" s="93" t="s">
        <v>1170</v>
      </c>
      <c r="X2895" s="93" t="s">
        <v>24</v>
      </c>
    </row>
    <row r="2896" spans="1:24" hidden="1" x14ac:dyDescent="0.15">
      <c r="A2896" s="93" t="s">
        <v>4271</v>
      </c>
      <c r="B2896" s="93" t="s">
        <v>4272</v>
      </c>
      <c r="C2896" s="410">
        <v>260</v>
      </c>
      <c r="D2896" s="93" t="s">
        <v>24</v>
      </c>
      <c r="E2896" s="93" t="s">
        <v>24</v>
      </c>
      <c r="F2896" s="93" t="s">
        <v>7070</v>
      </c>
      <c r="G2896" s="93" t="s">
        <v>9084</v>
      </c>
      <c r="H2896" s="93" t="s">
        <v>11</v>
      </c>
      <c r="I2896" s="93" t="s">
        <v>111</v>
      </c>
      <c r="J2896" s="93" t="s">
        <v>1642</v>
      </c>
      <c r="K2896" s="93">
        <v>120</v>
      </c>
      <c r="L2896" s="93" t="s">
        <v>111</v>
      </c>
      <c r="M2896" s="93">
        <v>1</v>
      </c>
      <c r="N2896" s="93" t="s">
        <v>113</v>
      </c>
      <c r="O2896" s="93">
        <v>20</v>
      </c>
      <c r="P2896" s="93">
        <v>2.5</v>
      </c>
      <c r="Q2896" s="93">
        <v>23</v>
      </c>
      <c r="R2896" s="93" t="s">
        <v>122</v>
      </c>
      <c r="S2896" s="93" t="s">
        <v>2</v>
      </c>
      <c r="T2896" s="93" t="s">
        <v>115</v>
      </c>
      <c r="U2896" s="93" t="s">
        <v>116</v>
      </c>
      <c r="V2896" s="94">
        <v>44628.603472222225</v>
      </c>
      <c r="W2896" s="93" t="s">
        <v>1170</v>
      </c>
      <c r="X2896" s="93" t="s">
        <v>24</v>
      </c>
    </row>
    <row r="2897" spans="1:24" hidden="1" x14ac:dyDescent="0.15">
      <c r="A2897" s="93" t="s">
        <v>9391</v>
      </c>
      <c r="B2897" s="93" t="s">
        <v>9392</v>
      </c>
      <c r="C2897" s="410">
        <v>189</v>
      </c>
      <c r="D2897" s="93" t="s">
        <v>24</v>
      </c>
      <c r="E2897" s="93" t="s">
        <v>24</v>
      </c>
      <c r="F2897" s="93" t="s">
        <v>7070</v>
      </c>
      <c r="G2897" s="93" t="s">
        <v>7175</v>
      </c>
      <c r="H2897" s="93" t="s">
        <v>11</v>
      </c>
      <c r="I2897" s="93" t="s">
        <v>111</v>
      </c>
      <c r="J2897" s="93" t="s">
        <v>390</v>
      </c>
      <c r="K2897" s="93">
        <v>80</v>
      </c>
      <c r="L2897" s="93" t="s">
        <v>111</v>
      </c>
      <c r="M2897" s="93">
        <v>0.55000000000000004</v>
      </c>
      <c r="N2897" s="93" t="s">
        <v>113</v>
      </c>
      <c r="O2897" s="93">
        <v>3</v>
      </c>
      <c r="P2897" s="93">
        <v>22.5</v>
      </c>
      <c r="Q2897" s="93">
        <v>16</v>
      </c>
      <c r="R2897" s="93" t="s">
        <v>413</v>
      </c>
      <c r="S2897" s="93" t="s">
        <v>17</v>
      </c>
      <c r="T2897" s="93" t="s">
        <v>115</v>
      </c>
      <c r="U2897" s="93" t="s">
        <v>116</v>
      </c>
      <c r="V2897" s="94">
        <v>44628.513888888891</v>
      </c>
      <c r="W2897" s="93" t="s">
        <v>1170</v>
      </c>
      <c r="X2897" s="93" t="s">
        <v>24</v>
      </c>
    </row>
    <row r="2898" spans="1:24" hidden="1" x14ac:dyDescent="0.15">
      <c r="A2898" s="93" t="s">
        <v>4274</v>
      </c>
      <c r="B2898" s="93" t="s">
        <v>4275</v>
      </c>
      <c r="C2898" s="410">
        <v>54</v>
      </c>
      <c r="D2898" s="93" t="s">
        <v>24</v>
      </c>
      <c r="E2898" s="93" t="s">
        <v>24</v>
      </c>
      <c r="F2898" s="93" t="s">
        <v>7070</v>
      </c>
      <c r="G2898" s="93" t="s">
        <v>9296</v>
      </c>
      <c r="H2898" s="93" t="s">
        <v>11</v>
      </c>
      <c r="I2898" s="93" t="s">
        <v>111</v>
      </c>
      <c r="J2898" s="93" t="s">
        <v>390</v>
      </c>
      <c r="K2898" s="93">
        <v>80</v>
      </c>
      <c r="L2898" s="93" t="s">
        <v>111</v>
      </c>
      <c r="M2898" s="93" t="s">
        <v>111</v>
      </c>
      <c r="N2898" s="93" t="s">
        <v>111</v>
      </c>
      <c r="O2898" s="93" t="s">
        <v>111</v>
      </c>
      <c r="P2898" s="93" t="s">
        <v>111</v>
      </c>
      <c r="Q2898" s="93" t="s">
        <v>111</v>
      </c>
      <c r="R2898" s="93" t="s">
        <v>385</v>
      </c>
      <c r="S2898" s="93" t="s">
        <v>4172</v>
      </c>
      <c r="T2898" s="93" t="s">
        <v>115</v>
      </c>
      <c r="U2898" s="93" t="s">
        <v>116</v>
      </c>
      <c r="V2898" s="94">
        <v>44628.510416666664</v>
      </c>
      <c r="W2898" s="93" t="s">
        <v>1170</v>
      </c>
      <c r="X2898" s="93" t="s">
        <v>24</v>
      </c>
    </row>
    <row r="2899" spans="1:24" hidden="1" x14ac:dyDescent="0.15">
      <c r="A2899" s="93" t="s">
        <v>4276</v>
      </c>
      <c r="B2899" s="93" t="s">
        <v>9393</v>
      </c>
      <c r="C2899" s="410">
        <v>5.49</v>
      </c>
      <c r="D2899" s="93" t="s">
        <v>24</v>
      </c>
      <c r="E2899" s="93" t="s">
        <v>24</v>
      </c>
      <c r="F2899" s="93" t="s">
        <v>7070</v>
      </c>
      <c r="G2899" s="93" t="s">
        <v>9296</v>
      </c>
      <c r="H2899" s="93" t="s">
        <v>11</v>
      </c>
      <c r="I2899" s="93" t="s">
        <v>111</v>
      </c>
      <c r="J2899" s="93" t="s">
        <v>1642</v>
      </c>
      <c r="K2899" s="93">
        <v>120</v>
      </c>
      <c r="L2899" s="93" t="s">
        <v>111</v>
      </c>
      <c r="M2899" s="93" t="s">
        <v>111</v>
      </c>
      <c r="N2899" s="93" t="s">
        <v>111</v>
      </c>
      <c r="O2899" s="93" t="s">
        <v>111</v>
      </c>
      <c r="P2899" s="93" t="s">
        <v>111</v>
      </c>
      <c r="Q2899" s="93" t="s">
        <v>111</v>
      </c>
      <c r="R2899" s="93" t="s">
        <v>1210</v>
      </c>
      <c r="S2899" s="93" t="s">
        <v>20</v>
      </c>
      <c r="T2899" s="93" t="s">
        <v>115</v>
      </c>
      <c r="U2899" s="93" t="s">
        <v>116</v>
      </c>
      <c r="V2899" s="94">
        <v>44628.46597222222</v>
      </c>
      <c r="W2899" s="93" t="s">
        <v>1170</v>
      </c>
      <c r="X2899" s="93" t="s">
        <v>24</v>
      </c>
    </row>
    <row r="2900" spans="1:24" hidden="1" x14ac:dyDescent="0.15">
      <c r="A2900" s="93" t="s">
        <v>4277</v>
      </c>
      <c r="B2900" s="93" t="s">
        <v>4278</v>
      </c>
      <c r="C2900" s="410">
        <v>14.28</v>
      </c>
      <c r="D2900" s="93" t="s">
        <v>24</v>
      </c>
      <c r="E2900" s="93" t="s">
        <v>24</v>
      </c>
      <c r="F2900" s="93" t="s">
        <v>7070</v>
      </c>
      <c r="G2900" s="93" t="s">
        <v>8237</v>
      </c>
      <c r="H2900" s="93" t="s">
        <v>11</v>
      </c>
      <c r="I2900" s="93" t="s">
        <v>111</v>
      </c>
      <c r="J2900" s="93" t="s">
        <v>390</v>
      </c>
      <c r="K2900" s="93">
        <v>80</v>
      </c>
      <c r="L2900" s="93" t="s">
        <v>111</v>
      </c>
      <c r="M2900" s="93">
        <v>5.0514000000000003E-2</v>
      </c>
      <c r="N2900" s="93" t="s">
        <v>113</v>
      </c>
      <c r="O2900" s="93">
        <v>1.65</v>
      </c>
      <c r="P2900" s="93">
        <v>1.65</v>
      </c>
      <c r="Q2900" s="93">
        <v>5</v>
      </c>
      <c r="R2900" s="93" t="s">
        <v>1173</v>
      </c>
      <c r="S2900" s="93" t="s">
        <v>20</v>
      </c>
      <c r="T2900" s="93" t="s">
        <v>115</v>
      </c>
      <c r="U2900" s="93" t="s">
        <v>116</v>
      </c>
      <c r="V2900" s="94">
        <v>44628.613888888889</v>
      </c>
      <c r="W2900" s="93" t="s">
        <v>1170</v>
      </c>
      <c r="X2900" s="93" t="s">
        <v>24</v>
      </c>
    </row>
    <row r="2901" spans="1:24" hidden="1" x14ac:dyDescent="0.15">
      <c r="A2901" s="93" t="s">
        <v>4279</v>
      </c>
      <c r="B2901" s="93" t="s">
        <v>4280</v>
      </c>
      <c r="C2901" s="410">
        <v>27.28</v>
      </c>
      <c r="D2901" s="93" t="s">
        <v>24</v>
      </c>
      <c r="E2901" s="93" t="s">
        <v>24</v>
      </c>
      <c r="F2901" s="93" t="s">
        <v>7070</v>
      </c>
      <c r="G2901" s="93" t="s">
        <v>8237</v>
      </c>
      <c r="H2901" s="93" t="s">
        <v>11</v>
      </c>
      <c r="I2901" s="93" t="s">
        <v>111</v>
      </c>
      <c r="J2901" s="93" t="s">
        <v>390</v>
      </c>
      <c r="K2901" s="93">
        <v>80</v>
      </c>
      <c r="L2901" s="93" t="s">
        <v>111</v>
      </c>
      <c r="M2901" s="93">
        <v>9.6000000000000002E-2</v>
      </c>
      <c r="N2901" s="93" t="s">
        <v>113</v>
      </c>
      <c r="O2901" s="93">
        <v>1.9</v>
      </c>
      <c r="P2901" s="93">
        <v>3.34</v>
      </c>
      <c r="Q2901" s="93">
        <v>4.548</v>
      </c>
      <c r="R2901" s="93" t="s">
        <v>1173</v>
      </c>
      <c r="S2901" s="93" t="s">
        <v>20</v>
      </c>
      <c r="T2901" s="93" t="s">
        <v>115</v>
      </c>
      <c r="U2901" s="93" t="s">
        <v>116</v>
      </c>
      <c r="V2901" s="94">
        <v>44628.591666666667</v>
      </c>
      <c r="W2901" s="93" t="s">
        <v>1170</v>
      </c>
      <c r="X2901" s="93" t="s">
        <v>24</v>
      </c>
    </row>
    <row r="2902" spans="1:24" hidden="1" x14ac:dyDescent="0.15">
      <c r="A2902" s="93" t="s">
        <v>4281</v>
      </c>
      <c r="B2902" s="93" t="s">
        <v>4282</v>
      </c>
      <c r="C2902" s="410">
        <v>25.38</v>
      </c>
      <c r="D2902" s="93" t="s">
        <v>24</v>
      </c>
      <c r="E2902" s="93" t="s">
        <v>24</v>
      </c>
      <c r="F2902" s="93" t="s">
        <v>7070</v>
      </c>
      <c r="G2902" s="93" t="s">
        <v>8237</v>
      </c>
      <c r="H2902" s="93" t="s">
        <v>11</v>
      </c>
      <c r="I2902" s="93" t="s">
        <v>111</v>
      </c>
      <c r="J2902" s="93" t="s">
        <v>390</v>
      </c>
      <c r="K2902" s="93">
        <v>80</v>
      </c>
      <c r="L2902" s="93" t="s">
        <v>111</v>
      </c>
      <c r="M2902" s="93">
        <v>5.1569999999999998E-2</v>
      </c>
      <c r="N2902" s="93" t="s">
        <v>113</v>
      </c>
      <c r="O2902" s="93">
        <v>1.64</v>
      </c>
      <c r="P2902" s="93">
        <v>1.64</v>
      </c>
      <c r="Q2902" s="93">
        <v>3.8079999999999998</v>
      </c>
      <c r="R2902" s="93" t="s">
        <v>1173</v>
      </c>
      <c r="S2902" s="93" t="s">
        <v>20</v>
      </c>
      <c r="T2902" s="93" t="s">
        <v>115</v>
      </c>
      <c r="U2902" s="93" t="s">
        <v>116</v>
      </c>
      <c r="V2902" s="94">
        <v>44628.526388888888</v>
      </c>
      <c r="W2902" s="93" t="s">
        <v>1170</v>
      </c>
      <c r="X2902" s="93" t="s">
        <v>24</v>
      </c>
    </row>
    <row r="2903" spans="1:24" hidden="1" x14ac:dyDescent="0.15">
      <c r="A2903" s="93" t="s">
        <v>4283</v>
      </c>
      <c r="B2903" s="93" t="s">
        <v>4284</v>
      </c>
      <c r="C2903" s="410">
        <v>78.75</v>
      </c>
      <c r="D2903" s="93" t="s">
        <v>24</v>
      </c>
      <c r="E2903" s="93" t="s">
        <v>24</v>
      </c>
      <c r="F2903" s="93" t="s">
        <v>7070</v>
      </c>
      <c r="G2903" s="93" t="s">
        <v>8237</v>
      </c>
      <c r="H2903" s="93" t="s">
        <v>11</v>
      </c>
      <c r="I2903" s="93" t="s">
        <v>111</v>
      </c>
      <c r="J2903" s="93" t="s">
        <v>390</v>
      </c>
      <c r="K2903" s="93">
        <v>80</v>
      </c>
      <c r="L2903" s="93" t="s">
        <v>111</v>
      </c>
      <c r="M2903" s="93">
        <v>0.12345</v>
      </c>
      <c r="N2903" s="93" t="s">
        <v>113</v>
      </c>
      <c r="O2903" s="93" t="s">
        <v>111</v>
      </c>
      <c r="P2903" s="93" t="s">
        <v>111</v>
      </c>
      <c r="Q2903" s="93" t="s">
        <v>111</v>
      </c>
      <c r="R2903" s="93" t="s">
        <v>1210</v>
      </c>
      <c r="S2903" s="93" t="s">
        <v>18</v>
      </c>
      <c r="T2903" s="93" t="s">
        <v>115</v>
      </c>
      <c r="U2903" s="93" t="s">
        <v>119</v>
      </c>
      <c r="V2903" s="94">
        <v>44628.587500000001</v>
      </c>
      <c r="W2903" s="93" t="s">
        <v>1167</v>
      </c>
      <c r="X2903" s="93" t="s">
        <v>24</v>
      </c>
    </row>
    <row r="2904" spans="1:24" hidden="1" x14ac:dyDescent="0.15">
      <c r="A2904" s="93" t="s">
        <v>4285</v>
      </c>
      <c r="B2904" s="93" t="s">
        <v>4286</v>
      </c>
      <c r="C2904" s="410">
        <v>105</v>
      </c>
      <c r="D2904" s="93" t="s">
        <v>24</v>
      </c>
      <c r="E2904" s="93" t="s">
        <v>24</v>
      </c>
      <c r="F2904" s="93" t="s">
        <v>7070</v>
      </c>
      <c r="G2904" s="93" t="s">
        <v>8237</v>
      </c>
      <c r="H2904" s="93" t="s">
        <v>11</v>
      </c>
      <c r="I2904" s="93" t="s">
        <v>111</v>
      </c>
      <c r="J2904" s="93" t="s">
        <v>963</v>
      </c>
      <c r="K2904" s="93">
        <v>60</v>
      </c>
      <c r="L2904" s="93" t="s">
        <v>111</v>
      </c>
      <c r="M2904" s="93">
        <v>0.1</v>
      </c>
      <c r="N2904" s="93" t="s">
        <v>113</v>
      </c>
      <c r="O2904" s="93">
        <v>7</v>
      </c>
      <c r="P2904" s="93">
        <v>3</v>
      </c>
      <c r="Q2904" s="93">
        <v>7</v>
      </c>
      <c r="R2904" s="93" t="s">
        <v>411</v>
      </c>
      <c r="S2904" s="93" t="s">
        <v>111</v>
      </c>
      <c r="T2904" s="93" t="s">
        <v>1659</v>
      </c>
      <c r="U2904" s="93" t="s">
        <v>116</v>
      </c>
      <c r="V2904" s="94">
        <v>44628.520833333336</v>
      </c>
      <c r="W2904" s="93" t="s">
        <v>1170</v>
      </c>
      <c r="X2904" s="93" t="s">
        <v>24</v>
      </c>
    </row>
    <row r="2905" spans="1:24" hidden="1" x14ac:dyDescent="0.15">
      <c r="A2905" s="93" t="s">
        <v>4287</v>
      </c>
      <c r="B2905" s="93" t="s">
        <v>4288</v>
      </c>
      <c r="C2905" s="410">
        <v>84</v>
      </c>
      <c r="D2905" s="93" t="s">
        <v>24</v>
      </c>
      <c r="E2905" s="93" t="s">
        <v>24</v>
      </c>
      <c r="F2905" s="93" t="s">
        <v>7070</v>
      </c>
      <c r="G2905" s="93" t="s">
        <v>8237</v>
      </c>
      <c r="H2905" s="93" t="s">
        <v>11</v>
      </c>
      <c r="I2905" s="93" t="s">
        <v>111</v>
      </c>
      <c r="J2905" s="93" t="s">
        <v>963</v>
      </c>
      <c r="K2905" s="93">
        <v>60</v>
      </c>
      <c r="L2905" s="93" t="s">
        <v>111</v>
      </c>
      <c r="M2905" s="93">
        <v>0.5</v>
      </c>
      <c r="N2905" s="93" t="s">
        <v>113</v>
      </c>
      <c r="O2905" s="93">
        <v>14</v>
      </c>
      <c r="P2905" s="93">
        <v>16</v>
      </c>
      <c r="Q2905" s="93">
        <v>9</v>
      </c>
      <c r="R2905" s="93" t="s">
        <v>385</v>
      </c>
      <c r="S2905" s="93" t="s">
        <v>20</v>
      </c>
      <c r="T2905" s="93" t="s">
        <v>1659</v>
      </c>
      <c r="U2905" s="93" t="s">
        <v>116</v>
      </c>
      <c r="V2905" s="94">
        <v>44628.476388888892</v>
      </c>
      <c r="W2905" s="93" t="s">
        <v>1170</v>
      </c>
      <c r="X2905" s="93" t="s">
        <v>24</v>
      </c>
    </row>
    <row r="2906" spans="1:24" hidden="1" x14ac:dyDescent="0.15">
      <c r="A2906" s="93" t="s">
        <v>4289</v>
      </c>
      <c r="B2906" s="93" t="s">
        <v>4290</v>
      </c>
      <c r="C2906" s="410">
        <v>420</v>
      </c>
      <c r="D2906" s="93" t="s">
        <v>24</v>
      </c>
      <c r="E2906" s="93" t="s">
        <v>24</v>
      </c>
      <c r="F2906" s="93" t="s">
        <v>7070</v>
      </c>
      <c r="G2906" s="93" t="s">
        <v>8237</v>
      </c>
      <c r="H2906" s="93" t="s">
        <v>11</v>
      </c>
      <c r="I2906" s="93" t="s">
        <v>111</v>
      </c>
      <c r="J2906" s="93" t="s">
        <v>1759</v>
      </c>
      <c r="K2906" s="93">
        <v>70</v>
      </c>
      <c r="L2906" s="93" t="s">
        <v>111</v>
      </c>
      <c r="M2906" s="93">
        <v>0.5</v>
      </c>
      <c r="N2906" s="93" t="s">
        <v>113</v>
      </c>
      <c r="O2906" s="93">
        <v>5</v>
      </c>
      <c r="P2906" s="93">
        <v>20</v>
      </c>
      <c r="Q2906" s="93">
        <v>20</v>
      </c>
      <c r="R2906" s="93" t="s">
        <v>117</v>
      </c>
      <c r="S2906" s="93" t="s">
        <v>659</v>
      </c>
      <c r="T2906" s="93" t="s">
        <v>115</v>
      </c>
      <c r="U2906" s="93" t="s">
        <v>116</v>
      </c>
      <c r="V2906" s="94">
        <v>44628.578472222223</v>
      </c>
      <c r="W2906" s="93" t="s">
        <v>1170</v>
      </c>
      <c r="X2906" s="93" t="s">
        <v>24</v>
      </c>
    </row>
    <row r="2907" spans="1:24" hidden="1" x14ac:dyDescent="0.15">
      <c r="A2907" s="93" t="s">
        <v>4291</v>
      </c>
      <c r="B2907" s="93" t="s">
        <v>4292</v>
      </c>
      <c r="C2907" s="410">
        <v>1750</v>
      </c>
      <c r="D2907" s="93" t="s">
        <v>9</v>
      </c>
      <c r="E2907" s="93" t="s">
        <v>9</v>
      </c>
      <c r="F2907" s="93" t="s">
        <v>1648</v>
      </c>
      <c r="G2907" s="93" t="s">
        <v>9112</v>
      </c>
      <c r="H2907" s="93" t="s">
        <v>118</v>
      </c>
      <c r="I2907" s="93" t="s">
        <v>111</v>
      </c>
      <c r="J2907" s="93" t="s">
        <v>118</v>
      </c>
      <c r="K2907" s="93">
        <v>3</v>
      </c>
      <c r="L2907" s="93" t="s">
        <v>111</v>
      </c>
      <c r="M2907" s="93" t="s">
        <v>111</v>
      </c>
      <c r="N2907" s="93" t="s">
        <v>111</v>
      </c>
      <c r="O2907" s="93" t="s">
        <v>111</v>
      </c>
      <c r="P2907" s="93" t="s">
        <v>111</v>
      </c>
      <c r="Q2907" s="93" t="s">
        <v>111</v>
      </c>
      <c r="R2907" s="93" t="s">
        <v>1199</v>
      </c>
      <c r="S2907" s="93" t="s">
        <v>111</v>
      </c>
      <c r="T2907" s="93" t="s">
        <v>1567</v>
      </c>
      <c r="U2907" s="93" t="s">
        <v>116</v>
      </c>
      <c r="V2907" s="94">
        <v>44595.443749999999</v>
      </c>
      <c r="W2907" s="93" t="s">
        <v>1170</v>
      </c>
      <c r="X2907" s="93" t="s">
        <v>24</v>
      </c>
    </row>
    <row r="2908" spans="1:24" hidden="1" x14ac:dyDescent="0.15">
      <c r="A2908" s="93" t="s">
        <v>4293</v>
      </c>
      <c r="B2908" s="93" t="s">
        <v>4294</v>
      </c>
      <c r="C2908" s="410">
        <v>1500</v>
      </c>
      <c r="D2908" s="93" t="s">
        <v>9</v>
      </c>
      <c r="E2908" s="93" t="s">
        <v>9</v>
      </c>
      <c r="F2908" s="93" t="s">
        <v>1648</v>
      </c>
      <c r="G2908" s="93" t="s">
        <v>9112</v>
      </c>
      <c r="H2908" s="93" t="s">
        <v>118</v>
      </c>
      <c r="I2908" s="93" t="s">
        <v>111</v>
      </c>
      <c r="J2908" s="93" t="s">
        <v>7105</v>
      </c>
      <c r="K2908" s="93" t="s">
        <v>111</v>
      </c>
      <c r="L2908" s="93" t="s">
        <v>111</v>
      </c>
      <c r="M2908" s="93" t="s">
        <v>111</v>
      </c>
      <c r="N2908" s="93" t="s">
        <v>111</v>
      </c>
      <c r="O2908" s="93" t="s">
        <v>111</v>
      </c>
      <c r="P2908" s="93" t="s">
        <v>111</v>
      </c>
      <c r="Q2908" s="93" t="s">
        <v>111</v>
      </c>
      <c r="R2908" s="93" t="s">
        <v>117</v>
      </c>
      <c r="S2908" s="93" t="s">
        <v>111</v>
      </c>
      <c r="T2908" s="93" t="s">
        <v>115</v>
      </c>
      <c r="U2908" s="93" t="s">
        <v>116</v>
      </c>
      <c r="V2908" s="94">
        <v>44588.262499999997</v>
      </c>
      <c r="W2908" s="93" t="s">
        <v>1170</v>
      </c>
      <c r="X2908" s="93" t="s">
        <v>24</v>
      </c>
    </row>
    <row r="2909" spans="1:24" hidden="1" x14ac:dyDescent="0.15">
      <c r="A2909" s="93" t="s">
        <v>4295</v>
      </c>
      <c r="B2909" s="93" t="s">
        <v>4296</v>
      </c>
      <c r="C2909" s="410">
        <v>400</v>
      </c>
      <c r="D2909" s="93" t="s">
        <v>24</v>
      </c>
      <c r="E2909" s="93" t="s">
        <v>9</v>
      </c>
      <c r="F2909" s="93" t="s">
        <v>1648</v>
      </c>
      <c r="G2909" s="93" t="s">
        <v>9112</v>
      </c>
      <c r="H2909" s="93" t="s">
        <v>118</v>
      </c>
      <c r="I2909" s="93" t="s">
        <v>111</v>
      </c>
      <c r="J2909" s="93" t="s">
        <v>7105</v>
      </c>
      <c r="K2909" s="93" t="s">
        <v>111</v>
      </c>
      <c r="L2909" s="93" t="s">
        <v>111</v>
      </c>
      <c r="M2909" s="93" t="s">
        <v>111</v>
      </c>
      <c r="N2909" s="93" t="s">
        <v>111</v>
      </c>
      <c r="O2909" s="93" t="s">
        <v>111</v>
      </c>
      <c r="P2909" s="93" t="s">
        <v>111</v>
      </c>
      <c r="Q2909" s="93" t="s">
        <v>111</v>
      </c>
      <c r="R2909" s="93" t="s">
        <v>117</v>
      </c>
      <c r="S2909" s="93" t="s">
        <v>659</v>
      </c>
      <c r="T2909" s="93" t="s">
        <v>115</v>
      </c>
      <c r="U2909" s="93" t="s">
        <v>116</v>
      </c>
      <c r="V2909" s="94">
        <v>44588.262499999997</v>
      </c>
      <c r="W2909" s="93" t="s">
        <v>1170</v>
      </c>
      <c r="X2909" s="93" t="s">
        <v>24</v>
      </c>
    </row>
    <row r="2910" spans="1:24" hidden="1" x14ac:dyDescent="0.15">
      <c r="A2910" s="93" t="s">
        <v>4297</v>
      </c>
      <c r="B2910" s="93" t="s">
        <v>4298</v>
      </c>
      <c r="C2910" s="410">
        <v>320</v>
      </c>
      <c r="D2910" s="93" t="s">
        <v>24</v>
      </c>
      <c r="E2910" s="93" t="s">
        <v>9</v>
      </c>
      <c r="F2910" s="93" t="s">
        <v>1648</v>
      </c>
      <c r="G2910" s="93" t="s">
        <v>9112</v>
      </c>
      <c r="H2910" s="93" t="s">
        <v>118</v>
      </c>
      <c r="I2910" s="93" t="s">
        <v>111</v>
      </c>
      <c r="J2910" s="93" t="s">
        <v>118</v>
      </c>
      <c r="K2910" s="93">
        <v>3</v>
      </c>
      <c r="L2910" s="93" t="s">
        <v>111</v>
      </c>
      <c r="M2910" s="93" t="s">
        <v>111</v>
      </c>
      <c r="N2910" s="93" t="s">
        <v>111</v>
      </c>
      <c r="O2910" s="93" t="s">
        <v>111</v>
      </c>
      <c r="P2910" s="93" t="s">
        <v>111</v>
      </c>
      <c r="Q2910" s="93" t="s">
        <v>111</v>
      </c>
      <c r="R2910" s="93" t="s">
        <v>117</v>
      </c>
      <c r="S2910" s="93" t="s">
        <v>659</v>
      </c>
      <c r="T2910" s="93" t="s">
        <v>115</v>
      </c>
      <c r="U2910" s="93" t="s">
        <v>116</v>
      </c>
      <c r="V2910" s="94">
        <v>44624.333333333336</v>
      </c>
      <c r="W2910" s="93" t="s">
        <v>1170</v>
      </c>
      <c r="X2910" s="93" t="s">
        <v>24</v>
      </c>
    </row>
    <row r="2911" spans="1:24" hidden="1" x14ac:dyDescent="0.15">
      <c r="A2911" s="93" t="s">
        <v>4299</v>
      </c>
      <c r="B2911" s="93" t="s">
        <v>9394</v>
      </c>
      <c r="C2911" s="410">
        <v>82</v>
      </c>
      <c r="D2911" s="93" t="s">
        <v>9</v>
      </c>
      <c r="E2911" s="93" t="s">
        <v>9</v>
      </c>
      <c r="F2911" s="93" t="s">
        <v>1648</v>
      </c>
      <c r="G2911" s="93" t="s">
        <v>9112</v>
      </c>
      <c r="H2911" s="93" t="s">
        <v>118</v>
      </c>
      <c r="I2911" s="93" t="s">
        <v>111</v>
      </c>
      <c r="J2911" s="93" t="s">
        <v>118</v>
      </c>
      <c r="K2911" s="93">
        <v>3</v>
      </c>
      <c r="L2911" s="93" t="s">
        <v>111</v>
      </c>
      <c r="M2911" s="93" t="s">
        <v>111</v>
      </c>
      <c r="N2911" s="93" t="s">
        <v>111</v>
      </c>
      <c r="O2911" s="93" t="s">
        <v>111</v>
      </c>
      <c r="P2911" s="93" t="s">
        <v>111</v>
      </c>
      <c r="Q2911" s="93" t="s">
        <v>111</v>
      </c>
      <c r="R2911" s="93" t="s">
        <v>117</v>
      </c>
      <c r="S2911" s="93" t="s">
        <v>659</v>
      </c>
      <c r="T2911" s="93" t="s">
        <v>115</v>
      </c>
      <c r="U2911" s="93" t="s">
        <v>116</v>
      </c>
      <c r="V2911" s="94">
        <v>44588.262499999997</v>
      </c>
      <c r="W2911" s="93" t="s">
        <v>1170</v>
      </c>
      <c r="X2911" s="93" t="s">
        <v>24</v>
      </c>
    </row>
    <row r="2912" spans="1:24" hidden="1" x14ac:dyDescent="0.15">
      <c r="A2912" s="93" t="s">
        <v>4300</v>
      </c>
      <c r="B2912" s="93" t="s">
        <v>4301</v>
      </c>
      <c r="C2912" s="410">
        <v>30.45</v>
      </c>
      <c r="D2912" s="93" t="s">
        <v>24</v>
      </c>
      <c r="E2912" s="93" t="s">
        <v>24</v>
      </c>
      <c r="F2912" s="93" t="s">
        <v>7070</v>
      </c>
      <c r="G2912" s="93" t="s">
        <v>8237</v>
      </c>
      <c r="H2912" s="93" t="s">
        <v>11</v>
      </c>
      <c r="I2912" s="93" t="s">
        <v>111</v>
      </c>
      <c r="J2912" s="93" t="s">
        <v>2086</v>
      </c>
      <c r="K2912" s="93">
        <v>50</v>
      </c>
      <c r="L2912" s="93" t="s">
        <v>111</v>
      </c>
      <c r="M2912" s="93">
        <v>0.12</v>
      </c>
      <c r="N2912" s="93" t="s">
        <v>113</v>
      </c>
      <c r="O2912" s="93">
        <v>7</v>
      </c>
      <c r="P2912" s="93">
        <v>10</v>
      </c>
      <c r="Q2912" s="93">
        <v>10</v>
      </c>
      <c r="R2912" s="93" t="s">
        <v>413</v>
      </c>
      <c r="S2912" s="93" t="s">
        <v>19</v>
      </c>
      <c r="T2912" s="93" t="s">
        <v>1659</v>
      </c>
      <c r="U2912" s="93" t="s">
        <v>116</v>
      </c>
      <c r="V2912" s="94">
        <v>44628.477777777778</v>
      </c>
      <c r="W2912" s="93" t="s">
        <v>1170</v>
      </c>
      <c r="X2912" s="93" t="s">
        <v>9</v>
      </c>
    </row>
    <row r="2913" spans="1:24" hidden="1" x14ac:dyDescent="0.15">
      <c r="A2913" s="93" t="s">
        <v>4302</v>
      </c>
      <c r="B2913" s="93" t="s">
        <v>4303</v>
      </c>
      <c r="C2913" s="410">
        <v>274.05</v>
      </c>
      <c r="D2913" s="93" t="s">
        <v>24</v>
      </c>
      <c r="E2913" s="93" t="s">
        <v>24</v>
      </c>
      <c r="F2913" s="93" t="s">
        <v>7070</v>
      </c>
      <c r="G2913" s="93" t="s">
        <v>8237</v>
      </c>
      <c r="H2913" s="93" t="s">
        <v>11</v>
      </c>
      <c r="I2913" s="93" t="s">
        <v>111</v>
      </c>
      <c r="J2913" s="93" t="s">
        <v>2086</v>
      </c>
      <c r="K2913" s="93">
        <v>50</v>
      </c>
      <c r="L2913" s="93" t="s">
        <v>111</v>
      </c>
      <c r="M2913" s="93">
        <v>5.6</v>
      </c>
      <c r="N2913" s="93" t="s">
        <v>113</v>
      </c>
      <c r="O2913" s="93">
        <v>10</v>
      </c>
      <c r="P2913" s="93">
        <v>34</v>
      </c>
      <c r="Q2913" s="93">
        <v>34</v>
      </c>
      <c r="R2913" s="93" t="s">
        <v>4215</v>
      </c>
      <c r="S2913" s="93" t="s">
        <v>659</v>
      </c>
      <c r="T2913" s="93" t="s">
        <v>115</v>
      </c>
      <c r="U2913" s="93" t="s">
        <v>119</v>
      </c>
      <c r="V2913" s="94">
        <v>44628.520833333336</v>
      </c>
      <c r="W2913" s="93" t="s">
        <v>1170</v>
      </c>
      <c r="X2913" s="93" t="s">
        <v>9</v>
      </c>
    </row>
    <row r="2914" spans="1:24" hidden="1" x14ac:dyDescent="0.15">
      <c r="A2914" s="93" t="s">
        <v>4304</v>
      </c>
      <c r="B2914" s="93" t="s">
        <v>4305</v>
      </c>
      <c r="C2914" s="410">
        <v>4221</v>
      </c>
      <c r="D2914" s="93" t="s">
        <v>24</v>
      </c>
      <c r="E2914" s="93" t="s">
        <v>24</v>
      </c>
      <c r="F2914" s="93" t="s">
        <v>7070</v>
      </c>
      <c r="G2914" s="93" t="s">
        <v>8237</v>
      </c>
      <c r="H2914" s="93" t="s">
        <v>11</v>
      </c>
      <c r="I2914" s="93" t="s">
        <v>111</v>
      </c>
      <c r="J2914" s="93" t="s">
        <v>963</v>
      </c>
      <c r="K2914" s="93">
        <v>60</v>
      </c>
      <c r="L2914" s="93" t="s">
        <v>111</v>
      </c>
      <c r="M2914" s="93">
        <v>44</v>
      </c>
      <c r="N2914" s="93" t="s">
        <v>113</v>
      </c>
      <c r="O2914" s="93">
        <v>29</v>
      </c>
      <c r="P2914" s="93">
        <v>46</v>
      </c>
      <c r="Q2914" s="93">
        <v>46</v>
      </c>
      <c r="R2914" s="93" t="s">
        <v>4306</v>
      </c>
      <c r="S2914" s="93" t="s">
        <v>111</v>
      </c>
      <c r="T2914" s="93" t="s">
        <v>1659</v>
      </c>
      <c r="U2914" s="93" t="s">
        <v>119</v>
      </c>
      <c r="V2914" s="94">
        <v>44628.642361111109</v>
      </c>
      <c r="W2914" s="93" t="s">
        <v>1170</v>
      </c>
      <c r="X2914" s="93" t="s">
        <v>24</v>
      </c>
    </row>
    <row r="2915" spans="1:24" hidden="1" x14ac:dyDescent="0.15">
      <c r="A2915" s="93" t="s">
        <v>4307</v>
      </c>
      <c r="B2915" s="93" t="s">
        <v>4308</v>
      </c>
      <c r="C2915" s="410">
        <v>882</v>
      </c>
      <c r="D2915" s="93" t="s">
        <v>24</v>
      </c>
      <c r="E2915" s="93" t="s">
        <v>24</v>
      </c>
      <c r="F2915" s="93" t="s">
        <v>7070</v>
      </c>
      <c r="G2915" s="93" t="s">
        <v>8237</v>
      </c>
      <c r="H2915" s="93" t="s">
        <v>11</v>
      </c>
      <c r="I2915" s="93" t="s">
        <v>111</v>
      </c>
      <c r="J2915" s="93" t="s">
        <v>963</v>
      </c>
      <c r="K2915" s="93">
        <v>60</v>
      </c>
      <c r="L2915" s="93" t="s">
        <v>111</v>
      </c>
      <c r="M2915" s="93">
        <v>23</v>
      </c>
      <c r="N2915" s="93" t="s">
        <v>113</v>
      </c>
      <c r="O2915" s="93">
        <v>41</v>
      </c>
      <c r="P2915" s="93">
        <v>39</v>
      </c>
      <c r="Q2915" s="93">
        <v>39</v>
      </c>
      <c r="R2915" s="93" t="s">
        <v>4306</v>
      </c>
      <c r="S2915" s="93" t="s">
        <v>659</v>
      </c>
      <c r="T2915" s="93" t="s">
        <v>1659</v>
      </c>
      <c r="U2915" s="93" t="s">
        <v>116</v>
      </c>
      <c r="V2915" s="94">
        <v>44628.606944444444</v>
      </c>
      <c r="W2915" s="93" t="s">
        <v>1170</v>
      </c>
      <c r="X2915" s="93" t="s">
        <v>24</v>
      </c>
    </row>
    <row r="2916" spans="1:24" hidden="1" x14ac:dyDescent="0.15">
      <c r="A2916" s="93" t="s">
        <v>4309</v>
      </c>
      <c r="B2916" s="93" t="s">
        <v>4310</v>
      </c>
      <c r="C2916" s="410">
        <v>84</v>
      </c>
      <c r="D2916" s="93" t="s">
        <v>24</v>
      </c>
      <c r="E2916" s="93" t="s">
        <v>24</v>
      </c>
      <c r="F2916" s="93" t="s">
        <v>7070</v>
      </c>
      <c r="G2916" s="93" t="s">
        <v>8237</v>
      </c>
      <c r="H2916" s="93" t="s">
        <v>11</v>
      </c>
      <c r="I2916" s="93" t="s">
        <v>111</v>
      </c>
      <c r="J2916" s="93" t="s">
        <v>963</v>
      </c>
      <c r="K2916" s="93">
        <v>60</v>
      </c>
      <c r="L2916" s="93" t="s">
        <v>111</v>
      </c>
      <c r="M2916" s="93">
        <v>1.3</v>
      </c>
      <c r="N2916" s="93" t="s">
        <v>113</v>
      </c>
      <c r="O2916" s="93">
        <v>12</v>
      </c>
      <c r="P2916" s="93">
        <v>20</v>
      </c>
      <c r="Q2916" s="93">
        <v>55</v>
      </c>
      <c r="R2916" s="93" t="s">
        <v>385</v>
      </c>
      <c r="S2916" s="93" t="s">
        <v>659</v>
      </c>
      <c r="T2916" s="93" t="s">
        <v>1659</v>
      </c>
      <c r="U2916" s="93" t="s">
        <v>116</v>
      </c>
      <c r="V2916" s="94">
        <v>44628.586111111108</v>
      </c>
      <c r="W2916" s="93" t="s">
        <v>1170</v>
      </c>
      <c r="X2916" s="93" t="s">
        <v>24</v>
      </c>
    </row>
    <row r="2917" spans="1:24" hidden="1" x14ac:dyDescent="0.15">
      <c r="A2917" s="93" t="s">
        <v>4311</v>
      </c>
      <c r="B2917" s="93" t="s">
        <v>4312</v>
      </c>
      <c r="C2917" s="410">
        <v>97.65</v>
      </c>
      <c r="D2917" s="93" t="s">
        <v>24</v>
      </c>
      <c r="E2917" s="93" t="s">
        <v>24</v>
      </c>
      <c r="F2917" s="93" t="s">
        <v>7070</v>
      </c>
      <c r="G2917" s="93" t="s">
        <v>8237</v>
      </c>
      <c r="H2917" s="93" t="s">
        <v>11</v>
      </c>
      <c r="I2917" s="93" t="s">
        <v>111</v>
      </c>
      <c r="J2917" s="93" t="s">
        <v>963</v>
      </c>
      <c r="K2917" s="93">
        <v>60</v>
      </c>
      <c r="L2917" s="93" t="s">
        <v>111</v>
      </c>
      <c r="M2917" s="93">
        <v>2</v>
      </c>
      <c r="N2917" s="93" t="s">
        <v>113</v>
      </c>
      <c r="O2917" s="93">
        <v>21</v>
      </c>
      <c r="P2917" s="93">
        <v>55</v>
      </c>
      <c r="Q2917" s="93">
        <v>12</v>
      </c>
      <c r="R2917" s="93" t="s">
        <v>385</v>
      </c>
      <c r="S2917" s="93" t="s">
        <v>111</v>
      </c>
      <c r="T2917" s="93" t="s">
        <v>1659</v>
      </c>
      <c r="U2917" s="93" t="s">
        <v>116</v>
      </c>
      <c r="V2917" s="94">
        <v>44628.540972222225</v>
      </c>
      <c r="W2917" s="93" t="s">
        <v>1170</v>
      </c>
      <c r="X2917" s="93" t="s">
        <v>24</v>
      </c>
    </row>
    <row r="2918" spans="1:24" hidden="1" x14ac:dyDescent="0.15">
      <c r="A2918" s="93" t="s">
        <v>4313</v>
      </c>
      <c r="B2918" s="93" t="s">
        <v>4314</v>
      </c>
      <c r="C2918" s="410">
        <v>525</v>
      </c>
      <c r="D2918" s="93" t="s">
        <v>24</v>
      </c>
      <c r="E2918" s="93" t="s">
        <v>24</v>
      </c>
      <c r="F2918" s="93" t="s">
        <v>7070</v>
      </c>
      <c r="G2918" s="93" t="s">
        <v>8237</v>
      </c>
      <c r="H2918" s="93" t="s">
        <v>11</v>
      </c>
      <c r="I2918" s="93" t="s">
        <v>111</v>
      </c>
      <c r="J2918" s="93" t="s">
        <v>2086</v>
      </c>
      <c r="K2918" s="93">
        <v>50</v>
      </c>
      <c r="L2918" s="93" t="s">
        <v>111</v>
      </c>
      <c r="M2918" s="93">
        <v>5</v>
      </c>
      <c r="N2918" s="93" t="s">
        <v>113</v>
      </c>
      <c r="O2918" s="93">
        <v>35</v>
      </c>
      <c r="P2918" s="93">
        <v>33</v>
      </c>
      <c r="Q2918" s="93">
        <v>33</v>
      </c>
      <c r="R2918" s="93" t="s">
        <v>121</v>
      </c>
      <c r="S2918" s="93" t="s">
        <v>659</v>
      </c>
      <c r="T2918" s="93" t="s">
        <v>1659</v>
      </c>
      <c r="U2918" s="93" t="s">
        <v>116</v>
      </c>
      <c r="V2918" s="94">
        <v>44628.586111111108</v>
      </c>
      <c r="W2918" s="93" t="s">
        <v>1170</v>
      </c>
      <c r="X2918" s="93" t="s">
        <v>9</v>
      </c>
    </row>
    <row r="2919" spans="1:24" hidden="1" x14ac:dyDescent="0.15">
      <c r="A2919" s="93" t="s">
        <v>4315</v>
      </c>
      <c r="B2919" s="93" t="s">
        <v>4316</v>
      </c>
      <c r="C2919" s="410">
        <v>84</v>
      </c>
      <c r="D2919" s="93" t="s">
        <v>24</v>
      </c>
      <c r="E2919" s="93" t="s">
        <v>24</v>
      </c>
      <c r="F2919" s="93" t="s">
        <v>7070</v>
      </c>
      <c r="G2919" s="93" t="s">
        <v>8237</v>
      </c>
      <c r="H2919" s="93" t="s">
        <v>11</v>
      </c>
      <c r="I2919" s="93" t="s">
        <v>111</v>
      </c>
      <c r="J2919" s="93" t="s">
        <v>963</v>
      </c>
      <c r="K2919" s="93">
        <v>60</v>
      </c>
      <c r="L2919" s="93" t="s">
        <v>111</v>
      </c>
      <c r="M2919" s="93">
        <v>1.0629999999999999</v>
      </c>
      <c r="N2919" s="93" t="s">
        <v>113</v>
      </c>
      <c r="O2919" s="93" t="s">
        <v>111</v>
      </c>
      <c r="P2919" s="93" t="s">
        <v>111</v>
      </c>
      <c r="Q2919" s="93" t="s">
        <v>111</v>
      </c>
      <c r="R2919" s="93" t="s">
        <v>114</v>
      </c>
      <c r="S2919" s="93" t="s">
        <v>111</v>
      </c>
      <c r="T2919" s="93" t="s">
        <v>1659</v>
      </c>
      <c r="U2919" s="93" t="s">
        <v>116</v>
      </c>
      <c r="V2919" s="94">
        <v>44628.563888888886</v>
      </c>
      <c r="W2919" s="93" t="s">
        <v>1170</v>
      </c>
      <c r="X2919" s="93" t="s">
        <v>24</v>
      </c>
    </row>
    <row r="2920" spans="1:24" hidden="1" x14ac:dyDescent="0.15">
      <c r="A2920" s="93" t="s">
        <v>4317</v>
      </c>
      <c r="B2920" s="93" t="s">
        <v>4318</v>
      </c>
      <c r="C2920" s="410">
        <v>55.65</v>
      </c>
      <c r="D2920" s="93" t="s">
        <v>24</v>
      </c>
      <c r="E2920" s="93" t="s">
        <v>24</v>
      </c>
      <c r="F2920" s="93" t="s">
        <v>7070</v>
      </c>
      <c r="G2920" s="93" t="s">
        <v>8237</v>
      </c>
      <c r="H2920" s="93" t="s">
        <v>11</v>
      </c>
      <c r="I2920" s="93" t="s">
        <v>111</v>
      </c>
      <c r="J2920" s="93" t="s">
        <v>963</v>
      </c>
      <c r="K2920" s="93">
        <v>60</v>
      </c>
      <c r="L2920" s="93" t="s">
        <v>111</v>
      </c>
      <c r="M2920" s="93">
        <v>0.5</v>
      </c>
      <c r="N2920" s="93" t="s">
        <v>113</v>
      </c>
      <c r="O2920" s="93">
        <v>25</v>
      </c>
      <c r="P2920" s="93">
        <v>30</v>
      </c>
      <c r="Q2920" s="93">
        <v>5</v>
      </c>
      <c r="R2920" s="93" t="s">
        <v>114</v>
      </c>
      <c r="S2920" s="93" t="s">
        <v>16</v>
      </c>
      <c r="T2920" s="93" t="s">
        <v>1659</v>
      </c>
      <c r="U2920" s="93" t="s">
        <v>116</v>
      </c>
      <c r="V2920" s="94">
        <v>44628.606944444444</v>
      </c>
      <c r="W2920" s="93" t="s">
        <v>1170</v>
      </c>
      <c r="X2920" s="93" t="s">
        <v>24</v>
      </c>
    </row>
    <row r="2921" spans="1:24" hidden="1" x14ac:dyDescent="0.15">
      <c r="A2921" s="93" t="s">
        <v>4319</v>
      </c>
      <c r="B2921" s="93" t="s">
        <v>4320</v>
      </c>
      <c r="C2921" s="410">
        <v>51.45</v>
      </c>
      <c r="D2921" s="93" t="s">
        <v>24</v>
      </c>
      <c r="E2921" s="93" t="s">
        <v>24</v>
      </c>
      <c r="F2921" s="93" t="s">
        <v>7070</v>
      </c>
      <c r="G2921" s="93" t="s">
        <v>8237</v>
      </c>
      <c r="H2921" s="93" t="s">
        <v>11</v>
      </c>
      <c r="I2921" s="93" t="s">
        <v>111</v>
      </c>
      <c r="J2921" s="93" t="s">
        <v>963</v>
      </c>
      <c r="K2921" s="93">
        <v>60</v>
      </c>
      <c r="L2921" s="93" t="s">
        <v>111</v>
      </c>
      <c r="M2921" s="93">
        <v>0.5</v>
      </c>
      <c r="N2921" s="93" t="s">
        <v>113</v>
      </c>
      <c r="O2921" s="93">
        <v>50</v>
      </c>
      <c r="P2921" s="93">
        <v>50</v>
      </c>
      <c r="Q2921" s="93">
        <v>8</v>
      </c>
      <c r="R2921" s="93" t="s">
        <v>114</v>
      </c>
      <c r="S2921" s="93" t="s">
        <v>111</v>
      </c>
      <c r="T2921" s="93" t="s">
        <v>1659</v>
      </c>
      <c r="U2921" s="93" t="s">
        <v>116</v>
      </c>
      <c r="V2921" s="94">
        <v>44628.563888888886</v>
      </c>
      <c r="W2921" s="93" t="s">
        <v>1170</v>
      </c>
      <c r="X2921" s="93" t="s">
        <v>24</v>
      </c>
    </row>
    <row r="2922" spans="1:24" hidden="1" x14ac:dyDescent="0.15">
      <c r="A2922" s="93" t="s">
        <v>4321</v>
      </c>
      <c r="B2922" s="93" t="s">
        <v>4322</v>
      </c>
      <c r="C2922" s="410">
        <v>47.25</v>
      </c>
      <c r="D2922" s="93" t="s">
        <v>24</v>
      </c>
      <c r="E2922" s="93" t="s">
        <v>24</v>
      </c>
      <c r="F2922" s="93" t="s">
        <v>7070</v>
      </c>
      <c r="G2922" s="93" t="s">
        <v>8237</v>
      </c>
      <c r="H2922" s="93" t="s">
        <v>11</v>
      </c>
      <c r="I2922" s="93" t="s">
        <v>111</v>
      </c>
      <c r="J2922" s="93" t="s">
        <v>963</v>
      </c>
      <c r="K2922" s="93">
        <v>60</v>
      </c>
      <c r="L2922" s="93" t="s">
        <v>111</v>
      </c>
      <c r="M2922" s="93">
        <v>0.56000000000000005</v>
      </c>
      <c r="N2922" s="93" t="s">
        <v>113</v>
      </c>
      <c r="O2922" s="93">
        <v>25</v>
      </c>
      <c r="P2922" s="93">
        <v>30</v>
      </c>
      <c r="Q2922" s="93">
        <v>5</v>
      </c>
      <c r="R2922" s="93" t="s">
        <v>114</v>
      </c>
      <c r="S2922" s="93" t="s">
        <v>111</v>
      </c>
      <c r="T2922" s="93" t="s">
        <v>1659</v>
      </c>
      <c r="U2922" s="93" t="s">
        <v>116</v>
      </c>
      <c r="V2922" s="94">
        <v>44628.586111111108</v>
      </c>
      <c r="W2922" s="93" t="s">
        <v>1170</v>
      </c>
      <c r="X2922" s="93" t="s">
        <v>24</v>
      </c>
    </row>
    <row r="2923" spans="1:24" hidden="1" x14ac:dyDescent="0.15">
      <c r="A2923" s="93" t="s">
        <v>4323</v>
      </c>
      <c r="B2923" s="93" t="s">
        <v>4324</v>
      </c>
      <c r="C2923" s="410">
        <v>1800</v>
      </c>
      <c r="D2923" s="93" t="s">
        <v>9</v>
      </c>
      <c r="E2923" s="93" t="s">
        <v>9</v>
      </c>
      <c r="F2923" s="93" t="s">
        <v>1648</v>
      </c>
      <c r="G2923" s="93" t="s">
        <v>9112</v>
      </c>
      <c r="H2923" s="93" t="s">
        <v>118</v>
      </c>
      <c r="I2923" s="93" t="s">
        <v>111</v>
      </c>
      <c r="J2923" s="93" t="s">
        <v>118</v>
      </c>
      <c r="K2923" s="93">
        <v>3</v>
      </c>
      <c r="L2923" s="93" t="s">
        <v>111</v>
      </c>
      <c r="M2923" s="93" t="s">
        <v>111</v>
      </c>
      <c r="N2923" s="93" t="s">
        <v>111</v>
      </c>
      <c r="O2923" s="93" t="s">
        <v>111</v>
      </c>
      <c r="P2923" s="93" t="s">
        <v>111</v>
      </c>
      <c r="Q2923" s="93" t="s">
        <v>111</v>
      </c>
      <c r="R2923" s="93" t="s">
        <v>1199</v>
      </c>
      <c r="S2923" s="93" t="s">
        <v>111</v>
      </c>
      <c r="T2923" s="93" t="s">
        <v>115</v>
      </c>
      <c r="U2923" s="93" t="s">
        <v>116</v>
      </c>
      <c r="V2923" s="94">
        <v>44588.262499999997</v>
      </c>
      <c r="W2923" s="93" t="s">
        <v>1170</v>
      </c>
      <c r="X2923" s="93" t="s">
        <v>24</v>
      </c>
    </row>
    <row r="2924" spans="1:24" hidden="1" x14ac:dyDescent="0.15">
      <c r="A2924" s="93" t="s">
        <v>4325</v>
      </c>
      <c r="B2924" s="93" t="s">
        <v>4326</v>
      </c>
      <c r="C2924" s="410">
        <v>525</v>
      </c>
      <c r="D2924" s="93" t="s">
        <v>9</v>
      </c>
      <c r="E2924" s="93" t="s">
        <v>9</v>
      </c>
      <c r="F2924" s="93" t="s">
        <v>1648</v>
      </c>
      <c r="G2924" s="93" t="s">
        <v>9112</v>
      </c>
      <c r="H2924" s="93" t="s">
        <v>118</v>
      </c>
      <c r="I2924" s="93" t="s">
        <v>111</v>
      </c>
      <c r="J2924" s="93" t="s">
        <v>118</v>
      </c>
      <c r="K2924" s="93">
        <v>3</v>
      </c>
      <c r="L2924" s="93" t="s">
        <v>111</v>
      </c>
      <c r="M2924" s="93" t="s">
        <v>111</v>
      </c>
      <c r="N2924" s="93" t="s">
        <v>111</v>
      </c>
      <c r="O2924" s="93" t="s">
        <v>111</v>
      </c>
      <c r="P2924" s="93" t="s">
        <v>111</v>
      </c>
      <c r="Q2924" s="93" t="s">
        <v>111</v>
      </c>
      <c r="R2924" s="93" t="s">
        <v>1199</v>
      </c>
      <c r="S2924" s="93" t="s">
        <v>111</v>
      </c>
      <c r="T2924" s="93" t="s">
        <v>115</v>
      </c>
      <c r="U2924" s="93" t="s">
        <v>116</v>
      </c>
      <c r="V2924" s="94">
        <v>44595.443749999999</v>
      </c>
      <c r="W2924" s="93" t="s">
        <v>1170</v>
      </c>
      <c r="X2924" s="93" t="s">
        <v>24</v>
      </c>
    </row>
    <row r="2925" spans="1:24" hidden="1" x14ac:dyDescent="0.15">
      <c r="A2925" s="93" t="s">
        <v>4327</v>
      </c>
      <c r="B2925" s="93" t="s">
        <v>4328</v>
      </c>
      <c r="C2925" s="410">
        <v>815</v>
      </c>
      <c r="D2925" s="93" t="s">
        <v>9</v>
      </c>
      <c r="E2925" s="93" t="s">
        <v>9</v>
      </c>
      <c r="F2925" s="93" t="s">
        <v>1648</v>
      </c>
      <c r="G2925" s="93" t="s">
        <v>9112</v>
      </c>
      <c r="H2925" s="93" t="s">
        <v>118</v>
      </c>
      <c r="I2925" s="93" t="s">
        <v>111</v>
      </c>
      <c r="J2925" s="93" t="s">
        <v>118</v>
      </c>
      <c r="K2925" s="93">
        <v>3</v>
      </c>
      <c r="L2925" s="93" t="s">
        <v>111</v>
      </c>
      <c r="M2925" s="93" t="s">
        <v>111</v>
      </c>
      <c r="N2925" s="93" t="s">
        <v>111</v>
      </c>
      <c r="O2925" s="93" t="s">
        <v>111</v>
      </c>
      <c r="P2925" s="93" t="s">
        <v>111</v>
      </c>
      <c r="Q2925" s="93" t="s">
        <v>111</v>
      </c>
      <c r="R2925" s="93" t="s">
        <v>1199</v>
      </c>
      <c r="S2925" s="93" t="s">
        <v>111</v>
      </c>
      <c r="T2925" s="93" t="s">
        <v>115</v>
      </c>
      <c r="U2925" s="93" t="s">
        <v>116</v>
      </c>
      <c r="V2925" s="94">
        <v>44588.243055555555</v>
      </c>
      <c r="W2925" s="93" t="s">
        <v>1170</v>
      </c>
      <c r="X2925" s="93" t="s">
        <v>24</v>
      </c>
    </row>
    <row r="2926" spans="1:24" hidden="1" x14ac:dyDescent="0.15">
      <c r="A2926" s="93" t="s">
        <v>9395</v>
      </c>
      <c r="B2926" s="93" t="s">
        <v>9396</v>
      </c>
      <c r="C2926" s="410">
        <v>1625</v>
      </c>
      <c r="D2926" s="93" t="s">
        <v>9</v>
      </c>
      <c r="E2926" s="93" t="s">
        <v>9</v>
      </c>
      <c r="F2926" s="93" t="s">
        <v>1648</v>
      </c>
      <c r="G2926" s="93" t="s">
        <v>9112</v>
      </c>
      <c r="H2926" s="93" t="s">
        <v>118</v>
      </c>
      <c r="I2926" s="93" t="s">
        <v>111</v>
      </c>
      <c r="J2926" s="93" t="s">
        <v>118</v>
      </c>
      <c r="K2926" s="93">
        <v>3</v>
      </c>
      <c r="L2926" s="93" t="s">
        <v>111</v>
      </c>
      <c r="M2926" s="93" t="s">
        <v>111</v>
      </c>
      <c r="N2926" s="93" t="s">
        <v>111</v>
      </c>
      <c r="O2926" s="93" t="s">
        <v>111</v>
      </c>
      <c r="P2926" s="93" t="s">
        <v>111</v>
      </c>
      <c r="Q2926" s="93" t="s">
        <v>111</v>
      </c>
      <c r="R2926" s="93" t="s">
        <v>111</v>
      </c>
      <c r="S2926" s="93" t="s">
        <v>111</v>
      </c>
      <c r="T2926" s="93" t="s">
        <v>115</v>
      </c>
      <c r="U2926" s="93" t="s">
        <v>395</v>
      </c>
      <c r="V2926" s="94">
        <v>44588.243055555555</v>
      </c>
      <c r="W2926" s="93" t="s">
        <v>1170</v>
      </c>
      <c r="X2926" s="93" t="s">
        <v>24</v>
      </c>
    </row>
    <row r="2927" spans="1:24" hidden="1" x14ac:dyDescent="0.15">
      <c r="A2927" s="93" t="s">
        <v>4329</v>
      </c>
      <c r="B2927" s="93" t="s">
        <v>4330</v>
      </c>
      <c r="C2927" s="410">
        <v>500</v>
      </c>
      <c r="D2927" s="93" t="s">
        <v>9</v>
      </c>
      <c r="E2927" s="93" t="s">
        <v>9</v>
      </c>
      <c r="F2927" s="93" t="s">
        <v>1648</v>
      </c>
      <c r="G2927" s="93" t="s">
        <v>9112</v>
      </c>
      <c r="H2927" s="93" t="s">
        <v>118</v>
      </c>
      <c r="I2927" s="93" t="s">
        <v>111</v>
      </c>
      <c r="J2927" s="93" t="s">
        <v>7105</v>
      </c>
      <c r="K2927" s="93" t="s">
        <v>111</v>
      </c>
      <c r="L2927" s="93" t="s">
        <v>111</v>
      </c>
      <c r="M2927" s="93" t="s">
        <v>111</v>
      </c>
      <c r="N2927" s="93" t="s">
        <v>111</v>
      </c>
      <c r="O2927" s="93" t="s">
        <v>111</v>
      </c>
      <c r="P2927" s="93" t="s">
        <v>111</v>
      </c>
      <c r="Q2927" s="93" t="s">
        <v>111</v>
      </c>
      <c r="R2927" s="93" t="s">
        <v>1199</v>
      </c>
      <c r="S2927" s="93" t="s">
        <v>111</v>
      </c>
      <c r="T2927" s="93" t="s">
        <v>115</v>
      </c>
      <c r="U2927" s="93" t="s">
        <v>116</v>
      </c>
      <c r="V2927" s="94">
        <v>44588.263888888891</v>
      </c>
      <c r="W2927" s="93" t="s">
        <v>1170</v>
      </c>
      <c r="X2927" s="93" t="s">
        <v>24</v>
      </c>
    </row>
    <row r="2928" spans="1:24" hidden="1" x14ac:dyDescent="0.15">
      <c r="A2928" s="93" t="s">
        <v>4331</v>
      </c>
      <c r="B2928" s="93" t="s">
        <v>4332</v>
      </c>
      <c r="C2928" s="410">
        <v>255</v>
      </c>
      <c r="D2928" s="93" t="s">
        <v>9</v>
      </c>
      <c r="E2928" s="93" t="s">
        <v>9</v>
      </c>
      <c r="F2928" s="93" t="s">
        <v>1648</v>
      </c>
      <c r="G2928" s="93" t="s">
        <v>9112</v>
      </c>
      <c r="H2928" s="93" t="s">
        <v>118</v>
      </c>
      <c r="I2928" s="93" t="s">
        <v>111</v>
      </c>
      <c r="J2928" s="93" t="s">
        <v>118</v>
      </c>
      <c r="K2928" s="93">
        <v>3</v>
      </c>
      <c r="L2928" s="93" t="s">
        <v>111</v>
      </c>
      <c r="M2928" s="93" t="s">
        <v>111</v>
      </c>
      <c r="N2928" s="93" t="s">
        <v>111</v>
      </c>
      <c r="O2928" s="93" t="s">
        <v>111</v>
      </c>
      <c r="P2928" s="93" t="s">
        <v>111</v>
      </c>
      <c r="Q2928" s="93" t="s">
        <v>111</v>
      </c>
      <c r="R2928" s="93" t="s">
        <v>1199</v>
      </c>
      <c r="S2928" s="93" t="s">
        <v>111</v>
      </c>
      <c r="T2928" s="93" t="s">
        <v>115</v>
      </c>
      <c r="U2928" s="93" t="s">
        <v>116</v>
      </c>
      <c r="V2928" s="94">
        <v>44588.243055555555</v>
      </c>
      <c r="W2928" s="93" t="s">
        <v>1170</v>
      </c>
      <c r="X2928" s="93" t="s">
        <v>111</v>
      </c>
    </row>
    <row r="2929" spans="1:24" hidden="1" x14ac:dyDescent="0.15">
      <c r="A2929" s="93" t="s">
        <v>4333</v>
      </c>
      <c r="B2929" s="93" t="s">
        <v>4334</v>
      </c>
      <c r="C2929" s="410">
        <v>255</v>
      </c>
      <c r="D2929" s="93" t="s">
        <v>9</v>
      </c>
      <c r="E2929" s="93" t="s">
        <v>9</v>
      </c>
      <c r="F2929" s="93" t="s">
        <v>1648</v>
      </c>
      <c r="G2929" s="93" t="s">
        <v>9112</v>
      </c>
      <c r="H2929" s="93" t="s">
        <v>118</v>
      </c>
      <c r="I2929" s="93" t="s">
        <v>111</v>
      </c>
      <c r="J2929" s="93" t="s">
        <v>118</v>
      </c>
      <c r="K2929" s="93">
        <v>3</v>
      </c>
      <c r="L2929" s="93" t="s">
        <v>111</v>
      </c>
      <c r="M2929" s="93" t="s">
        <v>111</v>
      </c>
      <c r="N2929" s="93" t="s">
        <v>111</v>
      </c>
      <c r="O2929" s="93" t="s">
        <v>111</v>
      </c>
      <c r="P2929" s="93" t="s">
        <v>111</v>
      </c>
      <c r="Q2929" s="93" t="s">
        <v>111</v>
      </c>
      <c r="R2929" s="93" t="s">
        <v>111</v>
      </c>
      <c r="S2929" s="93" t="s">
        <v>111</v>
      </c>
      <c r="T2929" s="93" t="s">
        <v>115</v>
      </c>
      <c r="U2929" s="93" t="s">
        <v>116</v>
      </c>
      <c r="V2929" s="94">
        <v>44588.243055555555</v>
      </c>
      <c r="W2929" s="93" t="s">
        <v>1170</v>
      </c>
      <c r="X2929" s="93" t="s">
        <v>24</v>
      </c>
    </row>
    <row r="2930" spans="1:24" hidden="1" x14ac:dyDescent="0.15">
      <c r="A2930" s="93" t="s">
        <v>9397</v>
      </c>
      <c r="B2930" s="93" t="s">
        <v>9398</v>
      </c>
      <c r="C2930" s="410">
        <v>255</v>
      </c>
      <c r="D2930" s="93" t="s">
        <v>9</v>
      </c>
      <c r="E2930" s="93" t="s">
        <v>9</v>
      </c>
      <c r="F2930" s="93" t="s">
        <v>1648</v>
      </c>
      <c r="G2930" s="93" t="s">
        <v>9112</v>
      </c>
      <c r="H2930" s="93" t="s">
        <v>118</v>
      </c>
      <c r="I2930" s="93" t="s">
        <v>111</v>
      </c>
      <c r="J2930" s="93" t="s">
        <v>118</v>
      </c>
      <c r="K2930" s="93">
        <v>3</v>
      </c>
      <c r="L2930" s="93" t="s">
        <v>111</v>
      </c>
      <c r="M2930" s="93" t="s">
        <v>111</v>
      </c>
      <c r="N2930" s="93" t="s">
        <v>111</v>
      </c>
      <c r="O2930" s="93" t="s">
        <v>111</v>
      </c>
      <c r="P2930" s="93" t="s">
        <v>111</v>
      </c>
      <c r="Q2930" s="93" t="s">
        <v>111</v>
      </c>
      <c r="R2930" s="93" t="s">
        <v>111</v>
      </c>
      <c r="S2930" s="93" t="s">
        <v>111</v>
      </c>
      <c r="T2930" s="93" t="s">
        <v>115</v>
      </c>
      <c r="U2930" s="93" t="s">
        <v>395</v>
      </c>
      <c r="V2930" s="94">
        <v>44588.243055555555</v>
      </c>
      <c r="W2930" s="93" t="s">
        <v>1170</v>
      </c>
      <c r="X2930" s="93" t="s">
        <v>111</v>
      </c>
    </row>
    <row r="2931" spans="1:24" hidden="1" x14ac:dyDescent="0.15">
      <c r="A2931" s="93" t="s">
        <v>4335</v>
      </c>
      <c r="B2931" s="93" t="s">
        <v>4336</v>
      </c>
      <c r="C2931" s="410">
        <v>255</v>
      </c>
      <c r="D2931" s="93" t="s">
        <v>9</v>
      </c>
      <c r="E2931" s="93" t="s">
        <v>9</v>
      </c>
      <c r="F2931" s="93" t="s">
        <v>1648</v>
      </c>
      <c r="G2931" s="93" t="s">
        <v>9112</v>
      </c>
      <c r="H2931" s="93" t="s">
        <v>118</v>
      </c>
      <c r="I2931" s="93" t="s">
        <v>111</v>
      </c>
      <c r="J2931" s="93" t="s">
        <v>118</v>
      </c>
      <c r="K2931" s="93">
        <v>3</v>
      </c>
      <c r="L2931" s="93" t="s">
        <v>111</v>
      </c>
      <c r="M2931" s="93" t="s">
        <v>111</v>
      </c>
      <c r="N2931" s="93" t="s">
        <v>111</v>
      </c>
      <c r="O2931" s="93" t="s">
        <v>111</v>
      </c>
      <c r="P2931" s="93" t="s">
        <v>111</v>
      </c>
      <c r="Q2931" s="93" t="s">
        <v>111</v>
      </c>
      <c r="R2931" s="93" t="s">
        <v>1199</v>
      </c>
      <c r="S2931" s="93" t="s">
        <v>111</v>
      </c>
      <c r="T2931" s="93" t="s">
        <v>115</v>
      </c>
      <c r="U2931" s="93" t="s">
        <v>116</v>
      </c>
      <c r="V2931" s="94">
        <v>44588.243055555555</v>
      </c>
      <c r="W2931" s="93" t="s">
        <v>1170</v>
      </c>
      <c r="X2931" s="93" t="s">
        <v>111</v>
      </c>
    </row>
    <row r="2932" spans="1:24" hidden="1" x14ac:dyDescent="0.15">
      <c r="A2932" s="93" t="s">
        <v>4337</v>
      </c>
      <c r="B2932" s="93" t="s">
        <v>4338</v>
      </c>
      <c r="C2932" s="410">
        <v>95</v>
      </c>
      <c r="D2932" s="93" t="s">
        <v>9</v>
      </c>
      <c r="E2932" s="93" t="s">
        <v>9</v>
      </c>
      <c r="F2932" s="93" t="s">
        <v>1648</v>
      </c>
      <c r="G2932" s="93" t="s">
        <v>9112</v>
      </c>
      <c r="H2932" s="93" t="s">
        <v>118</v>
      </c>
      <c r="I2932" s="93" t="s">
        <v>111</v>
      </c>
      <c r="J2932" s="93" t="s">
        <v>118</v>
      </c>
      <c r="K2932" s="93">
        <v>3</v>
      </c>
      <c r="L2932" s="93" t="s">
        <v>111</v>
      </c>
      <c r="M2932" s="93" t="s">
        <v>111</v>
      </c>
      <c r="N2932" s="93" t="s">
        <v>111</v>
      </c>
      <c r="O2932" s="93" t="s">
        <v>111</v>
      </c>
      <c r="P2932" s="93" t="s">
        <v>111</v>
      </c>
      <c r="Q2932" s="93" t="s">
        <v>111</v>
      </c>
      <c r="R2932" s="93" t="s">
        <v>1199</v>
      </c>
      <c r="S2932" s="93" t="s">
        <v>111</v>
      </c>
      <c r="T2932" s="93" t="s">
        <v>115</v>
      </c>
      <c r="U2932" s="93" t="s">
        <v>116</v>
      </c>
      <c r="V2932" s="94">
        <v>44588.243055555555</v>
      </c>
      <c r="W2932" s="93" t="s">
        <v>1170</v>
      </c>
      <c r="X2932" s="93" t="s">
        <v>24</v>
      </c>
    </row>
    <row r="2933" spans="1:24" hidden="1" x14ac:dyDescent="0.15">
      <c r="A2933" s="93" t="s">
        <v>4339</v>
      </c>
      <c r="B2933" s="93" t="s">
        <v>4340</v>
      </c>
      <c r="C2933" s="410">
        <v>510</v>
      </c>
      <c r="D2933" s="93" t="s">
        <v>9</v>
      </c>
      <c r="E2933" s="93" t="s">
        <v>9</v>
      </c>
      <c r="F2933" s="93" t="s">
        <v>1648</v>
      </c>
      <c r="G2933" s="93" t="s">
        <v>9112</v>
      </c>
      <c r="H2933" s="93" t="s">
        <v>118</v>
      </c>
      <c r="I2933" s="93" t="s">
        <v>111</v>
      </c>
      <c r="J2933" s="93" t="s">
        <v>118</v>
      </c>
      <c r="K2933" s="93">
        <v>3</v>
      </c>
      <c r="L2933" s="93" t="s">
        <v>111</v>
      </c>
      <c r="M2933" s="93" t="s">
        <v>111</v>
      </c>
      <c r="N2933" s="93" t="s">
        <v>111</v>
      </c>
      <c r="O2933" s="93" t="s">
        <v>111</v>
      </c>
      <c r="P2933" s="93" t="s">
        <v>111</v>
      </c>
      <c r="Q2933" s="93" t="s">
        <v>111</v>
      </c>
      <c r="R2933" s="93" t="s">
        <v>1199</v>
      </c>
      <c r="S2933" s="93" t="s">
        <v>111</v>
      </c>
      <c r="T2933" s="93" t="s">
        <v>115</v>
      </c>
      <c r="U2933" s="93" t="s">
        <v>116</v>
      </c>
      <c r="V2933" s="94">
        <v>44588.243750000001</v>
      </c>
      <c r="W2933" s="93" t="s">
        <v>1170</v>
      </c>
      <c r="X2933" s="93" t="s">
        <v>24</v>
      </c>
    </row>
    <row r="2934" spans="1:24" hidden="1" x14ac:dyDescent="0.15">
      <c r="A2934" s="93" t="s">
        <v>9399</v>
      </c>
      <c r="B2934" s="93" t="s">
        <v>9400</v>
      </c>
      <c r="C2934" s="410">
        <v>765</v>
      </c>
      <c r="D2934" s="93" t="s">
        <v>9</v>
      </c>
      <c r="E2934" s="93" t="s">
        <v>9</v>
      </c>
      <c r="F2934" s="93" t="s">
        <v>1648</v>
      </c>
      <c r="G2934" s="93" t="s">
        <v>9112</v>
      </c>
      <c r="H2934" s="93" t="s">
        <v>118</v>
      </c>
      <c r="I2934" s="93" t="s">
        <v>111</v>
      </c>
      <c r="J2934" s="93" t="s">
        <v>118</v>
      </c>
      <c r="K2934" s="93">
        <v>3</v>
      </c>
      <c r="L2934" s="93" t="s">
        <v>111</v>
      </c>
      <c r="M2934" s="93" t="s">
        <v>111</v>
      </c>
      <c r="N2934" s="93" t="s">
        <v>111</v>
      </c>
      <c r="O2934" s="93" t="s">
        <v>111</v>
      </c>
      <c r="P2934" s="93" t="s">
        <v>111</v>
      </c>
      <c r="Q2934" s="93" t="s">
        <v>111</v>
      </c>
      <c r="R2934" s="93" t="s">
        <v>111</v>
      </c>
      <c r="S2934" s="93" t="s">
        <v>111</v>
      </c>
      <c r="T2934" s="93" t="s">
        <v>115</v>
      </c>
      <c r="U2934" s="93" t="s">
        <v>395</v>
      </c>
      <c r="V2934" s="94">
        <v>44588.243750000001</v>
      </c>
      <c r="W2934" s="93" t="s">
        <v>1170</v>
      </c>
      <c r="X2934" s="93" t="s">
        <v>24</v>
      </c>
    </row>
    <row r="2935" spans="1:24" hidden="1" x14ac:dyDescent="0.15">
      <c r="A2935" s="93" t="s">
        <v>9401</v>
      </c>
      <c r="B2935" s="93" t="s">
        <v>9402</v>
      </c>
      <c r="C2935" s="410">
        <v>610</v>
      </c>
      <c r="D2935" s="93" t="s">
        <v>9</v>
      </c>
      <c r="E2935" s="93" t="s">
        <v>9</v>
      </c>
      <c r="F2935" s="93" t="s">
        <v>1648</v>
      </c>
      <c r="G2935" s="93" t="s">
        <v>9112</v>
      </c>
      <c r="H2935" s="93" t="s">
        <v>118</v>
      </c>
      <c r="I2935" s="93" t="s">
        <v>111</v>
      </c>
      <c r="J2935" s="93" t="s">
        <v>7105</v>
      </c>
      <c r="K2935" s="93" t="s">
        <v>111</v>
      </c>
      <c r="L2935" s="93" t="s">
        <v>111</v>
      </c>
      <c r="M2935" s="93" t="s">
        <v>111</v>
      </c>
      <c r="N2935" s="93" t="s">
        <v>111</v>
      </c>
      <c r="O2935" s="93" t="s">
        <v>111</v>
      </c>
      <c r="P2935" s="93" t="s">
        <v>111</v>
      </c>
      <c r="Q2935" s="93" t="s">
        <v>111</v>
      </c>
      <c r="R2935" s="93" t="s">
        <v>111</v>
      </c>
      <c r="S2935" s="93" t="s">
        <v>111</v>
      </c>
      <c r="T2935" s="93" t="s">
        <v>115</v>
      </c>
      <c r="U2935" s="93" t="s">
        <v>116</v>
      </c>
      <c r="V2935" s="94">
        <v>44588.243750000001</v>
      </c>
      <c r="W2935" s="93" t="s">
        <v>1170</v>
      </c>
      <c r="X2935" s="93" t="s">
        <v>24</v>
      </c>
    </row>
    <row r="2936" spans="1:24" hidden="1" x14ac:dyDescent="0.15">
      <c r="A2936" s="93" t="s">
        <v>4341</v>
      </c>
      <c r="B2936" s="93" t="s">
        <v>4342</v>
      </c>
      <c r="C2936" s="410">
        <v>305</v>
      </c>
      <c r="D2936" s="93" t="s">
        <v>9</v>
      </c>
      <c r="E2936" s="93" t="s">
        <v>9</v>
      </c>
      <c r="F2936" s="93" t="s">
        <v>1648</v>
      </c>
      <c r="G2936" s="93" t="s">
        <v>9112</v>
      </c>
      <c r="H2936" s="93" t="s">
        <v>118</v>
      </c>
      <c r="I2936" s="93" t="s">
        <v>111</v>
      </c>
      <c r="J2936" s="93" t="s">
        <v>118</v>
      </c>
      <c r="K2936" s="93">
        <v>3</v>
      </c>
      <c r="L2936" s="93" t="s">
        <v>111</v>
      </c>
      <c r="M2936" s="93" t="s">
        <v>111</v>
      </c>
      <c r="N2936" s="93" t="s">
        <v>111</v>
      </c>
      <c r="O2936" s="93" t="s">
        <v>111</v>
      </c>
      <c r="P2936" s="93" t="s">
        <v>111</v>
      </c>
      <c r="Q2936" s="93" t="s">
        <v>111</v>
      </c>
      <c r="R2936" s="93" t="s">
        <v>1199</v>
      </c>
      <c r="S2936" s="93" t="s">
        <v>111</v>
      </c>
      <c r="T2936" s="93" t="s">
        <v>115</v>
      </c>
      <c r="U2936" s="93" t="s">
        <v>116</v>
      </c>
      <c r="V2936" s="94">
        <v>44602.495138888888</v>
      </c>
      <c r="W2936" s="93" t="s">
        <v>1170</v>
      </c>
      <c r="X2936" s="93" t="s">
        <v>24</v>
      </c>
    </row>
    <row r="2937" spans="1:24" hidden="1" x14ac:dyDescent="0.15">
      <c r="A2937" s="93" t="s">
        <v>4343</v>
      </c>
      <c r="B2937" s="93" t="s">
        <v>4344</v>
      </c>
      <c r="C2937" s="410">
        <v>225</v>
      </c>
      <c r="D2937" s="93" t="s">
        <v>9</v>
      </c>
      <c r="E2937" s="93" t="s">
        <v>9</v>
      </c>
      <c r="F2937" s="93" t="s">
        <v>1648</v>
      </c>
      <c r="G2937" s="93" t="s">
        <v>9112</v>
      </c>
      <c r="H2937" s="93" t="s">
        <v>118</v>
      </c>
      <c r="I2937" s="93" t="s">
        <v>111</v>
      </c>
      <c r="J2937" s="93" t="s">
        <v>118</v>
      </c>
      <c r="K2937" s="93">
        <v>3</v>
      </c>
      <c r="L2937" s="93" t="s">
        <v>111</v>
      </c>
      <c r="M2937" s="93" t="s">
        <v>111</v>
      </c>
      <c r="N2937" s="93" t="s">
        <v>111</v>
      </c>
      <c r="O2937" s="93" t="s">
        <v>111</v>
      </c>
      <c r="P2937" s="93" t="s">
        <v>111</v>
      </c>
      <c r="Q2937" s="93" t="s">
        <v>111</v>
      </c>
      <c r="R2937" s="93" t="s">
        <v>1199</v>
      </c>
      <c r="S2937" s="93" t="s">
        <v>659</v>
      </c>
      <c r="T2937" s="93" t="s">
        <v>115</v>
      </c>
      <c r="U2937" s="93" t="s">
        <v>116</v>
      </c>
      <c r="V2937" s="94">
        <v>44588.402083333334</v>
      </c>
      <c r="W2937" s="93" t="s">
        <v>1170</v>
      </c>
      <c r="X2937" s="93" t="s">
        <v>24</v>
      </c>
    </row>
    <row r="2938" spans="1:24" hidden="1" x14ac:dyDescent="0.15">
      <c r="A2938" s="93" t="s">
        <v>4345</v>
      </c>
      <c r="B2938" s="93" t="s">
        <v>4346</v>
      </c>
      <c r="C2938" s="410">
        <v>255</v>
      </c>
      <c r="D2938" s="93" t="s">
        <v>9</v>
      </c>
      <c r="E2938" s="93" t="s">
        <v>9</v>
      </c>
      <c r="F2938" s="93" t="s">
        <v>1648</v>
      </c>
      <c r="G2938" s="93" t="s">
        <v>9112</v>
      </c>
      <c r="H2938" s="93" t="s">
        <v>118</v>
      </c>
      <c r="I2938" s="93" t="s">
        <v>111</v>
      </c>
      <c r="J2938" s="93" t="s">
        <v>118</v>
      </c>
      <c r="K2938" s="93">
        <v>3</v>
      </c>
      <c r="L2938" s="93" t="s">
        <v>111</v>
      </c>
      <c r="M2938" s="93" t="s">
        <v>111</v>
      </c>
      <c r="N2938" s="93" t="s">
        <v>111</v>
      </c>
      <c r="O2938" s="93" t="s">
        <v>111</v>
      </c>
      <c r="P2938" s="93" t="s">
        <v>111</v>
      </c>
      <c r="Q2938" s="93" t="s">
        <v>111</v>
      </c>
      <c r="R2938" s="93" t="s">
        <v>1199</v>
      </c>
      <c r="S2938" s="93" t="s">
        <v>111</v>
      </c>
      <c r="T2938" s="93" t="s">
        <v>115</v>
      </c>
      <c r="U2938" s="93" t="s">
        <v>116</v>
      </c>
      <c r="V2938" s="94">
        <v>44602.495138888888</v>
      </c>
      <c r="W2938" s="93" t="s">
        <v>1170</v>
      </c>
      <c r="X2938" s="93" t="s">
        <v>24</v>
      </c>
    </row>
    <row r="2939" spans="1:24" hidden="1" x14ac:dyDescent="0.15">
      <c r="A2939" s="93" t="s">
        <v>4347</v>
      </c>
      <c r="B2939" s="93" t="s">
        <v>4348</v>
      </c>
      <c r="C2939" s="410">
        <v>460</v>
      </c>
      <c r="D2939" s="93" t="s">
        <v>9</v>
      </c>
      <c r="E2939" s="93" t="s">
        <v>9</v>
      </c>
      <c r="F2939" s="93" t="s">
        <v>1648</v>
      </c>
      <c r="G2939" s="93" t="s">
        <v>9112</v>
      </c>
      <c r="H2939" s="93" t="s">
        <v>118</v>
      </c>
      <c r="I2939" s="93" t="s">
        <v>111</v>
      </c>
      <c r="J2939" s="93" t="s">
        <v>118</v>
      </c>
      <c r="K2939" s="93">
        <v>3</v>
      </c>
      <c r="L2939" s="93" t="s">
        <v>111</v>
      </c>
      <c r="M2939" s="93" t="s">
        <v>111</v>
      </c>
      <c r="N2939" s="93" t="s">
        <v>111</v>
      </c>
      <c r="O2939" s="93" t="s">
        <v>111</v>
      </c>
      <c r="P2939" s="93" t="s">
        <v>111</v>
      </c>
      <c r="Q2939" s="93" t="s">
        <v>111</v>
      </c>
      <c r="R2939" s="93" t="s">
        <v>1199</v>
      </c>
      <c r="S2939" s="93" t="s">
        <v>111</v>
      </c>
      <c r="T2939" s="93" t="s">
        <v>115</v>
      </c>
      <c r="U2939" s="93" t="s">
        <v>116</v>
      </c>
      <c r="V2939" s="94">
        <v>44588.242361111108</v>
      </c>
      <c r="W2939" s="93" t="s">
        <v>1170</v>
      </c>
      <c r="X2939" s="93" t="s">
        <v>24</v>
      </c>
    </row>
    <row r="2940" spans="1:24" hidden="1" x14ac:dyDescent="0.15">
      <c r="A2940" s="93" t="s">
        <v>9403</v>
      </c>
      <c r="B2940" s="93" t="s">
        <v>9404</v>
      </c>
      <c r="C2940" s="410">
        <v>205</v>
      </c>
      <c r="D2940" s="93" t="s">
        <v>9</v>
      </c>
      <c r="E2940" s="93" t="s">
        <v>9</v>
      </c>
      <c r="F2940" s="93" t="s">
        <v>1648</v>
      </c>
      <c r="G2940" s="93" t="s">
        <v>9112</v>
      </c>
      <c r="H2940" s="93" t="s">
        <v>118</v>
      </c>
      <c r="I2940" s="93" t="s">
        <v>111</v>
      </c>
      <c r="J2940" s="93" t="s">
        <v>118</v>
      </c>
      <c r="K2940" s="93">
        <v>3</v>
      </c>
      <c r="L2940" s="93" t="s">
        <v>111</v>
      </c>
      <c r="M2940" s="93" t="s">
        <v>111</v>
      </c>
      <c r="N2940" s="93" t="s">
        <v>111</v>
      </c>
      <c r="O2940" s="93" t="s">
        <v>111</v>
      </c>
      <c r="P2940" s="93" t="s">
        <v>111</v>
      </c>
      <c r="Q2940" s="93" t="s">
        <v>111</v>
      </c>
      <c r="R2940" s="93" t="s">
        <v>1199</v>
      </c>
      <c r="S2940" s="93" t="s">
        <v>111</v>
      </c>
      <c r="T2940" s="93" t="s">
        <v>115</v>
      </c>
      <c r="U2940" s="93" t="s">
        <v>116</v>
      </c>
      <c r="V2940" s="94">
        <v>44593.486805555556</v>
      </c>
      <c r="W2940" s="93" t="s">
        <v>1170</v>
      </c>
      <c r="X2940" s="93" t="s">
        <v>24</v>
      </c>
    </row>
    <row r="2941" spans="1:24" hidden="1" x14ac:dyDescent="0.15">
      <c r="A2941" s="93" t="s">
        <v>4349</v>
      </c>
      <c r="B2941" s="93" t="s">
        <v>4350</v>
      </c>
      <c r="C2941" s="410">
        <v>355</v>
      </c>
      <c r="D2941" s="93" t="s">
        <v>9</v>
      </c>
      <c r="E2941" s="93" t="s">
        <v>9</v>
      </c>
      <c r="F2941" s="93" t="s">
        <v>1648</v>
      </c>
      <c r="G2941" s="93" t="s">
        <v>9112</v>
      </c>
      <c r="H2941" s="93" t="s">
        <v>118</v>
      </c>
      <c r="I2941" s="93" t="s">
        <v>111</v>
      </c>
      <c r="J2941" s="93" t="s">
        <v>118</v>
      </c>
      <c r="K2941" s="93">
        <v>3</v>
      </c>
      <c r="L2941" s="93" t="s">
        <v>111</v>
      </c>
      <c r="M2941" s="93" t="s">
        <v>111</v>
      </c>
      <c r="N2941" s="93" t="s">
        <v>111</v>
      </c>
      <c r="O2941" s="93" t="s">
        <v>111</v>
      </c>
      <c r="P2941" s="93" t="s">
        <v>111</v>
      </c>
      <c r="Q2941" s="93" t="s">
        <v>111</v>
      </c>
      <c r="R2941" s="93" t="s">
        <v>1199</v>
      </c>
      <c r="S2941" s="93" t="s">
        <v>111</v>
      </c>
      <c r="T2941" s="93" t="s">
        <v>115</v>
      </c>
      <c r="U2941" s="93" t="s">
        <v>116</v>
      </c>
      <c r="V2941" s="94">
        <v>44588.243055555555</v>
      </c>
      <c r="W2941" s="93" t="s">
        <v>1170</v>
      </c>
      <c r="X2941" s="93" t="s">
        <v>24</v>
      </c>
    </row>
    <row r="2942" spans="1:24" hidden="1" x14ac:dyDescent="0.15">
      <c r="A2942" s="93" t="s">
        <v>4351</v>
      </c>
      <c r="B2942" s="93" t="s">
        <v>4352</v>
      </c>
      <c r="C2942" s="410">
        <v>510</v>
      </c>
      <c r="D2942" s="93" t="s">
        <v>9</v>
      </c>
      <c r="E2942" s="93" t="s">
        <v>9</v>
      </c>
      <c r="F2942" s="93" t="s">
        <v>1648</v>
      </c>
      <c r="G2942" s="93" t="s">
        <v>9112</v>
      </c>
      <c r="H2942" s="93" t="s">
        <v>118</v>
      </c>
      <c r="I2942" s="93" t="s">
        <v>111</v>
      </c>
      <c r="J2942" s="93" t="s">
        <v>118</v>
      </c>
      <c r="K2942" s="93">
        <v>3</v>
      </c>
      <c r="L2942" s="93" t="s">
        <v>111</v>
      </c>
      <c r="M2942" s="93" t="s">
        <v>111</v>
      </c>
      <c r="N2942" s="93" t="s">
        <v>111</v>
      </c>
      <c r="O2942" s="93" t="s">
        <v>111</v>
      </c>
      <c r="P2942" s="93" t="s">
        <v>111</v>
      </c>
      <c r="Q2942" s="93" t="s">
        <v>111</v>
      </c>
      <c r="R2942" s="93" t="s">
        <v>1199</v>
      </c>
      <c r="S2942" s="93" t="s">
        <v>111</v>
      </c>
      <c r="T2942" s="93" t="s">
        <v>115</v>
      </c>
      <c r="U2942" s="93" t="s">
        <v>116</v>
      </c>
      <c r="V2942" s="94">
        <v>44588.243055555555</v>
      </c>
      <c r="W2942" s="93" t="s">
        <v>1170</v>
      </c>
      <c r="X2942" s="93" t="s">
        <v>24</v>
      </c>
    </row>
    <row r="2943" spans="1:24" hidden="1" x14ac:dyDescent="0.15">
      <c r="A2943" s="93" t="s">
        <v>9405</v>
      </c>
      <c r="B2943" s="93" t="s">
        <v>9406</v>
      </c>
      <c r="C2943" s="410">
        <v>815</v>
      </c>
      <c r="D2943" s="93" t="s">
        <v>9</v>
      </c>
      <c r="E2943" s="93" t="s">
        <v>9</v>
      </c>
      <c r="F2943" s="93" t="s">
        <v>1648</v>
      </c>
      <c r="G2943" s="93" t="s">
        <v>9112</v>
      </c>
      <c r="H2943" s="93" t="s">
        <v>118</v>
      </c>
      <c r="I2943" s="93" t="s">
        <v>111</v>
      </c>
      <c r="J2943" s="93" t="s">
        <v>118</v>
      </c>
      <c r="K2943" s="93">
        <v>3</v>
      </c>
      <c r="L2943" s="93" t="s">
        <v>111</v>
      </c>
      <c r="M2943" s="93" t="s">
        <v>111</v>
      </c>
      <c r="N2943" s="93" t="s">
        <v>111</v>
      </c>
      <c r="O2943" s="93" t="s">
        <v>111</v>
      </c>
      <c r="P2943" s="93" t="s">
        <v>111</v>
      </c>
      <c r="Q2943" s="93" t="s">
        <v>111</v>
      </c>
      <c r="R2943" s="93" t="s">
        <v>111</v>
      </c>
      <c r="S2943" s="93" t="s">
        <v>111</v>
      </c>
      <c r="T2943" s="93" t="s">
        <v>115</v>
      </c>
      <c r="U2943" s="93" t="s">
        <v>395</v>
      </c>
      <c r="V2943" s="94">
        <v>44588.243055555555</v>
      </c>
      <c r="W2943" s="93" t="s">
        <v>1170</v>
      </c>
      <c r="X2943" s="93" t="s">
        <v>24</v>
      </c>
    </row>
    <row r="2944" spans="1:24" hidden="1" x14ac:dyDescent="0.15">
      <c r="A2944" s="93" t="s">
        <v>4353</v>
      </c>
      <c r="B2944" s="93" t="s">
        <v>4354</v>
      </c>
      <c r="C2944" s="410">
        <v>305</v>
      </c>
      <c r="D2944" s="93" t="s">
        <v>9</v>
      </c>
      <c r="E2944" s="93" t="s">
        <v>9</v>
      </c>
      <c r="F2944" s="93" t="s">
        <v>1648</v>
      </c>
      <c r="G2944" s="93" t="s">
        <v>9112</v>
      </c>
      <c r="H2944" s="93" t="s">
        <v>118</v>
      </c>
      <c r="I2944" s="93" t="s">
        <v>111</v>
      </c>
      <c r="J2944" s="93" t="s">
        <v>118</v>
      </c>
      <c r="K2944" s="93">
        <v>3</v>
      </c>
      <c r="L2944" s="93" t="s">
        <v>111</v>
      </c>
      <c r="M2944" s="93" t="s">
        <v>111</v>
      </c>
      <c r="N2944" s="93" t="s">
        <v>111</v>
      </c>
      <c r="O2944" s="93" t="s">
        <v>111</v>
      </c>
      <c r="P2944" s="93" t="s">
        <v>111</v>
      </c>
      <c r="Q2944" s="93" t="s">
        <v>111</v>
      </c>
      <c r="R2944" s="93" t="s">
        <v>1199</v>
      </c>
      <c r="S2944" s="93" t="s">
        <v>111</v>
      </c>
      <c r="T2944" s="93" t="s">
        <v>115</v>
      </c>
      <c r="U2944" s="93" t="s">
        <v>116</v>
      </c>
      <c r="V2944" s="94">
        <v>44588.243055555555</v>
      </c>
      <c r="W2944" s="93" t="s">
        <v>1170</v>
      </c>
      <c r="X2944" s="93" t="s">
        <v>24</v>
      </c>
    </row>
    <row r="2945" spans="1:24" hidden="1" x14ac:dyDescent="0.15">
      <c r="A2945" s="93" t="s">
        <v>4355</v>
      </c>
      <c r="B2945" s="93" t="s">
        <v>4356</v>
      </c>
      <c r="C2945" s="410">
        <v>230</v>
      </c>
      <c r="D2945" s="93" t="s">
        <v>9</v>
      </c>
      <c r="E2945" s="93" t="s">
        <v>9</v>
      </c>
      <c r="F2945" s="93" t="s">
        <v>1648</v>
      </c>
      <c r="G2945" s="93" t="s">
        <v>9112</v>
      </c>
      <c r="H2945" s="93" t="s">
        <v>118</v>
      </c>
      <c r="I2945" s="93" t="s">
        <v>111</v>
      </c>
      <c r="J2945" s="93" t="s">
        <v>118</v>
      </c>
      <c r="K2945" s="93">
        <v>3</v>
      </c>
      <c r="L2945" s="93" t="s">
        <v>111</v>
      </c>
      <c r="M2945" s="93" t="s">
        <v>111</v>
      </c>
      <c r="N2945" s="93" t="s">
        <v>111</v>
      </c>
      <c r="O2945" s="93" t="s">
        <v>111</v>
      </c>
      <c r="P2945" s="93" t="s">
        <v>111</v>
      </c>
      <c r="Q2945" s="93" t="s">
        <v>111</v>
      </c>
      <c r="R2945" s="93" t="s">
        <v>1199</v>
      </c>
      <c r="S2945" s="93" t="s">
        <v>659</v>
      </c>
      <c r="T2945" s="93" t="s">
        <v>115</v>
      </c>
      <c r="U2945" s="93" t="s">
        <v>116</v>
      </c>
      <c r="V2945" s="94">
        <v>44620.63958333333</v>
      </c>
      <c r="W2945" s="93" t="s">
        <v>1170</v>
      </c>
      <c r="X2945" s="93" t="s">
        <v>24</v>
      </c>
    </row>
    <row r="2946" spans="1:24" hidden="1" x14ac:dyDescent="0.15">
      <c r="A2946" s="93" t="s">
        <v>4357</v>
      </c>
      <c r="B2946" s="93" t="s">
        <v>4358</v>
      </c>
      <c r="C2946" s="410">
        <v>15.75</v>
      </c>
      <c r="D2946" s="93" t="s">
        <v>24</v>
      </c>
      <c r="E2946" s="93" t="s">
        <v>24</v>
      </c>
      <c r="F2946" s="93" t="s">
        <v>7070</v>
      </c>
      <c r="G2946" s="93" t="s">
        <v>8237</v>
      </c>
      <c r="H2946" s="93" t="s">
        <v>11</v>
      </c>
      <c r="I2946" s="93" t="s">
        <v>111</v>
      </c>
      <c r="J2946" s="93" t="s">
        <v>963</v>
      </c>
      <c r="K2946" s="93">
        <v>60</v>
      </c>
      <c r="L2946" s="93" t="s">
        <v>111</v>
      </c>
      <c r="M2946" s="93">
        <v>0.1</v>
      </c>
      <c r="N2946" s="93" t="s">
        <v>113</v>
      </c>
      <c r="O2946" s="93">
        <v>2</v>
      </c>
      <c r="P2946" s="93">
        <v>15</v>
      </c>
      <c r="Q2946" s="93">
        <v>15</v>
      </c>
      <c r="R2946" s="93" t="s">
        <v>114</v>
      </c>
      <c r="S2946" s="93" t="s">
        <v>111</v>
      </c>
      <c r="T2946" s="93" t="s">
        <v>1659</v>
      </c>
      <c r="U2946" s="93" t="s">
        <v>116</v>
      </c>
      <c r="V2946" s="94">
        <v>44628.477083333331</v>
      </c>
      <c r="W2946" s="93" t="s">
        <v>1170</v>
      </c>
      <c r="X2946" s="93" t="s">
        <v>24</v>
      </c>
    </row>
    <row r="2947" spans="1:24" hidden="1" x14ac:dyDescent="0.15">
      <c r="A2947" s="93" t="s">
        <v>4359</v>
      </c>
      <c r="B2947" s="93" t="s">
        <v>4360</v>
      </c>
      <c r="C2947" s="410">
        <v>42</v>
      </c>
      <c r="D2947" s="93" t="s">
        <v>24</v>
      </c>
      <c r="E2947" s="93" t="s">
        <v>24</v>
      </c>
      <c r="F2947" s="93" t="s">
        <v>7070</v>
      </c>
      <c r="G2947" s="93" t="s">
        <v>8237</v>
      </c>
      <c r="H2947" s="93" t="s">
        <v>11</v>
      </c>
      <c r="I2947" s="93" t="s">
        <v>111</v>
      </c>
      <c r="J2947" s="93" t="s">
        <v>963</v>
      </c>
      <c r="K2947" s="93">
        <v>60</v>
      </c>
      <c r="L2947" s="93" t="s">
        <v>111</v>
      </c>
      <c r="M2947" s="93">
        <v>0.6</v>
      </c>
      <c r="N2947" s="93" t="s">
        <v>113</v>
      </c>
      <c r="O2947" s="93">
        <v>6</v>
      </c>
      <c r="P2947" s="93">
        <v>55</v>
      </c>
      <c r="Q2947" s="93">
        <v>4</v>
      </c>
      <c r="R2947" s="93" t="s">
        <v>385</v>
      </c>
      <c r="S2947" s="93" t="s">
        <v>20</v>
      </c>
      <c r="T2947" s="93" t="s">
        <v>1659</v>
      </c>
      <c r="U2947" s="93" t="s">
        <v>116</v>
      </c>
      <c r="V2947" s="94">
        <v>44628.518750000003</v>
      </c>
      <c r="W2947" s="93" t="s">
        <v>1170</v>
      </c>
      <c r="X2947" s="93" t="s">
        <v>24</v>
      </c>
    </row>
    <row r="2948" spans="1:24" hidden="1" x14ac:dyDescent="0.15">
      <c r="A2948" s="93" t="s">
        <v>4361</v>
      </c>
      <c r="B2948" s="93" t="s">
        <v>4362</v>
      </c>
      <c r="C2948" s="410">
        <v>135.44999999999999</v>
      </c>
      <c r="D2948" s="93" t="s">
        <v>24</v>
      </c>
      <c r="E2948" s="93" t="s">
        <v>24</v>
      </c>
      <c r="F2948" s="93" t="s">
        <v>7070</v>
      </c>
      <c r="G2948" s="93" t="s">
        <v>8237</v>
      </c>
      <c r="H2948" s="93" t="s">
        <v>11</v>
      </c>
      <c r="I2948" s="93" t="s">
        <v>111</v>
      </c>
      <c r="J2948" s="93" t="s">
        <v>963</v>
      </c>
      <c r="K2948" s="93">
        <v>60</v>
      </c>
      <c r="L2948" s="93" t="s">
        <v>111</v>
      </c>
      <c r="M2948" s="93">
        <v>0.25</v>
      </c>
      <c r="N2948" s="93" t="s">
        <v>113</v>
      </c>
      <c r="O2948" s="93">
        <v>10</v>
      </c>
      <c r="P2948" s="93">
        <v>7</v>
      </c>
      <c r="Q2948" s="93">
        <v>10</v>
      </c>
      <c r="R2948" s="93" t="s">
        <v>123</v>
      </c>
      <c r="S2948" s="93" t="s">
        <v>659</v>
      </c>
      <c r="T2948" s="93" t="s">
        <v>1659</v>
      </c>
      <c r="U2948" s="93" t="s">
        <v>116</v>
      </c>
      <c r="V2948" s="94">
        <v>44628.642361111109</v>
      </c>
      <c r="W2948" s="93" t="s">
        <v>1170</v>
      </c>
      <c r="X2948" s="93" t="s">
        <v>9</v>
      </c>
    </row>
    <row r="2949" spans="1:24" hidden="1" x14ac:dyDescent="0.15">
      <c r="A2949" s="93" t="s">
        <v>4363</v>
      </c>
      <c r="B2949" s="93" t="s">
        <v>4364</v>
      </c>
      <c r="C2949" s="410">
        <v>55.65</v>
      </c>
      <c r="D2949" s="93" t="s">
        <v>24</v>
      </c>
      <c r="E2949" s="93" t="s">
        <v>24</v>
      </c>
      <c r="F2949" s="93" t="s">
        <v>7070</v>
      </c>
      <c r="G2949" s="93" t="s">
        <v>8237</v>
      </c>
      <c r="H2949" s="93" t="s">
        <v>11</v>
      </c>
      <c r="I2949" s="93" t="s">
        <v>111</v>
      </c>
      <c r="J2949" s="93" t="s">
        <v>963</v>
      </c>
      <c r="K2949" s="93">
        <v>60</v>
      </c>
      <c r="L2949" s="93" t="s">
        <v>111</v>
      </c>
      <c r="M2949" s="93">
        <v>0.5</v>
      </c>
      <c r="N2949" s="93" t="s">
        <v>113</v>
      </c>
      <c r="O2949" s="93">
        <v>10</v>
      </c>
      <c r="P2949" s="93">
        <v>25</v>
      </c>
      <c r="Q2949" s="93">
        <v>25</v>
      </c>
      <c r="R2949" s="93" t="s">
        <v>114</v>
      </c>
      <c r="S2949" s="93" t="s">
        <v>111</v>
      </c>
      <c r="T2949" s="93" t="s">
        <v>1659</v>
      </c>
      <c r="U2949" s="93" t="s">
        <v>116</v>
      </c>
      <c r="V2949" s="94">
        <v>44628.520138888889</v>
      </c>
      <c r="W2949" s="93" t="s">
        <v>1170</v>
      </c>
      <c r="X2949" s="93" t="s">
        <v>24</v>
      </c>
    </row>
    <row r="2950" spans="1:24" hidden="1" x14ac:dyDescent="0.15">
      <c r="A2950" s="93" t="s">
        <v>4365</v>
      </c>
      <c r="B2950" s="93" t="s">
        <v>4366</v>
      </c>
      <c r="C2950" s="410">
        <v>16.8</v>
      </c>
      <c r="D2950" s="93" t="s">
        <v>24</v>
      </c>
      <c r="E2950" s="93" t="s">
        <v>24</v>
      </c>
      <c r="F2950" s="93" t="s">
        <v>7070</v>
      </c>
      <c r="G2950" s="93" t="s">
        <v>8237</v>
      </c>
      <c r="H2950" s="93" t="s">
        <v>11</v>
      </c>
      <c r="I2950" s="93" t="s">
        <v>111</v>
      </c>
      <c r="J2950" s="93" t="s">
        <v>963</v>
      </c>
      <c r="K2950" s="93">
        <v>60</v>
      </c>
      <c r="L2950" s="93" t="s">
        <v>111</v>
      </c>
      <c r="M2950" s="93">
        <v>0.5</v>
      </c>
      <c r="N2950" s="93" t="s">
        <v>113</v>
      </c>
      <c r="O2950" s="93">
        <v>10</v>
      </c>
      <c r="P2950" s="93">
        <v>25</v>
      </c>
      <c r="Q2950" s="93">
        <v>25</v>
      </c>
      <c r="R2950" s="93" t="s">
        <v>114</v>
      </c>
      <c r="S2950" s="93" t="s">
        <v>16</v>
      </c>
      <c r="T2950" s="93" t="s">
        <v>1659</v>
      </c>
      <c r="U2950" s="93" t="s">
        <v>116</v>
      </c>
      <c r="V2950" s="94">
        <v>44628.477083333331</v>
      </c>
      <c r="W2950" s="93" t="s">
        <v>1170</v>
      </c>
      <c r="X2950" s="93" t="s">
        <v>24</v>
      </c>
    </row>
    <row r="2951" spans="1:24" hidden="1" x14ac:dyDescent="0.15">
      <c r="A2951" s="93" t="s">
        <v>4367</v>
      </c>
      <c r="B2951" s="93" t="s">
        <v>4368</v>
      </c>
      <c r="C2951" s="410">
        <v>84</v>
      </c>
      <c r="D2951" s="93" t="s">
        <v>24</v>
      </c>
      <c r="E2951" s="93" t="s">
        <v>24</v>
      </c>
      <c r="F2951" s="93" t="s">
        <v>7070</v>
      </c>
      <c r="G2951" s="93" t="s">
        <v>8237</v>
      </c>
      <c r="H2951" s="93" t="s">
        <v>11</v>
      </c>
      <c r="I2951" s="93" t="s">
        <v>111</v>
      </c>
      <c r="J2951" s="93" t="s">
        <v>963</v>
      </c>
      <c r="K2951" s="93">
        <v>60</v>
      </c>
      <c r="L2951" s="93" t="s">
        <v>111</v>
      </c>
      <c r="M2951" s="93">
        <v>0.05</v>
      </c>
      <c r="N2951" s="93" t="s">
        <v>113</v>
      </c>
      <c r="O2951" s="93">
        <v>20</v>
      </c>
      <c r="P2951" s="93">
        <v>20</v>
      </c>
      <c r="Q2951" s="93">
        <v>7</v>
      </c>
      <c r="R2951" s="93" t="s">
        <v>114</v>
      </c>
      <c r="S2951" s="93" t="s">
        <v>16</v>
      </c>
      <c r="T2951" s="93" t="s">
        <v>1659</v>
      </c>
      <c r="U2951" s="93" t="s">
        <v>116</v>
      </c>
      <c r="V2951" s="94">
        <v>44628.585416666669</v>
      </c>
      <c r="W2951" s="93" t="s">
        <v>1170</v>
      </c>
      <c r="X2951" s="93" t="s">
        <v>24</v>
      </c>
    </row>
    <row r="2952" spans="1:24" hidden="1" x14ac:dyDescent="0.15">
      <c r="A2952" s="93" t="s">
        <v>4369</v>
      </c>
      <c r="B2952" s="93" t="s">
        <v>4370</v>
      </c>
      <c r="C2952" s="410">
        <v>1099.3499999999999</v>
      </c>
      <c r="D2952" s="93" t="s">
        <v>24</v>
      </c>
      <c r="E2952" s="93" t="s">
        <v>24</v>
      </c>
      <c r="F2952" s="93" t="s">
        <v>7070</v>
      </c>
      <c r="G2952" s="93" t="s">
        <v>8237</v>
      </c>
      <c r="H2952" s="93" t="s">
        <v>11</v>
      </c>
      <c r="I2952" s="93" t="s">
        <v>111</v>
      </c>
      <c r="J2952" s="93" t="s">
        <v>963</v>
      </c>
      <c r="K2952" s="93">
        <v>60</v>
      </c>
      <c r="L2952" s="93" t="s">
        <v>111</v>
      </c>
      <c r="M2952" s="93">
        <v>1</v>
      </c>
      <c r="N2952" s="93" t="s">
        <v>113</v>
      </c>
      <c r="O2952" s="93">
        <v>26.5</v>
      </c>
      <c r="P2952" s="93">
        <v>26.5</v>
      </c>
      <c r="Q2952" s="93">
        <v>11</v>
      </c>
      <c r="R2952" s="93" t="s">
        <v>114</v>
      </c>
      <c r="S2952" s="93" t="s">
        <v>111</v>
      </c>
      <c r="T2952" s="93" t="s">
        <v>1659</v>
      </c>
      <c r="U2952" s="93" t="s">
        <v>116</v>
      </c>
      <c r="V2952" s="94">
        <v>44628.520138888889</v>
      </c>
      <c r="W2952" s="93" t="s">
        <v>1170</v>
      </c>
      <c r="X2952" s="93" t="s">
        <v>24</v>
      </c>
    </row>
    <row r="2953" spans="1:24" hidden="1" x14ac:dyDescent="0.15">
      <c r="A2953" s="93" t="s">
        <v>4371</v>
      </c>
      <c r="B2953" s="93" t="s">
        <v>4372</v>
      </c>
      <c r="C2953" s="410">
        <v>237.3</v>
      </c>
      <c r="D2953" s="93" t="s">
        <v>24</v>
      </c>
      <c r="E2953" s="93" t="s">
        <v>24</v>
      </c>
      <c r="F2953" s="93" t="s">
        <v>7070</v>
      </c>
      <c r="G2953" s="93" t="s">
        <v>8237</v>
      </c>
      <c r="H2953" s="93" t="s">
        <v>11</v>
      </c>
      <c r="I2953" s="93" t="s">
        <v>111</v>
      </c>
      <c r="J2953" s="93" t="s">
        <v>963</v>
      </c>
      <c r="K2953" s="93">
        <v>60</v>
      </c>
      <c r="L2953" s="93" t="s">
        <v>111</v>
      </c>
      <c r="M2953" s="93">
        <v>3</v>
      </c>
      <c r="N2953" s="93" t="s">
        <v>113</v>
      </c>
      <c r="O2953" s="93">
        <v>40</v>
      </c>
      <c r="P2953" s="93">
        <v>46</v>
      </c>
      <c r="Q2953" s="93">
        <v>20</v>
      </c>
      <c r="R2953" s="93" t="s">
        <v>114</v>
      </c>
      <c r="S2953" s="93" t="s">
        <v>111</v>
      </c>
      <c r="T2953" s="93" t="s">
        <v>1659</v>
      </c>
      <c r="U2953" s="93" t="s">
        <v>116</v>
      </c>
      <c r="V2953" s="94">
        <v>44628.520138888889</v>
      </c>
      <c r="W2953" s="93" t="s">
        <v>1170</v>
      </c>
      <c r="X2953" s="93" t="s">
        <v>24</v>
      </c>
    </row>
    <row r="2954" spans="1:24" hidden="1" x14ac:dyDescent="0.15">
      <c r="A2954" s="93" t="s">
        <v>4373</v>
      </c>
      <c r="B2954" s="93" t="s">
        <v>4374</v>
      </c>
      <c r="C2954" s="410">
        <v>6.3</v>
      </c>
      <c r="D2954" s="93" t="s">
        <v>24</v>
      </c>
      <c r="E2954" s="93" t="s">
        <v>24</v>
      </c>
      <c r="F2954" s="93" t="s">
        <v>7070</v>
      </c>
      <c r="G2954" s="93" t="s">
        <v>8237</v>
      </c>
      <c r="H2954" s="93" t="s">
        <v>11</v>
      </c>
      <c r="I2954" s="93" t="s">
        <v>111</v>
      </c>
      <c r="J2954" s="93" t="s">
        <v>963</v>
      </c>
      <c r="K2954" s="93">
        <v>60</v>
      </c>
      <c r="L2954" s="93" t="s">
        <v>111</v>
      </c>
      <c r="M2954" s="93">
        <v>0.04</v>
      </c>
      <c r="N2954" s="93" t="s">
        <v>113</v>
      </c>
      <c r="O2954" s="93">
        <v>1.5</v>
      </c>
      <c r="P2954" s="93">
        <v>1.8</v>
      </c>
      <c r="Q2954" s="93">
        <v>2</v>
      </c>
      <c r="R2954" s="93" t="s">
        <v>1548</v>
      </c>
      <c r="S2954" s="93" t="s">
        <v>659</v>
      </c>
      <c r="T2954" s="93" t="s">
        <v>1659</v>
      </c>
      <c r="U2954" s="93" t="s">
        <v>116</v>
      </c>
      <c r="V2954" s="94">
        <v>44628.498611111114</v>
      </c>
      <c r="W2954" s="93" t="s">
        <v>1170</v>
      </c>
      <c r="X2954" s="93" t="s">
        <v>24</v>
      </c>
    </row>
    <row r="2955" spans="1:24" hidden="1" x14ac:dyDescent="0.15">
      <c r="A2955" s="93" t="s">
        <v>4375</v>
      </c>
      <c r="B2955" s="93" t="s">
        <v>4376</v>
      </c>
      <c r="C2955" s="410">
        <v>79.8</v>
      </c>
      <c r="D2955" s="93" t="s">
        <v>24</v>
      </c>
      <c r="E2955" s="93" t="s">
        <v>24</v>
      </c>
      <c r="F2955" s="93" t="s">
        <v>7070</v>
      </c>
      <c r="G2955" s="93" t="s">
        <v>8237</v>
      </c>
      <c r="H2955" s="93" t="s">
        <v>11</v>
      </c>
      <c r="I2955" s="93" t="s">
        <v>111</v>
      </c>
      <c r="J2955" s="93" t="s">
        <v>1675</v>
      </c>
      <c r="K2955" s="93">
        <v>60</v>
      </c>
      <c r="L2955" s="93" t="s">
        <v>111</v>
      </c>
      <c r="M2955" s="93">
        <v>0.25</v>
      </c>
      <c r="N2955" s="93" t="s">
        <v>113</v>
      </c>
      <c r="O2955" s="93">
        <v>6</v>
      </c>
      <c r="P2955" s="93">
        <v>10</v>
      </c>
      <c r="Q2955" s="93">
        <v>26</v>
      </c>
      <c r="R2955" s="93" t="s">
        <v>385</v>
      </c>
      <c r="S2955" s="93" t="s">
        <v>20</v>
      </c>
      <c r="T2955" s="93" t="s">
        <v>1659</v>
      </c>
      <c r="U2955" s="93" t="s">
        <v>116</v>
      </c>
      <c r="V2955" s="94">
        <v>44628.475694444445</v>
      </c>
      <c r="W2955" s="93" t="s">
        <v>1170</v>
      </c>
      <c r="X2955" s="93" t="s">
        <v>24</v>
      </c>
    </row>
    <row r="2956" spans="1:24" hidden="1" x14ac:dyDescent="0.15">
      <c r="A2956" s="93" t="s">
        <v>4377</v>
      </c>
      <c r="B2956" s="93" t="s">
        <v>4378</v>
      </c>
      <c r="C2956" s="410">
        <v>107.1</v>
      </c>
      <c r="D2956" s="93" t="s">
        <v>24</v>
      </c>
      <c r="E2956" s="93" t="s">
        <v>24</v>
      </c>
      <c r="F2956" s="93" t="s">
        <v>7070</v>
      </c>
      <c r="G2956" s="93" t="s">
        <v>8237</v>
      </c>
      <c r="H2956" s="93" t="s">
        <v>11</v>
      </c>
      <c r="I2956" s="93" t="s">
        <v>111</v>
      </c>
      <c r="J2956" s="93" t="s">
        <v>1675</v>
      </c>
      <c r="K2956" s="93">
        <v>60</v>
      </c>
      <c r="L2956" s="93" t="s">
        <v>111</v>
      </c>
      <c r="M2956" s="93">
        <v>1.8</v>
      </c>
      <c r="N2956" s="93" t="s">
        <v>113</v>
      </c>
      <c r="O2956" s="93">
        <v>8</v>
      </c>
      <c r="P2956" s="93">
        <v>43</v>
      </c>
      <c r="Q2956" s="93">
        <v>53</v>
      </c>
      <c r="R2956" s="93" t="s">
        <v>385</v>
      </c>
      <c r="S2956" s="93" t="s">
        <v>16</v>
      </c>
      <c r="T2956" s="93" t="s">
        <v>1659</v>
      </c>
      <c r="U2956" s="93" t="s">
        <v>116</v>
      </c>
      <c r="V2956" s="94">
        <v>44628.584027777775</v>
      </c>
      <c r="W2956" s="93" t="s">
        <v>1170</v>
      </c>
      <c r="X2956" s="93" t="s">
        <v>24</v>
      </c>
    </row>
    <row r="2957" spans="1:24" hidden="1" x14ac:dyDescent="0.15">
      <c r="A2957" s="93" t="s">
        <v>4379</v>
      </c>
      <c r="B2957" s="93" t="s">
        <v>4380</v>
      </c>
      <c r="C2957" s="410">
        <v>142.80000000000001</v>
      </c>
      <c r="D2957" s="93" t="s">
        <v>24</v>
      </c>
      <c r="E2957" s="93" t="s">
        <v>24</v>
      </c>
      <c r="F2957" s="93" t="s">
        <v>7070</v>
      </c>
      <c r="G2957" s="93" t="s">
        <v>8237</v>
      </c>
      <c r="H2957" s="93" t="s">
        <v>11</v>
      </c>
      <c r="I2957" s="93" t="s">
        <v>111</v>
      </c>
      <c r="J2957" s="93" t="s">
        <v>963</v>
      </c>
      <c r="K2957" s="93">
        <v>60</v>
      </c>
      <c r="L2957" s="93" t="s">
        <v>111</v>
      </c>
      <c r="M2957" s="93">
        <v>3.8</v>
      </c>
      <c r="N2957" s="93" t="s">
        <v>113</v>
      </c>
      <c r="O2957" s="93">
        <v>12</v>
      </c>
      <c r="P2957" s="93">
        <v>30</v>
      </c>
      <c r="Q2957" s="93">
        <v>54</v>
      </c>
      <c r="R2957" s="93" t="s">
        <v>385</v>
      </c>
      <c r="S2957" s="93" t="s">
        <v>111</v>
      </c>
      <c r="T2957" s="93" t="s">
        <v>1659</v>
      </c>
      <c r="U2957" s="93" t="s">
        <v>116</v>
      </c>
      <c r="V2957" s="94">
        <v>44628.563888888886</v>
      </c>
      <c r="W2957" s="93" t="s">
        <v>1170</v>
      </c>
      <c r="X2957" s="93" t="s">
        <v>24</v>
      </c>
    </row>
    <row r="2958" spans="1:24" hidden="1" x14ac:dyDescent="0.15">
      <c r="A2958" s="93" t="s">
        <v>4381</v>
      </c>
      <c r="B2958" s="93" t="s">
        <v>4382</v>
      </c>
      <c r="C2958" s="410">
        <v>68.25</v>
      </c>
      <c r="D2958" s="93" t="s">
        <v>24</v>
      </c>
      <c r="E2958" s="93" t="s">
        <v>24</v>
      </c>
      <c r="F2958" s="93" t="s">
        <v>7070</v>
      </c>
      <c r="G2958" s="93" t="s">
        <v>8237</v>
      </c>
      <c r="H2958" s="93" t="s">
        <v>11</v>
      </c>
      <c r="I2958" s="93" t="s">
        <v>111</v>
      </c>
      <c r="J2958" s="93" t="s">
        <v>963</v>
      </c>
      <c r="K2958" s="93">
        <v>60</v>
      </c>
      <c r="L2958" s="93" t="s">
        <v>111</v>
      </c>
      <c r="M2958" s="93">
        <v>0.5</v>
      </c>
      <c r="N2958" s="93" t="s">
        <v>113</v>
      </c>
      <c r="O2958" s="93">
        <v>6</v>
      </c>
      <c r="P2958" s="93">
        <v>10</v>
      </c>
      <c r="Q2958" s="93">
        <v>7</v>
      </c>
      <c r="R2958" s="93" t="s">
        <v>123</v>
      </c>
      <c r="S2958" s="93" t="s">
        <v>659</v>
      </c>
      <c r="T2958" s="93" t="s">
        <v>1659</v>
      </c>
      <c r="U2958" s="93" t="s">
        <v>116</v>
      </c>
      <c r="V2958" s="94">
        <v>44628.543055555558</v>
      </c>
      <c r="W2958" s="93" t="s">
        <v>1170</v>
      </c>
      <c r="X2958" s="93" t="s">
        <v>24</v>
      </c>
    </row>
    <row r="2959" spans="1:24" hidden="1" x14ac:dyDescent="0.15">
      <c r="A2959" s="93" t="s">
        <v>4383</v>
      </c>
      <c r="B2959" s="93" t="s">
        <v>4384</v>
      </c>
      <c r="C2959" s="410">
        <v>33.6</v>
      </c>
      <c r="D2959" s="93" t="s">
        <v>24</v>
      </c>
      <c r="E2959" s="93" t="s">
        <v>24</v>
      </c>
      <c r="F2959" s="93" t="s">
        <v>7070</v>
      </c>
      <c r="G2959" s="93" t="s">
        <v>8237</v>
      </c>
      <c r="H2959" s="93" t="s">
        <v>11</v>
      </c>
      <c r="I2959" s="93" t="s">
        <v>111</v>
      </c>
      <c r="J2959" s="93" t="s">
        <v>2086</v>
      </c>
      <c r="K2959" s="93">
        <v>50</v>
      </c>
      <c r="L2959" s="93" t="s">
        <v>111</v>
      </c>
      <c r="M2959" s="93">
        <v>0.1</v>
      </c>
      <c r="N2959" s="93" t="s">
        <v>113</v>
      </c>
      <c r="O2959" s="93">
        <v>7</v>
      </c>
      <c r="P2959" s="93">
        <v>6</v>
      </c>
      <c r="Q2959" s="93">
        <v>10</v>
      </c>
      <c r="R2959" s="93" t="s">
        <v>1548</v>
      </c>
      <c r="S2959" s="93" t="s">
        <v>20</v>
      </c>
      <c r="T2959" s="93" t="s">
        <v>1659</v>
      </c>
      <c r="U2959" s="93" t="s">
        <v>119</v>
      </c>
      <c r="V2959" s="94">
        <v>44628.563888888886</v>
      </c>
      <c r="W2959" s="93" t="s">
        <v>1170</v>
      </c>
      <c r="X2959" s="93" t="s">
        <v>9</v>
      </c>
    </row>
    <row r="2960" spans="1:24" hidden="1" x14ac:dyDescent="0.15">
      <c r="A2960" s="93" t="s">
        <v>4385</v>
      </c>
      <c r="B2960" s="93" t="s">
        <v>4386</v>
      </c>
      <c r="C2960" s="410">
        <v>21</v>
      </c>
      <c r="D2960" s="93" t="s">
        <v>24</v>
      </c>
      <c r="E2960" s="93" t="s">
        <v>24</v>
      </c>
      <c r="F2960" s="93" t="s">
        <v>7070</v>
      </c>
      <c r="G2960" s="93" t="s">
        <v>8237</v>
      </c>
      <c r="H2960" s="93" t="s">
        <v>11</v>
      </c>
      <c r="I2960" s="93" t="s">
        <v>111</v>
      </c>
      <c r="J2960" s="93" t="s">
        <v>2086</v>
      </c>
      <c r="K2960" s="93">
        <v>50</v>
      </c>
      <c r="L2960" s="93" t="s">
        <v>111</v>
      </c>
      <c r="M2960" s="93">
        <v>0.2</v>
      </c>
      <c r="N2960" s="93" t="s">
        <v>113</v>
      </c>
      <c r="O2960" s="93">
        <v>2</v>
      </c>
      <c r="P2960" s="93">
        <v>20</v>
      </c>
      <c r="Q2960" s="93">
        <v>27</v>
      </c>
      <c r="R2960" s="93" t="s">
        <v>391</v>
      </c>
      <c r="S2960" s="93" t="s">
        <v>20</v>
      </c>
      <c r="T2960" s="93" t="s">
        <v>1659</v>
      </c>
      <c r="U2960" s="93" t="s">
        <v>119</v>
      </c>
      <c r="V2960" s="94">
        <v>44628.477083333331</v>
      </c>
      <c r="W2960" s="93" t="s">
        <v>1170</v>
      </c>
      <c r="X2960" s="93" t="s">
        <v>9</v>
      </c>
    </row>
    <row r="2961" spans="1:24" hidden="1" x14ac:dyDescent="0.15">
      <c r="A2961" s="93" t="s">
        <v>961</v>
      </c>
      <c r="B2961" s="93" t="s">
        <v>962</v>
      </c>
      <c r="C2961" s="410">
        <v>7.35</v>
      </c>
      <c r="D2961" s="93" t="s">
        <v>24</v>
      </c>
      <c r="E2961" s="93" t="s">
        <v>24</v>
      </c>
      <c r="F2961" s="93" t="s">
        <v>7070</v>
      </c>
      <c r="G2961" s="93" t="s">
        <v>8237</v>
      </c>
      <c r="H2961" s="93" t="s">
        <v>11</v>
      </c>
      <c r="I2961" s="93" t="s">
        <v>111</v>
      </c>
      <c r="J2961" s="93" t="s">
        <v>963</v>
      </c>
      <c r="K2961" s="93">
        <v>60</v>
      </c>
      <c r="L2961" s="93">
        <v>1</v>
      </c>
      <c r="M2961" s="93" t="s">
        <v>111</v>
      </c>
      <c r="N2961" s="93" t="s">
        <v>111</v>
      </c>
      <c r="O2961" s="93">
        <v>0.6</v>
      </c>
      <c r="P2961" s="93">
        <v>10</v>
      </c>
      <c r="Q2961" s="93">
        <v>15</v>
      </c>
      <c r="R2961" s="93" t="s">
        <v>114</v>
      </c>
      <c r="S2961" s="93" t="s">
        <v>20</v>
      </c>
      <c r="T2961" s="93" t="s">
        <v>115</v>
      </c>
      <c r="U2961" s="93" t="s">
        <v>116</v>
      </c>
      <c r="V2961" s="94">
        <v>44628.573611111111</v>
      </c>
      <c r="W2961" s="93" t="s">
        <v>402</v>
      </c>
      <c r="X2961" s="93" t="s">
        <v>24</v>
      </c>
    </row>
    <row r="2962" spans="1:24" hidden="1" x14ac:dyDescent="0.15">
      <c r="A2962" s="93" t="s">
        <v>4387</v>
      </c>
      <c r="B2962" s="93" t="s">
        <v>4388</v>
      </c>
      <c r="C2962" s="410">
        <v>203.7</v>
      </c>
      <c r="D2962" s="93" t="s">
        <v>24</v>
      </c>
      <c r="E2962" s="93" t="s">
        <v>24</v>
      </c>
      <c r="F2962" s="93" t="s">
        <v>7070</v>
      </c>
      <c r="G2962" s="93" t="s">
        <v>8237</v>
      </c>
      <c r="H2962" s="93" t="s">
        <v>11</v>
      </c>
      <c r="I2962" s="93" t="s">
        <v>111</v>
      </c>
      <c r="J2962" s="93" t="s">
        <v>963</v>
      </c>
      <c r="K2962" s="93">
        <v>60</v>
      </c>
      <c r="L2962" s="93" t="s">
        <v>111</v>
      </c>
      <c r="M2962" s="93">
        <v>0.05</v>
      </c>
      <c r="N2962" s="93" t="s">
        <v>113</v>
      </c>
      <c r="O2962" s="93">
        <v>1.4</v>
      </c>
      <c r="P2962" s="93">
        <v>1.4</v>
      </c>
      <c r="Q2962" s="93">
        <v>6.8</v>
      </c>
      <c r="R2962" s="93" t="s">
        <v>123</v>
      </c>
      <c r="S2962" s="93" t="s">
        <v>111</v>
      </c>
      <c r="T2962" s="93" t="s">
        <v>1659</v>
      </c>
      <c r="U2962" s="93" t="s">
        <v>116</v>
      </c>
      <c r="V2962" s="94">
        <v>44628.638888888891</v>
      </c>
      <c r="W2962" s="93" t="s">
        <v>1170</v>
      </c>
      <c r="X2962" s="93" t="s">
        <v>24</v>
      </c>
    </row>
    <row r="2963" spans="1:24" hidden="1" x14ac:dyDescent="0.15">
      <c r="A2963" s="93" t="s">
        <v>4389</v>
      </c>
      <c r="B2963" s="93" t="s">
        <v>4390</v>
      </c>
      <c r="C2963" s="410">
        <v>208.95</v>
      </c>
      <c r="D2963" s="93" t="s">
        <v>24</v>
      </c>
      <c r="E2963" s="93" t="s">
        <v>24</v>
      </c>
      <c r="F2963" s="93" t="s">
        <v>7070</v>
      </c>
      <c r="G2963" s="93" t="s">
        <v>8237</v>
      </c>
      <c r="H2963" s="93" t="s">
        <v>11</v>
      </c>
      <c r="I2963" s="93" t="s">
        <v>111</v>
      </c>
      <c r="J2963" s="93" t="s">
        <v>963</v>
      </c>
      <c r="K2963" s="93">
        <v>60</v>
      </c>
      <c r="L2963" s="93" t="s">
        <v>111</v>
      </c>
      <c r="M2963" s="93">
        <v>1</v>
      </c>
      <c r="N2963" s="93" t="s">
        <v>113</v>
      </c>
      <c r="O2963" s="93">
        <v>5</v>
      </c>
      <c r="P2963" s="93">
        <v>16</v>
      </c>
      <c r="Q2963" s="93">
        <v>23</v>
      </c>
      <c r="R2963" s="93" t="s">
        <v>122</v>
      </c>
      <c r="S2963" s="93" t="s">
        <v>20</v>
      </c>
      <c r="T2963" s="93" t="s">
        <v>1659</v>
      </c>
      <c r="U2963" s="93" t="s">
        <v>116</v>
      </c>
      <c r="V2963" s="94">
        <v>44628.474305555559</v>
      </c>
      <c r="W2963" s="93" t="s">
        <v>1170</v>
      </c>
      <c r="X2963" s="93" t="s">
        <v>24</v>
      </c>
    </row>
    <row r="2964" spans="1:24" hidden="1" x14ac:dyDescent="0.15">
      <c r="A2964" s="93" t="s">
        <v>4391</v>
      </c>
      <c r="B2964" s="93" t="s">
        <v>4392</v>
      </c>
      <c r="C2964" s="410">
        <v>185.85</v>
      </c>
      <c r="D2964" s="93" t="s">
        <v>24</v>
      </c>
      <c r="E2964" s="93" t="s">
        <v>24</v>
      </c>
      <c r="F2964" s="93" t="s">
        <v>7070</v>
      </c>
      <c r="G2964" s="93" t="s">
        <v>8237</v>
      </c>
      <c r="H2964" s="93" t="s">
        <v>11</v>
      </c>
      <c r="I2964" s="93" t="s">
        <v>111</v>
      </c>
      <c r="J2964" s="93" t="s">
        <v>963</v>
      </c>
      <c r="K2964" s="93">
        <v>60</v>
      </c>
      <c r="L2964" s="93" t="s">
        <v>111</v>
      </c>
      <c r="M2964" s="93">
        <v>4.3499999999999996</v>
      </c>
      <c r="N2964" s="93" t="s">
        <v>113</v>
      </c>
      <c r="O2964" s="93">
        <v>10</v>
      </c>
      <c r="P2964" s="93">
        <v>28</v>
      </c>
      <c r="Q2964" s="93">
        <v>46</v>
      </c>
      <c r="R2964" s="93" t="s">
        <v>122</v>
      </c>
      <c r="S2964" s="93" t="s">
        <v>20</v>
      </c>
      <c r="T2964" s="93" t="s">
        <v>1659</v>
      </c>
      <c r="U2964" s="93" t="s">
        <v>116</v>
      </c>
      <c r="V2964" s="94">
        <v>44628.539583333331</v>
      </c>
      <c r="W2964" s="93" t="s">
        <v>1170</v>
      </c>
      <c r="X2964" s="93" t="s">
        <v>24</v>
      </c>
    </row>
    <row r="2965" spans="1:24" hidden="1" x14ac:dyDescent="0.15">
      <c r="A2965" s="93" t="s">
        <v>4393</v>
      </c>
      <c r="B2965" s="93" t="s">
        <v>4394</v>
      </c>
      <c r="C2965" s="410">
        <v>14.7</v>
      </c>
      <c r="D2965" s="93" t="s">
        <v>24</v>
      </c>
      <c r="E2965" s="93" t="s">
        <v>24</v>
      </c>
      <c r="F2965" s="93" t="s">
        <v>7070</v>
      </c>
      <c r="G2965" s="93" t="s">
        <v>8237</v>
      </c>
      <c r="H2965" s="93" t="s">
        <v>11</v>
      </c>
      <c r="I2965" s="93" t="s">
        <v>111</v>
      </c>
      <c r="J2965" s="93" t="s">
        <v>963</v>
      </c>
      <c r="K2965" s="93">
        <v>60</v>
      </c>
      <c r="L2965" s="93" t="s">
        <v>111</v>
      </c>
      <c r="M2965" s="93">
        <v>1</v>
      </c>
      <c r="N2965" s="93" t="s">
        <v>113</v>
      </c>
      <c r="O2965" s="93">
        <v>11</v>
      </c>
      <c r="P2965" s="93">
        <v>26.5</v>
      </c>
      <c r="Q2965" s="93">
        <v>26.5</v>
      </c>
      <c r="R2965" s="93" t="s">
        <v>114</v>
      </c>
      <c r="S2965" s="93" t="s">
        <v>20</v>
      </c>
      <c r="T2965" s="93" t="s">
        <v>1659</v>
      </c>
      <c r="U2965" s="93" t="s">
        <v>116</v>
      </c>
      <c r="V2965" s="94">
        <v>44628.539583333331</v>
      </c>
      <c r="W2965" s="93" t="s">
        <v>1170</v>
      </c>
      <c r="X2965" s="93" t="s">
        <v>24</v>
      </c>
    </row>
    <row r="2966" spans="1:24" hidden="1" x14ac:dyDescent="0.15">
      <c r="A2966" s="93" t="s">
        <v>4395</v>
      </c>
      <c r="B2966" s="93" t="s">
        <v>4396</v>
      </c>
      <c r="C2966" s="410">
        <v>385</v>
      </c>
      <c r="D2966" s="93" t="s">
        <v>24</v>
      </c>
      <c r="E2966" s="93" t="s">
        <v>9</v>
      </c>
      <c r="F2966" s="93" t="s">
        <v>1648</v>
      </c>
      <c r="G2966" s="93" t="s">
        <v>9112</v>
      </c>
      <c r="H2966" s="93" t="s">
        <v>118</v>
      </c>
      <c r="I2966" s="93" t="s">
        <v>111</v>
      </c>
      <c r="J2966" s="93" t="s">
        <v>118</v>
      </c>
      <c r="K2966" s="93">
        <v>3</v>
      </c>
      <c r="L2966" s="93" t="s">
        <v>111</v>
      </c>
      <c r="M2966" s="93" t="s">
        <v>111</v>
      </c>
      <c r="N2966" s="93" t="s">
        <v>111</v>
      </c>
      <c r="O2966" s="93" t="s">
        <v>111</v>
      </c>
      <c r="P2966" s="93" t="s">
        <v>111</v>
      </c>
      <c r="Q2966" s="93" t="s">
        <v>111</v>
      </c>
      <c r="R2966" s="93" t="s">
        <v>117</v>
      </c>
      <c r="S2966" s="93" t="s">
        <v>659</v>
      </c>
      <c r="T2966" s="93" t="s">
        <v>115</v>
      </c>
      <c r="U2966" s="93" t="s">
        <v>116</v>
      </c>
      <c r="V2966" s="94">
        <v>44588.401388888888</v>
      </c>
      <c r="W2966" s="93" t="s">
        <v>1170</v>
      </c>
      <c r="X2966" s="93" t="s">
        <v>111</v>
      </c>
    </row>
    <row r="2967" spans="1:24" hidden="1" x14ac:dyDescent="0.15">
      <c r="A2967" s="93" t="s">
        <v>4397</v>
      </c>
      <c r="B2967" s="93" t="s">
        <v>4398</v>
      </c>
      <c r="C2967" s="410">
        <v>500</v>
      </c>
      <c r="D2967" s="93" t="s">
        <v>24</v>
      </c>
      <c r="E2967" s="93" t="s">
        <v>9</v>
      </c>
      <c r="F2967" s="93" t="s">
        <v>1648</v>
      </c>
      <c r="G2967" s="93" t="s">
        <v>9112</v>
      </c>
      <c r="H2967" s="93" t="s">
        <v>118</v>
      </c>
      <c r="I2967" s="93" t="s">
        <v>111</v>
      </c>
      <c r="J2967" s="93" t="s">
        <v>118</v>
      </c>
      <c r="K2967" s="93">
        <v>3</v>
      </c>
      <c r="L2967" s="93" t="s">
        <v>111</v>
      </c>
      <c r="M2967" s="93" t="s">
        <v>111</v>
      </c>
      <c r="N2967" s="93" t="s">
        <v>111</v>
      </c>
      <c r="O2967" s="93" t="s">
        <v>111</v>
      </c>
      <c r="P2967" s="93" t="s">
        <v>111</v>
      </c>
      <c r="Q2967" s="93" t="s">
        <v>111</v>
      </c>
      <c r="R2967" s="93" t="s">
        <v>117</v>
      </c>
      <c r="S2967" s="93" t="s">
        <v>659</v>
      </c>
      <c r="T2967" s="93" t="s">
        <v>115</v>
      </c>
      <c r="U2967" s="93" t="s">
        <v>116</v>
      </c>
      <c r="V2967" s="94">
        <v>44588.402083333334</v>
      </c>
      <c r="W2967" s="93" t="s">
        <v>1170</v>
      </c>
      <c r="X2967" s="93" t="s">
        <v>111</v>
      </c>
    </row>
    <row r="2968" spans="1:24" hidden="1" x14ac:dyDescent="0.15">
      <c r="A2968" s="93" t="s">
        <v>4399</v>
      </c>
      <c r="B2968" s="93" t="s">
        <v>4400</v>
      </c>
      <c r="C2968" s="410">
        <v>1000</v>
      </c>
      <c r="D2968" s="93" t="s">
        <v>24</v>
      </c>
      <c r="E2968" s="93" t="s">
        <v>9</v>
      </c>
      <c r="F2968" s="93" t="s">
        <v>1648</v>
      </c>
      <c r="G2968" s="93" t="s">
        <v>9112</v>
      </c>
      <c r="H2968" s="93" t="s">
        <v>118</v>
      </c>
      <c r="I2968" s="93" t="s">
        <v>111</v>
      </c>
      <c r="J2968" s="93" t="s">
        <v>118</v>
      </c>
      <c r="K2968" s="93">
        <v>3</v>
      </c>
      <c r="L2968" s="93" t="s">
        <v>111</v>
      </c>
      <c r="M2968" s="93" t="s">
        <v>111</v>
      </c>
      <c r="N2968" s="93" t="s">
        <v>111</v>
      </c>
      <c r="O2968" s="93" t="s">
        <v>111</v>
      </c>
      <c r="P2968" s="93" t="s">
        <v>111</v>
      </c>
      <c r="Q2968" s="93" t="s">
        <v>111</v>
      </c>
      <c r="R2968" s="93" t="s">
        <v>117</v>
      </c>
      <c r="S2968" s="93" t="s">
        <v>659</v>
      </c>
      <c r="T2968" s="93" t="s">
        <v>115</v>
      </c>
      <c r="U2968" s="93" t="s">
        <v>116</v>
      </c>
      <c r="V2968" s="94">
        <v>44588.402083333334</v>
      </c>
      <c r="W2968" s="93" t="s">
        <v>1170</v>
      </c>
      <c r="X2968" s="93" t="s">
        <v>111</v>
      </c>
    </row>
    <row r="2969" spans="1:24" hidden="1" x14ac:dyDescent="0.15">
      <c r="A2969" s="93" t="s">
        <v>4401</v>
      </c>
      <c r="B2969" s="93" t="s">
        <v>4402</v>
      </c>
      <c r="C2969" s="410">
        <v>1200</v>
      </c>
      <c r="D2969" s="93" t="s">
        <v>24</v>
      </c>
      <c r="E2969" s="93" t="s">
        <v>9</v>
      </c>
      <c r="F2969" s="93" t="s">
        <v>1648</v>
      </c>
      <c r="G2969" s="93" t="s">
        <v>9112</v>
      </c>
      <c r="H2969" s="93" t="s">
        <v>118</v>
      </c>
      <c r="I2969" s="93" t="s">
        <v>111</v>
      </c>
      <c r="J2969" s="93" t="s">
        <v>118</v>
      </c>
      <c r="K2969" s="93">
        <v>3</v>
      </c>
      <c r="L2969" s="93" t="s">
        <v>111</v>
      </c>
      <c r="M2969" s="93" t="s">
        <v>111</v>
      </c>
      <c r="N2969" s="93" t="s">
        <v>111</v>
      </c>
      <c r="O2969" s="93" t="s">
        <v>111</v>
      </c>
      <c r="P2969" s="93" t="s">
        <v>111</v>
      </c>
      <c r="Q2969" s="93" t="s">
        <v>111</v>
      </c>
      <c r="R2969" s="93" t="s">
        <v>117</v>
      </c>
      <c r="S2969" s="93" t="s">
        <v>659</v>
      </c>
      <c r="T2969" s="93" t="s">
        <v>115</v>
      </c>
      <c r="U2969" s="93" t="s">
        <v>116</v>
      </c>
      <c r="V2969" s="94">
        <v>44588.401388888888</v>
      </c>
      <c r="W2969" s="93" t="s">
        <v>1170</v>
      </c>
      <c r="X2969" s="93" t="s">
        <v>111</v>
      </c>
    </row>
    <row r="2970" spans="1:24" hidden="1" x14ac:dyDescent="0.15">
      <c r="A2970" s="93" t="s">
        <v>4403</v>
      </c>
      <c r="B2970" s="93" t="s">
        <v>4404</v>
      </c>
      <c r="C2970" s="410">
        <v>750</v>
      </c>
      <c r="D2970" s="93" t="s">
        <v>24</v>
      </c>
      <c r="E2970" s="93" t="s">
        <v>9</v>
      </c>
      <c r="F2970" s="93" t="s">
        <v>1648</v>
      </c>
      <c r="G2970" s="93" t="s">
        <v>9112</v>
      </c>
      <c r="H2970" s="93" t="s">
        <v>118</v>
      </c>
      <c r="I2970" s="93" t="s">
        <v>111</v>
      </c>
      <c r="J2970" s="93" t="s">
        <v>118</v>
      </c>
      <c r="K2970" s="93">
        <v>3</v>
      </c>
      <c r="L2970" s="93" t="s">
        <v>111</v>
      </c>
      <c r="M2970" s="93" t="s">
        <v>111</v>
      </c>
      <c r="N2970" s="93" t="s">
        <v>111</v>
      </c>
      <c r="O2970" s="93" t="s">
        <v>111</v>
      </c>
      <c r="P2970" s="93" t="s">
        <v>111</v>
      </c>
      <c r="Q2970" s="93" t="s">
        <v>111</v>
      </c>
      <c r="R2970" s="93" t="s">
        <v>117</v>
      </c>
      <c r="S2970" s="93" t="s">
        <v>659</v>
      </c>
      <c r="T2970" s="93" t="s">
        <v>115</v>
      </c>
      <c r="U2970" s="93" t="s">
        <v>116</v>
      </c>
      <c r="V2970" s="94">
        <v>44592.533333333333</v>
      </c>
      <c r="W2970" s="93" t="s">
        <v>1170</v>
      </c>
      <c r="X2970" s="93" t="s">
        <v>111</v>
      </c>
    </row>
    <row r="2971" spans="1:24" hidden="1" x14ac:dyDescent="0.15">
      <c r="A2971" s="93" t="s">
        <v>4405</v>
      </c>
      <c r="B2971" s="93" t="s">
        <v>4406</v>
      </c>
      <c r="C2971" s="410">
        <v>139.65</v>
      </c>
      <c r="D2971" s="93" t="s">
        <v>24</v>
      </c>
      <c r="E2971" s="93" t="s">
        <v>24</v>
      </c>
      <c r="F2971" s="93" t="s">
        <v>7070</v>
      </c>
      <c r="G2971" s="93" t="s">
        <v>8237</v>
      </c>
      <c r="H2971" s="93" t="s">
        <v>11</v>
      </c>
      <c r="I2971" s="93" t="s">
        <v>111</v>
      </c>
      <c r="J2971" s="93" t="s">
        <v>2086</v>
      </c>
      <c r="K2971" s="93">
        <v>50</v>
      </c>
      <c r="L2971" s="93" t="s">
        <v>111</v>
      </c>
      <c r="M2971" s="93">
        <v>0.5</v>
      </c>
      <c r="N2971" s="93" t="s">
        <v>113</v>
      </c>
      <c r="O2971" s="93">
        <v>10</v>
      </c>
      <c r="P2971" s="93">
        <v>25</v>
      </c>
      <c r="Q2971" s="93">
        <v>25</v>
      </c>
      <c r="R2971" s="93" t="s">
        <v>114</v>
      </c>
      <c r="S2971" s="93" t="s">
        <v>659</v>
      </c>
      <c r="T2971" s="93" t="s">
        <v>1659</v>
      </c>
      <c r="U2971" s="93" t="s">
        <v>116</v>
      </c>
      <c r="V2971" s="94">
        <v>44628.538194444445</v>
      </c>
      <c r="W2971" s="93" t="s">
        <v>1170</v>
      </c>
      <c r="X2971" s="93" t="s">
        <v>24</v>
      </c>
    </row>
    <row r="2972" spans="1:24" hidden="1" x14ac:dyDescent="0.15">
      <c r="A2972" s="93" t="s">
        <v>4407</v>
      </c>
      <c r="B2972" s="93" t="s">
        <v>4408</v>
      </c>
      <c r="C2972" s="410">
        <v>696.15</v>
      </c>
      <c r="D2972" s="93" t="s">
        <v>24</v>
      </c>
      <c r="E2972" s="93" t="s">
        <v>24</v>
      </c>
      <c r="F2972" s="93" t="s">
        <v>7070</v>
      </c>
      <c r="G2972" s="93" t="s">
        <v>8237</v>
      </c>
      <c r="H2972" s="93" t="s">
        <v>11</v>
      </c>
      <c r="I2972" s="93" t="s">
        <v>111</v>
      </c>
      <c r="J2972" s="93" t="s">
        <v>2086</v>
      </c>
      <c r="K2972" s="93">
        <v>50</v>
      </c>
      <c r="L2972" s="93" t="s">
        <v>111</v>
      </c>
      <c r="M2972" s="93">
        <v>3</v>
      </c>
      <c r="N2972" s="93" t="s">
        <v>113</v>
      </c>
      <c r="O2972" s="93">
        <v>36.5</v>
      </c>
      <c r="P2972" s="93">
        <v>42</v>
      </c>
      <c r="Q2972" s="93">
        <v>45</v>
      </c>
      <c r="R2972" s="93" t="s">
        <v>114</v>
      </c>
      <c r="S2972" s="93" t="s">
        <v>659</v>
      </c>
      <c r="T2972" s="93" t="s">
        <v>1659</v>
      </c>
      <c r="U2972" s="93" t="s">
        <v>116</v>
      </c>
      <c r="V2972" s="94">
        <v>44628.473611111112</v>
      </c>
      <c r="W2972" s="93" t="s">
        <v>1170</v>
      </c>
      <c r="X2972" s="93" t="s">
        <v>24</v>
      </c>
    </row>
    <row r="2973" spans="1:24" hidden="1" x14ac:dyDescent="0.15">
      <c r="A2973" s="93" t="s">
        <v>4409</v>
      </c>
      <c r="B2973" s="93" t="s">
        <v>4410</v>
      </c>
      <c r="C2973" s="410">
        <v>1623.3</v>
      </c>
      <c r="D2973" s="93" t="s">
        <v>24</v>
      </c>
      <c r="E2973" s="93" t="s">
        <v>24</v>
      </c>
      <c r="F2973" s="93" t="s">
        <v>7070</v>
      </c>
      <c r="G2973" s="93" t="s">
        <v>8237</v>
      </c>
      <c r="H2973" s="93" t="s">
        <v>11</v>
      </c>
      <c r="I2973" s="93" t="s">
        <v>111</v>
      </c>
      <c r="J2973" s="93" t="s">
        <v>2086</v>
      </c>
      <c r="K2973" s="93">
        <v>50</v>
      </c>
      <c r="L2973" s="93" t="s">
        <v>111</v>
      </c>
      <c r="M2973" s="93">
        <v>1</v>
      </c>
      <c r="N2973" s="93" t="s">
        <v>113</v>
      </c>
      <c r="O2973" s="93">
        <v>11</v>
      </c>
      <c r="P2973" s="93">
        <v>26.5</v>
      </c>
      <c r="Q2973" s="93">
        <v>26.5</v>
      </c>
      <c r="R2973" s="93" t="s">
        <v>114</v>
      </c>
      <c r="S2973" s="93" t="s">
        <v>659</v>
      </c>
      <c r="T2973" s="93" t="s">
        <v>1659</v>
      </c>
      <c r="U2973" s="93" t="s">
        <v>116</v>
      </c>
      <c r="V2973" s="94">
        <v>44628.581250000003</v>
      </c>
      <c r="W2973" s="93" t="s">
        <v>1170</v>
      </c>
      <c r="X2973" s="93" t="s">
        <v>24</v>
      </c>
    </row>
    <row r="2974" spans="1:24" hidden="1" x14ac:dyDescent="0.15">
      <c r="A2974" s="93" t="s">
        <v>4411</v>
      </c>
      <c r="B2974" s="93" t="s">
        <v>4412</v>
      </c>
      <c r="C2974" s="410">
        <v>116.55</v>
      </c>
      <c r="D2974" s="93" t="s">
        <v>24</v>
      </c>
      <c r="E2974" s="93" t="s">
        <v>24</v>
      </c>
      <c r="F2974" s="93" t="s">
        <v>7070</v>
      </c>
      <c r="G2974" s="93" t="s">
        <v>8237</v>
      </c>
      <c r="H2974" s="93" t="s">
        <v>11</v>
      </c>
      <c r="I2974" s="93" t="s">
        <v>111</v>
      </c>
      <c r="J2974" s="93" t="s">
        <v>963</v>
      </c>
      <c r="K2974" s="93">
        <v>60</v>
      </c>
      <c r="L2974" s="93" t="s">
        <v>111</v>
      </c>
      <c r="M2974" s="93">
        <v>1</v>
      </c>
      <c r="N2974" s="93" t="s">
        <v>113</v>
      </c>
      <c r="O2974" s="93">
        <v>5</v>
      </c>
      <c r="P2974" s="93">
        <v>36</v>
      </c>
      <c r="Q2974" s="93">
        <v>45</v>
      </c>
      <c r="R2974" s="93" t="s">
        <v>4195</v>
      </c>
      <c r="S2974" s="93" t="s">
        <v>659</v>
      </c>
      <c r="T2974" s="93" t="s">
        <v>1659</v>
      </c>
      <c r="U2974" s="93" t="s">
        <v>116</v>
      </c>
      <c r="V2974" s="94">
        <v>44628.51666666667</v>
      </c>
      <c r="W2974" s="93" t="s">
        <v>1170</v>
      </c>
      <c r="X2974" s="93" t="s">
        <v>24</v>
      </c>
    </row>
    <row r="2975" spans="1:24" hidden="1" x14ac:dyDescent="0.15">
      <c r="A2975" s="93" t="s">
        <v>4413</v>
      </c>
      <c r="B2975" s="93" t="s">
        <v>4414</v>
      </c>
      <c r="C2975" s="410">
        <v>172.2</v>
      </c>
      <c r="D2975" s="93" t="s">
        <v>24</v>
      </c>
      <c r="E2975" s="93" t="s">
        <v>24</v>
      </c>
      <c r="F2975" s="93" t="s">
        <v>7070</v>
      </c>
      <c r="G2975" s="93" t="s">
        <v>8237</v>
      </c>
      <c r="H2975" s="93" t="s">
        <v>11</v>
      </c>
      <c r="I2975" s="93" t="s">
        <v>111</v>
      </c>
      <c r="J2975" s="93" t="s">
        <v>963</v>
      </c>
      <c r="K2975" s="93">
        <v>60</v>
      </c>
      <c r="L2975" s="93" t="s">
        <v>111</v>
      </c>
      <c r="M2975" s="93">
        <v>1.5</v>
      </c>
      <c r="N2975" s="93" t="s">
        <v>113</v>
      </c>
      <c r="O2975" s="93">
        <v>5</v>
      </c>
      <c r="P2975" s="93">
        <v>36</v>
      </c>
      <c r="Q2975" s="93">
        <v>45</v>
      </c>
      <c r="R2975" s="93" t="s">
        <v>4195</v>
      </c>
      <c r="S2975" s="93" t="s">
        <v>659</v>
      </c>
      <c r="T2975" s="93" t="s">
        <v>1659</v>
      </c>
      <c r="U2975" s="93" t="s">
        <v>116</v>
      </c>
      <c r="V2975" s="94">
        <v>44628.638194444444</v>
      </c>
      <c r="W2975" s="93" t="s">
        <v>1170</v>
      </c>
      <c r="X2975" s="93" t="s">
        <v>24</v>
      </c>
    </row>
    <row r="2976" spans="1:24" hidden="1" x14ac:dyDescent="0.15">
      <c r="A2976" s="93" t="s">
        <v>4415</v>
      </c>
      <c r="B2976" s="93" t="s">
        <v>4416</v>
      </c>
      <c r="C2976" s="410">
        <v>255.15</v>
      </c>
      <c r="D2976" s="93" t="s">
        <v>24</v>
      </c>
      <c r="E2976" s="93" t="s">
        <v>24</v>
      </c>
      <c r="F2976" s="93" t="s">
        <v>7070</v>
      </c>
      <c r="G2976" s="93" t="s">
        <v>8237</v>
      </c>
      <c r="H2976" s="93" t="s">
        <v>11</v>
      </c>
      <c r="I2976" s="93" t="s">
        <v>111</v>
      </c>
      <c r="J2976" s="93" t="s">
        <v>963</v>
      </c>
      <c r="K2976" s="93">
        <v>60</v>
      </c>
      <c r="L2976" s="93" t="s">
        <v>111</v>
      </c>
      <c r="M2976" s="93">
        <v>2.5</v>
      </c>
      <c r="N2976" s="93" t="s">
        <v>113</v>
      </c>
      <c r="O2976" s="93">
        <v>7</v>
      </c>
      <c r="P2976" s="93">
        <v>36</v>
      </c>
      <c r="Q2976" s="93">
        <v>45</v>
      </c>
      <c r="R2976" s="93" t="s">
        <v>4195</v>
      </c>
      <c r="S2976" s="93" t="s">
        <v>659</v>
      </c>
      <c r="T2976" s="93" t="s">
        <v>1659</v>
      </c>
      <c r="U2976" s="93" t="s">
        <v>116</v>
      </c>
      <c r="V2976" s="94">
        <v>44628.473611111112</v>
      </c>
      <c r="W2976" s="93" t="s">
        <v>1170</v>
      </c>
      <c r="X2976" s="93" t="s">
        <v>24</v>
      </c>
    </row>
    <row r="2977" spans="1:24" hidden="1" x14ac:dyDescent="0.15">
      <c r="A2977" s="93" t="s">
        <v>4417</v>
      </c>
      <c r="B2977" s="93" t="s">
        <v>4418</v>
      </c>
      <c r="C2977" s="410">
        <v>292.95</v>
      </c>
      <c r="D2977" s="93" t="s">
        <v>24</v>
      </c>
      <c r="E2977" s="93" t="s">
        <v>24</v>
      </c>
      <c r="F2977" s="93" t="s">
        <v>7070</v>
      </c>
      <c r="G2977" s="93" t="s">
        <v>8237</v>
      </c>
      <c r="H2977" s="93" t="s">
        <v>11</v>
      </c>
      <c r="I2977" s="93" t="s">
        <v>111</v>
      </c>
      <c r="J2977" s="93" t="s">
        <v>963</v>
      </c>
      <c r="K2977" s="93">
        <v>60</v>
      </c>
      <c r="L2977" s="93" t="s">
        <v>111</v>
      </c>
      <c r="M2977" s="93">
        <v>3</v>
      </c>
      <c r="N2977" s="93" t="s">
        <v>113</v>
      </c>
      <c r="O2977" s="93">
        <v>7</v>
      </c>
      <c r="P2977" s="93">
        <v>50</v>
      </c>
      <c r="Q2977" s="93">
        <v>53</v>
      </c>
      <c r="R2977" s="93" t="s">
        <v>4195</v>
      </c>
      <c r="S2977" s="93" t="s">
        <v>659</v>
      </c>
      <c r="T2977" s="93" t="s">
        <v>1659</v>
      </c>
      <c r="U2977" s="93" t="s">
        <v>116</v>
      </c>
      <c r="V2977" s="94">
        <v>44628.538194444445</v>
      </c>
      <c r="W2977" s="93" t="s">
        <v>1170</v>
      </c>
      <c r="X2977" s="93" t="s">
        <v>24</v>
      </c>
    </row>
    <row r="2978" spans="1:24" hidden="1" x14ac:dyDescent="0.15">
      <c r="A2978" s="93" t="s">
        <v>4419</v>
      </c>
      <c r="B2978" s="93" t="s">
        <v>4420</v>
      </c>
      <c r="C2978" s="410">
        <v>441</v>
      </c>
      <c r="D2978" s="93" t="s">
        <v>24</v>
      </c>
      <c r="E2978" s="93" t="s">
        <v>24</v>
      </c>
      <c r="F2978" s="93" t="s">
        <v>7070</v>
      </c>
      <c r="G2978" s="93" t="s">
        <v>8237</v>
      </c>
      <c r="H2978" s="93" t="s">
        <v>11</v>
      </c>
      <c r="I2978" s="93" t="s">
        <v>111</v>
      </c>
      <c r="J2978" s="93" t="s">
        <v>963</v>
      </c>
      <c r="K2978" s="93">
        <v>60</v>
      </c>
      <c r="L2978" s="93" t="s">
        <v>111</v>
      </c>
      <c r="M2978" s="93">
        <v>4.5</v>
      </c>
      <c r="N2978" s="93" t="s">
        <v>113</v>
      </c>
      <c r="O2978" s="93">
        <v>7</v>
      </c>
      <c r="P2978" s="93">
        <v>50</v>
      </c>
      <c r="Q2978" s="93">
        <v>53</v>
      </c>
      <c r="R2978" s="93" t="s">
        <v>4195</v>
      </c>
      <c r="S2978" s="93" t="s">
        <v>659</v>
      </c>
      <c r="T2978" s="93" t="s">
        <v>1659</v>
      </c>
      <c r="U2978" s="93" t="s">
        <v>116</v>
      </c>
      <c r="V2978" s="94">
        <v>44628.603472222225</v>
      </c>
      <c r="W2978" s="93" t="s">
        <v>1170</v>
      </c>
      <c r="X2978" s="93" t="s">
        <v>24</v>
      </c>
    </row>
    <row r="2979" spans="1:24" hidden="1" x14ac:dyDescent="0.15">
      <c r="A2979" s="93" t="s">
        <v>4421</v>
      </c>
      <c r="B2979" s="93" t="s">
        <v>4422</v>
      </c>
      <c r="C2979" s="410">
        <v>162.75</v>
      </c>
      <c r="D2979" s="93" t="s">
        <v>24</v>
      </c>
      <c r="E2979" s="93" t="s">
        <v>24</v>
      </c>
      <c r="F2979" s="93" t="s">
        <v>7070</v>
      </c>
      <c r="G2979" s="93" t="s">
        <v>8237</v>
      </c>
      <c r="H2979" s="93" t="s">
        <v>11</v>
      </c>
      <c r="I2979" s="93" t="s">
        <v>111</v>
      </c>
      <c r="J2979" s="93" t="s">
        <v>963</v>
      </c>
      <c r="K2979" s="93">
        <v>60</v>
      </c>
      <c r="L2979" s="93" t="s">
        <v>111</v>
      </c>
      <c r="M2979" s="93">
        <v>0.1</v>
      </c>
      <c r="N2979" s="93" t="s">
        <v>113</v>
      </c>
      <c r="O2979" s="93">
        <v>24</v>
      </c>
      <c r="P2979" s="93">
        <v>3</v>
      </c>
      <c r="Q2979" s="93">
        <v>23</v>
      </c>
      <c r="R2979" s="93" t="s">
        <v>4423</v>
      </c>
      <c r="S2979" s="93" t="s">
        <v>20</v>
      </c>
      <c r="T2979" s="93" t="s">
        <v>1659</v>
      </c>
      <c r="U2979" s="93" t="s">
        <v>116</v>
      </c>
      <c r="V2979" s="94">
        <v>44628.638194444444</v>
      </c>
      <c r="W2979" s="93" t="s">
        <v>1170</v>
      </c>
      <c r="X2979" s="93" t="s">
        <v>24</v>
      </c>
    </row>
    <row r="2980" spans="1:24" hidden="1" x14ac:dyDescent="0.15">
      <c r="A2980" s="93" t="s">
        <v>4424</v>
      </c>
      <c r="B2980" s="93" t="s">
        <v>4425</v>
      </c>
      <c r="C2980" s="410">
        <v>9.4499999999999993</v>
      </c>
      <c r="D2980" s="93" t="s">
        <v>24</v>
      </c>
      <c r="E2980" s="93" t="s">
        <v>24</v>
      </c>
      <c r="F2980" s="93" t="s">
        <v>7070</v>
      </c>
      <c r="G2980" s="93" t="s">
        <v>8237</v>
      </c>
      <c r="H2980" s="93" t="s">
        <v>11</v>
      </c>
      <c r="I2980" s="93" t="s">
        <v>111</v>
      </c>
      <c r="J2980" s="93" t="s">
        <v>963</v>
      </c>
      <c r="K2980" s="93">
        <v>60</v>
      </c>
      <c r="L2980" s="93" t="s">
        <v>111</v>
      </c>
      <c r="M2980" s="93">
        <v>0.01</v>
      </c>
      <c r="N2980" s="93" t="s">
        <v>113</v>
      </c>
      <c r="O2980" s="93">
        <v>1</v>
      </c>
      <c r="P2980" s="93">
        <v>2.2000000000000002</v>
      </c>
      <c r="Q2980" s="93">
        <v>2.6</v>
      </c>
      <c r="R2980" s="93" t="s">
        <v>4423</v>
      </c>
      <c r="S2980" s="93" t="s">
        <v>20</v>
      </c>
      <c r="T2980" s="93" t="s">
        <v>1659</v>
      </c>
      <c r="U2980" s="93" t="s">
        <v>116</v>
      </c>
      <c r="V2980" s="94">
        <v>44628.494444444441</v>
      </c>
      <c r="W2980" s="93" t="s">
        <v>1170</v>
      </c>
      <c r="X2980" s="93" t="s">
        <v>24</v>
      </c>
    </row>
    <row r="2981" spans="1:24" hidden="1" x14ac:dyDescent="0.15">
      <c r="A2981" s="93" t="s">
        <v>9407</v>
      </c>
      <c r="B2981" s="93" t="s">
        <v>9408</v>
      </c>
      <c r="C2981" s="410">
        <v>450.45</v>
      </c>
      <c r="D2981" s="93" t="s">
        <v>24</v>
      </c>
      <c r="E2981" s="93" t="s">
        <v>24</v>
      </c>
      <c r="F2981" s="93" t="s">
        <v>7070</v>
      </c>
      <c r="G2981" s="93" t="s">
        <v>8237</v>
      </c>
      <c r="H2981" s="93" t="s">
        <v>11</v>
      </c>
      <c r="I2981" s="93" t="s">
        <v>111</v>
      </c>
      <c r="J2981" s="93" t="s">
        <v>963</v>
      </c>
      <c r="K2981" s="93">
        <v>60</v>
      </c>
      <c r="L2981" s="93" t="s">
        <v>111</v>
      </c>
      <c r="M2981" s="93">
        <v>0.17</v>
      </c>
      <c r="N2981" s="93" t="s">
        <v>113</v>
      </c>
      <c r="O2981" s="93">
        <v>8</v>
      </c>
      <c r="P2981" s="93">
        <v>10</v>
      </c>
      <c r="Q2981" s="93">
        <v>10</v>
      </c>
      <c r="R2981" s="93" t="s">
        <v>1188</v>
      </c>
      <c r="S2981" s="93" t="s">
        <v>2</v>
      </c>
      <c r="T2981" s="93" t="s">
        <v>115</v>
      </c>
      <c r="U2981" s="93" t="s">
        <v>119</v>
      </c>
      <c r="V2981" s="94">
        <v>44628.638194444444</v>
      </c>
      <c r="W2981" s="93" t="s">
        <v>1170</v>
      </c>
      <c r="X2981" s="93" t="s">
        <v>24</v>
      </c>
    </row>
    <row r="2982" spans="1:24" hidden="1" x14ac:dyDescent="0.15">
      <c r="A2982" s="93" t="s">
        <v>4426</v>
      </c>
      <c r="B2982" s="93" t="s">
        <v>4427</v>
      </c>
      <c r="C2982" s="410">
        <v>297.14999999999998</v>
      </c>
      <c r="D2982" s="93" t="s">
        <v>24</v>
      </c>
      <c r="E2982" s="93" t="s">
        <v>24</v>
      </c>
      <c r="F2982" s="93" t="s">
        <v>7070</v>
      </c>
      <c r="G2982" s="93" t="s">
        <v>8237</v>
      </c>
      <c r="H2982" s="93" t="s">
        <v>11</v>
      </c>
      <c r="I2982" s="93" t="s">
        <v>111</v>
      </c>
      <c r="J2982" s="93" t="s">
        <v>1675</v>
      </c>
      <c r="K2982" s="93">
        <v>60</v>
      </c>
      <c r="L2982" s="93" t="s">
        <v>111</v>
      </c>
      <c r="M2982" s="93">
        <v>0.3</v>
      </c>
      <c r="N2982" s="93" t="s">
        <v>113</v>
      </c>
      <c r="O2982" s="93">
        <v>7.6</v>
      </c>
      <c r="P2982" s="93">
        <v>12.4</v>
      </c>
      <c r="Q2982" s="93">
        <v>13.4</v>
      </c>
      <c r="R2982" s="93" t="s">
        <v>4428</v>
      </c>
      <c r="S2982" s="93" t="s">
        <v>659</v>
      </c>
      <c r="T2982" s="93" t="s">
        <v>1659</v>
      </c>
      <c r="U2982" s="93" t="s">
        <v>116</v>
      </c>
      <c r="V2982" s="94">
        <v>44628.472916666666</v>
      </c>
      <c r="W2982" s="93" t="s">
        <v>1170</v>
      </c>
      <c r="X2982" s="93" t="s">
        <v>24</v>
      </c>
    </row>
    <row r="2983" spans="1:24" hidden="1" x14ac:dyDescent="0.15">
      <c r="A2983" s="93" t="s">
        <v>4429</v>
      </c>
      <c r="B2983" s="93" t="s">
        <v>4430</v>
      </c>
      <c r="C2983" s="410">
        <v>99.75</v>
      </c>
      <c r="D2983" s="93" t="s">
        <v>24</v>
      </c>
      <c r="E2983" s="93" t="s">
        <v>24</v>
      </c>
      <c r="F2983" s="93" t="s">
        <v>1648</v>
      </c>
      <c r="G2983" s="93" t="s">
        <v>8237</v>
      </c>
      <c r="H2983" s="93" t="s">
        <v>11</v>
      </c>
      <c r="I2983" s="93" t="s">
        <v>111</v>
      </c>
      <c r="J2983" s="93" t="s">
        <v>1759</v>
      </c>
      <c r="K2983" s="93">
        <v>70</v>
      </c>
      <c r="L2983" s="93" t="s">
        <v>111</v>
      </c>
      <c r="M2983" s="93">
        <v>0.2</v>
      </c>
      <c r="N2983" s="93" t="s">
        <v>113</v>
      </c>
      <c r="O2983" s="93">
        <v>12</v>
      </c>
      <c r="P2983" s="93">
        <v>5</v>
      </c>
      <c r="Q2983" s="93">
        <v>8</v>
      </c>
      <c r="R2983" s="93" t="s">
        <v>4431</v>
      </c>
      <c r="S2983" s="93" t="s">
        <v>659</v>
      </c>
      <c r="T2983" s="93" t="s">
        <v>115</v>
      </c>
      <c r="U2983" s="93" t="s">
        <v>116</v>
      </c>
      <c r="V2983" s="94">
        <v>44628.492361111108</v>
      </c>
      <c r="W2983" s="93" t="s">
        <v>1170</v>
      </c>
      <c r="X2983" s="93" t="s">
        <v>24</v>
      </c>
    </row>
    <row r="2984" spans="1:24" hidden="1" x14ac:dyDescent="0.15">
      <c r="A2984" s="93" t="s">
        <v>4432</v>
      </c>
      <c r="B2984" s="93" t="s">
        <v>4433</v>
      </c>
      <c r="C2984" s="410">
        <v>63</v>
      </c>
      <c r="D2984" s="93" t="s">
        <v>24</v>
      </c>
      <c r="E2984" s="93" t="s">
        <v>24</v>
      </c>
      <c r="F2984" s="93" t="s">
        <v>1648</v>
      </c>
      <c r="G2984" s="93" t="s">
        <v>8237</v>
      </c>
      <c r="H2984" s="93" t="s">
        <v>11</v>
      </c>
      <c r="I2984" s="93" t="s">
        <v>111</v>
      </c>
      <c r="J2984" s="93" t="s">
        <v>1759</v>
      </c>
      <c r="K2984" s="93">
        <v>70</v>
      </c>
      <c r="L2984" s="93" t="s">
        <v>111</v>
      </c>
      <c r="M2984" s="93">
        <v>0.2</v>
      </c>
      <c r="N2984" s="93" t="s">
        <v>113</v>
      </c>
      <c r="O2984" s="93">
        <v>3.8</v>
      </c>
      <c r="P2984" s="93">
        <v>28</v>
      </c>
      <c r="Q2984" s="93">
        <v>33</v>
      </c>
      <c r="R2984" s="93" t="s">
        <v>1210</v>
      </c>
      <c r="S2984" s="93" t="s">
        <v>2</v>
      </c>
      <c r="T2984" s="93" t="s">
        <v>115</v>
      </c>
      <c r="U2984" s="93" t="s">
        <v>116</v>
      </c>
      <c r="V2984" s="94">
        <v>44628.51458333333</v>
      </c>
      <c r="W2984" s="93" t="s">
        <v>1170</v>
      </c>
      <c r="X2984" s="93" t="s">
        <v>24</v>
      </c>
    </row>
    <row r="2985" spans="1:24" hidden="1" x14ac:dyDescent="0.15">
      <c r="A2985" s="93" t="s">
        <v>4434</v>
      </c>
      <c r="B2985" s="93" t="s">
        <v>4435</v>
      </c>
      <c r="C2985" s="410">
        <v>189</v>
      </c>
      <c r="D2985" s="93" t="s">
        <v>24</v>
      </c>
      <c r="E2985" s="93" t="s">
        <v>24</v>
      </c>
      <c r="F2985" s="93" t="s">
        <v>7070</v>
      </c>
      <c r="G2985" s="93" t="s">
        <v>8237</v>
      </c>
      <c r="H2985" s="93" t="s">
        <v>11</v>
      </c>
      <c r="I2985" s="93" t="s">
        <v>111</v>
      </c>
      <c r="J2985" s="93" t="s">
        <v>963</v>
      </c>
      <c r="K2985" s="93">
        <v>60</v>
      </c>
      <c r="L2985" s="93" t="s">
        <v>111</v>
      </c>
      <c r="M2985" s="93">
        <v>0.5</v>
      </c>
      <c r="N2985" s="93" t="s">
        <v>113</v>
      </c>
      <c r="O2985" s="93">
        <v>8</v>
      </c>
      <c r="P2985" s="93">
        <v>4.4000000000000004</v>
      </c>
      <c r="Q2985" s="93">
        <v>16.600000000000001</v>
      </c>
      <c r="R2985" s="93" t="s">
        <v>121</v>
      </c>
      <c r="S2985" s="93" t="s">
        <v>659</v>
      </c>
      <c r="T2985" s="93" t="s">
        <v>1659</v>
      </c>
      <c r="U2985" s="93" t="s">
        <v>116</v>
      </c>
      <c r="V2985" s="94">
        <v>44628.556250000001</v>
      </c>
      <c r="W2985" s="93" t="s">
        <v>1170</v>
      </c>
      <c r="X2985" s="93" t="s">
        <v>24</v>
      </c>
    </row>
    <row r="2986" spans="1:24" hidden="1" x14ac:dyDescent="0.15">
      <c r="A2986" s="93" t="s">
        <v>4436</v>
      </c>
      <c r="B2986" s="93" t="s">
        <v>4437</v>
      </c>
      <c r="C2986" s="410">
        <v>37.799999999999997</v>
      </c>
      <c r="D2986" s="93" t="s">
        <v>24</v>
      </c>
      <c r="E2986" s="93" t="s">
        <v>24</v>
      </c>
      <c r="F2986" s="93" t="s">
        <v>1648</v>
      </c>
      <c r="G2986" s="93" t="s">
        <v>8237</v>
      </c>
      <c r="H2986" s="93" t="s">
        <v>11</v>
      </c>
      <c r="I2986" s="93" t="s">
        <v>111</v>
      </c>
      <c r="J2986" s="93" t="s">
        <v>1675</v>
      </c>
      <c r="K2986" s="93">
        <v>60</v>
      </c>
      <c r="L2986" s="93" t="s">
        <v>111</v>
      </c>
      <c r="M2986" s="93">
        <v>0.1</v>
      </c>
      <c r="N2986" s="93" t="s">
        <v>113</v>
      </c>
      <c r="O2986" s="93">
        <v>3</v>
      </c>
      <c r="P2986" s="93">
        <v>3</v>
      </c>
      <c r="Q2986" s="93">
        <v>8</v>
      </c>
      <c r="R2986" s="93" t="s">
        <v>1548</v>
      </c>
      <c r="S2986" s="93" t="s">
        <v>659</v>
      </c>
      <c r="T2986" s="93" t="s">
        <v>115</v>
      </c>
      <c r="U2986" s="93" t="s">
        <v>116</v>
      </c>
      <c r="V2986" s="94">
        <v>44628.490972222222</v>
      </c>
      <c r="W2986" s="93" t="s">
        <v>1555</v>
      </c>
      <c r="X2986" s="93" t="s">
        <v>24</v>
      </c>
    </row>
    <row r="2987" spans="1:24" hidden="1" x14ac:dyDescent="0.15">
      <c r="A2987" s="93" t="s">
        <v>4438</v>
      </c>
      <c r="B2987" s="93" t="s">
        <v>4439</v>
      </c>
      <c r="C2987" s="410">
        <v>341.25</v>
      </c>
      <c r="D2987" s="93" t="s">
        <v>24</v>
      </c>
      <c r="E2987" s="93" t="s">
        <v>24</v>
      </c>
      <c r="F2987" s="93" t="s">
        <v>7070</v>
      </c>
      <c r="G2987" s="93" t="s">
        <v>8237</v>
      </c>
      <c r="H2987" s="93" t="s">
        <v>11</v>
      </c>
      <c r="I2987" s="93" t="s">
        <v>111</v>
      </c>
      <c r="J2987" s="93" t="s">
        <v>1675</v>
      </c>
      <c r="K2987" s="93">
        <v>60</v>
      </c>
      <c r="L2987" s="93" t="s">
        <v>111</v>
      </c>
      <c r="M2987" s="93">
        <v>5.4</v>
      </c>
      <c r="N2987" s="93" t="s">
        <v>113</v>
      </c>
      <c r="O2987" s="93">
        <v>8</v>
      </c>
      <c r="P2987" s="93">
        <v>29</v>
      </c>
      <c r="Q2987" s="93">
        <v>54</v>
      </c>
      <c r="R2987" s="93" t="s">
        <v>117</v>
      </c>
      <c r="S2987" s="93" t="s">
        <v>659</v>
      </c>
      <c r="T2987" s="93" t="s">
        <v>115</v>
      </c>
      <c r="U2987" s="93" t="s">
        <v>116</v>
      </c>
      <c r="V2987" s="94">
        <v>44628.556250000001</v>
      </c>
      <c r="W2987" s="93" t="s">
        <v>1555</v>
      </c>
      <c r="X2987" s="93" t="s">
        <v>24</v>
      </c>
    </row>
    <row r="2988" spans="1:24" hidden="1" x14ac:dyDescent="0.15">
      <c r="A2988" s="93" t="s">
        <v>4440</v>
      </c>
      <c r="B2988" s="93" t="s">
        <v>4441</v>
      </c>
      <c r="C2988" s="410">
        <v>210</v>
      </c>
      <c r="D2988" s="93" t="s">
        <v>24</v>
      </c>
      <c r="E2988" s="93" t="s">
        <v>24</v>
      </c>
      <c r="F2988" s="93" t="s">
        <v>1648</v>
      </c>
      <c r="G2988" s="93" t="s">
        <v>8237</v>
      </c>
      <c r="H2988" s="93" t="s">
        <v>11</v>
      </c>
      <c r="I2988" s="93" t="s">
        <v>111</v>
      </c>
      <c r="J2988" s="93" t="s">
        <v>1675</v>
      </c>
      <c r="K2988" s="93">
        <v>60</v>
      </c>
      <c r="L2988" s="93" t="s">
        <v>111</v>
      </c>
      <c r="M2988" s="93">
        <v>4</v>
      </c>
      <c r="N2988" s="93" t="s">
        <v>113</v>
      </c>
      <c r="O2988" s="93">
        <v>19</v>
      </c>
      <c r="P2988" s="93">
        <v>30</v>
      </c>
      <c r="Q2988" s="93">
        <v>34</v>
      </c>
      <c r="R2988" s="93" t="s">
        <v>117</v>
      </c>
      <c r="S2988" s="93" t="s">
        <v>659</v>
      </c>
      <c r="T2988" s="93" t="s">
        <v>115</v>
      </c>
      <c r="U2988" s="93" t="s">
        <v>116</v>
      </c>
      <c r="V2988" s="94">
        <v>44628.634722222225</v>
      </c>
      <c r="W2988" s="93" t="s">
        <v>1555</v>
      </c>
      <c r="X2988" s="93" t="s">
        <v>24</v>
      </c>
    </row>
    <row r="2989" spans="1:24" hidden="1" x14ac:dyDescent="0.15">
      <c r="A2989" s="93" t="s">
        <v>4442</v>
      </c>
      <c r="B2989" s="93" t="s">
        <v>4443</v>
      </c>
      <c r="C2989" s="410">
        <v>840</v>
      </c>
      <c r="D2989" s="93" t="s">
        <v>24</v>
      </c>
      <c r="E2989" s="93" t="s">
        <v>24</v>
      </c>
      <c r="F2989" s="93" t="s">
        <v>7070</v>
      </c>
      <c r="G2989" s="93" t="s">
        <v>8237</v>
      </c>
      <c r="H2989" s="93" t="s">
        <v>11</v>
      </c>
      <c r="I2989" s="93" t="s">
        <v>111</v>
      </c>
      <c r="J2989" s="93" t="s">
        <v>963</v>
      </c>
      <c r="K2989" s="93">
        <v>60</v>
      </c>
      <c r="L2989" s="93" t="s">
        <v>111</v>
      </c>
      <c r="M2989" s="93">
        <v>31.5</v>
      </c>
      <c r="N2989" s="93" t="s">
        <v>113</v>
      </c>
      <c r="O2989" s="93">
        <v>22</v>
      </c>
      <c r="P2989" s="93">
        <v>22</v>
      </c>
      <c r="Q2989" s="93">
        <v>50</v>
      </c>
      <c r="R2989" s="93" t="s">
        <v>117</v>
      </c>
      <c r="S2989" s="93" t="s">
        <v>12</v>
      </c>
      <c r="T2989" s="93" t="s">
        <v>115</v>
      </c>
      <c r="U2989" s="93" t="s">
        <v>116</v>
      </c>
      <c r="V2989" s="94">
        <v>44628.490972222222</v>
      </c>
      <c r="W2989" s="93" t="s">
        <v>1170</v>
      </c>
      <c r="X2989" s="93" t="s">
        <v>24</v>
      </c>
    </row>
    <row r="2990" spans="1:24" hidden="1" x14ac:dyDescent="0.15">
      <c r="A2990" s="93" t="s">
        <v>4444</v>
      </c>
      <c r="B2990" s="93" t="s">
        <v>4445</v>
      </c>
      <c r="C2990" s="410">
        <v>945</v>
      </c>
      <c r="D2990" s="93" t="s">
        <v>24</v>
      </c>
      <c r="E2990" s="93" t="s">
        <v>24</v>
      </c>
      <c r="F2990" s="93" t="s">
        <v>7070</v>
      </c>
      <c r="G2990" s="93" t="s">
        <v>8237</v>
      </c>
      <c r="H2990" s="93" t="s">
        <v>11</v>
      </c>
      <c r="I2990" s="93" t="s">
        <v>111</v>
      </c>
      <c r="J2990" s="93" t="s">
        <v>390</v>
      </c>
      <c r="K2990" s="93">
        <v>80</v>
      </c>
      <c r="L2990" s="93">
        <v>1</v>
      </c>
      <c r="M2990" s="93" t="s">
        <v>111</v>
      </c>
      <c r="N2990" s="93" t="s">
        <v>111</v>
      </c>
      <c r="O2990" s="93" t="s">
        <v>111</v>
      </c>
      <c r="P2990" s="93" t="s">
        <v>111</v>
      </c>
      <c r="Q2990" s="93" t="s">
        <v>111</v>
      </c>
      <c r="R2990" s="93" t="s">
        <v>4215</v>
      </c>
      <c r="S2990" s="93" t="s">
        <v>20</v>
      </c>
      <c r="T2990" s="93" t="s">
        <v>115</v>
      </c>
      <c r="U2990" s="93" t="s">
        <v>116</v>
      </c>
      <c r="V2990" s="94">
        <v>44628.530555555553</v>
      </c>
      <c r="W2990" s="93" t="s">
        <v>402</v>
      </c>
      <c r="X2990" s="93" t="s">
        <v>24</v>
      </c>
    </row>
    <row r="2991" spans="1:24" hidden="1" x14ac:dyDescent="0.15">
      <c r="A2991" s="93" t="s">
        <v>4446</v>
      </c>
      <c r="B2991" s="93" t="s">
        <v>4447</v>
      </c>
      <c r="C2991" s="410">
        <v>24.03</v>
      </c>
      <c r="D2991" s="93" t="s">
        <v>24</v>
      </c>
      <c r="E2991" s="93" t="s">
        <v>24</v>
      </c>
      <c r="F2991" s="93" t="s">
        <v>7070</v>
      </c>
      <c r="G2991" s="93" t="s">
        <v>7174</v>
      </c>
      <c r="H2991" s="93" t="s">
        <v>11</v>
      </c>
      <c r="I2991" s="93" t="s">
        <v>111</v>
      </c>
      <c r="J2991" s="93" t="s">
        <v>1552</v>
      </c>
      <c r="K2991" s="93">
        <v>80</v>
      </c>
      <c r="L2991" s="93" t="s">
        <v>111</v>
      </c>
      <c r="M2991" s="93">
        <v>0.28999999999999998</v>
      </c>
      <c r="N2991" s="93" t="s">
        <v>113</v>
      </c>
      <c r="O2991" s="93">
        <v>25</v>
      </c>
      <c r="P2991" s="93">
        <v>8</v>
      </c>
      <c r="Q2991" s="93">
        <v>25</v>
      </c>
      <c r="R2991" s="93" t="s">
        <v>117</v>
      </c>
      <c r="S2991" s="93" t="s">
        <v>20</v>
      </c>
      <c r="T2991" s="93" t="s">
        <v>115</v>
      </c>
      <c r="U2991" s="93" t="s">
        <v>116</v>
      </c>
      <c r="V2991" s="94">
        <v>44628.511805555558</v>
      </c>
      <c r="W2991" s="93" t="s">
        <v>402</v>
      </c>
      <c r="X2991" s="93" t="s">
        <v>24</v>
      </c>
    </row>
    <row r="2992" spans="1:24" hidden="1" x14ac:dyDescent="0.15">
      <c r="A2992" s="93" t="s">
        <v>4448</v>
      </c>
      <c r="B2992" s="93" t="s">
        <v>4449</v>
      </c>
      <c r="C2992" s="410">
        <v>12.6</v>
      </c>
      <c r="D2992" s="93" t="s">
        <v>24</v>
      </c>
      <c r="E2992" s="93" t="s">
        <v>24</v>
      </c>
      <c r="F2992" s="93" t="s">
        <v>7070</v>
      </c>
      <c r="G2992" s="93" t="s">
        <v>8237</v>
      </c>
      <c r="H2992" s="93" t="s">
        <v>11</v>
      </c>
      <c r="I2992" s="93" t="s">
        <v>111</v>
      </c>
      <c r="J2992" s="93" t="s">
        <v>390</v>
      </c>
      <c r="K2992" s="93">
        <v>80</v>
      </c>
      <c r="L2992" s="93">
        <v>1</v>
      </c>
      <c r="M2992" s="93" t="s">
        <v>111</v>
      </c>
      <c r="N2992" s="93" t="s">
        <v>111</v>
      </c>
      <c r="O2992" s="93">
        <v>0.66</v>
      </c>
      <c r="P2992" s="93">
        <v>1.1679999999999999</v>
      </c>
      <c r="Q2992" s="93">
        <v>2.25</v>
      </c>
      <c r="R2992" s="93" t="s">
        <v>1548</v>
      </c>
      <c r="S2992" s="93" t="s">
        <v>20</v>
      </c>
      <c r="T2992" s="93" t="s">
        <v>115</v>
      </c>
      <c r="U2992" s="93" t="s">
        <v>116</v>
      </c>
      <c r="V2992" s="94">
        <v>44628.630555555559</v>
      </c>
      <c r="W2992" s="93" t="s">
        <v>402</v>
      </c>
      <c r="X2992" s="93" t="s">
        <v>24</v>
      </c>
    </row>
    <row r="2993" spans="1:24" hidden="1" x14ac:dyDescent="0.15">
      <c r="A2993" s="93" t="s">
        <v>4450</v>
      </c>
      <c r="B2993" s="93" t="s">
        <v>4451</v>
      </c>
      <c r="C2993" s="410">
        <v>945</v>
      </c>
      <c r="D2993" s="93" t="s">
        <v>24</v>
      </c>
      <c r="E2993" s="93" t="s">
        <v>24</v>
      </c>
      <c r="F2993" s="93" t="s">
        <v>7070</v>
      </c>
      <c r="G2993" s="93" t="s">
        <v>8237</v>
      </c>
      <c r="H2993" s="93" t="s">
        <v>11</v>
      </c>
      <c r="I2993" s="93" t="s">
        <v>111</v>
      </c>
      <c r="J2993" s="93" t="s">
        <v>963</v>
      </c>
      <c r="K2993" s="93">
        <v>60</v>
      </c>
      <c r="L2993" s="93" t="s">
        <v>111</v>
      </c>
      <c r="M2993" s="93">
        <v>31</v>
      </c>
      <c r="N2993" s="93" t="s">
        <v>111</v>
      </c>
      <c r="O2993" s="93">
        <v>40</v>
      </c>
      <c r="P2993" s="93">
        <v>50</v>
      </c>
      <c r="Q2993" s="93">
        <v>50</v>
      </c>
      <c r="R2993" s="93" t="s">
        <v>392</v>
      </c>
      <c r="S2993" s="93" t="s">
        <v>659</v>
      </c>
      <c r="T2993" s="93" t="s">
        <v>115</v>
      </c>
      <c r="U2993" s="93" t="s">
        <v>116</v>
      </c>
      <c r="V2993" s="94">
        <v>44628.59652777778</v>
      </c>
      <c r="W2993" s="93" t="s">
        <v>1170</v>
      </c>
      <c r="X2993" s="93" t="s">
        <v>24</v>
      </c>
    </row>
    <row r="2994" spans="1:24" hidden="1" x14ac:dyDescent="0.15">
      <c r="A2994" s="93" t="s">
        <v>4452</v>
      </c>
      <c r="B2994" s="93" t="s">
        <v>4453</v>
      </c>
      <c r="C2994" s="410">
        <v>1233.75</v>
      </c>
      <c r="D2994" s="93" t="s">
        <v>24</v>
      </c>
      <c r="E2994" s="93" t="s">
        <v>24</v>
      </c>
      <c r="F2994" s="93" t="s">
        <v>7070</v>
      </c>
      <c r="G2994" s="93" t="s">
        <v>8237</v>
      </c>
      <c r="H2994" s="93" t="s">
        <v>11</v>
      </c>
      <c r="I2994" s="93" t="s">
        <v>111</v>
      </c>
      <c r="J2994" s="93" t="s">
        <v>963</v>
      </c>
      <c r="K2994" s="93">
        <v>60</v>
      </c>
      <c r="L2994" s="93" t="s">
        <v>111</v>
      </c>
      <c r="M2994" s="93">
        <v>42</v>
      </c>
      <c r="N2994" s="93" t="s">
        <v>111</v>
      </c>
      <c r="O2994" s="93">
        <v>40</v>
      </c>
      <c r="P2994" s="93">
        <v>50</v>
      </c>
      <c r="Q2994" s="93">
        <v>50</v>
      </c>
      <c r="R2994" s="93" t="s">
        <v>392</v>
      </c>
      <c r="S2994" s="93" t="s">
        <v>659</v>
      </c>
      <c r="T2994" s="93" t="s">
        <v>115</v>
      </c>
      <c r="U2994" s="93" t="s">
        <v>116</v>
      </c>
      <c r="V2994" s="94">
        <v>44628.574305555558</v>
      </c>
      <c r="W2994" s="93" t="s">
        <v>1170</v>
      </c>
      <c r="X2994" s="93" t="s">
        <v>24</v>
      </c>
    </row>
    <row r="2995" spans="1:24" hidden="1" x14ac:dyDescent="0.15">
      <c r="A2995" s="93" t="s">
        <v>4454</v>
      </c>
      <c r="B2995" s="93" t="s">
        <v>4455</v>
      </c>
      <c r="C2995" s="410">
        <v>1522.5</v>
      </c>
      <c r="D2995" s="93" t="s">
        <v>24</v>
      </c>
      <c r="E2995" s="93" t="s">
        <v>24</v>
      </c>
      <c r="F2995" s="93" t="s">
        <v>7070</v>
      </c>
      <c r="G2995" s="93" t="s">
        <v>8237</v>
      </c>
      <c r="H2995" s="93" t="s">
        <v>11</v>
      </c>
      <c r="I2995" s="93" t="s">
        <v>111</v>
      </c>
      <c r="J2995" s="93" t="s">
        <v>963</v>
      </c>
      <c r="K2995" s="93">
        <v>60</v>
      </c>
      <c r="L2995" s="93" t="s">
        <v>111</v>
      </c>
      <c r="M2995" s="93">
        <v>50</v>
      </c>
      <c r="N2995" s="93" t="s">
        <v>111</v>
      </c>
      <c r="O2995" s="93">
        <v>40</v>
      </c>
      <c r="P2995" s="93">
        <v>50</v>
      </c>
      <c r="Q2995" s="93">
        <v>50</v>
      </c>
      <c r="R2995" s="93" t="s">
        <v>392</v>
      </c>
      <c r="S2995" s="93" t="s">
        <v>659</v>
      </c>
      <c r="T2995" s="93" t="s">
        <v>115</v>
      </c>
      <c r="U2995" s="93" t="s">
        <v>116</v>
      </c>
      <c r="V2995" s="94">
        <v>44628.509722222225</v>
      </c>
      <c r="W2995" s="93" t="s">
        <v>1170</v>
      </c>
      <c r="X2995" s="93" t="s">
        <v>24</v>
      </c>
    </row>
    <row r="2996" spans="1:24" hidden="1" x14ac:dyDescent="0.15">
      <c r="A2996" s="93" t="s">
        <v>4456</v>
      </c>
      <c r="B2996" s="93" t="s">
        <v>4457</v>
      </c>
      <c r="C2996" s="410">
        <v>1837.5</v>
      </c>
      <c r="D2996" s="93" t="s">
        <v>24</v>
      </c>
      <c r="E2996" s="93" t="s">
        <v>24</v>
      </c>
      <c r="F2996" s="93" t="s">
        <v>7070</v>
      </c>
      <c r="G2996" s="93" t="s">
        <v>8237</v>
      </c>
      <c r="H2996" s="93" t="s">
        <v>11</v>
      </c>
      <c r="I2996" s="93" t="s">
        <v>111</v>
      </c>
      <c r="J2996" s="93" t="s">
        <v>963</v>
      </c>
      <c r="K2996" s="93">
        <v>60</v>
      </c>
      <c r="L2996" s="93" t="s">
        <v>111</v>
      </c>
      <c r="M2996" s="93">
        <v>56</v>
      </c>
      <c r="N2996" s="93" t="s">
        <v>111</v>
      </c>
      <c r="O2996" s="93">
        <v>40</v>
      </c>
      <c r="P2996" s="93">
        <v>50</v>
      </c>
      <c r="Q2996" s="93">
        <v>50</v>
      </c>
      <c r="R2996" s="93" t="s">
        <v>392</v>
      </c>
      <c r="S2996" s="93" t="s">
        <v>659</v>
      </c>
      <c r="T2996" s="93" t="s">
        <v>115</v>
      </c>
      <c r="U2996" s="93" t="s">
        <v>116</v>
      </c>
      <c r="V2996" s="94">
        <v>44628.53125</v>
      </c>
      <c r="W2996" s="93" t="s">
        <v>1170</v>
      </c>
      <c r="X2996" s="93" t="s">
        <v>24</v>
      </c>
    </row>
    <row r="2997" spans="1:24" hidden="1" x14ac:dyDescent="0.15">
      <c r="A2997" s="93" t="s">
        <v>4458</v>
      </c>
      <c r="B2997" s="93" t="s">
        <v>4459</v>
      </c>
      <c r="C2997" s="410">
        <v>68.25</v>
      </c>
      <c r="D2997" s="93" t="s">
        <v>24</v>
      </c>
      <c r="E2997" s="93" t="s">
        <v>24</v>
      </c>
      <c r="F2997" s="93" t="s">
        <v>7070</v>
      </c>
      <c r="G2997" s="93" t="s">
        <v>8237</v>
      </c>
      <c r="H2997" s="93" t="s">
        <v>11</v>
      </c>
      <c r="I2997" s="93" t="s">
        <v>111</v>
      </c>
      <c r="J2997" s="93" t="s">
        <v>963</v>
      </c>
      <c r="K2997" s="93">
        <v>60</v>
      </c>
      <c r="L2997" s="93" t="s">
        <v>111</v>
      </c>
      <c r="M2997" s="93">
        <v>0.02</v>
      </c>
      <c r="N2997" s="93" t="s">
        <v>111</v>
      </c>
      <c r="O2997" s="93">
        <v>3</v>
      </c>
      <c r="P2997" s="93">
        <v>3</v>
      </c>
      <c r="Q2997" s="93">
        <v>8</v>
      </c>
      <c r="R2997" s="93" t="s">
        <v>411</v>
      </c>
      <c r="S2997" s="93" t="s">
        <v>659</v>
      </c>
      <c r="T2997" s="93" t="s">
        <v>115</v>
      </c>
      <c r="U2997" s="93" t="s">
        <v>116</v>
      </c>
      <c r="V2997" s="94">
        <v>44628.630555555559</v>
      </c>
      <c r="W2997" s="93" t="s">
        <v>1170</v>
      </c>
      <c r="X2997" s="93" t="s">
        <v>24</v>
      </c>
    </row>
    <row r="2998" spans="1:24" hidden="1" x14ac:dyDescent="0.15">
      <c r="A2998" s="93" t="s">
        <v>4460</v>
      </c>
      <c r="B2998" s="93" t="s">
        <v>4461</v>
      </c>
      <c r="C2998" s="410">
        <v>42</v>
      </c>
      <c r="D2998" s="93" t="s">
        <v>24</v>
      </c>
      <c r="E2998" s="93" t="s">
        <v>24</v>
      </c>
      <c r="F2998" s="93" t="s">
        <v>7070</v>
      </c>
      <c r="G2998" s="93" t="s">
        <v>8237</v>
      </c>
      <c r="H2998" s="93" t="s">
        <v>11</v>
      </c>
      <c r="I2998" s="93" t="s">
        <v>111</v>
      </c>
      <c r="J2998" s="93" t="s">
        <v>963</v>
      </c>
      <c r="K2998" s="93">
        <v>60</v>
      </c>
      <c r="L2998" s="93" t="s">
        <v>111</v>
      </c>
      <c r="M2998" s="93">
        <v>0.2</v>
      </c>
      <c r="N2998" s="93" t="s">
        <v>111</v>
      </c>
      <c r="O2998" s="93">
        <v>5</v>
      </c>
      <c r="P2998" s="93">
        <v>35.5</v>
      </c>
      <c r="Q2998" s="93">
        <v>45</v>
      </c>
      <c r="R2998" s="93" t="s">
        <v>4195</v>
      </c>
      <c r="S2998" s="93" t="s">
        <v>659</v>
      </c>
      <c r="T2998" s="93" t="s">
        <v>115</v>
      </c>
      <c r="U2998" s="93" t="s">
        <v>119</v>
      </c>
      <c r="V2998" s="94">
        <v>44628.46597222222</v>
      </c>
      <c r="W2998" s="93" t="s">
        <v>1170</v>
      </c>
      <c r="X2998" s="93" t="s">
        <v>24</v>
      </c>
    </row>
    <row r="2999" spans="1:24" hidden="1" x14ac:dyDescent="0.15">
      <c r="A2999" s="93" t="s">
        <v>4462</v>
      </c>
      <c r="B2999" s="93" t="s">
        <v>4463</v>
      </c>
      <c r="C2999" s="410">
        <v>73.5</v>
      </c>
      <c r="D2999" s="93" t="s">
        <v>24</v>
      </c>
      <c r="E2999" s="93" t="s">
        <v>24</v>
      </c>
      <c r="F2999" s="93" t="s">
        <v>7070</v>
      </c>
      <c r="G2999" s="93" t="s">
        <v>8237</v>
      </c>
      <c r="H2999" s="93" t="s">
        <v>11</v>
      </c>
      <c r="I2999" s="93" t="s">
        <v>111</v>
      </c>
      <c r="J2999" s="93" t="s">
        <v>390</v>
      </c>
      <c r="K2999" s="93">
        <v>80</v>
      </c>
      <c r="L2999" s="93" t="s">
        <v>111</v>
      </c>
      <c r="M2999" s="93">
        <v>0.32</v>
      </c>
      <c r="N2999" s="93" t="s">
        <v>111</v>
      </c>
      <c r="O2999" s="93">
        <v>5</v>
      </c>
      <c r="P2999" s="93">
        <v>35.5</v>
      </c>
      <c r="Q2999" s="93">
        <v>45</v>
      </c>
      <c r="R2999" s="93" t="s">
        <v>4195</v>
      </c>
      <c r="S2999" s="93" t="s">
        <v>659</v>
      </c>
      <c r="T2999" s="93" t="s">
        <v>115</v>
      </c>
      <c r="U2999" s="93" t="s">
        <v>116</v>
      </c>
      <c r="V2999" s="94">
        <v>44628.630555555559</v>
      </c>
      <c r="W2999" s="93" t="s">
        <v>1170</v>
      </c>
      <c r="X2999" s="93" t="s">
        <v>24</v>
      </c>
    </row>
    <row r="3000" spans="1:24" hidden="1" x14ac:dyDescent="0.15">
      <c r="A3000" s="93" t="s">
        <v>4464</v>
      </c>
      <c r="B3000" s="93" t="s">
        <v>4465</v>
      </c>
      <c r="C3000" s="410">
        <v>89.25</v>
      </c>
      <c r="D3000" s="93" t="s">
        <v>24</v>
      </c>
      <c r="E3000" s="93" t="s">
        <v>24</v>
      </c>
      <c r="F3000" s="93" t="s">
        <v>7070</v>
      </c>
      <c r="G3000" s="93" t="s">
        <v>8237</v>
      </c>
      <c r="H3000" s="93" t="s">
        <v>11</v>
      </c>
      <c r="I3000" s="93" t="s">
        <v>111</v>
      </c>
      <c r="J3000" s="93" t="s">
        <v>963</v>
      </c>
      <c r="K3000" s="93">
        <v>60</v>
      </c>
      <c r="L3000" s="93" t="s">
        <v>111</v>
      </c>
      <c r="M3000" s="93">
        <v>0.6</v>
      </c>
      <c r="N3000" s="93" t="s">
        <v>111</v>
      </c>
      <c r="O3000" s="93">
        <v>5</v>
      </c>
      <c r="P3000" s="93">
        <v>35.5</v>
      </c>
      <c r="Q3000" s="93">
        <v>45</v>
      </c>
      <c r="R3000" s="93" t="s">
        <v>4195</v>
      </c>
      <c r="S3000" s="93" t="s">
        <v>659</v>
      </c>
      <c r="T3000" s="93" t="s">
        <v>115</v>
      </c>
      <c r="U3000" s="93" t="s">
        <v>119</v>
      </c>
      <c r="V3000" s="94">
        <v>44628.552777777775</v>
      </c>
      <c r="W3000" s="93" t="s">
        <v>1170</v>
      </c>
      <c r="X3000" s="93" t="s">
        <v>24</v>
      </c>
    </row>
    <row r="3001" spans="1:24" hidden="1" x14ac:dyDescent="0.15">
      <c r="A3001" s="93" t="s">
        <v>4466</v>
      </c>
      <c r="B3001" s="93" t="s">
        <v>4467</v>
      </c>
      <c r="C3001" s="410">
        <v>68.25</v>
      </c>
      <c r="D3001" s="93" t="s">
        <v>24</v>
      </c>
      <c r="E3001" s="93" t="s">
        <v>24</v>
      </c>
      <c r="F3001" s="93" t="s">
        <v>7070</v>
      </c>
      <c r="G3001" s="93" t="s">
        <v>8237</v>
      </c>
      <c r="H3001" s="93" t="s">
        <v>11</v>
      </c>
      <c r="I3001" s="93" t="s">
        <v>111</v>
      </c>
      <c r="J3001" s="93" t="s">
        <v>963</v>
      </c>
      <c r="K3001" s="93">
        <v>60</v>
      </c>
      <c r="L3001" s="93" t="s">
        <v>111</v>
      </c>
      <c r="M3001" s="93">
        <v>0.52300000000000002</v>
      </c>
      <c r="N3001" s="93" t="s">
        <v>111</v>
      </c>
      <c r="O3001" s="93">
        <v>5</v>
      </c>
      <c r="P3001" s="93">
        <v>35.5</v>
      </c>
      <c r="Q3001" s="93">
        <v>45</v>
      </c>
      <c r="R3001" s="93" t="s">
        <v>4195</v>
      </c>
      <c r="S3001" s="93" t="s">
        <v>659</v>
      </c>
      <c r="T3001" s="93" t="s">
        <v>115</v>
      </c>
      <c r="U3001" s="93" t="s">
        <v>116</v>
      </c>
      <c r="V3001" s="94">
        <v>44628.509027777778</v>
      </c>
      <c r="W3001" s="93" t="s">
        <v>1170</v>
      </c>
      <c r="X3001" s="93" t="s">
        <v>24</v>
      </c>
    </row>
    <row r="3002" spans="1:24" hidden="1" x14ac:dyDescent="0.15">
      <c r="A3002" s="93" t="s">
        <v>4468</v>
      </c>
      <c r="B3002" s="93" t="s">
        <v>4469</v>
      </c>
      <c r="C3002" s="410">
        <v>278.25</v>
      </c>
      <c r="D3002" s="93" t="s">
        <v>24</v>
      </c>
      <c r="E3002" s="93" t="s">
        <v>24</v>
      </c>
      <c r="F3002" s="93" t="s">
        <v>7070</v>
      </c>
      <c r="G3002" s="93" t="s">
        <v>8237</v>
      </c>
      <c r="H3002" s="93" t="s">
        <v>11</v>
      </c>
      <c r="I3002" s="93" t="s">
        <v>111</v>
      </c>
      <c r="J3002" s="93" t="s">
        <v>963</v>
      </c>
      <c r="K3002" s="93">
        <v>60</v>
      </c>
      <c r="L3002" s="93" t="s">
        <v>111</v>
      </c>
      <c r="M3002" s="93">
        <v>0.9</v>
      </c>
      <c r="N3002" s="93" t="s">
        <v>111</v>
      </c>
      <c r="O3002" s="93">
        <v>5</v>
      </c>
      <c r="P3002" s="93">
        <v>35.5</v>
      </c>
      <c r="Q3002" s="93">
        <v>45</v>
      </c>
      <c r="R3002" s="93" t="s">
        <v>4195</v>
      </c>
      <c r="S3002" s="93" t="s">
        <v>659</v>
      </c>
      <c r="T3002" s="93" t="s">
        <v>115</v>
      </c>
      <c r="U3002" s="93" t="s">
        <v>116</v>
      </c>
      <c r="V3002" s="94">
        <v>44628.509027777778</v>
      </c>
      <c r="W3002" s="93" t="s">
        <v>1170</v>
      </c>
      <c r="X3002" s="93" t="s">
        <v>24</v>
      </c>
    </row>
    <row r="3003" spans="1:24" hidden="1" x14ac:dyDescent="0.15">
      <c r="A3003" s="93" t="s">
        <v>4470</v>
      </c>
      <c r="B3003" s="93" t="s">
        <v>4471</v>
      </c>
      <c r="C3003" s="410">
        <v>477.75</v>
      </c>
      <c r="D3003" s="93" t="s">
        <v>24</v>
      </c>
      <c r="E3003" s="93" t="s">
        <v>24</v>
      </c>
      <c r="F3003" s="93" t="s">
        <v>7070</v>
      </c>
      <c r="G3003" s="93" t="s">
        <v>8237</v>
      </c>
      <c r="H3003" s="93" t="s">
        <v>11</v>
      </c>
      <c r="I3003" s="93" t="s">
        <v>111</v>
      </c>
      <c r="J3003" s="93" t="s">
        <v>963</v>
      </c>
      <c r="K3003" s="93">
        <v>60</v>
      </c>
      <c r="L3003" s="93" t="s">
        <v>111</v>
      </c>
      <c r="M3003" s="93">
        <v>2.35</v>
      </c>
      <c r="N3003" s="93" t="s">
        <v>111</v>
      </c>
      <c r="O3003" s="93">
        <v>7</v>
      </c>
      <c r="P3003" s="93">
        <v>35.5</v>
      </c>
      <c r="Q3003" s="93">
        <v>45</v>
      </c>
      <c r="R3003" s="93" t="s">
        <v>4195</v>
      </c>
      <c r="S3003" s="93" t="s">
        <v>659</v>
      </c>
      <c r="T3003" s="93" t="s">
        <v>115</v>
      </c>
      <c r="U3003" s="93" t="s">
        <v>116</v>
      </c>
      <c r="V3003" s="94">
        <v>44628.509027777778</v>
      </c>
      <c r="W3003" s="93" t="s">
        <v>1170</v>
      </c>
      <c r="X3003" s="93" t="s">
        <v>24</v>
      </c>
    </row>
    <row r="3004" spans="1:24" hidden="1" x14ac:dyDescent="0.15">
      <c r="A3004" s="93" t="s">
        <v>4472</v>
      </c>
      <c r="B3004" s="93" t="s">
        <v>4473</v>
      </c>
      <c r="C3004" s="410">
        <v>756</v>
      </c>
      <c r="D3004" s="93" t="s">
        <v>24</v>
      </c>
      <c r="E3004" s="93" t="s">
        <v>24</v>
      </c>
      <c r="F3004" s="93" t="s">
        <v>7070</v>
      </c>
      <c r="G3004" s="93" t="s">
        <v>8237</v>
      </c>
      <c r="H3004" s="93" t="s">
        <v>11</v>
      </c>
      <c r="I3004" s="93" t="s">
        <v>111</v>
      </c>
      <c r="J3004" s="93" t="s">
        <v>963</v>
      </c>
      <c r="K3004" s="93">
        <v>60</v>
      </c>
      <c r="L3004" s="93" t="s">
        <v>111</v>
      </c>
      <c r="M3004" s="93">
        <v>5.73</v>
      </c>
      <c r="N3004" s="93" t="s">
        <v>111</v>
      </c>
      <c r="O3004" s="93">
        <v>7</v>
      </c>
      <c r="P3004" s="93">
        <v>50</v>
      </c>
      <c r="Q3004" s="93">
        <v>52.5</v>
      </c>
      <c r="R3004" s="93" t="s">
        <v>4195</v>
      </c>
      <c r="S3004" s="93" t="s">
        <v>659</v>
      </c>
      <c r="T3004" s="93" t="s">
        <v>115</v>
      </c>
      <c r="U3004" s="93" t="s">
        <v>116</v>
      </c>
      <c r="V3004" s="94">
        <v>44628.552777777775</v>
      </c>
      <c r="W3004" s="93" t="s">
        <v>1170</v>
      </c>
      <c r="X3004" s="93" t="s">
        <v>24</v>
      </c>
    </row>
    <row r="3005" spans="1:24" hidden="1" x14ac:dyDescent="0.15">
      <c r="A3005" s="93" t="s">
        <v>4474</v>
      </c>
      <c r="B3005" s="93" t="s">
        <v>4475</v>
      </c>
      <c r="C3005" s="410">
        <v>78.75</v>
      </c>
      <c r="D3005" s="93" t="s">
        <v>24</v>
      </c>
      <c r="E3005" s="93" t="s">
        <v>24</v>
      </c>
      <c r="F3005" s="93" t="s">
        <v>7070</v>
      </c>
      <c r="G3005" s="93" t="s">
        <v>8237</v>
      </c>
      <c r="H3005" s="93" t="s">
        <v>11</v>
      </c>
      <c r="I3005" s="93" t="s">
        <v>111</v>
      </c>
      <c r="J3005" s="93" t="s">
        <v>390</v>
      </c>
      <c r="K3005" s="93">
        <v>80</v>
      </c>
      <c r="L3005" s="93" t="s">
        <v>111</v>
      </c>
      <c r="M3005" s="93">
        <v>0.1</v>
      </c>
      <c r="N3005" s="93" t="s">
        <v>111</v>
      </c>
      <c r="O3005" s="93">
        <v>7</v>
      </c>
      <c r="P3005" s="93">
        <v>35</v>
      </c>
      <c r="Q3005" s="93">
        <v>35</v>
      </c>
      <c r="R3005" s="93" t="s">
        <v>4195</v>
      </c>
      <c r="S3005" s="93" t="s">
        <v>659</v>
      </c>
      <c r="T3005" s="93" t="s">
        <v>115</v>
      </c>
      <c r="U3005" s="93" t="s">
        <v>116</v>
      </c>
      <c r="V3005" s="94">
        <v>44628.487500000003</v>
      </c>
      <c r="W3005" s="93" t="s">
        <v>1170</v>
      </c>
      <c r="X3005" s="93" t="s">
        <v>24</v>
      </c>
    </row>
    <row r="3006" spans="1:24" hidden="1" x14ac:dyDescent="0.15">
      <c r="A3006" s="93" t="s">
        <v>4476</v>
      </c>
      <c r="B3006" s="93" t="s">
        <v>4477</v>
      </c>
      <c r="C3006" s="410">
        <v>57.75</v>
      </c>
      <c r="D3006" s="93" t="s">
        <v>24</v>
      </c>
      <c r="E3006" s="93" t="s">
        <v>24</v>
      </c>
      <c r="F3006" s="93" t="s">
        <v>7070</v>
      </c>
      <c r="G3006" s="93" t="s">
        <v>8237</v>
      </c>
      <c r="H3006" s="93" t="s">
        <v>11</v>
      </c>
      <c r="I3006" s="93" t="s">
        <v>111</v>
      </c>
      <c r="J3006" s="93" t="s">
        <v>390</v>
      </c>
      <c r="K3006" s="93">
        <v>80</v>
      </c>
      <c r="L3006" s="93" t="s">
        <v>111</v>
      </c>
      <c r="M3006" s="93">
        <v>0.15</v>
      </c>
      <c r="N3006" s="93" t="s">
        <v>111</v>
      </c>
      <c r="O3006" s="93">
        <v>5</v>
      </c>
      <c r="P3006" s="93">
        <v>15</v>
      </c>
      <c r="Q3006" s="93">
        <v>15</v>
      </c>
      <c r="R3006" s="93" t="s">
        <v>4195</v>
      </c>
      <c r="S3006" s="93" t="s">
        <v>20</v>
      </c>
      <c r="T3006" s="93" t="s">
        <v>115</v>
      </c>
      <c r="U3006" s="93" t="s">
        <v>116</v>
      </c>
      <c r="V3006" s="94">
        <v>44628.552777777775</v>
      </c>
      <c r="W3006" s="93" t="s">
        <v>1170</v>
      </c>
      <c r="X3006" s="93" t="s">
        <v>24</v>
      </c>
    </row>
    <row r="3007" spans="1:24" hidden="1" x14ac:dyDescent="0.15">
      <c r="A3007" s="93" t="s">
        <v>4478</v>
      </c>
      <c r="B3007" s="93" t="s">
        <v>4479</v>
      </c>
      <c r="C3007" s="410">
        <v>288.75</v>
      </c>
      <c r="D3007" s="93" t="s">
        <v>24</v>
      </c>
      <c r="E3007" s="93" t="s">
        <v>24</v>
      </c>
      <c r="F3007" s="93" t="s">
        <v>7070</v>
      </c>
      <c r="G3007" s="93" t="s">
        <v>8237</v>
      </c>
      <c r="H3007" s="93" t="s">
        <v>11</v>
      </c>
      <c r="I3007" s="93" t="s">
        <v>111</v>
      </c>
      <c r="J3007" s="93" t="s">
        <v>390</v>
      </c>
      <c r="K3007" s="93">
        <v>80</v>
      </c>
      <c r="L3007" s="93" t="s">
        <v>111</v>
      </c>
      <c r="M3007" s="93">
        <v>0.1</v>
      </c>
      <c r="N3007" s="93" t="s">
        <v>111</v>
      </c>
      <c r="O3007" s="93">
        <v>3.2</v>
      </c>
      <c r="P3007" s="93">
        <v>7.4</v>
      </c>
      <c r="Q3007" s="93">
        <v>12.2</v>
      </c>
      <c r="R3007" s="93" t="s">
        <v>123</v>
      </c>
      <c r="S3007" s="93" t="s">
        <v>20</v>
      </c>
      <c r="T3007" s="93" t="s">
        <v>397</v>
      </c>
      <c r="U3007" s="93" t="s">
        <v>116</v>
      </c>
      <c r="V3007" s="94">
        <v>44628.530555555553</v>
      </c>
      <c r="W3007" s="93" t="s">
        <v>1170</v>
      </c>
      <c r="X3007" s="93" t="s">
        <v>24</v>
      </c>
    </row>
    <row r="3008" spans="1:24" hidden="1" x14ac:dyDescent="0.15">
      <c r="A3008" s="93" t="s">
        <v>4480</v>
      </c>
      <c r="B3008" s="93" t="s">
        <v>4481</v>
      </c>
      <c r="C3008" s="410">
        <v>162.75</v>
      </c>
      <c r="D3008" s="93" t="s">
        <v>24</v>
      </c>
      <c r="E3008" s="93" t="s">
        <v>24</v>
      </c>
      <c r="F3008" s="93" t="s">
        <v>7070</v>
      </c>
      <c r="G3008" s="93" t="s">
        <v>8237</v>
      </c>
      <c r="H3008" s="93" t="s">
        <v>11</v>
      </c>
      <c r="I3008" s="93" t="s">
        <v>111</v>
      </c>
      <c r="J3008" s="93" t="s">
        <v>390</v>
      </c>
      <c r="K3008" s="93">
        <v>80</v>
      </c>
      <c r="L3008" s="93" t="s">
        <v>111</v>
      </c>
      <c r="M3008" s="93">
        <v>0.05</v>
      </c>
      <c r="N3008" s="93" t="s">
        <v>111</v>
      </c>
      <c r="O3008" s="93">
        <v>5</v>
      </c>
      <c r="P3008" s="93">
        <v>10</v>
      </c>
      <c r="Q3008" s="93">
        <v>10</v>
      </c>
      <c r="R3008" s="93" t="s">
        <v>117</v>
      </c>
      <c r="S3008" s="93" t="s">
        <v>20</v>
      </c>
      <c r="T3008" s="93" t="s">
        <v>115</v>
      </c>
      <c r="U3008" s="93" t="s">
        <v>116</v>
      </c>
      <c r="V3008" s="94">
        <v>44628.552777777775</v>
      </c>
      <c r="W3008" s="93" t="s">
        <v>1170</v>
      </c>
      <c r="X3008" s="93" t="s">
        <v>24</v>
      </c>
    </row>
    <row r="3009" spans="1:24" hidden="1" x14ac:dyDescent="0.15">
      <c r="A3009" s="93" t="s">
        <v>4482</v>
      </c>
      <c r="B3009" s="93" t="s">
        <v>4483</v>
      </c>
      <c r="C3009" s="410">
        <v>346.5</v>
      </c>
      <c r="D3009" s="93" t="s">
        <v>24</v>
      </c>
      <c r="E3009" s="93" t="s">
        <v>24</v>
      </c>
      <c r="F3009" s="93" t="s">
        <v>7070</v>
      </c>
      <c r="G3009" s="93" t="s">
        <v>8237</v>
      </c>
      <c r="H3009" s="93" t="s">
        <v>11</v>
      </c>
      <c r="I3009" s="93" t="s">
        <v>111</v>
      </c>
      <c r="J3009" s="93" t="s">
        <v>390</v>
      </c>
      <c r="K3009" s="93">
        <v>80</v>
      </c>
      <c r="L3009" s="93" t="s">
        <v>111</v>
      </c>
      <c r="M3009" s="93">
        <v>1.45</v>
      </c>
      <c r="N3009" s="93" t="s">
        <v>111</v>
      </c>
      <c r="O3009" s="93">
        <v>45</v>
      </c>
      <c r="P3009" s="93">
        <v>50</v>
      </c>
      <c r="Q3009" s="93">
        <v>45</v>
      </c>
      <c r="R3009" s="93" t="s">
        <v>4195</v>
      </c>
      <c r="S3009" s="93" t="s">
        <v>659</v>
      </c>
      <c r="T3009" s="93" t="s">
        <v>115</v>
      </c>
      <c r="U3009" s="93" t="s">
        <v>116</v>
      </c>
      <c r="V3009" s="94">
        <v>44628.487500000003</v>
      </c>
      <c r="W3009" s="93" t="s">
        <v>1170</v>
      </c>
      <c r="X3009" s="93" t="s">
        <v>24</v>
      </c>
    </row>
    <row r="3010" spans="1:24" hidden="1" x14ac:dyDescent="0.15">
      <c r="A3010" s="93" t="s">
        <v>4484</v>
      </c>
      <c r="B3010" s="93" t="s">
        <v>4485</v>
      </c>
      <c r="C3010" s="410">
        <v>467.25</v>
      </c>
      <c r="D3010" s="93" t="s">
        <v>24</v>
      </c>
      <c r="E3010" s="93" t="s">
        <v>24</v>
      </c>
      <c r="F3010" s="93" t="s">
        <v>7070</v>
      </c>
      <c r="G3010" s="93" t="s">
        <v>8237</v>
      </c>
      <c r="H3010" s="93" t="s">
        <v>11</v>
      </c>
      <c r="I3010" s="93" t="s">
        <v>111</v>
      </c>
      <c r="J3010" s="93" t="s">
        <v>390</v>
      </c>
      <c r="K3010" s="93">
        <v>80</v>
      </c>
      <c r="L3010" s="93" t="s">
        <v>111</v>
      </c>
      <c r="M3010" s="93">
        <v>2.4</v>
      </c>
      <c r="N3010" s="93" t="s">
        <v>111</v>
      </c>
      <c r="O3010" s="93">
        <v>45</v>
      </c>
      <c r="P3010" s="93">
        <v>50</v>
      </c>
      <c r="Q3010" s="93">
        <v>45</v>
      </c>
      <c r="R3010" s="93" t="s">
        <v>4195</v>
      </c>
      <c r="S3010" s="93" t="s">
        <v>659</v>
      </c>
      <c r="T3010" s="93" t="s">
        <v>115</v>
      </c>
      <c r="U3010" s="93" t="s">
        <v>116</v>
      </c>
      <c r="V3010" s="94">
        <v>44628.465277777781</v>
      </c>
      <c r="W3010" s="93" t="s">
        <v>1170</v>
      </c>
      <c r="X3010" s="93" t="s">
        <v>24</v>
      </c>
    </row>
    <row r="3011" spans="1:24" hidden="1" x14ac:dyDescent="0.15">
      <c r="A3011" s="93" t="s">
        <v>4486</v>
      </c>
      <c r="B3011" s="93" t="s">
        <v>4487</v>
      </c>
      <c r="C3011" s="410">
        <v>630</v>
      </c>
      <c r="D3011" s="93" t="s">
        <v>24</v>
      </c>
      <c r="E3011" s="93" t="s">
        <v>24</v>
      </c>
      <c r="F3011" s="93" t="s">
        <v>7070</v>
      </c>
      <c r="G3011" s="93" t="s">
        <v>8237</v>
      </c>
      <c r="H3011" s="93" t="s">
        <v>11</v>
      </c>
      <c r="I3011" s="93" t="s">
        <v>111</v>
      </c>
      <c r="J3011" s="93" t="s">
        <v>390</v>
      </c>
      <c r="K3011" s="93">
        <v>80</v>
      </c>
      <c r="L3011" s="93" t="s">
        <v>111</v>
      </c>
      <c r="M3011" s="93">
        <v>3.45</v>
      </c>
      <c r="N3011" s="93" t="s">
        <v>111</v>
      </c>
      <c r="O3011" s="93">
        <v>45</v>
      </c>
      <c r="P3011" s="93">
        <v>50</v>
      </c>
      <c r="Q3011" s="93">
        <v>45</v>
      </c>
      <c r="R3011" s="93" t="s">
        <v>4195</v>
      </c>
      <c r="S3011" s="93" t="s">
        <v>659</v>
      </c>
      <c r="T3011" s="93" t="s">
        <v>115</v>
      </c>
      <c r="U3011" s="93" t="s">
        <v>116</v>
      </c>
      <c r="V3011" s="94">
        <v>44628.465277777781</v>
      </c>
      <c r="W3011" s="93" t="s">
        <v>1170</v>
      </c>
      <c r="X3011" s="93" t="s">
        <v>24</v>
      </c>
    </row>
    <row r="3012" spans="1:24" hidden="1" x14ac:dyDescent="0.15">
      <c r="A3012" s="93" t="s">
        <v>4488</v>
      </c>
      <c r="B3012" s="93" t="s">
        <v>4489</v>
      </c>
      <c r="C3012" s="410">
        <v>735</v>
      </c>
      <c r="D3012" s="93" t="s">
        <v>24</v>
      </c>
      <c r="E3012" s="93" t="s">
        <v>24</v>
      </c>
      <c r="F3012" s="93" t="s">
        <v>7070</v>
      </c>
      <c r="G3012" s="93" t="s">
        <v>8237</v>
      </c>
      <c r="H3012" s="93" t="s">
        <v>11</v>
      </c>
      <c r="I3012" s="93" t="s">
        <v>111</v>
      </c>
      <c r="J3012" s="93" t="s">
        <v>390</v>
      </c>
      <c r="K3012" s="93">
        <v>80</v>
      </c>
      <c r="L3012" s="93" t="s">
        <v>111</v>
      </c>
      <c r="M3012" s="93">
        <v>4.42</v>
      </c>
      <c r="N3012" s="93" t="s">
        <v>111</v>
      </c>
      <c r="O3012" s="93">
        <v>45</v>
      </c>
      <c r="P3012" s="93">
        <v>50</v>
      </c>
      <c r="Q3012" s="93">
        <v>45</v>
      </c>
      <c r="R3012" s="93" t="s">
        <v>4195</v>
      </c>
      <c r="S3012" s="93" t="s">
        <v>659</v>
      </c>
      <c r="T3012" s="93" t="s">
        <v>115</v>
      </c>
      <c r="U3012" s="93" t="s">
        <v>116</v>
      </c>
      <c r="V3012" s="94">
        <v>44628.573611111111</v>
      </c>
      <c r="W3012" s="93" t="s">
        <v>1170</v>
      </c>
      <c r="X3012" s="93" t="s">
        <v>24</v>
      </c>
    </row>
    <row r="3013" spans="1:24" hidden="1" x14ac:dyDescent="0.15">
      <c r="A3013" s="93" t="s">
        <v>4490</v>
      </c>
      <c r="B3013" s="93" t="s">
        <v>4491</v>
      </c>
      <c r="C3013" s="410">
        <v>1050</v>
      </c>
      <c r="D3013" s="93" t="s">
        <v>24</v>
      </c>
      <c r="E3013" s="93" t="s">
        <v>24</v>
      </c>
      <c r="F3013" s="93" t="s">
        <v>7070</v>
      </c>
      <c r="G3013" s="93" t="s">
        <v>8237</v>
      </c>
      <c r="H3013" s="93" t="s">
        <v>11</v>
      </c>
      <c r="I3013" s="93" t="s">
        <v>111</v>
      </c>
      <c r="J3013" s="93" t="s">
        <v>390</v>
      </c>
      <c r="K3013" s="93">
        <v>80</v>
      </c>
      <c r="L3013" s="93" t="s">
        <v>111</v>
      </c>
      <c r="M3013" s="93">
        <v>6.5</v>
      </c>
      <c r="N3013" s="93" t="s">
        <v>111</v>
      </c>
      <c r="O3013" s="93">
        <v>45</v>
      </c>
      <c r="P3013" s="93">
        <v>50</v>
      </c>
      <c r="Q3013" s="93">
        <v>45</v>
      </c>
      <c r="R3013" s="93" t="s">
        <v>4195</v>
      </c>
      <c r="S3013" s="93" t="s">
        <v>659</v>
      </c>
      <c r="T3013" s="93" t="s">
        <v>115</v>
      </c>
      <c r="U3013" s="93" t="s">
        <v>116</v>
      </c>
      <c r="V3013" s="94">
        <v>44628.509027777778</v>
      </c>
      <c r="W3013" s="93" t="s">
        <v>1170</v>
      </c>
      <c r="X3013" s="93" t="s">
        <v>24</v>
      </c>
    </row>
    <row r="3014" spans="1:24" hidden="1" x14ac:dyDescent="0.15">
      <c r="A3014" s="93" t="s">
        <v>4492</v>
      </c>
      <c r="B3014" s="93" t="s">
        <v>4493</v>
      </c>
      <c r="C3014" s="410">
        <v>330.75</v>
      </c>
      <c r="D3014" s="93" t="s">
        <v>24</v>
      </c>
      <c r="E3014" s="93" t="s">
        <v>24</v>
      </c>
      <c r="F3014" s="93" t="s">
        <v>7070</v>
      </c>
      <c r="G3014" s="93" t="s">
        <v>8237</v>
      </c>
      <c r="H3014" s="93" t="s">
        <v>11</v>
      </c>
      <c r="I3014" s="93" t="s">
        <v>111</v>
      </c>
      <c r="J3014" s="93" t="s">
        <v>390</v>
      </c>
      <c r="K3014" s="93">
        <v>80</v>
      </c>
      <c r="L3014" s="93" t="s">
        <v>111</v>
      </c>
      <c r="M3014" s="93">
        <v>0.9</v>
      </c>
      <c r="N3014" s="93" t="s">
        <v>111</v>
      </c>
      <c r="O3014" s="93">
        <v>5.5</v>
      </c>
      <c r="P3014" s="93">
        <v>8</v>
      </c>
      <c r="Q3014" s="93">
        <v>260</v>
      </c>
      <c r="R3014" s="93" t="s">
        <v>117</v>
      </c>
      <c r="S3014" s="93" t="s">
        <v>20</v>
      </c>
      <c r="T3014" s="93" t="s">
        <v>115</v>
      </c>
      <c r="U3014" s="93" t="s">
        <v>116</v>
      </c>
      <c r="V3014" s="94">
        <v>44628.552777777775</v>
      </c>
      <c r="W3014" s="93" t="s">
        <v>1170</v>
      </c>
      <c r="X3014" s="93" t="s">
        <v>24</v>
      </c>
    </row>
    <row r="3015" spans="1:24" hidden="1" x14ac:dyDescent="0.15">
      <c r="A3015" s="93" t="s">
        <v>4494</v>
      </c>
      <c r="B3015" s="93" t="s">
        <v>4495</v>
      </c>
      <c r="C3015" s="410">
        <v>509.25</v>
      </c>
      <c r="D3015" s="93" t="s">
        <v>24</v>
      </c>
      <c r="E3015" s="93" t="s">
        <v>24</v>
      </c>
      <c r="F3015" s="93" t="s">
        <v>7070</v>
      </c>
      <c r="G3015" s="93" t="s">
        <v>8237</v>
      </c>
      <c r="H3015" s="93" t="s">
        <v>11</v>
      </c>
      <c r="I3015" s="93" t="s">
        <v>111</v>
      </c>
      <c r="J3015" s="93" t="s">
        <v>390</v>
      </c>
      <c r="K3015" s="93">
        <v>80</v>
      </c>
      <c r="L3015" s="93" t="s">
        <v>111</v>
      </c>
      <c r="M3015" s="93">
        <v>5</v>
      </c>
      <c r="N3015" s="93" t="s">
        <v>111</v>
      </c>
      <c r="O3015" s="93">
        <v>20</v>
      </c>
      <c r="P3015" s="93">
        <v>40</v>
      </c>
      <c r="Q3015" s="93">
        <v>60</v>
      </c>
      <c r="R3015" s="93" t="s">
        <v>117</v>
      </c>
      <c r="S3015" s="93" t="s">
        <v>20</v>
      </c>
      <c r="T3015" s="93" t="s">
        <v>115</v>
      </c>
      <c r="U3015" s="93" t="s">
        <v>116</v>
      </c>
      <c r="V3015" s="94">
        <v>44628.573611111111</v>
      </c>
      <c r="W3015" s="93" t="s">
        <v>1170</v>
      </c>
      <c r="X3015" s="93" t="s">
        <v>24</v>
      </c>
    </row>
    <row r="3016" spans="1:24" hidden="1" x14ac:dyDescent="0.15">
      <c r="A3016" s="93" t="s">
        <v>4496</v>
      </c>
      <c r="B3016" s="93" t="s">
        <v>4497</v>
      </c>
      <c r="C3016" s="410">
        <v>68.25</v>
      </c>
      <c r="D3016" s="93" t="s">
        <v>24</v>
      </c>
      <c r="E3016" s="93" t="s">
        <v>24</v>
      </c>
      <c r="F3016" s="93" t="s">
        <v>7070</v>
      </c>
      <c r="G3016" s="93" t="s">
        <v>8237</v>
      </c>
      <c r="H3016" s="93" t="s">
        <v>11</v>
      </c>
      <c r="I3016" s="93" t="s">
        <v>111</v>
      </c>
      <c r="J3016" s="93" t="s">
        <v>390</v>
      </c>
      <c r="K3016" s="93">
        <v>80</v>
      </c>
      <c r="L3016" s="93" t="s">
        <v>111</v>
      </c>
      <c r="M3016" s="93">
        <v>0.2</v>
      </c>
      <c r="N3016" s="93" t="s">
        <v>111</v>
      </c>
      <c r="O3016" s="93">
        <v>7</v>
      </c>
      <c r="P3016" s="93">
        <v>20</v>
      </c>
      <c r="Q3016" s="93">
        <v>20</v>
      </c>
      <c r="R3016" s="93" t="s">
        <v>4195</v>
      </c>
      <c r="S3016" s="93" t="s">
        <v>659</v>
      </c>
      <c r="T3016" s="93" t="s">
        <v>115</v>
      </c>
      <c r="U3016" s="93" t="s">
        <v>116</v>
      </c>
      <c r="V3016" s="94">
        <v>44628.595833333333</v>
      </c>
      <c r="W3016" s="93" t="s">
        <v>1170</v>
      </c>
      <c r="X3016" s="93" t="s">
        <v>24</v>
      </c>
    </row>
    <row r="3017" spans="1:24" hidden="1" x14ac:dyDescent="0.15">
      <c r="A3017" s="93" t="s">
        <v>4498</v>
      </c>
      <c r="B3017" s="93" t="s">
        <v>4499</v>
      </c>
      <c r="C3017" s="410">
        <v>157.5</v>
      </c>
      <c r="D3017" s="93" t="s">
        <v>24</v>
      </c>
      <c r="E3017" s="93" t="s">
        <v>24</v>
      </c>
      <c r="F3017" s="93" t="s">
        <v>7070</v>
      </c>
      <c r="G3017" s="93" t="s">
        <v>8237</v>
      </c>
      <c r="H3017" s="93" t="s">
        <v>11</v>
      </c>
      <c r="I3017" s="93" t="s">
        <v>111</v>
      </c>
      <c r="J3017" s="93" t="s">
        <v>390</v>
      </c>
      <c r="K3017" s="93">
        <v>80</v>
      </c>
      <c r="L3017" s="93" t="s">
        <v>111</v>
      </c>
      <c r="M3017" s="93">
        <v>0.5</v>
      </c>
      <c r="N3017" s="93" t="s">
        <v>111</v>
      </c>
      <c r="O3017" s="93">
        <v>7</v>
      </c>
      <c r="P3017" s="93">
        <v>6</v>
      </c>
      <c r="Q3017" s="93">
        <v>10</v>
      </c>
      <c r="R3017" s="93" t="s">
        <v>123</v>
      </c>
      <c r="S3017" s="93" t="s">
        <v>659</v>
      </c>
      <c r="T3017" s="93" t="s">
        <v>397</v>
      </c>
      <c r="U3017" s="93" t="s">
        <v>116</v>
      </c>
      <c r="V3017" s="94">
        <v>44628.530555555553</v>
      </c>
      <c r="W3017" s="93" t="s">
        <v>1170</v>
      </c>
      <c r="X3017" s="93" t="s">
        <v>24</v>
      </c>
    </row>
    <row r="3018" spans="1:24" hidden="1" x14ac:dyDescent="0.15">
      <c r="A3018" s="93" t="s">
        <v>4500</v>
      </c>
      <c r="B3018" s="93" t="s">
        <v>4501</v>
      </c>
      <c r="C3018" s="410">
        <v>105</v>
      </c>
      <c r="D3018" s="93" t="s">
        <v>24</v>
      </c>
      <c r="E3018" s="93" t="s">
        <v>24</v>
      </c>
      <c r="F3018" s="93" t="s">
        <v>7070</v>
      </c>
      <c r="G3018" s="93" t="s">
        <v>8237</v>
      </c>
      <c r="H3018" s="93" t="s">
        <v>11</v>
      </c>
      <c r="I3018" s="93" t="s">
        <v>111</v>
      </c>
      <c r="J3018" s="93" t="s">
        <v>390</v>
      </c>
      <c r="K3018" s="93">
        <v>80</v>
      </c>
      <c r="L3018" s="93" t="s">
        <v>111</v>
      </c>
      <c r="M3018" s="93">
        <v>0.5</v>
      </c>
      <c r="N3018" s="93" t="s">
        <v>111</v>
      </c>
      <c r="O3018" s="93">
        <v>7</v>
      </c>
      <c r="P3018" s="93">
        <v>6</v>
      </c>
      <c r="Q3018" s="93">
        <v>10</v>
      </c>
      <c r="R3018" s="93" t="s">
        <v>123</v>
      </c>
      <c r="S3018" s="93" t="s">
        <v>659</v>
      </c>
      <c r="T3018" s="93" t="s">
        <v>397</v>
      </c>
      <c r="U3018" s="93" t="s">
        <v>116</v>
      </c>
      <c r="V3018" s="94">
        <v>44628.530555555553</v>
      </c>
      <c r="W3018" s="93" t="s">
        <v>1170</v>
      </c>
      <c r="X3018" s="93" t="s">
        <v>24</v>
      </c>
    </row>
    <row r="3019" spans="1:24" hidden="1" x14ac:dyDescent="0.15">
      <c r="A3019" s="93" t="s">
        <v>4502</v>
      </c>
      <c r="B3019" s="93" t="s">
        <v>4503</v>
      </c>
      <c r="C3019" s="410">
        <v>47.25</v>
      </c>
      <c r="D3019" s="93" t="s">
        <v>24</v>
      </c>
      <c r="E3019" s="93" t="s">
        <v>24</v>
      </c>
      <c r="F3019" s="93" t="s">
        <v>7070</v>
      </c>
      <c r="G3019" s="93" t="s">
        <v>8237</v>
      </c>
      <c r="H3019" s="93" t="s">
        <v>11</v>
      </c>
      <c r="I3019" s="93" t="s">
        <v>111</v>
      </c>
      <c r="J3019" s="93" t="s">
        <v>963</v>
      </c>
      <c r="K3019" s="93">
        <v>60</v>
      </c>
      <c r="L3019" s="93" t="s">
        <v>111</v>
      </c>
      <c r="M3019" s="93">
        <v>0.1</v>
      </c>
      <c r="N3019" s="93" t="s">
        <v>111</v>
      </c>
      <c r="O3019" s="93">
        <v>3</v>
      </c>
      <c r="P3019" s="93">
        <v>30</v>
      </c>
      <c r="Q3019" s="93">
        <v>20</v>
      </c>
      <c r="R3019" s="93" t="s">
        <v>4195</v>
      </c>
      <c r="S3019" s="93" t="s">
        <v>659</v>
      </c>
      <c r="T3019" s="93" t="s">
        <v>115</v>
      </c>
      <c r="U3019" s="93" t="s">
        <v>116</v>
      </c>
      <c r="V3019" s="94">
        <v>44628.595833333333</v>
      </c>
      <c r="W3019" s="93" t="s">
        <v>1170</v>
      </c>
      <c r="X3019" s="93" t="s">
        <v>24</v>
      </c>
    </row>
    <row r="3020" spans="1:24" hidden="1" x14ac:dyDescent="0.15">
      <c r="A3020" s="93" t="s">
        <v>4504</v>
      </c>
      <c r="B3020" s="93" t="s">
        <v>4505</v>
      </c>
      <c r="C3020" s="410">
        <v>7350</v>
      </c>
      <c r="D3020" s="93" t="s">
        <v>9</v>
      </c>
      <c r="E3020" s="93" t="s">
        <v>9</v>
      </c>
      <c r="F3020" s="93" t="s">
        <v>1648</v>
      </c>
      <c r="G3020" s="93" t="s">
        <v>8237</v>
      </c>
      <c r="H3020" s="93" t="s">
        <v>1943</v>
      </c>
      <c r="I3020" s="93" t="s">
        <v>111</v>
      </c>
      <c r="J3020" s="93" t="s">
        <v>963</v>
      </c>
      <c r="K3020" s="93">
        <v>60</v>
      </c>
      <c r="L3020" s="93" t="s">
        <v>111</v>
      </c>
      <c r="M3020" s="93">
        <v>10.4</v>
      </c>
      <c r="N3020" s="93" t="s">
        <v>111</v>
      </c>
      <c r="O3020" s="93">
        <v>26</v>
      </c>
      <c r="P3020" s="93">
        <v>44</v>
      </c>
      <c r="Q3020" s="93">
        <v>63</v>
      </c>
      <c r="R3020" s="93" t="s">
        <v>117</v>
      </c>
      <c r="S3020" s="93" t="s">
        <v>659</v>
      </c>
      <c r="T3020" s="93" t="s">
        <v>115</v>
      </c>
      <c r="U3020" s="93" t="s">
        <v>116</v>
      </c>
      <c r="V3020" s="94">
        <v>44628.595833333333</v>
      </c>
      <c r="W3020" s="93" t="s">
        <v>1170</v>
      </c>
      <c r="X3020" s="93" t="s">
        <v>24</v>
      </c>
    </row>
    <row r="3021" spans="1:24" hidden="1" x14ac:dyDescent="0.15">
      <c r="A3021" s="93" t="s">
        <v>4506</v>
      </c>
      <c r="B3021" s="93" t="s">
        <v>4507</v>
      </c>
      <c r="C3021" s="410">
        <v>7350</v>
      </c>
      <c r="D3021" s="93" t="s">
        <v>9</v>
      </c>
      <c r="E3021" s="93" t="s">
        <v>9</v>
      </c>
      <c r="F3021" s="93" t="s">
        <v>1648</v>
      </c>
      <c r="G3021" s="93" t="s">
        <v>8237</v>
      </c>
      <c r="H3021" s="93" t="s">
        <v>1943</v>
      </c>
      <c r="I3021" s="93" t="s">
        <v>111</v>
      </c>
      <c r="J3021" s="93" t="s">
        <v>963</v>
      </c>
      <c r="K3021" s="93">
        <v>60</v>
      </c>
      <c r="L3021" s="93" t="s">
        <v>111</v>
      </c>
      <c r="M3021" s="93">
        <v>10.4</v>
      </c>
      <c r="N3021" s="93" t="s">
        <v>111</v>
      </c>
      <c r="O3021" s="93">
        <v>26</v>
      </c>
      <c r="P3021" s="93">
        <v>44</v>
      </c>
      <c r="Q3021" s="93">
        <v>63</v>
      </c>
      <c r="R3021" s="93" t="s">
        <v>117</v>
      </c>
      <c r="S3021" s="93" t="s">
        <v>659</v>
      </c>
      <c r="T3021" s="93" t="s">
        <v>115</v>
      </c>
      <c r="U3021" s="93" t="s">
        <v>116</v>
      </c>
      <c r="V3021" s="94">
        <v>44628.530555555553</v>
      </c>
      <c r="W3021" s="93" t="s">
        <v>1170</v>
      </c>
      <c r="X3021" s="93" t="s">
        <v>24</v>
      </c>
    </row>
    <row r="3022" spans="1:24" hidden="1" x14ac:dyDescent="0.15">
      <c r="A3022" s="93" t="s">
        <v>4508</v>
      </c>
      <c r="B3022" s="93" t="s">
        <v>4509</v>
      </c>
      <c r="C3022" s="410">
        <v>126</v>
      </c>
      <c r="D3022" s="93" t="s">
        <v>24</v>
      </c>
      <c r="E3022" s="93" t="s">
        <v>24</v>
      </c>
      <c r="F3022" s="93" t="s">
        <v>7070</v>
      </c>
      <c r="G3022" s="93" t="s">
        <v>8237</v>
      </c>
      <c r="H3022" s="93" t="s">
        <v>11</v>
      </c>
      <c r="I3022" s="93" t="s">
        <v>111</v>
      </c>
      <c r="J3022" s="93" t="s">
        <v>390</v>
      </c>
      <c r="K3022" s="93">
        <v>80</v>
      </c>
      <c r="L3022" s="93" t="s">
        <v>111</v>
      </c>
      <c r="M3022" s="93">
        <v>0.05</v>
      </c>
      <c r="N3022" s="93" t="s">
        <v>111</v>
      </c>
      <c r="O3022" s="93">
        <v>3</v>
      </c>
      <c r="P3022" s="93">
        <v>3</v>
      </c>
      <c r="Q3022" s="93">
        <v>20</v>
      </c>
      <c r="R3022" s="93" t="s">
        <v>114</v>
      </c>
      <c r="S3022" s="93" t="s">
        <v>659</v>
      </c>
      <c r="T3022" s="93" t="s">
        <v>115</v>
      </c>
      <c r="U3022" s="93" t="s">
        <v>116</v>
      </c>
      <c r="V3022" s="94">
        <v>44628.595833333333</v>
      </c>
      <c r="W3022" s="93" t="s">
        <v>1170</v>
      </c>
      <c r="X3022" s="93" t="s">
        <v>24</v>
      </c>
    </row>
    <row r="3023" spans="1:24" hidden="1" x14ac:dyDescent="0.15">
      <c r="A3023" s="93" t="s">
        <v>4510</v>
      </c>
      <c r="B3023" s="93" t="s">
        <v>9409</v>
      </c>
      <c r="C3023" s="410">
        <v>236.25</v>
      </c>
      <c r="D3023" s="93" t="s">
        <v>24</v>
      </c>
      <c r="E3023" s="93" t="s">
        <v>24</v>
      </c>
      <c r="F3023" s="93" t="s">
        <v>7070</v>
      </c>
      <c r="G3023" s="93" t="s">
        <v>8237</v>
      </c>
      <c r="H3023" s="93" t="s">
        <v>1198</v>
      </c>
      <c r="I3023" s="93" t="s">
        <v>111</v>
      </c>
      <c r="J3023" s="93" t="s">
        <v>1759</v>
      </c>
      <c r="K3023" s="93">
        <v>70</v>
      </c>
      <c r="L3023" s="93" t="s">
        <v>111</v>
      </c>
      <c r="M3023" s="93">
        <v>0.05</v>
      </c>
      <c r="N3023" s="93" t="s">
        <v>111</v>
      </c>
      <c r="O3023" s="93">
        <v>4.3</v>
      </c>
      <c r="P3023" s="93">
        <v>7.2</v>
      </c>
      <c r="Q3023" s="93">
        <v>7.2</v>
      </c>
      <c r="R3023" s="93" t="s">
        <v>117</v>
      </c>
      <c r="S3023" s="93" t="s">
        <v>659</v>
      </c>
      <c r="T3023" s="93" t="s">
        <v>115</v>
      </c>
      <c r="U3023" s="93" t="s">
        <v>116</v>
      </c>
      <c r="V3023" s="94">
        <v>44628.573611111111</v>
      </c>
      <c r="W3023" s="93" t="s">
        <v>1170</v>
      </c>
      <c r="X3023" s="93" t="s">
        <v>24</v>
      </c>
    </row>
    <row r="3024" spans="1:24" hidden="1" x14ac:dyDescent="0.15">
      <c r="A3024" s="93" t="s">
        <v>4511</v>
      </c>
      <c r="B3024" s="93" t="s">
        <v>9410</v>
      </c>
      <c r="C3024" s="410">
        <v>236.25</v>
      </c>
      <c r="D3024" s="93" t="s">
        <v>24</v>
      </c>
      <c r="E3024" s="93" t="s">
        <v>24</v>
      </c>
      <c r="F3024" s="93" t="s">
        <v>7070</v>
      </c>
      <c r="G3024" s="93" t="s">
        <v>8237</v>
      </c>
      <c r="H3024" s="93" t="s">
        <v>1198</v>
      </c>
      <c r="I3024" s="93" t="s">
        <v>111</v>
      </c>
      <c r="J3024" s="93" t="s">
        <v>1759</v>
      </c>
      <c r="K3024" s="93">
        <v>70</v>
      </c>
      <c r="L3024" s="93" t="s">
        <v>111</v>
      </c>
      <c r="M3024" s="93">
        <v>0.05</v>
      </c>
      <c r="N3024" s="93" t="s">
        <v>111</v>
      </c>
      <c r="O3024" s="93">
        <v>4.3</v>
      </c>
      <c r="P3024" s="93">
        <v>7.2</v>
      </c>
      <c r="Q3024" s="93">
        <v>7.2</v>
      </c>
      <c r="R3024" s="93" t="s">
        <v>117</v>
      </c>
      <c r="S3024" s="93" t="s">
        <v>659</v>
      </c>
      <c r="T3024" s="93" t="s">
        <v>115</v>
      </c>
      <c r="U3024" s="93" t="s">
        <v>116</v>
      </c>
      <c r="V3024" s="94">
        <v>44628.465277777781</v>
      </c>
      <c r="W3024" s="93" t="s">
        <v>1170</v>
      </c>
      <c r="X3024" s="93" t="s">
        <v>24</v>
      </c>
    </row>
    <row r="3025" spans="1:24" hidden="1" x14ac:dyDescent="0.15">
      <c r="A3025" s="93" t="s">
        <v>4512</v>
      </c>
      <c r="B3025" s="93" t="s">
        <v>9411</v>
      </c>
      <c r="C3025" s="410">
        <v>236.25</v>
      </c>
      <c r="D3025" s="93" t="s">
        <v>24</v>
      </c>
      <c r="E3025" s="93" t="s">
        <v>24</v>
      </c>
      <c r="F3025" s="93" t="s">
        <v>7070</v>
      </c>
      <c r="G3025" s="93" t="s">
        <v>8237</v>
      </c>
      <c r="H3025" s="93" t="s">
        <v>1198</v>
      </c>
      <c r="I3025" s="93" t="s">
        <v>111</v>
      </c>
      <c r="J3025" s="93" t="s">
        <v>1759</v>
      </c>
      <c r="K3025" s="93">
        <v>70</v>
      </c>
      <c r="L3025" s="93" t="s">
        <v>111</v>
      </c>
      <c r="M3025" s="93">
        <v>0.05</v>
      </c>
      <c r="N3025" s="93" t="s">
        <v>111</v>
      </c>
      <c r="O3025" s="93">
        <v>4.3</v>
      </c>
      <c r="P3025" s="93">
        <v>7.2</v>
      </c>
      <c r="Q3025" s="93">
        <v>7.2</v>
      </c>
      <c r="R3025" s="93" t="s">
        <v>117</v>
      </c>
      <c r="S3025" s="93" t="s">
        <v>659</v>
      </c>
      <c r="T3025" s="93" t="s">
        <v>115</v>
      </c>
      <c r="U3025" s="93" t="s">
        <v>116</v>
      </c>
      <c r="V3025" s="94">
        <v>44628.573611111111</v>
      </c>
      <c r="W3025" s="93" t="s">
        <v>1170</v>
      </c>
      <c r="X3025" s="93" t="s">
        <v>24</v>
      </c>
    </row>
    <row r="3026" spans="1:24" hidden="1" x14ac:dyDescent="0.15">
      <c r="A3026" s="93" t="s">
        <v>4513</v>
      </c>
      <c r="B3026" s="93" t="s">
        <v>9412</v>
      </c>
      <c r="C3026" s="410">
        <v>236.25</v>
      </c>
      <c r="D3026" s="93" t="s">
        <v>24</v>
      </c>
      <c r="E3026" s="93" t="s">
        <v>24</v>
      </c>
      <c r="F3026" s="93" t="s">
        <v>7070</v>
      </c>
      <c r="G3026" s="93" t="s">
        <v>8237</v>
      </c>
      <c r="H3026" s="93" t="s">
        <v>1198</v>
      </c>
      <c r="I3026" s="93" t="s">
        <v>111</v>
      </c>
      <c r="J3026" s="93" t="s">
        <v>1759</v>
      </c>
      <c r="K3026" s="93">
        <v>70</v>
      </c>
      <c r="L3026" s="93" t="s">
        <v>111</v>
      </c>
      <c r="M3026" s="93">
        <v>0.05</v>
      </c>
      <c r="N3026" s="93" t="s">
        <v>111</v>
      </c>
      <c r="O3026" s="93">
        <v>4.3</v>
      </c>
      <c r="P3026" s="93">
        <v>7.2</v>
      </c>
      <c r="Q3026" s="93">
        <v>7.2</v>
      </c>
      <c r="R3026" s="93" t="s">
        <v>117</v>
      </c>
      <c r="S3026" s="93" t="s">
        <v>659</v>
      </c>
      <c r="T3026" s="93" t="s">
        <v>115</v>
      </c>
      <c r="U3026" s="93" t="s">
        <v>116</v>
      </c>
      <c r="V3026" s="94">
        <v>44628.465277777781</v>
      </c>
      <c r="W3026" s="93" t="s">
        <v>1170</v>
      </c>
      <c r="X3026" s="93" t="s">
        <v>24</v>
      </c>
    </row>
    <row r="3027" spans="1:24" hidden="1" x14ac:dyDescent="0.15">
      <c r="A3027" s="93" t="s">
        <v>4514</v>
      </c>
      <c r="B3027" s="93" t="s">
        <v>4515</v>
      </c>
      <c r="C3027" s="410">
        <v>336</v>
      </c>
      <c r="D3027" s="93" t="s">
        <v>24</v>
      </c>
      <c r="E3027" s="93" t="s">
        <v>24</v>
      </c>
      <c r="F3027" s="93" t="s">
        <v>7070</v>
      </c>
      <c r="G3027" s="93" t="s">
        <v>8237</v>
      </c>
      <c r="H3027" s="93" t="s">
        <v>11</v>
      </c>
      <c r="I3027" s="93" t="s">
        <v>111</v>
      </c>
      <c r="J3027" s="93" t="s">
        <v>390</v>
      </c>
      <c r="K3027" s="93">
        <v>80</v>
      </c>
      <c r="L3027" s="93" t="s">
        <v>111</v>
      </c>
      <c r="M3027" s="93">
        <v>10</v>
      </c>
      <c r="N3027" s="93" t="s">
        <v>111</v>
      </c>
      <c r="O3027" s="93">
        <v>41</v>
      </c>
      <c r="P3027" s="93">
        <v>32</v>
      </c>
      <c r="Q3027" s="93">
        <v>53</v>
      </c>
      <c r="R3027" s="93" t="s">
        <v>4205</v>
      </c>
      <c r="S3027" s="93" t="s">
        <v>20</v>
      </c>
      <c r="T3027" s="93" t="s">
        <v>115</v>
      </c>
      <c r="U3027" s="93" t="s">
        <v>116</v>
      </c>
      <c r="V3027" s="94">
        <v>44628.573611111111</v>
      </c>
      <c r="W3027" s="93" t="s">
        <v>1170</v>
      </c>
      <c r="X3027" s="93" t="s">
        <v>24</v>
      </c>
    </row>
    <row r="3028" spans="1:24" hidden="1" x14ac:dyDescent="0.15">
      <c r="A3028" s="93" t="s">
        <v>4516</v>
      </c>
      <c r="B3028" s="93" t="s">
        <v>4517</v>
      </c>
      <c r="C3028" s="410">
        <v>418.95</v>
      </c>
      <c r="D3028" s="93" t="s">
        <v>24</v>
      </c>
      <c r="E3028" s="93" t="s">
        <v>24</v>
      </c>
      <c r="F3028" s="93" t="s">
        <v>7070</v>
      </c>
      <c r="G3028" s="93" t="s">
        <v>8237</v>
      </c>
      <c r="H3028" s="93" t="s">
        <v>11</v>
      </c>
      <c r="I3028" s="93" t="s">
        <v>111</v>
      </c>
      <c r="J3028" s="93" t="s">
        <v>390</v>
      </c>
      <c r="K3028" s="93">
        <v>80</v>
      </c>
      <c r="L3028" s="93" t="s">
        <v>111</v>
      </c>
      <c r="M3028" s="93" t="s">
        <v>111</v>
      </c>
      <c r="N3028" s="93" t="s">
        <v>111</v>
      </c>
      <c r="O3028" s="93" t="s">
        <v>111</v>
      </c>
      <c r="P3028" s="93" t="s">
        <v>111</v>
      </c>
      <c r="Q3028" s="93" t="s">
        <v>111</v>
      </c>
      <c r="R3028" s="93" t="s">
        <v>385</v>
      </c>
      <c r="S3028" s="93" t="s">
        <v>20</v>
      </c>
      <c r="T3028" s="93" t="s">
        <v>115</v>
      </c>
      <c r="U3028" s="93" t="s">
        <v>116</v>
      </c>
      <c r="V3028" s="94">
        <v>44628.595833333333</v>
      </c>
      <c r="W3028" s="93" t="s">
        <v>1170</v>
      </c>
      <c r="X3028" s="93" t="s">
        <v>24</v>
      </c>
    </row>
    <row r="3029" spans="1:24" hidden="1" x14ac:dyDescent="0.15">
      <c r="A3029" s="93" t="s">
        <v>4518</v>
      </c>
      <c r="B3029" s="93" t="s">
        <v>4519</v>
      </c>
      <c r="C3029" s="410">
        <v>7350</v>
      </c>
      <c r="D3029" s="93" t="s">
        <v>9</v>
      </c>
      <c r="E3029" s="93" t="s">
        <v>9</v>
      </c>
      <c r="F3029" s="93" t="s">
        <v>1648</v>
      </c>
      <c r="G3029" s="93" t="s">
        <v>8237</v>
      </c>
      <c r="H3029" s="93" t="s">
        <v>1943</v>
      </c>
      <c r="I3029" s="93" t="s">
        <v>111</v>
      </c>
      <c r="J3029" s="93" t="s">
        <v>963</v>
      </c>
      <c r="K3029" s="93">
        <v>60</v>
      </c>
      <c r="L3029" s="93" t="s">
        <v>111</v>
      </c>
      <c r="M3029" s="93">
        <v>10.4</v>
      </c>
      <c r="N3029" s="93" t="s">
        <v>111</v>
      </c>
      <c r="O3029" s="93">
        <v>26</v>
      </c>
      <c r="P3029" s="93">
        <v>44</v>
      </c>
      <c r="Q3029" s="93">
        <v>63</v>
      </c>
      <c r="R3029" s="93" t="s">
        <v>117</v>
      </c>
      <c r="S3029" s="93" t="s">
        <v>659</v>
      </c>
      <c r="T3029" s="93" t="s">
        <v>115</v>
      </c>
      <c r="U3029" s="93" t="s">
        <v>116</v>
      </c>
      <c r="V3029" s="94">
        <v>44628.629861111112</v>
      </c>
      <c r="W3029" s="93" t="s">
        <v>1170</v>
      </c>
      <c r="X3029" s="93" t="s">
        <v>24</v>
      </c>
    </row>
    <row r="3030" spans="1:24" hidden="1" x14ac:dyDescent="0.15">
      <c r="A3030" s="93" t="s">
        <v>4520</v>
      </c>
      <c r="B3030" s="93" t="s">
        <v>4521</v>
      </c>
      <c r="C3030" s="410">
        <v>7350</v>
      </c>
      <c r="D3030" s="93" t="s">
        <v>9</v>
      </c>
      <c r="E3030" s="93" t="s">
        <v>9</v>
      </c>
      <c r="F3030" s="93" t="s">
        <v>1648</v>
      </c>
      <c r="G3030" s="93" t="s">
        <v>8237</v>
      </c>
      <c r="H3030" s="93" t="s">
        <v>1943</v>
      </c>
      <c r="I3030" s="93" t="s">
        <v>111</v>
      </c>
      <c r="J3030" s="93" t="s">
        <v>963</v>
      </c>
      <c r="K3030" s="93">
        <v>60</v>
      </c>
      <c r="L3030" s="93" t="s">
        <v>111</v>
      </c>
      <c r="M3030" s="93">
        <v>10.4</v>
      </c>
      <c r="N3030" s="93" t="s">
        <v>111</v>
      </c>
      <c r="O3030" s="93">
        <v>26</v>
      </c>
      <c r="P3030" s="93">
        <v>44</v>
      </c>
      <c r="Q3030" s="93">
        <v>63</v>
      </c>
      <c r="R3030" s="93" t="s">
        <v>117</v>
      </c>
      <c r="S3030" s="93" t="s">
        <v>659</v>
      </c>
      <c r="T3030" s="93" t="s">
        <v>115</v>
      </c>
      <c r="U3030" s="93" t="s">
        <v>116</v>
      </c>
      <c r="V3030" s="94">
        <v>44628.629861111112</v>
      </c>
      <c r="W3030" s="93" t="s">
        <v>1170</v>
      </c>
      <c r="X3030" s="93" t="s">
        <v>24</v>
      </c>
    </row>
    <row r="3031" spans="1:24" hidden="1" x14ac:dyDescent="0.15">
      <c r="A3031" s="93" t="s">
        <v>4522</v>
      </c>
      <c r="B3031" s="93" t="s">
        <v>4523</v>
      </c>
      <c r="C3031" s="410">
        <v>7350</v>
      </c>
      <c r="D3031" s="93" t="s">
        <v>9</v>
      </c>
      <c r="E3031" s="93" t="s">
        <v>9</v>
      </c>
      <c r="F3031" s="93" t="s">
        <v>1648</v>
      </c>
      <c r="G3031" s="93" t="s">
        <v>8237</v>
      </c>
      <c r="H3031" s="93" t="s">
        <v>1943</v>
      </c>
      <c r="I3031" s="93" t="s">
        <v>111</v>
      </c>
      <c r="J3031" s="93" t="s">
        <v>963</v>
      </c>
      <c r="K3031" s="93">
        <v>60</v>
      </c>
      <c r="L3031" s="93" t="s">
        <v>111</v>
      </c>
      <c r="M3031" s="93">
        <v>10.4</v>
      </c>
      <c r="N3031" s="93" t="s">
        <v>111</v>
      </c>
      <c r="O3031" s="93">
        <v>26</v>
      </c>
      <c r="P3031" s="93">
        <v>44</v>
      </c>
      <c r="Q3031" s="93">
        <v>63</v>
      </c>
      <c r="R3031" s="93" t="s">
        <v>117</v>
      </c>
      <c r="S3031" s="93" t="s">
        <v>659</v>
      </c>
      <c r="T3031" s="93" t="s">
        <v>115</v>
      </c>
      <c r="U3031" s="93" t="s">
        <v>119</v>
      </c>
      <c r="V3031" s="94">
        <v>44628.595138888886</v>
      </c>
      <c r="W3031" s="93" t="s">
        <v>1170</v>
      </c>
      <c r="X3031" s="93" t="s">
        <v>24</v>
      </c>
    </row>
    <row r="3032" spans="1:24" hidden="1" x14ac:dyDescent="0.15">
      <c r="A3032" s="93" t="s">
        <v>4524</v>
      </c>
      <c r="B3032" s="93" t="s">
        <v>4525</v>
      </c>
      <c r="C3032" s="410">
        <v>3570</v>
      </c>
      <c r="D3032" s="93" t="s">
        <v>24</v>
      </c>
      <c r="E3032" s="93" t="s">
        <v>24</v>
      </c>
      <c r="F3032" s="93" t="s">
        <v>7070</v>
      </c>
      <c r="G3032" s="93" t="s">
        <v>8237</v>
      </c>
      <c r="H3032" s="93" t="s">
        <v>11</v>
      </c>
      <c r="I3032" s="93" t="s">
        <v>111</v>
      </c>
      <c r="J3032" s="93" t="s">
        <v>963</v>
      </c>
      <c r="K3032" s="93">
        <v>60</v>
      </c>
      <c r="L3032" s="93" t="s">
        <v>111</v>
      </c>
      <c r="M3032" s="93" t="s">
        <v>111</v>
      </c>
      <c r="N3032" s="93" t="s">
        <v>111</v>
      </c>
      <c r="O3032" s="93" t="s">
        <v>111</v>
      </c>
      <c r="P3032" s="93" t="s">
        <v>111</v>
      </c>
      <c r="Q3032" s="93" t="s">
        <v>111</v>
      </c>
      <c r="R3032" s="93" t="s">
        <v>117</v>
      </c>
      <c r="S3032" s="93" t="s">
        <v>2</v>
      </c>
      <c r="T3032" s="93" t="s">
        <v>115</v>
      </c>
      <c r="U3032" s="93" t="s">
        <v>116</v>
      </c>
      <c r="V3032" s="94">
        <v>44628.529166666667</v>
      </c>
      <c r="W3032" s="93" t="s">
        <v>1170</v>
      </c>
      <c r="X3032" s="93" t="s">
        <v>24</v>
      </c>
    </row>
    <row r="3033" spans="1:24" hidden="1" x14ac:dyDescent="0.15">
      <c r="A3033" s="93" t="s">
        <v>9413</v>
      </c>
      <c r="B3033" s="93" t="s">
        <v>9414</v>
      </c>
      <c r="C3033" s="410">
        <v>7350</v>
      </c>
      <c r="D3033" s="93" t="s">
        <v>9</v>
      </c>
      <c r="E3033" s="93" t="s">
        <v>24</v>
      </c>
      <c r="F3033" s="93" t="s">
        <v>1648</v>
      </c>
      <c r="G3033" s="93" t="s">
        <v>8237</v>
      </c>
      <c r="H3033" s="93" t="s">
        <v>1943</v>
      </c>
      <c r="I3033" s="93" t="s">
        <v>111</v>
      </c>
      <c r="J3033" s="93" t="s">
        <v>963</v>
      </c>
      <c r="K3033" s="93">
        <v>60</v>
      </c>
      <c r="L3033" s="93" t="s">
        <v>111</v>
      </c>
      <c r="M3033" s="93">
        <v>10.4</v>
      </c>
      <c r="N3033" s="93" t="s">
        <v>111</v>
      </c>
      <c r="O3033" s="93">
        <v>26</v>
      </c>
      <c r="P3033" s="93">
        <v>44</v>
      </c>
      <c r="Q3033" s="93">
        <v>63</v>
      </c>
      <c r="R3033" s="93" t="s">
        <v>117</v>
      </c>
      <c r="S3033" s="93" t="s">
        <v>659</v>
      </c>
      <c r="T3033" s="93" t="s">
        <v>115</v>
      </c>
      <c r="U3033" s="93" t="s">
        <v>116</v>
      </c>
      <c r="V3033" s="94">
        <v>44628.551388888889</v>
      </c>
      <c r="W3033" s="93" t="s">
        <v>1170</v>
      </c>
      <c r="X3033" s="93" t="s">
        <v>24</v>
      </c>
    </row>
    <row r="3034" spans="1:24" hidden="1" x14ac:dyDescent="0.15">
      <c r="A3034" s="93" t="s">
        <v>9415</v>
      </c>
      <c r="B3034" s="93" t="s">
        <v>9416</v>
      </c>
      <c r="C3034" s="410">
        <v>7350</v>
      </c>
      <c r="D3034" s="93" t="s">
        <v>9</v>
      </c>
      <c r="E3034" s="93" t="s">
        <v>9</v>
      </c>
      <c r="F3034" s="93" t="s">
        <v>1648</v>
      </c>
      <c r="G3034" s="93" t="s">
        <v>8237</v>
      </c>
      <c r="H3034" s="93" t="s">
        <v>1943</v>
      </c>
      <c r="I3034" s="93" t="s">
        <v>111</v>
      </c>
      <c r="J3034" s="93" t="s">
        <v>963</v>
      </c>
      <c r="K3034" s="93">
        <v>60</v>
      </c>
      <c r="L3034" s="93" t="s">
        <v>111</v>
      </c>
      <c r="M3034" s="93">
        <v>10.4</v>
      </c>
      <c r="N3034" s="93" t="s">
        <v>111</v>
      </c>
      <c r="O3034" s="93">
        <v>26</v>
      </c>
      <c r="P3034" s="93">
        <v>44</v>
      </c>
      <c r="Q3034" s="93">
        <v>63</v>
      </c>
      <c r="R3034" s="93" t="s">
        <v>117</v>
      </c>
      <c r="S3034" s="93" t="s">
        <v>659</v>
      </c>
      <c r="T3034" s="93" t="s">
        <v>115</v>
      </c>
      <c r="U3034" s="93" t="s">
        <v>116</v>
      </c>
      <c r="V3034" s="94">
        <v>44628.594444444447</v>
      </c>
      <c r="W3034" s="93" t="s">
        <v>1170</v>
      </c>
      <c r="X3034" s="93" t="s">
        <v>24</v>
      </c>
    </row>
    <row r="3035" spans="1:24" hidden="1" x14ac:dyDescent="0.15">
      <c r="A3035" s="93" t="s">
        <v>9417</v>
      </c>
      <c r="B3035" s="93" t="s">
        <v>9418</v>
      </c>
      <c r="C3035" s="410">
        <v>7350</v>
      </c>
      <c r="D3035" s="93" t="s">
        <v>9</v>
      </c>
      <c r="E3035" s="93" t="s">
        <v>9</v>
      </c>
      <c r="F3035" s="93" t="s">
        <v>1648</v>
      </c>
      <c r="G3035" s="93" t="s">
        <v>8237</v>
      </c>
      <c r="H3035" s="93" t="s">
        <v>1943</v>
      </c>
      <c r="I3035" s="93" t="s">
        <v>111</v>
      </c>
      <c r="J3035" s="93" t="s">
        <v>963</v>
      </c>
      <c r="K3035" s="93">
        <v>60</v>
      </c>
      <c r="L3035" s="93" t="s">
        <v>111</v>
      </c>
      <c r="M3035" s="93">
        <v>10.4</v>
      </c>
      <c r="N3035" s="93" t="s">
        <v>111</v>
      </c>
      <c r="O3035" s="93">
        <v>26</v>
      </c>
      <c r="P3035" s="93">
        <v>44</v>
      </c>
      <c r="Q3035" s="93">
        <v>63</v>
      </c>
      <c r="R3035" s="93" t="s">
        <v>117</v>
      </c>
      <c r="S3035" s="93" t="s">
        <v>659</v>
      </c>
      <c r="T3035" s="93" t="s">
        <v>1659</v>
      </c>
      <c r="U3035" s="93" t="s">
        <v>116</v>
      </c>
      <c r="V3035" s="94">
        <v>44628.464583333334</v>
      </c>
      <c r="W3035" s="93" t="s">
        <v>1170</v>
      </c>
      <c r="X3035" s="93" t="s">
        <v>24</v>
      </c>
    </row>
    <row r="3036" spans="1:24" hidden="1" x14ac:dyDescent="0.15">
      <c r="A3036" s="93" t="s">
        <v>9419</v>
      </c>
      <c r="B3036" s="93" t="s">
        <v>9420</v>
      </c>
      <c r="C3036" s="410">
        <v>7350</v>
      </c>
      <c r="D3036" s="93" t="s">
        <v>9</v>
      </c>
      <c r="E3036" s="93" t="s">
        <v>9</v>
      </c>
      <c r="F3036" s="93" t="s">
        <v>1648</v>
      </c>
      <c r="G3036" s="93" t="s">
        <v>8237</v>
      </c>
      <c r="H3036" s="93" t="s">
        <v>1943</v>
      </c>
      <c r="I3036" s="93" t="s">
        <v>111</v>
      </c>
      <c r="J3036" s="93" t="s">
        <v>963</v>
      </c>
      <c r="K3036" s="93">
        <v>60</v>
      </c>
      <c r="L3036" s="93" t="s">
        <v>111</v>
      </c>
      <c r="M3036" s="93">
        <v>10.4</v>
      </c>
      <c r="N3036" s="93" t="s">
        <v>111</v>
      </c>
      <c r="O3036" s="93">
        <v>26</v>
      </c>
      <c r="P3036" s="93">
        <v>44</v>
      </c>
      <c r="Q3036" s="93">
        <v>63</v>
      </c>
      <c r="R3036" s="93" t="s">
        <v>117</v>
      </c>
      <c r="S3036" s="93" t="s">
        <v>659</v>
      </c>
      <c r="T3036" s="93" t="s">
        <v>1659</v>
      </c>
      <c r="U3036" s="93" t="s">
        <v>116</v>
      </c>
      <c r="V3036" s="94">
        <v>44628.529166666667</v>
      </c>
      <c r="W3036" s="93" t="s">
        <v>1170</v>
      </c>
      <c r="X3036" s="93" t="s">
        <v>24</v>
      </c>
    </row>
    <row r="3037" spans="1:24" hidden="1" x14ac:dyDescent="0.15">
      <c r="A3037" s="93" t="s">
        <v>9421</v>
      </c>
      <c r="B3037" s="93" t="s">
        <v>9422</v>
      </c>
      <c r="C3037" s="410">
        <v>7350</v>
      </c>
      <c r="D3037" s="93" t="s">
        <v>9</v>
      </c>
      <c r="E3037" s="93" t="s">
        <v>9</v>
      </c>
      <c r="F3037" s="93" t="s">
        <v>1648</v>
      </c>
      <c r="G3037" s="93" t="s">
        <v>8237</v>
      </c>
      <c r="H3037" s="93" t="s">
        <v>1943</v>
      </c>
      <c r="I3037" s="93" t="s">
        <v>111</v>
      </c>
      <c r="J3037" s="93" t="s">
        <v>963</v>
      </c>
      <c r="K3037" s="93">
        <v>60</v>
      </c>
      <c r="L3037" s="93" t="s">
        <v>111</v>
      </c>
      <c r="M3037" s="93">
        <v>10.4</v>
      </c>
      <c r="N3037" s="93" t="s">
        <v>111</v>
      </c>
      <c r="O3037" s="93">
        <v>26</v>
      </c>
      <c r="P3037" s="93">
        <v>44</v>
      </c>
      <c r="Q3037" s="93">
        <v>63</v>
      </c>
      <c r="R3037" s="93" t="s">
        <v>117</v>
      </c>
      <c r="S3037" s="93" t="s">
        <v>659</v>
      </c>
      <c r="T3037" s="93" t="s">
        <v>1659</v>
      </c>
      <c r="U3037" s="93" t="s">
        <v>116</v>
      </c>
      <c r="V3037" s="94">
        <v>44628.464583333334</v>
      </c>
      <c r="W3037" s="93" t="s">
        <v>1170</v>
      </c>
      <c r="X3037" s="93" t="s">
        <v>24</v>
      </c>
    </row>
    <row r="3038" spans="1:24" hidden="1" x14ac:dyDescent="0.15">
      <c r="A3038" s="93" t="s">
        <v>9423</v>
      </c>
      <c r="B3038" s="93" t="s">
        <v>9424</v>
      </c>
      <c r="C3038" s="410">
        <v>7350</v>
      </c>
      <c r="D3038" s="93" t="s">
        <v>9</v>
      </c>
      <c r="E3038" s="93" t="s">
        <v>9</v>
      </c>
      <c r="F3038" s="93" t="s">
        <v>1648</v>
      </c>
      <c r="G3038" s="93" t="s">
        <v>8237</v>
      </c>
      <c r="H3038" s="93" t="s">
        <v>1943</v>
      </c>
      <c r="I3038" s="93" t="s">
        <v>111</v>
      </c>
      <c r="J3038" s="93" t="s">
        <v>963</v>
      </c>
      <c r="K3038" s="93">
        <v>60</v>
      </c>
      <c r="L3038" s="93" t="s">
        <v>111</v>
      </c>
      <c r="M3038" s="93">
        <v>10.4</v>
      </c>
      <c r="N3038" s="93" t="s">
        <v>111</v>
      </c>
      <c r="O3038" s="93">
        <v>26</v>
      </c>
      <c r="P3038" s="93">
        <v>44</v>
      </c>
      <c r="Q3038" s="93">
        <v>63</v>
      </c>
      <c r="R3038" s="93" t="s">
        <v>117</v>
      </c>
      <c r="S3038" s="93" t="s">
        <v>659</v>
      </c>
      <c r="T3038" s="93" t="s">
        <v>1659</v>
      </c>
      <c r="U3038" s="93" t="s">
        <v>116</v>
      </c>
      <c r="V3038" s="94">
        <v>44628.629166666666</v>
      </c>
      <c r="W3038" s="93" t="s">
        <v>1170</v>
      </c>
      <c r="X3038" s="93" t="s">
        <v>24</v>
      </c>
    </row>
    <row r="3039" spans="1:24" hidden="1" x14ac:dyDescent="0.15">
      <c r="A3039" s="93" t="s">
        <v>9425</v>
      </c>
      <c r="B3039" s="93" t="s">
        <v>9426</v>
      </c>
      <c r="C3039" s="410">
        <v>7350</v>
      </c>
      <c r="D3039" s="93" t="s">
        <v>24</v>
      </c>
      <c r="E3039" s="93" t="s">
        <v>9</v>
      </c>
      <c r="F3039" s="93" t="s">
        <v>1648</v>
      </c>
      <c r="G3039" s="93" t="s">
        <v>8237</v>
      </c>
      <c r="H3039" s="93" t="s">
        <v>11</v>
      </c>
      <c r="I3039" s="93" t="s">
        <v>111</v>
      </c>
      <c r="J3039" s="93" t="s">
        <v>963</v>
      </c>
      <c r="K3039" s="93">
        <v>60</v>
      </c>
      <c r="L3039" s="93">
        <v>1</v>
      </c>
      <c r="M3039" s="93">
        <v>10.4</v>
      </c>
      <c r="N3039" s="93" t="s">
        <v>113</v>
      </c>
      <c r="O3039" s="93" t="s">
        <v>111</v>
      </c>
      <c r="P3039" s="93" t="s">
        <v>111</v>
      </c>
      <c r="Q3039" s="93" t="s">
        <v>111</v>
      </c>
      <c r="R3039" s="93" t="s">
        <v>117</v>
      </c>
      <c r="S3039" s="93" t="s">
        <v>659</v>
      </c>
      <c r="T3039" s="93" t="s">
        <v>115</v>
      </c>
      <c r="U3039" s="93" t="s">
        <v>116</v>
      </c>
      <c r="V3039" s="94">
        <v>44628.550694444442</v>
      </c>
      <c r="W3039" s="93" t="s">
        <v>1170</v>
      </c>
      <c r="X3039" s="93" t="s">
        <v>24</v>
      </c>
    </row>
    <row r="3040" spans="1:24" hidden="1" x14ac:dyDescent="0.15">
      <c r="A3040" s="93" t="s">
        <v>9427</v>
      </c>
      <c r="B3040" s="93" t="s">
        <v>9428</v>
      </c>
      <c r="C3040" s="410">
        <v>7350</v>
      </c>
      <c r="D3040" s="93" t="s">
        <v>24</v>
      </c>
      <c r="E3040" s="93" t="s">
        <v>9</v>
      </c>
      <c r="F3040" s="93" t="s">
        <v>1648</v>
      </c>
      <c r="G3040" s="93" t="s">
        <v>8237</v>
      </c>
      <c r="H3040" s="93" t="s">
        <v>1943</v>
      </c>
      <c r="I3040" s="93" t="s">
        <v>111</v>
      </c>
      <c r="J3040" s="93" t="s">
        <v>963</v>
      </c>
      <c r="K3040" s="93">
        <v>60</v>
      </c>
      <c r="L3040" s="93" t="s">
        <v>111</v>
      </c>
      <c r="M3040" s="93" t="s">
        <v>111</v>
      </c>
      <c r="N3040" s="93" t="s">
        <v>111</v>
      </c>
      <c r="O3040" s="93" t="s">
        <v>111</v>
      </c>
      <c r="P3040" s="93" t="s">
        <v>111</v>
      </c>
      <c r="Q3040" s="93" t="s">
        <v>111</v>
      </c>
      <c r="R3040" s="93" t="s">
        <v>9429</v>
      </c>
      <c r="S3040" s="93" t="s">
        <v>659</v>
      </c>
      <c r="T3040" s="93" t="s">
        <v>115</v>
      </c>
      <c r="U3040" s="93" t="s">
        <v>116</v>
      </c>
      <c r="V3040" s="94">
        <v>44628.55</v>
      </c>
      <c r="W3040" s="93" t="s">
        <v>1170</v>
      </c>
      <c r="X3040" s="93" t="s">
        <v>24</v>
      </c>
    </row>
    <row r="3041" spans="1:24" hidden="1" x14ac:dyDescent="0.15">
      <c r="A3041" s="93" t="s">
        <v>9430</v>
      </c>
      <c r="B3041" s="93" t="s">
        <v>9431</v>
      </c>
      <c r="C3041" s="410">
        <v>7350</v>
      </c>
      <c r="D3041" s="93" t="s">
        <v>24</v>
      </c>
      <c r="E3041" s="93" t="s">
        <v>9</v>
      </c>
      <c r="F3041" s="93" t="s">
        <v>1648</v>
      </c>
      <c r="G3041" s="93" t="s">
        <v>8237</v>
      </c>
      <c r="H3041" s="93" t="s">
        <v>1943</v>
      </c>
      <c r="I3041" s="93" t="s">
        <v>111</v>
      </c>
      <c r="J3041" s="93" t="s">
        <v>963</v>
      </c>
      <c r="K3041" s="93">
        <v>60</v>
      </c>
      <c r="L3041" s="93" t="s">
        <v>111</v>
      </c>
      <c r="M3041" s="93" t="s">
        <v>111</v>
      </c>
      <c r="N3041" s="93" t="s">
        <v>111</v>
      </c>
      <c r="O3041" s="93" t="s">
        <v>111</v>
      </c>
      <c r="P3041" s="93" t="s">
        <v>111</v>
      </c>
      <c r="Q3041" s="93" t="s">
        <v>111</v>
      </c>
      <c r="R3041" s="93" t="s">
        <v>9429</v>
      </c>
      <c r="S3041" s="93" t="s">
        <v>659</v>
      </c>
      <c r="T3041" s="93" t="s">
        <v>115</v>
      </c>
      <c r="U3041" s="93" t="s">
        <v>116</v>
      </c>
      <c r="V3041" s="94">
        <v>44628.48541666667</v>
      </c>
      <c r="W3041" s="93" t="s">
        <v>1170</v>
      </c>
      <c r="X3041" s="93" t="s">
        <v>24</v>
      </c>
    </row>
    <row r="3042" spans="1:24" hidden="1" x14ac:dyDescent="0.15">
      <c r="A3042" s="93" t="s">
        <v>9432</v>
      </c>
      <c r="B3042" s="93" t="s">
        <v>9433</v>
      </c>
      <c r="C3042" s="410">
        <v>8.4</v>
      </c>
      <c r="D3042" s="93" t="s">
        <v>24</v>
      </c>
      <c r="E3042" s="93" t="s">
        <v>24</v>
      </c>
      <c r="F3042" s="93" t="s">
        <v>7070</v>
      </c>
      <c r="G3042" s="93" t="s">
        <v>8237</v>
      </c>
      <c r="H3042" s="93" t="s">
        <v>11</v>
      </c>
      <c r="I3042" s="93" t="s">
        <v>111</v>
      </c>
      <c r="J3042" s="93" t="s">
        <v>963</v>
      </c>
      <c r="K3042" s="93">
        <v>60</v>
      </c>
      <c r="L3042" s="93" t="s">
        <v>111</v>
      </c>
      <c r="M3042" s="93">
        <v>0.03</v>
      </c>
      <c r="N3042" s="93" t="s">
        <v>111</v>
      </c>
      <c r="O3042" s="93" t="s">
        <v>111</v>
      </c>
      <c r="P3042" s="93" t="s">
        <v>111</v>
      </c>
      <c r="Q3042" s="93" t="s">
        <v>111</v>
      </c>
      <c r="R3042" s="93" t="s">
        <v>413</v>
      </c>
      <c r="S3042" s="93" t="s">
        <v>659</v>
      </c>
      <c r="T3042" s="93" t="s">
        <v>115</v>
      </c>
      <c r="U3042" s="93" t="s">
        <v>116</v>
      </c>
      <c r="V3042" s="94">
        <v>44628.572222222225</v>
      </c>
      <c r="W3042" s="93" t="s">
        <v>1170</v>
      </c>
      <c r="X3042" s="93" t="s">
        <v>24</v>
      </c>
    </row>
    <row r="3043" spans="1:24" hidden="1" x14ac:dyDescent="0.15">
      <c r="A3043" s="93" t="s">
        <v>9434</v>
      </c>
      <c r="B3043" s="93" t="s">
        <v>650</v>
      </c>
      <c r="C3043" s="410">
        <v>17.55</v>
      </c>
      <c r="D3043" s="93" t="s">
        <v>24</v>
      </c>
      <c r="E3043" s="93" t="s">
        <v>24</v>
      </c>
      <c r="F3043" s="93" t="s">
        <v>7070</v>
      </c>
      <c r="G3043" s="93" t="s">
        <v>7168</v>
      </c>
      <c r="H3043" s="93" t="s">
        <v>11</v>
      </c>
      <c r="I3043" s="93" t="s">
        <v>111</v>
      </c>
      <c r="J3043" s="93" t="s">
        <v>387</v>
      </c>
      <c r="K3043" s="93">
        <v>60</v>
      </c>
      <c r="L3043" s="93">
        <v>1</v>
      </c>
      <c r="M3043" s="93" t="s">
        <v>111</v>
      </c>
      <c r="N3043" s="93" t="s">
        <v>111</v>
      </c>
      <c r="O3043" s="93" t="s">
        <v>111</v>
      </c>
      <c r="P3043" s="93" t="s">
        <v>111</v>
      </c>
      <c r="Q3043" s="93" t="s">
        <v>111</v>
      </c>
      <c r="R3043" s="93" t="s">
        <v>121</v>
      </c>
      <c r="S3043" s="93" t="s">
        <v>20</v>
      </c>
      <c r="T3043" s="93" t="s">
        <v>115</v>
      </c>
      <c r="U3043" s="93" t="s">
        <v>395</v>
      </c>
      <c r="V3043" s="94">
        <v>44628.530555555553</v>
      </c>
      <c r="W3043" s="93" t="s">
        <v>1216</v>
      </c>
      <c r="X3043" s="93" t="s">
        <v>24</v>
      </c>
    </row>
    <row r="3044" spans="1:24" hidden="1" x14ac:dyDescent="0.15">
      <c r="A3044" s="93" t="s">
        <v>651</v>
      </c>
      <c r="B3044" s="93" t="s">
        <v>652</v>
      </c>
      <c r="C3044" s="410">
        <v>5.4</v>
      </c>
      <c r="D3044" s="93" t="s">
        <v>24</v>
      </c>
      <c r="E3044" s="93" t="s">
        <v>24</v>
      </c>
      <c r="F3044" s="93" t="s">
        <v>7070</v>
      </c>
      <c r="G3044" s="93" t="s">
        <v>7168</v>
      </c>
      <c r="H3044" s="93" t="s">
        <v>11</v>
      </c>
      <c r="I3044" s="93" t="s">
        <v>111</v>
      </c>
      <c r="J3044" s="93" t="s">
        <v>387</v>
      </c>
      <c r="K3044" s="93">
        <v>60</v>
      </c>
      <c r="L3044" s="93" t="s">
        <v>111</v>
      </c>
      <c r="M3044" s="93">
        <v>0.08</v>
      </c>
      <c r="N3044" s="93" t="s">
        <v>113</v>
      </c>
      <c r="O3044" s="93">
        <v>6</v>
      </c>
      <c r="P3044" s="93">
        <v>6</v>
      </c>
      <c r="Q3044" s="93">
        <v>42</v>
      </c>
      <c r="R3044" s="93" t="s">
        <v>391</v>
      </c>
      <c r="S3044" s="93" t="s">
        <v>20</v>
      </c>
      <c r="T3044" s="93" t="s">
        <v>115</v>
      </c>
      <c r="U3044" s="93" t="s">
        <v>119</v>
      </c>
      <c r="V3044" s="94">
        <v>44628.586111111108</v>
      </c>
      <c r="W3044" s="93" t="s">
        <v>402</v>
      </c>
      <c r="X3044" s="93" t="s">
        <v>9</v>
      </c>
    </row>
    <row r="3045" spans="1:24" hidden="1" x14ac:dyDescent="0.15">
      <c r="A3045" s="93" t="s">
        <v>653</v>
      </c>
      <c r="B3045" s="93" t="s">
        <v>654</v>
      </c>
      <c r="C3045" s="410">
        <v>5.4</v>
      </c>
      <c r="D3045" s="93" t="s">
        <v>24</v>
      </c>
      <c r="E3045" s="93" t="s">
        <v>24</v>
      </c>
      <c r="F3045" s="93" t="s">
        <v>7070</v>
      </c>
      <c r="G3045" s="93" t="s">
        <v>7168</v>
      </c>
      <c r="H3045" s="93" t="s">
        <v>11</v>
      </c>
      <c r="I3045" s="93" t="s">
        <v>111</v>
      </c>
      <c r="J3045" s="93" t="s">
        <v>387</v>
      </c>
      <c r="K3045" s="93">
        <v>60</v>
      </c>
      <c r="L3045" s="93" t="s">
        <v>111</v>
      </c>
      <c r="M3045" s="93">
        <v>0.1</v>
      </c>
      <c r="N3045" s="93" t="s">
        <v>113</v>
      </c>
      <c r="O3045" s="93">
        <v>5</v>
      </c>
      <c r="P3045" s="93">
        <v>5</v>
      </c>
      <c r="Q3045" s="93">
        <v>42</v>
      </c>
      <c r="R3045" s="93" t="s">
        <v>391</v>
      </c>
      <c r="S3045" s="93" t="s">
        <v>20</v>
      </c>
      <c r="T3045" s="93" t="s">
        <v>115</v>
      </c>
      <c r="U3045" s="93" t="s">
        <v>119</v>
      </c>
      <c r="V3045" s="94">
        <v>44628.477777777778</v>
      </c>
      <c r="W3045" s="93" t="s">
        <v>402</v>
      </c>
      <c r="X3045" s="93" t="s">
        <v>24</v>
      </c>
    </row>
    <row r="3046" spans="1:24" hidden="1" x14ac:dyDescent="0.15">
      <c r="A3046" s="93" t="s">
        <v>56</v>
      </c>
      <c r="B3046" s="93" t="s">
        <v>81</v>
      </c>
      <c r="C3046" s="410">
        <v>2.4900000000000002</v>
      </c>
      <c r="D3046" s="93" t="s">
        <v>9</v>
      </c>
      <c r="E3046" s="93" t="s">
        <v>24</v>
      </c>
      <c r="F3046" s="93" t="s">
        <v>7070</v>
      </c>
      <c r="G3046" s="93" t="s">
        <v>8241</v>
      </c>
      <c r="H3046" s="93" t="s">
        <v>11</v>
      </c>
      <c r="I3046" s="93" t="s">
        <v>111</v>
      </c>
      <c r="J3046" s="93" t="s">
        <v>386</v>
      </c>
      <c r="K3046" s="93">
        <v>120</v>
      </c>
      <c r="L3046" s="93">
        <v>20</v>
      </c>
      <c r="M3046" s="93">
        <v>0.16</v>
      </c>
      <c r="N3046" s="93" t="s">
        <v>113</v>
      </c>
      <c r="O3046" s="93">
        <v>4</v>
      </c>
      <c r="P3046" s="93">
        <v>6</v>
      </c>
      <c r="Q3046" s="93">
        <v>18</v>
      </c>
      <c r="R3046" s="93" t="s">
        <v>391</v>
      </c>
      <c r="S3046" s="93" t="s">
        <v>20</v>
      </c>
      <c r="T3046" s="93" t="s">
        <v>115</v>
      </c>
      <c r="U3046" s="93" t="s">
        <v>116</v>
      </c>
      <c r="V3046" s="94">
        <v>44628.473611111112</v>
      </c>
      <c r="W3046" s="93" t="s">
        <v>402</v>
      </c>
      <c r="X3046" s="93" t="s">
        <v>24</v>
      </c>
    </row>
    <row r="3047" spans="1:24" hidden="1" x14ac:dyDescent="0.15">
      <c r="A3047" s="93" t="s">
        <v>57</v>
      </c>
      <c r="B3047" s="93" t="s">
        <v>82</v>
      </c>
      <c r="C3047" s="410">
        <v>2.06</v>
      </c>
      <c r="D3047" s="93" t="s">
        <v>9</v>
      </c>
      <c r="E3047" s="93" t="s">
        <v>24</v>
      </c>
      <c r="F3047" s="93" t="s">
        <v>7070</v>
      </c>
      <c r="G3047" s="93" t="s">
        <v>8241</v>
      </c>
      <c r="H3047" s="93" t="s">
        <v>11</v>
      </c>
      <c r="I3047" s="93" t="s">
        <v>111</v>
      </c>
      <c r="J3047" s="93" t="s">
        <v>386</v>
      </c>
      <c r="K3047" s="93">
        <v>120</v>
      </c>
      <c r="L3047" s="93">
        <v>20</v>
      </c>
      <c r="M3047" s="93">
        <v>0.11</v>
      </c>
      <c r="N3047" s="93" t="s">
        <v>113</v>
      </c>
      <c r="O3047" s="93">
        <v>4</v>
      </c>
      <c r="P3047" s="93">
        <v>6</v>
      </c>
      <c r="Q3047" s="93">
        <v>18</v>
      </c>
      <c r="R3047" s="93" t="s">
        <v>391</v>
      </c>
      <c r="S3047" s="93" t="s">
        <v>20</v>
      </c>
      <c r="T3047" s="93" t="s">
        <v>115</v>
      </c>
      <c r="U3047" s="93" t="s">
        <v>116</v>
      </c>
      <c r="V3047" s="94">
        <v>44628.473611111112</v>
      </c>
      <c r="W3047" s="93" t="s">
        <v>402</v>
      </c>
      <c r="X3047" s="93" t="s">
        <v>24</v>
      </c>
    </row>
    <row r="3048" spans="1:24" hidden="1" x14ac:dyDescent="0.15">
      <c r="A3048" s="93" t="s">
        <v>58</v>
      </c>
      <c r="B3048" s="93" t="s">
        <v>83</v>
      </c>
      <c r="C3048" s="410">
        <v>3.24</v>
      </c>
      <c r="D3048" s="93" t="s">
        <v>9</v>
      </c>
      <c r="E3048" s="93" t="s">
        <v>24</v>
      </c>
      <c r="F3048" s="93" t="s">
        <v>7070</v>
      </c>
      <c r="G3048" s="93" t="s">
        <v>8241</v>
      </c>
      <c r="H3048" s="93" t="s">
        <v>11</v>
      </c>
      <c r="I3048" s="93" t="s">
        <v>111</v>
      </c>
      <c r="J3048" s="93" t="s">
        <v>386</v>
      </c>
      <c r="K3048" s="93">
        <v>120</v>
      </c>
      <c r="L3048" s="93">
        <v>20</v>
      </c>
      <c r="M3048" s="93">
        <v>0.09</v>
      </c>
      <c r="N3048" s="93" t="s">
        <v>113</v>
      </c>
      <c r="O3048" s="93">
        <v>4</v>
      </c>
      <c r="P3048" s="93">
        <v>6</v>
      </c>
      <c r="Q3048" s="93">
        <v>18</v>
      </c>
      <c r="R3048" s="93" t="s">
        <v>391</v>
      </c>
      <c r="S3048" s="93" t="s">
        <v>20</v>
      </c>
      <c r="T3048" s="93" t="s">
        <v>115</v>
      </c>
      <c r="U3048" s="93" t="s">
        <v>116</v>
      </c>
      <c r="V3048" s="94">
        <v>44628.494444444441</v>
      </c>
      <c r="W3048" s="93" t="s">
        <v>402</v>
      </c>
      <c r="X3048" s="93" t="s">
        <v>24</v>
      </c>
    </row>
    <row r="3049" spans="1:24" hidden="1" x14ac:dyDescent="0.15">
      <c r="A3049" s="93" t="s">
        <v>74</v>
      </c>
      <c r="B3049" s="93" t="s">
        <v>8242</v>
      </c>
      <c r="C3049" s="410">
        <v>18</v>
      </c>
      <c r="D3049" s="93" t="s">
        <v>9</v>
      </c>
      <c r="E3049" s="93" t="s">
        <v>24</v>
      </c>
      <c r="F3049" s="93" t="s">
        <v>7070</v>
      </c>
      <c r="G3049" s="93" t="s">
        <v>7071</v>
      </c>
      <c r="H3049" s="93" t="s">
        <v>11</v>
      </c>
      <c r="I3049" s="93" t="s">
        <v>111</v>
      </c>
      <c r="J3049" s="93" t="s">
        <v>71</v>
      </c>
      <c r="K3049" s="93">
        <v>180</v>
      </c>
      <c r="L3049" s="93">
        <v>1</v>
      </c>
      <c r="M3049" s="93">
        <v>0.13</v>
      </c>
      <c r="N3049" s="93" t="s">
        <v>113</v>
      </c>
      <c r="O3049" s="93" t="s">
        <v>111</v>
      </c>
      <c r="P3049" s="93" t="s">
        <v>111</v>
      </c>
      <c r="Q3049" s="93" t="s">
        <v>111</v>
      </c>
      <c r="R3049" s="93" t="s">
        <v>121</v>
      </c>
      <c r="S3049" s="93" t="s">
        <v>20</v>
      </c>
      <c r="T3049" s="93" t="s">
        <v>115</v>
      </c>
      <c r="U3049" s="93" t="s">
        <v>119</v>
      </c>
      <c r="V3049" s="94">
        <v>44628.493055555555</v>
      </c>
      <c r="W3049" s="93" t="s">
        <v>402</v>
      </c>
      <c r="X3049" s="93" t="s">
        <v>9</v>
      </c>
    </row>
    <row r="3050" spans="1:24" hidden="1" x14ac:dyDescent="0.15">
      <c r="A3050" s="93" t="s">
        <v>8243</v>
      </c>
      <c r="B3050" s="93" t="s">
        <v>8244</v>
      </c>
      <c r="C3050" s="410">
        <v>18</v>
      </c>
      <c r="D3050" s="93" t="s">
        <v>24</v>
      </c>
      <c r="E3050" s="93" t="s">
        <v>24</v>
      </c>
      <c r="F3050" s="93" t="s">
        <v>7070</v>
      </c>
      <c r="G3050" s="93" t="s">
        <v>7071</v>
      </c>
      <c r="H3050" s="93" t="s">
        <v>11</v>
      </c>
      <c r="I3050" s="93" t="s">
        <v>111</v>
      </c>
      <c r="J3050" s="93" t="s">
        <v>71</v>
      </c>
      <c r="K3050" s="93">
        <v>180</v>
      </c>
      <c r="L3050" s="93">
        <v>1</v>
      </c>
      <c r="M3050" s="93">
        <v>0.13</v>
      </c>
      <c r="N3050" s="93" t="s">
        <v>113</v>
      </c>
      <c r="O3050" s="93" t="s">
        <v>111</v>
      </c>
      <c r="P3050" s="93" t="s">
        <v>111</v>
      </c>
      <c r="Q3050" s="93" t="s">
        <v>111</v>
      </c>
      <c r="R3050" s="93" t="s">
        <v>121</v>
      </c>
      <c r="S3050" s="93" t="s">
        <v>20</v>
      </c>
      <c r="T3050" s="93" t="s">
        <v>115</v>
      </c>
      <c r="U3050" s="93" t="s">
        <v>116</v>
      </c>
      <c r="V3050" s="94">
        <v>44628.552083333336</v>
      </c>
      <c r="W3050" s="93" t="s">
        <v>402</v>
      </c>
      <c r="X3050" s="93" t="s">
        <v>24</v>
      </c>
    </row>
    <row r="3051" spans="1:24" hidden="1" x14ac:dyDescent="0.15">
      <c r="A3051" s="93" t="s">
        <v>8245</v>
      </c>
      <c r="B3051" s="93" t="s">
        <v>8246</v>
      </c>
      <c r="C3051" s="410">
        <v>12.96</v>
      </c>
      <c r="D3051" s="93" t="s">
        <v>9</v>
      </c>
      <c r="E3051" s="93" t="s">
        <v>24</v>
      </c>
      <c r="F3051" s="93" t="s">
        <v>7070</v>
      </c>
      <c r="G3051" s="93" t="s">
        <v>8241</v>
      </c>
      <c r="H3051" s="93" t="s">
        <v>11</v>
      </c>
      <c r="I3051" s="93" t="s">
        <v>111</v>
      </c>
      <c r="J3051" s="93" t="s">
        <v>386</v>
      </c>
      <c r="K3051" s="93">
        <v>120</v>
      </c>
      <c r="L3051" s="93">
        <v>50</v>
      </c>
      <c r="M3051" s="93">
        <v>0.06</v>
      </c>
      <c r="N3051" s="93" t="s">
        <v>113</v>
      </c>
      <c r="O3051" s="93">
        <v>7</v>
      </c>
      <c r="P3051" s="93">
        <v>7</v>
      </c>
      <c r="Q3051" s="93">
        <v>9</v>
      </c>
      <c r="R3051" s="93" t="s">
        <v>122</v>
      </c>
      <c r="S3051" s="93" t="s">
        <v>20</v>
      </c>
      <c r="T3051" s="93" t="s">
        <v>115</v>
      </c>
      <c r="U3051" s="93" t="s">
        <v>116</v>
      </c>
      <c r="V3051" s="94">
        <v>44628.495138888888</v>
      </c>
      <c r="W3051" s="93" t="s">
        <v>402</v>
      </c>
      <c r="X3051" s="93" t="s">
        <v>24</v>
      </c>
    </row>
    <row r="3052" spans="1:24" hidden="1" x14ac:dyDescent="0.15">
      <c r="A3052" s="93" t="s">
        <v>52</v>
      </c>
      <c r="B3052" s="93" t="s">
        <v>77</v>
      </c>
      <c r="C3052" s="410">
        <v>5.4</v>
      </c>
      <c r="D3052" s="93" t="s">
        <v>9</v>
      </c>
      <c r="E3052" s="93" t="s">
        <v>24</v>
      </c>
      <c r="F3052" s="93" t="s">
        <v>7070</v>
      </c>
      <c r="G3052" s="93" t="s">
        <v>8241</v>
      </c>
      <c r="H3052" s="93" t="s">
        <v>11</v>
      </c>
      <c r="I3052" s="93" t="s">
        <v>111</v>
      </c>
      <c r="J3052" s="93" t="s">
        <v>386</v>
      </c>
      <c r="K3052" s="93">
        <v>120</v>
      </c>
      <c r="L3052" s="93" t="s">
        <v>111</v>
      </c>
      <c r="M3052" s="93">
        <v>0.08</v>
      </c>
      <c r="N3052" s="93" t="s">
        <v>113</v>
      </c>
      <c r="O3052" s="93">
        <v>4</v>
      </c>
      <c r="P3052" s="93">
        <v>6</v>
      </c>
      <c r="Q3052" s="93">
        <v>18</v>
      </c>
      <c r="R3052" s="93" t="s">
        <v>391</v>
      </c>
      <c r="S3052" s="93" t="s">
        <v>20</v>
      </c>
      <c r="T3052" s="93" t="s">
        <v>115</v>
      </c>
      <c r="U3052" s="93" t="s">
        <v>116</v>
      </c>
      <c r="V3052" s="94">
        <v>44628.538888888892</v>
      </c>
      <c r="W3052" s="93" t="s">
        <v>402</v>
      </c>
      <c r="X3052" s="93" t="s">
        <v>9</v>
      </c>
    </row>
    <row r="3053" spans="1:24" hidden="1" x14ac:dyDescent="0.15">
      <c r="A3053" s="93" t="s">
        <v>53</v>
      </c>
      <c r="B3053" s="93" t="s">
        <v>78</v>
      </c>
      <c r="C3053" s="410">
        <v>5.4</v>
      </c>
      <c r="D3053" s="93" t="s">
        <v>9</v>
      </c>
      <c r="E3053" s="93" t="s">
        <v>24</v>
      </c>
      <c r="F3053" s="93" t="s">
        <v>7070</v>
      </c>
      <c r="G3053" s="93" t="s">
        <v>8241</v>
      </c>
      <c r="H3053" s="93" t="s">
        <v>11</v>
      </c>
      <c r="I3053" s="93" t="s">
        <v>111</v>
      </c>
      <c r="J3053" s="93" t="s">
        <v>386</v>
      </c>
      <c r="K3053" s="93">
        <v>120</v>
      </c>
      <c r="L3053" s="93">
        <v>1</v>
      </c>
      <c r="M3053" s="93">
        <v>0.12</v>
      </c>
      <c r="N3053" s="93" t="s">
        <v>113</v>
      </c>
      <c r="O3053" s="93">
        <v>4</v>
      </c>
      <c r="P3053" s="93">
        <v>6</v>
      </c>
      <c r="Q3053" s="93">
        <v>18</v>
      </c>
      <c r="R3053" s="93" t="s">
        <v>391</v>
      </c>
      <c r="S3053" s="93" t="s">
        <v>20</v>
      </c>
      <c r="T3053" s="93" t="s">
        <v>115</v>
      </c>
      <c r="U3053" s="93" t="s">
        <v>116</v>
      </c>
      <c r="V3053" s="94">
        <v>44628.473611111112</v>
      </c>
      <c r="W3053" s="93" t="s">
        <v>402</v>
      </c>
      <c r="X3053" s="93" t="s">
        <v>24</v>
      </c>
    </row>
    <row r="3054" spans="1:24" hidden="1" x14ac:dyDescent="0.15">
      <c r="A3054" s="93" t="s">
        <v>54</v>
      </c>
      <c r="B3054" s="93" t="s">
        <v>79</v>
      </c>
      <c r="C3054" s="410">
        <v>5.4</v>
      </c>
      <c r="D3054" s="93" t="s">
        <v>9</v>
      </c>
      <c r="E3054" s="93" t="s">
        <v>24</v>
      </c>
      <c r="F3054" s="93" t="s">
        <v>7070</v>
      </c>
      <c r="G3054" s="93" t="s">
        <v>8241</v>
      </c>
      <c r="H3054" s="93" t="s">
        <v>11</v>
      </c>
      <c r="I3054" s="93" t="s">
        <v>111</v>
      </c>
      <c r="J3054" s="93" t="s">
        <v>386</v>
      </c>
      <c r="K3054" s="93">
        <v>120</v>
      </c>
      <c r="L3054" s="93">
        <v>20</v>
      </c>
      <c r="M3054" s="93">
        <v>0.16</v>
      </c>
      <c r="N3054" s="93" t="s">
        <v>113</v>
      </c>
      <c r="O3054" s="93">
        <v>4</v>
      </c>
      <c r="P3054" s="93">
        <v>6</v>
      </c>
      <c r="Q3054" s="93">
        <v>18</v>
      </c>
      <c r="R3054" s="93" t="s">
        <v>391</v>
      </c>
      <c r="S3054" s="93" t="s">
        <v>20</v>
      </c>
      <c r="T3054" s="93" t="s">
        <v>115</v>
      </c>
      <c r="U3054" s="93" t="s">
        <v>116</v>
      </c>
      <c r="V3054" s="94">
        <v>44628.473611111112</v>
      </c>
      <c r="W3054" s="93" t="s">
        <v>402</v>
      </c>
      <c r="X3054" s="93" t="s">
        <v>24</v>
      </c>
    </row>
    <row r="3055" spans="1:24" hidden="1" x14ac:dyDescent="0.15">
      <c r="A3055" s="93" t="s">
        <v>55</v>
      </c>
      <c r="B3055" s="93" t="s">
        <v>80</v>
      </c>
      <c r="C3055" s="410">
        <v>2.06</v>
      </c>
      <c r="D3055" s="93" t="s">
        <v>9</v>
      </c>
      <c r="E3055" s="93" t="s">
        <v>24</v>
      </c>
      <c r="F3055" s="93" t="s">
        <v>7070</v>
      </c>
      <c r="G3055" s="93" t="s">
        <v>8241</v>
      </c>
      <c r="H3055" s="93" t="s">
        <v>11</v>
      </c>
      <c r="I3055" s="93" t="s">
        <v>111</v>
      </c>
      <c r="J3055" s="93" t="s">
        <v>386</v>
      </c>
      <c r="K3055" s="93">
        <v>120</v>
      </c>
      <c r="L3055" s="93">
        <v>20</v>
      </c>
      <c r="M3055" s="93">
        <v>0.09</v>
      </c>
      <c r="N3055" s="93" t="s">
        <v>113</v>
      </c>
      <c r="O3055" s="93">
        <v>4</v>
      </c>
      <c r="P3055" s="93">
        <v>6</v>
      </c>
      <c r="Q3055" s="93">
        <v>18</v>
      </c>
      <c r="R3055" s="93" t="s">
        <v>391</v>
      </c>
      <c r="S3055" s="93" t="s">
        <v>20</v>
      </c>
      <c r="T3055" s="93" t="s">
        <v>115</v>
      </c>
      <c r="U3055" s="93" t="s">
        <v>116</v>
      </c>
      <c r="V3055" s="94">
        <v>44628.494444444441</v>
      </c>
      <c r="W3055" s="93" t="s">
        <v>402</v>
      </c>
      <c r="X3055" s="93" t="s">
        <v>24</v>
      </c>
    </row>
    <row r="3056" spans="1:24" hidden="1" x14ac:dyDescent="0.15">
      <c r="A3056" s="93" t="s">
        <v>8249</v>
      </c>
      <c r="B3056" s="93" t="s">
        <v>8250</v>
      </c>
      <c r="C3056" s="410">
        <v>6</v>
      </c>
      <c r="D3056" s="93" t="s">
        <v>9</v>
      </c>
      <c r="E3056" s="93" t="s">
        <v>24</v>
      </c>
      <c r="F3056" s="93" t="s">
        <v>7070</v>
      </c>
      <c r="G3056" s="93" t="s">
        <v>7071</v>
      </c>
      <c r="H3056" s="93" t="s">
        <v>11</v>
      </c>
      <c r="I3056" s="93" t="s">
        <v>111</v>
      </c>
      <c r="J3056" s="93" t="s">
        <v>7165</v>
      </c>
      <c r="K3056" s="93">
        <v>90</v>
      </c>
      <c r="L3056" s="93">
        <v>10</v>
      </c>
      <c r="M3056" s="93">
        <v>0.12</v>
      </c>
      <c r="N3056" s="93" t="s">
        <v>113</v>
      </c>
      <c r="O3056" s="93" t="s">
        <v>111</v>
      </c>
      <c r="P3056" s="93" t="s">
        <v>111</v>
      </c>
      <c r="Q3056" s="93" t="s">
        <v>111</v>
      </c>
      <c r="R3056" s="93" t="s">
        <v>391</v>
      </c>
      <c r="S3056" s="93" t="s">
        <v>20</v>
      </c>
      <c r="T3056" s="93" t="s">
        <v>115</v>
      </c>
      <c r="U3056" s="93" t="s">
        <v>116</v>
      </c>
      <c r="V3056" s="94">
        <v>44628.493750000001</v>
      </c>
      <c r="W3056" s="93" t="s">
        <v>8060</v>
      </c>
      <c r="X3056" s="93" t="s">
        <v>9</v>
      </c>
    </row>
    <row r="3057" spans="1:24" hidden="1" x14ac:dyDescent="0.15">
      <c r="A3057" s="93" t="s">
        <v>8251</v>
      </c>
      <c r="B3057" s="93" t="s">
        <v>9435</v>
      </c>
      <c r="C3057" s="410">
        <v>6</v>
      </c>
      <c r="D3057" s="93" t="s">
        <v>9</v>
      </c>
      <c r="E3057" s="93" t="s">
        <v>24</v>
      </c>
      <c r="F3057" s="93" t="s">
        <v>7070</v>
      </c>
      <c r="G3057" s="93" t="s">
        <v>7071</v>
      </c>
      <c r="H3057" s="93" t="s">
        <v>11</v>
      </c>
      <c r="I3057" s="93" t="s">
        <v>111</v>
      </c>
      <c r="J3057" s="93" t="s">
        <v>7165</v>
      </c>
      <c r="K3057" s="93">
        <v>90</v>
      </c>
      <c r="L3057" s="93">
        <v>10</v>
      </c>
      <c r="M3057" s="93">
        <v>0.14000000000000001</v>
      </c>
      <c r="N3057" s="93" t="s">
        <v>113</v>
      </c>
      <c r="O3057" s="93" t="s">
        <v>111</v>
      </c>
      <c r="P3057" s="93" t="s">
        <v>111</v>
      </c>
      <c r="Q3057" s="93" t="s">
        <v>111</v>
      </c>
      <c r="R3057" s="93" t="s">
        <v>391</v>
      </c>
      <c r="S3057" s="93" t="s">
        <v>20</v>
      </c>
      <c r="T3057" s="93" t="s">
        <v>115</v>
      </c>
      <c r="U3057" s="93" t="s">
        <v>116</v>
      </c>
      <c r="V3057" s="94">
        <v>44628.493750000001</v>
      </c>
      <c r="W3057" s="93" t="s">
        <v>7336</v>
      </c>
      <c r="X3057" s="93" t="s">
        <v>9</v>
      </c>
    </row>
    <row r="3058" spans="1:24" hidden="1" x14ac:dyDescent="0.15">
      <c r="A3058" s="93" t="s">
        <v>8253</v>
      </c>
      <c r="B3058" s="93" t="s">
        <v>8254</v>
      </c>
      <c r="C3058" s="410">
        <v>6</v>
      </c>
      <c r="D3058" s="93" t="s">
        <v>9</v>
      </c>
      <c r="E3058" s="93" t="s">
        <v>24</v>
      </c>
      <c r="F3058" s="93" t="s">
        <v>7070</v>
      </c>
      <c r="G3058" s="93" t="s">
        <v>7071</v>
      </c>
      <c r="H3058" s="93" t="s">
        <v>11</v>
      </c>
      <c r="I3058" s="93" t="s">
        <v>111</v>
      </c>
      <c r="J3058" s="93" t="s">
        <v>7165</v>
      </c>
      <c r="K3058" s="93">
        <v>90</v>
      </c>
      <c r="L3058" s="93">
        <v>10</v>
      </c>
      <c r="M3058" s="93">
        <v>0.12</v>
      </c>
      <c r="N3058" s="93" t="s">
        <v>113</v>
      </c>
      <c r="O3058" s="93" t="s">
        <v>111</v>
      </c>
      <c r="P3058" s="93" t="s">
        <v>111</v>
      </c>
      <c r="Q3058" s="93" t="s">
        <v>111</v>
      </c>
      <c r="R3058" s="93" t="s">
        <v>391</v>
      </c>
      <c r="S3058" s="93" t="s">
        <v>20</v>
      </c>
      <c r="T3058" s="93" t="s">
        <v>115</v>
      </c>
      <c r="U3058" s="93" t="s">
        <v>116</v>
      </c>
      <c r="V3058" s="94">
        <v>44628.493750000001</v>
      </c>
      <c r="W3058" s="93" t="s">
        <v>7336</v>
      </c>
      <c r="X3058" s="93" t="s">
        <v>9</v>
      </c>
    </row>
    <row r="3059" spans="1:24" hidden="1" x14ac:dyDescent="0.15">
      <c r="A3059" s="93" t="s">
        <v>8255</v>
      </c>
      <c r="B3059" s="93" t="s">
        <v>8256</v>
      </c>
      <c r="C3059" s="410">
        <v>6</v>
      </c>
      <c r="D3059" s="93" t="s">
        <v>9</v>
      </c>
      <c r="E3059" s="93" t="s">
        <v>24</v>
      </c>
      <c r="F3059" s="93" t="s">
        <v>7070</v>
      </c>
      <c r="G3059" s="93" t="s">
        <v>8257</v>
      </c>
      <c r="H3059" s="93" t="s">
        <v>11</v>
      </c>
      <c r="I3059" s="93" t="s">
        <v>111</v>
      </c>
      <c r="J3059" s="93" t="s">
        <v>7165</v>
      </c>
      <c r="K3059" s="93">
        <v>90</v>
      </c>
      <c r="L3059" s="93">
        <v>10</v>
      </c>
      <c r="M3059" s="93">
        <v>0.14000000000000001</v>
      </c>
      <c r="N3059" s="93" t="s">
        <v>113</v>
      </c>
      <c r="O3059" s="93" t="s">
        <v>111</v>
      </c>
      <c r="P3059" s="93" t="s">
        <v>111</v>
      </c>
      <c r="Q3059" s="93" t="s">
        <v>111</v>
      </c>
      <c r="R3059" s="93" t="s">
        <v>391</v>
      </c>
      <c r="S3059" s="93" t="s">
        <v>20</v>
      </c>
      <c r="T3059" s="93" t="s">
        <v>115</v>
      </c>
      <c r="U3059" s="93" t="s">
        <v>119</v>
      </c>
      <c r="V3059" s="94">
        <v>44628.538194444445</v>
      </c>
      <c r="W3059" s="93" t="s">
        <v>8258</v>
      </c>
      <c r="X3059" s="93" t="s">
        <v>9</v>
      </c>
    </row>
    <row r="3060" spans="1:24" hidden="1" x14ac:dyDescent="0.15">
      <c r="A3060" s="93" t="s">
        <v>8259</v>
      </c>
      <c r="B3060" s="93" t="s">
        <v>8260</v>
      </c>
      <c r="C3060" s="410">
        <v>23.94</v>
      </c>
      <c r="D3060" s="93" t="s">
        <v>24</v>
      </c>
      <c r="E3060" s="93" t="s">
        <v>24</v>
      </c>
      <c r="F3060" s="93" t="s">
        <v>7070</v>
      </c>
      <c r="G3060" s="93" t="s">
        <v>7071</v>
      </c>
      <c r="H3060" s="93" t="s">
        <v>11</v>
      </c>
      <c r="I3060" s="93" t="s">
        <v>111</v>
      </c>
      <c r="J3060" s="93" t="s">
        <v>7165</v>
      </c>
      <c r="K3060" s="93">
        <v>90</v>
      </c>
      <c r="L3060" s="93">
        <v>1</v>
      </c>
      <c r="M3060" s="93" t="s">
        <v>111</v>
      </c>
      <c r="N3060" s="93" t="s">
        <v>111</v>
      </c>
      <c r="O3060" s="93" t="s">
        <v>111</v>
      </c>
      <c r="P3060" s="93" t="s">
        <v>111</v>
      </c>
      <c r="Q3060" s="93" t="s">
        <v>111</v>
      </c>
      <c r="R3060" s="93" t="s">
        <v>8261</v>
      </c>
      <c r="S3060" s="93" t="s">
        <v>16</v>
      </c>
      <c r="T3060" s="93" t="s">
        <v>115</v>
      </c>
      <c r="U3060" s="93" t="s">
        <v>116</v>
      </c>
      <c r="V3060" s="94">
        <v>44628.510416666664</v>
      </c>
      <c r="W3060" s="93" t="s">
        <v>7336</v>
      </c>
      <c r="X3060" s="93" t="s">
        <v>24</v>
      </c>
    </row>
    <row r="3061" spans="1:24" hidden="1" x14ac:dyDescent="0.15">
      <c r="A3061" s="93" t="s">
        <v>8262</v>
      </c>
      <c r="B3061" s="93" t="s">
        <v>8263</v>
      </c>
      <c r="C3061" s="410">
        <v>6</v>
      </c>
      <c r="D3061" s="93" t="s">
        <v>9</v>
      </c>
      <c r="E3061" s="93" t="s">
        <v>24</v>
      </c>
      <c r="F3061" s="93" t="s">
        <v>7070</v>
      </c>
      <c r="G3061" s="93" t="s">
        <v>7071</v>
      </c>
      <c r="H3061" s="93" t="s">
        <v>11</v>
      </c>
      <c r="I3061" s="93" t="s">
        <v>111</v>
      </c>
      <c r="J3061" s="93" t="s">
        <v>7165</v>
      </c>
      <c r="K3061" s="93">
        <v>90</v>
      </c>
      <c r="L3061" s="93">
        <v>10</v>
      </c>
      <c r="M3061" s="93">
        <v>0.11</v>
      </c>
      <c r="N3061" s="93" t="s">
        <v>113</v>
      </c>
      <c r="O3061" s="93" t="s">
        <v>111</v>
      </c>
      <c r="P3061" s="93" t="s">
        <v>111</v>
      </c>
      <c r="Q3061" s="93" t="s">
        <v>111</v>
      </c>
      <c r="R3061" s="93" t="s">
        <v>391</v>
      </c>
      <c r="S3061" s="93" t="s">
        <v>20</v>
      </c>
      <c r="T3061" s="93" t="s">
        <v>115</v>
      </c>
      <c r="U3061" s="93" t="s">
        <v>119</v>
      </c>
      <c r="V3061" s="94">
        <v>44628.637499999997</v>
      </c>
      <c r="W3061" s="93" t="s">
        <v>7336</v>
      </c>
      <c r="X3061" s="93" t="s">
        <v>9</v>
      </c>
    </row>
    <row r="3062" spans="1:24" hidden="1" x14ac:dyDescent="0.15">
      <c r="A3062" s="93" t="s">
        <v>8264</v>
      </c>
      <c r="B3062" s="93" t="s">
        <v>8265</v>
      </c>
      <c r="C3062" s="410">
        <v>6</v>
      </c>
      <c r="D3062" s="93" t="s">
        <v>9</v>
      </c>
      <c r="E3062" s="93" t="s">
        <v>24</v>
      </c>
      <c r="F3062" s="93" t="s">
        <v>7070</v>
      </c>
      <c r="G3062" s="93" t="s">
        <v>7071</v>
      </c>
      <c r="H3062" s="93" t="s">
        <v>11</v>
      </c>
      <c r="I3062" s="93" t="s">
        <v>111</v>
      </c>
      <c r="J3062" s="93" t="s">
        <v>7165</v>
      </c>
      <c r="K3062" s="93">
        <v>90</v>
      </c>
      <c r="L3062" s="93">
        <v>10</v>
      </c>
      <c r="M3062" s="93">
        <v>0.17</v>
      </c>
      <c r="N3062" s="93" t="s">
        <v>113</v>
      </c>
      <c r="O3062" s="93" t="s">
        <v>111</v>
      </c>
      <c r="P3062" s="93" t="s">
        <v>111</v>
      </c>
      <c r="Q3062" s="93" t="s">
        <v>111</v>
      </c>
      <c r="R3062" s="93" t="s">
        <v>391</v>
      </c>
      <c r="S3062" s="93" t="s">
        <v>20</v>
      </c>
      <c r="T3062" s="93" t="s">
        <v>115</v>
      </c>
      <c r="U3062" s="93" t="s">
        <v>116</v>
      </c>
      <c r="V3062" s="94">
        <v>44628.559027777781</v>
      </c>
      <c r="W3062" s="93" t="s">
        <v>7336</v>
      </c>
      <c r="X3062" s="93" t="s">
        <v>9</v>
      </c>
    </row>
    <row r="3063" spans="1:24" hidden="1" x14ac:dyDescent="0.15">
      <c r="A3063" s="93" t="s">
        <v>8266</v>
      </c>
      <c r="B3063" s="93" t="s">
        <v>8267</v>
      </c>
      <c r="C3063" s="410">
        <v>6</v>
      </c>
      <c r="D3063" s="93" t="s">
        <v>9</v>
      </c>
      <c r="E3063" s="93" t="s">
        <v>24</v>
      </c>
      <c r="F3063" s="93" t="s">
        <v>7070</v>
      </c>
      <c r="G3063" s="93" t="s">
        <v>7071</v>
      </c>
      <c r="H3063" s="93" t="s">
        <v>11</v>
      </c>
      <c r="I3063" s="93" t="s">
        <v>111</v>
      </c>
      <c r="J3063" s="93" t="s">
        <v>7165</v>
      </c>
      <c r="K3063" s="93">
        <v>90</v>
      </c>
      <c r="L3063" s="93">
        <v>10</v>
      </c>
      <c r="M3063" s="93">
        <v>0.121</v>
      </c>
      <c r="N3063" s="93" t="s">
        <v>113</v>
      </c>
      <c r="O3063" s="93" t="s">
        <v>111</v>
      </c>
      <c r="P3063" s="93" t="s">
        <v>111</v>
      </c>
      <c r="Q3063" s="93" t="s">
        <v>111</v>
      </c>
      <c r="R3063" s="93" t="s">
        <v>391</v>
      </c>
      <c r="S3063" s="93" t="s">
        <v>20</v>
      </c>
      <c r="T3063" s="93" t="s">
        <v>115</v>
      </c>
      <c r="U3063" s="93" t="s">
        <v>119</v>
      </c>
      <c r="V3063" s="94">
        <v>44628.580555555556</v>
      </c>
      <c r="W3063" s="93" t="s">
        <v>7336</v>
      </c>
      <c r="X3063" s="93" t="s">
        <v>9</v>
      </c>
    </row>
    <row r="3064" spans="1:24" hidden="1" x14ac:dyDescent="0.15">
      <c r="A3064" s="93" t="s">
        <v>8268</v>
      </c>
      <c r="B3064" s="93" t="s">
        <v>8269</v>
      </c>
      <c r="C3064" s="410">
        <v>6</v>
      </c>
      <c r="D3064" s="93" t="s">
        <v>9</v>
      </c>
      <c r="E3064" s="93" t="s">
        <v>24</v>
      </c>
      <c r="F3064" s="93" t="s">
        <v>7070</v>
      </c>
      <c r="G3064" s="93" t="s">
        <v>7071</v>
      </c>
      <c r="H3064" s="93" t="s">
        <v>11</v>
      </c>
      <c r="I3064" s="93" t="s">
        <v>111</v>
      </c>
      <c r="J3064" s="93" t="s">
        <v>7165</v>
      </c>
      <c r="K3064" s="93">
        <v>90</v>
      </c>
      <c r="L3064" s="93">
        <v>10</v>
      </c>
      <c r="M3064" s="93">
        <v>0.15</v>
      </c>
      <c r="N3064" s="93" t="s">
        <v>113</v>
      </c>
      <c r="O3064" s="93" t="s">
        <v>111</v>
      </c>
      <c r="P3064" s="93" t="s">
        <v>111</v>
      </c>
      <c r="Q3064" s="93" t="s">
        <v>111</v>
      </c>
      <c r="R3064" s="93" t="s">
        <v>391</v>
      </c>
      <c r="S3064" s="93" t="s">
        <v>20</v>
      </c>
      <c r="T3064" s="93" t="s">
        <v>115</v>
      </c>
      <c r="U3064" s="93" t="s">
        <v>116</v>
      </c>
      <c r="V3064" s="94">
        <v>44628.493750000001</v>
      </c>
      <c r="W3064" s="93" t="s">
        <v>7336</v>
      </c>
      <c r="X3064" s="93" t="s">
        <v>9</v>
      </c>
    </row>
    <row r="3065" spans="1:24" hidden="1" x14ac:dyDescent="0.15">
      <c r="A3065" s="93" t="s">
        <v>8270</v>
      </c>
      <c r="B3065" s="93" t="s">
        <v>8271</v>
      </c>
      <c r="C3065" s="410">
        <v>6</v>
      </c>
      <c r="D3065" s="93" t="s">
        <v>24</v>
      </c>
      <c r="E3065" s="93" t="s">
        <v>24</v>
      </c>
      <c r="F3065" s="93" t="s">
        <v>7070</v>
      </c>
      <c r="G3065" s="93" t="s">
        <v>7071</v>
      </c>
      <c r="H3065" s="93" t="s">
        <v>11</v>
      </c>
      <c r="I3065" s="93" t="s">
        <v>111</v>
      </c>
      <c r="J3065" s="93" t="s">
        <v>7165</v>
      </c>
      <c r="K3065" s="93">
        <v>90</v>
      </c>
      <c r="L3065" s="93">
        <v>1</v>
      </c>
      <c r="M3065" s="93">
        <v>0.16900000000000001</v>
      </c>
      <c r="N3065" s="93" t="s">
        <v>113</v>
      </c>
      <c r="O3065" s="93" t="s">
        <v>111</v>
      </c>
      <c r="P3065" s="93" t="s">
        <v>111</v>
      </c>
      <c r="Q3065" s="93" t="s">
        <v>111</v>
      </c>
      <c r="R3065" s="93" t="s">
        <v>391</v>
      </c>
      <c r="S3065" s="93" t="s">
        <v>20</v>
      </c>
      <c r="T3065" s="93" t="s">
        <v>115</v>
      </c>
      <c r="U3065" s="93" t="s">
        <v>116</v>
      </c>
      <c r="V3065" s="94">
        <v>44628.57916666667</v>
      </c>
      <c r="W3065" s="93" t="s">
        <v>7336</v>
      </c>
      <c r="X3065" s="93" t="s">
        <v>9</v>
      </c>
    </row>
    <row r="3066" spans="1:24" hidden="1" x14ac:dyDescent="0.15">
      <c r="A3066" s="93" t="s">
        <v>8274</v>
      </c>
      <c r="B3066" s="93" t="s">
        <v>8275</v>
      </c>
      <c r="C3066" s="410">
        <v>5.4</v>
      </c>
      <c r="D3066" s="93" t="s">
        <v>24</v>
      </c>
      <c r="E3066" s="93" t="s">
        <v>24</v>
      </c>
      <c r="F3066" s="93" t="s">
        <v>7070</v>
      </c>
      <c r="G3066" s="93" t="s">
        <v>8241</v>
      </c>
      <c r="H3066" s="93" t="s">
        <v>11</v>
      </c>
      <c r="I3066" s="93" t="s">
        <v>111</v>
      </c>
      <c r="J3066" s="93" t="s">
        <v>386</v>
      </c>
      <c r="K3066" s="93">
        <v>120</v>
      </c>
      <c r="L3066" s="93">
        <v>1</v>
      </c>
      <c r="M3066" s="93">
        <v>0.82699999999999996</v>
      </c>
      <c r="N3066" s="93" t="s">
        <v>113</v>
      </c>
      <c r="O3066" s="93" t="s">
        <v>111</v>
      </c>
      <c r="P3066" s="93" t="s">
        <v>111</v>
      </c>
      <c r="Q3066" s="93" t="s">
        <v>111</v>
      </c>
      <c r="R3066" s="93" t="s">
        <v>4215</v>
      </c>
      <c r="S3066" s="93" t="s">
        <v>20</v>
      </c>
      <c r="T3066" s="93" t="s">
        <v>115</v>
      </c>
      <c r="U3066" s="93" t="s">
        <v>116</v>
      </c>
      <c r="V3066" s="94">
        <v>44628.557638888888</v>
      </c>
      <c r="W3066" s="93" t="s">
        <v>7336</v>
      </c>
      <c r="X3066" s="93" t="s">
        <v>24</v>
      </c>
    </row>
    <row r="3067" spans="1:24" hidden="1" x14ac:dyDescent="0.15">
      <c r="A3067" s="93" t="s">
        <v>655</v>
      </c>
      <c r="B3067" s="93" t="s">
        <v>656</v>
      </c>
      <c r="C3067" s="410">
        <v>12.96</v>
      </c>
      <c r="D3067" s="93" t="s">
        <v>24</v>
      </c>
      <c r="E3067" s="93" t="s">
        <v>24</v>
      </c>
      <c r="F3067" s="93" t="s">
        <v>7070</v>
      </c>
      <c r="G3067" s="93" t="s">
        <v>8241</v>
      </c>
      <c r="H3067" s="93" t="s">
        <v>11</v>
      </c>
      <c r="I3067" s="93" t="s">
        <v>111</v>
      </c>
      <c r="J3067" s="93" t="s">
        <v>6233</v>
      </c>
      <c r="K3067" s="93">
        <v>180</v>
      </c>
      <c r="L3067" s="93">
        <v>10</v>
      </c>
      <c r="M3067" s="93">
        <v>0.25</v>
      </c>
      <c r="N3067" s="93" t="s">
        <v>113</v>
      </c>
      <c r="O3067" s="93">
        <v>13.5</v>
      </c>
      <c r="P3067" s="93">
        <v>11</v>
      </c>
      <c r="Q3067" s="93">
        <v>5</v>
      </c>
      <c r="R3067" s="93" t="s">
        <v>657</v>
      </c>
      <c r="S3067" s="93" t="s">
        <v>20</v>
      </c>
      <c r="T3067" s="93" t="s">
        <v>115</v>
      </c>
      <c r="U3067" s="93" t="s">
        <v>116</v>
      </c>
      <c r="V3067" s="94">
        <v>44628.467361111114</v>
      </c>
      <c r="W3067" s="93" t="s">
        <v>402</v>
      </c>
      <c r="X3067" s="93" t="s">
        <v>24</v>
      </c>
    </row>
    <row r="3068" spans="1:24" hidden="1" x14ac:dyDescent="0.15">
      <c r="A3068" s="93" t="s">
        <v>8276</v>
      </c>
      <c r="B3068" s="93" t="s">
        <v>8277</v>
      </c>
      <c r="C3068" s="410">
        <v>24</v>
      </c>
      <c r="D3068" s="93" t="s">
        <v>24</v>
      </c>
      <c r="E3068" s="93" t="s">
        <v>24</v>
      </c>
      <c r="F3068" s="93" t="s">
        <v>7070</v>
      </c>
      <c r="G3068" s="93" t="s">
        <v>7071</v>
      </c>
      <c r="H3068" s="93" t="s">
        <v>11</v>
      </c>
      <c r="I3068" s="93" t="s">
        <v>111</v>
      </c>
      <c r="J3068" s="93" t="s">
        <v>7165</v>
      </c>
      <c r="K3068" s="93">
        <v>90</v>
      </c>
      <c r="L3068" s="93">
        <v>1</v>
      </c>
      <c r="M3068" s="93">
        <v>0.2</v>
      </c>
      <c r="N3068" s="93" t="s">
        <v>113</v>
      </c>
      <c r="O3068" s="93" t="s">
        <v>111</v>
      </c>
      <c r="P3068" s="93" t="s">
        <v>111</v>
      </c>
      <c r="Q3068" s="93" t="s">
        <v>111</v>
      </c>
      <c r="R3068" s="93" t="s">
        <v>392</v>
      </c>
      <c r="S3068" s="93" t="s">
        <v>20</v>
      </c>
      <c r="T3068" s="93" t="s">
        <v>115</v>
      </c>
      <c r="U3068" s="93" t="s">
        <v>116</v>
      </c>
      <c r="V3068" s="94">
        <v>44628.46597222222</v>
      </c>
      <c r="W3068" s="93" t="s">
        <v>8060</v>
      </c>
      <c r="X3068" s="93" t="s">
        <v>9</v>
      </c>
    </row>
    <row r="3069" spans="1:24" hidden="1" x14ac:dyDescent="0.15">
      <c r="A3069" s="93" t="s">
        <v>4526</v>
      </c>
      <c r="B3069" s="93" t="s">
        <v>4527</v>
      </c>
      <c r="C3069" s="410">
        <v>449.55</v>
      </c>
      <c r="D3069" s="93" t="s">
        <v>24</v>
      </c>
      <c r="E3069" s="93" t="s">
        <v>24</v>
      </c>
      <c r="F3069" s="93" t="s">
        <v>7070</v>
      </c>
      <c r="G3069" s="93" t="s">
        <v>7168</v>
      </c>
      <c r="H3069" s="93" t="s">
        <v>1198</v>
      </c>
      <c r="I3069" s="93" t="s">
        <v>1686</v>
      </c>
      <c r="J3069" s="93" t="s">
        <v>387</v>
      </c>
      <c r="K3069" s="93">
        <v>60</v>
      </c>
      <c r="L3069" s="93" t="s">
        <v>111</v>
      </c>
      <c r="M3069" s="93">
        <v>10.8</v>
      </c>
      <c r="N3069" s="93" t="s">
        <v>113</v>
      </c>
      <c r="O3069" s="93">
        <v>22</v>
      </c>
      <c r="P3069" s="93">
        <v>35</v>
      </c>
      <c r="Q3069" s="93">
        <v>92</v>
      </c>
      <c r="R3069" s="93" t="s">
        <v>117</v>
      </c>
      <c r="S3069" s="93" t="s">
        <v>20</v>
      </c>
      <c r="T3069" s="93" t="s">
        <v>115</v>
      </c>
      <c r="U3069" s="93" t="s">
        <v>119</v>
      </c>
      <c r="V3069" s="94">
        <v>44628.538888888892</v>
      </c>
      <c r="W3069" s="93" t="s">
        <v>1170</v>
      </c>
      <c r="X3069" s="93" t="s">
        <v>9</v>
      </c>
    </row>
    <row r="3070" spans="1:24" hidden="1" x14ac:dyDescent="0.15">
      <c r="A3070" s="93" t="s">
        <v>4528</v>
      </c>
      <c r="B3070" s="93" t="s">
        <v>4529</v>
      </c>
      <c r="C3070" s="410">
        <v>101.79</v>
      </c>
      <c r="D3070" s="93" t="s">
        <v>24</v>
      </c>
      <c r="E3070" s="93" t="s">
        <v>24</v>
      </c>
      <c r="F3070" s="93" t="s">
        <v>7070</v>
      </c>
      <c r="G3070" s="93" t="s">
        <v>7168</v>
      </c>
      <c r="H3070" s="93" t="s">
        <v>1198</v>
      </c>
      <c r="I3070" s="93" t="s">
        <v>111</v>
      </c>
      <c r="J3070" s="93" t="s">
        <v>387</v>
      </c>
      <c r="K3070" s="93">
        <v>60</v>
      </c>
      <c r="L3070" s="93" t="s">
        <v>111</v>
      </c>
      <c r="M3070" s="93">
        <v>2.15</v>
      </c>
      <c r="N3070" s="93" t="s">
        <v>113</v>
      </c>
      <c r="O3070" s="93">
        <v>17</v>
      </c>
      <c r="P3070" s="93">
        <v>17</v>
      </c>
      <c r="Q3070" s="93">
        <v>113</v>
      </c>
      <c r="R3070" s="93" t="s">
        <v>117</v>
      </c>
      <c r="S3070" s="93" t="s">
        <v>20</v>
      </c>
      <c r="T3070" s="93" t="s">
        <v>115</v>
      </c>
      <c r="U3070" s="93" t="s">
        <v>116</v>
      </c>
      <c r="V3070" s="94">
        <v>44628.494444444441</v>
      </c>
      <c r="W3070" s="93" t="s">
        <v>1170</v>
      </c>
      <c r="X3070" s="93" t="s">
        <v>9</v>
      </c>
    </row>
    <row r="3071" spans="1:24" hidden="1" x14ac:dyDescent="0.15">
      <c r="A3071" s="93" t="s">
        <v>4530</v>
      </c>
      <c r="B3071" s="93" t="s">
        <v>4531</v>
      </c>
      <c r="C3071" s="410">
        <v>624.75</v>
      </c>
      <c r="D3071" s="93" t="s">
        <v>9</v>
      </c>
      <c r="E3071" s="93" t="s">
        <v>24</v>
      </c>
      <c r="F3071" s="93" t="s">
        <v>7070</v>
      </c>
      <c r="G3071" s="93" t="s">
        <v>9023</v>
      </c>
      <c r="H3071" s="93" t="s">
        <v>1198</v>
      </c>
      <c r="I3071" s="93" t="s">
        <v>111</v>
      </c>
      <c r="J3071" s="93" t="s">
        <v>1197</v>
      </c>
      <c r="K3071" s="93">
        <v>60</v>
      </c>
      <c r="L3071" s="93">
        <v>1</v>
      </c>
      <c r="M3071" s="93">
        <v>5.5</v>
      </c>
      <c r="N3071" s="93" t="s">
        <v>113</v>
      </c>
      <c r="O3071" s="93">
        <v>15</v>
      </c>
      <c r="P3071" s="93">
        <v>27.5</v>
      </c>
      <c r="Q3071" s="93">
        <v>14.5</v>
      </c>
      <c r="R3071" s="93" t="s">
        <v>1199</v>
      </c>
      <c r="S3071" s="93" t="s">
        <v>12</v>
      </c>
      <c r="T3071" s="93" t="s">
        <v>115</v>
      </c>
      <c r="U3071" s="93" t="s">
        <v>116</v>
      </c>
      <c r="V3071" s="94">
        <v>44628.599305555559</v>
      </c>
      <c r="W3071" s="93" t="s">
        <v>1170</v>
      </c>
      <c r="X3071" s="93" t="s">
        <v>24</v>
      </c>
    </row>
    <row r="3072" spans="1:24" hidden="1" x14ac:dyDescent="0.15">
      <c r="A3072" s="93" t="s">
        <v>4532</v>
      </c>
      <c r="B3072" s="93" t="s">
        <v>4533</v>
      </c>
      <c r="C3072" s="410">
        <v>102.6</v>
      </c>
      <c r="D3072" s="93" t="s">
        <v>9</v>
      </c>
      <c r="E3072" s="93" t="s">
        <v>24</v>
      </c>
      <c r="F3072" s="93" t="s">
        <v>7070</v>
      </c>
      <c r="G3072" s="93" t="s">
        <v>9125</v>
      </c>
      <c r="H3072" s="93" t="s">
        <v>1198</v>
      </c>
      <c r="I3072" s="93" t="s">
        <v>111</v>
      </c>
      <c r="J3072" s="93" t="s">
        <v>647</v>
      </c>
      <c r="K3072" s="93">
        <v>120</v>
      </c>
      <c r="L3072" s="93" t="s">
        <v>111</v>
      </c>
      <c r="M3072" s="93">
        <v>87.4</v>
      </c>
      <c r="N3072" s="93" t="s">
        <v>1221</v>
      </c>
      <c r="O3072" s="93" t="s">
        <v>111</v>
      </c>
      <c r="P3072" s="93" t="s">
        <v>111</v>
      </c>
      <c r="Q3072" s="93" t="s">
        <v>111</v>
      </c>
      <c r="R3072" s="93" t="s">
        <v>1199</v>
      </c>
      <c r="S3072" s="93" t="s">
        <v>20</v>
      </c>
      <c r="T3072" s="93" t="s">
        <v>397</v>
      </c>
      <c r="U3072" s="93" t="s">
        <v>116</v>
      </c>
      <c r="V3072" s="94">
        <v>44628.511111111111</v>
      </c>
      <c r="W3072" s="93" t="s">
        <v>1170</v>
      </c>
      <c r="X3072" s="93" t="s">
        <v>9</v>
      </c>
    </row>
    <row r="3073" spans="1:24" hidden="1" x14ac:dyDescent="0.15">
      <c r="A3073" s="93" t="s">
        <v>4534</v>
      </c>
      <c r="B3073" s="93" t="s">
        <v>4535</v>
      </c>
      <c r="C3073" s="410">
        <v>102.6</v>
      </c>
      <c r="D3073" s="93" t="s">
        <v>9</v>
      </c>
      <c r="E3073" s="93" t="s">
        <v>24</v>
      </c>
      <c r="F3073" s="93" t="s">
        <v>7070</v>
      </c>
      <c r="G3073" s="93" t="s">
        <v>9143</v>
      </c>
      <c r="H3073" s="93" t="s">
        <v>1198</v>
      </c>
      <c r="I3073" s="93" t="s">
        <v>111</v>
      </c>
      <c r="J3073" s="93" t="s">
        <v>647</v>
      </c>
      <c r="K3073" s="93">
        <v>120</v>
      </c>
      <c r="L3073" s="93" t="s">
        <v>111</v>
      </c>
      <c r="M3073" s="93" t="s">
        <v>111</v>
      </c>
      <c r="N3073" s="93" t="s">
        <v>111</v>
      </c>
      <c r="O3073" s="93" t="s">
        <v>111</v>
      </c>
      <c r="P3073" s="93" t="s">
        <v>111</v>
      </c>
      <c r="Q3073" s="93" t="s">
        <v>111</v>
      </c>
      <c r="R3073" s="93" t="s">
        <v>1199</v>
      </c>
      <c r="S3073" s="93" t="s">
        <v>20</v>
      </c>
      <c r="T3073" s="93" t="s">
        <v>115</v>
      </c>
      <c r="U3073" s="93" t="s">
        <v>116</v>
      </c>
      <c r="V3073" s="94">
        <v>44628.532638888886</v>
      </c>
      <c r="W3073" s="93" t="s">
        <v>1170</v>
      </c>
      <c r="X3073" s="93" t="s">
        <v>9</v>
      </c>
    </row>
    <row r="3074" spans="1:24" hidden="1" x14ac:dyDescent="0.15">
      <c r="A3074" s="93" t="s">
        <v>4536</v>
      </c>
      <c r="B3074" s="93" t="s">
        <v>4537</v>
      </c>
      <c r="C3074" s="410">
        <v>815.4</v>
      </c>
      <c r="D3074" s="93" t="s">
        <v>24</v>
      </c>
      <c r="E3074" s="93" t="s">
        <v>24</v>
      </c>
      <c r="F3074" s="93" t="s">
        <v>7070</v>
      </c>
      <c r="G3074" s="93" t="s">
        <v>7175</v>
      </c>
      <c r="H3074" s="93" t="s">
        <v>1198</v>
      </c>
      <c r="I3074" s="93" t="s">
        <v>111</v>
      </c>
      <c r="J3074" s="93" t="s">
        <v>4131</v>
      </c>
      <c r="K3074" s="93">
        <v>50</v>
      </c>
      <c r="L3074" s="93" t="s">
        <v>111</v>
      </c>
      <c r="M3074" s="93">
        <v>9.9</v>
      </c>
      <c r="N3074" s="93" t="s">
        <v>113</v>
      </c>
      <c r="O3074" s="93">
        <v>71</v>
      </c>
      <c r="P3074" s="93">
        <v>20</v>
      </c>
      <c r="Q3074" s="93">
        <v>71</v>
      </c>
      <c r="R3074" s="93" t="s">
        <v>117</v>
      </c>
      <c r="S3074" s="93" t="s">
        <v>20</v>
      </c>
      <c r="T3074" s="93" t="s">
        <v>115</v>
      </c>
      <c r="U3074" s="93" t="s">
        <v>116</v>
      </c>
      <c r="V3074" s="94">
        <v>44628.493055555555</v>
      </c>
      <c r="W3074" s="93" t="s">
        <v>1170</v>
      </c>
      <c r="X3074" s="93" t="s">
        <v>24</v>
      </c>
    </row>
    <row r="3075" spans="1:24" hidden="1" x14ac:dyDescent="0.15">
      <c r="A3075" s="93" t="s">
        <v>4538</v>
      </c>
      <c r="B3075" s="93" t="s">
        <v>4539</v>
      </c>
      <c r="C3075" s="410">
        <v>2143.8000000000002</v>
      </c>
      <c r="D3075" s="93" t="s">
        <v>24</v>
      </c>
      <c r="E3075" s="93" t="s">
        <v>24</v>
      </c>
      <c r="F3075" s="93" t="s">
        <v>7070</v>
      </c>
      <c r="G3075" s="93" t="s">
        <v>7175</v>
      </c>
      <c r="H3075" s="93" t="s">
        <v>1198</v>
      </c>
      <c r="I3075" s="93" t="s">
        <v>111</v>
      </c>
      <c r="J3075" s="93" t="s">
        <v>4131</v>
      </c>
      <c r="K3075" s="93">
        <v>50</v>
      </c>
      <c r="L3075" s="93" t="s">
        <v>111</v>
      </c>
      <c r="M3075" s="93">
        <v>27</v>
      </c>
      <c r="N3075" s="93" t="s">
        <v>113</v>
      </c>
      <c r="O3075" s="93">
        <v>152</v>
      </c>
      <c r="P3075" s="93">
        <v>48</v>
      </c>
      <c r="Q3075" s="93">
        <v>150</v>
      </c>
      <c r="R3075" s="93" t="s">
        <v>117</v>
      </c>
      <c r="S3075" s="93" t="s">
        <v>2</v>
      </c>
      <c r="T3075" s="93" t="s">
        <v>115</v>
      </c>
      <c r="U3075" s="93" t="s">
        <v>116</v>
      </c>
      <c r="V3075" s="94">
        <v>44628.57916666667</v>
      </c>
      <c r="W3075" s="93" t="s">
        <v>1170</v>
      </c>
      <c r="X3075" s="93" t="s">
        <v>24</v>
      </c>
    </row>
    <row r="3076" spans="1:24" hidden="1" x14ac:dyDescent="0.15">
      <c r="A3076" s="93" t="s">
        <v>4540</v>
      </c>
      <c r="B3076" s="93" t="s">
        <v>4541</v>
      </c>
      <c r="C3076" s="410">
        <v>2899.8</v>
      </c>
      <c r="D3076" s="93" t="s">
        <v>24</v>
      </c>
      <c r="E3076" s="93" t="s">
        <v>24</v>
      </c>
      <c r="F3076" s="93" t="s">
        <v>7070</v>
      </c>
      <c r="G3076" s="93" t="s">
        <v>7175</v>
      </c>
      <c r="H3076" s="93" t="s">
        <v>1198</v>
      </c>
      <c r="I3076" s="93" t="s">
        <v>111</v>
      </c>
      <c r="J3076" s="93" t="s">
        <v>4131</v>
      </c>
      <c r="K3076" s="93">
        <v>50</v>
      </c>
      <c r="L3076" s="93" t="s">
        <v>111</v>
      </c>
      <c r="M3076" s="93">
        <v>101</v>
      </c>
      <c r="N3076" s="93" t="s">
        <v>113</v>
      </c>
      <c r="O3076" s="93">
        <v>203.2</v>
      </c>
      <c r="P3076" s="93">
        <v>51</v>
      </c>
      <c r="Q3076" s="93">
        <v>196</v>
      </c>
      <c r="R3076" s="93" t="s">
        <v>117</v>
      </c>
      <c r="S3076" s="93" t="s">
        <v>2</v>
      </c>
      <c r="T3076" s="93" t="s">
        <v>115</v>
      </c>
      <c r="U3076" s="93" t="s">
        <v>116</v>
      </c>
      <c r="V3076" s="94">
        <v>44628.557638888888</v>
      </c>
      <c r="W3076" s="93" t="s">
        <v>1170</v>
      </c>
      <c r="X3076" s="93" t="s">
        <v>24</v>
      </c>
    </row>
    <row r="3077" spans="1:24" hidden="1" x14ac:dyDescent="0.15">
      <c r="A3077" s="93" t="s">
        <v>4542</v>
      </c>
      <c r="B3077" s="93" t="s">
        <v>4543</v>
      </c>
      <c r="C3077" s="410">
        <v>5512.5</v>
      </c>
      <c r="D3077" s="93" t="s">
        <v>24</v>
      </c>
      <c r="E3077" s="93" t="s">
        <v>24</v>
      </c>
      <c r="F3077" s="93" t="s">
        <v>7070</v>
      </c>
      <c r="G3077" s="93" t="s">
        <v>8237</v>
      </c>
      <c r="H3077" s="93" t="s">
        <v>1198</v>
      </c>
      <c r="I3077" s="93" t="s">
        <v>111</v>
      </c>
      <c r="J3077" s="93" t="s">
        <v>1759</v>
      </c>
      <c r="K3077" s="93">
        <v>70</v>
      </c>
      <c r="L3077" s="93">
        <v>1</v>
      </c>
      <c r="M3077" s="93" t="s">
        <v>111</v>
      </c>
      <c r="N3077" s="93" t="s">
        <v>111</v>
      </c>
      <c r="O3077" s="93" t="s">
        <v>111</v>
      </c>
      <c r="P3077" s="93" t="s">
        <v>111</v>
      </c>
      <c r="Q3077" s="93" t="s">
        <v>111</v>
      </c>
      <c r="R3077" s="93" t="s">
        <v>1199</v>
      </c>
      <c r="S3077" s="93" t="s">
        <v>1174</v>
      </c>
      <c r="T3077" s="93" t="s">
        <v>115</v>
      </c>
      <c r="U3077" s="93" t="s">
        <v>116</v>
      </c>
      <c r="V3077" s="94">
        <v>44628.631944444445</v>
      </c>
      <c r="W3077" s="93" t="s">
        <v>1170</v>
      </c>
      <c r="X3077" s="93" t="s">
        <v>24</v>
      </c>
    </row>
    <row r="3078" spans="1:24" hidden="1" x14ac:dyDescent="0.15">
      <c r="A3078" s="93" t="s">
        <v>4544</v>
      </c>
      <c r="B3078" s="93" t="s">
        <v>4545</v>
      </c>
      <c r="C3078" s="410">
        <v>12075</v>
      </c>
      <c r="D3078" s="93" t="s">
        <v>24</v>
      </c>
      <c r="E3078" s="93" t="s">
        <v>24</v>
      </c>
      <c r="F3078" s="93" t="s">
        <v>7070</v>
      </c>
      <c r="G3078" s="93" t="s">
        <v>8237</v>
      </c>
      <c r="H3078" s="93" t="s">
        <v>1198</v>
      </c>
      <c r="I3078" s="93" t="s">
        <v>111</v>
      </c>
      <c r="J3078" s="93" t="s">
        <v>1759</v>
      </c>
      <c r="K3078" s="93">
        <v>70</v>
      </c>
      <c r="L3078" s="93">
        <v>1</v>
      </c>
      <c r="M3078" s="93">
        <v>200.94</v>
      </c>
      <c r="N3078" s="93" t="s">
        <v>113</v>
      </c>
      <c r="O3078" s="93">
        <v>208.28</v>
      </c>
      <c r="P3078" s="93">
        <v>213.36</v>
      </c>
      <c r="Q3078" s="93">
        <v>88.9</v>
      </c>
      <c r="R3078" s="93" t="s">
        <v>1199</v>
      </c>
      <c r="S3078" s="93" t="s">
        <v>1174</v>
      </c>
      <c r="T3078" s="93" t="s">
        <v>115</v>
      </c>
      <c r="U3078" s="93" t="s">
        <v>116</v>
      </c>
      <c r="V3078" s="94">
        <v>44628.631944444445</v>
      </c>
      <c r="W3078" s="93" t="s">
        <v>1170</v>
      </c>
      <c r="X3078" s="93" t="s">
        <v>24</v>
      </c>
    </row>
    <row r="3079" spans="1:24" hidden="1" x14ac:dyDescent="0.15">
      <c r="A3079" s="93" t="s">
        <v>9436</v>
      </c>
      <c r="B3079" s="93" t="s">
        <v>9437</v>
      </c>
      <c r="C3079" s="410">
        <v>3800</v>
      </c>
      <c r="D3079" s="93" t="s">
        <v>24</v>
      </c>
      <c r="E3079" s="93" t="s">
        <v>24</v>
      </c>
      <c r="F3079" s="93" t="s">
        <v>7070</v>
      </c>
      <c r="G3079" s="93" t="s">
        <v>8237</v>
      </c>
      <c r="H3079" s="93" t="s">
        <v>11</v>
      </c>
      <c r="I3079" s="93" t="s">
        <v>111</v>
      </c>
      <c r="J3079" s="93" t="s">
        <v>1759</v>
      </c>
      <c r="K3079" s="93">
        <v>70</v>
      </c>
      <c r="L3079" s="93" t="s">
        <v>111</v>
      </c>
      <c r="M3079" s="93" t="s">
        <v>111</v>
      </c>
      <c r="N3079" s="93" t="s">
        <v>111</v>
      </c>
      <c r="O3079" s="93" t="s">
        <v>111</v>
      </c>
      <c r="P3079" s="93" t="s">
        <v>111</v>
      </c>
      <c r="Q3079" s="93" t="s">
        <v>111</v>
      </c>
      <c r="R3079" s="93" t="s">
        <v>9438</v>
      </c>
      <c r="S3079" s="93" t="s">
        <v>18</v>
      </c>
      <c r="T3079" s="93" t="s">
        <v>115</v>
      </c>
      <c r="U3079" s="93" t="s">
        <v>116</v>
      </c>
      <c r="V3079" s="94">
        <v>44628.55</v>
      </c>
      <c r="W3079" s="93" t="s">
        <v>1170</v>
      </c>
      <c r="X3079" s="93" t="s">
        <v>24</v>
      </c>
    </row>
    <row r="3080" spans="1:24" hidden="1" x14ac:dyDescent="0.15">
      <c r="A3080" s="93" t="s">
        <v>9439</v>
      </c>
      <c r="B3080" s="93" t="s">
        <v>9440</v>
      </c>
      <c r="C3080" s="410">
        <v>599</v>
      </c>
      <c r="D3080" s="93" t="s">
        <v>24</v>
      </c>
      <c r="E3080" s="93" t="s">
        <v>24</v>
      </c>
      <c r="F3080" s="93" t="s">
        <v>7070</v>
      </c>
      <c r="G3080" s="93" t="s">
        <v>8237</v>
      </c>
      <c r="H3080" s="93" t="s">
        <v>11</v>
      </c>
      <c r="I3080" s="93" t="s">
        <v>111</v>
      </c>
      <c r="J3080" s="93" t="s">
        <v>390</v>
      </c>
      <c r="K3080" s="93">
        <v>80</v>
      </c>
      <c r="L3080" s="93" t="s">
        <v>111</v>
      </c>
      <c r="M3080" s="93">
        <v>2</v>
      </c>
      <c r="N3080" s="93" t="s">
        <v>113</v>
      </c>
      <c r="O3080" s="93">
        <v>10.5</v>
      </c>
      <c r="P3080" s="93">
        <v>13.4</v>
      </c>
      <c r="Q3080" s="93">
        <v>23.2</v>
      </c>
      <c r="R3080" s="93" t="s">
        <v>1188</v>
      </c>
      <c r="S3080" s="93" t="s">
        <v>18</v>
      </c>
      <c r="T3080" s="93" t="s">
        <v>115</v>
      </c>
      <c r="U3080" s="93" t="s">
        <v>116</v>
      </c>
      <c r="V3080" s="94">
        <v>44628.60833333333</v>
      </c>
      <c r="W3080" s="93" t="s">
        <v>1170</v>
      </c>
      <c r="X3080" s="93" t="s">
        <v>24</v>
      </c>
    </row>
    <row r="3081" spans="1:24" hidden="1" x14ac:dyDescent="0.15">
      <c r="A3081" s="93" t="s">
        <v>9441</v>
      </c>
      <c r="B3081" s="93" t="s">
        <v>9442</v>
      </c>
      <c r="C3081" s="410">
        <v>849</v>
      </c>
      <c r="D3081" s="93" t="s">
        <v>24</v>
      </c>
      <c r="E3081" s="93" t="s">
        <v>24</v>
      </c>
      <c r="F3081" s="93" t="s">
        <v>7070</v>
      </c>
      <c r="G3081" s="93" t="s">
        <v>8237</v>
      </c>
      <c r="H3081" s="93" t="s">
        <v>11</v>
      </c>
      <c r="I3081" s="93" t="s">
        <v>111</v>
      </c>
      <c r="J3081" s="93" t="s">
        <v>390</v>
      </c>
      <c r="K3081" s="93">
        <v>80</v>
      </c>
      <c r="L3081" s="93" t="s">
        <v>111</v>
      </c>
      <c r="M3081" s="93">
        <v>2</v>
      </c>
      <c r="N3081" s="93" t="s">
        <v>113</v>
      </c>
      <c r="O3081" s="93">
        <v>10.5</v>
      </c>
      <c r="P3081" s="93">
        <v>13.4</v>
      </c>
      <c r="Q3081" s="93">
        <v>23.2</v>
      </c>
      <c r="R3081" s="93" t="s">
        <v>1188</v>
      </c>
      <c r="S3081" s="93" t="s">
        <v>18</v>
      </c>
      <c r="T3081" s="93" t="s">
        <v>115</v>
      </c>
      <c r="U3081" s="93" t="s">
        <v>116</v>
      </c>
      <c r="V3081" s="94">
        <v>44628.543749999997</v>
      </c>
      <c r="W3081" s="93" t="s">
        <v>1207</v>
      </c>
      <c r="X3081" s="93" t="s">
        <v>24</v>
      </c>
    </row>
    <row r="3082" spans="1:24" hidden="1" x14ac:dyDescent="0.15">
      <c r="A3082" s="93" t="s">
        <v>4546</v>
      </c>
      <c r="B3082" s="93" t="s">
        <v>4547</v>
      </c>
      <c r="C3082" s="410">
        <v>1522.5</v>
      </c>
      <c r="D3082" s="93" t="s">
        <v>24</v>
      </c>
      <c r="E3082" s="93" t="s">
        <v>24</v>
      </c>
      <c r="F3082" s="93" t="s">
        <v>7070</v>
      </c>
      <c r="G3082" s="93" t="s">
        <v>8237</v>
      </c>
      <c r="H3082" s="93" t="s">
        <v>1198</v>
      </c>
      <c r="I3082" s="93" t="s">
        <v>111</v>
      </c>
      <c r="J3082" s="93" t="s">
        <v>963</v>
      </c>
      <c r="K3082" s="93">
        <v>60</v>
      </c>
      <c r="L3082" s="93" t="s">
        <v>111</v>
      </c>
      <c r="M3082" s="93">
        <v>30.8</v>
      </c>
      <c r="N3082" s="93" t="s">
        <v>113</v>
      </c>
      <c r="O3082" s="93">
        <v>37</v>
      </c>
      <c r="P3082" s="93">
        <v>120</v>
      </c>
      <c r="Q3082" s="93">
        <v>107</v>
      </c>
      <c r="R3082" s="93" t="s">
        <v>117</v>
      </c>
      <c r="S3082" s="93" t="s">
        <v>18</v>
      </c>
      <c r="T3082" s="93" t="s">
        <v>1659</v>
      </c>
      <c r="U3082" s="93" t="s">
        <v>116</v>
      </c>
      <c r="V3082" s="94">
        <v>44628.543055555558</v>
      </c>
      <c r="W3082" s="93" t="s">
        <v>1170</v>
      </c>
      <c r="X3082" s="93" t="s">
        <v>24</v>
      </c>
    </row>
    <row r="3083" spans="1:24" hidden="1" x14ac:dyDescent="0.15">
      <c r="A3083" s="93" t="s">
        <v>4548</v>
      </c>
      <c r="B3083" s="93" t="s">
        <v>4549</v>
      </c>
      <c r="C3083" s="410">
        <v>2205</v>
      </c>
      <c r="D3083" s="93" t="s">
        <v>24</v>
      </c>
      <c r="E3083" s="93" t="s">
        <v>24</v>
      </c>
      <c r="F3083" s="93" t="s">
        <v>7070</v>
      </c>
      <c r="G3083" s="93" t="s">
        <v>8237</v>
      </c>
      <c r="H3083" s="93" t="s">
        <v>1198</v>
      </c>
      <c r="I3083" s="93" t="s">
        <v>111</v>
      </c>
      <c r="J3083" s="93" t="s">
        <v>963</v>
      </c>
      <c r="K3083" s="93">
        <v>60</v>
      </c>
      <c r="L3083" s="93" t="s">
        <v>111</v>
      </c>
      <c r="M3083" s="93">
        <v>102</v>
      </c>
      <c r="N3083" s="93" t="s">
        <v>113</v>
      </c>
      <c r="O3083" s="93">
        <v>137</v>
      </c>
      <c r="P3083" s="93">
        <v>137</v>
      </c>
      <c r="Q3083" s="93">
        <v>82</v>
      </c>
      <c r="R3083" s="93" t="s">
        <v>117</v>
      </c>
      <c r="S3083" s="93" t="s">
        <v>18</v>
      </c>
      <c r="T3083" s="93" t="s">
        <v>1659</v>
      </c>
      <c r="U3083" s="93" t="s">
        <v>116</v>
      </c>
      <c r="V3083" s="94">
        <v>44628.520833333336</v>
      </c>
      <c r="W3083" s="93" t="s">
        <v>1170</v>
      </c>
      <c r="X3083" s="93" t="s">
        <v>24</v>
      </c>
    </row>
    <row r="3084" spans="1:24" hidden="1" x14ac:dyDescent="0.15">
      <c r="A3084" s="93" t="s">
        <v>4550</v>
      </c>
      <c r="B3084" s="93" t="s">
        <v>4551</v>
      </c>
      <c r="C3084" s="410">
        <v>4095</v>
      </c>
      <c r="D3084" s="93" t="s">
        <v>24</v>
      </c>
      <c r="E3084" s="93" t="s">
        <v>24</v>
      </c>
      <c r="F3084" s="93" t="s">
        <v>7070</v>
      </c>
      <c r="G3084" s="93" t="s">
        <v>8237</v>
      </c>
      <c r="H3084" s="93" t="s">
        <v>1198</v>
      </c>
      <c r="I3084" s="93" t="s">
        <v>111</v>
      </c>
      <c r="J3084" s="93" t="s">
        <v>963</v>
      </c>
      <c r="K3084" s="93">
        <v>60</v>
      </c>
      <c r="L3084" s="93" t="s">
        <v>111</v>
      </c>
      <c r="M3084" s="93">
        <v>193</v>
      </c>
      <c r="N3084" s="93" t="s">
        <v>113</v>
      </c>
      <c r="O3084" s="93">
        <v>210</v>
      </c>
      <c r="P3084" s="93">
        <v>88</v>
      </c>
      <c r="Q3084" s="93">
        <v>207</v>
      </c>
      <c r="R3084" s="93" t="s">
        <v>117</v>
      </c>
      <c r="S3084" s="93" t="s">
        <v>18</v>
      </c>
      <c r="T3084" s="93" t="s">
        <v>1659</v>
      </c>
      <c r="U3084" s="93" t="s">
        <v>116</v>
      </c>
      <c r="V3084" s="94">
        <v>44628.498611111114</v>
      </c>
      <c r="W3084" s="93" t="s">
        <v>1170</v>
      </c>
      <c r="X3084" s="93" t="s">
        <v>24</v>
      </c>
    </row>
    <row r="3085" spans="1:24" hidden="1" x14ac:dyDescent="0.15">
      <c r="A3085" s="93" t="s">
        <v>4552</v>
      </c>
      <c r="B3085" s="93" t="s">
        <v>4553</v>
      </c>
      <c r="C3085" s="410">
        <v>745.5</v>
      </c>
      <c r="D3085" s="93" t="s">
        <v>24</v>
      </c>
      <c r="E3085" s="93" t="s">
        <v>24</v>
      </c>
      <c r="F3085" s="93" t="s">
        <v>7070</v>
      </c>
      <c r="G3085" s="93" t="s">
        <v>8237</v>
      </c>
      <c r="H3085" s="93" t="s">
        <v>1198</v>
      </c>
      <c r="I3085" s="93" t="s">
        <v>111</v>
      </c>
      <c r="J3085" s="93" t="s">
        <v>963</v>
      </c>
      <c r="K3085" s="93">
        <v>60</v>
      </c>
      <c r="L3085" s="93" t="s">
        <v>111</v>
      </c>
      <c r="M3085" s="93">
        <v>21.7</v>
      </c>
      <c r="N3085" s="93" t="s">
        <v>113</v>
      </c>
      <c r="O3085" s="93">
        <v>71</v>
      </c>
      <c r="P3085" s="93">
        <v>71</v>
      </c>
      <c r="Q3085" s="93">
        <v>61</v>
      </c>
      <c r="R3085" s="93" t="s">
        <v>117</v>
      </c>
      <c r="S3085" s="93" t="s">
        <v>20</v>
      </c>
      <c r="T3085" s="93" t="s">
        <v>1659</v>
      </c>
      <c r="U3085" s="93" t="s">
        <v>116</v>
      </c>
      <c r="V3085" s="94">
        <v>44628.498611111114</v>
      </c>
      <c r="W3085" s="93" t="s">
        <v>1170</v>
      </c>
      <c r="X3085" s="93" t="s">
        <v>24</v>
      </c>
    </row>
    <row r="3086" spans="1:24" hidden="1" x14ac:dyDescent="0.15">
      <c r="A3086" s="93" t="s">
        <v>4554</v>
      </c>
      <c r="B3086" s="93" t="s">
        <v>4555</v>
      </c>
      <c r="C3086" s="410">
        <v>1748.25</v>
      </c>
      <c r="D3086" s="93" t="s">
        <v>24</v>
      </c>
      <c r="E3086" s="93" t="s">
        <v>24</v>
      </c>
      <c r="F3086" s="93" t="s">
        <v>7070</v>
      </c>
      <c r="G3086" s="93" t="s">
        <v>8237</v>
      </c>
      <c r="H3086" s="93" t="s">
        <v>1198</v>
      </c>
      <c r="I3086" s="93" t="s">
        <v>111</v>
      </c>
      <c r="J3086" s="93" t="s">
        <v>963</v>
      </c>
      <c r="K3086" s="93">
        <v>60</v>
      </c>
      <c r="L3086" s="93" t="s">
        <v>111</v>
      </c>
      <c r="M3086" s="93">
        <v>70</v>
      </c>
      <c r="N3086" s="93" t="s">
        <v>113</v>
      </c>
      <c r="O3086" s="93">
        <v>71</v>
      </c>
      <c r="P3086" s="93">
        <v>119</v>
      </c>
      <c r="Q3086" s="93">
        <v>122</v>
      </c>
      <c r="R3086" s="93" t="s">
        <v>117</v>
      </c>
      <c r="S3086" s="93" t="s">
        <v>20</v>
      </c>
      <c r="T3086" s="93" t="s">
        <v>1659</v>
      </c>
      <c r="U3086" s="93" t="s">
        <v>116</v>
      </c>
      <c r="V3086" s="94">
        <v>44628.563888888886</v>
      </c>
      <c r="W3086" s="93" t="s">
        <v>1207</v>
      </c>
      <c r="X3086" s="93" t="s">
        <v>24</v>
      </c>
    </row>
    <row r="3087" spans="1:24" hidden="1" x14ac:dyDescent="0.15">
      <c r="A3087" s="93" t="s">
        <v>4556</v>
      </c>
      <c r="B3087" s="93" t="s">
        <v>4557</v>
      </c>
      <c r="C3087" s="410">
        <v>2625</v>
      </c>
      <c r="D3087" s="93" t="s">
        <v>24</v>
      </c>
      <c r="E3087" s="93" t="s">
        <v>24</v>
      </c>
      <c r="F3087" s="93" t="s">
        <v>7070</v>
      </c>
      <c r="G3087" s="93" t="s">
        <v>8237</v>
      </c>
      <c r="H3087" s="93" t="s">
        <v>1198</v>
      </c>
      <c r="I3087" s="93" t="s">
        <v>111</v>
      </c>
      <c r="J3087" s="93" t="s">
        <v>963</v>
      </c>
      <c r="K3087" s="93">
        <v>60</v>
      </c>
      <c r="L3087" s="93" t="s">
        <v>111</v>
      </c>
      <c r="M3087" s="93">
        <v>91.5</v>
      </c>
      <c r="N3087" s="93" t="s">
        <v>113</v>
      </c>
      <c r="O3087" s="93">
        <v>150</v>
      </c>
      <c r="P3087" s="93">
        <v>91</v>
      </c>
      <c r="Q3087" s="93">
        <v>147</v>
      </c>
      <c r="R3087" s="93" t="s">
        <v>117</v>
      </c>
      <c r="S3087" s="93" t="s">
        <v>2</v>
      </c>
      <c r="T3087" s="93" t="s">
        <v>1659</v>
      </c>
      <c r="U3087" s="93" t="s">
        <v>116</v>
      </c>
      <c r="V3087" s="94">
        <v>44628.520833333336</v>
      </c>
      <c r="W3087" s="93" t="s">
        <v>1817</v>
      </c>
      <c r="X3087" s="93" t="s">
        <v>24</v>
      </c>
    </row>
    <row r="3088" spans="1:24" hidden="1" x14ac:dyDescent="0.15">
      <c r="A3088" s="93" t="s">
        <v>4558</v>
      </c>
      <c r="B3088" s="93" t="s">
        <v>4559</v>
      </c>
      <c r="C3088" s="410">
        <v>4888.8</v>
      </c>
      <c r="D3088" s="93" t="s">
        <v>24</v>
      </c>
      <c r="E3088" s="93" t="s">
        <v>24</v>
      </c>
      <c r="F3088" s="93" t="s">
        <v>7070</v>
      </c>
      <c r="G3088" s="93" t="s">
        <v>8237</v>
      </c>
      <c r="H3088" s="93" t="s">
        <v>1198</v>
      </c>
      <c r="I3088" s="93" t="s">
        <v>111</v>
      </c>
      <c r="J3088" s="93" t="s">
        <v>963</v>
      </c>
      <c r="K3088" s="93">
        <v>60</v>
      </c>
      <c r="L3088" s="93" t="s">
        <v>111</v>
      </c>
      <c r="M3088" s="93">
        <v>182</v>
      </c>
      <c r="N3088" s="93" t="s">
        <v>113</v>
      </c>
      <c r="O3088" s="93">
        <v>89</v>
      </c>
      <c r="P3088" s="93">
        <v>195</v>
      </c>
      <c r="Q3088" s="93">
        <v>203</v>
      </c>
      <c r="R3088" s="93" t="s">
        <v>117</v>
      </c>
      <c r="S3088" s="93" t="s">
        <v>2</v>
      </c>
      <c r="T3088" s="93" t="s">
        <v>1659</v>
      </c>
      <c r="U3088" s="93" t="s">
        <v>116</v>
      </c>
      <c r="V3088" s="94">
        <v>44628.477777777778</v>
      </c>
      <c r="W3088" s="93" t="s">
        <v>1817</v>
      </c>
      <c r="X3088" s="93" t="s">
        <v>24</v>
      </c>
    </row>
    <row r="3089" spans="1:24" hidden="1" x14ac:dyDescent="0.15">
      <c r="A3089" s="93" t="s">
        <v>4560</v>
      </c>
      <c r="B3089" s="93" t="s">
        <v>4561</v>
      </c>
      <c r="C3089" s="410">
        <v>16275</v>
      </c>
      <c r="D3089" s="93" t="s">
        <v>24</v>
      </c>
      <c r="E3089" s="93" t="s">
        <v>24</v>
      </c>
      <c r="F3089" s="93" t="s">
        <v>7070</v>
      </c>
      <c r="G3089" s="93" t="s">
        <v>8237</v>
      </c>
      <c r="H3089" s="93" t="s">
        <v>1198</v>
      </c>
      <c r="I3089" s="93" t="s">
        <v>111</v>
      </c>
      <c r="J3089" s="93" t="s">
        <v>1759</v>
      </c>
      <c r="K3089" s="93">
        <v>70</v>
      </c>
      <c r="L3089" s="93">
        <v>1</v>
      </c>
      <c r="M3089" s="93" t="s">
        <v>111</v>
      </c>
      <c r="N3089" s="93" t="s">
        <v>111</v>
      </c>
      <c r="O3089" s="93" t="s">
        <v>111</v>
      </c>
      <c r="P3089" s="93" t="s">
        <v>111</v>
      </c>
      <c r="Q3089" s="93" t="s">
        <v>111</v>
      </c>
      <c r="R3089" s="93" t="s">
        <v>4562</v>
      </c>
      <c r="S3089" s="93" t="s">
        <v>1174</v>
      </c>
      <c r="T3089" s="93" t="s">
        <v>115</v>
      </c>
      <c r="U3089" s="93" t="s">
        <v>116</v>
      </c>
      <c r="V3089" s="94">
        <v>44628.631944444445</v>
      </c>
      <c r="W3089" s="93" t="s">
        <v>1170</v>
      </c>
      <c r="X3089" s="93" t="s">
        <v>24</v>
      </c>
    </row>
    <row r="3090" spans="1:24" hidden="1" x14ac:dyDescent="0.15">
      <c r="A3090" s="93" t="s">
        <v>4563</v>
      </c>
      <c r="B3090" s="93" t="s">
        <v>4564</v>
      </c>
      <c r="C3090" s="410">
        <v>9975</v>
      </c>
      <c r="D3090" s="93" t="s">
        <v>24</v>
      </c>
      <c r="E3090" s="93" t="s">
        <v>24</v>
      </c>
      <c r="F3090" s="93" t="s">
        <v>1648</v>
      </c>
      <c r="G3090" s="93" t="s">
        <v>8237</v>
      </c>
      <c r="H3090" s="93" t="s">
        <v>11</v>
      </c>
      <c r="I3090" s="93" t="s">
        <v>111</v>
      </c>
      <c r="J3090" s="93" t="s">
        <v>1675</v>
      </c>
      <c r="K3090" s="93">
        <v>60</v>
      </c>
      <c r="L3090" s="93" t="s">
        <v>111</v>
      </c>
      <c r="M3090" s="93">
        <v>4</v>
      </c>
      <c r="N3090" s="93" t="s">
        <v>113</v>
      </c>
      <c r="O3090" s="93">
        <v>19</v>
      </c>
      <c r="P3090" s="93">
        <v>30</v>
      </c>
      <c r="Q3090" s="93">
        <v>34</v>
      </c>
      <c r="R3090" s="93" t="s">
        <v>117</v>
      </c>
      <c r="S3090" s="93" t="s">
        <v>659</v>
      </c>
      <c r="T3090" s="93" t="s">
        <v>115</v>
      </c>
      <c r="U3090" s="93" t="s">
        <v>116</v>
      </c>
      <c r="V3090" s="94">
        <v>44628.468055555553</v>
      </c>
      <c r="W3090" s="93" t="s">
        <v>1555</v>
      </c>
      <c r="X3090" s="93" t="s">
        <v>24</v>
      </c>
    </row>
    <row r="3091" spans="1:24" hidden="1" x14ac:dyDescent="0.15">
      <c r="A3091" s="93" t="s">
        <v>4565</v>
      </c>
      <c r="B3091" s="93" t="s">
        <v>4566</v>
      </c>
      <c r="C3091" s="410">
        <v>185.85</v>
      </c>
      <c r="D3091" s="93" t="s">
        <v>24</v>
      </c>
      <c r="E3091" s="93" t="s">
        <v>24</v>
      </c>
      <c r="F3091" s="93" t="s">
        <v>7070</v>
      </c>
      <c r="G3091" s="93" t="s">
        <v>8237</v>
      </c>
      <c r="H3091" s="93" t="s">
        <v>11</v>
      </c>
      <c r="I3091" s="93" t="s">
        <v>111</v>
      </c>
      <c r="J3091" s="93" t="s">
        <v>963</v>
      </c>
      <c r="K3091" s="93">
        <v>60</v>
      </c>
      <c r="L3091" s="93" t="s">
        <v>111</v>
      </c>
      <c r="M3091" s="93">
        <v>1</v>
      </c>
      <c r="N3091" s="93" t="s">
        <v>113</v>
      </c>
      <c r="O3091" s="93">
        <v>5</v>
      </c>
      <c r="P3091" s="93">
        <v>16</v>
      </c>
      <c r="Q3091" s="93">
        <v>23</v>
      </c>
      <c r="R3091" s="93" t="s">
        <v>122</v>
      </c>
      <c r="S3091" s="93" t="s">
        <v>20</v>
      </c>
      <c r="T3091" s="93" t="s">
        <v>1659</v>
      </c>
      <c r="U3091" s="93" t="s">
        <v>116</v>
      </c>
      <c r="V3091" s="94">
        <v>44628.581944444442</v>
      </c>
      <c r="W3091" s="93" t="s">
        <v>1170</v>
      </c>
      <c r="X3091" s="93" t="s">
        <v>24</v>
      </c>
    </row>
    <row r="3092" spans="1:24" hidden="1" x14ac:dyDescent="0.15">
      <c r="A3092" s="93" t="s">
        <v>4567</v>
      </c>
      <c r="B3092" s="93" t="s">
        <v>4568</v>
      </c>
      <c r="C3092" s="410">
        <v>185.85</v>
      </c>
      <c r="D3092" s="93" t="s">
        <v>24</v>
      </c>
      <c r="E3092" s="93" t="s">
        <v>24</v>
      </c>
      <c r="F3092" s="93" t="s">
        <v>7070</v>
      </c>
      <c r="G3092" s="93" t="s">
        <v>8237</v>
      </c>
      <c r="H3092" s="93" t="s">
        <v>11</v>
      </c>
      <c r="I3092" s="93" t="s">
        <v>111</v>
      </c>
      <c r="J3092" s="93" t="s">
        <v>963</v>
      </c>
      <c r="K3092" s="93">
        <v>60</v>
      </c>
      <c r="L3092" s="93" t="s">
        <v>111</v>
      </c>
      <c r="M3092" s="93">
        <v>0.4</v>
      </c>
      <c r="N3092" s="93" t="s">
        <v>113</v>
      </c>
      <c r="O3092" s="93">
        <v>4</v>
      </c>
      <c r="P3092" s="93">
        <v>10</v>
      </c>
      <c r="Q3092" s="93">
        <v>12.5</v>
      </c>
      <c r="R3092" s="93" t="s">
        <v>122</v>
      </c>
      <c r="S3092" s="93" t="s">
        <v>659</v>
      </c>
      <c r="T3092" s="93" t="s">
        <v>1659</v>
      </c>
      <c r="U3092" s="93" t="s">
        <v>116</v>
      </c>
      <c r="V3092" s="94">
        <v>44628.560416666667</v>
      </c>
      <c r="W3092" s="93" t="s">
        <v>1170</v>
      </c>
      <c r="X3092" s="93" t="s">
        <v>24</v>
      </c>
    </row>
    <row r="3093" spans="1:24" hidden="1" x14ac:dyDescent="0.15">
      <c r="A3093" s="93" t="s">
        <v>4569</v>
      </c>
      <c r="B3093" s="93" t="s">
        <v>4570</v>
      </c>
      <c r="C3093" s="410">
        <v>487.2</v>
      </c>
      <c r="D3093" s="93" t="s">
        <v>24</v>
      </c>
      <c r="E3093" s="93" t="s">
        <v>24</v>
      </c>
      <c r="F3093" s="93" t="s">
        <v>7070</v>
      </c>
      <c r="G3093" s="93" t="s">
        <v>8237</v>
      </c>
      <c r="H3093" s="93" t="s">
        <v>11</v>
      </c>
      <c r="I3093" s="93" t="s">
        <v>111</v>
      </c>
      <c r="J3093" s="93" t="s">
        <v>963</v>
      </c>
      <c r="K3093" s="93">
        <v>60</v>
      </c>
      <c r="L3093" s="93" t="s">
        <v>111</v>
      </c>
      <c r="M3093" s="93">
        <v>2.5</v>
      </c>
      <c r="N3093" s="93" t="s">
        <v>113</v>
      </c>
      <c r="O3093" s="93">
        <v>28</v>
      </c>
      <c r="P3093" s="93">
        <v>28</v>
      </c>
      <c r="Q3093" s="93">
        <v>18</v>
      </c>
      <c r="R3093" s="93" t="s">
        <v>4205</v>
      </c>
      <c r="S3093" s="93" t="s">
        <v>20</v>
      </c>
      <c r="T3093" s="93" t="s">
        <v>1659</v>
      </c>
      <c r="U3093" s="93" t="s">
        <v>116</v>
      </c>
      <c r="V3093" s="94">
        <v>44628.539583333331</v>
      </c>
      <c r="W3093" s="93" t="s">
        <v>1170</v>
      </c>
      <c r="X3093" s="93" t="s">
        <v>24</v>
      </c>
    </row>
    <row r="3094" spans="1:24" hidden="1" x14ac:dyDescent="0.15">
      <c r="A3094" s="93" t="s">
        <v>4571</v>
      </c>
      <c r="B3094" s="93" t="s">
        <v>4572</v>
      </c>
      <c r="C3094" s="410">
        <v>1368.15</v>
      </c>
      <c r="D3094" s="93" t="s">
        <v>24</v>
      </c>
      <c r="E3094" s="93" t="s">
        <v>24</v>
      </c>
      <c r="F3094" s="93" t="s">
        <v>7070</v>
      </c>
      <c r="G3094" s="93" t="s">
        <v>8237</v>
      </c>
      <c r="H3094" s="93" t="s">
        <v>11</v>
      </c>
      <c r="I3094" s="93" t="s">
        <v>111</v>
      </c>
      <c r="J3094" s="93" t="s">
        <v>963</v>
      </c>
      <c r="K3094" s="93">
        <v>60</v>
      </c>
      <c r="L3094" s="93" t="s">
        <v>111</v>
      </c>
      <c r="M3094" s="93">
        <v>2</v>
      </c>
      <c r="N3094" s="93" t="s">
        <v>113</v>
      </c>
      <c r="O3094" s="93">
        <v>31</v>
      </c>
      <c r="P3094" s="93">
        <v>34.200000000000003</v>
      </c>
      <c r="Q3094" s="93">
        <v>31</v>
      </c>
      <c r="R3094" s="93" t="s">
        <v>117</v>
      </c>
      <c r="S3094" s="93" t="s">
        <v>111</v>
      </c>
      <c r="T3094" s="93" t="s">
        <v>1659</v>
      </c>
      <c r="U3094" s="93" t="s">
        <v>116</v>
      </c>
      <c r="V3094" s="94">
        <v>44628.586111111108</v>
      </c>
      <c r="W3094" s="93" t="s">
        <v>1170</v>
      </c>
      <c r="X3094" s="93" t="s">
        <v>24</v>
      </c>
    </row>
    <row r="3095" spans="1:24" hidden="1" x14ac:dyDescent="0.15">
      <c r="A3095" s="93" t="s">
        <v>4573</v>
      </c>
      <c r="B3095" s="93" t="s">
        <v>4574</v>
      </c>
      <c r="C3095" s="410">
        <v>1368.15</v>
      </c>
      <c r="D3095" s="93" t="s">
        <v>24</v>
      </c>
      <c r="E3095" s="93" t="s">
        <v>24</v>
      </c>
      <c r="F3095" s="93" t="s">
        <v>7070</v>
      </c>
      <c r="G3095" s="93" t="s">
        <v>8237</v>
      </c>
      <c r="H3095" s="93" t="s">
        <v>11</v>
      </c>
      <c r="I3095" s="93" t="s">
        <v>111</v>
      </c>
      <c r="J3095" s="93" t="s">
        <v>963</v>
      </c>
      <c r="K3095" s="93">
        <v>60</v>
      </c>
      <c r="L3095" s="93" t="s">
        <v>111</v>
      </c>
      <c r="M3095" s="93">
        <v>2.5</v>
      </c>
      <c r="N3095" s="93" t="s">
        <v>113</v>
      </c>
      <c r="O3095" s="93">
        <v>30.4</v>
      </c>
      <c r="P3095" s="93">
        <v>36.700000000000003</v>
      </c>
      <c r="Q3095" s="93">
        <v>30.6</v>
      </c>
      <c r="R3095" s="93" t="s">
        <v>117</v>
      </c>
      <c r="S3095" s="93" t="s">
        <v>111</v>
      </c>
      <c r="T3095" s="93" t="s">
        <v>1659</v>
      </c>
      <c r="U3095" s="93" t="s">
        <v>116</v>
      </c>
      <c r="V3095" s="94">
        <v>44628.477777777778</v>
      </c>
      <c r="W3095" s="93" t="s">
        <v>1170</v>
      </c>
      <c r="X3095" s="93" t="s">
        <v>24</v>
      </c>
    </row>
    <row r="3096" spans="1:24" hidden="1" x14ac:dyDescent="0.15">
      <c r="A3096" s="93" t="s">
        <v>4575</v>
      </c>
      <c r="B3096" s="93" t="s">
        <v>4576</v>
      </c>
      <c r="C3096" s="410">
        <v>472.5</v>
      </c>
      <c r="D3096" s="93" t="s">
        <v>24</v>
      </c>
      <c r="E3096" s="93" t="s">
        <v>24</v>
      </c>
      <c r="F3096" s="93" t="s">
        <v>7070</v>
      </c>
      <c r="G3096" s="93" t="s">
        <v>8237</v>
      </c>
      <c r="H3096" s="93" t="s">
        <v>11</v>
      </c>
      <c r="I3096" s="93" t="s">
        <v>111</v>
      </c>
      <c r="J3096" s="93" t="s">
        <v>2086</v>
      </c>
      <c r="K3096" s="93">
        <v>50</v>
      </c>
      <c r="L3096" s="93" t="s">
        <v>111</v>
      </c>
      <c r="M3096" s="93">
        <v>3</v>
      </c>
      <c r="N3096" s="93" t="s">
        <v>113</v>
      </c>
      <c r="O3096" s="93">
        <v>18</v>
      </c>
      <c r="P3096" s="93">
        <v>28</v>
      </c>
      <c r="Q3096" s="93">
        <v>32</v>
      </c>
      <c r="R3096" s="93" t="s">
        <v>117</v>
      </c>
      <c r="S3096" s="93" t="s">
        <v>111</v>
      </c>
      <c r="T3096" s="93" t="s">
        <v>1659</v>
      </c>
      <c r="U3096" s="93" t="s">
        <v>116</v>
      </c>
      <c r="V3096" s="94">
        <v>44628.477777777778</v>
      </c>
      <c r="W3096" s="93" t="s">
        <v>1170</v>
      </c>
      <c r="X3096" s="93" t="s">
        <v>9</v>
      </c>
    </row>
    <row r="3097" spans="1:24" hidden="1" x14ac:dyDescent="0.15">
      <c r="A3097" s="93" t="s">
        <v>4577</v>
      </c>
      <c r="B3097" s="93" t="s">
        <v>4578</v>
      </c>
      <c r="C3097" s="410">
        <v>1066.8</v>
      </c>
      <c r="D3097" s="93" t="s">
        <v>24</v>
      </c>
      <c r="E3097" s="93" t="s">
        <v>24</v>
      </c>
      <c r="F3097" s="93" t="s">
        <v>7070</v>
      </c>
      <c r="G3097" s="93" t="s">
        <v>8237</v>
      </c>
      <c r="H3097" s="93" t="s">
        <v>11</v>
      </c>
      <c r="I3097" s="93" t="s">
        <v>111</v>
      </c>
      <c r="J3097" s="93" t="s">
        <v>963</v>
      </c>
      <c r="K3097" s="93">
        <v>60</v>
      </c>
      <c r="L3097" s="93" t="s">
        <v>111</v>
      </c>
      <c r="M3097" s="93">
        <v>3.5</v>
      </c>
      <c r="N3097" s="93" t="s">
        <v>113</v>
      </c>
      <c r="O3097" s="93">
        <v>27</v>
      </c>
      <c r="P3097" s="93">
        <v>32</v>
      </c>
      <c r="Q3097" s="93">
        <v>17</v>
      </c>
      <c r="R3097" s="93" t="s">
        <v>117</v>
      </c>
      <c r="S3097" s="93" t="s">
        <v>111</v>
      </c>
      <c r="T3097" s="93" t="s">
        <v>1659</v>
      </c>
      <c r="U3097" s="93" t="s">
        <v>116</v>
      </c>
      <c r="V3097" s="94">
        <v>44628.642361111109</v>
      </c>
      <c r="W3097" s="93" t="s">
        <v>1170</v>
      </c>
      <c r="X3097" s="93" t="s">
        <v>24</v>
      </c>
    </row>
    <row r="3098" spans="1:24" hidden="1" x14ac:dyDescent="0.15">
      <c r="A3098" s="93" t="s">
        <v>4579</v>
      </c>
      <c r="B3098" s="93" t="s">
        <v>4580</v>
      </c>
      <c r="C3098" s="410">
        <v>208.95</v>
      </c>
      <c r="D3098" s="93" t="s">
        <v>24</v>
      </c>
      <c r="E3098" s="93" t="s">
        <v>24</v>
      </c>
      <c r="F3098" s="93" t="s">
        <v>7070</v>
      </c>
      <c r="G3098" s="93" t="s">
        <v>8237</v>
      </c>
      <c r="H3098" s="93" t="s">
        <v>11</v>
      </c>
      <c r="I3098" s="93" t="s">
        <v>111</v>
      </c>
      <c r="J3098" s="93" t="s">
        <v>1675</v>
      </c>
      <c r="K3098" s="93">
        <v>60</v>
      </c>
      <c r="L3098" s="93" t="s">
        <v>111</v>
      </c>
      <c r="M3098" s="93">
        <v>0.2</v>
      </c>
      <c r="N3098" s="93" t="s">
        <v>113</v>
      </c>
      <c r="O3098" s="93">
        <v>8</v>
      </c>
      <c r="P3098" s="93">
        <v>10</v>
      </c>
      <c r="Q3098" s="93">
        <v>10</v>
      </c>
      <c r="R3098" s="93" t="s">
        <v>4205</v>
      </c>
      <c r="S3098" s="93" t="s">
        <v>16</v>
      </c>
      <c r="T3098" s="93" t="s">
        <v>1659</v>
      </c>
      <c r="U3098" s="93" t="s">
        <v>116</v>
      </c>
      <c r="V3098" s="94">
        <v>44628.497916666667</v>
      </c>
      <c r="W3098" s="93" t="s">
        <v>1170</v>
      </c>
      <c r="X3098" s="93" t="s">
        <v>24</v>
      </c>
    </row>
    <row r="3099" spans="1:24" hidden="1" x14ac:dyDescent="0.15">
      <c r="A3099" s="93" t="s">
        <v>4581</v>
      </c>
      <c r="B3099" s="93" t="s">
        <v>4582</v>
      </c>
      <c r="C3099" s="410">
        <v>454.65</v>
      </c>
      <c r="D3099" s="93" t="s">
        <v>24</v>
      </c>
      <c r="E3099" s="93" t="s">
        <v>24</v>
      </c>
      <c r="F3099" s="93" t="s">
        <v>7070</v>
      </c>
      <c r="G3099" s="93" t="s">
        <v>8237</v>
      </c>
      <c r="H3099" s="93" t="s">
        <v>11</v>
      </c>
      <c r="I3099" s="93" t="s">
        <v>111</v>
      </c>
      <c r="J3099" s="93" t="s">
        <v>1675</v>
      </c>
      <c r="K3099" s="93">
        <v>60</v>
      </c>
      <c r="L3099" s="93" t="s">
        <v>111</v>
      </c>
      <c r="M3099" s="93">
        <v>0.36</v>
      </c>
      <c r="N3099" s="93" t="s">
        <v>113</v>
      </c>
      <c r="O3099" s="93">
        <v>9</v>
      </c>
      <c r="P3099" s="93">
        <v>11</v>
      </c>
      <c r="Q3099" s="93">
        <v>19</v>
      </c>
      <c r="R3099" s="93" t="s">
        <v>4205</v>
      </c>
      <c r="S3099" s="93" t="s">
        <v>16</v>
      </c>
      <c r="T3099" s="93" t="s">
        <v>1659</v>
      </c>
      <c r="U3099" s="93" t="s">
        <v>116</v>
      </c>
      <c r="V3099" s="94">
        <v>44628.563194444447</v>
      </c>
      <c r="W3099" s="93" t="s">
        <v>1170</v>
      </c>
      <c r="X3099" s="93" t="s">
        <v>24</v>
      </c>
    </row>
    <row r="3100" spans="1:24" hidden="1" x14ac:dyDescent="0.15">
      <c r="A3100" s="93" t="s">
        <v>4583</v>
      </c>
      <c r="B3100" s="93" t="s">
        <v>4584</v>
      </c>
      <c r="C3100" s="410">
        <v>1558.2</v>
      </c>
      <c r="D3100" s="93" t="s">
        <v>24</v>
      </c>
      <c r="E3100" s="93" t="s">
        <v>24</v>
      </c>
      <c r="F3100" s="93" t="s">
        <v>7070</v>
      </c>
      <c r="G3100" s="93" t="s">
        <v>8237</v>
      </c>
      <c r="H3100" s="93" t="s">
        <v>11</v>
      </c>
      <c r="I3100" s="93" t="s">
        <v>111</v>
      </c>
      <c r="J3100" s="93" t="s">
        <v>1675</v>
      </c>
      <c r="K3100" s="93">
        <v>60</v>
      </c>
      <c r="L3100" s="93" t="s">
        <v>111</v>
      </c>
      <c r="M3100" s="93">
        <v>6.3</v>
      </c>
      <c r="N3100" s="93" t="s">
        <v>113</v>
      </c>
      <c r="O3100" s="93">
        <v>11</v>
      </c>
      <c r="P3100" s="93">
        <v>56</v>
      </c>
      <c r="Q3100" s="93">
        <v>56</v>
      </c>
      <c r="R3100" s="93" t="s">
        <v>117</v>
      </c>
      <c r="S3100" s="93" t="s">
        <v>16</v>
      </c>
      <c r="T3100" s="93" t="s">
        <v>1659</v>
      </c>
      <c r="U3100" s="93" t="s">
        <v>116</v>
      </c>
      <c r="V3100" s="94">
        <v>44628.477083333331</v>
      </c>
      <c r="W3100" s="93" t="s">
        <v>1170</v>
      </c>
      <c r="X3100" s="93" t="s">
        <v>24</v>
      </c>
    </row>
    <row r="3101" spans="1:24" hidden="1" x14ac:dyDescent="0.15">
      <c r="A3101" s="93" t="s">
        <v>4585</v>
      </c>
      <c r="B3101" s="93" t="s">
        <v>4586</v>
      </c>
      <c r="C3101" s="410">
        <v>51.45</v>
      </c>
      <c r="D3101" s="93" t="s">
        <v>24</v>
      </c>
      <c r="E3101" s="93" t="s">
        <v>24</v>
      </c>
      <c r="F3101" s="93" t="s">
        <v>7070</v>
      </c>
      <c r="G3101" s="93" t="s">
        <v>8237</v>
      </c>
      <c r="H3101" s="93" t="s">
        <v>11</v>
      </c>
      <c r="I3101" s="93" t="s">
        <v>111</v>
      </c>
      <c r="J3101" s="93" t="s">
        <v>1675</v>
      </c>
      <c r="K3101" s="93">
        <v>60</v>
      </c>
      <c r="L3101" s="93" t="s">
        <v>111</v>
      </c>
      <c r="M3101" s="93">
        <v>0.1</v>
      </c>
      <c r="N3101" s="93" t="s">
        <v>113</v>
      </c>
      <c r="O3101" s="93">
        <v>7</v>
      </c>
      <c r="P3101" s="93">
        <v>9</v>
      </c>
      <c r="Q3101" s="93">
        <v>11</v>
      </c>
      <c r="R3101" s="93" t="s">
        <v>117</v>
      </c>
      <c r="S3101" s="93" t="s">
        <v>16</v>
      </c>
      <c r="T3101" s="93" t="s">
        <v>1659</v>
      </c>
      <c r="U3101" s="93" t="s">
        <v>116</v>
      </c>
      <c r="V3101" s="94">
        <v>44628.542361111111</v>
      </c>
      <c r="W3101" s="93" t="s">
        <v>1170</v>
      </c>
      <c r="X3101" s="93" t="s">
        <v>24</v>
      </c>
    </row>
    <row r="3102" spans="1:24" hidden="1" x14ac:dyDescent="0.15">
      <c r="A3102" s="93" t="s">
        <v>4587</v>
      </c>
      <c r="B3102" s="93" t="s">
        <v>4588</v>
      </c>
      <c r="C3102" s="410">
        <v>909.3</v>
      </c>
      <c r="D3102" s="93" t="s">
        <v>24</v>
      </c>
      <c r="E3102" s="93" t="s">
        <v>24</v>
      </c>
      <c r="F3102" s="93" t="s">
        <v>7070</v>
      </c>
      <c r="G3102" s="93" t="s">
        <v>8237</v>
      </c>
      <c r="H3102" s="93" t="s">
        <v>11</v>
      </c>
      <c r="I3102" s="93" t="s">
        <v>111</v>
      </c>
      <c r="J3102" s="93" t="s">
        <v>1675</v>
      </c>
      <c r="K3102" s="93">
        <v>60</v>
      </c>
      <c r="L3102" s="93" t="s">
        <v>111</v>
      </c>
      <c r="M3102" s="93">
        <v>2.5</v>
      </c>
      <c r="N3102" s="93" t="s">
        <v>113</v>
      </c>
      <c r="O3102" s="93">
        <v>32</v>
      </c>
      <c r="P3102" s="93">
        <v>12</v>
      </c>
      <c r="Q3102" s="93">
        <v>11.5</v>
      </c>
      <c r="R3102" s="93" t="s">
        <v>4205</v>
      </c>
      <c r="S3102" s="93" t="s">
        <v>16</v>
      </c>
      <c r="T3102" s="93" t="s">
        <v>1659</v>
      </c>
      <c r="U3102" s="93" t="s">
        <v>116</v>
      </c>
      <c r="V3102" s="94">
        <v>44628.606944444444</v>
      </c>
      <c r="W3102" s="93" t="s">
        <v>1170</v>
      </c>
      <c r="X3102" s="93" t="s">
        <v>24</v>
      </c>
    </row>
    <row r="3103" spans="1:24" hidden="1" x14ac:dyDescent="0.15">
      <c r="A3103" s="93" t="s">
        <v>4589</v>
      </c>
      <c r="B3103" s="93" t="s">
        <v>4590</v>
      </c>
      <c r="C3103" s="410">
        <v>571.20000000000005</v>
      </c>
      <c r="D3103" s="93" t="s">
        <v>24</v>
      </c>
      <c r="E3103" s="93" t="s">
        <v>24</v>
      </c>
      <c r="F3103" s="93" t="s">
        <v>7070</v>
      </c>
      <c r="G3103" s="93" t="s">
        <v>8237</v>
      </c>
      <c r="H3103" s="93" t="s">
        <v>11</v>
      </c>
      <c r="I3103" s="93" t="s">
        <v>111</v>
      </c>
      <c r="J3103" s="93" t="s">
        <v>963</v>
      </c>
      <c r="K3103" s="93">
        <v>60</v>
      </c>
      <c r="L3103" s="93" t="s">
        <v>111</v>
      </c>
      <c r="M3103" s="93">
        <v>4.4000000000000004</v>
      </c>
      <c r="N3103" s="93" t="s">
        <v>113</v>
      </c>
      <c r="O3103" s="93">
        <v>21</v>
      </c>
      <c r="P3103" s="93">
        <v>35</v>
      </c>
      <c r="Q3103" s="93">
        <v>34</v>
      </c>
      <c r="R3103" s="93" t="s">
        <v>117</v>
      </c>
      <c r="S3103" s="93" t="s">
        <v>19</v>
      </c>
      <c r="T3103" s="93" t="s">
        <v>1659</v>
      </c>
      <c r="U3103" s="93" t="s">
        <v>116</v>
      </c>
      <c r="V3103" s="94">
        <v>44628.498611111114</v>
      </c>
      <c r="W3103" s="93" t="s">
        <v>1170</v>
      </c>
      <c r="X3103" s="93" t="s">
        <v>24</v>
      </c>
    </row>
    <row r="3104" spans="1:24" hidden="1" x14ac:dyDescent="0.15">
      <c r="A3104" s="93" t="s">
        <v>4591</v>
      </c>
      <c r="B3104" s="93" t="s">
        <v>4592</v>
      </c>
      <c r="C3104" s="410">
        <v>1129.8</v>
      </c>
      <c r="D3104" s="93" t="s">
        <v>24</v>
      </c>
      <c r="E3104" s="93" t="s">
        <v>24</v>
      </c>
      <c r="F3104" s="93" t="s">
        <v>7070</v>
      </c>
      <c r="G3104" s="93" t="s">
        <v>8237</v>
      </c>
      <c r="H3104" s="93" t="s">
        <v>11</v>
      </c>
      <c r="I3104" s="93" t="s">
        <v>111</v>
      </c>
      <c r="J3104" s="93" t="s">
        <v>2086</v>
      </c>
      <c r="K3104" s="93">
        <v>50</v>
      </c>
      <c r="L3104" s="93" t="s">
        <v>111</v>
      </c>
      <c r="M3104" s="93">
        <v>4</v>
      </c>
      <c r="N3104" s="93" t="s">
        <v>113</v>
      </c>
      <c r="O3104" s="93">
        <v>17</v>
      </c>
      <c r="P3104" s="93">
        <v>32</v>
      </c>
      <c r="Q3104" s="93">
        <v>27</v>
      </c>
      <c r="R3104" s="93" t="s">
        <v>117</v>
      </c>
      <c r="S3104" s="93" t="s">
        <v>111</v>
      </c>
      <c r="T3104" s="93" t="s">
        <v>1659</v>
      </c>
      <c r="U3104" s="93" t="s">
        <v>116</v>
      </c>
      <c r="V3104" s="94">
        <v>44628.543055555558</v>
      </c>
      <c r="W3104" s="93" t="s">
        <v>1170</v>
      </c>
      <c r="X3104" s="93" t="s">
        <v>24</v>
      </c>
    </row>
    <row r="3105" spans="1:24" hidden="1" x14ac:dyDescent="0.15">
      <c r="A3105" s="93" t="s">
        <v>4593</v>
      </c>
      <c r="B3105" s="93" t="s">
        <v>4594</v>
      </c>
      <c r="C3105" s="410">
        <v>116.55</v>
      </c>
      <c r="D3105" s="93" t="s">
        <v>24</v>
      </c>
      <c r="E3105" s="93" t="s">
        <v>24</v>
      </c>
      <c r="F3105" s="93" t="s">
        <v>7070</v>
      </c>
      <c r="G3105" s="93" t="s">
        <v>8237</v>
      </c>
      <c r="H3105" s="93" t="s">
        <v>11</v>
      </c>
      <c r="I3105" s="93" t="s">
        <v>111</v>
      </c>
      <c r="J3105" s="93" t="s">
        <v>963</v>
      </c>
      <c r="K3105" s="93">
        <v>60</v>
      </c>
      <c r="L3105" s="93" t="s">
        <v>111</v>
      </c>
      <c r="M3105" s="93">
        <v>2.5</v>
      </c>
      <c r="N3105" s="93" t="s">
        <v>113</v>
      </c>
      <c r="O3105" s="93">
        <v>18</v>
      </c>
      <c r="P3105" s="93">
        <v>28</v>
      </c>
      <c r="Q3105" s="93">
        <v>28</v>
      </c>
      <c r="R3105" s="93" t="s">
        <v>117</v>
      </c>
      <c r="S3105" s="93" t="s">
        <v>111</v>
      </c>
      <c r="T3105" s="93" t="s">
        <v>1659</v>
      </c>
      <c r="U3105" s="93" t="s">
        <v>116</v>
      </c>
      <c r="V3105" s="94">
        <v>44628.586111111108</v>
      </c>
      <c r="W3105" s="93" t="s">
        <v>1170</v>
      </c>
      <c r="X3105" s="93" t="s">
        <v>9</v>
      </c>
    </row>
    <row r="3106" spans="1:24" hidden="1" x14ac:dyDescent="0.15">
      <c r="A3106" s="93" t="s">
        <v>4595</v>
      </c>
      <c r="B3106" s="93" t="s">
        <v>4596</v>
      </c>
      <c r="C3106" s="410">
        <v>93.45</v>
      </c>
      <c r="D3106" s="93" t="s">
        <v>24</v>
      </c>
      <c r="E3106" s="93" t="s">
        <v>24</v>
      </c>
      <c r="F3106" s="93" t="s">
        <v>7070</v>
      </c>
      <c r="G3106" s="93" t="s">
        <v>8237</v>
      </c>
      <c r="H3106" s="93" t="s">
        <v>11</v>
      </c>
      <c r="I3106" s="93" t="s">
        <v>111</v>
      </c>
      <c r="J3106" s="93" t="s">
        <v>963</v>
      </c>
      <c r="K3106" s="93">
        <v>60</v>
      </c>
      <c r="L3106" s="93" t="s">
        <v>111</v>
      </c>
      <c r="M3106" s="93">
        <v>0.1</v>
      </c>
      <c r="N3106" s="93" t="s">
        <v>113</v>
      </c>
      <c r="O3106" s="93">
        <v>10</v>
      </c>
      <c r="P3106" s="93">
        <v>12.5</v>
      </c>
      <c r="Q3106" s="93">
        <v>4</v>
      </c>
      <c r="R3106" s="93" t="s">
        <v>4205</v>
      </c>
      <c r="S3106" s="93" t="s">
        <v>111</v>
      </c>
      <c r="T3106" s="93" t="s">
        <v>1659</v>
      </c>
      <c r="U3106" s="93" t="s">
        <v>116</v>
      </c>
      <c r="V3106" s="94">
        <v>44628.563888888886</v>
      </c>
      <c r="W3106" s="93" t="s">
        <v>1170</v>
      </c>
      <c r="X3106" s="93" t="s">
        <v>24</v>
      </c>
    </row>
    <row r="3107" spans="1:24" hidden="1" x14ac:dyDescent="0.15">
      <c r="A3107" s="93" t="s">
        <v>4597</v>
      </c>
      <c r="B3107" s="93" t="s">
        <v>4598</v>
      </c>
      <c r="C3107" s="410">
        <v>882</v>
      </c>
      <c r="D3107" s="93" t="s">
        <v>24</v>
      </c>
      <c r="E3107" s="93" t="s">
        <v>24</v>
      </c>
      <c r="F3107" s="93" t="s">
        <v>7070</v>
      </c>
      <c r="G3107" s="93" t="s">
        <v>8237</v>
      </c>
      <c r="H3107" s="93" t="s">
        <v>11</v>
      </c>
      <c r="I3107" s="93" t="s">
        <v>111</v>
      </c>
      <c r="J3107" s="93" t="s">
        <v>963</v>
      </c>
      <c r="K3107" s="93">
        <v>60</v>
      </c>
      <c r="L3107" s="93" t="s">
        <v>111</v>
      </c>
      <c r="M3107" s="93">
        <v>4.5</v>
      </c>
      <c r="N3107" s="93" t="s">
        <v>113</v>
      </c>
      <c r="O3107" s="93" t="s">
        <v>111</v>
      </c>
      <c r="P3107" s="93" t="s">
        <v>111</v>
      </c>
      <c r="Q3107" s="93" t="s">
        <v>111</v>
      </c>
      <c r="R3107" s="93" t="s">
        <v>117</v>
      </c>
      <c r="S3107" s="93" t="s">
        <v>111</v>
      </c>
      <c r="T3107" s="93" t="s">
        <v>1659</v>
      </c>
      <c r="U3107" s="93" t="s">
        <v>116</v>
      </c>
      <c r="V3107" s="94">
        <v>44628.563888888886</v>
      </c>
      <c r="W3107" s="93" t="s">
        <v>1170</v>
      </c>
      <c r="X3107" s="93" t="s">
        <v>24</v>
      </c>
    </row>
    <row r="3108" spans="1:24" hidden="1" x14ac:dyDescent="0.15">
      <c r="A3108" s="93" t="s">
        <v>4599</v>
      </c>
      <c r="B3108" s="93" t="s">
        <v>4600</v>
      </c>
      <c r="C3108" s="410">
        <v>371.7</v>
      </c>
      <c r="D3108" s="93" t="s">
        <v>24</v>
      </c>
      <c r="E3108" s="93" t="s">
        <v>24</v>
      </c>
      <c r="F3108" s="93" t="s">
        <v>7070</v>
      </c>
      <c r="G3108" s="93" t="s">
        <v>8237</v>
      </c>
      <c r="H3108" s="93" t="s">
        <v>11</v>
      </c>
      <c r="I3108" s="93" t="s">
        <v>111</v>
      </c>
      <c r="J3108" s="93" t="s">
        <v>2086</v>
      </c>
      <c r="K3108" s="93">
        <v>50</v>
      </c>
      <c r="L3108" s="93" t="s">
        <v>111</v>
      </c>
      <c r="M3108" s="93">
        <v>2.5</v>
      </c>
      <c r="N3108" s="93" t="s">
        <v>113</v>
      </c>
      <c r="O3108" s="93" t="s">
        <v>111</v>
      </c>
      <c r="P3108" s="93" t="s">
        <v>111</v>
      </c>
      <c r="Q3108" s="93" t="s">
        <v>111</v>
      </c>
      <c r="R3108" s="93" t="s">
        <v>117</v>
      </c>
      <c r="S3108" s="93" t="s">
        <v>659</v>
      </c>
      <c r="T3108" s="93" t="s">
        <v>1659</v>
      </c>
      <c r="U3108" s="93" t="s">
        <v>116</v>
      </c>
      <c r="V3108" s="94">
        <v>44628.542361111111</v>
      </c>
      <c r="W3108" s="93" t="s">
        <v>1170</v>
      </c>
      <c r="X3108" s="93" t="s">
        <v>9</v>
      </c>
    </row>
    <row r="3109" spans="1:24" hidden="1" x14ac:dyDescent="0.15">
      <c r="A3109" s="93" t="s">
        <v>4601</v>
      </c>
      <c r="B3109" s="93" t="s">
        <v>4602</v>
      </c>
      <c r="C3109" s="410">
        <v>500.85</v>
      </c>
      <c r="D3109" s="93" t="s">
        <v>24</v>
      </c>
      <c r="E3109" s="93" t="s">
        <v>24</v>
      </c>
      <c r="F3109" s="93" t="s">
        <v>7070</v>
      </c>
      <c r="G3109" s="93" t="s">
        <v>8237</v>
      </c>
      <c r="H3109" s="93" t="s">
        <v>11</v>
      </c>
      <c r="I3109" s="93" t="s">
        <v>111</v>
      </c>
      <c r="J3109" s="93" t="s">
        <v>963</v>
      </c>
      <c r="K3109" s="93">
        <v>60</v>
      </c>
      <c r="L3109" s="93" t="s">
        <v>111</v>
      </c>
      <c r="M3109" s="93">
        <v>1.4</v>
      </c>
      <c r="N3109" s="93" t="s">
        <v>113</v>
      </c>
      <c r="O3109" s="93">
        <v>8</v>
      </c>
      <c r="P3109" s="93">
        <v>8</v>
      </c>
      <c r="Q3109" s="93">
        <v>131</v>
      </c>
      <c r="R3109" s="93" t="s">
        <v>1230</v>
      </c>
      <c r="S3109" s="93" t="s">
        <v>16</v>
      </c>
      <c r="T3109" s="93" t="s">
        <v>1659</v>
      </c>
      <c r="U3109" s="93" t="s">
        <v>116</v>
      </c>
      <c r="V3109" s="94">
        <v>44628.51666666667</v>
      </c>
      <c r="W3109" s="93" t="s">
        <v>1170</v>
      </c>
      <c r="X3109" s="93" t="s">
        <v>24</v>
      </c>
    </row>
    <row r="3110" spans="1:24" hidden="1" x14ac:dyDescent="0.15">
      <c r="A3110" s="93" t="s">
        <v>4603</v>
      </c>
      <c r="B3110" s="93" t="s">
        <v>4604</v>
      </c>
      <c r="C3110" s="410">
        <v>603.75</v>
      </c>
      <c r="D3110" s="93" t="s">
        <v>24</v>
      </c>
      <c r="E3110" s="93" t="s">
        <v>24</v>
      </c>
      <c r="F3110" s="93" t="s">
        <v>7070</v>
      </c>
      <c r="G3110" s="93" t="s">
        <v>8237</v>
      </c>
      <c r="H3110" s="93" t="s">
        <v>11</v>
      </c>
      <c r="I3110" s="93" t="s">
        <v>111</v>
      </c>
      <c r="J3110" s="93" t="s">
        <v>963</v>
      </c>
      <c r="K3110" s="93">
        <v>60</v>
      </c>
      <c r="L3110" s="93" t="s">
        <v>111</v>
      </c>
      <c r="M3110" s="93">
        <v>1.6</v>
      </c>
      <c r="N3110" s="93" t="s">
        <v>113</v>
      </c>
      <c r="O3110" s="93">
        <v>8</v>
      </c>
      <c r="P3110" s="93">
        <v>40</v>
      </c>
      <c r="Q3110" s="93">
        <v>39</v>
      </c>
      <c r="R3110" s="93" t="s">
        <v>1230</v>
      </c>
      <c r="S3110" s="93" t="s">
        <v>16</v>
      </c>
      <c r="T3110" s="93" t="s">
        <v>1659</v>
      </c>
      <c r="U3110" s="93" t="s">
        <v>116</v>
      </c>
      <c r="V3110" s="94">
        <v>44628.581250000003</v>
      </c>
      <c r="W3110" s="93" t="s">
        <v>1170</v>
      </c>
      <c r="X3110" s="93" t="s">
        <v>24</v>
      </c>
    </row>
    <row r="3111" spans="1:24" hidden="1" x14ac:dyDescent="0.15">
      <c r="A3111" s="93" t="s">
        <v>4605</v>
      </c>
      <c r="B3111" s="93" t="s">
        <v>4606</v>
      </c>
      <c r="C3111" s="410">
        <v>116.55</v>
      </c>
      <c r="D3111" s="93" t="s">
        <v>24</v>
      </c>
      <c r="E3111" s="93" t="s">
        <v>24</v>
      </c>
      <c r="F3111" s="93" t="s">
        <v>7070</v>
      </c>
      <c r="G3111" s="93" t="s">
        <v>8237</v>
      </c>
      <c r="H3111" s="93" t="s">
        <v>11</v>
      </c>
      <c r="I3111" s="93" t="s">
        <v>111</v>
      </c>
      <c r="J3111" s="93" t="s">
        <v>963</v>
      </c>
      <c r="K3111" s="93">
        <v>60</v>
      </c>
      <c r="L3111" s="93" t="s">
        <v>111</v>
      </c>
      <c r="M3111" s="93">
        <v>0.5</v>
      </c>
      <c r="N3111" s="93" t="s">
        <v>113</v>
      </c>
      <c r="O3111" s="93">
        <v>5</v>
      </c>
      <c r="P3111" s="93">
        <v>10.199999999999999</v>
      </c>
      <c r="Q3111" s="93">
        <v>54</v>
      </c>
      <c r="R3111" s="93" t="s">
        <v>122</v>
      </c>
      <c r="S3111" s="93" t="s">
        <v>660</v>
      </c>
      <c r="T3111" s="93" t="s">
        <v>1659</v>
      </c>
      <c r="U3111" s="93" t="s">
        <v>116</v>
      </c>
      <c r="V3111" s="94">
        <v>44628.494444444441</v>
      </c>
      <c r="W3111" s="93" t="s">
        <v>1170</v>
      </c>
      <c r="X3111" s="93" t="s">
        <v>24</v>
      </c>
    </row>
    <row r="3112" spans="1:24" hidden="1" x14ac:dyDescent="0.15">
      <c r="A3112" s="93" t="s">
        <v>4607</v>
      </c>
      <c r="B3112" s="93" t="s">
        <v>4608</v>
      </c>
      <c r="C3112" s="410">
        <v>189</v>
      </c>
      <c r="D3112" s="93" t="s">
        <v>24</v>
      </c>
      <c r="E3112" s="93" t="s">
        <v>24</v>
      </c>
      <c r="F3112" s="93" t="s">
        <v>7070</v>
      </c>
      <c r="G3112" s="93" t="s">
        <v>8237</v>
      </c>
      <c r="H3112" s="93" t="s">
        <v>11</v>
      </c>
      <c r="I3112" s="93" t="s">
        <v>111</v>
      </c>
      <c r="J3112" s="93" t="s">
        <v>1759</v>
      </c>
      <c r="K3112" s="93">
        <v>70</v>
      </c>
      <c r="L3112" s="93" t="s">
        <v>111</v>
      </c>
      <c r="M3112" s="93">
        <v>0.5</v>
      </c>
      <c r="N3112" s="93" t="s">
        <v>113</v>
      </c>
      <c r="O3112" s="93">
        <v>5</v>
      </c>
      <c r="P3112" s="93">
        <v>7</v>
      </c>
      <c r="Q3112" s="93">
        <v>9</v>
      </c>
      <c r="R3112" s="93" t="s">
        <v>117</v>
      </c>
      <c r="S3112" s="93" t="s">
        <v>659</v>
      </c>
      <c r="T3112" s="93" t="s">
        <v>115</v>
      </c>
      <c r="U3112" s="93" t="s">
        <v>116</v>
      </c>
      <c r="V3112" s="94">
        <v>44628.492361111108</v>
      </c>
      <c r="W3112" s="93" t="s">
        <v>1170</v>
      </c>
      <c r="X3112" s="93" t="s">
        <v>24</v>
      </c>
    </row>
    <row r="3113" spans="1:24" hidden="1" x14ac:dyDescent="0.15">
      <c r="A3113" s="93" t="s">
        <v>4609</v>
      </c>
      <c r="B3113" s="93" t="s">
        <v>4610</v>
      </c>
      <c r="C3113" s="410">
        <v>3675</v>
      </c>
      <c r="D3113" s="93" t="s">
        <v>9</v>
      </c>
      <c r="E3113" s="93" t="s">
        <v>9</v>
      </c>
      <c r="F3113" s="93" t="s">
        <v>1648</v>
      </c>
      <c r="G3113" s="93" t="s">
        <v>8237</v>
      </c>
      <c r="H3113" s="93" t="s">
        <v>1943</v>
      </c>
      <c r="I3113" s="93" t="s">
        <v>111</v>
      </c>
      <c r="J3113" s="93" t="s">
        <v>1759</v>
      </c>
      <c r="K3113" s="93">
        <v>70</v>
      </c>
      <c r="L3113" s="93" t="s">
        <v>111</v>
      </c>
      <c r="M3113" s="93">
        <v>1.9</v>
      </c>
      <c r="N3113" s="93" t="s">
        <v>113</v>
      </c>
      <c r="O3113" s="93">
        <v>12</v>
      </c>
      <c r="P3113" s="93">
        <v>27</v>
      </c>
      <c r="Q3113" s="93">
        <v>37</v>
      </c>
      <c r="R3113" s="93" t="s">
        <v>117</v>
      </c>
      <c r="S3113" s="93" t="s">
        <v>659</v>
      </c>
      <c r="T3113" s="93" t="s">
        <v>1659</v>
      </c>
      <c r="U3113" s="93" t="s">
        <v>116</v>
      </c>
      <c r="V3113" s="94">
        <v>44628.57916666667</v>
      </c>
      <c r="W3113" s="93" t="s">
        <v>1170</v>
      </c>
      <c r="X3113" s="93" t="s">
        <v>24</v>
      </c>
    </row>
    <row r="3114" spans="1:24" hidden="1" x14ac:dyDescent="0.15">
      <c r="A3114" s="93" t="s">
        <v>4611</v>
      </c>
      <c r="B3114" s="93" t="s">
        <v>4612</v>
      </c>
      <c r="C3114" s="410">
        <v>3675</v>
      </c>
      <c r="D3114" s="93" t="s">
        <v>9</v>
      </c>
      <c r="E3114" s="93" t="s">
        <v>9</v>
      </c>
      <c r="F3114" s="93" t="s">
        <v>1648</v>
      </c>
      <c r="G3114" s="93" t="s">
        <v>8237</v>
      </c>
      <c r="H3114" s="93" t="s">
        <v>1943</v>
      </c>
      <c r="I3114" s="93" t="s">
        <v>111</v>
      </c>
      <c r="J3114" s="93" t="s">
        <v>1759</v>
      </c>
      <c r="K3114" s="93">
        <v>70</v>
      </c>
      <c r="L3114" s="93" t="s">
        <v>111</v>
      </c>
      <c r="M3114" s="93">
        <v>1.9</v>
      </c>
      <c r="N3114" s="93" t="s">
        <v>113</v>
      </c>
      <c r="O3114" s="93">
        <v>12</v>
      </c>
      <c r="P3114" s="93">
        <v>27</v>
      </c>
      <c r="Q3114" s="93">
        <v>37</v>
      </c>
      <c r="R3114" s="93" t="s">
        <v>117</v>
      </c>
      <c r="S3114" s="93" t="s">
        <v>659</v>
      </c>
      <c r="T3114" s="93" t="s">
        <v>1659</v>
      </c>
      <c r="U3114" s="93" t="s">
        <v>116</v>
      </c>
      <c r="V3114" s="94">
        <v>44628.57916666667</v>
      </c>
      <c r="W3114" s="93" t="s">
        <v>1170</v>
      </c>
      <c r="X3114" s="93" t="s">
        <v>24</v>
      </c>
    </row>
    <row r="3115" spans="1:24" hidden="1" x14ac:dyDescent="0.15">
      <c r="A3115" s="93" t="s">
        <v>4613</v>
      </c>
      <c r="B3115" s="93" t="s">
        <v>4614</v>
      </c>
      <c r="C3115" s="410">
        <v>3675</v>
      </c>
      <c r="D3115" s="93" t="s">
        <v>9</v>
      </c>
      <c r="E3115" s="93" t="s">
        <v>9</v>
      </c>
      <c r="F3115" s="93" t="s">
        <v>1648</v>
      </c>
      <c r="G3115" s="93" t="s">
        <v>8237</v>
      </c>
      <c r="H3115" s="93" t="s">
        <v>1943</v>
      </c>
      <c r="I3115" s="93" t="s">
        <v>111</v>
      </c>
      <c r="J3115" s="93" t="s">
        <v>1759</v>
      </c>
      <c r="K3115" s="93">
        <v>70</v>
      </c>
      <c r="L3115" s="93" t="s">
        <v>111</v>
      </c>
      <c r="M3115" s="93">
        <v>1.9</v>
      </c>
      <c r="N3115" s="93" t="s">
        <v>113</v>
      </c>
      <c r="O3115" s="93">
        <v>12</v>
      </c>
      <c r="P3115" s="93">
        <v>27</v>
      </c>
      <c r="Q3115" s="93">
        <v>37</v>
      </c>
      <c r="R3115" s="93" t="s">
        <v>117</v>
      </c>
      <c r="S3115" s="93" t="s">
        <v>659</v>
      </c>
      <c r="T3115" s="93" t="s">
        <v>1659</v>
      </c>
      <c r="U3115" s="93" t="s">
        <v>116</v>
      </c>
      <c r="V3115" s="94">
        <v>44628.601388888892</v>
      </c>
      <c r="W3115" s="93" t="s">
        <v>1170</v>
      </c>
      <c r="X3115" s="93" t="s">
        <v>24</v>
      </c>
    </row>
    <row r="3116" spans="1:24" hidden="1" x14ac:dyDescent="0.15">
      <c r="A3116" s="93" t="s">
        <v>4615</v>
      </c>
      <c r="B3116" s="93" t="s">
        <v>4616</v>
      </c>
      <c r="C3116" s="410">
        <v>3675</v>
      </c>
      <c r="D3116" s="93" t="s">
        <v>9</v>
      </c>
      <c r="E3116" s="93" t="s">
        <v>9</v>
      </c>
      <c r="F3116" s="93" t="s">
        <v>1648</v>
      </c>
      <c r="G3116" s="93" t="s">
        <v>8237</v>
      </c>
      <c r="H3116" s="93" t="s">
        <v>1943</v>
      </c>
      <c r="I3116" s="93" t="s">
        <v>111</v>
      </c>
      <c r="J3116" s="93" t="s">
        <v>1759</v>
      </c>
      <c r="K3116" s="93">
        <v>70</v>
      </c>
      <c r="L3116" s="93" t="s">
        <v>111</v>
      </c>
      <c r="M3116" s="93">
        <v>1.9</v>
      </c>
      <c r="N3116" s="93" t="s">
        <v>113</v>
      </c>
      <c r="O3116" s="93">
        <v>12</v>
      </c>
      <c r="P3116" s="93">
        <v>27</v>
      </c>
      <c r="Q3116" s="93">
        <v>37</v>
      </c>
      <c r="R3116" s="93" t="s">
        <v>117</v>
      </c>
      <c r="S3116" s="93" t="s">
        <v>659</v>
      </c>
      <c r="T3116" s="93" t="s">
        <v>1659</v>
      </c>
      <c r="U3116" s="93" t="s">
        <v>116</v>
      </c>
      <c r="V3116" s="94">
        <v>44628.57916666667</v>
      </c>
      <c r="W3116" s="93" t="s">
        <v>1170</v>
      </c>
      <c r="X3116" s="93" t="s">
        <v>24</v>
      </c>
    </row>
    <row r="3117" spans="1:24" hidden="1" x14ac:dyDescent="0.15">
      <c r="A3117" s="93" t="s">
        <v>4617</v>
      </c>
      <c r="B3117" s="93" t="s">
        <v>4618</v>
      </c>
      <c r="C3117" s="410">
        <v>3675</v>
      </c>
      <c r="D3117" s="93" t="s">
        <v>9</v>
      </c>
      <c r="E3117" s="93" t="s">
        <v>9</v>
      </c>
      <c r="F3117" s="93" t="s">
        <v>1648</v>
      </c>
      <c r="G3117" s="93" t="s">
        <v>8237</v>
      </c>
      <c r="H3117" s="93" t="s">
        <v>1943</v>
      </c>
      <c r="I3117" s="93" t="s">
        <v>111</v>
      </c>
      <c r="J3117" s="93" t="s">
        <v>1759</v>
      </c>
      <c r="K3117" s="93">
        <v>70</v>
      </c>
      <c r="L3117" s="93" t="s">
        <v>111</v>
      </c>
      <c r="M3117" s="93">
        <v>1.9</v>
      </c>
      <c r="N3117" s="93" t="s">
        <v>113</v>
      </c>
      <c r="O3117" s="93">
        <v>12</v>
      </c>
      <c r="P3117" s="93">
        <v>27</v>
      </c>
      <c r="Q3117" s="93">
        <v>37</v>
      </c>
      <c r="R3117" s="93" t="s">
        <v>117</v>
      </c>
      <c r="S3117" s="93" t="s">
        <v>659</v>
      </c>
      <c r="T3117" s="93" t="s">
        <v>1659</v>
      </c>
      <c r="U3117" s="93" t="s">
        <v>116</v>
      </c>
      <c r="V3117" s="94">
        <v>44628.636805555558</v>
      </c>
      <c r="W3117" s="93" t="s">
        <v>1170</v>
      </c>
      <c r="X3117" s="93" t="s">
        <v>24</v>
      </c>
    </row>
    <row r="3118" spans="1:24" hidden="1" x14ac:dyDescent="0.15">
      <c r="A3118" s="93" t="s">
        <v>4619</v>
      </c>
      <c r="B3118" s="93" t="s">
        <v>4620</v>
      </c>
      <c r="C3118" s="410">
        <v>3675</v>
      </c>
      <c r="D3118" s="93" t="s">
        <v>9</v>
      </c>
      <c r="E3118" s="93" t="s">
        <v>9</v>
      </c>
      <c r="F3118" s="93" t="s">
        <v>1648</v>
      </c>
      <c r="G3118" s="93" t="s">
        <v>8237</v>
      </c>
      <c r="H3118" s="93" t="s">
        <v>1943</v>
      </c>
      <c r="I3118" s="93" t="s">
        <v>111</v>
      </c>
      <c r="J3118" s="93" t="s">
        <v>1759</v>
      </c>
      <c r="K3118" s="93">
        <v>70</v>
      </c>
      <c r="L3118" s="93" t="s">
        <v>111</v>
      </c>
      <c r="M3118" s="93">
        <v>1.9</v>
      </c>
      <c r="N3118" s="93" t="s">
        <v>113</v>
      </c>
      <c r="O3118" s="93">
        <v>12</v>
      </c>
      <c r="P3118" s="93">
        <v>27</v>
      </c>
      <c r="Q3118" s="93">
        <v>37</v>
      </c>
      <c r="R3118" s="93" t="s">
        <v>117</v>
      </c>
      <c r="S3118" s="93" t="s">
        <v>659</v>
      </c>
      <c r="T3118" s="93" t="s">
        <v>1659</v>
      </c>
      <c r="U3118" s="93" t="s">
        <v>116</v>
      </c>
      <c r="V3118" s="94">
        <v>44628.536805555559</v>
      </c>
      <c r="W3118" s="93" t="s">
        <v>1170</v>
      </c>
      <c r="X3118" s="93" t="s">
        <v>24</v>
      </c>
    </row>
    <row r="3119" spans="1:24" hidden="1" x14ac:dyDescent="0.15">
      <c r="A3119" s="93" t="s">
        <v>4621</v>
      </c>
      <c r="B3119" s="93" t="s">
        <v>4622</v>
      </c>
      <c r="C3119" s="410">
        <v>3675</v>
      </c>
      <c r="D3119" s="93" t="s">
        <v>9</v>
      </c>
      <c r="E3119" s="93" t="s">
        <v>9</v>
      </c>
      <c r="F3119" s="93" t="s">
        <v>1648</v>
      </c>
      <c r="G3119" s="93" t="s">
        <v>8237</v>
      </c>
      <c r="H3119" s="93" t="s">
        <v>1943</v>
      </c>
      <c r="I3119" s="93" t="s">
        <v>111</v>
      </c>
      <c r="J3119" s="93" t="s">
        <v>1759</v>
      </c>
      <c r="K3119" s="93">
        <v>70</v>
      </c>
      <c r="L3119" s="93" t="s">
        <v>111</v>
      </c>
      <c r="M3119" s="93">
        <v>1.9</v>
      </c>
      <c r="N3119" s="93" t="s">
        <v>113</v>
      </c>
      <c r="O3119" s="93">
        <v>12</v>
      </c>
      <c r="P3119" s="93">
        <v>27</v>
      </c>
      <c r="Q3119" s="93">
        <v>37</v>
      </c>
      <c r="R3119" s="93" t="s">
        <v>117</v>
      </c>
      <c r="S3119" s="93" t="s">
        <v>659</v>
      </c>
      <c r="T3119" s="93" t="s">
        <v>1659</v>
      </c>
      <c r="U3119" s="93" t="s">
        <v>116</v>
      </c>
      <c r="V3119" s="94">
        <v>44628.601388888892</v>
      </c>
      <c r="W3119" s="93" t="s">
        <v>1170</v>
      </c>
      <c r="X3119" s="93" t="s">
        <v>24</v>
      </c>
    </row>
    <row r="3120" spans="1:24" hidden="1" x14ac:dyDescent="0.15">
      <c r="A3120" s="93" t="s">
        <v>4623</v>
      </c>
      <c r="B3120" s="93" t="s">
        <v>4624</v>
      </c>
      <c r="C3120" s="410">
        <v>3675</v>
      </c>
      <c r="D3120" s="93" t="s">
        <v>9</v>
      </c>
      <c r="E3120" s="93" t="s">
        <v>9</v>
      </c>
      <c r="F3120" s="93" t="s">
        <v>1648</v>
      </c>
      <c r="G3120" s="93" t="s">
        <v>8237</v>
      </c>
      <c r="H3120" s="93" t="s">
        <v>1943</v>
      </c>
      <c r="I3120" s="93" t="s">
        <v>111</v>
      </c>
      <c r="J3120" s="93" t="s">
        <v>1759</v>
      </c>
      <c r="K3120" s="93">
        <v>70</v>
      </c>
      <c r="L3120" s="93" t="s">
        <v>111</v>
      </c>
      <c r="M3120" s="93">
        <v>1.9</v>
      </c>
      <c r="N3120" s="93" t="s">
        <v>113</v>
      </c>
      <c r="O3120" s="93">
        <v>12</v>
      </c>
      <c r="P3120" s="93">
        <v>27</v>
      </c>
      <c r="Q3120" s="93">
        <v>37</v>
      </c>
      <c r="R3120" s="93" t="s">
        <v>117</v>
      </c>
      <c r="S3120" s="93" t="s">
        <v>659</v>
      </c>
      <c r="T3120" s="93" t="s">
        <v>1659</v>
      </c>
      <c r="U3120" s="93" t="s">
        <v>116</v>
      </c>
      <c r="V3120" s="94">
        <v>44628.601388888892</v>
      </c>
      <c r="W3120" s="93" t="s">
        <v>1170</v>
      </c>
      <c r="X3120" s="93" t="s">
        <v>24</v>
      </c>
    </row>
    <row r="3121" spans="1:24" hidden="1" x14ac:dyDescent="0.15">
      <c r="A3121" s="93" t="s">
        <v>4625</v>
      </c>
      <c r="B3121" s="93" t="s">
        <v>4626</v>
      </c>
      <c r="C3121" s="410">
        <v>3675</v>
      </c>
      <c r="D3121" s="93" t="s">
        <v>9</v>
      </c>
      <c r="E3121" s="93" t="s">
        <v>9</v>
      </c>
      <c r="F3121" s="93" t="s">
        <v>1648</v>
      </c>
      <c r="G3121" s="93" t="s">
        <v>8237</v>
      </c>
      <c r="H3121" s="93" t="s">
        <v>1943</v>
      </c>
      <c r="I3121" s="93" t="s">
        <v>111</v>
      </c>
      <c r="J3121" s="93" t="s">
        <v>1759</v>
      </c>
      <c r="K3121" s="93">
        <v>70</v>
      </c>
      <c r="L3121" s="93" t="s">
        <v>111</v>
      </c>
      <c r="M3121" s="93">
        <v>1.9</v>
      </c>
      <c r="N3121" s="93" t="s">
        <v>113</v>
      </c>
      <c r="O3121" s="93">
        <v>12</v>
      </c>
      <c r="P3121" s="93">
        <v>27</v>
      </c>
      <c r="Q3121" s="93">
        <v>37</v>
      </c>
      <c r="R3121" s="93" t="s">
        <v>117</v>
      </c>
      <c r="S3121" s="93" t="s">
        <v>659</v>
      </c>
      <c r="T3121" s="93" t="s">
        <v>1659</v>
      </c>
      <c r="U3121" s="93" t="s">
        <v>116</v>
      </c>
      <c r="V3121" s="94">
        <v>44628.557638888888</v>
      </c>
      <c r="W3121" s="93" t="s">
        <v>1170</v>
      </c>
      <c r="X3121" s="93" t="s">
        <v>24</v>
      </c>
    </row>
    <row r="3122" spans="1:24" hidden="1" x14ac:dyDescent="0.15">
      <c r="A3122" s="93" t="s">
        <v>4627</v>
      </c>
      <c r="B3122" s="93" t="s">
        <v>4628</v>
      </c>
      <c r="C3122" s="410">
        <v>3675</v>
      </c>
      <c r="D3122" s="93" t="s">
        <v>9</v>
      </c>
      <c r="E3122" s="93" t="s">
        <v>9</v>
      </c>
      <c r="F3122" s="93" t="s">
        <v>1648</v>
      </c>
      <c r="G3122" s="93" t="s">
        <v>8237</v>
      </c>
      <c r="H3122" s="93" t="s">
        <v>1943</v>
      </c>
      <c r="I3122" s="93" t="s">
        <v>111</v>
      </c>
      <c r="J3122" s="93" t="s">
        <v>1759</v>
      </c>
      <c r="K3122" s="93">
        <v>70</v>
      </c>
      <c r="L3122" s="93" t="s">
        <v>111</v>
      </c>
      <c r="M3122" s="93">
        <v>1.9</v>
      </c>
      <c r="N3122" s="93" t="s">
        <v>113</v>
      </c>
      <c r="O3122" s="93">
        <v>12</v>
      </c>
      <c r="P3122" s="93">
        <v>27</v>
      </c>
      <c r="Q3122" s="93">
        <v>37</v>
      </c>
      <c r="R3122" s="93" t="s">
        <v>117</v>
      </c>
      <c r="S3122" s="93" t="s">
        <v>659</v>
      </c>
      <c r="T3122" s="93" t="s">
        <v>1659</v>
      </c>
      <c r="U3122" s="93" t="s">
        <v>116</v>
      </c>
      <c r="V3122" s="94">
        <v>44628.47152777778</v>
      </c>
      <c r="W3122" s="93" t="s">
        <v>1170</v>
      </c>
      <c r="X3122" s="93" t="s">
        <v>24</v>
      </c>
    </row>
    <row r="3123" spans="1:24" hidden="1" x14ac:dyDescent="0.15">
      <c r="A3123" s="93" t="s">
        <v>4629</v>
      </c>
      <c r="B3123" s="93" t="s">
        <v>4630</v>
      </c>
      <c r="C3123" s="410">
        <v>3675</v>
      </c>
      <c r="D3123" s="93" t="s">
        <v>9</v>
      </c>
      <c r="E3123" s="93" t="s">
        <v>9</v>
      </c>
      <c r="F3123" s="93" t="s">
        <v>1648</v>
      </c>
      <c r="G3123" s="93" t="s">
        <v>8237</v>
      </c>
      <c r="H3123" s="93" t="s">
        <v>1943</v>
      </c>
      <c r="I3123" s="93" t="s">
        <v>111</v>
      </c>
      <c r="J3123" s="93" t="s">
        <v>1759</v>
      </c>
      <c r="K3123" s="93">
        <v>70</v>
      </c>
      <c r="L3123" s="93" t="s">
        <v>111</v>
      </c>
      <c r="M3123" s="93">
        <v>1.9</v>
      </c>
      <c r="N3123" s="93" t="s">
        <v>113</v>
      </c>
      <c r="O3123" s="93">
        <v>12</v>
      </c>
      <c r="P3123" s="93">
        <v>27</v>
      </c>
      <c r="Q3123" s="93">
        <v>37</v>
      </c>
      <c r="R3123" s="93" t="s">
        <v>117</v>
      </c>
      <c r="S3123" s="93" t="s">
        <v>659</v>
      </c>
      <c r="T3123" s="93" t="s">
        <v>1659</v>
      </c>
      <c r="U3123" s="93" t="s">
        <v>116</v>
      </c>
      <c r="V3123" s="94">
        <v>44628.57916666667</v>
      </c>
      <c r="W3123" s="93" t="s">
        <v>1170</v>
      </c>
      <c r="X3123" s="93" t="s">
        <v>24</v>
      </c>
    </row>
    <row r="3124" spans="1:24" hidden="1" x14ac:dyDescent="0.15">
      <c r="A3124" s="93" t="s">
        <v>4631</v>
      </c>
      <c r="B3124" s="93" t="s">
        <v>4632</v>
      </c>
      <c r="C3124" s="410">
        <v>3675</v>
      </c>
      <c r="D3124" s="93" t="s">
        <v>9</v>
      </c>
      <c r="E3124" s="93" t="s">
        <v>9</v>
      </c>
      <c r="F3124" s="93" t="s">
        <v>1648</v>
      </c>
      <c r="G3124" s="93" t="s">
        <v>8237</v>
      </c>
      <c r="H3124" s="93" t="s">
        <v>1943</v>
      </c>
      <c r="I3124" s="93" t="s">
        <v>111</v>
      </c>
      <c r="J3124" s="93" t="s">
        <v>1759</v>
      </c>
      <c r="K3124" s="93">
        <v>70</v>
      </c>
      <c r="L3124" s="93" t="s">
        <v>111</v>
      </c>
      <c r="M3124" s="93">
        <v>1.9</v>
      </c>
      <c r="N3124" s="93" t="s">
        <v>113</v>
      </c>
      <c r="O3124" s="93">
        <v>12</v>
      </c>
      <c r="P3124" s="93">
        <v>27</v>
      </c>
      <c r="Q3124" s="93">
        <v>37</v>
      </c>
      <c r="R3124" s="93" t="s">
        <v>117</v>
      </c>
      <c r="S3124" s="93" t="s">
        <v>659</v>
      </c>
      <c r="T3124" s="93" t="s">
        <v>1659</v>
      </c>
      <c r="U3124" s="93" t="s">
        <v>116</v>
      </c>
      <c r="V3124" s="94">
        <v>44628.557638888888</v>
      </c>
      <c r="W3124" s="93" t="s">
        <v>1170</v>
      </c>
      <c r="X3124" s="93" t="s">
        <v>24</v>
      </c>
    </row>
    <row r="3125" spans="1:24" hidden="1" x14ac:dyDescent="0.15">
      <c r="A3125" s="93" t="s">
        <v>4633</v>
      </c>
      <c r="B3125" s="93" t="s">
        <v>4634</v>
      </c>
      <c r="C3125" s="410">
        <v>3675</v>
      </c>
      <c r="D3125" s="93" t="s">
        <v>9</v>
      </c>
      <c r="E3125" s="93" t="s">
        <v>9</v>
      </c>
      <c r="F3125" s="93" t="s">
        <v>1648</v>
      </c>
      <c r="G3125" s="93" t="s">
        <v>8237</v>
      </c>
      <c r="H3125" s="93" t="s">
        <v>1943</v>
      </c>
      <c r="I3125" s="93" t="s">
        <v>111</v>
      </c>
      <c r="J3125" s="93" t="s">
        <v>1759</v>
      </c>
      <c r="K3125" s="93">
        <v>70</v>
      </c>
      <c r="L3125" s="93" t="s">
        <v>111</v>
      </c>
      <c r="M3125" s="93">
        <v>1.9</v>
      </c>
      <c r="N3125" s="93" t="s">
        <v>113</v>
      </c>
      <c r="O3125" s="93">
        <v>12</v>
      </c>
      <c r="P3125" s="93">
        <v>27</v>
      </c>
      <c r="Q3125" s="93">
        <v>37</v>
      </c>
      <c r="R3125" s="93" t="s">
        <v>117</v>
      </c>
      <c r="S3125" s="93" t="s">
        <v>659</v>
      </c>
      <c r="T3125" s="93" t="s">
        <v>1659</v>
      </c>
      <c r="U3125" s="93" t="s">
        <v>116</v>
      </c>
      <c r="V3125" s="94">
        <v>44628.636805555558</v>
      </c>
      <c r="W3125" s="93" t="s">
        <v>1170</v>
      </c>
      <c r="X3125" s="93" t="s">
        <v>24</v>
      </c>
    </row>
    <row r="3126" spans="1:24" hidden="1" x14ac:dyDescent="0.15">
      <c r="A3126" s="93" t="s">
        <v>4635</v>
      </c>
      <c r="B3126" s="93" t="s">
        <v>4636</v>
      </c>
      <c r="C3126" s="410">
        <v>3675</v>
      </c>
      <c r="D3126" s="93" t="s">
        <v>9</v>
      </c>
      <c r="E3126" s="93" t="s">
        <v>9</v>
      </c>
      <c r="F3126" s="93" t="s">
        <v>1648</v>
      </c>
      <c r="G3126" s="93" t="s">
        <v>8237</v>
      </c>
      <c r="H3126" s="93" t="s">
        <v>1943</v>
      </c>
      <c r="I3126" s="93" t="s">
        <v>111</v>
      </c>
      <c r="J3126" s="93" t="s">
        <v>1759</v>
      </c>
      <c r="K3126" s="93">
        <v>70</v>
      </c>
      <c r="L3126" s="93" t="s">
        <v>111</v>
      </c>
      <c r="M3126" s="93">
        <v>1.9</v>
      </c>
      <c r="N3126" s="93" t="s">
        <v>113</v>
      </c>
      <c r="O3126" s="93">
        <v>12</v>
      </c>
      <c r="P3126" s="93">
        <v>27</v>
      </c>
      <c r="Q3126" s="93">
        <v>37</v>
      </c>
      <c r="R3126" s="93" t="s">
        <v>117</v>
      </c>
      <c r="S3126" s="93" t="s">
        <v>659</v>
      </c>
      <c r="T3126" s="93" t="s">
        <v>1659</v>
      </c>
      <c r="U3126" s="93" t="s">
        <v>116</v>
      </c>
      <c r="V3126" s="94">
        <v>44628.492361111108</v>
      </c>
      <c r="W3126" s="93" t="s">
        <v>1170</v>
      </c>
      <c r="X3126" s="93" t="s">
        <v>24</v>
      </c>
    </row>
    <row r="3127" spans="1:24" hidden="1" x14ac:dyDescent="0.15">
      <c r="A3127" s="93" t="s">
        <v>4637</v>
      </c>
      <c r="B3127" s="93" t="s">
        <v>4638</v>
      </c>
      <c r="C3127" s="410">
        <v>3675</v>
      </c>
      <c r="D3127" s="93" t="s">
        <v>9</v>
      </c>
      <c r="E3127" s="93" t="s">
        <v>9</v>
      </c>
      <c r="F3127" s="93" t="s">
        <v>1648</v>
      </c>
      <c r="G3127" s="93" t="s">
        <v>8237</v>
      </c>
      <c r="H3127" s="93" t="s">
        <v>1943</v>
      </c>
      <c r="I3127" s="93" t="s">
        <v>111</v>
      </c>
      <c r="J3127" s="93" t="s">
        <v>1759</v>
      </c>
      <c r="K3127" s="93">
        <v>70</v>
      </c>
      <c r="L3127" s="93" t="s">
        <v>111</v>
      </c>
      <c r="M3127" s="93">
        <v>1.9</v>
      </c>
      <c r="N3127" s="93" t="s">
        <v>113</v>
      </c>
      <c r="O3127" s="93">
        <v>12</v>
      </c>
      <c r="P3127" s="93">
        <v>27</v>
      </c>
      <c r="Q3127" s="93">
        <v>37</v>
      </c>
      <c r="R3127" s="93" t="s">
        <v>117</v>
      </c>
      <c r="S3127" s="93" t="s">
        <v>659</v>
      </c>
      <c r="T3127" s="93" t="s">
        <v>1659</v>
      </c>
      <c r="U3127" s="93" t="s">
        <v>116</v>
      </c>
      <c r="V3127" s="94">
        <v>44628.57916666667</v>
      </c>
      <c r="W3127" s="93" t="s">
        <v>1170</v>
      </c>
      <c r="X3127" s="93" t="s">
        <v>24</v>
      </c>
    </row>
    <row r="3128" spans="1:24" hidden="1" x14ac:dyDescent="0.15">
      <c r="A3128" s="93" t="s">
        <v>4639</v>
      </c>
      <c r="B3128" s="93" t="s">
        <v>4640</v>
      </c>
      <c r="C3128" s="410">
        <v>3675</v>
      </c>
      <c r="D3128" s="93" t="s">
        <v>9</v>
      </c>
      <c r="E3128" s="93" t="s">
        <v>9</v>
      </c>
      <c r="F3128" s="93" t="s">
        <v>1648</v>
      </c>
      <c r="G3128" s="93" t="s">
        <v>8237</v>
      </c>
      <c r="H3128" s="93" t="s">
        <v>1943</v>
      </c>
      <c r="I3128" s="93" t="s">
        <v>111</v>
      </c>
      <c r="J3128" s="93" t="s">
        <v>1759</v>
      </c>
      <c r="K3128" s="93">
        <v>70</v>
      </c>
      <c r="L3128" s="93" t="s">
        <v>111</v>
      </c>
      <c r="M3128" s="93">
        <v>1.9</v>
      </c>
      <c r="N3128" s="93" t="s">
        <v>113</v>
      </c>
      <c r="O3128" s="93">
        <v>12</v>
      </c>
      <c r="P3128" s="93">
        <v>27</v>
      </c>
      <c r="Q3128" s="93">
        <v>37</v>
      </c>
      <c r="R3128" s="93" t="s">
        <v>117</v>
      </c>
      <c r="S3128" s="93" t="s">
        <v>659</v>
      </c>
      <c r="T3128" s="93" t="s">
        <v>1659</v>
      </c>
      <c r="U3128" s="93" t="s">
        <v>116</v>
      </c>
      <c r="V3128" s="94">
        <v>44628.492361111108</v>
      </c>
      <c r="W3128" s="93" t="s">
        <v>1170</v>
      </c>
      <c r="X3128" s="93" t="s">
        <v>24</v>
      </c>
    </row>
    <row r="3129" spans="1:24" hidden="1" x14ac:dyDescent="0.15">
      <c r="A3129" s="93" t="s">
        <v>4641</v>
      </c>
      <c r="B3129" s="93" t="s">
        <v>4642</v>
      </c>
      <c r="C3129" s="410">
        <v>3675</v>
      </c>
      <c r="D3129" s="93" t="s">
        <v>9</v>
      </c>
      <c r="E3129" s="93" t="s">
        <v>9</v>
      </c>
      <c r="F3129" s="93" t="s">
        <v>1648</v>
      </c>
      <c r="G3129" s="93" t="s">
        <v>8237</v>
      </c>
      <c r="H3129" s="93" t="s">
        <v>1943</v>
      </c>
      <c r="I3129" s="93" t="s">
        <v>111</v>
      </c>
      <c r="J3129" s="93" t="s">
        <v>1759</v>
      </c>
      <c r="K3129" s="93">
        <v>70</v>
      </c>
      <c r="L3129" s="93" t="s">
        <v>111</v>
      </c>
      <c r="M3129" s="93">
        <v>1.9</v>
      </c>
      <c r="N3129" s="93" t="s">
        <v>113</v>
      </c>
      <c r="O3129" s="93">
        <v>12</v>
      </c>
      <c r="P3129" s="93">
        <v>27</v>
      </c>
      <c r="Q3129" s="93">
        <v>37</v>
      </c>
      <c r="R3129" s="93" t="s">
        <v>117</v>
      </c>
      <c r="S3129" s="93" t="s">
        <v>659</v>
      </c>
      <c r="T3129" s="93" t="s">
        <v>1659</v>
      </c>
      <c r="U3129" s="93" t="s">
        <v>116</v>
      </c>
      <c r="V3129" s="94">
        <v>44628.57916666667</v>
      </c>
      <c r="W3129" s="93" t="s">
        <v>1170</v>
      </c>
      <c r="X3129" s="93" t="s">
        <v>24</v>
      </c>
    </row>
    <row r="3130" spans="1:24" hidden="1" x14ac:dyDescent="0.15">
      <c r="A3130" s="93" t="s">
        <v>4643</v>
      </c>
      <c r="B3130" s="93" t="s">
        <v>4644</v>
      </c>
      <c r="C3130" s="410">
        <v>3675</v>
      </c>
      <c r="D3130" s="93" t="s">
        <v>9</v>
      </c>
      <c r="E3130" s="93" t="s">
        <v>9</v>
      </c>
      <c r="F3130" s="93" t="s">
        <v>1648</v>
      </c>
      <c r="G3130" s="93" t="s">
        <v>8237</v>
      </c>
      <c r="H3130" s="93" t="s">
        <v>1943</v>
      </c>
      <c r="I3130" s="93" t="s">
        <v>111</v>
      </c>
      <c r="J3130" s="93" t="s">
        <v>1759</v>
      </c>
      <c r="K3130" s="93">
        <v>70</v>
      </c>
      <c r="L3130" s="93" t="s">
        <v>111</v>
      </c>
      <c r="M3130" s="93">
        <v>1.9</v>
      </c>
      <c r="N3130" s="93" t="s">
        <v>113</v>
      </c>
      <c r="O3130" s="93">
        <v>12</v>
      </c>
      <c r="P3130" s="93">
        <v>27</v>
      </c>
      <c r="Q3130" s="93">
        <v>37</v>
      </c>
      <c r="R3130" s="93" t="s">
        <v>117</v>
      </c>
      <c r="S3130" s="93" t="s">
        <v>659</v>
      </c>
      <c r="T3130" s="93" t="s">
        <v>1659</v>
      </c>
      <c r="U3130" s="93" t="s">
        <v>116</v>
      </c>
      <c r="V3130" s="94">
        <v>44628.636111111111</v>
      </c>
      <c r="W3130" s="93" t="s">
        <v>1170</v>
      </c>
      <c r="X3130" s="93" t="s">
        <v>24</v>
      </c>
    </row>
    <row r="3131" spans="1:24" hidden="1" x14ac:dyDescent="0.15">
      <c r="A3131" s="93" t="s">
        <v>4645</v>
      </c>
      <c r="B3131" s="93" t="s">
        <v>4646</v>
      </c>
      <c r="C3131" s="410">
        <v>3675</v>
      </c>
      <c r="D3131" s="93" t="s">
        <v>9</v>
      </c>
      <c r="E3131" s="93" t="s">
        <v>9</v>
      </c>
      <c r="F3131" s="93" t="s">
        <v>1648</v>
      </c>
      <c r="G3131" s="93" t="s">
        <v>8237</v>
      </c>
      <c r="H3131" s="93" t="s">
        <v>1943</v>
      </c>
      <c r="I3131" s="93" t="s">
        <v>111</v>
      </c>
      <c r="J3131" s="93" t="s">
        <v>1759</v>
      </c>
      <c r="K3131" s="93">
        <v>70</v>
      </c>
      <c r="L3131" s="93" t="s">
        <v>111</v>
      </c>
      <c r="M3131" s="93">
        <v>1.9</v>
      </c>
      <c r="N3131" s="93" t="s">
        <v>113</v>
      </c>
      <c r="O3131" s="93">
        <v>12</v>
      </c>
      <c r="P3131" s="93">
        <v>27</v>
      </c>
      <c r="Q3131" s="93">
        <v>37</v>
      </c>
      <c r="R3131" s="93" t="s">
        <v>117</v>
      </c>
      <c r="S3131" s="93" t="s">
        <v>659</v>
      </c>
      <c r="T3131" s="93" t="s">
        <v>1659</v>
      </c>
      <c r="U3131" s="93" t="s">
        <v>116</v>
      </c>
      <c r="V3131" s="94">
        <v>44628.492361111108</v>
      </c>
      <c r="W3131" s="93" t="s">
        <v>1170</v>
      </c>
      <c r="X3131" s="93" t="s">
        <v>24</v>
      </c>
    </row>
    <row r="3132" spans="1:24" hidden="1" x14ac:dyDescent="0.15">
      <c r="A3132" s="93" t="s">
        <v>4647</v>
      </c>
      <c r="B3132" s="93" t="s">
        <v>4648</v>
      </c>
      <c r="C3132" s="410">
        <v>3675</v>
      </c>
      <c r="D3132" s="93" t="s">
        <v>9</v>
      </c>
      <c r="E3132" s="93" t="s">
        <v>9</v>
      </c>
      <c r="F3132" s="93" t="s">
        <v>1648</v>
      </c>
      <c r="G3132" s="93" t="s">
        <v>8237</v>
      </c>
      <c r="H3132" s="93" t="s">
        <v>1943</v>
      </c>
      <c r="I3132" s="93" t="s">
        <v>111</v>
      </c>
      <c r="J3132" s="93" t="s">
        <v>1759</v>
      </c>
      <c r="K3132" s="93">
        <v>70</v>
      </c>
      <c r="L3132" s="93" t="s">
        <v>111</v>
      </c>
      <c r="M3132" s="93">
        <v>1.9</v>
      </c>
      <c r="N3132" s="93" t="s">
        <v>113</v>
      </c>
      <c r="O3132" s="93">
        <v>12</v>
      </c>
      <c r="P3132" s="93">
        <v>27</v>
      </c>
      <c r="Q3132" s="93">
        <v>37</v>
      </c>
      <c r="R3132" s="93" t="s">
        <v>117</v>
      </c>
      <c r="S3132" s="93" t="s">
        <v>659</v>
      </c>
      <c r="T3132" s="93" t="s">
        <v>1659</v>
      </c>
      <c r="U3132" s="93" t="s">
        <v>116</v>
      </c>
      <c r="V3132" s="94">
        <v>44628.57916666667</v>
      </c>
      <c r="W3132" s="93" t="s">
        <v>1170</v>
      </c>
      <c r="X3132" s="93" t="s">
        <v>24</v>
      </c>
    </row>
    <row r="3133" spans="1:24" hidden="1" x14ac:dyDescent="0.15">
      <c r="A3133" s="93" t="s">
        <v>4649</v>
      </c>
      <c r="B3133" s="93" t="s">
        <v>4650</v>
      </c>
      <c r="C3133" s="410">
        <v>3675</v>
      </c>
      <c r="D3133" s="93" t="s">
        <v>9</v>
      </c>
      <c r="E3133" s="93" t="s">
        <v>9</v>
      </c>
      <c r="F3133" s="93" t="s">
        <v>1648</v>
      </c>
      <c r="G3133" s="93" t="s">
        <v>8237</v>
      </c>
      <c r="H3133" s="93" t="s">
        <v>1943</v>
      </c>
      <c r="I3133" s="93" t="s">
        <v>111</v>
      </c>
      <c r="J3133" s="93" t="s">
        <v>1759</v>
      </c>
      <c r="K3133" s="93">
        <v>70</v>
      </c>
      <c r="L3133" s="93" t="s">
        <v>111</v>
      </c>
      <c r="M3133" s="93">
        <v>1.9</v>
      </c>
      <c r="N3133" s="93" t="s">
        <v>113</v>
      </c>
      <c r="O3133" s="93">
        <v>12</v>
      </c>
      <c r="P3133" s="93">
        <v>27</v>
      </c>
      <c r="Q3133" s="93">
        <v>37</v>
      </c>
      <c r="R3133" s="93" t="s">
        <v>117</v>
      </c>
      <c r="S3133" s="93" t="s">
        <v>659</v>
      </c>
      <c r="T3133" s="93" t="s">
        <v>1659</v>
      </c>
      <c r="U3133" s="93" t="s">
        <v>116</v>
      </c>
      <c r="V3133" s="94">
        <v>44628.601388888892</v>
      </c>
      <c r="W3133" s="93" t="s">
        <v>1170</v>
      </c>
      <c r="X3133" s="93" t="s">
        <v>24</v>
      </c>
    </row>
    <row r="3134" spans="1:24" hidden="1" x14ac:dyDescent="0.15">
      <c r="A3134" s="93" t="s">
        <v>4651</v>
      </c>
      <c r="B3134" s="93" t="s">
        <v>4652</v>
      </c>
      <c r="C3134" s="410">
        <v>3675</v>
      </c>
      <c r="D3134" s="93" t="s">
        <v>9</v>
      </c>
      <c r="E3134" s="93" t="s">
        <v>9</v>
      </c>
      <c r="F3134" s="93" t="s">
        <v>1648</v>
      </c>
      <c r="G3134" s="93" t="s">
        <v>8237</v>
      </c>
      <c r="H3134" s="93" t="s">
        <v>1943</v>
      </c>
      <c r="I3134" s="93" t="s">
        <v>111</v>
      </c>
      <c r="J3134" s="93" t="s">
        <v>1759</v>
      </c>
      <c r="K3134" s="93">
        <v>70</v>
      </c>
      <c r="L3134" s="93" t="s">
        <v>111</v>
      </c>
      <c r="M3134" s="93">
        <v>1.9</v>
      </c>
      <c r="N3134" s="93" t="s">
        <v>113</v>
      </c>
      <c r="O3134" s="93">
        <v>12</v>
      </c>
      <c r="P3134" s="93">
        <v>27</v>
      </c>
      <c r="Q3134" s="93">
        <v>37</v>
      </c>
      <c r="R3134" s="93" t="s">
        <v>117</v>
      </c>
      <c r="S3134" s="93" t="s">
        <v>659</v>
      </c>
      <c r="T3134" s="93" t="s">
        <v>1659</v>
      </c>
      <c r="U3134" s="93" t="s">
        <v>116</v>
      </c>
      <c r="V3134" s="94">
        <v>44628.492361111108</v>
      </c>
      <c r="W3134" s="93" t="s">
        <v>1170</v>
      </c>
      <c r="X3134" s="93" t="s">
        <v>24</v>
      </c>
    </row>
    <row r="3135" spans="1:24" hidden="1" x14ac:dyDescent="0.15">
      <c r="A3135" s="93" t="s">
        <v>4653</v>
      </c>
      <c r="B3135" s="93" t="s">
        <v>4654</v>
      </c>
      <c r="C3135" s="410">
        <v>3675</v>
      </c>
      <c r="D3135" s="93" t="s">
        <v>9</v>
      </c>
      <c r="E3135" s="93" t="s">
        <v>9</v>
      </c>
      <c r="F3135" s="93" t="s">
        <v>1648</v>
      </c>
      <c r="G3135" s="93" t="s">
        <v>8237</v>
      </c>
      <c r="H3135" s="93" t="s">
        <v>1943</v>
      </c>
      <c r="I3135" s="93" t="s">
        <v>111</v>
      </c>
      <c r="J3135" s="93" t="s">
        <v>1759</v>
      </c>
      <c r="K3135" s="93">
        <v>70</v>
      </c>
      <c r="L3135" s="93" t="s">
        <v>111</v>
      </c>
      <c r="M3135" s="93">
        <v>1.9</v>
      </c>
      <c r="N3135" s="93" t="s">
        <v>113</v>
      </c>
      <c r="O3135" s="93">
        <v>12</v>
      </c>
      <c r="P3135" s="93">
        <v>27</v>
      </c>
      <c r="Q3135" s="93">
        <v>37</v>
      </c>
      <c r="R3135" s="93" t="s">
        <v>117</v>
      </c>
      <c r="S3135" s="93" t="s">
        <v>659</v>
      </c>
      <c r="T3135" s="93" t="s">
        <v>1659</v>
      </c>
      <c r="U3135" s="93" t="s">
        <v>116</v>
      </c>
      <c r="V3135" s="94">
        <v>44628.536805555559</v>
      </c>
      <c r="W3135" s="93" t="s">
        <v>1170</v>
      </c>
      <c r="X3135" s="93" t="s">
        <v>24</v>
      </c>
    </row>
    <row r="3136" spans="1:24" hidden="1" x14ac:dyDescent="0.15">
      <c r="A3136" s="93" t="s">
        <v>4655</v>
      </c>
      <c r="B3136" s="93" t="s">
        <v>4656</v>
      </c>
      <c r="C3136" s="410">
        <v>3675</v>
      </c>
      <c r="D3136" s="93" t="s">
        <v>9</v>
      </c>
      <c r="E3136" s="93" t="s">
        <v>9</v>
      </c>
      <c r="F3136" s="93" t="s">
        <v>1648</v>
      </c>
      <c r="G3136" s="93" t="s">
        <v>8237</v>
      </c>
      <c r="H3136" s="93" t="s">
        <v>1943</v>
      </c>
      <c r="I3136" s="93" t="s">
        <v>111</v>
      </c>
      <c r="J3136" s="93" t="s">
        <v>1759</v>
      </c>
      <c r="K3136" s="93">
        <v>70</v>
      </c>
      <c r="L3136" s="93" t="s">
        <v>111</v>
      </c>
      <c r="M3136" s="93">
        <v>1.9</v>
      </c>
      <c r="N3136" s="93" t="s">
        <v>113</v>
      </c>
      <c r="O3136" s="93">
        <v>12</v>
      </c>
      <c r="P3136" s="93">
        <v>27</v>
      </c>
      <c r="Q3136" s="93">
        <v>37</v>
      </c>
      <c r="R3136" s="93" t="s">
        <v>117</v>
      </c>
      <c r="S3136" s="93" t="s">
        <v>659</v>
      </c>
      <c r="T3136" s="93" t="s">
        <v>1659</v>
      </c>
      <c r="U3136" s="93" t="s">
        <v>116</v>
      </c>
      <c r="V3136" s="94">
        <v>44628.51458333333</v>
      </c>
      <c r="W3136" s="93" t="s">
        <v>1170</v>
      </c>
      <c r="X3136" s="93" t="s">
        <v>24</v>
      </c>
    </row>
    <row r="3137" spans="1:24" hidden="1" x14ac:dyDescent="0.15">
      <c r="A3137" s="93" t="s">
        <v>4657</v>
      </c>
      <c r="B3137" s="93" t="s">
        <v>4658</v>
      </c>
      <c r="C3137" s="410">
        <v>3675</v>
      </c>
      <c r="D3137" s="93" t="s">
        <v>9</v>
      </c>
      <c r="E3137" s="93" t="s">
        <v>9</v>
      </c>
      <c r="F3137" s="93" t="s">
        <v>1648</v>
      </c>
      <c r="G3137" s="93" t="s">
        <v>8237</v>
      </c>
      <c r="H3137" s="93" t="s">
        <v>1943</v>
      </c>
      <c r="I3137" s="93" t="s">
        <v>111</v>
      </c>
      <c r="J3137" s="93" t="s">
        <v>1759</v>
      </c>
      <c r="K3137" s="93">
        <v>70</v>
      </c>
      <c r="L3137" s="93" t="s">
        <v>111</v>
      </c>
      <c r="M3137" s="93">
        <v>1.9</v>
      </c>
      <c r="N3137" s="93" t="s">
        <v>113</v>
      </c>
      <c r="O3137" s="93">
        <v>12</v>
      </c>
      <c r="P3137" s="93">
        <v>27</v>
      </c>
      <c r="Q3137" s="93">
        <v>37</v>
      </c>
      <c r="R3137" s="93" t="s">
        <v>117</v>
      </c>
      <c r="S3137" s="93" t="s">
        <v>659</v>
      </c>
      <c r="T3137" s="93" t="s">
        <v>1659</v>
      </c>
      <c r="U3137" s="93" t="s">
        <v>116</v>
      </c>
      <c r="V3137" s="94">
        <v>44628.557638888888</v>
      </c>
      <c r="W3137" s="93" t="s">
        <v>1170</v>
      </c>
      <c r="X3137" s="93" t="s">
        <v>24</v>
      </c>
    </row>
    <row r="3138" spans="1:24" hidden="1" x14ac:dyDescent="0.15">
      <c r="A3138" s="93" t="s">
        <v>4659</v>
      </c>
      <c r="B3138" s="93" t="s">
        <v>4660</v>
      </c>
      <c r="C3138" s="410">
        <v>3675</v>
      </c>
      <c r="D3138" s="93" t="s">
        <v>9</v>
      </c>
      <c r="E3138" s="93" t="s">
        <v>9</v>
      </c>
      <c r="F3138" s="93" t="s">
        <v>1648</v>
      </c>
      <c r="G3138" s="93" t="s">
        <v>8237</v>
      </c>
      <c r="H3138" s="93" t="s">
        <v>1943</v>
      </c>
      <c r="I3138" s="93" t="s">
        <v>111</v>
      </c>
      <c r="J3138" s="93" t="s">
        <v>1759</v>
      </c>
      <c r="K3138" s="93">
        <v>70</v>
      </c>
      <c r="L3138" s="93" t="s">
        <v>111</v>
      </c>
      <c r="M3138" s="93">
        <v>1.9</v>
      </c>
      <c r="N3138" s="93" t="s">
        <v>113</v>
      </c>
      <c r="O3138" s="93">
        <v>12</v>
      </c>
      <c r="P3138" s="93">
        <v>27</v>
      </c>
      <c r="Q3138" s="93">
        <v>37</v>
      </c>
      <c r="R3138" s="93" t="s">
        <v>117</v>
      </c>
      <c r="S3138" s="93" t="s">
        <v>659</v>
      </c>
      <c r="T3138" s="93" t="s">
        <v>1659</v>
      </c>
      <c r="U3138" s="93" t="s">
        <v>116</v>
      </c>
      <c r="V3138" s="94">
        <v>44628.601388888892</v>
      </c>
      <c r="W3138" s="93" t="s">
        <v>1170</v>
      </c>
      <c r="X3138" s="93" t="s">
        <v>24</v>
      </c>
    </row>
    <row r="3139" spans="1:24" hidden="1" x14ac:dyDescent="0.15">
      <c r="A3139" s="93" t="s">
        <v>4661</v>
      </c>
      <c r="B3139" s="93" t="s">
        <v>4662</v>
      </c>
      <c r="C3139" s="410">
        <v>3675</v>
      </c>
      <c r="D3139" s="93" t="s">
        <v>9</v>
      </c>
      <c r="E3139" s="93" t="s">
        <v>9</v>
      </c>
      <c r="F3139" s="93" t="s">
        <v>1648</v>
      </c>
      <c r="G3139" s="93" t="s">
        <v>8237</v>
      </c>
      <c r="H3139" s="93" t="s">
        <v>1943</v>
      </c>
      <c r="I3139" s="93" t="s">
        <v>111</v>
      </c>
      <c r="J3139" s="93" t="s">
        <v>1759</v>
      </c>
      <c r="K3139" s="93">
        <v>70</v>
      </c>
      <c r="L3139" s="93" t="s">
        <v>111</v>
      </c>
      <c r="M3139" s="93">
        <v>1.9</v>
      </c>
      <c r="N3139" s="93" t="s">
        <v>113</v>
      </c>
      <c r="O3139" s="93">
        <v>12</v>
      </c>
      <c r="P3139" s="93">
        <v>27</v>
      </c>
      <c r="Q3139" s="93">
        <v>37</v>
      </c>
      <c r="R3139" s="93" t="s">
        <v>117</v>
      </c>
      <c r="S3139" s="93" t="s">
        <v>659</v>
      </c>
      <c r="T3139" s="93" t="s">
        <v>1659</v>
      </c>
      <c r="U3139" s="93" t="s">
        <v>116</v>
      </c>
      <c r="V3139" s="94">
        <v>44628.636111111111</v>
      </c>
      <c r="W3139" s="93" t="s">
        <v>1170</v>
      </c>
      <c r="X3139" s="93" t="s">
        <v>24</v>
      </c>
    </row>
    <row r="3140" spans="1:24" hidden="1" x14ac:dyDescent="0.15">
      <c r="A3140" s="93" t="s">
        <v>4663</v>
      </c>
      <c r="B3140" s="93" t="s">
        <v>4664</v>
      </c>
      <c r="C3140" s="410">
        <v>3675</v>
      </c>
      <c r="D3140" s="93" t="s">
        <v>9</v>
      </c>
      <c r="E3140" s="93" t="s">
        <v>9</v>
      </c>
      <c r="F3140" s="93" t="s">
        <v>1648</v>
      </c>
      <c r="G3140" s="93" t="s">
        <v>8237</v>
      </c>
      <c r="H3140" s="93" t="s">
        <v>1943</v>
      </c>
      <c r="I3140" s="93" t="s">
        <v>111</v>
      </c>
      <c r="J3140" s="93" t="s">
        <v>1759</v>
      </c>
      <c r="K3140" s="93">
        <v>70</v>
      </c>
      <c r="L3140" s="93" t="s">
        <v>111</v>
      </c>
      <c r="M3140" s="93">
        <v>1.9</v>
      </c>
      <c r="N3140" s="93" t="s">
        <v>113</v>
      </c>
      <c r="O3140" s="93">
        <v>12</v>
      </c>
      <c r="P3140" s="93">
        <v>27</v>
      </c>
      <c r="Q3140" s="93">
        <v>37</v>
      </c>
      <c r="R3140" s="93" t="s">
        <v>117</v>
      </c>
      <c r="S3140" s="93" t="s">
        <v>659</v>
      </c>
      <c r="T3140" s="93" t="s">
        <v>1659</v>
      </c>
      <c r="U3140" s="93" t="s">
        <v>116</v>
      </c>
      <c r="V3140" s="94">
        <v>44628.47152777778</v>
      </c>
      <c r="W3140" s="93" t="s">
        <v>1170</v>
      </c>
      <c r="X3140" s="93" t="s">
        <v>24</v>
      </c>
    </row>
    <row r="3141" spans="1:24" hidden="1" x14ac:dyDescent="0.15">
      <c r="A3141" s="93" t="s">
        <v>4665</v>
      </c>
      <c r="B3141" s="93" t="s">
        <v>4666</v>
      </c>
      <c r="C3141" s="410">
        <v>3675</v>
      </c>
      <c r="D3141" s="93" t="s">
        <v>9</v>
      </c>
      <c r="E3141" s="93" t="s">
        <v>9</v>
      </c>
      <c r="F3141" s="93" t="s">
        <v>1648</v>
      </c>
      <c r="G3141" s="93" t="s">
        <v>8237</v>
      </c>
      <c r="H3141" s="93" t="s">
        <v>1943</v>
      </c>
      <c r="I3141" s="93" t="s">
        <v>111</v>
      </c>
      <c r="J3141" s="93" t="s">
        <v>1759</v>
      </c>
      <c r="K3141" s="93">
        <v>70</v>
      </c>
      <c r="L3141" s="93" t="s">
        <v>111</v>
      </c>
      <c r="M3141" s="93">
        <v>1.9</v>
      </c>
      <c r="N3141" s="93" t="s">
        <v>113</v>
      </c>
      <c r="O3141" s="93">
        <v>12</v>
      </c>
      <c r="P3141" s="93">
        <v>27</v>
      </c>
      <c r="Q3141" s="93">
        <v>37</v>
      </c>
      <c r="R3141" s="93" t="s">
        <v>117</v>
      </c>
      <c r="S3141" s="93" t="s">
        <v>659</v>
      </c>
      <c r="T3141" s="93" t="s">
        <v>1659</v>
      </c>
      <c r="U3141" s="93" t="s">
        <v>116</v>
      </c>
      <c r="V3141" s="94">
        <v>44628.636111111111</v>
      </c>
      <c r="W3141" s="93" t="s">
        <v>1170</v>
      </c>
      <c r="X3141" s="93" t="s">
        <v>24</v>
      </c>
    </row>
    <row r="3142" spans="1:24" hidden="1" x14ac:dyDescent="0.15">
      <c r="A3142" s="93" t="s">
        <v>4667</v>
      </c>
      <c r="B3142" s="93" t="s">
        <v>4668</v>
      </c>
      <c r="C3142" s="410">
        <v>3675</v>
      </c>
      <c r="D3142" s="93" t="s">
        <v>9</v>
      </c>
      <c r="E3142" s="93" t="s">
        <v>9</v>
      </c>
      <c r="F3142" s="93" t="s">
        <v>1648</v>
      </c>
      <c r="G3142" s="93" t="s">
        <v>8237</v>
      </c>
      <c r="H3142" s="93" t="s">
        <v>1943</v>
      </c>
      <c r="I3142" s="93" t="s">
        <v>111</v>
      </c>
      <c r="J3142" s="93" t="s">
        <v>1759</v>
      </c>
      <c r="K3142" s="93">
        <v>70</v>
      </c>
      <c r="L3142" s="93" t="s">
        <v>111</v>
      </c>
      <c r="M3142" s="93">
        <v>1.9</v>
      </c>
      <c r="N3142" s="93" t="s">
        <v>113</v>
      </c>
      <c r="O3142" s="93">
        <v>12</v>
      </c>
      <c r="P3142" s="93">
        <v>27</v>
      </c>
      <c r="Q3142" s="93">
        <v>37</v>
      </c>
      <c r="R3142" s="93" t="s">
        <v>117</v>
      </c>
      <c r="S3142" s="93" t="s">
        <v>659</v>
      </c>
      <c r="T3142" s="93" t="s">
        <v>1659</v>
      </c>
      <c r="U3142" s="93" t="s">
        <v>116</v>
      </c>
      <c r="V3142" s="94">
        <v>44628.536805555559</v>
      </c>
      <c r="W3142" s="93" t="s">
        <v>1170</v>
      </c>
      <c r="X3142" s="93" t="s">
        <v>24</v>
      </c>
    </row>
    <row r="3143" spans="1:24" hidden="1" x14ac:dyDescent="0.15">
      <c r="A3143" s="93" t="s">
        <v>4669</v>
      </c>
      <c r="B3143" s="93" t="s">
        <v>4670</v>
      </c>
      <c r="C3143" s="410">
        <v>3675</v>
      </c>
      <c r="D3143" s="93" t="s">
        <v>9</v>
      </c>
      <c r="E3143" s="93" t="s">
        <v>9</v>
      </c>
      <c r="F3143" s="93" t="s">
        <v>1648</v>
      </c>
      <c r="G3143" s="93" t="s">
        <v>8237</v>
      </c>
      <c r="H3143" s="93" t="s">
        <v>1943</v>
      </c>
      <c r="I3143" s="93" t="s">
        <v>111</v>
      </c>
      <c r="J3143" s="93" t="s">
        <v>2013</v>
      </c>
      <c r="K3143" s="93">
        <v>50</v>
      </c>
      <c r="L3143" s="93" t="s">
        <v>111</v>
      </c>
      <c r="M3143" s="93">
        <v>1.9</v>
      </c>
      <c r="N3143" s="93" t="s">
        <v>113</v>
      </c>
      <c r="O3143" s="93">
        <v>27</v>
      </c>
      <c r="P3143" s="93">
        <v>37</v>
      </c>
      <c r="Q3143" s="93">
        <v>12</v>
      </c>
      <c r="R3143" s="93" t="s">
        <v>117</v>
      </c>
      <c r="S3143" s="93" t="s">
        <v>659</v>
      </c>
      <c r="T3143" s="93" t="s">
        <v>1659</v>
      </c>
      <c r="U3143" s="93" t="s">
        <v>116</v>
      </c>
      <c r="V3143" s="94">
        <v>44628.57916666667</v>
      </c>
      <c r="W3143" s="93" t="s">
        <v>1170</v>
      </c>
      <c r="X3143" s="93" t="s">
        <v>24</v>
      </c>
    </row>
    <row r="3144" spans="1:24" hidden="1" x14ac:dyDescent="0.15">
      <c r="A3144" s="93" t="s">
        <v>4671</v>
      </c>
      <c r="B3144" s="93" t="s">
        <v>4672</v>
      </c>
      <c r="C3144" s="410">
        <v>3675</v>
      </c>
      <c r="D3144" s="93" t="s">
        <v>9</v>
      </c>
      <c r="E3144" s="93" t="s">
        <v>9</v>
      </c>
      <c r="F3144" s="93" t="s">
        <v>1648</v>
      </c>
      <c r="G3144" s="93" t="s">
        <v>8237</v>
      </c>
      <c r="H3144" s="93" t="s">
        <v>1943</v>
      </c>
      <c r="I3144" s="93" t="s">
        <v>111</v>
      </c>
      <c r="J3144" s="93" t="s">
        <v>2013</v>
      </c>
      <c r="K3144" s="93">
        <v>50</v>
      </c>
      <c r="L3144" s="93" t="s">
        <v>111</v>
      </c>
      <c r="M3144" s="93">
        <v>1.9</v>
      </c>
      <c r="N3144" s="93" t="s">
        <v>113</v>
      </c>
      <c r="O3144" s="93">
        <v>27</v>
      </c>
      <c r="P3144" s="93">
        <v>37</v>
      </c>
      <c r="Q3144" s="93">
        <v>12</v>
      </c>
      <c r="R3144" s="93" t="s">
        <v>117</v>
      </c>
      <c r="S3144" s="93" t="s">
        <v>659</v>
      </c>
      <c r="T3144" s="93" t="s">
        <v>1659</v>
      </c>
      <c r="U3144" s="93" t="s">
        <v>116</v>
      </c>
      <c r="V3144" s="94">
        <v>44628.636111111111</v>
      </c>
      <c r="W3144" s="93" t="s">
        <v>1170</v>
      </c>
      <c r="X3144" s="93" t="s">
        <v>24</v>
      </c>
    </row>
    <row r="3145" spans="1:24" hidden="1" x14ac:dyDescent="0.15">
      <c r="A3145" s="93" t="s">
        <v>4673</v>
      </c>
      <c r="B3145" s="93" t="s">
        <v>4674</v>
      </c>
      <c r="C3145" s="410">
        <v>3675</v>
      </c>
      <c r="D3145" s="93" t="s">
        <v>9</v>
      </c>
      <c r="E3145" s="93" t="s">
        <v>9</v>
      </c>
      <c r="F3145" s="93" t="s">
        <v>1648</v>
      </c>
      <c r="G3145" s="93" t="s">
        <v>8237</v>
      </c>
      <c r="H3145" s="93" t="s">
        <v>1943</v>
      </c>
      <c r="I3145" s="93" t="s">
        <v>111</v>
      </c>
      <c r="J3145" s="93" t="s">
        <v>2013</v>
      </c>
      <c r="K3145" s="93">
        <v>50</v>
      </c>
      <c r="L3145" s="93" t="s">
        <v>111</v>
      </c>
      <c r="M3145" s="93">
        <v>1.9</v>
      </c>
      <c r="N3145" s="93" t="s">
        <v>113</v>
      </c>
      <c r="O3145" s="93">
        <v>27</v>
      </c>
      <c r="P3145" s="93">
        <v>37</v>
      </c>
      <c r="Q3145" s="93">
        <v>12</v>
      </c>
      <c r="R3145" s="93" t="s">
        <v>117</v>
      </c>
      <c r="S3145" s="93" t="s">
        <v>659</v>
      </c>
      <c r="T3145" s="93" t="s">
        <v>1659</v>
      </c>
      <c r="U3145" s="93" t="s">
        <v>116</v>
      </c>
      <c r="V3145" s="94">
        <v>44628.636111111111</v>
      </c>
      <c r="W3145" s="93" t="s">
        <v>1170</v>
      </c>
      <c r="X3145" s="93" t="s">
        <v>24</v>
      </c>
    </row>
    <row r="3146" spans="1:24" hidden="1" x14ac:dyDescent="0.15">
      <c r="A3146" s="93" t="s">
        <v>4675</v>
      </c>
      <c r="B3146" s="93" t="s">
        <v>4676</v>
      </c>
      <c r="C3146" s="410">
        <v>3675</v>
      </c>
      <c r="D3146" s="93" t="s">
        <v>9</v>
      </c>
      <c r="E3146" s="93" t="s">
        <v>9</v>
      </c>
      <c r="F3146" s="93" t="s">
        <v>1648</v>
      </c>
      <c r="G3146" s="93" t="s">
        <v>8237</v>
      </c>
      <c r="H3146" s="93" t="s">
        <v>1943</v>
      </c>
      <c r="I3146" s="93" t="s">
        <v>111</v>
      </c>
      <c r="J3146" s="93" t="s">
        <v>2013</v>
      </c>
      <c r="K3146" s="93">
        <v>50</v>
      </c>
      <c r="L3146" s="93" t="s">
        <v>111</v>
      </c>
      <c r="M3146" s="93">
        <v>1.9</v>
      </c>
      <c r="N3146" s="93" t="s">
        <v>113</v>
      </c>
      <c r="O3146" s="93">
        <v>27</v>
      </c>
      <c r="P3146" s="93">
        <v>37</v>
      </c>
      <c r="Q3146" s="93">
        <v>12</v>
      </c>
      <c r="R3146" s="93" t="s">
        <v>117</v>
      </c>
      <c r="S3146" s="93" t="s">
        <v>659</v>
      </c>
      <c r="T3146" s="93" t="s">
        <v>1659</v>
      </c>
      <c r="U3146" s="93" t="s">
        <v>116</v>
      </c>
      <c r="V3146" s="94">
        <v>44628.601388888892</v>
      </c>
      <c r="W3146" s="93" t="s">
        <v>1170</v>
      </c>
      <c r="X3146" s="93" t="s">
        <v>24</v>
      </c>
    </row>
    <row r="3147" spans="1:24" hidden="1" x14ac:dyDescent="0.15">
      <c r="A3147" s="93" t="s">
        <v>4677</v>
      </c>
      <c r="B3147" s="93" t="s">
        <v>4678</v>
      </c>
      <c r="C3147" s="410">
        <v>3675</v>
      </c>
      <c r="D3147" s="93" t="s">
        <v>9</v>
      </c>
      <c r="E3147" s="93" t="s">
        <v>9</v>
      </c>
      <c r="F3147" s="93" t="s">
        <v>1648</v>
      </c>
      <c r="G3147" s="93" t="s">
        <v>8237</v>
      </c>
      <c r="H3147" s="93" t="s">
        <v>1943</v>
      </c>
      <c r="I3147" s="93" t="s">
        <v>111</v>
      </c>
      <c r="J3147" s="93" t="s">
        <v>2013</v>
      </c>
      <c r="K3147" s="93">
        <v>50</v>
      </c>
      <c r="L3147" s="93" t="s">
        <v>111</v>
      </c>
      <c r="M3147" s="93">
        <v>1.9</v>
      </c>
      <c r="N3147" s="93" t="s">
        <v>113</v>
      </c>
      <c r="O3147" s="93">
        <v>27</v>
      </c>
      <c r="P3147" s="93">
        <v>37</v>
      </c>
      <c r="Q3147" s="93">
        <v>12</v>
      </c>
      <c r="R3147" s="93" t="s">
        <v>117</v>
      </c>
      <c r="S3147" s="93" t="s">
        <v>659</v>
      </c>
      <c r="T3147" s="93" t="s">
        <v>1659</v>
      </c>
      <c r="U3147" s="93" t="s">
        <v>116</v>
      </c>
      <c r="V3147" s="94">
        <v>44628.47152777778</v>
      </c>
      <c r="W3147" s="93" t="s">
        <v>1170</v>
      </c>
      <c r="X3147" s="93" t="s">
        <v>24</v>
      </c>
    </row>
    <row r="3148" spans="1:24" hidden="1" x14ac:dyDescent="0.15">
      <c r="A3148" s="93" t="s">
        <v>4679</v>
      </c>
      <c r="B3148" s="93" t="s">
        <v>4680</v>
      </c>
      <c r="C3148" s="410">
        <v>3675</v>
      </c>
      <c r="D3148" s="93" t="s">
        <v>9</v>
      </c>
      <c r="E3148" s="93" t="s">
        <v>9</v>
      </c>
      <c r="F3148" s="93" t="s">
        <v>1648</v>
      </c>
      <c r="G3148" s="93" t="s">
        <v>8237</v>
      </c>
      <c r="H3148" s="93" t="s">
        <v>1943</v>
      </c>
      <c r="I3148" s="93" t="s">
        <v>111</v>
      </c>
      <c r="J3148" s="93" t="s">
        <v>2013</v>
      </c>
      <c r="K3148" s="93">
        <v>50</v>
      </c>
      <c r="L3148" s="93" t="s">
        <v>111</v>
      </c>
      <c r="M3148" s="93">
        <v>1.9</v>
      </c>
      <c r="N3148" s="93" t="s">
        <v>113</v>
      </c>
      <c r="O3148" s="93">
        <v>27</v>
      </c>
      <c r="P3148" s="93">
        <v>37</v>
      </c>
      <c r="Q3148" s="93">
        <v>12</v>
      </c>
      <c r="R3148" s="93" t="s">
        <v>117</v>
      </c>
      <c r="S3148" s="93" t="s">
        <v>659</v>
      </c>
      <c r="T3148" s="93" t="s">
        <v>1659</v>
      </c>
      <c r="U3148" s="93" t="s">
        <v>116</v>
      </c>
      <c r="V3148" s="94">
        <v>44628.557638888888</v>
      </c>
      <c r="W3148" s="93" t="s">
        <v>1170</v>
      </c>
      <c r="X3148" s="93" t="s">
        <v>24</v>
      </c>
    </row>
    <row r="3149" spans="1:24" hidden="1" x14ac:dyDescent="0.15">
      <c r="A3149" s="93" t="s">
        <v>4681</v>
      </c>
      <c r="B3149" s="93" t="s">
        <v>4682</v>
      </c>
      <c r="C3149" s="410">
        <v>3675</v>
      </c>
      <c r="D3149" s="93" t="s">
        <v>9</v>
      </c>
      <c r="E3149" s="93" t="s">
        <v>9</v>
      </c>
      <c r="F3149" s="93" t="s">
        <v>1648</v>
      </c>
      <c r="G3149" s="93" t="s">
        <v>8237</v>
      </c>
      <c r="H3149" s="93" t="s">
        <v>1943</v>
      </c>
      <c r="I3149" s="93" t="s">
        <v>111</v>
      </c>
      <c r="J3149" s="93" t="s">
        <v>2013</v>
      </c>
      <c r="K3149" s="93">
        <v>50</v>
      </c>
      <c r="L3149" s="93" t="s">
        <v>111</v>
      </c>
      <c r="M3149" s="93">
        <v>1.9</v>
      </c>
      <c r="N3149" s="93" t="s">
        <v>113</v>
      </c>
      <c r="O3149" s="93">
        <v>27</v>
      </c>
      <c r="P3149" s="93">
        <v>37</v>
      </c>
      <c r="Q3149" s="93">
        <v>12</v>
      </c>
      <c r="R3149" s="93" t="s">
        <v>117</v>
      </c>
      <c r="S3149" s="93" t="s">
        <v>659</v>
      </c>
      <c r="T3149" s="93" t="s">
        <v>1659</v>
      </c>
      <c r="U3149" s="93" t="s">
        <v>116</v>
      </c>
      <c r="V3149" s="94">
        <v>44628.557638888888</v>
      </c>
      <c r="W3149" s="93" t="s">
        <v>1170</v>
      </c>
      <c r="X3149" s="93" t="s">
        <v>24</v>
      </c>
    </row>
    <row r="3150" spans="1:24" hidden="1" x14ac:dyDescent="0.15">
      <c r="A3150" s="93" t="s">
        <v>4683</v>
      </c>
      <c r="B3150" s="93" t="s">
        <v>4684</v>
      </c>
      <c r="C3150" s="410">
        <v>3675</v>
      </c>
      <c r="D3150" s="93" t="s">
        <v>9</v>
      </c>
      <c r="E3150" s="93" t="s">
        <v>9</v>
      </c>
      <c r="F3150" s="93" t="s">
        <v>1648</v>
      </c>
      <c r="G3150" s="93" t="s">
        <v>8237</v>
      </c>
      <c r="H3150" s="93" t="s">
        <v>1943</v>
      </c>
      <c r="I3150" s="93" t="s">
        <v>111</v>
      </c>
      <c r="J3150" s="93" t="s">
        <v>2013</v>
      </c>
      <c r="K3150" s="93">
        <v>50</v>
      </c>
      <c r="L3150" s="93" t="s">
        <v>111</v>
      </c>
      <c r="M3150" s="93">
        <v>1.9</v>
      </c>
      <c r="N3150" s="93" t="s">
        <v>113</v>
      </c>
      <c r="O3150" s="93">
        <v>27</v>
      </c>
      <c r="P3150" s="93">
        <v>37</v>
      </c>
      <c r="Q3150" s="93">
        <v>12</v>
      </c>
      <c r="R3150" s="93" t="s">
        <v>117</v>
      </c>
      <c r="S3150" s="93" t="s">
        <v>659</v>
      </c>
      <c r="T3150" s="93" t="s">
        <v>1659</v>
      </c>
      <c r="U3150" s="93" t="s">
        <v>116</v>
      </c>
      <c r="V3150" s="94">
        <v>44628.492361111108</v>
      </c>
      <c r="W3150" s="93" t="s">
        <v>1170</v>
      </c>
      <c r="X3150" s="93" t="s">
        <v>24</v>
      </c>
    </row>
    <row r="3151" spans="1:24" hidden="1" x14ac:dyDescent="0.15">
      <c r="A3151" s="93" t="s">
        <v>4685</v>
      </c>
      <c r="B3151" s="93" t="s">
        <v>4686</v>
      </c>
      <c r="C3151" s="410">
        <v>3675</v>
      </c>
      <c r="D3151" s="93" t="s">
        <v>9</v>
      </c>
      <c r="E3151" s="93" t="s">
        <v>9</v>
      </c>
      <c r="F3151" s="93" t="s">
        <v>1648</v>
      </c>
      <c r="G3151" s="93" t="s">
        <v>8237</v>
      </c>
      <c r="H3151" s="93" t="s">
        <v>1943</v>
      </c>
      <c r="I3151" s="93" t="s">
        <v>111</v>
      </c>
      <c r="J3151" s="93" t="s">
        <v>2013</v>
      </c>
      <c r="K3151" s="93">
        <v>50</v>
      </c>
      <c r="L3151" s="93" t="s">
        <v>111</v>
      </c>
      <c r="M3151" s="93">
        <v>1.9</v>
      </c>
      <c r="N3151" s="93" t="s">
        <v>113</v>
      </c>
      <c r="O3151" s="93">
        <v>27</v>
      </c>
      <c r="P3151" s="93">
        <v>37</v>
      </c>
      <c r="Q3151" s="93">
        <v>12</v>
      </c>
      <c r="R3151" s="93" t="s">
        <v>117</v>
      </c>
      <c r="S3151" s="93" t="s">
        <v>659</v>
      </c>
      <c r="T3151" s="93" t="s">
        <v>1659</v>
      </c>
      <c r="U3151" s="93" t="s">
        <v>116</v>
      </c>
      <c r="V3151" s="94">
        <v>44628.557638888888</v>
      </c>
      <c r="W3151" s="93" t="s">
        <v>1170</v>
      </c>
      <c r="X3151" s="93" t="s">
        <v>24</v>
      </c>
    </row>
    <row r="3152" spans="1:24" hidden="1" x14ac:dyDescent="0.15">
      <c r="A3152" s="93" t="s">
        <v>4687</v>
      </c>
      <c r="B3152" s="93" t="s">
        <v>4688</v>
      </c>
      <c r="C3152" s="410">
        <v>3675</v>
      </c>
      <c r="D3152" s="93" t="s">
        <v>9</v>
      </c>
      <c r="E3152" s="93" t="s">
        <v>9</v>
      </c>
      <c r="F3152" s="93" t="s">
        <v>1648</v>
      </c>
      <c r="G3152" s="93" t="s">
        <v>8237</v>
      </c>
      <c r="H3152" s="93" t="s">
        <v>1943</v>
      </c>
      <c r="I3152" s="93" t="s">
        <v>111</v>
      </c>
      <c r="J3152" s="93" t="s">
        <v>2013</v>
      </c>
      <c r="K3152" s="93">
        <v>50</v>
      </c>
      <c r="L3152" s="93" t="s">
        <v>111</v>
      </c>
      <c r="M3152" s="93">
        <v>1.9</v>
      </c>
      <c r="N3152" s="93" t="s">
        <v>113</v>
      </c>
      <c r="O3152" s="93">
        <v>27</v>
      </c>
      <c r="P3152" s="93">
        <v>37</v>
      </c>
      <c r="Q3152" s="93">
        <v>12</v>
      </c>
      <c r="R3152" s="93" t="s">
        <v>117</v>
      </c>
      <c r="S3152" s="93" t="s">
        <v>659</v>
      </c>
      <c r="T3152" s="93" t="s">
        <v>1659</v>
      </c>
      <c r="U3152" s="93" t="s">
        <v>116</v>
      </c>
      <c r="V3152" s="94">
        <v>44628.536805555559</v>
      </c>
      <c r="W3152" s="93" t="s">
        <v>1170</v>
      </c>
      <c r="X3152" s="93" t="s">
        <v>24</v>
      </c>
    </row>
    <row r="3153" spans="1:24" hidden="1" x14ac:dyDescent="0.15">
      <c r="A3153" s="93" t="s">
        <v>4689</v>
      </c>
      <c r="B3153" s="93" t="s">
        <v>4690</v>
      </c>
      <c r="C3153" s="410">
        <v>509.25</v>
      </c>
      <c r="D3153" s="93" t="s">
        <v>24</v>
      </c>
      <c r="E3153" s="93" t="s">
        <v>24</v>
      </c>
      <c r="F3153" s="93" t="s">
        <v>7070</v>
      </c>
      <c r="G3153" s="93" t="s">
        <v>8237</v>
      </c>
      <c r="H3153" s="93" t="s">
        <v>11</v>
      </c>
      <c r="I3153" s="93" t="s">
        <v>111</v>
      </c>
      <c r="J3153" s="93" t="s">
        <v>2013</v>
      </c>
      <c r="K3153" s="93">
        <v>50</v>
      </c>
      <c r="L3153" s="93" t="s">
        <v>111</v>
      </c>
      <c r="M3153" s="93">
        <v>2.5</v>
      </c>
      <c r="N3153" s="93" t="s">
        <v>113</v>
      </c>
      <c r="O3153" s="93">
        <v>12.7</v>
      </c>
      <c r="P3153" s="93">
        <v>28</v>
      </c>
      <c r="Q3153" s="93">
        <v>28</v>
      </c>
      <c r="R3153" s="93" t="s">
        <v>117</v>
      </c>
      <c r="S3153" s="93" t="s">
        <v>659</v>
      </c>
      <c r="T3153" s="93" t="s">
        <v>115</v>
      </c>
      <c r="U3153" s="93" t="s">
        <v>116</v>
      </c>
      <c r="V3153" s="94">
        <v>44628.636111111111</v>
      </c>
      <c r="W3153" s="93" t="s">
        <v>1170</v>
      </c>
      <c r="X3153" s="93" t="s">
        <v>24</v>
      </c>
    </row>
    <row r="3154" spans="1:24" hidden="1" x14ac:dyDescent="0.15">
      <c r="A3154" s="93" t="s">
        <v>4691</v>
      </c>
      <c r="B3154" s="93" t="s">
        <v>4692</v>
      </c>
      <c r="C3154" s="410">
        <v>2520</v>
      </c>
      <c r="D3154" s="93" t="s">
        <v>9</v>
      </c>
      <c r="E3154" s="93" t="s">
        <v>9</v>
      </c>
      <c r="F3154" s="93" t="s">
        <v>1648</v>
      </c>
      <c r="G3154" s="93" t="s">
        <v>9117</v>
      </c>
      <c r="H3154" s="93" t="s">
        <v>1943</v>
      </c>
      <c r="I3154" s="93" t="s">
        <v>111</v>
      </c>
      <c r="J3154" s="93" t="s">
        <v>963</v>
      </c>
      <c r="K3154" s="93">
        <v>60</v>
      </c>
      <c r="L3154" s="93" t="s">
        <v>111</v>
      </c>
      <c r="M3154" s="93">
        <v>3.9</v>
      </c>
      <c r="N3154" s="93" t="s">
        <v>113</v>
      </c>
      <c r="O3154" s="93">
        <v>12</v>
      </c>
      <c r="P3154" s="93">
        <v>35</v>
      </c>
      <c r="Q3154" s="93">
        <v>41</v>
      </c>
      <c r="R3154" s="93" t="s">
        <v>117</v>
      </c>
      <c r="S3154" s="93" t="s">
        <v>659</v>
      </c>
      <c r="T3154" s="93" t="s">
        <v>115</v>
      </c>
      <c r="U3154" s="93" t="s">
        <v>116</v>
      </c>
      <c r="V3154" s="94">
        <v>44628.6</v>
      </c>
      <c r="W3154" s="93" t="s">
        <v>1170</v>
      </c>
      <c r="X3154" s="93" t="s">
        <v>9</v>
      </c>
    </row>
    <row r="3155" spans="1:24" hidden="1" x14ac:dyDescent="0.15">
      <c r="A3155" s="93" t="s">
        <v>4693</v>
      </c>
      <c r="B3155" s="93" t="s">
        <v>4694</v>
      </c>
      <c r="C3155" s="410">
        <v>2520</v>
      </c>
      <c r="D3155" s="93" t="s">
        <v>9</v>
      </c>
      <c r="E3155" s="93" t="s">
        <v>9</v>
      </c>
      <c r="F3155" s="93" t="s">
        <v>1648</v>
      </c>
      <c r="G3155" s="93" t="s">
        <v>9117</v>
      </c>
      <c r="H3155" s="93" t="s">
        <v>1943</v>
      </c>
      <c r="I3155" s="93" t="s">
        <v>111</v>
      </c>
      <c r="J3155" s="93" t="s">
        <v>963</v>
      </c>
      <c r="K3155" s="93">
        <v>60</v>
      </c>
      <c r="L3155" s="93" t="s">
        <v>111</v>
      </c>
      <c r="M3155" s="93">
        <v>3.9</v>
      </c>
      <c r="N3155" s="93" t="s">
        <v>113</v>
      </c>
      <c r="O3155" s="93">
        <v>12</v>
      </c>
      <c r="P3155" s="93">
        <v>35</v>
      </c>
      <c r="Q3155" s="93">
        <v>41</v>
      </c>
      <c r="R3155" s="93" t="s">
        <v>117</v>
      </c>
      <c r="S3155" s="93" t="s">
        <v>659</v>
      </c>
      <c r="T3155" s="93" t="s">
        <v>115</v>
      </c>
      <c r="U3155" s="93" t="s">
        <v>116</v>
      </c>
      <c r="V3155" s="94">
        <v>44628.535416666666</v>
      </c>
      <c r="W3155" s="93" t="s">
        <v>1170</v>
      </c>
      <c r="X3155" s="93" t="s">
        <v>9</v>
      </c>
    </row>
    <row r="3156" spans="1:24" hidden="1" x14ac:dyDescent="0.15">
      <c r="A3156" s="93" t="s">
        <v>4695</v>
      </c>
      <c r="B3156" s="93" t="s">
        <v>4696</v>
      </c>
      <c r="C3156" s="410">
        <v>2520</v>
      </c>
      <c r="D3156" s="93" t="s">
        <v>9</v>
      </c>
      <c r="E3156" s="93" t="s">
        <v>9</v>
      </c>
      <c r="F3156" s="93" t="s">
        <v>1648</v>
      </c>
      <c r="G3156" s="93" t="s">
        <v>9117</v>
      </c>
      <c r="H3156" s="93" t="s">
        <v>1943</v>
      </c>
      <c r="I3156" s="93" t="s">
        <v>111</v>
      </c>
      <c r="J3156" s="93" t="s">
        <v>963</v>
      </c>
      <c r="K3156" s="93">
        <v>60</v>
      </c>
      <c r="L3156" s="93" t="s">
        <v>111</v>
      </c>
      <c r="M3156" s="93">
        <v>3.9</v>
      </c>
      <c r="N3156" s="93" t="s">
        <v>113</v>
      </c>
      <c r="O3156" s="93">
        <v>12</v>
      </c>
      <c r="P3156" s="93">
        <v>35</v>
      </c>
      <c r="Q3156" s="93">
        <v>41</v>
      </c>
      <c r="R3156" s="93" t="s">
        <v>117</v>
      </c>
      <c r="S3156" s="93" t="s">
        <v>659</v>
      </c>
      <c r="T3156" s="93" t="s">
        <v>115</v>
      </c>
      <c r="U3156" s="93" t="s">
        <v>116</v>
      </c>
      <c r="V3156" s="94">
        <v>44628.513888888891</v>
      </c>
      <c r="W3156" s="93" t="s">
        <v>1170</v>
      </c>
      <c r="X3156" s="93" t="s">
        <v>9</v>
      </c>
    </row>
    <row r="3157" spans="1:24" hidden="1" x14ac:dyDescent="0.15">
      <c r="A3157" s="93" t="s">
        <v>4697</v>
      </c>
      <c r="B3157" s="93" t="s">
        <v>4698</v>
      </c>
      <c r="C3157" s="410">
        <v>2520</v>
      </c>
      <c r="D3157" s="93" t="s">
        <v>9</v>
      </c>
      <c r="E3157" s="93" t="s">
        <v>9</v>
      </c>
      <c r="F3157" s="93" t="s">
        <v>1648</v>
      </c>
      <c r="G3157" s="93" t="s">
        <v>9117</v>
      </c>
      <c r="H3157" s="93" t="s">
        <v>1943</v>
      </c>
      <c r="I3157" s="93" t="s">
        <v>111</v>
      </c>
      <c r="J3157" s="93" t="s">
        <v>963</v>
      </c>
      <c r="K3157" s="93">
        <v>60</v>
      </c>
      <c r="L3157" s="93" t="s">
        <v>111</v>
      </c>
      <c r="M3157" s="93">
        <v>3.9</v>
      </c>
      <c r="N3157" s="93" t="s">
        <v>113</v>
      </c>
      <c r="O3157" s="93">
        <v>12</v>
      </c>
      <c r="P3157" s="93">
        <v>35</v>
      </c>
      <c r="Q3157" s="93">
        <v>41</v>
      </c>
      <c r="R3157" s="93" t="s">
        <v>117</v>
      </c>
      <c r="S3157" s="93" t="s">
        <v>659</v>
      </c>
      <c r="T3157" s="93" t="s">
        <v>115</v>
      </c>
      <c r="U3157" s="93" t="s">
        <v>116</v>
      </c>
      <c r="V3157" s="94">
        <v>44628.470138888886</v>
      </c>
      <c r="W3157" s="93" t="s">
        <v>1170</v>
      </c>
      <c r="X3157" s="93" t="s">
        <v>9</v>
      </c>
    </row>
    <row r="3158" spans="1:24" hidden="1" x14ac:dyDescent="0.15">
      <c r="A3158" s="93" t="s">
        <v>4699</v>
      </c>
      <c r="B3158" s="93" t="s">
        <v>4700</v>
      </c>
      <c r="C3158" s="410">
        <v>2520</v>
      </c>
      <c r="D3158" s="93" t="s">
        <v>9</v>
      </c>
      <c r="E3158" s="93" t="s">
        <v>9</v>
      </c>
      <c r="F3158" s="93" t="s">
        <v>1648</v>
      </c>
      <c r="G3158" s="93" t="s">
        <v>9117</v>
      </c>
      <c r="H3158" s="93" t="s">
        <v>1943</v>
      </c>
      <c r="I3158" s="93" t="s">
        <v>111</v>
      </c>
      <c r="J3158" s="93" t="s">
        <v>963</v>
      </c>
      <c r="K3158" s="93">
        <v>60</v>
      </c>
      <c r="L3158" s="93" t="s">
        <v>111</v>
      </c>
      <c r="M3158" s="93">
        <v>3.9</v>
      </c>
      <c r="N3158" s="93" t="s">
        <v>113</v>
      </c>
      <c r="O3158" s="93">
        <v>12</v>
      </c>
      <c r="P3158" s="93">
        <v>35</v>
      </c>
      <c r="Q3158" s="93">
        <v>41</v>
      </c>
      <c r="R3158" s="93" t="s">
        <v>117</v>
      </c>
      <c r="S3158" s="93" t="s">
        <v>659</v>
      </c>
      <c r="T3158" s="93" t="s">
        <v>115</v>
      </c>
      <c r="U3158" s="93" t="s">
        <v>116</v>
      </c>
      <c r="V3158" s="94">
        <v>44628.578472222223</v>
      </c>
      <c r="W3158" s="93" t="s">
        <v>1170</v>
      </c>
      <c r="X3158" s="93" t="s">
        <v>24</v>
      </c>
    </row>
    <row r="3159" spans="1:24" hidden="1" x14ac:dyDescent="0.15">
      <c r="A3159" s="93" t="s">
        <v>4701</v>
      </c>
      <c r="B3159" s="93" t="s">
        <v>4702</v>
      </c>
      <c r="C3159" s="410">
        <v>2520</v>
      </c>
      <c r="D3159" s="93" t="s">
        <v>9</v>
      </c>
      <c r="E3159" s="93" t="s">
        <v>9</v>
      </c>
      <c r="F3159" s="93" t="s">
        <v>1648</v>
      </c>
      <c r="G3159" s="93" t="s">
        <v>9117</v>
      </c>
      <c r="H3159" s="93" t="s">
        <v>1943</v>
      </c>
      <c r="I3159" s="93" t="s">
        <v>111</v>
      </c>
      <c r="J3159" s="93" t="s">
        <v>963</v>
      </c>
      <c r="K3159" s="93">
        <v>60</v>
      </c>
      <c r="L3159" s="93" t="s">
        <v>111</v>
      </c>
      <c r="M3159" s="93">
        <v>3.9</v>
      </c>
      <c r="N3159" s="93" t="s">
        <v>113</v>
      </c>
      <c r="O3159" s="93">
        <v>12</v>
      </c>
      <c r="P3159" s="93">
        <v>35</v>
      </c>
      <c r="Q3159" s="93">
        <v>41</v>
      </c>
      <c r="R3159" s="93" t="s">
        <v>117</v>
      </c>
      <c r="S3159" s="93" t="s">
        <v>659</v>
      </c>
      <c r="T3159" s="93" t="s">
        <v>115</v>
      </c>
      <c r="U3159" s="93" t="s">
        <v>116</v>
      </c>
      <c r="V3159" s="94">
        <v>44628.513888888891</v>
      </c>
      <c r="W3159" s="93" t="s">
        <v>1170</v>
      </c>
      <c r="X3159" s="93" t="s">
        <v>24</v>
      </c>
    </row>
    <row r="3160" spans="1:24" hidden="1" x14ac:dyDescent="0.15">
      <c r="A3160" s="93" t="s">
        <v>4703</v>
      </c>
      <c r="B3160" s="93" t="s">
        <v>4704</v>
      </c>
      <c r="C3160" s="410">
        <v>2520</v>
      </c>
      <c r="D3160" s="93" t="s">
        <v>9</v>
      </c>
      <c r="E3160" s="93" t="s">
        <v>9</v>
      </c>
      <c r="F3160" s="93" t="s">
        <v>1648</v>
      </c>
      <c r="G3160" s="93" t="s">
        <v>9117</v>
      </c>
      <c r="H3160" s="93" t="s">
        <v>1943</v>
      </c>
      <c r="I3160" s="93" t="s">
        <v>111</v>
      </c>
      <c r="J3160" s="93" t="s">
        <v>963</v>
      </c>
      <c r="K3160" s="93">
        <v>60</v>
      </c>
      <c r="L3160" s="93" t="s">
        <v>111</v>
      </c>
      <c r="M3160" s="93">
        <v>3.9</v>
      </c>
      <c r="N3160" s="93" t="s">
        <v>113</v>
      </c>
      <c r="O3160" s="93">
        <v>12</v>
      </c>
      <c r="P3160" s="93">
        <v>35</v>
      </c>
      <c r="Q3160" s="93">
        <v>41</v>
      </c>
      <c r="R3160" s="93" t="s">
        <v>117</v>
      </c>
      <c r="S3160" s="93" t="s">
        <v>659</v>
      </c>
      <c r="T3160" s="93" t="s">
        <v>115</v>
      </c>
      <c r="U3160" s="93" t="s">
        <v>116</v>
      </c>
      <c r="V3160" s="94">
        <v>44628.535416666666</v>
      </c>
      <c r="W3160" s="93" t="s">
        <v>1170</v>
      </c>
      <c r="X3160" s="93" t="s">
        <v>24</v>
      </c>
    </row>
    <row r="3161" spans="1:24" hidden="1" x14ac:dyDescent="0.15">
      <c r="A3161" s="93" t="s">
        <v>4705</v>
      </c>
      <c r="B3161" s="93" t="s">
        <v>4706</v>
      </c>
      <c r="C3161" s="410">
        <v>2520</v>
      </c>
      <c r="D3161" s="93" t="s">
        <v>9</v>
      </c>
      <c r="E3161" s="93" t="s">
        <v>9</v>
      </c>
      <c r="F3161" s="93" t="s">
        <v>1648</v>
      </c>
      <c r="G3161" s="93" t="s">
        <v>9117</v>
      </c>
      <c r="H3161" s="93" t="s">
        <v>1943</v>
      </c>
      <c r="I3161" s="93" t="s">
        <v>111</v>
      </c>
      <c r="J3161" s="93" t="s">
        <v>963</v>
      </c>
      <c r="K3161" s="93">
        <v>60</v>
      </c>
      <c r="L3161" s="93" t="s">
        <v>111</v>
      </c>
      <c r="M3161" s="93">
        <v>3.9</v>
      </c>
      <c r="N3161" s="93" t="s">
        <v>113</v>
      </c>
      <c r="O3161" s="93">
        <v>12</v>
      </c>
      <c r="P3161" s="93">
        <v>35</v>
      </c>
      <c r="Q3161" s="93">
        <v>41</v>
      </c>
      <c r="R3161" s="93" t="s">
        <v>117</v>
      </c>
      <c r="S3161" s="93" t="s">
        <v>659</v>
      </c>
      <c r="T3161" s="93" t="s">
        <v>115</v>
      </c>
      <c r="U3161" s="93" t="s">
        <v>116</v>
      </c>
      <c r="V3161" s="94">
        <v>44628.635416666664</v>
      </c>
      <c r="W3161" s="93" t="s">
        <v>1170</v>
      </c>
      <c r="X3161" s="93" t="s">
        <v>24</v>
      </c>
    </row>
    <row r="3162" spans="1:24" hidden="1" x14ac:dyDescent="0.15">
      <c r="A3162" s="93" t="s">
        <v>4707</v>
      </c>
      <c r="B3162" s="93" t="s">
        <v>4708</v>
      </c>
      <c r="C3162" s="410">
        <v>682.5</v>
      </c>
      <c r="D3162" s="93" t="s">
        <v>24</v>
      </c>
      <c r="E3162" s="93" t="s">
        <v>24</v>
      </c>
      <c r="F3162" s="93" t="s">
        <v>7070</v>
      </c>
      <c r="G3162" s="93" t="s">
        <v>8237</v>
      </c>
      <c r="H3162" s="93" t="s">
        <v>11</v>
      </c>
      <c r="I3162" s="93" t="s">
        <v>111</v>
      </c>
      <c r="J3162" s="93" t="s">
        <v>963</v>
      </c>
      <c r="K3162" s="93">
        <v>60</v>
      </c>
      <c r="L3162" s="93" t="s">
        <v>111</v>
      </c>
      <c r="M3162" s="93">
        <v>2</v>
      </c>
      <c r="N3162" s="93" t="s">
        <v>113</v>
      </c>
      <c r="O3162" s="93">
        <v>18</v>
      </c>
      <c r="P3162" s="93">
        <v>33</v>
      </c>
      <c r="Q3162" s="93">
        <v>37</v>
      </c>
      <c r="R3162" s="93" t="s">
        <v>117</v>
      </c>
      <c r="S3162" s="93" t="s">
        <v>659</v>
      </c>
      <c r="T3162" s="93" t="s">
        <v>115</v>
      </c>
      <c r="U3162" s="93" t="s">
        <v>116</v>
      </c>
      <c r="V3162" s="94">
        <v>44628.513888888891</v>
      </c>
      <c r="W3162" s="93" t="s">
        <v>1170</v>
      </c>
      <c r="X3162" s="93" t="s">
        <v>24</v>
      </c>
    </row>
    <row r="3163" spans="1:24" hidden="1" x14ac:dyDescent="0.15">
      <c r="A3163" s="93" t="s">
        <v>4709</v>
      </c>
      <c r="B3163" s="93" t="s">
        <v>4710</v>
      </c>
      <c r="C3163" s="410">
        <v>2205</v>
      </c>
      <c r="D3163" s="93" t="s">
        <v>24</v>
      </c>
      <c r="E3163" s="93" t="s">
        <v>24</v>
      </c>
      <c r="F3163" s="93" t="s">
        <v>7070</v>
      </c>
      <c r="G3163" s="93" t="s">
        <v>8237</v>
      </c>
      <c r="H3163" s="93" t="s">
        <v>11</v>
      </c>
      <c r="I3163" s="93" t="s">
        <v>111</v>
      </c>
      <c r="J3163" s="93" t="s">
        <v>1675</v>
      </c>
      <c r="K3163" s="93">
        <v>60</v>
      </c>
      <c r="L3163" s="93" t="s">
        <v>111</v>
      </c>
      <c r="M3163" s="93">
        <v>2</v>
      </c>
      <c r="N3163" s="93" t="s">
        <v>113</v>
      </c>
      <c r="O3163" s="93">
        <v>31</v>
      </c>
      <c r="P3163" s="93">
        <v>31</v>
      </c>
      <c r="Q3163" s="93">
        <v>34.200000000000003</v>
      </c>
      <c r="R3163" s="93" t="s">
        <v>117</v>
      </c>
      <c r="S3163" s="93" t="s">
        <v>659</v>
      </c>
      <c r="T3163" s="93" t="s">
        <v>115</v>
      </c>
      <c r="U3163" s="93" t="s">
        <v>116</v>
      </c>
      <c r="V3163" s="94">
        <v>44628.556250000001</v>
      </c>
      <c r="W3163" s="93" t="s">
        <v>1555</v>
      </c>
      <c r="X3163" s="93" t="s">
        <v>24</v>
      </c>
    </row>
    <row r="3164" spans="1:24" hidden="1" x14ac:dyDescent="0.15">
      <c r="A3164" s="93" t="s">
        <v>4711</v>
      </c>
      <c r="B3164" s="93" t="s">
        <v>4712</v>
      </c>
      <c r="C3164" s="410">
        <v>2205</v>
      </c>
      <c r="D3164" s="93" t="s">
        <v>24</v>
      </c>
      <c r="E3164" s="93" t="s">
        <v>24</v>
      </c>
      <c r="F3164" s="93" t="s">
        <v>7070</v>
      </c>
      <c r="G3164" s="93" t="s">
        <v>8237</v>
      </c>
      <c r="H3164" s="93" t="s">
        <v>11</v>
      </c>
      <c r="I3164" s="93" t="s">
        <v>111</v>
      </c>
      <c r="J3164" s="93" t="s">
        <v>1675</v>
      </c>
      <c r="K3164" s="93">
        <v>60</v>
      </c>
      <c r="L3164" s="93" t="s">
        <v>111</v>
      </c>
      <c r="M3164" s="93">
        <v>2</v>
      </c>
      <c r="N3164" s="93" t="s">
        <v>113</v>
      </c>
      <c r="O3164" s="93">
        <v>30.6</v>
      </c>
      <c r="P3164" s="93">
        <v>30.4</v>
      </c>
      <c r="Q3164" s="93">
        <v>36.700000000000003</v>
      </c>
      <c r="R3164" s="93" t="s">
        <v>117</v>
      </c>
      <c r="S3164" s="93" t="s">
        <v>659</v>
      </c>
      <c r="T3164" s="93" t="s">
        <v>115</v>
      </c>
      <c r="U3164" s="93" t="s">
        <v>116</v>
      </c>
      <c r="V3164" s="94">
        <v>44628.491666666669</v>
      </c>
      <c r="W3164" s="93" t="s">
        <v>1555</v>
      </c>
      <c r="X3164" s="93" t="s">
        <v>24</v>
      </c>
    </row>
    <row r="3165" spans="1:24" hidden="1" x14ac:dyDescent="0.15">
      <c r="A3165" s="93" t="s">
        <v>4713</v>
      </c>
      <c r="B3165" s="93" t="s">
        <v>4714</v>
      </c>
      <c r="C3165" s="410">
        <v>2520</v>
      </c>
      <c r="D3165" s="93" t="s">
        <v>9</v>
      </c>
      <c r="E3165" s="93" t="s">
        <v>9</v>
      </c>
      <c r="F3165" s="93" t="s">
        <v>1648</v>
      </c>
      <c r="G3165" s="93" t="s">
        <v>9117</v>
      </c>
      <c r="H3165" s="93" t="s">
        <v>1943</v>
      </c>
      <c r="I3165" s="93" t="s">
        <v>111</v>
      </c>
      <c r="J3165" s="93" t="s">
        <v>963</v>
      </c>
      <c r="K3165" s="93">
        <v>60</v>
      </c>
      <c r="L3165" s="93" t="s">
        <v>111</v>
      </c>
      <c r="M3165" s="93">
        <v>3.9</v>
      </c>
      <c r="N3165" s="93" t="s">
        <v>113</v>
      </c>
      <c r="O3165" s="93">
        <v>12</v>
      </c>
      <c r="P3165" s="93">
        <v>35</v>
      </c>
      <c r="Q3165" s="93">
        <v>41</v>
      </c>
      <c r="R3165" s="93" t="s">
        <v>117</v>
      </c>
      <c r="S3165" s="93" t="s">
        <v>659</v>
      </c>
      <c r="T3165" s="93" t="s">
        <v>115</v>
      </c>
      <c r="U3165" s="93" t="s">
        <v>116</v>
      </c>
      <c r="V3165" s="94">
        <v>44628.599305555559</v>
      </c>
      <c r="W3165" s="93" t="s">
        <v>1170</v>
      </c>
      <c r="X3165" s="93" t="s">
        <v>24</v>
      </c>
    </row>
    <row r="3166" spans="1:24" hidden="1" x14ac:dyDescent="0.15">
      <c r="A3166" s="93" t="s">
        <v>4715</v>
      </c>
      <c r="B3166" s="93" t="s">
        <v>4716</v>
      </c>
      <c r="C3166" s="410">
        <v>2520</v>
      </c>
      <c r="D3166" s="93" t="s">
        <v>9</v>
      </c>
      <c r="E3166" s="93" t="s">
        <v>9</v>
      </c>
      <c r="F3166" s="93" t="s">
        <v>1648</v>
      </c>
      <c r="G3166" s="93" t="s">
        <v>9117</v>
      </c>
      <c r="H3166" s="93" t="s">
        <v>1943</v>
      </c>
      <c r="I3166" s="93" t="s">
        <v>111</v>
      </c>
      <c r="J3166" s="93" t="s">
        <v>963</v>
      </c>
      <c r="K3166" s="93">
        <v>60</v>
      </c>
      <c r="L3166" s="93" t="s">
        <v>111</v>
      </c>
      <c r="M3166" s="93">
        <v>3.9</v>
      </c>
      <c r="N3166" s="93" t="s">
        <v>113</v>
      </c>
      <c r="O3166" s="93">
        <v>12</v>
      </c>
      <c r="P3166" s="93">
        <v>35</v>
      </c>
      <c r="Q3166" s="93">
        <v>41</v>
      </c>
      <c r="R3166" s="93" t="s">
        <v>117</v>
      </c>
      <c r="S3166" s="93" t="s">
        <v>659</v>
      </c>
      <c r="T3166" s="93" t="s">
        <v>115</v>
      </c>
      <c r="U3166" s="93" t="s">
        <v>116</v>
      </c>
      <c r="V3166" s="94">
        <v>44628.599305555559</v>
      </c>
      <c r="W3166" s="93" t="s">
        <v>1170</v>
      </c>
      <c r="X3166" s="93" t="s">
        <v>24</v>
      </c>
    </row>
    <row r="3167" spans="1:24" hidden="1" x14ac:dyDescent="0.15">
      <c r="A3167" s="93" t="s">
        <v>4717</v>
      </c>
      <c r="B3167" s="93" t="s">
        <v>4718</v>
      </c>
      <c r="C3167" s="410">
        <v>236.25</v>
      </c>
      <c r="D3167" s="93" t="s">
        <v>24</v>
      </c>
      <c r="E3167" s="93" t="s">
        <v>24</v>
      </c>
      <c r="F3167" s="93" t="s">
        <v>7070</v>
      </c>
      <c r="G3167" s="93" t="s">
        <v>8237</v>
      </c>
      <c r="H3167" s="93" t="s">
        <v>11</v>
      </c>
      <c r="I3167" s="93" t="s">
        <v>111</v>
      </c>
      <c r="J3167" s="93" t="s">
        <v>1675</v>
      </c>
      <c r="K3167" s="93">
        <v>60</v>
      </c>
      <c r="L3167" s="93" t="s">
        <v>111</v>
      </c>
      <c r="M3167" s="93">
        <v>3</v>
      </c>
      <c r="N3167" s="93" t="s">
        <v>113</v>
      </c>
      <c r="O3167" s="93">
        <v>8</v>
      </c>
      <c r="P3167" s="93">
        <v>29</v>
      </c>
      <c r="Q3167" s="93">
        <v>20</v>
      </c>
      <c r="R3167" s="93" t="s">
        <v>117</v>
      </c>
      <c r="S3167" s="93" t="s">
        <v>659</v>
      </c>
      <c r="T3167" s="93" t="s">
        <v>115</v>
      </c>
      <c r="U3167" s="93" t="s">
        <v>116</v>
      </c>
      <c r="V3167" s="94">
        <v>44628.513194444444</v>
      </c>
      <c r="W3167" s="93" t="s">
        <v>1555</v>
      </c>
      <c r="X3167" s="93" t="s">
        <v>24</v>
      </c>
    </row>
    <row r="3168" spans="1:24" hidden="1" x14ac:dyDescent="0.15">
      <c r="A3168" s="93" t="s">
        <v>4719</v>
      </c>
      <c r="B3168" s="93" t="s">
        <v>4720</v>
      </c>
      <c r="C3168" s="410">
        <v>1260</v>
      </c>
      <c r="D3168" s="93" t="s">
        <v>24</v>
      </c>
      <c r="E3168" s="93" t="s">
        <v>24</v>
      </c>
      <c r="F3168" s="93" t="s">
        <v>7070</v>
      </c>
      <c r="G3168" s="93" t="s">
        <v>8237</v>
      </c>
      <c r="H3168" s="93" t="s">
        <v>11</v>
      </c>
      <c r="I3168" s="93" t="s">
        <v>111</v>
      </c>
      <c r="J3168" s="93" t="s">
        <v>963</v>
      </c>
      <c r="K3168" s="93">
        <v>60</v>
      </c>
      <c r="L3168" s="93" t="s">
        <v>111</v>
      </c>
      <c r="M3168" s="93">
        <v>3.9</v>
      </c>
      <c r="N3168" s="93" t="s">
        <v>113</v>
      </c>
      <c r="O3168" s="93">
        <v>12</v>
      </c>
      <c r="P3168" s="93">
        <v>35</v>
      </c>
      <c r="Q3168" s="93">
        <v>41</v>
      </c>
      <c r="R3168" s="93" t="s">
        <v>117</v>
      </c>
      <c r="S3168" s="93" t="s">
        <v>659</v>
      </c>
      <c r="T3168" s="93" t="s">
        <v>115</v>
      </c>
      <c r="U3168" s="93" t="s">
        <v>116</v>
      </c>
      <c r="V3168" s="94">
        <v>44628.490972222222</v>
      </c>
      <c r="W3168" s="93" t="s">
        <v>1170</v>
      </c>
      <c r="X3168" s="93" t="s">
        <v>24</v>
      </c>
    </row>
    <row r="3169" spans="1:24" hidden="1" x14ac:dyDescent="0.15">
      <c r="A3169" s="93" t="s">
        <v>4721</v>
      </c>
      <c r="B3169" s="93" t="s">
        <v>4722</v>
      </c>
      <c r="C3169" s="410">
        <v>1680</v>
      </c>
      <c r="D3169" s="93" t="s">
        <v>24</v>
      </c>
      <c r="E3169" s="93" t="s">
        <v>24</v>
      </c>
      <c r="F3169" s="93" t="s">
        <v>7070</v>
      </c>
      <c r="G3169" s="93" t="s">
        <v>8237</v>
      </c>
      <c r="H3169" s="93" t="s">
        <v>11</v>
      </c>
      <c r="I3169" s="93" t="s">
        <v>111</v>
      </c>
      <c r="J3169" s="93" t="s">
        <v>1675</v>
      </c>
      <c r="K3169" s="93">
        <v>60</v>
      </c>
      <c r="L3169" s="93" t="s">
        <v>111</v>
      </c>
      <c r="M3169" s="93">
        <v>2</v>
      </c>
      <c r="N3169" s="93" t="s">
        <v>113</v>
      </c>
      <c r="O3169" s="93">
        <v>30.6</v>
      </c>
      <c r="P3169" s="93">
        <v>30.4</v>
      </c>
      <c r="Q3169" s="93">
        <v>36.700000000000003</v>
      </c>
      <c r="R3169" s="93" t="s">
        <v>117</v>
      </c>
      <c r="S3169" s="93" t="s">
        <v>659</v>
      </c>
      <c r="T3169" s="93" t="s">
        <v>115</v>
      </c>
      <c r="U3169" s="93" t="s">
        <v>116</v>
      </c>
      <c r="V3169" s="94">
        <v>44628.513194444444</v>
      </c>
      <c r="W3169" s="93" t="s">
        <v>1555</v>
      </c>
      <c r="X3169" s="93" t="s">
        <v>24</v>
      </c>
    </row>
    <row r="3170" spans="1:24" hidden="1" x14ac:dyDescent="0.15">
      <c r="A3170" s="93" t="s">
        <v>4723</v>
      </c>
      <c r="B3170" s="93" t="s">
        <v>4724</v>
      </c>
      <c r="C3170" s="410">
        <v>1102.5</v>
      </c>
      <c r="D3170" s="93" t="s">
        <v>24</v>
      </c>
      <c r="E3170" s="93" t="s">
        <v>24</v>
      </c>
      <c r="F3170" s="93" t="s">
        <v>1648</v>
      </c>
      <c r="G3170" s="93" t="s">
        <v>8237</v>
      </c>
      <c r="H3170" s="93" t="s">
        <v>11</v>
      </c>
      <c r="I3170" s="93" t="s">
        <v>111</v>
      </c>
      <c r="J3170" s="93" t="s">
        <v>1675</v>
      </c>
      <c r="K3170" s="93">
        <v>60</v>
      </c>
      <c r="L3170" s="93" t="s">
        <v>111</v>
      </c>
      <c r="M3170" s="93">
        <v>2</v>
      </c>
      <c r="N3170" s="93" t="s">
        <v>113</v>
      </c>
      <c r="O3170" s="93">
        <v>30.6</v>
      </c>
      <c r="P3170" s="93">
        <v>30.4</v>
      </c>
      <c r="Q3170" s="93">
        <v>36.700000000000003</v>
      </c>
      <c r="R3170" s="93" t="s">
        <v>117</v>
      </c>
      <c r="S3170" s="93" t="s">
        <v>659</v>
      </c>
      <c r="T3170" s="93" t="s">
        <v>115</v>
      </c>
      <c r="U3170" s="93" t="s">
        <v>116</v>
      </c>
      <c r="V3170" s="94">
        <v>44628.599305555559</v>
      </c>
      <c r="W3170" s="93" t="s">
        <v>1555</v>
      </c>
      <c r="X3170" s="93" t="s">
        <v>24</v>
      </c>
    </row>
    <row r="3171" spans="1:24" hidden="1" x14ac:dyDescent="0.15">
      <c r="A3171" s="93" t="s">
        <v>4725</v>
      </c>
      <c r="B3171" s="93" t="s">
        <v>4726</v>
      </c>
      <c r="C3171" s="410">
        <v>533.4</v>
      </c>
      <c r="D3171" s="93" t="s">
        <v>24</v>
      </c>
      <c r="E3171" s="93" t="s">
        <v>24</v>
      </c>
      <c r="F3171" s="93" t="s">
        <v>7070</v>
      </c>
      <c r="G3171" s="93" t="s">
        <v>8237</v>
      </c>
      <c r="H3171" s="93" t="s">
        <v>11</v>
      </c>
      <c r="I3171" s="93" t="s">
        <v>111</v>
      </c>
      <c r="J3171" s="93" t="s">
        <v>963</v>
      </c>
      <c r="K3171" s="93">
        <v>60</v>
      </c>
      <c r="L3171" s="93" t="s">
        <v>111</v>
      </c>
      <c r="M3171" s="93">
        <v>2</v>
      </c>
      <c r="N3171" s="93" t="s">
        <v>113</v>
      </c>
      <c r="O3171" s="93">
        <v>25</v>
      </c>
      <c r="P3171" s="93">
        <v>33</v>
      </c>
      <c r="Q3171" s="93">
        <v>25</v>
      </c>
      <c r="R3171" s="93" t="s">
        <v>117</v>
      </c>
      <c r="S3171" s="93" t="s">
        <v>20</v>
      </c>
      <c r="T3171" s="93" t="s">
        <v>115</v>
      </c>
      <c r="U3171" s="93" t="s">
        <v>116</v>
      </c>
      <c r="V3171" s="94">
        <v>44628.599305555559</v>
      </c>
      <c r="W3171" s="93" t="s">
        <v>1170</v>
      </c>
      <c r="X3171" s="93" t="s">
        <v>24</v>
      </c>
    </row>
    <row r="3172" spans="1:24" hidden="1" x14ac:dyDescent="0.15">
      <c r="A3172" s="93" t="s">
        <v>4727</v>
      </c>
      <c r="B3172" s="93" t="s">
        <v>4728</v>
      </c>
      <c r="C3172" s="410">
        <v>533.4</v>
      </c>
      <c r="D3172" s="93" t="s">
        <v>24</v>
      </c>
      <c r="E3172" s="93" t="s">
        <v>24</v>
      </c>
      <c r="F3172" s="93" t="s">
        <v>7070</v>
      </c>
      <c r="G3172" s="93" t="s">
        <v>8237</v>
      </c>
      <c r="H3172" s="93" t="s">
        <v>11</v>
      </c>
      <c r="I3172" s="93" t="s">
        <v>111</v>
      </c>
      <c r="J3172" s="93" t="s">
        <v>963</v>
      </c>
      <c r="K3172" s="93">
        <v>60</v>
      </c>
      <c r="L3172" s="93" t="s">
        <v>111</v>
      </c>
      <c r="M3172" s="93">
        <v>2</v>
      </c>
      <c r="N3172" s="93" t="s">
        <v>113</v>
      </c>
      <c r="O3172" s="93">
        <v>25</v>
      </c>
      <c r="P3172" s="93">
        <v>33</v>
      </c>
      <c r="Q3172" s="93">
        <v>25</v>
      </c>
      <c r="R3172" s="93" t="s">
        <v>117</v>
      </c>
      <c r="S3172" s="93" t="s">
        <v>20</v>
      </c>
      <c r="T3172" s="93" t="s">
        <v>115</v>
      </c>
      <c r="U3172" s="93" t="s">
        <v>116</v>
      </c>
      <c r="V3172" s="94">
        <v>44628.556250000001</v>
      </c>
      <c r="W3172" s="93" t="s">
        <v>1170</v>
      </c>
      <c r="X3172" s="93" t="s">
        <v>24</v>
      </c>
    </row>
    <row r="3173" spans="1:24" hidden="1" x14ac:dyDescent="0.15">
      <c r="A3173" s="93" t="s">
        <v>4729</v>
      </c>
      <c r="B3173" s="93" t="s">
        <v>4730</v>
      </c>
      <c r="C3173" s="410">
        <v>533.4</v>
      </c>
      <c r="D3173" s="93" t="s">
        <v>24</v>
      </c>
      <c r="E3173" s="93" t="s">
        <v>24</v>
      </c>
      <c r="F3173" s="93" t="s">
        <v>7070</v>
      </c>
      <c r="G3173" s="93" t="s">
        <v>8237</v>
      </c>
      <c r="H3173" s="93" t="s">
        <v>11</v>
      </c>
      <c r="I3173" s="93" t="s">
        <v>111</v>
      </c>
      <c r="J3173" s="93" t="s">
        <v>963</v>
      </c>
      <c r="K3173" s="93">
        <v>60</v>
      </c>
      <c r="L3173" s="93" t="s">
        <v>111</v>
      </c>
      <c r="M3173" s="93">
        <v>2</v>
      </c>
      <c r="N3173" s="93" t="s">
        <v>113</v>
      </c>
      <c r="O3173" s="93">
        <v>25</v>
      </c>
      <c r="P3173" s="93">
        <v>33</v>
      </c>
      <c r="Q3173" s="93">
        <v>25</v>
      </c>
      <c r="R3173" s="93" t="s">
        <v>117</v>
      </c>
      <c r="S3173" s="93" t="s">
        <v>20</v>
      </c>
      <c r="T3173" s="93" t="s">
        <v>115</v>
      </c>
      <c r="U3173" s="93" t="s">
        <v>116</v>
      </c>
      <c r="V3173" s="94">
        <v>44628.556250000001</v>
      </c>
      <c r="W3173" s="93" t="s">
        <v>1170</v>
      </c>
      <c r="X3173" s="93" t="s">
        <v>24</v>
      </c>
    </row>
    <row r="3174" spans="1:24" hidden="1" x14ac:dyDescent="0.15">
      <c r="A3174" s="93" t="s">
        <v>4731</v>
      </c>
      <c r="B3174" s="93" t="s">
        <v>4732</v>
      </c>
      <c r="C3174" s="410">
        <v>2520</v>
      </c>
      <c r="D3174" s="93" t="s">
        <v>9</v>
      </c>
      <c r="E3174" s="93" t="s">
        <v>9</v>
      </c>
      <c r="F3174" s="93" t="s">
        <v>1648</v>
      </c>
      <c r="G3174" s="93" t="s">
        <v>9117</v>
      </c>
      <c r="H3174" s="93" t="s">
        <v>1943</v>
      </c>
      <c r="I3174" s="93" t="s">
        <v>111</v>
      </c>
      <c r="J3174" s="93" t="s">
        <v>963</v>
      </c>
      <c r="K3174" s="93">
        <v>60</v>
      </c>
      <c r="L3174" s="93" t="s">
        <v>111</v>
      </c>
      <c r="M3174" s="93">
        <v>3.9</v>
      </c>
      <c r="N3174" s="93" t="s">
        <v>113</v>
      </c>
      <c r="O3174" s="93">
        <v>12</v>
      </c>
      <c r="P3174" s="93">
        <v>35</v>
      </c>
      <c r="Q3174" s="93">
        <v>41</v>
      </c>
      <c r="R3174" s="93" t="s">
        <v>117</v>
      </c>
      <c r="S3174" s="93" t="s">
        <v>659</v>
      </c>
      <c r="T3174" s="93" t="s">
        <v>115</v>
      </c>
      <c r="U3174" s="93" t="s">
        <v>116</v>
      </c>
      <c r="V3174" s="94">
        <v>44628.490972222222</v>
      </c>
      <c r="W3174" s="93" t="s">
        <v>1170</v>
      </c>
      <c r="X3174" s="93" t="s">
        <v>24</v>
      </c>
    </row>
    <row r="3175" spans="1:24" hidden="1" x14ac:dyDescent="0.15">
      <c r="A3175" s="93" t="s">
        <v>4733</v>
      </c>
      <c r="B3175" s="93" t="s">
        <v>4734</v>
      </c>
      <c r="C3175" s="410">
        <v>2520</v>
      </c>
      <c r="D3175" s="93" t="s">
        <v>9</v>
      </c>
      <c r="E3175" s="93" t="s">
        <v>9</v>
      </c>
      <c r="F3175" s="93" t="s">
        <v>1648</v>
      </c>
      <c r="G3175" s="93" t="s">
        <v>9117</v>
      </c>
      <c r="H3175" s="93" t="s">
        <v>1943</v>
      </c>
      <c r="I3175" s="93" t="s">
        <v>111</v>
      </c>
      <c r="J3175" s="93" t="s">
        <v>963</v>
      </c>
      <c r="K3175" s="93">
        <v>60</v>
      </c>
      <c r="L3175" s="93" t="s">
        <v>111</v>
      </c>
      <c r="M3175" s="93">
        <v>3.9</v>
      </c>
      <c r="N3175" s="93" t="s">
        <v>113</v>
      </c>
      <c r="O3175" s="93">
        <v>12</v>
      </c>
      <c r="P3175" s="93">
        <v>35</v>
      </c>
      <c r="Q3175" s="93">
        <v>41</v>
      </c>
      <c r="R3175" s="93" t="s">
        <v>117</v>
      </c>
      <c r="S3175" s="93" t="s">
        <v>659</v>
      </c>
      <c r="T3175" s="93" t="s">
        <v>115</v>
      </c>
      <c r="U3175" s="93" t="s">
        <v>116</v>
      </c>
      <c r="V3175" s="94">
        <v>44628.534722222219</v>
      </c>
      <c r="W3175" s="93" t="s">
        <v>1170</v>
      </c>
      <c r="X3175" s="93" t="s">
        <v>24</v>
      </c>
    </row>
    <row r="3176" spans="1:24" hidden="1" x14ac:dyDescent="0.15">
      <c r="A3176" s="93" t="s">
        <v>4735</v>
      </c>
      <c r="B3176" s="93" t="s">
        <v>4736</v>
      </c>
      <c r="C3176" s="410">
        <v>2520</v>
      </c>
      <c r="D3176" s="93" t="s">
        <v>9</v>
      </c>
      <c r="E3176" s="93" t="s">
        <v>9</v>
      </c>
      <c r="F3176" s="93" t="s">
        <v>1648</v>
      </c>
      <c r="G3176" s="93" t="s">
        <v>9117</v>
      </c>
      <c r="H3176" s="93" t="s">
        <v>1943</v>
      </c>
      <c r="I3176" s="93" t="s">
        <v>111</v>
      </c>
      <c r="J3176" s="93" t="s">
        <v>963</v>
      </c>
      <c r="K3176" s="93">
        <v>60</v>
      </c>
      <c r="L3176" s="93" t="s">
        <v>111</v>
      </c>
      <c r="M3176" s="93">
        <v>3.9</v>
      </c>
      <c r="N3176" s="93" t="s">
        <v>113</v>
      </c>
      <c r="O3176" s="93">
        <v>12</v>
      </c>
      <c r="P3176" s="93">
        <v>35</v>
      </c>
      <c r="Q3176" s="93">
        <v>41</v>
      </c>
      <c r="R3176" s="93" t="s">
        <v>117</v>
      </c>
      <c r="S3176" s="93" t="s">
        <v>659</v>
      </c>
      <c r="T3176" s="93" t="s">
        <v>115</v>
      </c>
      <c r="U3176" s="93" t="s">
        <v>116</v>
      </c>
      <c r="V3176" s="94">
        <v>44628.490972222222</v>
      </c>
      <c r="W3176" s="93" t="s">
        <v>1170</v>
      </c>
      <c r="X3176" s="93" t="s">
        <v>24</v>
      </c>
    </row>
    <row r="3177" spans="1:24" hidden="1" x14ac:dyDescent="0.15">
      <c r="A3177" s="93" t="s">
        <v>4737</v>
      </c>
      <c r="B3177" s="93" t="s">
        <v>4738</v>
      </c>
      <c r="C3177" s="410">
        <v>2520</v>
      </c>
      <c r="D3177" s="93" t="s">
        <v>9</v>
      </c>
      <c r="E3177" s="93" t="s">
        <v>9</v>
      </c>
      <c r="F3177" s="93" t="s">
        <v>1648</v>
      </c>
      <c r="G3177" s="93" t="s">
        <v>9117</v>
      </c>
      <c r="H3177" s="93" t="s">
        <v>1943</v>
      </c>
      <c r="I3177" s="93" t="s">
        <v>111</v>
      </c>
      <c r="J3177" s="93" t="s">
        <v>963</v>
      </c>
      <c r="K3177" s="93">
        <v>60</v>
      </c>
      <c r="L3177" s="93" t="s">
        <v>111</v>
      </c>
      <c r="M3177" s="93">
        <v>3.9</v>
      </c>
      <c r="N3177" s="93" t="s">
        <v>113</v>
      </c>
      <c r="O3177" s="93">
        <v>12</v>
      </c>
      <c r="P3177" s="93">
        <v>35</v>
      </c>
      <c r="Q3177" s="93">
        <v>41</v>
      </c>
      <c r="R3177" s="93" t="s">
        <v>117</v>
      </c>
      <c r="S3177" s="93" t="s">
        <v>659</v>
      </c>
      <c r="T3177" s="93" t="s">
        <v>115</v>
      </c>
      <c r="U3177" s="93" t="s">
        <v>116</v>
      </c>
      <c r="V3177" s="94">
        <v>44628.534722222219</v>
      </c>
      <c r="W3177" s="93" t="s">
        <v>1170</v>
      </c>
      <c r="X3177" s="93" t="s">
        <v>24</v>
      </c>
    </row>
    <row r="3178" spans="1:24" hidden="1" x14ac:dyDescent="0.15">
      <c r="A3178" s="93" t="s">
        <v>4739</v>
      </c>
      <c r="B3178" s="93" t="s">
        <v>4740</v>
      </c>
      <c r="C3178" s="410">
        <v>2520</v>
      </c>
      <c r="D3178" s="93" t="s">
        <v>9</v>
      </c>
      <c r="E3178" s="93" t="s">
        <v>9</v>
      </c>
      <c r="F3178" s="93" t="s">
        <v>1648</v>
      </c>
      <c r="G3178" s="93" t="s">
        <v>9117</v>
      </c>
      <c r="H3178" s="93" t="s">
        <v>1943</v>
      </c>
      <c r="I3178" s="93" t="s">
        <v>111</v>
      </c>
      <c r="J3178" s="93" t="s">
        <v>963</v>
      </c>
      <c r="K3178" s="93">
        <v>60</v>
      </c>
      <c r="L3178" s="93" t="s">
        <v>111</v>
      </c>
      <c r="M3178" s="93">
        <v>3.9</v>
      </c>
      <c r="N3178" s="93" t="s">
        <v>113</v>
      </c>
      <c r="O3178" s="93">
        <v>12</v>
      </c>
      <c r="P3178" s="93">
        <v>35</v>
      </c>
      <c r="Q3178" s="93">
        <v>41</v>
      </c>
      <c r="R3178" s="93" t="s">
        <v>117</v>
      </c>
      <c r="S3178" s="93" t="s">
        <v>659</v>
      </c>
      <c r="T3178" s="93" t="s">
        <v>115</v>
      </c>
      <c r="U3178" s="93" t="s">
        <v>116</v>
      </c>
      <c r="V3178" s="94">
        <v>44628.469444444447</v>
      </c>
      <c r="W3178" s="93" t="s">
        <v>1170</v>
      </c>
      <c r="X3178" s="93" t="s">
        <v>24</v>
      </c>
    </row>
    <row r="3179" spans="1:24" hidden="1" x14ac:dyDescent="0.15">
      <c r="A3179" s="93" t="s">
        <v>4741</v>
      </c>
      <c r="B3179" s="93" t="s">
        <v>4742</v>
      </c>
      <c r="C3179" s="410">
        <v>2520</v>
      </c>
      <c r="D3179" s="93" t="s">
        <v>9</v>
      </c>
      <c r="E3179" s="93" t="s">
        <v>9</v>
      </c>
      <c r="F3179" s="93" t="s">
        <v>1648</v>
      </c>
      <c r="G3179" s="93" t="s">
        <v>9117</v>
      </c>
      <c r="H3179" s="93" t="s">
        <v>1943</v>
      </c>
      <c r="I3179" s="93" t="s">
        <v>111</v>
      </c>
      <c r="J3179" s="93" t="s">
        <v>963</v>
      </c>
      <c r="K3179" s="93">
        <v>60</v>
      </c>
      <c r="L3179" s="93" t="s">
        <v>111</v>
      </c>
      <c r="M3179" s="93">
        <v>3.9</v>
      </c>
      <c r="N3179" s="93" t="s">
        <v>113</v>
      </c>
      <c r="O3179" s="93">
        <v>12</v>
      </c>
      <c r="P3179" s="93">
        <v>35</v>
      </c>
      <c r="Q3179" s="93">
        <v>41</v>
      </c>
      <c r="R3179" s="93" t="s">
        <v>117</v>
      </c>
      <c r="S3179" s="93" t="s">
        <v>659</v>
      </c>
      <c r="T3179" s="93" t="s">
        <v>115</v>
      </c>
      <c r="U3179" s="93" t="s">
        <v>116</v>
      </c>
      <c r="V3179" s="94">
        <v>44628.556250000001</v>
      </c>
      <c r="W3179" s="93" t="s">
        <v>1170</v>
      </c>
      <c r="X3179" s="93" t="s">
        <v>24</v>
      </c>
    </row>
    <row r="3180" spans="1:24" hidden="1" x14ac:dyDescent="0.15">
      <c r="A3180" s="93" t="s">
        <v>4743</v>
      </c>
      <c r="B3180" s="93" t="s">
        <v>4744</v>
      </c>
      <c r="C3180" s="410">
        <v>393.75</v>
      </c>
      <c r="D3180" s="93" t="s">
        <v>24</v>
      </c>
      <c r="E3180" s="93" t="s">
        <v>24</v>
      </c>
      <c r="F3180" s="93" t="s">
        <v>7070</v>
      </c>
      <c r="G3180" s="93" t="s">
        <v>8237</v>
      </c>
      <c r="H3180" s="93" t="s">
        <v>11</v>
      </c>
      <c r="I3180" s="93" t="s">
        <v>111</v>
      </c>
      <c r="J3180" s="93" t="s">
        <v>1675</v>
      </c>
      <c r="K3180" s="93">
        <v>60</v>
      </c>
      <c r="L3180" s="93" t="s">
        <v>111</v>
      </c>
      <c r="M3180" s="93">
        <v>1</v>
      </c>
      <c r="N3180" s="93" t="s">
        <v>113</v>
      </c>
      <c r="O3180" s="93">
        <v>7</v>
      </c>
      <c r="P3180" s="93">
        <v>6</v>
      </c>
      <c r="Q3180" s="93">
        <v>10</v>
      </c>
      <c r="R3180" s="93" t="s">
        <v>117</v>
      </c>
      <c r="S3180" s="93" t="s">
        <v>659</v>
      </c>
      <c r="T3180" s="93" t="s">
        <v>115</v>
      </c>
      <c r="U3180" s="93" t="s">
        <v>116</v>
      </c>
      <c r="V3180" s="94">
        <v>44628.634722222225</v>
      </c>
      <c r="W3180" s="93" t="s">
        <v>1555</v>
      </c>
      <c r="X3180" s="93" t="s">
        <v>24</v>
      </c>
    </row>
    <row r="3181" spans="1:24" hidden="1" x14ac:dyDescent="0.15">
      <c r="A3181" s="93" t="s">
        <v>4745</v>
      </c>
      <c r="B3181" s="93" t="s">
        <v>4746</v>
      </c>
      <c r="C3181" s="410">
        <v>2520</v>
      </c>
      <c r="D3181" s="93" t="s">
        <v>9</v>
      </c>
      <c r="E3181" s="93" t="s">
        <v>9</v>
      </c>
      <c r="F3181" s="93" t="s">
        <v>1648</v>
      </c>
      <c r="G3181" s="93" t="s">
        <v>9117</v>
      </c>
      <c r="H3181" s="93" t="s">
        <v>1943</v>
      </c>
      <c r="I3181" s="93" t="s">
        <v>111</v>
      </c>
      <c r="J3181" s="93" t="s">
        <v>1675</v>
      </c>
      <c r="K3181" s="93">
        <v>60</v>
      </c>
      <c r="L3181" s="93" t="s">
        <v>111</v>
      </c>
      <c r="M3181" s="93">
        <v>3.9</v>
      </c>
      <c r="N3181" s="93" t="s">
        <v>113</v>
      </c>
      <c r="O3181" s="93">
        <v>12</v>
      </c>
      <c r="P3181" s="93">
        <v>35</v>
      </c>
      <c r="Q3181" s="93">
        <v>41</v>
      </c>
      <c r="R3181" s="93" t="s">
        <v>117</v>
      </c>
      <c r="S3181" s="93" t="s">
        <v>659</v>
      </c>
      <c r="T3181" s="93" t="s">
        <v>1659</v>
      </c>
      <c r="U3181" s="93" t="s">
        <v>116</v>
      </c>
      <c r="V3181" s="94">
        <v>44628.489583333336</v>
      </c>
      <c r="W3181" s="93" t="s">
        <v>1555</v>
      </c>
      <c r="X3181" s="93" t="s">
        <v>24</v>
      </c>
    </row>
    <row r="3182" spans="1:24" hidden="1" x14ac:dyDescent="0.15">
      <c r="A3182" s="93" t="s">
        <v>4747</v>
      </c>
      <c r="B3182" s="93" t="s">
        <v>4748</v>
      </c>
      <c r="C3182" s="410">
        <v>2520</v>
      </c>
      <c r="D3182" s="93" t="s">
        <v>9</v>
      </c>
      <c r="E3182" s="93" t="s">
        <v>9</v>
      </c>
      <c r="F3182" s="93" t="s">
        <v>1648</v>
      </c>
      <c r="G3182" s="93" t="s">
        <v>9117</v>
      </c>
      <c r="H3182" s="93" t="s">
        <v>1943</v>
      </c>
      <c r="I3182" s="93" t="s">
        <v>111</v>
      </c>
      <c r="J3182" s="93" t="s">
        <v>1675</v>
      </c>
      <c r="K3182" s="93">
        <v>60</v>
      </c>
      <c r="L3182" s="93" t="s">
        <v>111</v>
      </c>
      <c r="M3182" s="93">
        <v>3.9</v>
      </c>
      <c r="N3182" s="93" t="s">
        <v>113</v>
      </c>
      <c r="O3182" s="93">
        <v>12</v>
      </c>
      <c r="P3182" s="93">
        <v>35</v>
      </c>
      <c r="Q3182" s="93">
        <v>41</v>
      </c>
      <c r="R3182" s="93" t="s">
        <v>117</v>
      </c>
      <c r="S3182" s="93" t="s">
        <v>659</v>
      </c>
      <c r="T3182" s="93" t="s">
        <v>1659</v>
      </c>
      <c r="U3182" s="93" t="s">
        <v>116</v>
      </c>
      <c r="V3182" s="94">
        <v>44628.46875</v>
      </c>
      <c r="W3182" s="93" t="s">
        <v>1555</v>
      </c>
      <c r="X3182" s="93" t="s">
        <v>24</v>
      </c>
    </row>
    <row r="3183" spans="1:24" hidden="1" x14ac:dyDescent="0.15">
      <c r="A3183" s="93" t="s">
        <v>4749</v>
      </c>
      <c r="B3183" s="93" t="s">
        <v>4750</v>
      </c>
      <c r="C3183" s="410">
        <v>761.25</v>
      </c>
      <c r="D3183" s="93" t="s">
        <v>9</v>
      </c>
      <c r="E3183" s="93" t="s">
        <v>9</v>
      </c>
      <c r="F3183" s="93" t="s">
        <v>1648</v>
      </c>
      <c r="G3183" s="93" t="s">
        <v>9117</v>
      </c>
      <c r="H3183" s="93" t="s">
        <v>1943</v>
      </c>
      <c r="I3183" s="93" t="s">
        <v>111</v>
      </c>
      <c r="J3183" s="93" t="s">
        <v>1675</v>
      </c>
      <c r="K3183" s="93">
        <v>60</v>
      </c>
      <c r="L3183" s="93" t="s">
        <v>111</v>
      </c>
      <c r="M3183" s="93">
        <v>3.5</v>
      </c>
      <c r="N3183" s="93" t="s">
        <v>113</v>
      </c>
      <c r="O3183" s="93">
        <v>10</v>
      </c>
      <c r="P3183" s="93">
        <v>30</v>
      </c>
      <c r="Q3183" s="93">
        <v>34</v>
      </c>
      <c r="R3183" s="93" t="s">
        <v>117</v>
      </c>
      <c r="S3183" s="93" t="s">
        <v>659</v>
      </c>
      <c r="T3183" s="93" t="s">
        <v>115</v>
      </c>
      <c r="U3183" s="93" t="s">
        <v>116</v>
      </c>
      <c r="V3183" s="94">
        <v>44628.533333333333</v>
      </c>
      <c r="W3183" s="93" t="s">
        <v>1555</v>
      </c>
      <c r="X3183" s="93" t="s">
        <v>24</v>
      </c>
    </row>
    <row r="3184" spans="1:24" hidden="1" x14ac:dyDescent="0.15">
      <c r="A3184" s="93" t="s">
        <v>4751</v>
      </c>
      <c r="B3184" s="93" t="s">
        <v>4752</v>
      </c>
      <c r="C3184" s="410">
        <v>761.25</v>
      </c>
      <c r="D3184" s="93" t="s">
        <v>9</v>
      </c>
      <c r="E3184" s="93" t="s">
        <v>9</v>
      </c>
      <c r="F3184" s="93" t="s">
        <v>1648</v>
      </c>
      <c r="G3184" s="93" t="s">
        <v>9117</v>
      </c>
      <c r="H3184" s="93" t="s">
        <v>1943</v>
      </c>
      <c r="I3184" s="93" t="s">
        <v>111</v>
      </c>
      <c r="J3184" s="93" t="s">
        <v>1675</v>
      </c>
      <c r="K3184" s="93">
        <v>60</v>
      </c>
      <c r="L3184" s="93" t="s">
        <v>111</v>
      </c>
      <c r="M3184" s="93">
        <v>3.5</v>
      </c>
      <c r="N3184" s="93" t="s">
        <v>113</v>
      </c>
      <c r="O3184" s="93">
        <v>10</v>
      </c>
      <c r="P3184" s="93">
        <v>30</v>
      </c>
      <c r="Q3184" s="93">
        <v>34</v>
      </c>
      <c r="R3184" s="93" t="s">
        <v>117</v>
      </c>
      <c r="S3184" s="93" t="s">
        <v>659</v>
      </c>
      <c r="T3184" s="93" t="s">
        <v>115</v>
      </c>
      <c r="U3184" s="93" t="s">
        <v>116</v>
      </c>
      <c r="V3184" s="94">
        <v>44628.46875</v>
      </c>
      <c r="W3184" s="93" t="s">
        <v>1555</v>
      </c>
      <c r="X3184" s="93" t="s">
        <v>24</v>
      </c>
    </row>
    <row r="3185" spans="1:24" hidden="1" x14ac:dyDescent="0.15">
      <c r="A3185" s="93" t="s">
        <v>4753</v>
      </c>
      <c r="B3185" s="93" t="s">
        <v>4754</v>
      </c>
      <c r="C3185" s="410">
        <v>761.25</v>
      </c>
      <c r="D3185" s="93" t="s">
        <v>9</v>
      </c>
      <c r="E3185" s="93" t="s">
        <v>9</v>
      </c>
      <c r="F3185" s="93" t="s">
        <v>1648</v>
      </c>
      <c r="G3185" s="93" t="s">
        <v>9117</v>
      </c>
      <c r="H3185" s="93" t="s">
        <v>1943</v>
      </c>
      <c r="I3185" s="93" t="s">
        <v>111</v>
      </c>
      <c r="J3185" s="93" t="s">
        <v>1675</v>
      </c>
      <c r="K3185" s="93">
        <v>60</v>
      </c>
      <c r="L3185" s="93" t="s">
        <v>111</v>
      </c>
      <c r="M3185" s="93">
        <v>3.5</v>
      </c>
      <c r="N3185" s="93" t="s">
        <v>113</v>
      </c>
      <c r="O3185" s="93">
        <v>10</v>
      </c>
      <c r="P3185" s="93">
        <v>30</v>
      </c>
      <c r="Q3185" s="93">
        <v>34</v>
      </c>
      <c r="R3185" s="93" t="s">
        <v>117</v>
      </c>
      <c r="S3185" s="93" t="s">
        <v>659</v>
      </c>
      <c r="T3185" s="93" t="s">
        <v>115</v>
      </c>
      <c r="U3185" s="93" t="s">
        <v>116</v>
      </c>
      <c r="V3185" s="94">
        <v>44628.633333333331</v>
      </c>
      <c r="W3185" s="93" t="s">
        <v>1555</v>
      </c>
      <c r="X3185" s="93" t="s">
        <v>24</v>
      </c>
    </row>
    <row r="3186" spans="1:24" hidden="1" x14ac:dyDescent="0.15">
      <c r="A3186" s="93" t="s">
        <v>4755</v>
      </c>
      <c r="B3186" s="93" t="s">
        <v>4756</v>
      </c>
      <c r="C3186" s="410">
        <v>761.25</v>
      </c>
      <c r="D3186" s="93" t="s">
        <v>9</v>
      </c>
      <c r="E3186" s="93" t="s">
        <v>9</v>
      </c>
      <c r="F3186" s="93" t="s">
        <v>1648</v>
      </c>
      <c r="G3186" s="93" t="s">
        <v>9117</v>
      </c>
      <c r="H3186" s="93" t="s">
        <v>1943</v>
      </c>
      <c r="I3186" s="93" t="s">
        <v>111</v>
      </c>
      <c r="J3186" s="93" t="s">
        <v>1675</v>
      </c>
      <c r="K3186" s="93">
        <v>60</v>
      </c>
      <c r="L3186" s="93" t="s">
        <v>111</v>
      </c>
      <c r="M3186" s="93">
        <v>3.5</v>
      </c>
      <c r="N3186" s="93" t="s">
        <v>113</v>
      </c>
      <c r="O3186" s="93">
        <v>10</v>
      </c>
      <c r="P3186" s="93">
        <v>30</v>
      </c>
      <c r="Q3186" s="93">
        <v>34</v>
      </c>
      <c r="R3186" s="93" t="s">
        <v>117</v>
      </c>
      <c r="S3186" s="93" t="s">
        <v>659</v>
      </c>
      <c r="T3186" s="93" t="s">
        <v>115</v>
      </c>
      <c r="U3186" s="93" t="s">
        <v>116</v>
      </c>
      <c r="V3186" s="94">
        <v>44628.46875</v>
      </c>
      <c r="W3186" s="93" t="s">
        <v>1555</v>
      </c>
      <c r="X3186" s="93" t="s">
        <v>24</v>
      </c>
    </row>
    <row r="3187" spans="1:24" hidden="1" x14ac:dyDescent="0.15">
      <c r="A3187" s="93" t="s">
        <v>4757</v>
      </c>
      <c r="B3187" s="93" t="s">
        <v>4758</v>
      </c>
      <c r="C3187" s="410">
        <v>761.25</v>
      </c>
      <c r="D3187" s="93" t="s">
        <v>9</v>
      </c>
      <c r="E3187" s="93" t="s">
        <v>9</v>
      </c>
      <c r="F3187" s="93" t="s">
        <v>1648</v>
      </c>
      <c r="G3187" s="93" t="s">
        <v>9117</v>
      </c>
      <c r="H3187" s="93" t="s">
        <v>1943</v>
      </c>
      <c r="I3187" s="93" t="s">
        <v>111</v>
      </c>
      <c r="J3187" s="93" t="s">
        <v>1675</v>
      </c>
      <c r="K3187" s="93">
        <v>60</v>
      </c>
      <c r="L3187" s="93" t="s">
        <v>111</v>
      </c>
      <c r="M3187" s="93">
        <v>3.5</v>
      </c>
      <c r="N3187" s="93" t="s">
        <v>113</v>
      </c>
      <c r="O3187" s="93">
        <v>10</v>
      </c>
      <c r="P3187" s="93">
        <v>30</v>
      </c>
      <c r="Q3187" s="93">
        <v>34</v>
      </c>
      <c r="R3187" s="93" t="s">
        <v>117</v>
      </c>
      <c r="S3187" s="93" t="s">
        <v>659</v>
      </c>
      <c r="T3187" s="93" t="s">
        <v>115</v>
      </c>
      <c r="U3187" s="93" t="s">
        <v>116</v>
      </c>
      <c r="V3187" s="94">
        <v>44628.633333333331</v>
      </c>
      <c r="W3187" s="93" t="s">
        <v>1555</v>
      </c>
      <c r="X3187" s="93" t="s">
        <v>24</v>
      </c>
    </row>
    <row r="3188" spans="1:24" hidden="1" x14ac:dyDescent="0.15">
      <c r="A3188" s="93" t="s">
        <v>4759</v>
      </c>
      <c r="B3188" s="93" t="s">
        <v>4760</v>
      </c>
      <c r="C3188" s="410">
        <v>761.25</v>
      </c>
      <c r="D3188" s="93" t="s">
        <v>9</v>
      </c>
      <c r="E3188" s="93" t="s">
        <v>9</v>
      </c>
      <c r="F3188" s="93" t="s">
        <v>1648</v>
      </c>
      <c r="G3188" s="93" t="s">
        <v>9117</v>
      </c>
      <c r="H3188" s="93" t="s">
        <v>1943</v>
      </c>
      <c r="I3188" s="93" t="s">
        <v>111</v>
      </c>
      <c r="J3188" s="93" t="s">
        <v>1675</v>
      </c>
      <c r="K3188" s="93">
        <v>60</v>
      </c>
      <c r="L3188" s="93" t="s">
        <v>111</v>
      </c>
      <c r="M3188" s="93">
        <v>3.5</v>
      </c>
      <c r="N3188" s="93" t="s">
        <v>113</v>
      </c>
      <c r="O3188" s="93">
        <v>10</v>
      </c>
      <c r="P3188" s="93">
        <v>30</v>
      </c>
      <c r="Q3188" s="93">
        <v>34</v>
      </c>
      <c r="R3188" s="93" t="s">
        <v>117</v>
      </c>
      <c r="S3188" s="93" t="s">
        <v>659</v>
      </c>
      <c r="T3188" s="93" t="s">
        <v>115</v>
      </c>
      <c r="U3188" s="93" t="s">
        <v>116</v>
      </c>
      <c r="V3188" s="94">
        <v>44628.576388888891</v>
      </c>
      <c r="W3188" s="93" t="s">
        <v>1555</v>
      </c>
      <c r="X3188" s="93" t="s">
        <v>24</v>
      </c>
    </row>
    <row r="3189" spans="1:24" hidden="1" x14ac:dyDescent="0.15">
      <c r="A3189" s="93" t="s">
        <v>4761</v>
      </c>
      <c r="B3189" s="93" t="s">
        <v>4762</v>
      </c>
      <c r="C3189" s="410">
        <v>761.25</v>
      </c>
      <c r="D3189" s="93" t="s">
        <v>9</v>
      </c>
      <c r="E3189" s="93" t="s">
        <v>9</v>
      </c>
      <c r="F3189" s="93" t="s">
        <v>1648</v>
      </c>
      <c r="G3189" s="93" t="s">
        <v>9117</v>
      </c>
      <c r="H3189" s="93" t="s">
        <v>1943</v>
      </c>
      <c r="I3189" s="93" t="s">
        <v>111</v>
      </c>
      <c r="J3189" s="93" t="s">
        <v>1675</v>
      </c>
      <c r="K3189" s="93">
        <v>60</v>
      </c>
      <c r="L3189" s="93" t="s">
        <v>111</v>
      </c>
      <c r="M3189" s="93">
        <v>3.5</v>
      </c>
      <c r="N3189" s="93" t="s">
        <v>113</v>
      </c>
      <c r="O3189" s="93">
        <v>10</v>
      </c>
      <c r="P3189" s="93">
        <v>30</v>
      </c>
      <c r="Q3189" s="93">
        <v>34</v>
      </c>
      <c r="R3189" s="93" t="s">
        <v>117</v>
      </c>
      <c r="S3189" s="93" t="s">
        <v>659</v>
      </c>
      <c r="T3189" s="93" t="s">
        <v>115</v>
      </c>
      <c r="U3189" s="93" t="s">
        <v>116</v>
      </c>
      <c r="V3189" s="94">
        <v>44628.511805555558</v>
      </c>
      <c r="W3189" s="93" t="s">
        <v>1555</v>
      </c>
      <c r="X3189" s="93" t="s">
        <v>24</v>
      </c>
    </row>
    <row r="3190" spans="1:24" hidden="1" x14ac:dyDescent="0.15">
      <c r="A3190" s="93" t="s">
        <v>4763</v>
      </c>
      <c r="B3190" s="93" t="s">
        <v>4764</v>
      </c>
      <c r="C3190" s="410">
        <v>761.25</v>
      </c>
      <c r="D3190" s="93" t="s">
        <v>9</v>
      </c>
      <c r="E3190" s="93" t="s">
        <v>9</v>
      </c>
      <c r="F3190" s="93" t="s">
        <v>1648</v>
      </c>
      <c r="G3190" s="93" t="s">
        <v>9117</v>
      </c>
      <c r="H3190" s="93" t="s">
        <v>1943</v>
      </c>
      <c r="I3190" s="93" t="s">
        <v>111</v>
      </c>
      <c r="J3190" s="93" t="s">
        <v>1675</v>
      </c>
      <c r="K3190" s="93">
        <v>60</v>
      </c>
      <c r="L3190" s="93" t="s">
        <v>111</v>
      </c>
      <c r="M3190" s="93">
        <v>3.5</v>
      </c>
      <c r="N3190" s="93" t="s">
        <v>113</v>
      </c>
      <c r="O3190" s="93">
        <v>10</v>
      </c>
      <c r="P3190" s="93">
        <v>30</v>
      </c>
      <c r="Q3190" s="93">
        <v>34</v>
      </c>
      <c r="R3190" s="93" t="s">
        <v>117</v>
      </c>
      <c r="S3190" s="93" t="s">
        <v>659</v>
      </c>
      <c r="T3190" s="93" t="s">
        <v>115</v>
      </c>
      <c r="U3190" s="93" t="s">
        <v>116</v>
      </c>
      <c r="V3190" s="94">
        <v>44628.533333333333</v>
      </c>
      <c r="W3190" s="93" t="s">
        <v>1555</v>
      </c>
      <c r="X3190" s="93" t="s">
        <v>24</v>
      </c>
    </row>
    <row r="3191" spans="1:24" hidden="1" x14ac:dyDescent="0.15">
      <c r="A3191" s="93" t="s">
        <v>4765</v>
      </c>
      <c r="B3191" s="93" t="s">
        <v>4766</v>
      </c>
      <c r="C3191" s="410">
        <v>761.25</v>
      </c>
      <c r="D3191" s="93" t="s">
        <v>9</v>
      </c>
      <c r="E3191" s="93" t="s">
        <v>9</v>
      </c>
      <c r="F3191" s="93" t="s">
        <v>1648</v>
      </c>
      <c r="G3191" s="93" t="s">
        <v>9117</v>
      </c>
      <c r="H3191" s="93" t="s">
        <v>1943</v>
      </c>
      <c r="I3191" s="93" t="s">
        <v>111</v>
      </c>
      <c r="J3191" s="93" t="s">
        <v>1675</v>
      </c>
      <c r="K3191" s="93">
        <v>60</v>
      </c>
      <c r="L3191" s="93" t="s">
        <v>111</v>
      </c>
      <c r="M3191" s="93">
        <v>3.5</v>
      </c>
      <c r="N3191" s="93" t="s">
        <v>113</v>
      </c>
      <c r="O3191" s="93">
        <v>10</v>
      </c>
      <c r="P3191" s="93">
        <v>30</v>
      </c>
      <c r="Q3191" s="93">
        <v>34</v>
      </c>
      <c r="R3191" s="93" t="s">
        <v>117</v>
      </c>
      <c r="S3191" s="93" t="s">
        <v>659</v>
      </c>
      <c r="T3191" s="93" t="s">
        <v>115</v>
      </c>
      <c r="U3191" s="93" t="s">
        <v>116</v>
      </c>
      <c r="V3191" s="94">
        <v>44628.576388888891</v>
      </c>
      <c r="W3191" s="93" t="s">
        <v>1555</v>
      </c>
      <c r="X3191" s="93" t="s">
        <v>24</v>
      </c>
    </row>
    <row r="3192" spans="1:24" hidden="1" x14ac:dyDescent="0.15">
      <c r="A3192" s="93" t="s">
        <v>4767</v>
      </c>
      <c r="B3192" s="93" t="s">
        <v>4768</v>
      </c>
      <c r="C3192" s="410">
        <v>761.25</v>
      </c>
      <c r="D3192" s="93" t="s">
        <v>9</v>
      </c>
      <c r="E3192" s="93" t="s">
        <v>9</v>
      </c>
      <c r="F3192" s="93" t="s">
        <v>1648</v>
      </c>
      <c r="G3192" s="93" t="s">
        <v>9117</v>
      </c>
      <c r="H3192" s="93" t="s">
        <v>1943</v>
      </c>
      <c r="I3192" s="93" t="s">
        <v>111</v>
      </c>
      <c r="J3192" s="93" t="s">
        <v>1675</v>
      </c>
      <c r="K3192" s="93">
        <v>60</v>
      </c>
      <c r="L3192" s="93" t="s">
        <v>111</v>
      </c>
      <c r="M3192" s="93">
        <v>3.5</v>
      </c>
      <c r="N3192" s="93" t="s">
        <v>113</v>
      </c>
      <c r="O3192" s="93">
        <v>10</v>
      </c>
      <c r="P3192" s="93">
        <v>30</v>
      </c>
      <c r="Q3192" s="93">
        <v>34</v>
      </c>
      <c r="R3192" s="93" t="s">
        <v>117</v>
      </c>
      <c r="S3192" s="93" t="s">
        <v>659</v>
      </c>
      <c r="T3192" s="93" t="s">
        <v>115</v>
      </c>
      <c r="U3192" s="93" t="s">
        <v>116</v>
      </c>
      <c r="V3192" s="94">
        <v>44628.576388888891</v>
      </c>
      <c r="W3192" s="93" t="s">
        <v>1555</v>
      </c>
      <c r="X3192" s="93" t="s">
        <v>24</v>
      </c>
    </row>
    <row r="3193" spans="1:24" hidden="1" x14ac:dyDescent="0.15">
      <c r="A3193" s="93" t="s">
        <v>4769</v>
      </c>
      <c r="B3193" s="93" t="s">
        <v>4770</v>
      </c>
      <c r="C3193" s="410">
        <v>761.25</v>
      </c>
      <c r="D3193" s="93" t="s">
        <v>9</v>
      </c>
      <c r="E3193" s="93" t="s">
        <v>9</v>
      </c>
      <c r="F3193" s="93" t="s">
        <v>1648</v>
      </c>
      <c r="G3193" s="93" t="s">
        <v>9117</v>
      </c>
      <c r="H3193" s="93" t="s">
        <v>1943</v>
      </c>
      <c r="I3193" s="93" t="s">
        <v>111</v>
      </c>
      <c r="J3193" s="93" t="s">
        <v>1675</v>
      </c>
      <c r="K3193" s="93">
        <v>60</v>
      </c>
      <c r="L3193" s="93" t="s">
        <v>111</v>
      </c>
      <c r="M3193" s="93">
        <v>3.5</v>
      </c>
      <c r="N3193" s="93" t="s">
        <v>113</v>
      </c>
      <c r="O3193" s="93">
        <v>10</v>
      </c>
      <c r="P3193" s="93">
        <v>30</v>
      </c>
      <c r="Q3193" s="93">
        <v>34</v>
      </c>
      <c r="R3193" s="93" t="s">
        <v>117</v>
      </c>
      <c r="S3193" s="93" t="s">
        <v>659</v>
      </c>
      <c r="T3193" s="93" t="s">
        <v>115</v>
      </c>
      <c r="U3193" s="93" t="s">
        <v>116</v>
      </c>
      <c r="V3193" s="94">
        <v>44628.489583333336</v>
      </c>
      <c r="W3193" s="93" t="s">
        <v>1555</v>
      </c>
      <c r="X3193" s="93" t="s">
        <v>24</v>
      </c>
    </row>
    <row r="3194" spans="1:24" hidden="1" x14ac:dyDescent="0.15">
      <c r="A3194" s="93" t="s">
        <v>4771</v>
      </c>
      <c r="B3194" s="93" t="s">
        <v>4772</v>
      </c>
      <c r="C3194" s="410">
        <v>761.25</v>
      </c>
      <c r="D3194" s="93" t="s">
        <v>9</v>
      </c>
      <c r="E3194" s="93" t="s">
        <v>9</v>
      </c>
      <c r="F3194" s="93" t="s">
        <v>1648</v>
      </c>
      <c r="G3194" s="93" t="s">
        <v>9117</v>
      </c>
      <c r="H3194" s="93" t="s">
        <v>1943</v>
      </c>
      <c r="I3194" s="93" t="s">
        <v>111</v>
      </c>
      <c r="J3194" s="93" t="s">
        <v>1675</v>
      </c>
      <c r="K3194" s="93">
        <v>60</v>
      </c>
      <c r="L3194" s="93" t="s">
        <v>111</v>
      </c>
      <c r="M3194" s="93">
        <v>3.5</v>
      </c>
      <c r="N3194" s="93" t="s">
        <v>113</v>
      </c>
      <c r="O3194" s="93">
        <v>10</v>
      </c>
      <c r="P3194" s="93">
        <v>30</v>
      </c>
      <c r="Q3194" s="93">
        <v>34</v>
      </c>
      <c r="R3194" s="93" t="s">
        <v>117</v>
      </c>
      <c r="S3194" s="93" t="s">
        <v>659</v>
      </c>
      <c r="T3194" s="93" t="s">
        <v>115</v>
      </c>
      <c r="U3194" s="93" t="s">
        <v>116</v>
      </c>
      <c r="V3194" s="94">
        <v>44628.554861111108</v>
      </c>
      <c r="W3194" s="93" t="s">
        <v>1555</v>
      </c>
      <c r="X3194" s="93" t="s">
        <v>24</v>
      </c>
    </row>
    <row r="3195" spans="1:24" hidden="1" x14ac:dyDescent="0.15">
      <c r="A3195" s="93" t="s">
        <v>4773</v>
      </c>
      <c r="B3195" s="93" t="s">
        <v>4774</v>
      </c>
      <c r="C3195" s="410">
        <v>761.25</v>
      </c>
      <c r="D3195" s="93" t="s">
        <v>9</v>
      </c>
      <c r="E3195" s="93" t="s">
        <v>9</v>
      </c>
      <c r="F3195" s="93" t="s">
        <v>1648</v>
      </c>
      <c r="G3195" s="93" t="s">
        <v>9117</v>
      </c>
      <c r="H3195" s="93" t="s">
        <v>1943</v>
      </c>
      <c r="I3195" s="93" t="s">
        <v>111</v>
      </c>
      <c r="J3195" s="93" t="s">
        <v>1675</v>
      </c>
      <c r="K3195" s="93">
        <v>60</v>
      </c>
      <c r="L3195" s="93" t="s">
        <v>111</v>
      </c>
      <c r="M3195" s="93">
        <v>3.5</v>
      </c>
      <c r="N3195" s="93" t="s">
        <v>113</v>
      </c>
      <c r="O3195" s="93">
        <v>10</v>
      </c>
      <c r="P3195" s="93">
        <v>30</v>
      </c>
      <c r="Q3195" s="93">
        <v>34</v>
      </c>
      <c r="R3195" s="93" t="s">
        <v>117</v>
      </c>
      <c r="S3195" s="93" t="s">
        <v>659</v>
      </c>
      <c r="T3195" s="93" t="s">
        <v>115</v>
      </c>
      <c r="U3195" s="93" t="s">
        <v>116</v>
      </c>
      <c r="V3195" s="94">
        <v>44628.576388888891</v>
      </c>
      <c r="W3195" s="93" t="s">
        <v>1555</v>
      </c>
      <c r="X3195" s="93" t="s">
        <v>24</v>
      </c>
    </row>
    <row r="3196" spans="1:24" hidden="1" x14ac:dyDescent="0.15">
      <c r="A3196" s="93" t="s">
        <v>4775</v>
      </c>
      <c r="B3196" s="93" t="s">
        <v>4776</v>
      </c>
      <c r="C3196" s="410">
        <v>761.25</v>
      </c>
      <c r="D3196" s="93" t="s">
        <v>9</v>
      </c>
      <c r="E3196" s="93" t="s">
        <v>9</v>
      </c>
      <c r="F3196" s="93" t="s">
        <v>1648</v>
      </c>
      <c r="G3196" s="93" t="s">
        <v>9117</v>
      </c>
      <c r="H3196" s="93" t="s">
        <v>1943</v>
      </c>
      <c r="I3196" s="93" t="s">
        <v>111</v>
      </c>
      <c r="J3196" s="93" t="s">
        <v>1675</v>
      </c>
      <c r="K3196" s="93">
        <v>60</v>
      </c>
      <c r="L3196" s="93" t="s">
        <v>111</v>
      </c>
      <c r="M3196" s="93">
        <v>3.5</v>
      </c>
      <c r="N3196" s="93" t="s">
        <v>113</v>
      </c>
      <c r="O3196" s="93">
        <v>10</v>
      </c>
      <c r="P3196" s="93">
        <v>30</v>
      </c>
      <c r="Q3196" s="93">
        <v>34</v>
      </c>
      <c r="R3196" s="93" t="s">
        <v>117</v>
      </c>
      <c r="S3196" s="93" t="s">
        <v>659</v>
      </c>
      <c r="T3196" s="93" t="s">
        <v>115</v>
      </c>
      <c r="U3196" s="93" t="s">
        <v>116</v>
      </c>
      <c r="V3196" s="94">
        <v>44628.576388888891</v>
      </c>
      <c r="W3196" s="93" t="s">
        <v>1555</v>
      </c>
      <c r="X3196" s="93" t="s">
        <v>24</v>
      </c>
    </row>
    <row r="3197" spans="1:24" hidden="1" x14ac:dyDescent="0.15">
      <c r="A3197" s="93" t="s">
        <v>4777</v>
      </c>
      <c r="B3197" s="93" t="s">
        <v>4778</v>
      </c>
      <c r="C3197" s="410">
        <v>761.25</v>
      </c>
      <c r="D3197" s="93" t="s">
        <v>9</v>
      </c>
      <c r="E3197" s="93" t="s">
        <v>9</v>
      </c>
      <c r="F3197" s="93" t="s">
        <v>1648</v>
      </c>
      <c r="G3197" s="93" t="s">
        <v>9117</v>
      </c>
      <c r="H3197" s="93" t="s">
        <v>1943</v>
      </c>
      <c r="I3197" s="93" t="s">
        <v>111</v>
      </c>
      <c r="J3197" s="93" t="s">
        <v>1675</v>
      </c>
      <c r="K3197" s="93">
        <v>60</v>
      </c>
      <c r="L3197" s="93" t="s">
        <v>111</v>
      </c>
      <c r="M3197" s="93">
        <v>3.5</v>
      </c>
      <c r="N3197" s="93" t="s">
        <v>113</v>
      </c>
      <c r="O3197" s="93">
        <v>10</v>
      </c>
      <c r="P3197" s="93">
        <v>30</v>
      </c>
      <c r="Q3197" s="93">
        <v>34</v>
      </c>
      <c r="R3197" s="93" t="s">
        <v>117</v>
      </c>
      <c r="S3197" s="93" t="s">
        <v>659</v>
      </c>
      <c r="T3197" s="93" t="s">
        <v>115</v>
      </c>
      <c r="U3197" s="93" t="s">
        <v>116</v>
      </c>
      <c r="V3197" s="94">
        <v>44628.489583333336</v>
      </c>
      <c r="W3197" s="93" t="s">
        <v>1555</v>
      </c>
      <c r="X3197" s="93" t="s">
        <v>24</v>
      </c>
    </row>
    <row r="3198" spans="1:24" hidden="1" x14ac:dyDescent="0.15">
      <c r="A3198" s="93" t="s">
        <v>4779</v>
      </c>
      <c r="B3198" s="93" t="s">
        <v>4780</v>
      </c>
      <c r="C3198" s="410">
        <v>761.25</v>
      </c>
      <c r="D3198" s="93" t="s">
        <v>9</v>
      </c>
      <c r="E3198" s="93" t="s">
        <v>9</v>
      </c>
      <c r="F3198" s="93" t="s">
        <v>1648</v>
      </c>
      <c r="G3198" s="93" t="s">
        <v>9117</v>
      </c>
      <c r="H3198" s="93" t="s">
        <v>1943</v>
      </c>
      <c r="I3198" s="93" t="s">
        <v>111</v>
      </c>
      <c r="J3198" s="93" t="s">
        <v>1675</v>
      </c>
      <c r="K3198" s="93">
        <v>60</v>
      </c>
      <c r="L3198" s="93" t="s">
        <v>111</v>
      </c>
      <c r="M3198" s="93">
        <v>3.5</v>
      </c>
      <c r="N3198" s="93" t="s">
        <v>113</v>
      </c>
      <c r="O3198" s="93">
        <v>10</v>
      </c>
      <c r="P3198" s="93">
        <v>30</v>
      </c>
      <c r="Q3198" s="93">
        <v>34</v>
      </c>
      <c r="R3198" s="93" t="s">
        <v>117</v>
      </c>
      <c r="S3198" s="93" t="s">
        <v>659</v>
      </c>
      <c r="T3198" s="93" t="s">
        <v>115</v>
      </c>
      <c r="U3198" s="93" t="s">
        <v>116</v>
      </c>
      <c r="V3198" s="94">
        <v>44628.533333333333</v>
      </c>
      <c r="W3198" s="93" t="s">
        <v>1555</v>
      </c>
      <c r="X3198" s="93" t="s">
        <v>24</v>
      </c>
    </row>
    <row r="3199" spans="1:24" hidden="1" x14ac:dyDescent="0.15">
      <c r="A3199" s="93" t="s">
        <v>4781</v>
      </c>
      <c r="B3199" s="93" t="s">
        <v>4782</v>
      </c>
      <c r="C3199" s="410">
        <v>210</v>
      </c>
      <c r="D3199" s="93" t="s">
        <v>24</v>
      </c>
      <c r="E3199" s="93" t="s">
        <v>24</v>
      </c>
      <c r="F3199" s="93" t="s">
        <v>7070</v>
      </c>
      <c r="G3199" s="93" t="s">
        <v>8237</v>
      </c>
      <c r="H3199" s="93" t="s">
        <v>11</v>
      </c>
      <c r="I3199" s="93" t="s">
        <v>111</v>
      </c>
      <c r="J3199" s="93" t="s">
        <v>963</v>
      </c>
      <c r="K3199" s="93">
        <v>60</v>
      </c>
      <c r="L3199" s="93">
        <v>1</v>
      </c>
      <c r="M3199" s="93">
        <v>0.1</v>
      </c>
      <c r="N3199" s="93" t="s">
        <v>113</v>
      </c>
      <c r="O3199" s="93">
        <v>4</v>
      </c>
      <c r="P3199" s="93">
        <v>6</v>
      </c>
      <c r="Q3199" s="93">
        <v>8</v>
      </c>
      <c r="R3199" s="93" t="s">
        <v>117</v>
      </c>
      <c r="S3199" s="93" t="s">
        <v>659</v>
      </c>
      <c r="T3199" s="93" t="s">
        <v>115</v>
      </c>
      <c r="U3199" s="93" t="s">
        <v>116</v>
      </c>
      <c r="V3199" s="94">
        <v>44628.532638888886</v>
      </c>
      <c r="W3199" s="93" t="s">
        <v>1555</v>
      </c>
      <c r="X3199" s="93" t="s">
        <v>24</v>
      </c>
    </row>
    <row r="3200" spans="1:24" hidden="1" x14ac:dyDescent="0.15">
      <c r="A3200" s="93" t="s">
        <v>9443</v>
      </c>
      <c r="B3200" s="93" t="s">
        <v>9444</v>
      </c>
      <c r="C3200" s="410">
        <v>2520</v>
      </c>
      <c r="D3200" s="93" t="s">
        <v>9</v>
      </c>
      <c r="E3200" s="93" t="s">
        <v>9</v>
      </c>
      <c r="F3200" s="93" t="s">
        <v>1648</v>
      </c>
      <c r="G3200" s="93" t="s">
        <v>9117</v>
      </c>
      <c r="H3200" s="93" t="s">
        <v>1943</v>
      </c>
      <c r="I3200" s="93" t="s">
        <v>111</v>
      </c>
      <c r="J3200" s="93" t="s">
        <v>1675</v>
      </c>
      <c r="K3200" s="93">
        <v>60</v>
      </c>
      <c r="L3200" s="93">
        <v>1</v>
      </c>
      <c r="M3200" s="93">
        <v>3.9</v>
      </c>
      <c r="N3200" s="93" t="s">
        <v>113</v>
      </c>
      <c r="O3200" s="93">
        <v>35</v>
      </c>
      <c r="P3200" s="93">
        <v>12</v>
      </c>
      <c r="Q3200" s="93">
        <v>41</v>
      </c>
      <c r="R3200" s="93" t="s">
        <v>117</v>
      </c>
      <c r="S3200" s="93" t="s">
        <v>659</v>
      </c>
      <c r="T3200" s="93" t="s">
        <v>115</v>
      </c>
      <c r="U3200" s="93" t="s">
        <v>116</v>
      </c>
      <c r="V3200" s="94">
        <v>44628.632638888892</v>
      </c>
      <c r="W3200" s="93" t="s">
        <v>1170</v>
      </c>
      <c r="X3200" s="93" t="s">
        <v>24</v>
      </c>
    </row>
    <row r="3201" spans="1:24" hidden="1" x14ac:dyDescent="0.15">
      <c r="A3201" s="93" t="s">
        <v>9445</v>
      </c>
      <c r="B3201" s="93" t="s">
        <v>9446</v>
      </c>
      <c r="C3201" s="410">
        <v>2520</v>
      </c>
      <c r="D3201" s="93" t="s">
        <v>9</v>
      </c>
      <c r="E3201" s="93" t="s">
        <v>9</v>
      </c>
      <c r="F3201" s="93" t="s">
        <v>1648</v>
      </c>
      <c r="G3201" s="93" t="s">
        <v>9117</v>
      </c>
      <c r="H3201" s="93" t="s">
        <v>1943</v>
      </c>
      <c r="I3201" s="93" t="s">
        <v>111</v>
      </c>
      <c r="J3201" s="93" t="s">
        <v>1675</v>
      </c>
      <c r="K3201" s="93">
        <v>60</v>
      </c>
      <c r="L3201" s="93">
        <v>1</v>
      </c>
      <c r="M3201" s="93">
        <v>3.9</v>
      </c>
      <c r="N3201" s="93" t="s">
        <v>113</v>
      </c>
      <c r="O3201" s="93">
        <v>35</v>
      </c>
      <c r="P3201" s="93">
        <v>12</v>
      </c>
      <c r="Q3201" s="93">
        <v>41</v>
      </c>
      <c r="R3201" s="93" t="s">
        <v>117</v>
      </c>
      <c r="S3201" s="93" t="s">
        <v>659</v>
      </c>
      <c r="T3201" s="93" t="s">
        <v>115</v>
      </c>
      <c r="U3201" s="93" t="s">
        <v>116</v>
      </c>
      <c r="V3201" s="94">
        <v>44628.467361111114</v>
      </c>
      <c r="W3201" s="93" t="s">
        <v>1170</v>
      </c>
      <c r="X3201" s="93" t="s">
        <v>24</v>
      </c>
    </row>
    <row r="3202" spans="1:24" hidden="1" x14ac:dyDescent="0.15">
      <c r="A3202" s="93" t="s">
        <v>4783</v>
      </c>
      <c r="B3202" s="93" t="s">
        <v>4784</v>
      </c>
      <c r="C3202" s="410">
        <v>661.5</v>
      </c>
      <c r="D3202" s="93" t="s">
        <v>24</v>
      </c>
      <c r="E3202" s="93" t="s">
        <v>24</v>
      </c>
      <c r="F3202" s="93" t="s">
        <v>7070</v>
      </c>
      <c r="G3202" s="93" t="s">
        <v>8237</v>
      </c>
      <c r="H3202" s="93" t="s">
        <v>11</v>
      </c>
      <c r="I3202" s="93" t="s">
        <v>111</v>
      </c>
      <c r="J3202" s="93" t="s">
        <v>390</v>
      </c>
      <c r="K3202" s="93">
        <v>80</v>
      </c>
      <c r="L3202" s="93" t="s">
        <v>111</v>
      </c>
      <c r="M3202" s="93">
        <v>0.2</v>
      </c>
      <c r="N3202" s="93" t="s">
        <v>111</v>
      </c>
      <c r="O3202" s="93">
        <v>8</v>
      </c>
      <c r="P3202" s="93">
        <v>12</v>
      </c>
      <c r="Q3202" s="93">
        <v>19</v>
      </c>
      <c r="R3202" s="93" t="s">
        <v>117</v>
      </c>
      <c r="S3202" s="93" t="s">
        <v>20</v>
      </c>
      <c r="T3202" s="93" t="s">
        <v>115</v>
      </c>
      <c r="U3202" s="93" t="s">
        <v>116</v>
      </c>
      <c r="V3202" s="94">
        <v>44628.509027777778</v>
      </c>
      <c r="W3202" s="93" t="s">
        <v>1170</v>
      </c>
      <c r="X3202" s="93" t="s">
        <v>24</v>
      </c>
    </row>
    <row r="3203" spans="1:24" hidden="1" x14ac:dyDescent="0.15">
      <c r="A3203" s="93" t="s">
        <v>9447</v>
      </c>
      <c r="B3203" s="93" t="s">
        <v>9448</v>
      </c>
      <c r="C3203" s="410">
        <v>678.3</v>
      </c>
      <c r="D3203" s="93" t="s">
        <v>9</v>
      </c>
      <c r="E3203" s="93" t="s">
        <v>9</v>
      </c>
      <c r="F3203" s="93" t="s">
        <v>1648</v>
      </c>
      <c r="G3203" s="93" t="s">
        <v>9183</v>
      </c>
      <c r="H3203" s="93" t="s">
        <v>1943</v>
      </c>
      <c r="I3203" s="93" t="s">
        <v>111</v>
      </c>
      <c r="J3203" s="93" t="s">
        <v>963</v>
      </c>
      <c r="K3203" s="93">
        <v>60</v>
      </c>
      <c r="L3203" s="93" t="s">
        <v>111</v>
      </c>
      <c r="M3203" s="93">
        <v>2</v>
      </c>
      <c r="N3203" s="93" t="s">
        <v>111</v>
      </c>
      <c r="O3203" s="93">
        <v>11.5</v>
      </c>
      <c r="P3203" s="93">
        <v>35</v>
      </c>
      <c r="Q3203" s="93">
        <v>40</v>
      </c>
      <c r="R3203" s="93" t="s">
        <v>123</v>
      </c>
      <c r="S3203" s="93" t="s">
        <v>659</v>
      </c>
      <c r="T3203" s="93" t="s">
        <v>115</v>
      </c>
      <c r="U3203" s="93" t="s">
        <v>116</v>
      </c>
      <c r="V3203" s="94">
        <v>44628.552083333336</v>
      </c>
      <c r="W3203" s="93" t="s">
        <v>1170</v>
      </c>
      <c r="X3203" s="93" t="s">
        <v>9</v>
      </c>
    </row>
    <row r="3204" spans="1:24" hidden="1" x14ac:dyDescent="0.15">
      <c r="A3204" s="93" t="s">
        <v>9449</v>
      </c>
      <c r="B3204" s="93" t="s">
        <v>9450</v>
      </c>
      <c r="C3204" s="410">
        <v>678.3</v>
      </c>
      <c r="D3204" s="93" t="s">
        <v>9</v>
      </c>
      <c r="E3204" s="93" t="s">
        <v>9</v>
      </c>
      <c r="F3204" s="93" t="s">
        <v>1648</v>
      </c>
      <c r="G3204" s="93" t="s">
        <v>9183</v>
      </c>
      <c r="H3204" s="93" t="s">
        <v>1943</v>
      </c>
      <c r="I3204" s="93" t="s">
        <v>111</v>
      </c>
      <c r="J3204" s="93" t="s">
        <v>963</v>
      </c>
      <c r="K3204" s="93">
        <v>60</v>
      </c>
      <c r="L3204" s="93" t="s">
        <v>111</v>
      </c>
      <c r="M3204" s="93">
        <v>2</v>
      </c>
      <c r="N3204" s="93" t="s">
        <v>111</v>
      </c>
      <c r="O3204" s="93">
        <v>11.5</v>
      </c>
      <c r="P3204" s="93">
        <v>35</v>
      </c>
      <c r="Q3204" s="93">
        <v>40</v>
      </c>
      <c r="R3204" s="93" t="s">
        <v>123</v>
      </c>
      <c r="S3204" s="93" t="s">
        <v>659</v>
      </c>
      <c r="T3204" s="93" t="s">
        <v>115</v>
      </c>
      <c r="U3204" s="93" t="s">
        <v>116</v>
      </c>
      <c r="V3204" s="94">
        <v>44628.629861111112</v>
      </c>
      <c r="W3204" s="93" t="s">
        <v>1170</v>
      </c>
      <c r="X3204" s="93" t="s">
        <v>9</v>
      </c>
    </row>
    <row r="3205" spans="1:24" hidden="1" x14ac:dyDescent="0.15">
      <c r="A3205" s="93" t="s">
        <v>9451</v>
      </c>
      <c r="B3205" s="93" t="s">
        <v>9452</v>
      </c>
      <c r="C3205" s="410">
        <v>678.3</v>
      </c>
      <c r="D3205" s="93" t="s">
        <v>9</v>
      </c>
      <c r="E3205" s="93" t="s">
        <v>9</v>
      </c>
      <c r="F3205" s="93" t="s">
        <v>1648</v>
      </c>
      <c r="G3205" s="93" t="s">
        <v>9183</v>
      </c>
      <c r="H3205" s="93" t="s">
        <v>1943</v>
      </c>
      <c r="I3205" s="93" t="s">
        <v>111</v>
      </c>
      <c r="J3205" s="93" t="s">
        <v>963</v>
      </c>
      <c r="K3205" s="93">
        <v>60</v>
      </c>
      <c r="L3205" s="93" t="s">
        <v>111</v>
      </c>
      <c r="M3205" s="93">
        <v>2</v>
      </c>
      <c r="N3205" s="93" t="s">
        <v>111</v>
      </c>
      <c r="O3205" s="93">
        <v>11.5</v>
      </c>
      <c r="P3205" s="93">
        <v>35</v>
      </c>
      <c r="Q3205" s="93">
        <v>40</v>
      </c>
      <c r="R3205" s="93" t="s">
        <v>123</v>
      </c>
      <c r="S3205" s="93" t="s">
        <v>659</v>
      </c>
      <c r="T3205" s="93" t="s">
        <v>115</v>
      </c>
      <c r="U3205" s="93" t="s">
        <v>116</v>
      </c>
      <c r="V3205" s="94">
        <v>44628.552083333336</v>
      </c>
      <c r="W3205" s="93" t="s">
        <v>1170</v>
      </c>
      <c r="X3205" s="93" t="s">
        <v>24</v>
      </c>
    </row>
    <row r="3206" spans="1:24" hidden="1" x14ac:dyDescent="0.15">
      <c r="A3206" s="93" t="s">
        <v>9453</v>
      </c>
      <c r="B3206" s="93" t="s">
        <v>9454</v>
      </c>
      <c r="C3206" s="410">
        <v>678.3</v>
      </c>
      <c r="D3206" s="93" t="s">
        <v>9</v>
      </c>
      <c r="E3206" s="93" t="s">
        <v>9</v>
      </c>
      <c r="F3206" s="93" t="s">
        <v>1648</v>
      </c>
      <c r="G3206" s="93" t="s">
        <v>9183</v>
      </c>
      <c r="H3206" s="93" t="s">
        <v>1943</v>
      </c>
      <c r="I3206" s="93" t="s">
        <v>111</v>
      </c>
      <c r="J3206" s="93" t="s">
        <v>963</v>
      </c>
      <c r="K3206" s="93">
        <v>60</v>
      </c>
      <c r="L3206" s="93" t="s">
        <v>111</v>
      </c>
      <c r="M3206" s="93">
        <v>2</v>
      </c>
      <c r="N3206" s="93" t="s">
        <v>111</v>
      </c>
      <c r="O3206" s="93">
        <v>11.5</v>
      </c>
      <c r="P3206" s="93">
        <v>35</v>
      </c>
      <c r="Q3206" s="93">
        <v>40</v>
      </c>
      <c r="R3206" s="93" t="s">
        <v>123</v>
      </c>
      <c r="S3206" s="93" t="s">
        <v>659</v>
      </c>
      <c r="T3206" s="93" t="s">
        <v>115</v>
      </c>
      <c r="U3206" s="93" t="s">
        <v>116</v>
      </c>
      <c r="V3206" s="94">
        <v>44628.508333333331</v>
      </c>
      <c r="W3206" s="93" t="s">
        <v>1170</v>
      </c>
      <c r="X3206" s="93" t="s">
        <v>24</v>
      </c>
    </row>
    <row r="3207" spans="1:24" hidden="1" x14ac:dyDescent="0.15">
      <c r="A3207" s="93" t="s">
        <v>9455</v>
      </c>
      <c r="B3207" s="93" t="s">
        <v>9456</v>
      </c>
      <c r="C3207" s="410">
        <v>678.3</v>
      </c>
      <c r="D3207" s="93" t="s">
        <v>9</v>
      </c>
      <c r="E3207" s="93" t="s">
        <v>9</v>
      </c>
      <c r="F3207" s="93" t="s">
        <v>1648</v>
      </c>
      <c r="G3207" s="93" t="s">
        <v>9183</v>
      </c>
      <c r="H3207" s="93" t="s">
        <v>1943</v>
      </c>
      <c r="I3207" s="93" t="s">
        <v>111</v>
      </c>
      <c r="J3207" s="93" t="s">
        <v>963</v>
      </c>
      <c r="K3207" s="93">
        <v>60</v>
      </c>
      <c r="L3207" s="93" t="s">
        <v>111</v>
      </c>
      <c r="M3207" s="93">
        <v>2</v>
      </c>
      <c r="N3207" s="93" t="s">
        <v>111</v>
      </c>
      <c r="O3207" s="93">
        <v>11.5</v>
      </c>
      <c r="P3207" s="93">
        <v>35</v>
      </c>
      <c r="Q3207" s="93">
        <v>40</v>
      </c>
      <c r="R3207" s="93" t="s">
        <v>123</v>
      </c>
      <c r="S3207" s="93" t="s">
        <v>659</v>
      </c>
      <c r="T3207" s="93" t="s">
        <v>115</v>
      </c>
      <c r="U3207" s="93" t="s">
        <v>116</v>
      </c>
      <c r="V3207" s="94">
        <v>44628.465277777781</v>
      </c>
      <c r="W3207" s="93" t="s">
        <v>1170</v>
      </c>
      <c r="X3207" s="93" t="s">
        <v>9</v>
      </c>
    </row>
    <row r="3208" spans="1:24" hidden="1" x14ac:dyDescent="0.15">
      <c r="A3208" s="93" t="s">
        <v>9457</v>
      </c>
      <c r="B3208" s="93" t="s">
        <v>9458</v>
      </c>
      <c r="C3208" s="410">
        <v>678.3</v>
      </c>
      <c r="D3208" s="93" t="s">
        <v>9</v>
      </c>
      <c r="E3208" s="93" t="s">
        <v>9</v>
      </c>
      <c r="F3208" s="93" t="s">
        <v>1648</v>
      </c>
      <c r="G3208" s="93" t="s">
        <v>9183</v>
      </c>
      <c r="H3208" s="93" t="s">
        <v>1943</v>
      </c>
      <c r="I3208" s="93" t="s">
        <v>111</v>
      </c>
      <c r="J3208" s="93" t="s">
        <v>963</v>
      </c>
      <c r="K3208" s="93">
        <v>60</v>
      </c>
      <c r="L3208" s="93" t="s">
        <v>111</v>
      </c>
      <c r="M3208" s="93">
        <v>2</v>
      </c>
      <c r="N3208" s="93" t="s">
        <v>111</v>
      </c>
      <c r="O3208" s="93">
        <v>11.5</v>
      </c>
      <c r="P3208" s="93">
        <v>35</v>
      </c>
      <c r="Q3208" s="93">
        <v>40</v>
      </c>
      <c r="R3208" s="93" t="s">
        <v>123</v>
      </c>
      <c r="S3208" s="93" t="s">
        <v>659</v>
      </c>
      <c r="T3208" s="93" t="s">
        <v>115</v>
      </c>
      <c r="U3208" s="93" t="s">
        <v>116</v>
      </c>
      <c r="V3208" s="94">
        <v>44628.487500000003</v>
      </c>
      <c r="W3208" s="93" t="s">
        <v>1170</v>
      </c>
      <c r="X3208" s="93" t="s">
        <v>9</v>
      </c>
    </row>
    <row r="3209" spans="1:24" hidden="1" x14ac:dyDescent="0.15">
      <c r="A3209" s="93" t="s">
        <v>9459</v>
      </c>
      <c r="B3209" s="93" t="s">
        <v>9460</v>
      </c>
      <c r="C3209" s="410">
        <v>678.3</v>
      </c>
      <c r="D3209" s="93" t="s">
        <v>9</v>
      </c>
      <c r="E3209" s="93" t="s">
        <v>9</v>
      </c>
      <c r="F3209" s="93" t="s">
        <v>1648</v>
      </c>
      <c r="G3209" s="93" t="s">
        <v>9183</v>
      </c>
      <c r="H3209" s="93" t="s">
        <v>1943</v>
      </c>
      <c r="I3209" s="93" t="s">
        <v>111</v>
      </c>
      <c r="J3209" s="93" t="s">
        <v>963</v>
      </c>
      <c r="K3209" s="93">
        <v>60</v>
      </c>
      <c r="L3209" s="93" t="s">
        <v>111</v>
      </c>
      <c r="M3209" s="93">
        <v>2</v>
      </c>
      <c r="N3209" s="93" t="s">
        <v>111</v>
      </c>
      <c r="O3209" s="93">
        <v>11.5</v>
      </c>
      <c r="P3209" s="93">
        <v>35</v>
      </c>
      <c r="Q3209" s="93">
        <v>40</v>
      </c>
      <c r="R3209" s="93" t="s">
        <v>123</v>
      </c>
      <c r="S3209" s="93" t="s">
        <v>659</v>
      </c>
      <c r="T3209" s="93" t="s">
        <v>115</v>
      </c>
      <c r="U3209" s="93" t="s">
        <v>116</v>
      </c>
      <c r="V3209" s="94">
        <v>44628.529861111114</v>
      </c>
      <c r="W3209" s="93" t="s">
        <v>1170</v>
      </c>
      <c r="X3209" s="93" t="s">
        <v>24</v>
      </c>
    </row>
    <row r="3210" spans="1:24" hidden="1" x14ac:dyDescent="0.15">
      <c r="A3210" s="93" t="s">
        <v>9461</v>
      </c>
      <c r="B3210" s="93" t="s">
        <v>9462</v>
      </c>
      <c r="C3210" s="410">
        <v>678.3</v>
      </c>
      <c r="D3210" s="93" t="s">
        <v>9</v>
      </c>
      <c r="E3210" s="93" t="s">
        <v>9</v>
      </c>
      <c r="F3210" s="93" t="s">
        <v>1648</v>
      </c>
      <c r="G3210" s="93" t="s">
        <v>9183</v>
      </c>
      <c r="H3210" s="93" t="s">
        <v>1943</v>
      </c>
      <c r="I3210" s="93" t="s">
        <v>111</v>
      </c>
      <c r="J3210" s="93" t="s">
        <v>963</v>
      </c>
      <c r="K3210" s="93">
        <v>60</v>
      </c>
      <c r="L3210" s="93" t="s">
        <v>111</v>
      </c>
      <c r="M3210" s="93">
        <v>2</v>
      </c>
      <c r="N3210" s="93" t="s">
        <v>111</v>
      </c>
      <c r="O3210" s="93">
        <v>11.5</v>
      </c>
      <c r="P3210" s="93">
        <v>35</v>
      </c>
      <c r="Q3210" s="93">
        <v>40</v>
      </c>
      <c r="R3210" s="93" t="s">
        <v>123</v>
      </c>
      <c r="S3210" s="93" t="s">
        <v>659</v>
      </c>
      <c r="T3210" s="93" t="s">
        <v>115</v>
      </c>
      <c r="U3210" s="93" t="s">
        <v>116</v>
      </c>
      <c r="V3210" s="94">
        <v>44628.508333333331</v>
      </c>
      <c r="W3210" s="93" t="s">
        <v>1170</v>
      </c>
      <c r="X3210" s="93" t="s">
        <v>24</v>
      </c>
    </row>
    <row r="3211" spans="1:24" hidden="1" x14ac:dyDescent="0.15">
      <c r="A3211" s="93" t="s">
        <v>9463</v>
      </c>
      <c r="B3211" s="93" t="s">
        <v>9464</v>
      </c>
      <c r="C3211" s="410">
        <v>678.3</v>
      </c>
      <c r="D3211" s="93" t="s">
        <v>9</v>
      </c>
      <c r="E3211" s="93" t="s">
        <v>9</v>
      </c>
      <c r="F3211" s="93" t="s">
        <v>1648</v>
      </c>
      <c r="G3211" s="93" t="s">
        <v>9183</v>
      </c>
      <c r="H3211" s="93" t="s">
        <v>1943</v>
      </c>
      <c r="I3211" s="93" t="s">
        <v>111</v>
      </c>
      <c r="J3211" s="93" t="s">
        <v>963</v>
      </c>
      <c r="K3211" s="93">
        <v>60</v>
      </c>
      <c r="L3211" s="93" t="s">
        <v>111</v>
      </c>
      <c r="M3211" s="93">
        <v>2</v>
      </c>
      <c r="N3211" s="93" t="s">
        <v>111</v>
      </c>
      <c r="O3211" s="93">
        <v>11.5</v>
      </c>
      <c r="P3211" s="93">
        <v>35</v>
      </c>
      <c r="Q3211" s="93">
        <v>40</v>
      </c>
      <c r="R3211" s="93" t="s">
        <v>123</v>
      </c>
      <c r="S3211" s="93" t="s">
        <v>659</v>
      </c>
      <c r="T3211" s="93" t="s">
        <v>115</v>
      </c>
      <c r="U3211" s="93" t="s">
        <v>116</v>
      </c>
      <c r="V3211" s="94">
        <v>44628.486805555556</v>
      </c>
      <c r="W3211" s="93" t="s">
        <v>1170</v>
      </c>
      <c r="X3211" s="93" t="s">
        <v>24</v>
      </c>
    </row>
    <row r="3212" spans="1:24" hidden="1" x14ac:dyDescent="0.15">
      <c r="A3212" s="93" t="s">
        <v>9465</v>
      </c>
      <c r="B3212" s="93" t="s">
        <v>9466</v>
      </c>
      <c r="C3212" s="410">
        <v>678.3</v>
      </c>
      <c r="D3212" s="93" t="s">
        <v>9</v>
      </c>
      <c r="E3212" s="93" t="s">
        <v>9</v>
      </c>
      <c r="F3212" s="93" t="s">
        <v>1648</v>
      </c>
      <c r="G3212" s="93" t="s">
        <v>9183</v>
      </c>
      <c r="H3212" s="93" t="s">
        <v>1943</v>
      </c>
      <c r="I3212" s="93" t="s">
        <v>111</v>
      </c>
      <c r="J3212" s="93" t="s">
        <v>963</v>
      </c>
      <c r="K3212" s="93">
        <v>60</v>
      </c>
      <c r="L3212" s="93" t="s">
        <v>111</v>
      </c>
      <c r="M3212" s="93">
        <v>2</v>
      </c>
      <c r="N3212" s="93" t="s">
        <v>111</v>
      </c>
      <c r="O3212" s="93">
        <v>11.5</v>
      </c>
      <c r="P3212" s="93">
        <v>35</v>
      </c>
      <c r="Q3212" s="93">
        <v>40</v>
      </c>
      <c r="R3212" s="93" t="s">
        <v>123</v>
      </c>
      <c r="S3212" s="93" t="s">
        <v>659</v>
      </c>
      <c r="T3212" s="93" t="s">
        <v>115</v>
      </c>
      <c r="U3212" s="93" t="s">
        <v>116</v>
      </c>
      <c r="V3212" s="94">
        <v>44628.529861111114</v>
      </c>
      <c r="W3212" s="93" t="s">
        <v>1170</v>
      </c>
      <c r="X3212" s="93" t="s">
        <v>24</v>
      </c>
    </row>
    <row r="3213" spans="1:24" hidden="1" x14ac:dyDescent="0.15">
      <c r="A3213" s="93" t="s">
        <v>9467</v>
      </c>
      <c r="B3213" s="93" t="s">
        <v>9468</v>
      </c>
      <c r="C3213" s="410">
        <v>678.3</v>
      </c>
      <c r="D3213" s="93" t="s">
        <v>9</v>
      </c>
      <c r="E3213" s="93" t="s">
        <v>9</v>
      </c>
      <c r="F3213" s="93" t="s">
        <v>1648</v>
      </c>
      <c r="G3213" s="93" t="s">
        <v>9183</v>
      </c>
      <c r="H3213" s="93" t="s">
        <v>1943</v>
      </c>
      <c r="I3213" s="93" t="s">
        <v>111</v>
      </c>
      <c r="J3213" s="93" t="s">
        <v>963</v>
      </c>
      <c r="K3213" s="93">
        <v>60</v>
      </c>
      <c r="L3213" s="93" t="s">
        <v>111</v>
      </c>
      <c r="M3213" s="93">
        <v>2</v>
      </c>
      <c r="N3213" s="93" t="s">
        <v>111</v>
      </c>
      <c r="O3213" s="93">
        <v>11.5</v>
      </c>
      <c r="P3213" s="93">
        <v>35</v>
      </c>
      <c r="Q3213" s="93">
        <v>40</v>
      </c>
      <c r="R3213" s="93" t="s">
        <v>123</v>
      </c>
      <c r="S3213" s="93" t="s">
        <v>659</v>
      </c>
      <c r="T3213" s="93" t="s">
        <v>115</v>
      </c>
      <c r="U3213" s="93" t="s">
        <v>116</v>
      </c>
      <c r="V3213" s="94">
        <v>44628.595138888886</v>
      </c>
      <c r="W3213" s="93" t="s">
        <v>1170</v>
      </c>
      <c r="X3213" s="93" t="s">
        <v>24</v>
      </c>
    </row>
    <row r="3214" spans="1:24" hidden="1" x14ac:dyDescent="0.15">
      <c r="A3214" s="93" t="s">
        <v>9469</v>
      </c>
      <c r="B3214" s="93" t="s">
        <v>9470</v>
      </c>
      <c r="C3214" s="410">
        <v>678.3</v>
      </c>
      <c r="D3214" s="93" t="s">
        <v>9</v>
      </c>
      <c r="E3214" s="93" t="s">
        <v>9</v>
      </c>
      <c r="F3214" s="93" t="s">
        <v>1648</v>
      </c>
      <c r="G3214" s="93" t="s">
        <v>9183</v>
      </c>
      <c r="H3214" s="93" t="s">
        <v>1943</v>
      </c>
      <c r="I3214" s="93" t="s">
        <v>111</v>
      </c>
      <c r="J3214" s="93" t="s">
        <v>963</v>
      </c>
      <c r="K3214" s="93">
        <v>60</v>
      </c>
      <c r="L3214" s="93" t="s">
        <v>111</v>
      </c>
      <c r="M3214" s="93">
        <v>2</v>
      </c>
      <c r="N3214" s="93" t="s">
        <v>111</v>
      </c>
      <c r="O3214" s="93">
        <v>11.5</v>
      </c>
      <c r="P3214" s="93">
        <v>35</v>
      </c>
      <c r="Q3214" s="93">
        <v>40</v>
      </c>
      <c r="R3214" s="93" t="s">
        <v>123</v>
      </c>
      <c r="S3214" s="93" t="s">
        <v>659</v>
      </c>
      <c r="T3214" s="93" t="s">
        <v>115</v>
      </c>
      <c r="U3214" s="93" t="s">
        <v>116</v>
      </c>
      <c r="V3214" s="94">
        <v>44628.629861111112</v>
      </c>
      <c r="W3214" s="93" t="s">
        <v>1170</v>
      </c>
      <c r="X3214" s="93" t="s">
        <v>24</v>
      </c>
    </row>
    <row r="3215" spans="1:24" hidden="1" x14ac:dyDescent="0.15">
      <c r="A3215" s="93" t="s">
        <v>9471</v>
      </c>
      <c r="B3215" s="93" t="s">
        <v>9472</v>
      </c>
      <c r="C3215" s="410">
        <v>678.3</v>
      </c>
      <c r="D3215" s="93" t="s">
        <v>9</v>
      </c>
      <c r="E3215" s="93" t="s">
        <v>9</v>
      </c>
      <c r="F3215" s="93" t="s">
        <v>1648</v>
      </c>
      <c r="G3215" s="93" t="s">
        <v>9183</v>
      </c>
      <c r="H3215" s="93" t="s">
        <v>1943</v>
      </c>
      <c r="I3215" s="93" t="s">
        <v>111</v>
      </c>
      <c r="J3215" s="93" t="s">
        <v>963</v>
      </c>
      <c r="K3215" s="93">
        <v>60</v>
      </c>
      <c r="L3215" s="93" t="s">
        <v>111</v>
      </c>
      <c r="M3215" s="93">
        <v>2</v>
      </c>
      <c r="N3215" s="93" t="s">
        <v>111</v>
      </c>
      <c r="O3215" s="93">
        <v>11.5</v>
      </c>
      <c r="P3215" s="93">
        <v>35</v>
      </c>
      <c r="Q3215" s="93">
        <v>40</v>
      </c>
      <c r="R3215" s="93" t="s">
        <v>123</v>
      </c>
      <c r="S3215" s="93" t="s">
        <v>659</v>
      </c>
      <c r="T3215" s="93" t="s">
        <v>115</v>
      </c>
      <c r="U3215" s="93" t="s">
        <v>116</v>
      </c>
      <c r="V3215" s="94">
        <v>44628.629861111112</v>
      </c>
      <c r="W3215" s="93" t="s">
        <v>1170</v>
      </c>
      <c r="X3215" s="93" t="s">
        <v>24</v>
      </c>
    </row>
    <row r="3216" spans="1:24" hidden="1" x14ac:dyDescent="0.15">
      <c r="A3216" s="93" t="s">
        <v>9473</v>
      </c>
      <c r="B3216" s="93" t="s">
        <v>9474</v>
      </c>
      <c r="C3216" s="410">
        <v>678.3</v>
      </c>
      <c r="D3216" s="93" t="s">
        <v>9</v>
      </c>
      <c r="E3216" s="93" t="s">
        <v>9</v>
      </c>
      <c r="F3216" s="93" t="s">
        <v>1648</v>
      </c>
      <c r="G3216" s="93" t="s">
        <v>9183</v>
      </c>
      <c r="H3216" s="93" t="s">
        <v>1943</v>
      </c>
      <c r="I3216" s="93" t="s">
        <v>111</v>
      </c>
      <c r="J3216" s="93" t="s">
        <v>963</v>
      </c>
      <c r="K3216" s="93">
        <v>60</v>
      </c>
      <c r="L3216" s="93" t="s">
        <v>111</v>
      </c>
      <c r="M3216" s="93">
        <v>2</v>
      </c>
      <c r="N3216" s="93" t="s">
        <v>111</v>
      </c>
      <c r="O3216" s="93">
        <v>11.5</v>
      </c>
      <c r="P3216" s="93">
        <v>35</v>
      </c>
      <c r="Q3216" s="93">
        <v>40</v>
      </c>
      <c r="R3216" s="93" t="s">
        <v>123</v>
      </c>
      <c r="S3216" s="93" t="s">
        <v>659</v>
      </c>
      <c r="T3216" s="93" t="s">
        <v>115</v>
      </c>
      <c r="U3216" s="93" t="s">
        <v>116</v>
      </c>
      <c r="V3216" s="94">
        <v>44628.529861111114</v>
      </c>
      <c r="W3216" s="93" t="s">
        <v>1170</v>
      </c>
      <c r="X3216" s="93" t="s">
        <v>24</v>
      </c>
    </row>
    <row r="3217" spans="1:24" hidden="1" x14ac:dyDescent="0.15">
      <c r="A3217" s="93" t="s">
        <v>9475</v>
      </c>
      <c r="B3217" s="93" t="s">
        <v>9476</v>
      </c>
      <c r="C3217" s="410">
        <v>678.3</v>
      </c>
      <c r="D3217" s="93" t="s">
        <v>9</v>
      </c>
      <c r="E3217" s="93" t="s">
        <v>9</v>
      </c>
      <c r="F3217" s="93" t="s">
        <v>1648</v>
      </c>
      <c r="G3217" s="93" t="s">
        <v>9183</v>
      </c>
      <c r="H3217" s="93" t="s">
        <v>1943</v>
      </c>
      <c r="I3217" s="93" t="s">
        <v>111</v>
      </c>
      <c r="J3217" s="93" t="s">
        <v>963</v>
      </c>
      <c r="K3217" s="93">
        <v>60</v>
      </c>
      <c r="L3217" s="93" t="s">
        <v>111</v>
      </c>
      <c r="M3217" s="93">
        <v>2</v>
      </c>
      <c r="N3217" s="93" t="s">
        <v>111</v>
      </c>
      <c r="O3217" s="93">
        <v>11.5</v>
      </c>
      <c r="P3217" s="93">
        <v>35</v>
      </c>
      <c r="Q3217" s="93">
        <v>40</v>
      </c>
      <c r="R3217" s="93" t="s">
        <v>123</v>
      </c>
      <c r="S3217" s="93" t="s">
        <v>659</v>
      </c>
      <c r="T3217" s="93" t="s">
        <v>115</v>
      </c>
      <c r="U3217" s="93" t="s">
        <v>116</v>
      </c>
      <c r="V3217" s="94">
        <v>44628.508333333331</v>
      </c>
      <c r="W3217" s="93" t="s">
        <v>1170</v>
      </c>
      <c r="X3217" s="93" t="s">
        <v>24</v>
      </c>
    </row>
    <row r="3218" spans="1:24" hidden="1" x14ac:dyDescent="0.15">
      <c r="A3218" s="93" t="s">
        <v>9477</v>
      </c>
      <c r="B3218" s="93" t="s">
        <v>9478</v>
      </c>
      <c r="C3218" s="410">
        <v>678.3</v>
      </c>
      <c r="D3218" s="93" t="s">
        <v>9</v>
      </c>
      <c r="E3218" s="93" t="s">
        <v>9</v>
      </c>
      <c r="F3218" s="93" t="s">
        <v>1648</v>
      </c>
      <c r="G3218" s="93" t="s">
        <v>9183</v>
      </c>
      <c r="H3218" s="93" t="s">
        <v>1943</v>
      </c>
      <c r="I3218" s="93" t="s">
        <v>111</v>
      </c>
      <c r="J3218" s="93" t="s">
        <v>963</v>
      </c>
      <c r="K3218" s="93">
        <v>60</v>
      </c>
      <c r="L3218" s="93" t="s">
        <v>111</v>
      </c>
      <c r="M3218" s="93">
        <v>2</v>
      </c>
      <c r="N3218" s="93" t="s">
        <v>111</v>
      </c>
      <c r="O3218" s="93">
        <v>11.5</v>
      </c>
      <c r="P3218" s="93">
        <v>35</v>
      </c>
      <c r="Q3218" s="93">
        <v>40</v>
      </c>
      <c r="R3218" s="93" t="s">
        <v>123</v>
      </c>
      <c r="S3218" s="93" t="s">
        <v>659</v>
      </c>
      <c r="T3218" s="93" t="s">
        <v>115</v>
      </c>
      <c r="U3218" s="93" t="s">
        <v>116</v>
      </c>
      <c r="V3218" s="94">
        <v>44628.552083333336</v>
      </c>
      <c r="W3218" s="93" t="s">
        <v>1170</v>
      </c>
      <c r="X3218" s="93" t="s">
        <v>24</v>
      </c>
    </row>
    <row r="3219" spans="1:24" hidden="1" x14ac:dyDescent="0.15">
      <c r="A3219" s="93" t="s">
        <v>4785</v>
      </c>
      <c r="B3219" s="93" t="s">
        <v>4786</v>
      </c>
      <c r="C3219" s="410">
        <v>603.75</v>
      </c>
      <c r="D3219" s="93" t="s">
        <v>24</v>
      </c>
      <c r="E3219" s="93" t="s">
        <v>24</v>
      </c>
      <c r="F3219" s="93" t="s">
        <v>7070</v>
      </c>
      <c r="G3219" s="93" t="s">
        <v>8237</v>
      </c>
      <c r="H3219" s="93" t="s">
        <v>1198</v>
      </c>
      <c r="I3219" s="93" t="s">
        <v>111</v>
      </c>
      <c r="J3219" s="93" t="s">
        <v>963</v>
      </c>
      <c r="K3219" s="93">
        <v>60</v>
      </c>
      <c r="L3219" s="93" t="s">
        <v>111</v>
      </c>
      <c r="M3219" s="93">
        <v>19.420000000000002</v>
      </c>
      <c r="N3219" s="93" t="s">
        <v>113</v>
      </c>
      <c r="O3219" s="93">
        <v>70</v>
      </c>
      <c r="P3219" s="93">
        <v>56</v>
      </c>
      <c r="Q3219" s="93">
        <v>70</v>
      </c>
      <c r="R3219" s="93" t="s">
        <v>117</v>
      </c>
      <c r="S3219" s="93" t="s">
        <v>2</v>
      </c>
      <c r="T3219" s="93" t="s">
        <v>1659</v>
      </c>
      <c r="U3219" s="93" t="s">
        <v>116</v>
      </c>
      <c r="V3219" s="94">
        <v>44628.563888888886</v>
      </c>
      <c r="W3219" s="93" t="s">
        <v>1170</v>
      </c>
      <c r="X3219" s="93" t="s">
        <v>24</v>
      </c>
    </row>
    <row r="3220" spans="1:24" hidden="1" x14ac:dyDescent="0.15">
      <c r="A3220" s="93" t="s">
        <v>4787</v>
      </c>
      <c r="B3220" s="93" t="s">
        <v>4788</v>
      </c>
      <c r="C3220" s="410">
        <v>1522.5</v>
      </c>
      <c r="D3220" s="93" t="s">
        <v>24</v>
      </c>
      <c r="E3220" s="93" t="s">
        <v>24</v>
      </c>
      <c r="F3220" s="93" t="s">
        <v>7070</v>
      </c>
      <c r="G3220" s="93" t="s">
        <v>8237</v>
      </c>
      <c r="H3220" s="93" t="s">
        <v>1198</v>
      </c>
      <c r="I3220" s="93" t="s">
        <v>111</v>
      </c>
      <c r="J3220" s="93" t="s">
        <v>963</v>
      </c>
      <c r="K3220" s="93">
        <v>60</v>
      </c>
      <c r="L3220" s="93" t="s">
        <v>111</v>
      </c>
      <c r="M3220" s="93">
        <v>30.8</v>
      </c>
      <c r="N3220" s="93" t="s">
        <v>113</v>
      </c>
      <c r="O3220" s="93">
        <v>37</v>
      </c>
      <c r="P3220" s="93">
        <v>120</v>
      </c>
      <c r="Q3220" s="93">
        <v>107</v>
      </c>
      <c r="R3220" s="93" t="s">
        <v>117</v>
      </c>
      <c r="S3220" s="93" t="s">
        <v>18</v>
      </c>
      <c r="T3220" s="93" t="s">
        <v>1659</v>
      </c>
      <c r="U3220" s="93" t="s">
        <v>116</v>
      </c>
      <c r="V3220" s="94">
        <v>44628.607638888891</v>
      </c>
      <c r="W3220" s="93" t="s">
        <v>1170</v>
      </c>
      <c r="X3220" s="93" t="s">
        <v>24</v>
      </c>
    </row>
    <row r="3221" spans="1:24" hidden="1" x14ac:dyDescent="0.15">
      <c r="A3221" s="93" t="s">
        <v>4789</v>
      </c>
      <c r="B3221" s="93" t="s">
        <v>4790</v>
      </c>
      <c r="C3221" s="410">
        <v>2205</v>
      </c>
      <c r="D3221" s="93" t="s">
        <v>24</v>
      </c>
      <c r="E3221" s="93" t="s">
        <v>24</v>
      </c>
      <c r="F3221" s="93" t="s">
        <v>7070</v>
      </c>
      <c r="G3221" s="93" t="s">
        <v>8237</v>
      </c>
      <c r="H3221" s="93" t="s">
        <v>1198</v>
      </c>
      <c r="I3221" s="93" t="s">
        <v>111</v>
      </c>
      <c r="J3221" s="93" t="s">
        <v>963</v>
      </c>
      <c r="K3221" s="93">
        <v>60</v>
      </c>
      <c r="L3221" s="93" t="s">
        <v>111</v>
      </c>
      <c r="M3221" s="93">
        <v>69</v>
      </c>
      <c r="N3221" s="93" t="s">
        <v>113</v>
      </c>
      <c r="O3221" s="93">
        <v>152</v>
      </c>
      <c r="P3221" s="93">
        <v>46</v>
      </c>
      <c r="Q3221" s="93">
        <v>140</v>
      </c>
      <c r="R3221" s="93" t="s">
        <v>117</v>
      </c>
      <c r="S3221" s="93" t="s">
        <v>18</v>
      </c>
      <c r="T3221" s="93" t="s">
        <v>1659</v>
      </c>
      <c r="U3221" s="93" t="s">
        <v>116</v>
      </c>
      <c r="V3221" s="94">
        <v>44628.498611111114</v>
      </c>
      <c r="W3221" s="93" t="s">
        <v>1170</v>
      </c>
      <c r="X3221" s="93" t="s">
        <v>24</v>
      </c>
    </row>
    <row r="3222" spans="1:24" hidden="1" x14ac:dyDescent="0.15">
      <c r="A3222" s="93" t="s">
        <v>4791</v>
      </c>
      <c r="B3222" s="93" t="s">
        <v>4792</v>
      </c>
      <c r="C3222" s="410">
        <v>4095</v>
      </c>
      <c r="D3222" s="93" t="s">
        <v>24</v>
      </c>
      <c r="E3222" s="93" t="s">
        <v>24</v>
      </c>
      <c r="F3222" s="93" t="s">
        <v>7070</v>
      </c>
      <c r="G3222" s="93" t="s">
        <v>8237</v>
      </c>
      <c r="H3222" s="93" t="s">
        <v>1198</v>
      </c>
      <c r="I3222" s="93" t="s">
        <v>111</v>
      </c>
      <c r="J3222" s="93" t="s">
        <v>963</v>
      </c>
      <c r="K3222" s="93">
        <v>60</v>
      </c>
      <c r="L3222" s="93" t="s">
        <v>111</v>
      </c>
      <c r="M3222" s="93">
        <v>193</v>
      </c>
      <c r="N3222" s="93" t="s">
        <v>113</v>
      </c>
      <c r="O3222" s="93">
        <v>210</v>
      </c>
      <c r="P3222" s="93">
        <v>88</v>
      </c>
      <c r="Q3222" s="93">
        <v>207</v>
      </c>
      <c r="R3222" s="93" t="s">
        <v>117</v>
      </c>
      <c r="S3222" s="93" t="s">
        <v>18</v>
      </c>
      <c r="T3222" s="93" t="s">
        <v>1659</v>
      </c>
      <c r="U3222" s="93" t="s">
        <v>116</v>
      </c>
      <c r="V3222" s="94">
        <v>44628.477777777778</v>
      </c>
      <c r="W3222" s="93" t="s">
        <v>1170</v>
      </c>
      <c r="X3222" s="93" t="s">
        <v>24</v>
      </c>
    </row>
    <row r="3223" spans="1:24" hidden="1" x14ac:dyDescent="0.15">
      <c r="A3223" s="93" t="s">
        <v>4793</v>
      </c>
      <c r="B3223" s="93" t="s">
        <v>4794</v>
      </c>
      <c r="C3223" s="410">
        <v>745.5</v>
      </c>
      <c r="D3223" s="93" t="s">
        <v>24</v>
      </c>
      <c r="E3223" s="93" t="s">
        <v>24</v>
      </c>
      <c r="F3223" s="93" t="s">
        <v>7070</v>
      </c>
      <c r="G3223" s="93" t="s">
        <v>8237</v>
      </c>
      <c r="H3223" s="93" t="s">
        <v>1198</v>
      </c>
      <c r="I3223" s="93" t="s">
        <v>111</v>
      </c>
      <c r="J3223" s="93" t="s">
        <v>963</v>
      </c>
      <c r="K3223" s="93">
        <v>60</v>
      </c>
      <c r="L3223" s="93" t="s">
        <v>111</v>
      </c>
      <c r="M3223" s="93">
        <v>21.7</v>
      </c>
      <c r="N3223" s="93" t="s">
        <v>113</v>
      </c>
      <c r="O3223" s="93">
        <v>71</v>
      </c>
      <c r="P3223" s="93">
        <v>71</v>
      </c>
      <c r="Q3223" s="93">
        <v>61</v>
      </c>
      <c r="R3223" s="93" t="s">
        <v>117</v>
      </c>
      <c r="S3223" s="93" t="s">
        <v>20</v>
      </c>
      <c r="T3223" s="93" t="s">
        <v>1659</v>
      </c>
      <c r="U3223" s="93" t="s">
        <v>116</v>
      </c>
      <c r="V3223" s="94">
        <v>44628.607638888891</v>
      </c>
      <c r="W3223" s="93" t="s">
        <v>1207</v>
      </c>
      <c r="X3223" s="93" t="s">
        <v>24</v>
      </c>
    </row>
    <row r="3224" spans="1:24" hidden="1" x14ac:dyDescent="0.15">
      <c r="A3224" s="93" t="s">
        <v>4795</v>
      </c>
      <c r="B3224" s="93" t="s">
        <v>4796</v>
      </c>
      <c r="C3224" s="410">
        <v>1748.25</v>
      </c>
      <c r="D3224" s="93" t="s">
        <v>24</v>
      </c>
      <c r="E3224" s="93" t="s">
        <v>24</v>
      </c>
      <c r="F3224" s="93" t="s">
        <v>7070</v>
      </c>
      <c r="G3224" s="93" t="s">
        <v>8237</v>
      </c>
      <c r="H3224" s="93" t="s">
        <v>1198</v>
      </c>
      <c r="I3224" s="93" t="s">
        <v>111</v>
      </c>
      <c r="J3224" s="93" t="s">
        <v>963</v>
      </c>
      <c r="K3224" s="93">
        <v>60</v>
      </c>
      <c r="L3224" s="93" t="s">
        <v>111</v>
      </c>
      <c r="M3224" s="93">
        <v>36</v>
      </c>
      <c r="N3224" s="93" t="s">
        <v>113</v>
      </c>
      <c r="O3224" s="93">
        <v>69</v>
      </c>
      <c r="P3224" s="93">
        <v>119</v>
      </c>
      <c r="Q3224" s="93">
        <v>119</v>
      </c>
      <c r="R3224" s="93" t="s">
        <v>117</v>
      </c>
      <c r="S3224" s="93" t="s">
        <v>20</v>
      </c>
      <c r="T3224" s="93" t="s">
        <v>1659</v>
      </c>
      <c r="U3224" s="93" t="s">
        <v>116</v>
      </c>
      <c r="V3224" s="94">
        <v>44628.563888888886</v>
      </c>
      <c r="W3224" s="93" t="s">
        <v>1207</v>
      </c>
      <c r="X3224" s="93" t="s">
        <v>24</v>
      </c>
    </row>
    <row r="3225" spans="1:24" hidden="1" x14ac:dyDescent="0.15">
      <c r="A3225" s="93" t="s">
        <v>4797</v>
      </c>
      <c r="B3225" s="93" t="s">
        <v>4798</v>
      </c>
      <c r="C3225" s="410">
        <v>2520</v>
      </c>
      <c r="D3225" s="93" t="s">
        <v>24</v>
      </c>
      <c r="E3225" s="93" t="s">
        <v>24</v>
      </c>
      <c r="F3225" s="93" t="s">
        <v>7070</v>
      </c>
      <c r="G3225" s="93" t="s">
        <v>8237</v>
      </c>
      <c r="H3225" s="93" t="s">
        <v>1198</v>
      </c>
      <c r="I3225" s="93" t="s">
        <v>111</v>
      </c>
      <c r="J3225" s="93" t="s">
        <v>963</v>
      </c>
      <c r="K3225" s="93">
        <v>60</v>
      </c>
      <c r="L3225" s="93" t="s">
        <v>111</v>
      </c>
      <c r="M3225" s="93">
        <v>92.3</v>
      </c>
      <c r="N3225" s="93" t="s">
        <v>113</v>
      </c>
      <c r="O3225" s="93">
        <v>71</v>
      </c>
      <c r="P3225" s="93">
        <v>150</v>
      </c>
      <c r="Q3225" s="93">
        <v>152</v>
      </c>
      <c r="R3225" s="93" t="s">
        <v>117</v>
      </c>
      <c r="S3225" s="93" t="s">
        <v>2</v>
      </c>
      <c r="T3225" s="93" t="s">
        <v>1659</v>
      </c>
      <c r="U3225" s="93" t="s">
        <v>116</v>
      </c>
      <c r="V3225" s="94">
        <v>44628.543055555558</v>
      </c>
      <c r="W3225" s="93" t="s">
        <v>1207</v>
      </c>
      <c r="X3225" s="93" t="s">
        <v>24</v>
      </c>
    </row>
    <row r="3226" spans="1:24" hidden="1" x14ac:dyDescent="0.15">
      <c r="A3226" s="93" t="s">
        <v>4799</v>
      </c>
      <c r="B3226" s="93" t="s">
        <v>4800</v>
      </c>
      <c r="C3226" s="410">
        <v>4888.8</v>
      </c>
      <c r="D3226" s="93" t="s">
        <v>24</v>
      </c>
      <c r="E3226" s="93" t="s">
        <v>24</v>
      </c>
      <c r="F3226" s="93" t="s">
        <v>7070</v>
      </c>
      <c r="G3226" s="93" t="s">
        <v>8237</v>
      </c>
      <c r="H3226" s="93" t="s">
        <v>1198</v>
      </c>
      <c r="I3226" s="93" t="s">
        <v>111</v>
      </c>
      <c r="J3226" s="93" t="s">
        <v>963</v>
      </c>
      <c r="K3226" s="93">
        <v>60</v>
      </c>
      <c r="L3226" s="93" t="s">
        <v>111</v>
      </c>
      <c r="M3226" s="93">
        <v>182.3</v>
      </c>
      <c r="N3226" s="93" t="s">
        <v>113</v>
      </c>
      <c r="O3226" s="93">
        <v>86</v>
      </c>
      <c r="P3226" s="93">
        <v>196</v>
      </c>
      <c r="Q3226" s="93">
        <v>203</v>
      </c>
      <c r="R3226" s="93" t="s">
        <v>117</v>
      </c>
      <c r="S3226" s="93" t="s">
        <v>2</v>
      </c>
      <c r="T3226" s="93" t="s">
        <v>1659</v>
      </c>
      <c r="U3226" s="93" t="s">
        <v>116</v>
      </c>
      <c r="V3226" s="94">
        <v>44628.643055555556</v>
      </c>
      <c r="W3226" s="93" t="s">
        <v>1207</v>
      </c>
      <c r="X3226" s="93" t="s">
        <v>24</v>
      </c>
    </row>
    <row r="3227" spans="1:24" hidden="1" x14ac:dyDescent="0.15">
      <c r="A3227" s="93" t="s">
        <v>4801</v>
      </c>
      <c r="B3227" s="93" t="s">
        <v>4802</v>
      </c>
      <c r="C3227" s="410">
        <v>9975</v>
      </c>
      <c r="D3227" s="93" t="s">
        <v>24</v>
      </c>
      <c r="E3227" s="93" t="s">
        <v>24</v>
      </c>
      <c r="F3227" s="93" t="s">
        <v>1648</v>
      </c>
      <c r="G3227" s="93" t="s">
        <v>8237</v>
      </c>
      <c r="H3227" s="93" t="s">
        <v>11</v>
      </c>
      <c r="I3227" s="93" t="s">
        <v>111</v>
      </c>
      <c r="J3227" s="93" t="s">
        <v>1675</v>
      </c>
      <c r="K3227" s="93">
        <v>60</v>
      </c>
      <c r="L3227" s="93" t="s">
        <v>111</v>
      </c>
      <c r="M3227" s="93">
        <v>4</v>
      </c>
      <c r="N3227" s="93" t="s">
        <v>113</v>
      </c>
      <c r="O3227" s="93">
        <v>19</v>
      </c>
      <c r="P3227" s="93">
        <v>30</v>
      </c>
      <c r="Q3227" s="93">
        <v>34</v>
      </c>
      <c r="R3227" s="93" t="s">
        <v>117</v>
      </c>
      <c r="S3227" s="93" t="s">
        <v>659</v>
      </c>
      <c r="T3227" s="93" t="s">
        <v>115</v>
      </c>
      <c r="U3227" s="93" t="s">
        <v>116</v>
      </c>
      <c r="V3227" s="94">
        <v>44628.533333333333</v>
      </c>
      <c r="W3227" s="93" t="s">
        <v>1555</v>
      </c>
      <c r="X3227" s="93" t="s">
        <v>24</v>
      </c>
    </row>
    <row r="3228" spans="1:24" hidden="1" x14ac:dyDescent="0.15">
      <c r="A3228" s="93" t="s">
        <v>4803</v>
      </c>
      <c r="B3228" s="93" t="s">
        <v>4804</v>
      </c>
      <c r="C3228" s="410">
        <v>185.85</v>
      </c>
      <c r="D3228" s="93" t="s">
        <v>24</v>
      </c>
      <c r="E3228" s="93" t="s">
        <v>24</v>
      </c>
      <c r="F3228" s="93" t="s">
        <v>7070</v>
      </c>
      <c r="G3228" s="93" t="s">
        <v>8237</v>
      </c>
      <c r="H3228" s="93" t="s">
        <v>11</v>
      </c>
      <c r="I3228" s="93" t="s">
        <v>111</v>
      </c>
      <c r="J3228" s="93" t="s">
        <v>963</v>
      </c>
      <c r="K3228" s="93">
        <v>60</v>
      </c>
      <c r="L3228" s="93" t="s">
        <v>111</v>
      </c>
      <c r="M3228" s="93">
        <v>1</v>
      </c>
      <c r="N3228" s="93" t="s">
        <v>113</v>
      </c>
      <c r="O3228" s="93">
        <v>5</v>
      </c>
      <c r="P3228" s="93">
        <v>16.5</v>
      </c>
      <c r="Q3228" s="93">
        <v>23.5</v>
      </c>
      <c r="R3228" s="93" t="s">
        <v>122</v>
      </c>
      <c r="S3228" s="93" t="s">
        <v>20</v>
      </c>
      <c r="T3228" s="93" t="s">
        <v>1659</v>
      </c>
      <c r="U3228" s="93" t="s">
        <v>116</v>
      </c>
      <c r="V3228" s="94">
        <v>44628.638888888891</v>
      </c>
      <c r="W3228" s="93" t="s">
        <v>1170</v>
      </c>
      <c r="X3228" s="93" t="s">
        <v>24</v>
      </c>
    </row>
    <row r="3229" spans="1:24" hidden="1" x14ac:dyDescent="0.15">
      <c r="A3229" s="93" t="s">
        <v>4805</v>
      </c>
      <c r="B3229" s="93" t="s">
        <v>4806</v>
      </c>
      <c r="C3229" s="410">
        <v>116.55</v>
      </c>
      <c r="D3229" s="93" t="s">
        <v>24</v>
      </c>
      <c r="E3229" s="93" t="s">
        <v>24</v>
      </c>
      <c r="F3229" s="93" t="s">
        <v>7070</v>
      </c>
      <c r="G3229" s="93" t="s">
        <v>8237</v>
      </c>
      <c r="H3229" s="93" t="s">
        <v>11</v>
      </c>
      <c r="I3229" s="93" t="s">
        <v>111</v>
      </c>
      <c r="J3229" s="93" t="s">
        <v>963</v>
      </c>
      <c r="K3229" s="93">
        <v>60</v>
      </c>
      <c r="L3229" s="93" t="s">
        <v>111</v>
      </c>
      <c r="M3229" s="93">
        <v>0.5</v>
      </c>
      <c r="N3229" s="93" t="s">
        <v>113</v>
      </c>
      <c r="O3229" s="93">
        <v>5</v>
      </c>
      <c r="P3229" s="93">
        <v>11</v>
      </c>
      <c r="Q3229" s="93">
        <v>11</v>
      </c>
      <c r="R3229" s="93" t="s">
        <v>122</v>
      </c>
      <c r="S3229" s="93" t="s">
        <v>20</v>
      </c>
      <c r="T3229" s="93" t="s">
        <v>1659</v>
      </c>
      <c r="U3229" s="93" t="s">
        <v>116</v>
      </c>
      <c r="V3229" s="94">
        <v>44628.638888888891</v>
      </c>
      <c r="W3229" s="93" t="s">
        <v>1170</v>
      </c>
      <c r="X3229" s="93" t="s">
        <v>24</v>
      </c>
    </row>
    <row r="3230" spans="1:24" hidden="1" x14ac:dyDescent="0.15">
      <c r="A3230" s="93" t="s">
        <v>4807</v>
      </c>
      <c r="B3230" s="93" t="s">
        <v>4808</v>
      </c>
      <c r="C3230" s="410">
        <v>487.2</v>
      </c>
      <c r="D3230" s="93" t="s">
        <v>24</v>
      </c>
      <c r="E3230" s="93" t="s">
        <v>24</v>
      </c>
      <c r="F3230" s="93" t="s">
        <v>7070</v>
      </c>
      <c r="G3230" s="93" t="s">
        <v>8237</v>
      </c>
      <c r="H3230" s="93" t="s">
        <v>11</v>
      </c>
      <c r="I3230" s="93" t="s">
        <v>111</v>
      </c>
      <c r="J3230" s="93" t="s">
        <v>963</v>
      </c>
      <c r="K3230" s="93">
        <v>60</v>
      </c>
      <c r="L3230" s="93" t="s">
        <v>111</v>
      </c>
      <c r="M3230" s="93">
        <v>2.5</v>
      </c>
      <c r="N3230" s="93" t="s">
        <v>113</v>
      </c>
      <c r="O3230" s="93">
        <v>28</v>
      </c>
      <c r="P3230" s="93">
        <v>28</v>
      </c>
      <c r="Q3230" s="93">
        <v>18</v>
      </c>
      <c r="R3230" s="93" t="s">
        <v>4205</v>
      </c>
      <c r="S3230" s="93" t="s">
        <v>20</v>
      </c>
      <c r="T3230" s="93" t="s">
        <v>1659</v>
      </c>
      <c r="U3230" s="93" t="s">
        <v>116</v>
      </c>
      <c r="V3230" s="94">
        <v>44628.474305555559</v>
      </c>
      <c r="W3230" s="93" t="s">
        <v>1170</v>
      </c>
      <c r="X3230" s="93" t="s">
        <v>24</v>
      </c>
    </row>
    <row r="3231" spans="1:24" hidden="1" x14ac:dyDescent="0.15">
      <c r="A3231" s="93" t="s">
        <v>4809</v>
      </c>
      <c r="B3231" s="93" t="s">
        <v>4810</v>
      </c>
      <c r="C3231" s="410">
        <v>556.5</v>
      </c>
      <c r="D3231" s="93" t="s">
        <v>24</v>
      </c>
      <c r="E3231" s="93" t="s">
        <v>24</v>
      </c>
      <c r="F3231" s="93" t="s">
        <v>7070</v>
      </c>
      <c r="G3231" s="93" t="s">
        <v>8237</v>
      </c>
      <c r="H3231" s="93" t="s">
        <v>11</v>
      </c>
      <c r="I3231" s="93" t="s">
        <v>111</v>
      </c>
      <c r="J3231" s="93" t="s">
        <v>963</v>
      </c>
      <c r="K3231" s="93">
        <v>60</v>
      </c>
      <c r="L3231" s="93" t="s">
        <v>111</v>
      </c>
      <c r="M3231" s="93">
        <v>1.8</v>
      </c>
      <c r="N3231" s="93" t="s">
        <v>113</v>
      </c>
      <c r="O3231" s="93">
        <v>8</v>
      </c>
      <c r="P3231" s="93">
        <v>8</v>
      </c>
      <c r="Q3231" s="93">
        <v>131</v>
      </c>
      <c r="R3231" s="93" t="s">
        <v>1230</v>
      </c>
      <c r="S3231" s="93" t="s">
        <v>16</v>
      </c>
      <c r="T3231" s="93" t="s">
        <v>1659</v>
      </c>
      <c r="U3231" s="93" t="s">
        <v>116</v>
      </c>
      <c r="V3231" s="94">
        <v>44628.494444444441</v>
      </c>
      <c r="W3231" s="93" t="s">
        <v>1170</v>
      </c>
      <c r="X3231" s="93" t="s">
        <v>24</v>
      </c>
    </row>
    <row r="3232" spans="1:24" hidden="1" x14ac:dyDescent="0.15">
      <c r="A3232" s="93" t="s">
        <v>4811</v>
      </c>
      <c r="B3232" s="93" t="s">
        <v>4812</v>
      </c>
      <c r="C3232" s="410">
        <v>1368.15</v>
      </c>
      <c r="D3232" s="93" t="s">
        <v>24</v>
      </c>
      <c r="E3232" s="93" t="s">
        <v>24</v>
      </c>
      <c r="F3232" s="93" t="s">
        <v>7070</v>
      </c>
      <c r="G3232" s="93" t="s">
        <v>8237</v>
      </c>
      <c r="H3232" s="93" t="s">
        <v>11</v>
      </c>
      <c r="I3232" s="93" t="s">
        <v>111</v>
      </c>
      <c r="J3232" s="93" t="s">
        <v>963</v>
      </c>
      <c r="K3232" s="93">
        <v>60</v>
      </c>
      <c r="L3232" s="93" t="s">
        <v>111</v>
      </c>
      <c r="M3232" s="93">
        <v>7.3</v>
      </c>
      <c r="N3232" s="93" t="s">
        <v>113</v>
      </c>
      <c r="O3232" s="93">
        <v>32</v>
      </c>
      <c r="P3232" s="93">
        <v>32</v>
      </c>
      <c r="Q3232" s="93">
        <v>38</v>
      </c>
      <c r="R3232" s="93" t="s">
        <v>117</v>
      </c>
      <c r="S3232" s="93" t="s">
        <v>111</v>
      </c>
      <c r="T3232" s="93" t="s">
        <v>1659</v>
      </c>
      <c r="U3232" s="93" t="s">
        <v>119</v>
      </c>
      <c r="V3232" s="94">
        <v>44628.585416666669</v>
      </c>
      <c r="W3232" s="93" t="s">
        <v>1170</v>
      </c>
      <c r="X3232" s="93" t="s">
        <v>24</v>
      </c>
    </row>
    <row r="3233" spans="1:24" hidden="1" x14ac:dyDescent="0.15">
      <c r="A3233" s="93" t="s">
        <v>4813</v>
      </c>
      <c r="B3233" s="93" t="s">
        <v>4814</v>
      </c>
      <c r="C3233" s="410">
        <v>1368.15</v>
      </c>
      <c r="D3233" s="93" t="s">
        <v>24</v>
      </c>
      <c r="E3233" s="93" t="s">
        <v>24</v>
      </c>
      <c r="F3233" s="93" t="s">
        <v>7070</v>
      </c>
      <c r="G3233" s="93" t="s">
        <v>8237</v>
      </c>
      <c r="H3233" s="93" t="s">
        <v>11</v>
      </c>
      <c r="I3233" s="93" t="s">
        <v>111</v>
      </c>
      <c r="J3233" s="93" t="s">
        <v>963</v>
      </c>
      <c r="K3233" s="93">
        <v>60</v>
      </c>
      <c r="L3233" s="93" t="s">
        <v>111</v>
      </c>
      <c r="M3233" s="93">
        <v>2</v>
      </c>
      <c r="N3233" s="93" t="s">
        <v>113</v>
      </c>
      <c r="O3233" s="93">
        <v>31</v>
      </c>
      <c r="P3233" s="93">
        <v>34.200000000000003</v>
      </c>
      <c r="Q3233" s="93">
        <v>31</v>
      </c>
      <c r="R3233" s="93" t="s">
        <v>117</v>
      </c>
      <c r="S3233" s="93" t="s">
        <v>111</v>
      </c>
      <c r="T3233" s="93" t="s">
        <v>1659</v>
      </c>
      <c r="U3233" s="93" t="s">
        <v>116</v>
      </c>
      <c r="V3233" s="94">
        <v>44628.606944444444</v>
      </c>
      <c r="W3233" s="93" t="s">
        <v>1170</v>
      </c>
      <c r="X3233" s="93" t="s">
        <v>24</v>
      </c>
    </row>
    <row r="3234" spans="1:24" hidden="1" x14ac:dyDescent="0.15">
      <c r="A3234" s="93" t="s">
        <v>4815</v>
      </c>
      <c r="B3234" s="93" t="s">
        <v>4816</v>
      </c>
      <c r="C3234" s="410">
        <v>472.5</v>
      </c>
      <c r="D3234" s="93" t="s">
        <v>24</v>
      </c>
      <c r="E3234" s="93" t="s">
        <v>24</v>
      </c>
      <c r="F3234" s="93" t="s">
        <v>7070</v>
      </c>
      <c r="G3234" s="93" t="s">
        <v>8237</v>
      </c>
      <c r="H3234" s="93" t="s">
        <v>11</v>
      </c>
      <c r="I3234" s="93" t="s">
        <v>111</v>
      </c>
      <c r="J3234" s="93" t="s">
        <v>963</v>
      </c>
      <c r="K3234" s="93">
        <v>60</v>
      </c>
      <c r="L3234" s="93" t="s">
        <v>111</v>
      </c>
      <c r="M3234" s="93">
        <v>3</v>
      </c>
      <c r="N3234" s="93" t="s">
        <v>113</v>
      </c>
      <c r="O3234" s="93">
        <v>18</v>
      </c>
      <c r="P3234" s="93">
        <v>29</v>
      </c>
      <c r="Q3234" s="93">
        <v>30</v>
      </c>
      <c r="R3234" s="93" t="s">
        <v>117</v>
      </c>
      <c r="S3234" s="93" t="s">
        <v>20</v>
      </c>
      <c r="T3234" s="93" t="s">
        <v>1659</v>
      </c>
      <c r="U3234" s="93" t="s">
        <v>116</v>
      </c>
      <c r="V3234" s="94">
        <v>44628.542361111111</v>
      </c>
      <c r="W3234" s="93" t="s">
        <v>1170</v>
      </c>
      <c r="X3234" s="93" t="s">
        <v>24</v>
      </c>
    </row>
    <row r="3235" spans="1:24" hidden="1" x14ac:dyDescent="0.15">
      <c r="A3235" s="93" t="s">
        <v>4817</v>
      </c>
      <c r="B3235" s="93" t="s">
        <v>4818</v>
      </c>
      <c r="C3235" s="410">
        <v>1066.8</v>
      </c>
      <c r="D3235" s="93" t="s">
        <v>24</v>
      </c>
      <c r="E3235" s="93" t="s">
        <v>24</v>
      </c>
      <c r="F3235" s="93" t="s">
        <v>7070</v>
      </c>
      <c r="G3235" s="93" t="s">
        <v>8237</v>
      </c>
      <c r="H3235" s="93" t="s">
        <v>11</v>
      </c>
      <c r="I3235" s="93" t="s">
        <v>111</v>
      </c>
      <c r="J3235" s="93" t="s">
        <v>963</v>
      </c>
      <c r="K3235" s="93">
        <v>60</v>
      </c>
      <c r="L3235" s="93" t="s">
        <v>111</v>
      </c>
      <c r="M3235" s="93">
        <v>3.5</v>
      </c>
      <c r="N3235" s="93" t="s">
        <v>113</v>
      </c>
      <c r="O3235" s="93">
        <v>27</v>
      </c>
      <c r="P3235" s="93">
        <v>31</v>
      </c>
      <c r="Q3235" s="93">
        <v>17</v>
      </c>
      <c r="R3235" s="93" t="s">
        <v>117</v>
      </c>
      <c r="S3235" s="93" t="s">
        <v>111</v>
      </c>
      <c r="T3235" s="93" t="s">
        <v>1659</v>
      </c>
      <c r="U3235" s="93" t="s">
        <v>116</v>
      </c>
      <c r="V3235" s="94">
        <v>44628.585416666669</v>
      </c>
      <c r="W3235" s="93" t="s">
        <v>1170</v>
      </c>
      <c r="X3235" s="93" t="s">
        <v>24</v>
      </c>
    </row>
    <row r="3236" spans="1:24" hidden="1" x14ac:dyDescent="0.15">
      <c r="A3236" s="93" t="s">
        <v>4819</v>
      </c>
      <c r="B3236" s="93" t="s">
        <v>4820</v>
      </c>
      <c r="C3236" s="410">
        <v>571.20000000000005</v>
      </c>
      <c r="D3236" s="93" t="s">
        <v>24</v>
      </c>
      <c r="E3236" s="93" t="s">
        <v>24</v>
      </c>
      <c r="F3236" s="93" t="s">
        <v>7070</v>
      </c>
      <c r="G3236" s="93" t="s">
        <v>8237</v>
      </c>
      <c r="H3236" s="93" t="s">
        <v>11</v>
      </c>
      <c r="I3236" s="93" t="s">
        <v>111</v>
      </c>
      <c r="J3236" s="93" t="s">
        <v>963</v>
      </c>
      <c r="K3236" s="93">
        <v>60</v>
      </c>
      <c r="L3236" s="93" t="s">
        <v>111</v>
      </c>
      <c r="M3236" s="93">
        <v>4.5</v>
      </c>
      <c r="N3236" s="93" t="s">
        <v>113</v>
      </c>
      <c r="O3236" s="93">
        <v>20</v>
      </c>
      <c r="P3236" s="93">
        <v>34</v>
      </c>
      <c r="Q3236" s="93">
        <v>33</v>
      </c>
      <c r="R3236" s="93" t="s">
        <v>117</v>
      </c>
      <c r="S3236" s="93" t="s">
        <v>16</v>
      </c>
      <c r="T3236" s="93" t="s">
        <v>1659</v>
      </c>
      <c r="U3236" s="93" t="s">
        <v>116</v>
      </c>
      <c r="V3236" s="94">
        <v>44628.519444444442</v>
      </c>
      <c r="W3236" s="93" t="s">
        <v>1170</v>
      </c>
      <c r="X3236" s="93" t="s">
        <v>24</v>
      </c>
    </row>
    <row r="3237" spans="1:24" hidden="1" x14ac:dyDescent="0.15">
      <c r="A3237" s="93" t="s">
        <v>4821</v>
      </c>
      <c r="B3237" s="93" t="s">
        <v>4822</v>
      </c>
      <c r="C3237" s="410">
        <v>1129.8</v>
      </c>
      <c r="D3237" s="93" t="s">
        <v>24</v>
      </c>
      <c r="E3237" s="93" t="s">
        <v>24</v>
      </c>
      <c r="F3237" s="93" t="s">
        <v>7070</v>
      </c>
      <c r="G3237" s="93" t="s">
        <v>8237</v>
      </c>
      <c r="H3237" s="93" t="s">
        <v>11</v>
      </c>
      <c r="I3237" s="93" t="s">
        <v>111</v>
      </c>
      <c r="J3237" s="93" t="s">
        <v>963</v>
      </c>
      <c r="K3237" s="93">
        <v>60</v>
      </c>
      <c r="L3237" s="93" t="s">
        <v>111</v>
      </c>
      <c r="M3237" s="93">
        <v>4</v>
      </c>
      <c r="N3237" s="93" t="s">
        <v>113</v>
      </c>
      <c r="O3237" s="93">
        <v>27</v>
      </c>
      <c r="P3237" s="93">
        <v>17</v>
      </c>
      <c r="Q3237" s="93">
        <v>32</v>
      </c>
      <c r="R3237" s="93" t="s">
        <v>117</v>
      </c>
      <c r="S3237" s="93" t="s">
        <v>16</v>
      </c>
      <c r="T3237" s="93" t="s">
        <v>1659</v>
      </c>
      <c r="U3237" s="93" t="s">
        <v>116</v>
      </c>
      <c r="V3237" s="94">
        <v>44628.585416666669</v>
      </c>
      <c r="W3237" s="93" t="s">
        <v>1170</v>
      </c>
      <c r="X3237" s="93" t="s">
        <v>24</v>
      </c>
    </row>
    <row r="3238" spans="1:24" hidden="1" x14ac:dyDescent="0.15">
      <c r="A3238" s="93" t="s">
        <v>4823</v>
      </c>
      <c r="B3238" s="93" t="s">
        <v>4824</v>
      </c>
      <c r="C3238" s="410">
        <v>116.55</v>
      </c>
      <c r="D3238" s="93" t="s">
        <v>24</v>
      </c>
      <c r="E3238" s="93" t="s">
        <v>24</v>
      </c>
      <c r="F3238" s="93" t="s">
        <v>7070</v>
      </c>
      <c r="G3238" s="93" t="s">
        <v>8237</v>
      </c>
      <c r="H3238" s="93" t="s">
        <v>11</v>
      </c>
      <c r="I3238" s="93" t="s">
        <v>111</v>
      </c>
      <c r="J3238" s="93" t="s">
        <v>963</v>
      </c>
      <c r="K3238" s="93">
        <v>60</v>
      </c>
      <c r="L3238" s="93" t="s">
        <v>111</v>
      </c>
      <c r="M3238" s="93">
        <v>2.5</v>
      </c>
      <c r="N3238" s="93" t="s">
        <v>113</v>
      </c>
      <c r="O3238" s="93">
        <v>28</v>
      </c>
      <c r="P3238" s="93">
        <v>18</v>
      </c>
      <c r="Q3238" s="93">
        <v>28</v>
      </c>
      <c r="R3238" s="93" t="s">
        <v>117</v>
      </c>
      <c r="S3238" s="93" t="s">
        <v>111</v>
      </c>
      <c r="T3238" s="93" t="s">
        <v>1659</v>
      </c>
      <c r="U3238" s="93" t="s">
        <v>116</v>
      </c>
      <c r="V3238" s="94">
        <v>44628.519444444442</v>
      </c>
      <c r="W3238" s="93" t="s">
        <v>1170</v>
      </c>
      <c r="X3238" s="93" t="s">
        <v>24</v>
      </c>
    </row>
    <row r="3239" spans="1:24" hidden="1" x14ac:dyDescent="0.15">
      <c r="A3239" s="93" t="s">
        <v>4825</v>
      </c>
      <c r="B3239" s="93" t="s">
        <v>4826</v>
      </c>
      <c r="C3239" s="410">
        <v>93.45</v>
      </c>
      <c r="D3239" s="93" t="s">
        <v>24</v>
      </c>
      <c r="E3239" s="93" t="s">
        <v>24</v>
      </c>
      <c r="F3239" s="93" t="s">
        <v>7070</v>
      </c>
      <c r="G3239" s="93" t="s">
        <v>8237</v>
      </c>
      <c r="H3239" s="93" t="s">
        <v>11</v>
      </c>
      <c r="I3239" s="93" t="s">
        <v>111</v>
      </c>
      <c r="J3239" s="93" t="s">
        <v>963</v>
      </c>
      <c r="K3239" s="93">
        <v>60</v>
      </c>
      <c r="L3239" s="93" t="s">
        <v>111</v>
      </c>
      <c r="M3239" s="93">
        <v>0.1</v>
      </c>
      <c r="N3239" s="93" t="s">
        <v>113</v>
      </c>
      <c r="O3239" s="93">
        <v>10</v>
      </c>
      <c r="P3239" s="93">
        <v>12.5</v>
      </c>
      <c r="Q3239" s="93">
        <v>4</v>
      </c>
      <c r="R3239" s="93" t="s">
        <v>4205</v>
      </c>
      <c r="S3239" s="93" t="s">
        <v>16</v>
      </c>
      <c r="T3239" s="93" t="s">
        <v>1659</v>
      </c>
      <c r="U3239" s="93" t="s">
        <v>116</v>
      </c>
      <c r="V3239" s="94">
        <v>44628.642361111109</v>
      </c>
      <c r="W3239" s="93" t="s">
        <v>1170</v>
      </c>
      <c r="X3239" s="93" t="s">
        <v>24</v>
      </c>
    </row>
    <row r="3240" spans="1:24" hidden="1" x14ac:dyDescent="0.15">
      <c r="A3240" s="93" t="s">
        <v>4827</v>
      </c>
      <c r="B3240" s="93" t="s">
        <v>4828</v>
      </c>
      <c r="C3240" s="410">
        <v>834.75</v>
      </c>
      <c r="D3240" s="93" t="s">
        <v>24</v>
      </c>
      <c r="E3240" s="93" t="s">
        <v>24</v>
      </c>
      <c r="F3240" s="93" t="s">
        <v>7070</v>
      </c>
      <c r="G3240" s="93" t="s">
        <v>8237</v>
      </c>
      <c r="H3240" s="93" t="s">
        <v>11</v>
      </c>
      <c r="I3240" s="93" t="s">
        <v>111</v>
      </c>
      <c r="J3240" s="93" t="s">
        <v>963</v>
      </c>
      <c r="K3240" s="93">
        <v>60</v>
      </c>
      <c r="L3240" s="93" t="s">
        <v>111</v>
      </c>
      <c r="M3240" s="93">
        <v>3.5</v>
      </c>
      <c r="N3240" s="93" t="s">
        <v>113</v>
      </c>
      <c r="O3240" s="93">
        <v>26.6</v>
      </c>
      <c r="P3240" s="93">
        <v>31.1</v>
      </c>
      <c r="Q3240" s="93">
        <v>16.3</v>
      </c>
      <c r="R3240" s="93" t="s">
        <v>117</v>
      </c>
      <c r="S3240" s="93" t="s">
        <v>111</v>
      </c>
      <c r="T3240" s="93" t="s">
        <v>1659</v>
      </c>
      <c r="U3240" s="93" t="s">
        <v>116</v>
      </c>
      <c r="V3240" s="94">
        <v>44628.563194444447</v>
      </c>
      <c r="W3240" s="93" t="s">
        <v>1170</v>
      </c>
      <c r="X3240" s="93" t="s">
        <v>24</v>
      </c>
    </row>
    <row r="3241" spans="1:24" hidden="1" x14ac:dyDescent="0.15">
      <c r="A3241" s="93" t="s">
        <v>4829</v>
      </c>
      <c r="B3241" s="93" t="s">
        <v>4830</v>
      </c>
      <c r="C3241" s="410">
        <v>371.7</v>
      </c>
      <c r="D3241" s="93" t="s">
        <v>24</v>
      </c>
      <c r="E3241" s="93" t="s">
        <v>24</v>
      </c>
      <c r="F3241" s="93" t="s">
        <v>7070</v>
      </c>
      <c r="G3241" s="93" t="s">
        <v>8237</v>
      </c>
      <c r="H3241" s="93" t="s">
        <v>11</v>
      </c>
      <c r="I3241" s="93" t="s">
        <v>111</v>
      </c>
      <c r="J3241" s="93" t="s">
        <v>963</v>
      </c>
      <c r="K3241" s="93">
        <v>60</v>
      </c>
      <c r="L3241" s="93" t="s">
        <v>111</v>
      </c>
      <c r="M3241" s="93">
        <v>2.5</v>
      </c>
      <c r="N3241" s="93" t="s">
        <v>113</v>
      </c>
      <c r="O3241" s="93">
        <v>28</v>
      </c>
      <c r="P3241" s="93">
        <v>28</v>
      </c>
      <c r="Q3241" s="93">
        <v>18</v>
      </c>
      <c r="R3241" s="93" t="s">
        <v>117</v>
      </c>
      <c r="S3241" s="93" t="s">
        <v>111</v>
      </c>
      <c r="T3241" s="93" t="s">
        <v>1659</v>
      </c>
      <c r="U3241" s="93" t="s">
        <v>116</v>
      </c>
      <c r="V3241" s="94">
        <v>44628.542361111111</v>
      </c>
      <c r="W3241" s="93" t="s">
        <v>1170</v>
      </c>
      <c r="X3241" s="93" t="s">
        <v>24</v>
      </c>
    </row>
    <row r="3242" spans="1:24" hidden="1" x14ac:dyDescent="0.15">
      <c r="A3242" s="93" t="s">
        <v>4831</v>
      </c>
      <c r="B3242" s="93" t="s">
        <v>4832</v>
      </c>
      <c r="C3242" s="410">
        <v>107.1</v>
      </c>
      <c r="D3242" s="93" t="s">
        <v>24</v>
      </c>
      <c r="E3242" s="93" t="s">
        <v>24</v>
      </c>
      <c r="F3242" s="93" t="s">
        <v>7070</v>
      </c>
      <c r="G3242" s="93" t="s">
        <v>8237</v>
      </c>
      <c r="H3242" s="93" t="s">
        <v>11</v>
      </c>
      <c r="I3242" s="93" t="s">
        <v>111</v>
      </c>
      <c r="J3242" s="93" t="s">
        <v>963</v>
      </c>
      <c r="K3242" s="93">
        <v>60</v>
      </c>
      <c r="L3242" s="93" t="s">
        <v>111</v>
      </c>
      <c r="M3242" s="93">
        <v>0.3</v>
      </c>
      <c r="N3242" s="93" t="s">
        <v>113</v>
      </c>
      <c r="O3242" s="93">
        <v>8</v>
      </c>
      <c r="P3242" s="93">
        <v>12</v>
      </c>
      <c r="Q3242" s="93">
        <v>13</v>
      </c>
      <c r="R3242" s="93" t="s">
        <v>117</v>
      </c>
      <c r="S3242" s="93" t="s">
        <v>111</v>
      </c>
      <c r="T3242" s="93" t="s">
        <v>1659</v>
      </c>
      <c r="U3242" s="93" t="s">
        <v>116</v>
      </c>
      <c r="V3242" s="94">
        <v>44628.474305555559</v>
      </c>
      <c r="W3242" s="93" t="s">
        <v>1170</v>
      </c>
      <c r="X3242" s="93" t="s">
        <v>24</v>
      </c>
    </row>
    <row r="3243" spans="1:24" hidden="1" x14ac:dyDescent="0.15">
      <c r="A3243" s="93" t="s">
        <v>4833</v>
      </c>
      <c r="B3243" s="93" t="s">
        <v>4834</v>
      </c>
      <c r="C3243" s="410">
        <v>111.3</v>
      </c>
      <c r="D3243" s="93" t="s">
        <v>24</v>
      </c>
      <c r="E3243" s="93" t="s">
        <v>24</v>
      </c>
      <c r="F3243" s="93" t="s">
        <v>7070</v>
      </c>
      <c r="G3243" s="93" t="s">
        <v>8237</v>
      </c>
      <c r="H3243" s="93" t="s">
        <v>11</v>
      </c>
      <c r="I3243" s="93" t="s">
        <v>111</v>
      </c>
      <c r="J3243" s="93" t="s">
        <v>963</v>
      </c>
      <c r="K3243" s="93">
        <v>60</v>
      </c>
      <c r="L3243" s="93" t="s">
        <v>111</v>
      </c>
      <c r="M3243" s="93">
        <v>0.45</v>
      </c>
      <c r="N3243" s="93" t="s">
        <v>113</v>
      </c>
      <c r="O3243" s="93">
        <v>5</v>
      </c>
      <c r="P3243" s="93">
        <v>9.6999999999999993</v>
      </c>
      <c r="Q3243" s="93">
        <v>52.5</v>
      </c>
      <c r="R3243" s="93" t="s">
        <v>122</v>
      </c>
      <c r="S3243" s="93" t="s">
        <v>2</v>
      </c>
      <c r="T3243" s="93" t="s">
        <v>1659</v>
      </c>
      <c r="U3243" s="93" t="s">
        <v>116</v>
      </c>
      <c r="V3243" s="94">
        <v>44628.51666666667</v>
      </c>
      <c r="W3243" s="93" t="s">
        <v>1170</v>
      </c>
      <c r="X3243" s="93" t="s">
        <v>24</v>
      </c>
    </row>
    <row r="3244" spans="1:24" hidden="1" x14ac:dyDescent="0.15">
      <c r="A3244" s="93" t="s">
        <v>4835</v>
      </c>
      <c r="B3244" s="93" t="s">
        <v>4836</v>
      </c>
      <c r="C3244" s="410">
        <v>189</v>
      </c>
      <c r="D3244" s="93" t="s">
        <v>24</v>
      </c>
      <c r="E3244" s="93" t="s">
        <v>24</v>
      </c>
      <c r="F3244" s="93" t="s">
        <v>7070</v>
      </c>
      <c r="G3244" s="93" t="s">
        <v>8237</v>
      </c>
      <c r="H3244" s="93" t="s">
        <v>11</v>
      </c>
      <c r="I3244" s="93" t="s">
        <v>111</v>
      </c>
      <c r="J3244" s="93" t="s">
        <v>1759</v>
      </c>
      <c r="K3244" s="93">
        <v>70</v>
      </c>
      <c r="L3244" s="93" t="s">
        <v>111</v>
      </c>
      <c r="M3244" s="93">
        <v>0.5</v>
      </c>
      <c r="N3244" s="93" t="s">
        <v>113</v>
      </c>
      <c r="O3244" s="93">
        <v>5</v>
      </c>
      <c r="P3244" s="93">
        <v>7</v>
      </c>
      <c r="Q3244" s="93">
        <v>9</v>
      </c>
      <c r="R3244" s="93" t="s">
        <v>117</v>
      </c>
      <c r="S3244" s="93" t="s">
        <v>659</v>
      </c>
      <c r="T3244" s="93" t="s">
        <v>115</v>
      </c>
      <c r="U3244" s="93" t="s">
        <v>116</v>
      </c>
      <c r="V3244" s="94">
        <v>44628.601388888892</v>
      </c>
      <c r="W3244" s="93" t="s">
        <v>1170</v>
      </c>
      <c r="X3244" s="93" t="s">
        <v>24</v>
      </c>
    </row>
    <row r="3245" spans="1:24" hidden="1" x14ac:dyDescent="0.15">
      <c r="A3245" s="93" t="s">
        <v>4837</v>
      </c>
      <c r="B3245" s="93" t="s">
        <v>4838</v>
      </c>
      <c r="C3245" s="410">
        <v>2520</v>
      </c>
      <c r="D3245" s="93" t="s">
        <v>9</v>
      </c>
      <c r="E3245" s="93" t="s">
        <v>9</v>
      </c>
      <c r="F3245" s="93" t="s">
        <v>1648</v>
      </c>
      <c r="G3245" s="93" t="s">
        <v>9117</v>
      </c>
      <c r="H3245" s="93" t="s">
        <v>1943</v>
      </c>
      <c r="I3245" s="93" t="s">
        <v>111</v>
      </c>
      <c r="J3245" s="93" t="s">
        <v>1675</v>
      </c>
      <c r="K3245" s="93">
        <v>60</v>
      </c>
      <c r="L3245" s="93" t="s">
        <v>111</v>
      </c>
      <c r="M3245" s="93">
        <v>3.9</v>
      </c>
      <c r="N3245" s="93" t="s">
        <v>113</v>
      </c>
      <c r="O3245" s="93">
        <v>12</v>
      </c>
      <c r="P3245" s="93">
        <v>35</v>
      </c>
      <c r="Q3245" s="93">
        <v>41</v>
      </c>
      <c r="R3245" s="93" t="s">
        <v>117</v>
      </c>
      <c r="S3245" s="93" t="s">
        <v>659</v>
      </c>
      <c r="T3245" s="93" t="s">
        <v>1659</v>
      </c>
      <c r="U3245" s="93" t="s">
        <v>116</v>
      </c>
      <c r="V3245" s="94">
        <v>44628.511111111111</v>
      </c>
      <c r="W3245" s="93" t="s">
        <v>1555</v>
      </c>
      <c r="X3245" s="93" t="s">
        <v>24</v>
      </c>
    </row>
    <row r="3246" spans="1:24" hidden="1" x14ac:dyDescent="0.15">
      <c r="A3246" s="93" t="s">
        <v>4839</v>
      </c>
      <c r="B3246" s="93" t="s">
        <v>4840</v>
      </c>
      <c r="C3246" s="410">
        <v>2520</v>
      </c>
      <c r="D3246" s="93" t="s">
        <v>9</v>
      </c>
      <c r="E3246" s="93" t="s">
        <v>9</v>
      </c>
      <c r="F3246" s="93" t="s">
        <v>1648</v>
      </c>
      <c r="G3246" s="93" t="s">
        <v>9117</v>
      </c>
      <c r="H3246" s="93" t="s">
        <v>1943</v>
      </c>
      <c r="I3246" s="93" t="s">
        <v>111</v>
      </c>
      <c r="J3246" s="93" t="s">
        <v>1675</v>
      </c>
      <c r="K3246" s="93">
        <v>60</v>
      </c>
      <c r="L3246" s="93" t="s">
        <v>111</v>
      </c>
      <c r="M3246" s="93">
        <v>3.9</v>
      </c>
      <c r="N3246" s="93" t="s">
        <v>113</v>
      </c>
      <c r="O3246" s="93">
        <v>12</v>
      </c>
      <c r="P3246" s="93">
        <v>35</v>
      </c>
      <c r="Q3246" s="93">
        <v>41</v>
      </c>
      <c r="R3246" s="93" t="s">
        <v>117</v>
      </c>
      <c r="S3246" s="93" t="s">
        <v>659</v>
      </c>
      <c r="T3246" s="93" t="s">
        <v>1659</v>
      </c>
      <c r="U3246" s="93" t="s">
        <v>116</v>
      </c>
      <c r="V3246" s="94">
        <v>44628.533333333333</v>
      </c>
      <c r="W3246" s="93" t="s">
        <v>1555</v>
      </c>
      <c r="X3246" s="93" t="s">
        <v>24</v>
      </c>
    </row>
    <row r="3247" spans="1:24" hidden="1" x14ac:dyDescent="0.15">
      <c r="A3247" s="93" t="s">
        <v>4841</v>
      </c>
      <c r="B3247" s="93" t="s">
        <v>4842</v>
      </c>
      <c r="C3247" s="410">
        <v>2520</v>
      </c>
      <c r="D3247" s="93" t="s">
        <v>9</v>
      </c>
      <c r="E3247" s="93" t="s">
        <v>9</v>
      </c>
      <c r="F3247" s="93" t="s">
        <v>1648</v>
      </c>
      <c r="G3247" s="93" t="s">
        <v>9117</v>
      </c>
      <c r="H3247" s="93" t="s">
        <v>1943</v>
      </c>
      <c r="I3247" s="93" t="s">
        <v>111</v>
      </c>
      <c r="J3247" s="93" t="s">
        <v>1675</v>
      </c>
      <c r="K3247" s="93">
        <v>60</v>
      </c>
      <c r="L3247" s="93" t="s">
        <v>111</v>
      </c>
      <c r="M3247" s="93">
        <v>3.9</v>
      </c>
      <c r="N3247" s="93" t="s">
        <v>113</v>
      </c>
      <c r="O3247" s="93">
        <v>12</v>
      </c>
      <c r="P3247" s="93">
        <v>35</v>
      </c>
      <c r="Q3247" s="93">
        <v>41</v>
      </c>
      <c r="R3247" s="93" t="s">
        <v>117</v>
      </c>
      <c r="S3247" s="93" t="s">
        <v>659</v>
      </c>
      <c r="T3247" s="93" t="s">
        <v>1659</v>
      </c>
      <c r="U3247" s="93" t="s">
        <v>116</v>
      </c>
      <c r="V3247" s="94">
        <v>44628.46875</v>
      </c>
      <c r="W3247" s="93" t="s">
        <v>1555</v>
      </c>
      <c r="X3247" s="93" t="s">
        <v>24</v>
      </c>
    </row>
    <row r="3248" spans="1:24" hidden="1" x14ac:dyDescent="0.15">
      <c r="A3248" s="93" t="s">
        <v>4843</v>
      </c>
      <c r="B3248" s="93" t="s">
        <v>4844</v>
      </c>
      <c r="C3248" s="410">
        <v>2520</v>
      </c>
      <c r="D3248" s="93" t="s">
        <v>9</v>
      </c>
      <c r="E3248" s="93" t="s">
        <v>9</v>
      </c>
      <c r="F3248" s="93" t="s">
        <v>1648</v>
      </c>
      <c r="G3248" s="93" t="s">
        <v>9117</v>
      </c>
      <c r="H3248" s="93" t="s">
        <v>1943</v>
      </c>
      <c r="I3248" s="93" t="s">
        <v>111</v>
      </c>
      <c r="J3248" s="93" t="s">
        <v>1675</v>
      </c>
      <c r="K3248" s="93">
        <v>60</v>
      </c>
      <c r="L3248" s="93" t="s">
        <v>111</v>
      </c>
      <c r="M3248" s="93">
        <v>3.9</v>
      </c>
      <c r="N3248" s="93" t="s">
        <v>113</v>
      </c>
      <c r="O3248" s="93">
        <v>12</v>
      </c>
      <c r="P3248" s="93">
        <v>35</v>
      </c>
      <c r="Q3248" s="93">
        <v>41</v>
      </c>
      <c r="R3248" s="93" t="s">
        <v>117</v>
      </c>
      <c r="S3248" s="93" t="s">
        <v>659</v>
      </c>
      <c r="T3248" s="93" t="s">
        <v>1659</v>
      </c>
      <c r="U3248" s="93" t="s">
        <v>116</v>
      </c>
      <c r="V3248" s="94">
        <v>44628.554861111108</v>
      </c>
      <c r="W3248" s="93" t="s">
        <v>1555</v>
      </c>
      <c r="X3248" s="93" t="s">
        <v>24</v>
      </c>
    </row>
    <row r="3249" spans="1:24" hidden="1" x14ac:dyDescent="0.15">
      <c r="A3249" s="93" t="s">
        <v>4845</v>
      </c>
      <c r="B3249" s="93" t="s">
        <v>4846</v>
      </c>
      <c r="C3249" s="410">
        <v>2520</v>
      </c>
      <c r="D3249" s="93" t="s">
        <v>9</v>
      </c>
      <c r="E3249" s="93" t="s">
        <v>9</v>
      </c>
      <c r="F3249" s="93" t="s">
        <v>1648</v>
      </c>
      <c r="G3249" s="93" t="s">
        <v>9117</v>
      </c>
      <c r="H3249" s="93" t="s">
        <v>1943</v>
      </c>
      <c r="I3249" s="93" t="s">
        <v>111</v>
      </c>
      <c r="J3249" s="93" t="s">
        <v>1675</v>
      </c>
      <c r="K3249" s="93">
        <v>60</v>
      </c>
      <c r="L3249" s="93" t="s">
        <v>111</v>
      </c>
      <c r="M3249" s="93">
        <v>3.9</v>
      </c>
      <c r="N3249" s="93" t="s">
        <v>113</v>
      </c>
      <c r="O3249" s="93">
        <v>12</v>
      </c>
      <c r="P3249" s="93">
        <v>35</v>
      </c>
      <c r="Q3249" s="93">
        <v>41</v>
      </c>
      <c r="R3249" s="93" t="s">
        <v>117</v>
      </c>
      <c r="S3249" s="93" t="s">
        <v>659</v>
      </c>
      <c r="T3249" s="93" t="s">
        <v>1659</v>
      </c>
      <c r="U3249" s="93" t="s">
        <v>116</v>
      </c>
      <c r="V3249" s="94">
        <v>44628.46875</v>
      </c>
      <c r="W3249" s="93" t="s">
        <v>1555</v>
      </c>
      <c r="X3249" s="93" t="s">
        <v>24</v>
      </c>
    </row>
    <row r="3250" spans="1:24" hidden="1" x14ac:dyDescent="0.15">
      <c r="A3250" s="93" t="s">
        <v>4847</v>
      </c>
      <c r="B3250" s="93" t="s">
        <v>4848</v>
      </c>
      <c r="C3250" s="410">
        <v>2520</v>
      </c>
      <c r="D3250" s="93" t="s">
        <v>9</v>
      </c>
      <c r="E3250" s="93" t="s">
        <v>9</v>
      </c>
      <c r="F3250" s="93" t="s">
        <v>1648</v>
      </c>
      <c r="G3250" s="93" t="s">
        <v>9117</v>
      </c>
      <c r="H3250" s="93" t="s">
        <v>1943</v>
      </c>
      <c r="I3250" s="93" t="s">
        <v>111</v>
      </c>
      <c r="J3250" s="93" t="s">
        <v>1675</v>
      </c>
      <c r="K3250" s="93">
        <v>60</v>
      </c>
      <c r="L3250" s="93" t="s">
        <v>111</v>
      </c>
      <c r="M3250" s="93">
        <v>3.9</v>
      </c>
      <c r="N3250" s="93" t="s">
        <v>113</v>
      </c>
      <c r="O3250" s="93">
        <v>12</v>
      </c>
      <c r="P3250" s="93">
        <v>35</v>
      </c>
      <c r="Q3250" s="93">
        <v>41</v>
      </c>
      <c r="R3250" s="93" t="s">
        <v>117</v>
      </c>
      <c r="S3250" s="93" t="s">
        <v>659</v>
      </c>
      <c r="T3250" s="93" t="s">
        <v>1659</v>
      </c>
      <c r="U3250" s="93" t="s">
        <v>116</v>
      </c>
      <c r="V3250" s="94">
        <v>44628.633333333331</v>
      </c>
      <c r="W3250" s="93" t="s">
        <v>1555</v>
      </c>
      <c r="X3250" s="93" t="s">
        <v>24</v>
      </c>
    </row>
    <row r="3251" spans="1:24" hidden="1" x14ac:dyDescent="0.15">
      <c r="A3251" s="93" t="s">
        <v>4849</v>
      </c>
      <c r="B3251" s="93" t="s">
        <v>4850</v>
      </c>
      <c r="C3251" s="410">
        <v>2520</v>
      </c>
      <c r="D3251" s="93" t="s">
        <v>9</v>
      </c>
      <c r="E3251" s="93" t="s">
        <v>9</v>
      </c>
      <c r="F3251" s="93" t="s">
        <v>1648</v>
      </c>
      <c r="G3251" s="93" t="s">
        <v>9117</v>
      </c>
      <c r="H3251" s="93" t="s">
        <v>1943</v>
      </c>
      <c r="I3251" s="93" t="s">
        <v>111</v>
      </c>
      <c r="J3251" s="93" t="s">
        <v>1675</v>
      </c>
      <c r="K3251" s="93">
        <v>60</v>
      </c>
      <c r="L3251" s="93" t="s">
        <v>111</v>
      </c>
      <c r="M3251" s="93">
        <v>3.9</v>
      </c>
      <c r="N3251" s="93" t="s">
        <v>113</v>
      </c>
      <c r="O3251" s="93">
        <v>12</v>
      </c>
      <c r="P3251" s="93">
        <v>35</v>
      </c>
      <c r="Q3251" s="93">
        <v>41</v>
      </c>
      <c r="R3251" s="93" t="s">
        <v>117</v>
      </c>
      <c r="S3251" s="93" t="s">
        <v>659</v>
      </c>
      <c r="T3251" s="93" t="s">
        <v>1659</v>
      </c>
      <c r="U3251" s="93" t="s">
        <v>116</v>
      </c>
      <c r="V3251" s="94">
        <v>44628.511805555558</v>
      </c>
      <c r="W3251" s="93" t="s">
        <v>1555</v>
      </c>
      <c r="X3251" s="93" t="s">
        <v>24</v>
      </c>
    </row>
    <row r="3252" spans="1:24" hidden="1" x14ac:dyDescent="0.15">
      <c r="A3252" s="93" t="s">
        <v>4851</v>
      </c>
      <c r="B3252" s="93" t="s">
        <v>4852</v>
      </c>
      <c r="C3252" s="410">
        <v>2520</v>
      </c>
      <c r="D3252" s="93" t="s">
        <v>9</v>
      </c>
      <c r="E3252" s="93" t="s">
        <v>9</v>
      </c>
      <c r="F3252" s="93" t="s">
        <v>1648</v>
      </c>
      <c r="G3252" s="93" t="s">
        <v>9117</v>
      </c>
      <c r="H3252" s="93" t="s">
        <v>1943</v>
      </c>
      <c r="I3252" s="93" t="s">
        <v>111</v>
      </c>
      <c r="J3252" s="93" t="s">
        <v>1675</v>
      </c>
      <c r="K3252" s="93">
        <v>60</v>
      </c>
      <c r="L3252" s="93" t="s">
        <v>111</v>
      </c>
      <c r="M3252" s="93">
        <v>3.9</v>
      </c>
      <c r="N3252" s="93" t="s">
        <v>113</v>
      </c>
      <c r="O3252" s="93">
        <v>12</v>
      </c>
      <c r="P3252" s="93">
        <v>35</v>
      </c>
      <c r="Q3252" s="93">
        <v>41</v>
      </c>
      <c r="R3252" s="93" t="s">
        <v>117</v>
      </c>
      <c r="S3252" s="93" t="s">
        <v>659</v>
      </c>
      <c r="T3252" s="93" t="s">
        <v>1659</v>
      </c>
      <c r="U3252" s="93" t="s">
        <v>116</v>
      </c>
      <c r="V3252" s="94">
        <v>44628.46875</v>
      </c>
      <c r="W3252" s="93" t="s">
        <v>1555</v>
      </c>
      <c r="X3252" s="93" t="s">
        <v>24</v>
      </c>
    </row>
    <row r="3253" spans="1:24" hidden="1" x14ac:dyDescent="0.15">
      <c r="A3253" s="93" t="s">
        <v>4853</v>
      </c>
      <c r="B3253" s="93" t="s">
        <v>4854</v>
      </c>
      <c r="C3253" s="410">
        <v>2520</v>
      </c>
      <c r="D3253" s="93" t="s">
        <v>9</v>
      </c>
      <c r="E3253" s="93" t="s">
        <v>9</v>
      </c>
      <c r="F3253" s="93" t="s">
        <v>1648</v>
      </c>
      <c r="G3253" s="93" t="s">
        <v>9117</v>
      </c>
      <c r="H3253" s="93" t="s">
        <v>1943</v>
      </c>
      <c r="I3253" s="93" t="s">
        <v>111</v>
      </c>
      <c r="J3253" s="93" t="s">
        <v>1675</v>
      </c>
      <c r="K3253" s="93">
        <v>60</v>
      </c>
      <c r="L3253" s="93" t="s">
        <v>111</v>
      </c>
      <c r="M3253" s="93">
        <v>3.9</v>
      </c>
      <c r="N3253" s="93" t="s">
        <v>113</v>
      </c>
      <c r="O3253" s="93">
        <v>12</v>
      </c>
      <c r="P3253" s="93">
        <v>35</v>
      </c>
      <c r="Q3253" s="93">
        <v>41</v>
      </c>
      <c r="R3253" s="93" t="s">
        <v>117</v>
      </c>
      <c r="S3253" s="93" t="s">
        <v>659</v>
      </c>
      <c r="T3253" s="93" t="s">
        <v>1659</v>
      </c>
      <c r="U3253" s="93" t="s">
        <v>116</v>
      </c>
      <c r="V3253" s="94">
        <v>44628.576388888891</v>
      </c>
      <c r="W3253" s="93" t="s">
        <v>1555</v>
      </c>
      <c r="X3253" s="93" t="s">
        <v>24</v>
      </c>
    </row>
    <row r="3254" spans="1:24" hidden="1" x14ac:dyDescent="0.15">
      <c r="A3254" s="93" t="s">
        <v>4855</v>
      </c>
      <c r="B3254" s="93" t="s">
        <v>4856</v>
      </c>
      <c r="C3254" s="410">
        <v>2520</v>
      </c>
      <c r="D3254" s="93" t="s">
        <v>9</v>
      </c>
      <c r="E3254" s="93" t="s">
        <v>9</v>
      </c>
      <c r="F3254" s="93" t="s">
        <v>1648</v>
      </c>
      <c r="G3254" s="93" t="s">
        <v>9117</v>
      </c>
      <c r="H3254" s="93" t="s">
        <v>1943</v>
      </c>
      <c r="I3254" s="93" t="s">
        <v>111</v>
      </c>
      <c r="J3254" s="93" t="s">
        <v>1675</v>
      </c>
      <c r="K3254" s="93">
        <v>60</v>
      </c>
      <c r="L3254" s="93" t="s">
        <v>111</v>
      </c>
      <c r="M3254" s="93">
        <v>3.9</v>
      </c>
      <c r="N3254" s="93" t="s">
        <v>113</v>
      </c>
      <c r="O3254" s="93">
        <v>12</v>
      </c>
      <c r="P3254" s="93">
        <v>35</v>
      </c>
      <c r="Q3254" s="93">
        <v>41</v>
      </c>
      <c r="R3254" s="93" t="s">
        <v>117</v>
      </c>
      <c r="S3254" s="93" t="s">
        <v>659</v>
      </c>
      <c r="T3254" s="93" t="s">
        <v>1659</v>
      </c>
      <c r="U3254" s="93" t="s">
        <v>116</v>
      </c>
      <c r="V3254" s="94">
        <v>44628.468055555553</v>
      </c>
      <c r="W3254" s="93" t="s">
        <v>1555</v>
      </c>
      <c r="X3254" s="93" t="s">
        <v>24</v>
      </c>
    </row>
    <row r="3255" spans="1:24" hidden="1" x14ac:dyDescent="0.15">
      <c r="A3255" s="93" t="s">
        <v>4857</v>
      </c>
      <c r="B3255" s="93" t="s">
        <v>4858</v>
      </c>
      <c r="C3255" s="410">
        <v>2520</v>
      </c>
      <c r="D3255" s="93" t="s">
        <v>9</v>
      </c>
      <c r="E3255" s="93" t="s">
        <v>9</v>
      </c>
      <c r="F3255" s="93" t="s">
        <v>1648</v>
      </c>
      <c r="G3255" s="93" t="s">
        <v>9117</v>
      </c>
      <c r="H3255" s="93" t="s">
        <v>1943</v>
      </c>
      <c r="I3255" s="93" t="s">
        <v>111</v>
      </c>
      <c r="J3255" s="93" t="s">
        <v>1675</v>
      </c>
      <c r="K3255" s="93">
        <v>60</v>
      </c>
      <c r="L3255" s="93" t="s">
        <v>111</v>
      </c>
      <c r="M3255" s="93">
        <v>3.9</v>
      </c>
      <c r="N3255" s="93" t="s">
        <v>113</v>
      </c>
      <c r="O3255" s="93">
        <v>12</v>
      </c>
      <c r="P3255" s="93">
        <v>35</v>
      </c>
      <c r="Q3255" s="93">
        <v>41</v>
      </c>
      <c r="R3255" s="93" t="s">
        <v>117</v>
      </c>
      <c r="S3255" s="93" t="s">
        <v>659</v>
      </c>
      <c r="T3255" s="93" t="s">
        <v>1659</v>
      </c>
      <c r="U3255" s="93" t="s">
        <v>116</v>
      </c>
      <c r="V3255" s="94">
        <v>44628.511805555558</v>
      </c>
      <c r="W3255" s="93" t="s">
        <v>1555</v>
      </c>
      <c r="X3255" s="93" t="s">
        <v>24</v>
      </c>
    </row>
    <row r="3256" spans="1:24" hidden="1" x14ac:dyDescent="0.15">
      <c r="A3256" s="93" t="s">
        <v>4859</v>
      </c>
      <c r="B3256" s="93" t="s">
        <v>4860</v>
      </c>
      <c r="C3256" s="410">
        <v>2520</v>
      </c>
      <c r="D3256" s="93" t="s">
        <v>9</v>
      </c>
      <c r="E3256" s="93" t="s">
        <v>9</v>
      </c>
      <c r="F3256" s="93" t="s">
        <v>1648</v>
      </c>
      <c r="G3256" s="93" t="s">
        <v>9117</v>
      </c>
      <c r="H3256" s="93" t="s">
        <v>1943</v>
      </c>
      <c r="I3256" s="93" t="s">
        <v>111</v>
      </c>
      <c r="J3256" s="93" t="s">
        <v>1675</v>
      </c>
      <c r="K3256" s="93">
        <v>60</v>
      </c>
      <c r="L3256" s="93" t="s">
        <v>111</v>
      </c>
      <c r="M3256" s="93">
        <v>3.9</v>
      </c>
      <c r="N3256" s="93" t="s">
        <v>113</v>
      </c>
      <c r="O3256" s="93">
        <v>12</v>
      </c>
      <c r="P3256" s="93">
        <v>35</v>
      </c>
      <c r="Q3256" s="93">
        <v>41</v>
      </c>
      <c r="R3256" s="93" t="s">
        <v>117</v>
      </c>
      <c r="S3256" s="93" t="s">
        <v>659</v>
      </c>
      <c r="T3256" s="93" t="s">
        <v>1659</v>
      </c>
      <c r="U3256" s="93" t="s">
        <v>116</v>
      </c>
      <c r="V3256" s="94">
        <v>44628.576388888891</v>
      </c>
      <c r="W3256" s="93" t="s">
        <v>1555</v>
      </c>
      <c r="X3256" s="93" t="s">
        <v>24</v>
      </c>
    </row>
    <row r="3257" spans="1:24" hidden="1" x14ac:dyDescent="0.15">
      <c r="A3257" s="93" t="s">
        <v>4861</v>
      </c>
      <c r="B3257" s="93" t="s">
        <v>4862</v>
      </c>
      <c r="C3257" s="410">
        <v>236.25</v>
      </c>
      <c r="D3257" s="93" t="s">
        <v>24</v>
      </c>
      <c r="E3257" s="93" t="s">
        <v>24</v>
      </c>
      <c r="F3257" s="93" t="s">
        <v>7070</v>
      </c>
      <c r="G3257" s="93" t="s">
        <v>8237</v>
      </c>
      <c r="H3257" s="93" t="s">
        <v>11</v>
      </c>
      <c r="I3257" s="93" t="s">
        <v>111</v>
      </c>
      <c r="J3257" s="93" t="s">
        <v>1675</v>
      </c>
      <c r="K3257" s="93">
        <v>60</v>
      </c>
      <c r="L3257" s="93" t="s">
        <v>111</v>
      </c>
      <c r="M3257" s="93">
        <v>3</v>
      </c>
      <c r="N3257" s="93" t="s">
        <v>113</v>
      </c>
      <c r="O3257" s="93">
        <v>8</v>
      </c>
      <c r="P3257" s="93">
        <v>29</v>
      </c>
      <c r="Q3257" s="93">
        <v>20</v>
      </c>
      <c r="R3257" s="93" t="s">
        <v>117</v>
      </c>
      <c r="S3257" s="93" t="s">
        <v>659</v>
      </c>
      <c r="T3257" s="93" t="s">
        <v>115</v>
      </c>
      <c r="U3257" s="93" t="s">
        <v>116</v>
      </c>
      <c r="V3257" s="94">
        <v>44628.633333333331</v>
      </c>
      <c r="W3257" s="93" t="s">
        <v>1555</v>
      </c>
      <c r="X3257" s="93" t="s">
        <v>24</v>
      </c>
    </row>
    <row r="3258" spans="1:24" hidden="1" x14ac:dyDescent="0.15">
      <c r="A3258" s="93" t="s">
        <v>4863</v>
      </c>
      <c r="B3258" s="93" t="s">
        <v>4864</v>
      </c>
      <c r="C3258" s="410">
        <v>682.5</v>
      </c>
      <c r="D3258" s="93" t="s">
        <v>24</v>
      </c>
      <c r="E3258" s="93" t="s">
        <v>24</v>
      </c>
      <c r="F3258" s="93" t="s">
        <v>7070</v>
      </c>
      <c r="G3258" s="93" t="s">
        <v>8237</v>
      </c>
      <c r="H3258" s="93" t="s">
        <v>11</v>
      </c>
      <c r="I3258" s="93" t="s">
        <v>111</v>
      </c>
      <c r="J3258" s="93" t="s">
        <v>1675</v>
      </c>
      <c r="K3258" s="93">
        <v>60</v>
      </c>
      <c r="L3258" s="93" t="s">
        <v>111</v>
      </c>
      <c r="M3258" s="93">
        <v>2</v>
      </c>
      <c r="N3258" s="93" t="s">
        <v>113</v>
      </c>
      <c r="O3258" s="93">
        <v>18</v>
      </c>
      <c r="P3258" s="93">
        <v>33</v>
      </c>
      <c r="Q3258" s="93">
        <v>37</v>
      </c>
      <c r="R3258" s="93" t="s">
        <v>117</v>
      </c>
      <c r="S3258" s="93" t="s">
        <v>659</v>
      </c>
      <c r="T3258" s="93" t="s">
        <v>115</v>
      </c>
      <c r="U3258" s="93" t="s">
        <v>119</v>
      </c>
      <c r="V3258" s="94">
        <v>44628.468055555553</v>
      </c>
      <c r="W3258" s="93" t="s">
        <v>1555</v>
      </c>
      <c r="X3258" s="93" t="s">
        <v>24</v>
      </c>
    </row>
    <row r="3259" spans="1:24" hidden="1" x14ac:dyDescent="0.15">
      <c r="A3259" s="93" t="s">
        <v>4865</v>
      </c>
      <c r="B3259" s="93" t="s">
        <v>4866</v>
      </c>
      <c r="C3259" s="410">
        <v>393.75</v>
      </c>
      <c r="D3259" s="93" t="s">
        <v>24</v>
      </c>
      <c r="E3259" s="93" t="s">
        <v>24</v>
      </c>
      <c r="F3259" s="93" t="s">
        <v>7070</v>
      </c>
      <c r="G3259" s="93" t="s">
        <v>8237</v>
      </c>
      <c r="H3259" s="93" t="s">
        <v>11</v>
      </c>
      <c r="I3259" s="93" t="s">
        <v>111</v>
      </c>
      <c r="J3259" s="93" t="s">
        <v>1675</v>
      </c>
      <c r="K3259" s="93">
        <v>60</v>
      </c>
      <c r="L3259" s="93" t="s">
        <v>111</v>
      </c>
      <c r="M3259" s="93">
        <v>1</v>
      </c>
      <c r="N3259" s="93" t="s">
        <v>113</v>
      </c>
      <c r="O3259" s="93">
        <v>7</v>
      </c>
      <c r="P3259" s="93">
        <v>6</v>
      </c>
      <c r="Q3259" s="93">
        <v>10</v>
      </c>
      <c r="R3259" s="93" t="s">
        <v>117</v>
      </c>
      <c r="S3259" s="93" t="s">
        <v>659</v>
      </c>
      <c r="T3259" s="93" t="s">
        <v>115</v>
      </c>
      <c r="U3259" s="93" t="s">
        <v>116</v>
      </c>
      <c r="V3259" s="94">
        <v>44628.633333333331</v>
      </c>
      <c r="W3259" s="93" t="s">
        <v>1555</v>
      </c>
      <c r="X3259" s="93" t="s">
        <v>24</v>
      </c>
    </row>
    <row r="3260" spans="1:24" hidden="1" x14ac:dyDescent="0.15">
      <c r="A3260" s="93" t="s">
        <v>4867</v>
      </c>
      <c r="B3260" s="93" t="s">
        <v>4868</v>
      </c>
      <c r="C3260" s="410">
        <v>2205</v>
      </c>
      <c r="D3260" s="93" t="s">
        <v>24</v>
      </c>
      <c r="E3260" s="93" t="s">
        <v>24</v>
      </c>
      <c r="F3260" s="93" t="s">
        <v>7070</v>
      </c>
      <c r="G3260" s="93" t="s">
        <v>8237</v>
      </c>
      <c r="H3260" s="93" t="s">
        <v>11</v>
      </c>
      <c r="I3260" s="93" t="s">
        <v>111</v>
      </c>
      <c r="J3260" s="93" t="s">
        <v>1675</v>
      </c>
      <c r="K3260" s="93">
        <v>60</v>
      </c>
      <c r="L3260" s="93" t="s">
        <v>111</v>
      </c>
      <c r="M3260" s="93">
        <v>2</v>
      </c>
      <c r="N3260" s="93" t="s">
        <v>113</v>
      </c>
      <c r="O3260" s="93">
        <v>31</v>
      </c>
      <c r="P3260" s="93">
        <v>31</v>
      </c>
      <c r="Q3260" s="93">
        <v>34.200000000000003</v>
      </c>
      <c r="R3260" s="93" t="s">
        <v>117</v>
      </c>
      <c r="S3260" s="93" t="s">
        <v>659</v>
      </c>
      <c r="T3260" s="93" t="s">
        <v>115</v>
      </c>
      <c r="U3260" s="93" t="s">
        <v>116</v>
      </c>
      <c r="V3260" s="94">
        <v>44628.554861111108</v>
      </c>
      <c r="W3260" s="93" t="s">
        <v>1555</v>
      </c>
      <c r="X3260" s="93" t="s">
        <v>24</v>
      </c>
    </row>
    <row r="3261" spans="1:24" hidden="1" x14ac:dyDescent="0.15">
      <c r="A3261" s="93" t="s">
        <v>4869</v>
      </c>
      <c r="B3261" s="93" t="s">
        <v>4870</v>
      </c>
      <c r="C3261" s="410">
        <v>2205</v>
      </c>
      <c r="D3261" s="93" t="s">
        <v>24</v>
      </c>
      <c r="E3261" s="93" t="s">
        <v>24</v>
      </c>
      <c r="F3261" s="93" t="s">
        <v>7070</v>
      </c>
      <c r="G3261" s="93" t="s">
        <v>8237</v>
      </c>
      <c r="H3261" s="93" t="s">
        <v>11</v>
      </c>
      <c r="I3261" s="93" t="s">
        <v>111</v>
      </c>
      <c r="J3261" s="93" t="s">
        <v>1675</v>
      </c>
      <c r="K3261" s="93">
        <v>60</v>
      </c>
      <c r="L3261" s="93" t="s">
        <v>111</v>
      </c>
      <c r="M3261" s="93">
        <v>2</v>
      </c>
      <c r="N3261" s="93" t="s">
        <v>113</v>
      </c>
      <c r="O3261" s="93">
        <v>30.6</v>
      </c>
      <c r="P3261" s="93">
        <v>30.4</v>
      </c>
      <c r="Q3261" s="93">
        <v>36.700000000000003</v>
      </c>
      <c r="R3261" s="93" t="s">
        <v>117</v>
      </c>
      <c r="S3261" s="93" t="s">
        <v>659</v>
      </c>
      <c r="T3261" s="93" t="s">
        <v>115</v>
      </c>
      <c r="U3261" s="93" t="s">
        <v>116</v>
      </c>
      <c r="V3261" s="94">
        <v>44628.489583333336</v>
      </c>
      <c r="W3261" s="93" t="s">
        <v>1555</v>
      </c>
      <c r="X3261" s="93" t="s">
        <v>24</v>
      </c>
    </row>
    <row r="3262" spans="1:24" hidden="1" x14ac:dyDescent="0.15">
      <c r="A3262" s="93" t="s">
        <v>4871</v>
      </c>
      <c r="B3262" s="93" t="s">
        <v>4872</v>
      </c>
      <c r="C3262" s="410">
        <v>1680</v>
      </c>
      <c r="D3262" s="93" t="s">
        <v>24</v>
      </c>
      <c r="E3262" s="93" t="s">
        <v>24</v>
      </c>
      <c r="F3262" s="93" t="s">
        <v>7070</v>
      </c>
      <c r="G3262" s="93" t="s">
        <v>8237</v>
      </c>
      <c r="H3262" s="93" t="s">
        <v>11</v>
      </c>
      <c r="I3262" s="93" t="s">
        <v>111</v>
      </c>
      <c r="J3262" s="93" t="s">
        <v>1675</v>
      </c>
      <c r="K3262" s="93">
        <v>60</v>
      </c>
      <c r="L3262" s="93" t="s">
        <v>111</v>
      </c>
      <c r="M3262" s="93">
        <v>2</v>
      </c>
      <c r="N3262" s="93" t="s">
        <v>113</v>
      </c>
      <c r="O3262" s="93">
        <v>30.6</v>
      </c>
      <c r="P3262" s="93">
        <v>30.4</v>
      </c>
      <c r="Q3262" s="93">
        <v>36.700000000000003</v>
      </c>
      <c r="R3262" s="93" t="s">
        <v>117</v>
      </c>
      <c r="S3262" s="93" t="s">
        <v>659</v>
      </c>
      <c r="T3262" s="93" t="s">
        <v>115</v>
      </c>
      <c r="U3262" s="93" t="s">
        <v>116</v>
      </c>
      <c r="V3262" s="94">
        <v>44628.489583333336</v>
      </c>
      <c r="W3262" s="93" t="s">
        <v>1555</v>
      </c>
      <c r="X3262" s="93" t="s">
        <v>24</v>
      </c>
    </row>
    <row r="3263" spans="1:24" hidden="1" x14ac:dyDescent="0.15">
      <c r="A3263" s="93" t="s">
        <v>4873</v>
      </c>
      <c r="B3263" s="93" t="s">
        <v>4874</v>
      </c>
      <c r="C3263" s="410">
        <v>1102.5</v>
      </c>
      <c r="D3263" s="93" t="s">
        <v>24</v>
      </c>
      <c r="E3263" s="93" t="s">
        <v>24</v>
      </c>
      <c r="F3263" s="93" t="s">
        <v>1648</v>
      </c>
      <c r="G3263" s="93" t="s">
        <v>8237</v>
      </c>
      <c r="H3263" s="93" t="s">
        <v>11</v>
      </c>
      <c r="I3263" s="93" t="s">
        <v>111</v>
      </c>
      <c r="J3263" s="93" t="s">
        <v>1675</v>
      </c>
      <c r="K3263" s="93">
        <v>60</v>
      </c>
      <c r="L3263" s="93" t="s">
        <v>111</v>
      </c>
      <c r="M3263" s="93">
        <v>2</v>
      </c>
      <c r="N3263" s="93" t="s">
        <v>113</v>
      </c>
      <c r="O3263" s="93">
        <v>30.6</v>
      </c>
      <c r="P3263" s="93">
        <v>30.4</v>
      </c>
      <c r="Q3263" s="93">
        <v>36.700000000000003</v>
      </c>
      <c r="R3263" s="93" t="s">
        <v>117</v>
      </c>
      <c r="S3263" s="93" t="s">
        <v>659</v>
      </c>
      <c r="T3263" s="93" t="s">
        <v>115</v>
      </c>
      <c r="U3263" s="93" t="s">
        <v>116</v>
      </c>
      <c r="V3263" s="94">
        <v>44628.554861111108</v>
      </c>
      <c r="W3263" s="93" t="s">
        <v>1555</v>
      </c>
      <c r="X3263" s="93" t="s">
        <v>24</v>
      </c>
    </row>
    <row r="3264" spans="1:24" hidden="1" x14ac:dyDescent="0.15">
      <c r="A3264" s="93" t="s">
        <v>4875</v>
      </c>
      <c r="B3264" s="93" t="s">
        <v>4876</v>
      </c>
      <c r="C3264" s="410">
        <v>761.25</v>
      </c>
      <c r="D3264" s="93" t="s">
        <v>9</v>
      </c>
      <c r="E3264" s="93" t="s">
        <v>9</v>
      </c>
      <c r="F3264" s="93" t="s">
        <v>1648</v>
      </c>
      <c r="G3264" s="93" t="s">
        <v>9117</v>
      </c>
      <c r="H3264" s="93" t="s">
        <v>1943</v>
      </c>
      <c r="I3264" s="93" t="s">
        <v>111</v>
      </c>
      <c r="J3264" s="93" t="s">
        <v>1675</v>
      </c>
      <c r="K3264" s="93">
        <v>60</v>
      </c>
      <c r="L3264" s="93" t="s">
        <v>111</v>
      </c>
      <c r="M3264" s="93">
        <v>3.5</v>
      </c>
      <c r="N3264" s="93" t="s">
        <v>113</v>
      </c>
      <c r="O3264" s="93">
        <v>10</v>
      </c>
      <c r="P3264" s="93">
        <v>30</v>
      </c>
      <c r="Q3264" s="93">
        <v>34</v>
      </c>
      <c r="R3264" s="93" t="s">
        <v>117</v>
      </c>
      <c r="S3264" s="93" t="s">
        <v>659</v>
      </c>
      <c r="T3264" s="93" t="s">
        <v>115</v>
      </c>
      <c r="U3264" s="93" t="s">
        <v>116</v>
      </c>
      <c r="V3264" s="94">
        <v>44628.489583333336</v>
      </c>
      <c r="W3264" s="93" t="s">
        <v>1555</v>
      </c>
      <c r="X3264" s="93" t="s">
        <v>24</v>
      </c>
    </row>
    <row r="3265" spans="1:24" hidden="1" x14ac:dyDescent="0.15">
      <c r="A3265" s="93" t="s">
        <v>4877</v>
      </c>
      <c r="B3265" s="93" t="s">
        <v>4878</v>
      </c>
      <c r="C3265" s="410">
        <v>761.25</v>
      </c>
      <c r="D3265" s="93" t="s">
        <v>9</v>
      </c>
      <c r="E3265" s="93" t="s">
        <v>9</v>
      </c>
      <c r="F3265" s="93" t="s">
        <v>1648</v>
      </c>
      <c r="G3265" s="93" t="s">
        <v>9117</v>
      </c>
      <c r="H3265" s="93" t="s">
        <v>1943</v>
      </c>
      <c r="I3265" s="93" t="s">
        <v>111</v>
      </c>
      <c r="J3265" s="93" t="s">
        <v>1675</v>
      </c>
      <c r="K3265" s="93">
        <v>60</v>
      </c>
      <c r="L3265" s="93" t="s">
        <v>111</v>
      </c>
      <c r="M3265" s="93">
        <v>3.5</v>
      </c>
      <c r="N3265" s="93" t="s">
        <v>113</v>
      </c>
      <c r="O3265" s="93">
        <v>10</v>
      </c>
      <c r="P3265" s="93">
        <v>30</v>
      </c>
      <c r="Q3265" s="93">
        <v>34</v>
      </c>
      <c r="R3265" s="93" t="s">
        <v>117</v>
      </c>
      <c r="S3265" s="93" t="s">
        <v>659</v>
      </c>
      <c r="T3265" s="93" t="s">
        <v>115</v>
      </c>
      <c r="U3265" s="93" t="s">
        <v>116</v>
      </c>
      <c r="V3265" s="94">
        <v>44628.597916666666</v>
      </c>
      <c r="W3265" s="93" t="s">
        <v>1555</v>
      </c>
      <c r="X3265" s="93" t="s">
        <v>24</v>
      </c>
    </row>
    <row r="3266" spans="1:24" hidden="1" x14ac:dyDescent="0.15">
      <c r="A3266" s="93" t="s">
        <v>4879</v>
      </c>
      <c r="B3266" s="93" t="s">
        <v>4880</v>
      </c>
      <c r="C3266" s="410">
        <v>761.25</v>
      </c>
      <c r="D3266" s="93" t="s">
        <v>9</v>
      </c>
      <c r="E3266" s="93" t="s">
        <v>9</v>
      </c>
      <c r="F3266" s="93" t="s">
        <v>1648</v>
      </c>
      <c r="G3266" s="93" t="s">
        <v>9117</v>
      </c>
      <c r="H3266" s="93" t="s">
        <v>1943</v>
      </c>
      <c r="I3266" s="93" t="s">
        <v>111</v>
      </c>
      <c r="J3266" s="93" t="s">
        <v>1675</v>
      </c>
      <c r="K3266" s="93">
        <v>60</v>
      </c>
      <c r="L3266" s="93" t="s">
        <v>111</v>
      </c>
      <c r="M3266" s="93">
        <v>3.5</v>
      </c>
      <c r="N3266" s="93" t="s">
        <v>113</v>
      </c>
      <c r="O3266" s="93">
        <v>10</v>
      </c>
      <c r="P3266" s="93">
        <v>30</v>
      </c>
      <c r="Q3266" s="93">
        <v>34</v>
      </c>
      <c r="R3266" s="93" t="s">
        <v>117</v>
      </c>
      <c r="S3266" s="93" t="s">
        <v>659</v>
      </c>
      <c r="T3266" s="93" t="s">
        <v>115</v>
      </c>
      <c r="U3266" s="93" t="s">
        <v>116</v>
      </c>
      <c r="V3266" s="94">
        <v>44628.489583333336</v>
      </c>
      <c r="W3266" s="93" t="s">
        <v>1555</v>
      </c>
      <c r="X3266" s="93" t="s">
        <v>24</v>
      </c>
    </row>
    <row r="3267" spans="1:24" hidden="1" x14ac:dyDescent="0.15">
      <c r="A3267" s="93" t="s">
        <v>4881</v>
      </c>
      <c r="B3267" s="93" t="s">
        <v>4882</v>
      </c>
      <c r="C3267" s="410">
        <v>761.25</v>
      </c>
      <c r="D3267" s="93" t="s">
        <v>9</v>
      </c>
      <c r="E3267" s="93" t="s">
        <v>9</v>
      </c>
      <c r="F3267" s="93" t="s">
        <v>1648</v>
      </c>
      <c r="G3267" s="93" t="s">
        <v>9117</v>
      </c>
      <c r="H3267" s="93" t="s">
        <v>1943</v>
      </c>
      <c r="I3267" s="93" t="s">
        <v>111</v>
      </c>
      <c r="J3267" s="93" t="s">
        <v>1675</v>
      </c>
      <c r="K3267" s="93">
        <v>60</v>
      </c>
      <c r="L3267" s="93" t="s">
        <v>111</v>
      </c>
      <c r="M3267" s="93">
        <v>3.5</v>
      </c>
      <c r="N3267" s="93" t="s">
        <v>113</v>
      </c>
      <c r="O3267" s="93">
        <v>10</v>
      </c>
      <c r="P3267" s="93">
        <v>30</v>
      </c>
      <c r="Q3267" s="93">
        <v>34</v>
      </c>
      <c r="R3267" s="93" t="s">
        <v>117</v>
      </c>
      <c r="S3267" s="93" t="s">
        <v>659</v>
      </c>
      <c r="T3267" s="93" t="s">
        <v>115</v>
      </c>
      <c r="U3267" s="93" t="s">
        <v>116</v>
      </c>
      <c r="V3267" s="94">
        <v>44628.554861111108</v>
      </c>
      <c r="W3267" s="93" t="s">
        <v>1555</v>
      </c>
      <c r="X3267" s="93" t="s">
        <v>24</v>
      </c>
    </row>
    <row r="3268" spans="1:24" hidden="1" x14ac:dyDescent="0.15">
      <c r="A3268" s="93" t="s">
        <v>4883</v>
      </c>
      <c r="B3268" s="93" t="s">
        <v>4884</v>
      </c>
      <c r="C3268" s="410">
        <v>761.25</v>
      </c>
      <c r="D3268" s="93" t="s">
        <v>9</v>
      </c>
      <c r="E3268" s="93" t="s">
        <v>9</v>
      </c>
      <c r="F3268" s="93" t="s">
        <v>1648</v>
      </c>
      <c r="G3268" s="93" t="s">
        <v>9117</v>
      </c>
      <c r="H3268" s="93" t="s">
        <v>1943</v>
      </c>
      <c r="I3268" s="93" t="s">
        <v>111</v>
      </c>
      <c r="J3268" s="93" t="s">
        <v>1675</v>
      </c>
      <c r="K3268" s="93">
        <v>60</v>
      </c>
      <c r="L3268" s="93" t="s">
        <v>111</v>
      </c>
      <c r="M3268" s="93">
        <v>3.5</v>
      </c>
      <c r="N3268" s="93" t="s">
        <v>113</v>
      </c>
      <c r="O3268" s="93">
        <v>10</v>
      </c>
      <c r="P3268" s="93">
        <v>30</v>
      </c>
      <c r="Q3268" s="93">
        <v>34</v>
      </c>
      <c r="R3268" s="93" t="s">
        <v>117</v>
      </c>
      <c r="S3268" s="93" t="s">
        <v>659</v>
      </c>
      <c r="T3268" s="93" t="s">
        <v>115</v>
      </c>
      <c r="U3268" s="93" t="s">
        <v>116</v>
      </c>
      <c r="V3268" s="94">
        <v>44628.533333333333</v>
      </c>
      <c r="W3268" s="93" t="s">
        <v>1555</v>
      </c>
      <c r="X3268" s="93" t="s">
        <v>24</v>
      </c>
    </row>
    <row r="3269" spans="1:24" hidden="1" x14ac:dyDescent="0.15">
      <c r="A3269" s="93" t="s">
        <v>4885</v>
      </c>
      <c r="B3269" s="93" t="s">
        <v>4886</v>
      </c>
      <c r="C3269" s="410">
        <v>761.25</v>
      </c>
      <c r="D3269" s="93" t="s">
        <v>9</v>
      </c>
      <c r="E3269" s="93" t="s">
        <v>9</v>
      </c>
      <c r="F3269" s="93" t="s">
        <v>1648</v>
      </c>
      <c r="G3269" s="93" t="s">
        <v>9117</v>
      </c>
      <c r="H3269" s="93" t="s">
        <v>1943</v>
      </c>
      <c r="I3269" s="93" t="s">
        <v>111</v>
      </c>
      <c r="J3269" s="93" t="s">
        <v>1675</v>
      </c>
      <c r="K3269" s="93">
        <v>60</v>
      </c>
      <c r="L3269" s="93" t="s">
        <v>111</v>
      </c>
      <c r="M3269" s="93">
        <v>3.5</v>
      </c>
      <c r="N3269" s="93" t="s">
        <v>113</v>
      </c>
      <c r="O3269" s="93">
        <v>10</v>
      </c>
      <c r="P3269" s="93">
        <v>30</v>
      </c>
      <c r="Q3269" s="93">
        <v>34</v>
      </c>
      <c r="R3269" s="93" t="s">
        <v>117</v>
      </c>
      <c r="S3269" s="93" t="s">
        <v>659</v>
      </c>
      <c r="T3269" s="93" t="s">
        <v>115</v>
      </c>
      <c r="U3269" s="93" t="s">
        <v>116</v>
      </c>
      <c r="V3269" s="94">
        <v>44628.576388888891</v>
      </c>
      <c r="W3269" s="93" t="s">
        <v>1555</v>
      </c>
      <c r="X3269" s="93" t="s">
        <v>24</v>
      </c>
    </row>
    <row r="3270" spans="1:24" hidden="1" x14ac:dyDescent="0.15">
      <c r="A3270" s="93" t="s">
        <v>4887</v>
      </c>
      <c r="B3270" s="93" t="s">
        <v>4888</v>
      </c>
      <c r="C3270" s="410">
        <v>761.25</v>
      </c>
      <c r="D3270" s="93" t="s">
        <v>9</v>
      </c>
      <c r="E3270" s="93" t="s">
        <v>9</v>
      </c>
      <c r="F3270" s="93" t="s">
        <v>1648</v>
      </c>
      <c r="G3270" s="93" t="s">
        <v>9117</v>
      </c>
      <c r="H3270" s="93" t="s">
        <v>1943</v>
      </c>
      <c r="I3270" s="93" t="s">
        <v>111</v>
      </c>
      <c r="J3270" s="93" t="s">
        <v>1675</v>
      </c>
      <c r="K3270" s="93">
        <v>60</v>
      </c>
      <c r="L3270" s="93" t="s">
        <v>111</v>
      </c>
      <c r="M3270" s="93">
        <v>3.5</v>
      </c>
      <c r="N3270" s="93" t="s">
        <v>113</v>
      </c>
      <c r="O3270" s="93">
        <v>10</v>
      </c>
      <c r="P3270" s="93">
        <v>30</v>
      </c>
      <c r="Q3270" s="93">
        <v>34</v>
      </c>
      <c r="R3270" s="93" t="s">
        <v>117</v>
      </c>
      <c r="S3270" s="93" t="s">
        <v>659</v>
      </c>
      <c r="T3270" s="93" t="s">
        <v>115</v>
      </c>
      <c r="U3270" s="93" t="s">
        <v>116</v>
      </c>
      <c r="V3270" s="94">
        <v>44628.533333333333</v>
      </c>
      <c r="W3270" s="93" t="s">
        <v>1555</v>
      </c>
      <c r="X3270" s="93" t="s">
        <v>24</v>
      </c>
    </row>
    <row r="3271" spans="1:24" hidden="1" x14ac:dyDescent="0.15">
      <c r="A3271" s="93" t="s">
        <v>4889</v>
      </c>
      <c r="B3271" s="93" t="s">
        <v>4890</v>
      </c>
      <c r="C3271" s="410">
        <v>761.25</v>
      </c>
      <c r="D3271" s="93" t="s">
        <v>9</v>
      </c>
      <c r="E3271" s="93" t="s">
        <v>9</v>
      </c>
      <c r="F3271" s="93" t="s">
        <v>1648</v>
      </c>
      <c r="G3271" s="93" t="s">
        <v>9117</v>
      </c>
      <c r="H3271" s="93" t="s">
        <v>1943</v>
      </c>
      <c r="I3271" s="93" t="s">
        <v>111</v>
      </c>
      <c r="J3271" s="93" t="s">
        <v>1675</v>
      </c>
      <c r="K3271" s="93">
        <v>60</v>
      </c>
      <c r="L3271" s="93" t="s">
        <v>111</v>
      </c>
      <c r="M3271" s="93">
        <v>3.5</v>
      </c>
      <c r="N3271" s="93" t="s">
        <v>113</v>
      </c>
      <c r="O3271" s="93">
        <v>10</v>
      </c>
      <c r="P3271" s="93">
        <v>30</v>
      </c>
      <c r="Q3271" s="93">
        <v>34</v>
      </c>
      <c r="R3271" s="93" t="s">
        <v>117</v>
      </c>
      <c r="S3271" s="93" t="s">
        <v>659</v>
      </c>
      <c r="T3271" s="93" t="s">
        <v>115</v>
      </c>
      <c r="U3271" s="93" t="s">
        <v>116</v>
      </c>
      <c r="V3271" s="94">
        <v>44628.597916666666</v>
      </c>
      <c r="W3271" s="93" t="s">
        <v>1555</v>
      </c>
      <c r="X3271" s="93" t="s">
        <v>24</v>
      </c>
    </row>
    <row r="3272" spans="1:24" hidden="1" x14ac:dyDescent="0.15">
      <c r="A3272" s="93" t="s">
        <v>4891</v>
      </c>
      <c r="B3272" s="93" t="s">
        <v>4892</v>
      </c>
      <c r="C3272" s="410">
        <v>761.25</v>
      </c>
      <c r="D3272" s="93" t="s">
        <v>9</v>
      </c>
      <c r="E3272" s="93" t="s">
        <v>9</v>
      </c>
      <c r="F3272" s="93" t="s">
        <v>1648</v>
      </c>
      <c r="G3272" s="93" t="s">
        <v>9117</v>
      </c>
      <c r="H3272" s="93" t="s">
        <v>1943</v>
      </c>
      <c r="I3272" s="93" t="s">
        <v>111</v>
      </c>
      <c r="J3272" s="93" t="s">
        <v>1675</v>
      </c>
      <c r="K3272" s="93">
        <v>60</v>
      </c>
      <c r="L3272" s="93" t="s">
        <v>111</v>
      </c>
      <c r="M3272" s="93">
        <v>3.5</v>
      </c>
      <c r="N3272" s="93" t="s">
        <v>113</v>
      </c>
      <c r="O3272" s="93">
        <v>10</v>
      </c>
      <c r="P3272" s="93">
        <v>30</v>
      </c>
      <c r="Q3272" s="93">
        <v>34</v>
      </c>
      <c r="R3272" s="93" t="s">
        <v>117</v>
      </c>
      <c r="S3272" s="93" t="s">
        <v>659</v>
      </c>
      <c r="T3272" s="93" t="s">
        <v>115</v>
      </c>
      <c r="U3272" s="93" t="s">
        <v>116</v>
      </c>
      <c r="V3272" s="94">
        <v>44628.576388888891</v>
      </c>
      <c r="W3272" s="93" t="s">
        <v>1555</v>
      </c>
      <c r="X3272" s="93" t="s">
        <v>24</v>
      </c>
    </row>
    <row r="3273" spans="1:24" hidden="1" x14ac:dyDescent="0.15">
      <c r="A3273" s="93" t="s">
        <v>4893</v>
      </c>
      <c r="B3273" s="93" t="s">
        <v>4894</v>
      </c>
      <c r="C3273" s="410">
        <v>761.25</v>
      </c>
      <c r="D3273" s="93" t="s">
        <v>9</v>
      </c>
      <c r="E3273" s="93" t="s">
        <v>9</v>
      </c>
      <c r="F3273" s="93" t="s">
        <v>1648</v>
      </c>
      <c r="G3273" s="93" t="s">
        <v>9117</v>
      </c>
      <c r="H3273" s="93" t="s">
        <v>1943</v>
      </c>
      <c r="I3273" s="93" t="s">
        <v>111</v>
      </c>
      <c r="J3273" s="93" t="s">
        <v>1675</v>
      </c>
      <c r="K3273" s="93">
        <v>60</v>
      </c>
      <c r="L3273" s="93" t="s">
        <v>111</v>
      </c>
      <c r="M3273" s="93">
        <v>3.5</v>
      </c>
      <c r="N3273" s="93" t="s">
        <v>113</v>
      </c>
      <c r="O3273" s="93">
        <v>10</v>
      </c>
      <c r="P3273" s="93">
        <v>30</v>
      </c>
      <c r="Q3273" s="93">
        <v>34</v>
      </c>
      <c r="R3273" s="93" t="s">
        <v>117</v>
      </c>
      <c r="S3273" s="93" t="s">
        <v>659</v>
      </c>
      <c r="T3273" s="93" t="s">
        <v>115</v>
      </c>
      <c r="U3273" s="93" t="s">
        <v>116</v>
      </c>
      <c r="V3273" s="94">
        <v>44628.511805555558</v>
      </c>
      <c r="W3273" s="93" t="s">
        <v>1555</v>
      </c>
      <c r="X3273" s="93" t="s">
        <v>24</v>
      </c>
    </row>
    <row r="3274" spans="1:24" hidden="1" x14ac:dyDescent="0.15">
      <c r="A3274" s="93" t="s">
        <v>4895</v>
      </c>
      <c r="B3274" s="93" t="s">
        <v>4896</v>
      </c>
      <c r="C3274" s="410">
        <v>761.25</v>
      </c>
      <c r="D3274" s="93" t="s">
        <v>9</v>
      </c>
      <c r="E3274" s="93" t="s">
        <v>9</v>
      </c>
      <c r="F3274" s="93" t="s">
        <v>1648</v>
      </c>
      <c r="G3274" s="93" t="s">
        <v>9117</v>
      </c>
      <c r="H3274" s="93" t="s">
        <v>1943</v>
      </c>
      <c r="I3274" s="93" t="s">
        <v>111</v>
      </c>
      <c r="J3274" s="93" t="s">
        <v>1675</v>
      </c>
      <c r="K3274" s="93">
        <v>60</v>
      </c>
      <c r="L3274" s="93" t="s">
        <v>111</v>
      </c>
      <c r="M3274" s="93">
        <v>3.5</v>
      </c>
      <c r="N3274" s="93" t="s">
        <v>113</v>
      </c>
      <c r="O3274" s="93">
        <v>10</v>
      </c>
      <c r="P3274" s="93">
        <v>30</v>
      </c>
      <c r="Q3274" s="93">
        <v>34</v>
      </c>
      <c r="R3274" s="93" t="s">
        <v>117</v>
      </c>
      <c r="S3274" s="93" t="s">
        <v>659</v>
      </c>
      <c r="T3274" s="93" t="s">
        <v>115</v>
      </c>
      <c r="U3274" s="93" t="s">
        <v>116</v>
      </c>
      <c r="V3274" s="94">
        <v>44628.511805555558</v>
      </c>
      <c r="W3274" s="93" t="s">
        <v>1555</v>
      </c>
      <c r="X3274" s="93" t="s">
        <v>24</v>
      </c>
    </row>
    <row r="3275" spans="1:24" hidden="1" x14ac:dyDescent="0.15">
      <c r="A3275" s="93" t="s">
        <v>4897</v>
      </c>
      <c r="B3275" s="93" t="s">
        <v>4898</v>
      </c>
      <c r="C3275" s="410">
        <v>761.25</v>
      </c>
      <c r="D3275" s="93" t="s">
        <v>9</v>
      </c>
      <c r="E3275" s="93" t="s">
        <v>9</v>
      </c>
      <c r="F3275" s="93" t="s">
        <v>1648</v>
      </c>
      <c r="G3275" s="93" t="s">
        <v>9117</v>
      </c>
      <c r="H3275" s="93" t="s">
        <v>1943</v>
      </c>
      <c r="I3275" s="93" t="s">
        <v>111</v>
      </c>
      <c r="J3275" s="93" t="s">
        <v>1675</v>
      </c>
      <c r="K3275" s="93">
        <v>60</v>
      </c>
      <c r="L3275" s="93" t="s">
        <v>111</v>
      </c>
      <c r="M3275" s="93">
        <v>3.5</v>
      </c>
      <c r="N3275" s="93" t="s">
        <v>113</v>
      </c>
      <c r="O3275" s="93">
        <v>10</v>
      </c>
      <c r="P3275" s="93">
        <v>30</v>
      </c>
      <c r="Q3275" s="93">
        <v>34</v>
      </c>
      <c r="R3275" s="93" t="s">
        <v>117</v>
      </c>
      <c r="S3275" s="93" t="s">
        <v>659</v>
      </c>
      <c r="T3275" s="93" t="s">
        <v>115</v>
      </c>
      <c r="U3275" s="93" t="s">
        <v>116</v>
      </c>
      <c r="V3275" s="94">
        <v>44628.511805555558</v>
      </c>
      <c r="W3275" s="93" t="s">
        <v>1555</v>
      </c>
      <c r="X3275" s="93" t="s">
        <v>24</v>
      </c>
    </row>
    <row r="3276" spans="1:24" hidden="1" x14ac:dyDescent="0.15">
      <c r="A3276" s="93" t="s">
        <v>4899</v>
      </c>
      <c r="B3276" s="93" t="s">
        <v>4900</v>
      </c>
      <c r="C3276" s="410">
        <v>761.25</v>
      </c>
      <c r="D3276" s="93" t="s">
        <v>9</v>
      </c>
      <c r="E3276" s="93" t="s">
        <v>9</v>
      </c>
      <c r="F3276" s="93" t="s">
        <v>1648</v>
      </c>
      <c r="G3276" s="93" t="s">
        <v>9117</v>
      </c>
      <c r="H3276" s="93" t="s">
        <v>1943</v>
      </c>
      <c r="I3276" s="93" t="s">
        <v>111</v>
      </c>
      <c r="J3276" s="93" t="s">
        <v>1675</v>
      </c>
      <c r="K3276" s="93">
        <v>60</v>
      </c>
      <c r="L3276" s="93" t="s">
        <v>111</v>
      </c>
      <c r="M3276" s="93">
        <v>3.5</v>
      </c>
      <c r="N3276" s="93" t="s">
        <v>113</v>
      </c>
      <c r="O3276" s="93">
        <v>10</v>
      </c>
      <c r="P3276" s="93">
        <v>30</v>
      </c>
      <c r="Q3276" s="93">
        <v>34</v>
      </c>
      <c r="R3276" s="93" t="s">
        <v>117</v>
      </c>
      <c r="S3276" s="93" t="s">
        <v>659</v>
      </c>
      <c r="T3276" s="93" t="s">
        <v>115</v>
      </c>
      <c r="U3276" s="93" t="s">
        <v>116</v>
      </c>
      <c r="V3276" s="94">
        <v>44628.468055555553</v>
      </c>
      <c r="W3276" s="93" t="s">
        <v>1555</v>
      </c>
      <c r="X3276" s="93" t="s">
        <v>24</v>
      </c>
    </row>
    <row r="3277" spans="1:24" hidden="1" x14ac:dyDescent="0.15">
      <c r="A3277" s="93" t="s">
        <v>4901</v>
      </c>
      <c r="B3277" s="93" t="s">
        <v>4902</v>
      </c>
      <c r="C3277" s="410">
        <v>761.25</v>
      </c>
      <c r="D3277" s="93" t="s">
        <v>9</v>
      </c>
      <c r="E3277" s="93" t="s">
        <v>9</v>
      </c>
      <c r="F3277" s="93" t="s">
        <v>1648</v>
      </c>
      <c r="G3277" s="93" t="s">
        <v>9117</v>
      </c>
      <c r="H3277" s="93" t="s">
        <v>1943</v>
      </c>
      <c r="I3277" s="93" t="s">
        <v>111</v>
      </c>
      <c r="J3277" s="93" t="s">
        <v>1675</v>
      </c>
      <c r="K3277" s="93">
        <v>60</v>
      </c>
      <c r="L3277" s="93" t="s">
        <v>111</v>
      </c>
      <c r="M3277" s="93">
        <v>3.5</v>
      </c>
      <c r="N3277" s="93" t="s">
        <v>113</v>
      </c>
      <c r="O3277" s="93">
        <v>10</v>
      </c>
      <c r="P3277" s="93">
        <v>30</v>
      </c>
      <c r="Q3277" s="93">
        <v>34</v>
      </c>
      <c r="R3277" s="93" t="s">
        <v>117</v>
      </c>
      <c r="S3277" s="93" t="s">
        <v>659</v>
      </c>
      <c r="T3277" s="93" t="s">
        <v>115</v>
      </c>
      <c r="U3277" s="93" t="s">
        <v>116</v>
      </c>
      <c r="V3277" s="94">
        <v>44628.468055555553</v>
      </c>
      <c r="W3277" s="93" t="s">
        <v>1555</v>
      </c>
      <c r="X3277" s="93" t="s">
        <v>24</v>
      </c>
    </row>
    <row r="3278" spans="1:24" hidden="1" x14ac:dyDescent="0.15">
      <c r="A3278" s="93" t="s">
        <v>4903</v>
      </c>
      <c r="B3278" s="93" t="s">
        <v>4904</v>
      </c>
      <c r="C3278" s="410">
        <v>761.25</v>
      </c>
      <c r="D3278" s="93" t="s">
        <v>9</v>
      </c>
      <c r="E3278" s="93" t="s">
        <v>9</v>
      </c>
      <c r="F3278" s="93" t="s">
        <v>1648</v>
      </c>
      <c r="G3278" s="93" t="s">
        <v>9117</v>
      </c>
      <c r="H3278" s="93" t="s">
        <v>1943</v>
      </c>
      <c r="I3278" s="93" t="s">
        <v>111</v>
      </c>
      <c r="J3278" s="93" t="s">
        <v>1675</v>
      </c>
      <c r="K3278" s="93">
        <v>60</v>
      </c>
      <c r="L3278" s="93" t="s">
        <v>111</v>
      </c>
      <c r="M3278" s="93">
        <v>3.5</v>
      </c>
      <c r="N3278" s="93" t="s">
        <v>113</v>
      </c>
      <c r="O3278" s="93">
        <v>10</v>
      </c>
      <c r="P3278" s="93">
        <v>30</v>
      </c>
      <c r="Q3278" s="93">
        <v>34</v>
      </c>
      <c r="R3278" s="93" t="s">
        <v>117</v>
      </c>
      <c r="S3278" s="93" t="s">
        <v>659</v>
      </c>
      <c r="T3278" s="93" t="s">
        <v>115</v>
      </c>
      <c r="U3278" s="93" t="s">
        <v>116</v>
      </c>
      <c r="V3278" s="94">
        <v>44628.597916666666</v>
      </c>
      <c r="W3278" s="93" t="s">
        <v>1555</v>
      </c>
      <c r="X3278" s="93" t="s">
        <v>24</v>
      </c>
    </row>
    <row r="3279" spans="1:24" hidden="1" x14ac:dyDescent="0.15">
      <c r="A3279" s="93" t="s">
        <v>4905</v>
      </c>
      <c r="B3279" s="93" t="s">
        <v>4906</v>
      </c>
      <c r="C3279" s="410">
        <v>761.25</v>
      </c>
      <c r="D3279" s="93" t="s">
        <v>9</v>
      </c>
      <c r="E3279" s="93" t="s">
        <v>9</v>
      </c>
      <c r="F3279" s="93" t="s">
        <v>1648</v>
      </c>
      <c r="G3279" s="93" t="s">
        <v>9117</v>
      </c>
      <c r="H3279" s="93" t="s">
        <v>1943</v>
      </c>
      <c r="I3279" s="93" t="s">
        <v>111</v>
      </c>
      <c r="J3279" s="93" t="s">
        <v>1675</v>
      </c>
      <c r="K3279" s="93">
        <v>60</v>
      </c>
      <c r="L3279" s="93" t="s">
        <v>111</v>
      </c>
      <c r="M3279" s="93">
        <v>3.5</v>
      </c>
      <c r="N3279" s="93" t="s">
        <v>113</v>
      </c>
      <c r="O3279" s="93">
        <v>10</v>
      </c>
      <c r="P3279" s="93">
        <v>30</v>
      </c>
      <c r="Q3279" s="93">
        <v>34</v>
      </c>
      <c r="R3279" s="93" t="s">
        <v>117</v>
      </c>
      <c r="S3279" s="93" t="s">
        <v>659</v>
      </c>
      <c r="T3279" s="93" t="s">
        <v>115</v>
      </c>
      <c r="U3279" s="93" t="s">
        <v>116</v>
      </c>
      <c r="V3279" s="94">
        <v>44628.468055555553</v>
      </c>
      <c r="W3279" s="93" t="s">
        <v>1555</v>
      </c>
      <c r="X3279" s="93" t="s">
        <v>24</v>
      </c>
    </row>
    <row r="3280" spans="1:24" hidden="1" x14ac:dyDescent="0.15">
      <c r="A3280" s="93" t="s">
        <v>4907</v>
      </c>
      <c r="B3280" s="93" t="s">
        <v>4908</v>
      </c>
      <c r="C3280" s="410">
        <v>131.25</v>
      </c>
      <c r="D3280" s="93" t="s">
        <v>24</v>
      </c>
      <c r="E3280" s="93" t="s">
        <v>24</v>
      </c>
      <c r="F3280" s="93" t="s">
        <v>7070</v>
      </c>
      <c r="G3280" s="93" t="s">
        <v>8237</v>
      </c>
      <c r="H3280" s="93" t="s">
        <v>11</v>
      </c>
      <c r="I3280" s="93" t="s">
        <v>111</v>
      </c>
      <c r="J3280" s="93" t="s">
        <v>963</v>
      </c>
      <c r="K3280" s="93">
        <v>60</v>
      </c>
      <c r="L3280" s="93">
        <v>1</v>
      </c>
      <c r="M3280" s="93">
        <v>0.1</v>
      </c>
      <c r="N3280" s="93" t="s">
        <v>113</v>
      </c>
      <c r="O3280" s="93">
        <v>4</v>
      </c>
      <c r="P3280" s="93">
        <v>6</v>
      </c>
      <c r="Q3280" s="93">
        <v>8</v>
      </c>
      <c r="R3280" s="93" t="s">
        <v>117</v>
      </c>
      <c r="S3280" s="93" t="s">
        <v>659</v>
      </c>
      <c r="T3280" s="93" t="s">
        <v>115</v>
      </c>
      <c r="U3280" s="93" t="s">
        <v>116</v>
      </c>
      <c r="V3280" s="94">
        <v>44628.575694444444</v>
      </c>
      <c r="W3280" s="93" t="s">
        <v>1555</v>
      </c>
      <c r="X3280" s="93" t="s">
        <v>24</v>
      </c>
    </row>
    <row r="3281" spans="1:24" hidden="1" x14ac:dyDescent="0.15">
      <c r="A3281" s="93" t="s">
        <v>4909</v>
      </c>
      <c r="B3281" s="93" t="s">
        <v>4910</v>
      </c>
      <c r="C3281" s="410">
        <v>456.75</v>
      </c>
      <c r="D3281" s="93" t="s">
        <v>24</v>
      </c>
      <c r="E3281" s="93" t="s">
        <v>24</v>
      </c>
      <c r="F3281" s="93" t="s">
        <v>7070</v>
      </c>
      <c r="G3281" s="93" t="s">
        <v>8237</v>
      </c>
      <c r="H3281" s="93" t="s">
        <v>11</v>
      </c>
      <c r="I3281" s="93" t="s">
        <v>111</v>
      </c>
      <c r="J3281" s="93" t="s">
        <v>390</v>
      </c>
      <c r="K3281" s="93">
        <v>80</v>
      </c>
      <c r="L3281" s="93" t="s">
        <v>111</v>
      </c>
      <c r="M3281" s="93">
        <v>0.3</v>
      </c>
      <c r="N3281" s="93" t="s">
        <v>111</v>
      </c>
      <c r="O3281" s="93">
        <v>7</v>
      </c>
      <c r="P3281" s="93">
        <v>12</v>
      </c>
      <c r="Q3281" s="93">
        <v>19</v>
      </c>
      <c r="R3281" s="93" t="s">
        <v>117</v>
      </c>
      <c r="S3281" s="93" t="s">
        <v>20</v>
      </c>
      <c r="T3281" s="93" t="s">
        <v>115</v>
      </c>
      <c r="U3281" s="93" t="s">
        <v>116</v>
      </c>
      <c r="V3281" s="94">
        <v>44628.574305555558</v>
      </c>
      <c r="W3281" s="93" t="s">
        <v>1170</v>
      </c>
      <c r="X3281" s="93" t="s">
        <v>24</v>
      </c>
    </row>
    <row r="3282" spans="1:24" hidden="1" x14ac:dyDescent="0.15">
      <c r="A3282" s="93" t="s">
        <v>4911</v>
      </c>
      <c r="B3282" s="93" t="s">
        <v>4912</v>
      </c>
      <c r="C3282" s="410">
        <v>2520</v>
      </c>
      <c r="D3282" s="93" t="s">
        <v>9</v>
      </c>
      <c r="E3282" s="93" t="s">
        <v>9</v>
      </c>
      <c r="F3282" s="93" t="s">
        <v>1648</v>
      </c>
      <c r="G3282" s="93" t="s">
        <v>9117</v>
      </c>
      <c r="H3282" s="93" t="s">
        <v>1943</v>
      </c>
      <c r="I3282" s="93" t="s">
        <v>111</v>
      </c>
      <c r="J3282" s="93" t="s">
        <v>1675</v>
      </c>
      <c r="K3282" s="93">
        <v>60</v>
      </c>
      <c r="L3282" s="93" t="s">
        <v>111</v>
      </c>
      <c r="M3282" s="93">
        <v>3.9</v>
      </c>
      <c r="N3282" s="93" t="s">
        <v>113</v>
      </c>
      <c r="O3282" s="93">
        <v>12</v>
      </c>
      <c r="P3282" s="93">
        <v>35</v>
      </c>
      <c r="Q3282" s="93">
        <v>41</v>
      </c>
      <c r="R3282" s="93" t="s">
        <v>117</v>
      </c>
      <c r="S3282" s="93" t="s">
        <v>659</v>
      </c>
      <c r="T3282" s="93" t="s">
        <v>1659</v>
      </c>
      <c r="U3282" s="93" t="s">
        <v>119</v>
      </c>
      <c r="V3282" s="94">
        <v>44628.468055555553</v>
      </c>
      <c r="W3282" s="93" t="s">
        <v>1555</v>
      </c>
      <c r="X3282" s="93" t="s">
        <v>24</v>
      </c>
    </row>
    <row r="3283" spans="1:24" hidden="1" x14ac:dyDescent="0.15">
      <c r="A3283" s="93" t="s">
        <v>4913</v>
      </c>
      <c r="B3283" s="93" t="s">
        <v>4914</v>
      </c>
      <c r="C3283" s="410">
        <v>2520</v>
      </c>
      <c r="D3283" s="93" t="s">
        <v>9</v>
      </c>
      <c r="E3283" s="93" t="s">
        <v>9</v>
      </c>
      <c r="F3283" s="93" t="s">
        <v>1648</v>
      </c>
      <c r="G3283" s="93" t="s">
        <v>9117</v>
      </c>
      <c r="H3283" s="93" t="s">
        <v>1943</v>
      </c>
      <c r="I3283" s="93" t="s">
        <v>111</v>
      </c>
      <c r="J3283" s="93" t="s">
        <v>1675</v>
      </c>
      <c r="K3283" s="93">
        <v>60</v>
      </c>
      <c r="L3283" s="93" t="s">
        <v>111</v>
      </c>
      <c r="M3283" s="93">
        <v>3.9</v>
      </c>
      <c r="N3283" s="93" t="s">
        <v>113</v>
      </c>
      <c r="O3283" s="93">
        <v>12</v>
      </c>
      <c r="P3283" s="93">
        <v>35</v>
      </c>
      <c r="Q3283" s="93">
        <v>41</v>
      </c>
      <c r="R3283" s="93" t="s">
        <v>117</v>
      </c>
      <c r="S3283" s="93" t="s">
        <v>659</v>
      </c>
      <c r="T3283" s="93" t="s">
        <v>1659</v>
      </c>
      <c r="U3283" s="93" t="s">
        <v>119</v>
      </c>
      <c r="V3283" s="94">
        <v>44628.633333333331</v>
      </c>
      <c r="W3283" s="93" t="s">
        <v>1555</v>
      </c>
      <c r="X3283" s="93" t="s">
        <v>24</v>
      </c>
    </row>
    <row r="3284" spans="1:24" hidden="1" x14ac:dyDescent="0.15">
      <c r="A3284" s="93" t="s">
        <v>4915</v>
      </c>
      <c r="B3284" s="93" t="s">
        <v>4916</v>
      </c>
      <c r="C3284" s="410">
        <v>2520</v>
      </c>
      <c r="D3284" s="93" t="s">
        <v>9</v>
      </c>
      <c r="E3284" s="93" t="s">
        <v>9</v>
      </c>
      <c r="F3284" s="93" t="s">
        <v>1648</v>
      </c>
      <c r="G3284" s="93" t="s">
        <v>9117</v>
      </c>
      <c r="H3284" s="93" t="s">
        <v>1943</v>
      </c>
      <c r="I3284" s="93" t="s">
        <v>111</v>
      </c>
      <c r="J3284" s="93" t="s">
        <v>1675</v>
      </c>
      <c r="K3284" s="93">
        <v>60</v>
      </c>
      <c r="L3284" s="93" t="s">
        <v>111</v>
      </c>
      <c r="M3284" s="93">
        <v>3.9</v>
      </c>
      <c r="N3284" s="93" t="s">
        <v>113</v>
      </c>
      <c r="O3284" s="93">
        <v>12</v>
      </c>
      <c r="P3284" s="93">
        <v>35</v>
      </c>
      <c r="Q3284" s="93">
        <v>41</v>
      </c>
      <c r="R3284" s="93" t="s">
        <v>117</v>
      </c>
      <c r="S3284" s="93" t="s">
        <v>659</v>
      </c>
      <c r="T3284" s="93" t="s">
        <v>1659</v>
      </c>
      <c r="U3284" s="93" t="s">
        <v>116</v>
      </c>
      <c r="V3284" s="94">
        <v>44628.468055555553</v>
      </c>
      <c r="W3284" s="93" t="s">
        <v>1555</v>
      </c>
      <c r="X3284" s="93" t="s">
        <v>24</v>
      </c>
    </row>
    <row r="3285" spans="1:24" hidden="1" x14ac:dyDescent="0.15">
      <c r="A3285" s="93" t="s">
        <v>4917</v>
      </c>
      <c r="B3285" s="93" t="s">
        <v>4918</v>
      </c>
      <c r="C3285" s="410">
        <v>2520</v>
      </c>
      <c r="D3285" s="93" t="s">
        <v>9</v>
      </c>
      <c r="E3285" s="93" t="s">
        <v>9</v>
      </c>
      <c r="F3285" s="93" t="s">
        <v>1648</v>
      </c>
      <c r="G3285" s="93" t="s">
        <v>9117</v>
      </c>
      <c r="H3285" s="93" t="s">
        <v>1943</v>
      </c>
      <c r="I3285" s="93" t="s">
        <v>111</v>
      </c>
      <c r="J3285" s="93" t="s">
        <v>1675</v>
      </c>
      <c r="K3285" s="93">
        <v>60</v>
      </c>
      <c r="L3285" s="93" t="s">
        <v>111</v>
      </c>
      <c r="M3285" s="93">
        <v>3.9</v>
      </c>
      <c r="N3285" s="93" t="s">
        <v>113</v>
      </c>
      <c r="O3285" s="93">
        <v>12</v>
      </c>
      <c r="P3285" s="93">
        <v>35</v>
      </c>
      <c r="Q3285" s="93">
        <v>41</v>
      </c>
      <c r="R3285" s="93" t="s">
        <v>117</v>
      </c>
      <c r="S3285" s="93" t="s">
        <v>659</v>
      </c>
      <c r="T3285" s="93" t="s">
        <v>1659</v>
      </c>
      <c r="U3285" s="93" t="s">
        <v>116</v>
      </c>
      <c r="V3285" s="94">
        <v>44628.511111111111</v>
      </c>
      <c r="W3285" s="93" t="s">
        <v>1555</v>
      </c>
      <c r="X3285" s="93" t="s">
        <v>24</v>
      </c>
    </row>
    <row r="3286" spans="1:24" hidden="1" x14ac:dyDescent="0.15">
      <c r="A3286" s="93" t="s">
        <v>4919</v>
      </c>
      <c r="B3286" s="93" t="s">
        <v>4920</v>
      </c>
      <c r="C3286" s="410">
        <v>761.25</v>
      </c>
      <c r="D3286" s="93" t="s">
        <v>9</v>
      </c>
      <c r="E3286" s="93" t="s">
        <v>9</v>
      </c>
      <c r="F3286" s="93" t="s">
        <v>1648</v>
      </c>
      <c r="G3286" s="93" t="s">
        <v>9117</v>
      </c>
      <c r="H3286" s="93" t="s">
        <v>1943</v>
      </c>
      <c r="I3286" s="93" t="s">
        <v>111</v>
      </c>
      <c r="J3286" s="93" t="s">
        <v>1675</v>
      </c>
      <c r="K3286" s="93">
        <v>60</v>
      </c>
      <c r="L3286" s="93" t="s">
        <v>111</v>
      </c>
      <c r="M3286" s="93">
        <v>3.5</v>
      </c>
      <c r="N3286" s="93" t="s">
        <v>113</v>
      </c>
      <c r="O3286" s="93">
        <v>10</v>
      </c>
      <c r="P3286" s="93">
        <v>30</v>
      </c>
      <c r="Q3286" s="93">
        <v>34</v>
      </c>
      <c r="R3286" s="93" t="s">
        <v>117</v>
      </c>
      <c r="S3286" s="93" t="s">
        <v>659</v>
      </c>
      <c r="T3286" s="93" t="s">
        <v>115</v>
      </c>
      <c r="U3286" s="93" t="s">
        <v>116</v>
      </c>
      <c r="V3286" s="94">
        <v>44628.554861111108</v>
      </c>
      <c r="W3286" s="93" t="s">
        <v>1555</v>
      </c>
      <c r="X3286" s="93" t="s">
        <v>24</v>
      </c>
    </row>
    <row r="3287" spans="1:24" hidden="1" x14ac:dyDescent="0.15">
      <c r="A3287" s="93" t="s">
        <v>4921</v>
      </c>
      <c r="B3287" s="93" t="s">
        <v>4922</v>
      </c>
      <c r="C3287" s="410">
        <v>761.25</v>
      </c>
      <c r="D3287" s="93" t="s">
        <v>9</v>
      </c>
      <c r="E3287" s="93" t="s">
        <v>9</v>
      </c>
      <c r="F3287" s="93" t="s">
        <v>1648</v>
      </c>
      <c r="G3287" s="93" t="s">
        <v>9117</v>
      </c>
      <c r="H3287" s="93" t="s">
        <v>1943</v>
      </c>
      <c r="I3287" s="93" t="s">
        <v>111</v>
      </c>
      <c r="J3287" s="93" t="s">
        <v>1675</v>
      </c>
      <c r="K3287" s="93">
        <v>60</v>
      </c>
      <c r="L3287" s="93" t="s">
        <v>111</v>
      </c>
      <c r="M3287" s="93">
        <v>3.5</v>
      </c>
      <c r="N3287" s="93" t="s">
        <v>113</v>
      </c>
      <c r="O3287" s="93">
        <v>10</v>
      </c>
      <c r="P3287" s="93">
        <v>30</v>
      </c>
      <c r="Q3287" s="93">
        <v>34</v>
      </c>
      <c r="R3287" s="93" t="s">
        <v>117</v>
      </c>
      <c r="S3287" s="93" t="s">
        <v>659</v>
      </c>
      <c r="T3287" s="93" t="s">
        <v>115</v>
      </c>
      <c r="U3287" s="93" t="s">
        <v>116</v>
      </c>
      <c r="V3287" s="94">
        <v>44628.634027777778</v>
      </c>
      <c r="W3287" s="93" t="s">
        <v>1555</v>
      </c>
      <c r="X3287" s="93" t="s">
        <v>24</v>
      </c>
    </row>
    <row r="3288" spans="1:24" hidden="1" x14ac:dyDescent="0.15">
      <c r="A3288" s="93" t="s">
        <v>4923</v>
      </c>
      <c r="B3288" s="93" t="s">
        <v>4924</v>
      </c>
      <c r="C3288" s="410">
        <v>761.25</v>
      </c>
      <c r="D3288" s="93" t="s">
        <v>9</v>
      </c>
      <c r="E3288" s="93" t="s">
        <v>9</v>
      </c>
      <c r="F3288" s="93" t="s">
        <v>1648</v>
      </c>
      <c r="G3288" s="93" t="s">
        <v>9117</v>
      </c>
      <c r="H3288" s="93" t="s">
        <v>1943</v>
      </c>
      <c r="I3288" s="93" t="s">
        <v>111</v>
      </c>
      <c r="J3288" s="93" t="s">
        <v>1675</v>
      </c>
      <c r="K3288" s="93">
        <v>60</v>
      </c>
      <c r="L3288" s="93" t="s">
        <v>111</v>
      </c>
      <c r="M3288" s="93">
        <v>3.5</v>
      </c>
      <c r="N3288" s="93" t="s">
        <v>113</v>
      </c>
      <c r="O3288" s="93">
        <v>10</v>
      </c>
      <c r="P3288" s="93">
        <v>30</v>
      </c>
      <c r="Q3288" s="93">
        <v>34</v>
      </c>
      <c r="R3288" s="93" t="s">
        <v>117</v>
      </c>
      <c r="S3288" s="93" t="s">
        <v>659</v>
      </c>
      <c r="T3288" s="93" t="s">
        <v>115</v>
      </c>
      <c r="U3288" s="93" t="s">
        <v>116</v>
      </c>
      <c r="V3288" s="94">
        <v>44628.511805555558</v>
      </c>
      <c r="W3288" s="93" t="s">
        <v>1555</v>
      </c>
      <c r="X3288" s="93" t="s">
        <v>24</v>
      </c>
    </row>
    <row r="3289" spans="1:24" hidden="1" x14ac:dyDescent="0.15">
      <c r="A3289" s="93" t="s">
        <v>4925</v>
      </c>
      <c r="B3289" s="93" t="s">
        <v>4926</v>
      </c>
      <c r="C3289" s="410">
        <v>761.25</v>
      </c>
      <c r="D3289" s="93" t="s">
        <v>9</v>
      </c>
      <c r="E3289" s="93" t="s">
        <v>9</v>
      </c>
      <c r="F3289" s="93" t="s">
        <v>1648</v>
      </c>
      <c r="G3289" s="93" t="s">
        <v>9117</v>
      </c>
      <c r="H3289" s="93" t="s">
        <v>1943</v>
      </c>
      <c r="I3289" s="93" t="s">
        <v>111</v>
      </c>
      <c r="J3289" s="93" t="s">
        <v>1675</v>
      </c>
      <c r="K3289" s="93">
        <v>60</v>
      </c>
      <c r="L3289" s="93" t="s">
        <v>111</v>
      </c>
      <c r="M3289" s="93">
        <v>3.5</v>
      </c>
      <c r="N3289" s="93" t="s">
        <v>113</v>
      </c>
      <c r="O3289" s="93">
        <v>10</v>
      </c>
      <c r="P3289" s="93">
        <v>30</v>
      </c>
      <c r="Q3289" s="93">
        <v>34</v>
      </c>
      <c r="R3289" s="93" t="s">
        <v>117</v>
      </c>
      <c r="S3289" s="93" t="s">
        <v>659</v>
      </c>
      <c r="T3289" s="93" t="s">
        <v>115</v>
      </c>
      <c r="U3289" s="93" t="s">
        <v>116</v>
      </c>
      <c r="V3289" s="94">
        <v>44628.489583333336</v>
      </c>
      <c r="W3289" s="93" t="s">
        <v>1555</v>
      </c>
      <c r="X3289" s="93" t="s">
        <v>24</v>
      </c>
    </row>
    <row r="3290" spans="1:24" hidden="1" x14ac:dyDescent="0.15">
      <c r="A3290" s="93" t="s">
        <v>4927</v>
      </c>
      <c r="B3290" s="93" t="s">
        <v>4928</v>
      </c>
      <c r="C3290" s="410">
        <v>761.25</v>
      </c>
      <c r="D3290" s="93" t="s">
        <v>9</v>
      </c>
      <c r="E3290" s="93" t="s">
        <v>9</v>
      </c>
      <c r="F3290" s="93" t="s">
        <v>1648</v>
      </c>
      <c r="G3290" s="93" t="s">
        <v>9117</v>
      </c>
      <c r="H3290" s="93" t="s">
        <v>1943</v>
      </c>
      <c r="I3290" s="93" t="s">
        <v>111</v>
      </c>
      <c r="J3290" s="93" t="s">
        <v>1675</v>
      </c>
      <c r="K3290" s="93">
        <v>60</v>
      </c>
      <c r="L3290" s="93" t="s">
        <v>111</v>
      </c>
      <c r="M3290" s="93">
        <v>3.5</v>
      </c>
      <c r="N3290" s="93" t="s">
        <v>113</v>
      </c>
      <c r="O3290" s="93">
        <v>10</v>
      </c>
      <c r="P3290" s="93">
        <v>30</v>
      </c>
      <c r="Q3290" s="93">
        <v>34</v>
      </c>
      <c r="R3290" s="93" t="s">
        <v>117</v>
      </c>
      <c r="S3290" s="93" t="s">
        <v>659</v>
      </c>
      <c r="T3290" s="93" t="s">
        <v>115</v>
      </c>
      <c r="U3290" s="93" t="s">
        <v>116</v>
      </c>
      <c r="V3290" s="94">
        <v>44628.53402777778</v>
      </c>
      <c r="W3290" s="93" t="s">
        <v>1555</v>
      </c>
      <c r="X3290" s="93" t="s">
        <v>24</v>
      </c>
    </row>
    <row r="3291" spans="1:24" hidden="1" x14ac:dyDescent="0.15">
      <c r="A3291" s="93" t="s">
        <v>4929</v>
      </c>
      <c r="B3291" s="93" t="s">
        <v>4930</v>
      </c>
      <c r="C3291" s="410">
        <v>761.25</v>
      </c>
      <c r="D3291" s="93" t="s">
        <v>9</v>
      </c>
      <c r="E3291" s="93" t="s">
        <v>9</v>
      </c>
      <c r="F3291" s="93" t="s">
        <v>1648</v>
      </c>
      <c r="G3291" s="93" t="s">
        <v>9117</v>
      </c>
      <c r="H3291" s="93" t="s">
        <v>1943</v>
      </c>
      <c r="I3291" s="93" t="s">
        <v>111</v>
      </c>
      <c r="J3291" s="93" t="s">
        <v>1675</v>
      </c>
      <c r="K3291" s="93">
        <v>60</v>
      </c>
      <c r="L3291" s="93" t="s">
        <v>111</v>
      </c>
      <c r="M3291" s="93">
        <v>3.5</v>
      </c>
      <c r="N3291" s="93" t="s">
        <v>113</v>
      </c>
      <c r="O3291" s="93">
        <v>10</v>
      </c>
      <c r="P3291" s="93">
        <v>30</v>
      </c>
      <c r="Q3291" s="93">
        <v>34</v>
      </c>
      <c r="R3291" s="93" t="s">
        <v>117</v>
      </c>
      <c r="S3291" s="93" t="s">
        <v>659</v>
      </c>
      <c r="T3291" s="93" t="s">
        <v>115</v>
      </c>
      <c r="U3291" s="93" t="s">
        <v>116</v>
      </c>
      <c r="V3291" s="94">
        <v>44628.598611111112</v>
      </c>
      <c r="W3291" s="93" t="s">
        <v>1555</v>
      </c>
      <c r="X3291" s="93" t="s">
        <v>24</v>
      </c>
    </row>
    <row r="3292" spans="1:24" hidden="1" x14ac:dyDescent="0.15">
      <c r="A3292" s="93" t="s">
        <v>4931</v>
      </c>
      <c r="B3292" s="93" t="s">
        <v>4932</v>
      </c>
      <c r="C3292" s="410">
        <v>761.25</v>
      </c>
      <c r="D3292" s="93" t="s">
        <v>9</v>
      </c>
      <c r="E3292" s="93" t="s">
        <v>9</v>
      </c>
      <c r="F3292" s="93" t="s">
        <v>1648</v>
      </c>
      <c r="G3292" s="93" t="s">
        <v>9117</v>
      </c>
      <c r="H3292" s="93" t="s">
        <v>1943</v>
      </c>
      <c r="I3292" s="93" t="s">
        <v>111</v>
      </c>
      <c r="J3292" s="93" t="s">
        <v>1675</v>
      </c>
      <c r="K3292" s="93">
        <v>60</v>
      </c>
      <c r="L3292" s="93" t="s">
        <v>111</v>
      </c>
      <c r="M3292" s="93">
        <v>3.5</v>
      </c>
      <c r="N3292" s="93" t="s">
        <v>113</v>
      </c>
      <c r="O3292" s="93">
        <v>10</v>
      </c>
      <c r="P3292" s="93">
        <v>30</v>
      </c>
      <c r="Q3292" s="93">
        <v>34</v>
      </c>
      <c r="R3292" s="93" t="s">
        <v>117</v>
      </c>
      <c r="S3292" s="93" t="s">
        <v>659</v>
      </c>
      <c r="T3292" s="93" t="s">
        <v>115</v>
      </c>
      <c r="U3292" s="93" t="s">
        <v>116</v>
      </c>
      <c r="V3292" s="94">
        <v>44628.46875</v>
      </c>
      <c r="W3292" s="93" t="s">
        <v>1555</v>
      </c>
      <c r="X3292" s="93" t="s">
        <v>24</v>
      </c>
    </row>
    <row r="3293" spans="1:24" hidden="1" x14ac:dyDescent="0.15">
      <c r="A3293" s="93" t="s">
        <v>4933</v>
      </c>
      <c r="B3293" s="93" t="s">
        <v>4934</v>
      </c>
      <c r="C3293" s="410">
        <v>761.25</v>
      </c>
      <c r="D3293" s="93" t="s">
        <v>9</v>
      </c>
      <c r="E3293" s="93" t="s">
        <v>9</v>
      </c>
      <c r="F3293" s="93" t="s">
        <v>1648</v>
      </c>
      <c r="G3293" s="93" t="s">
        <v>9117</v>
      </c>
      <c r="H3293" s="93" t="s">
        <v>1943</v>
      </c>
      <c r="I3293" s="93" t="s">
        <v>111</v>
      </c>
      <c r="J3293" s="93" t="s">
        <v>1675</v>
      </c>
      <c r="K3293" s="93">
        <v>60</v>
      </c>
      <c r="L3293" s="93" t="s">
        <v>111</v>
      </c>
      <c r="M3293" s="93">
        <v>3.5</v>
      </c>
      <c r="N3293" s="93" t="s">
        <v>113</v>
      </c>
      <c r="O3293" s="93">
        <v>10</v>
      </c>
      <c r="P3293" s="93">
        <v>30</v>
      </c>
      <c r="Q3293" s="93">
        <v>34</v>
      </c>
      <c r="R3293" s="93" t="s">
        <v>117</v>
      </c>
      <c r="S3293" s="93" t="s">
        <v>659</v>
      </c>
      <c r="T3293" s="93" t="s">
        <v>115</v>
      </c>
      <c r="U3293" s="93" t="s">
        <v>116</v>
      </c>
      <c r="V3293" s="94">
        <v>44628.57708333333</v>
      </c>
      <c r="W3293" s="93" t="s">
        <v>1555</v>
      </c>
      <c r="X3293" s="93" t="s">
        <v>24</v>
      </c>
    </row>
    <row r="3294" spans="1:24" hidden="1" x14ac:dyDescent="0.15">
      <c r="A3294" s="93" t="s">
        <v>4935</v>
      </c>
      <c r="B3294" s="93" t="s">
        <v>4936</v>
      </c>
      <c r="C3294" s="410">
        <v>16275</v>
      </c>
      <c r="D3294" s="93" t="s">
        <v>24</v>
      </c>
      <c r="E3294" s="93" t="s">
        <v>24</v>
      </c>
      <c r="F3294" s="93" t="s">
        <v>7070</v>
      </c>
      <c r="G3294" s="93" t="s">
        <v>8237</v>
      </c>
      <c r="H3294" s="93" t="s">
        <v>1198</v>
      </c>
      <c r="I3294" s="93" t="s">
        <v>111</v>
      </c>
      <c r="J3294" s="93" t="s">
        <v>1759</v>
      </c>
      <c r="K3294" s="93">
        <v>70</v>
      </c>
      <c r="L3294" s="93">
        <v>1</v>
      </c>
      <c r="M3294" s="93" t="s">
        <v>111</v>
      </c>
      <c r="N3294" s="93" t="s">
        <v>111</v>
      </c>
      <c r="O3294" s="93" t="s">
        <v>111</v>
      </c>
      <c r="P3294" s="93" t="s">
        <v>111</v>
      </c>
      <c r="Q3294" s="93" t="s">
        <v>111</v>
      </c>
      <c r="R3294" s="93" t="s">
        <v>117</v>
      </c>
      <c r="S3294" s="93" t="s">
        <v>1174</v>
      </c>
      <c r="T3294" s="93" t="s">
        <v>115</v>
      </c>
      <c r="U3294" s="93" t="s">
        <v>116</v>
      </c>
      <c r="V3294" s="94">
        <v>44628.531944444447</v>
      </c>
      <c r="W3294" s="93" t="s">
        <v>1170</v>
      </c>
      <c r="X3294" s="93" t="s">
        <v>24</v>
      </c>
    </row>
    <row r="3295" spans="1:24" hidden="1" x14ac:dyDescent="0.15">
      <c r="A3295" s="93" t="s">
        <v>4937</v>
      </c>
      <c r="B3295" s="93" t="s">
        <v>4938</v>
      </c>
      <c r="C3295" s="410">
        <v>577.5</v>
      </c>
      <c r="D3295" s="93" t="s">
        <v>24</v>
      </c>
      <c r="E3295" s="93" t="s">
        <v>24</v>
      </c>
      <c r="F3295" s="93" t="s">
        <v>7070</v>
      </c>
      <c r="G3295" s="93" t="s">
        <v>8237</v>
      </c>
      <c r="H3295" s="93" t="s">
        <v>1198</v>
      </c>
      <c r="I3295" s="93" t="s">
        <v>111</v>
      </c>
      <c r="J3295" s="93" t="s">
        <v>963</v>
      </c>
      <c r="K3295" s="93">
        <v>60</v>
      </c>
      <c r="L3295" s="93" t="s">
        <v>111</v>
      </c>
      <c r="M3295" s="93">
        <v>19.420000000000002</v>
      </c>
      <c r="N3295" s="93" t="s">
        <v>113</v>
      </c>
      <c r="O3295" s="93">
        <v>70</v>
      </c>
      <c r="P3295" s="93">
        <v>56</v>
      </c>
      <c r="Q3295" s="93">
        <v>70</v>
      </c>
      <c r="R3295" s="93" t="s">
        <v>117</v>
      </c>
      <c r="S3295" s="93" t="s">
        <v>18</v>
      </c>
      <c r="T3295" s="93" t="s">
        <v>1659</v>
      </c>
      <c r="U3295" s="93" t="s">
        <v>116</v>
      </c>
      <c r="V3295" s="94">
        <v>44628.543055555558</v>
      </c>
      <c r="W3295" s="93" t="s">
        <v>1170</v>
      </c>
      <c r="X3295" s="93" t="s">
        <v>24</v>
      </c>
    </row>
    <row r="3296" spans="1:24" hidden="1" x14ac:dyDescent="0.15">
      <c r="A3296" s="93" t="s">
        <v>4939</v>
      </c>
      <c r="B3296" s="93" t="s">
        <v>4940</v>
      </c>
      <c r="C3296" s="410">
        <v>1365</v>
      </c>
      <c r="D3296" s="93" t="s">
        <v>24</v>
      </c>
      <c r="E3296" s="93" t="s">
        <v>24</v>
      </c>
      <c r="F3296" s="93" t="s">
        <v>7070</v>
      </c>
      <c r="G3296" s="93" t="s">
        <v>8237</v>
      </c>
      <c r="H3296" s="93" t="s">
        <v>1198</v>
      </c>
      <c r="I3296" s="93" t="s">
        <v>111</v>
      </c>
      <c r="J3296" s="93" t="s">
        <v>963</v>
      </c>
      <c r="K3296" s="93">
        <v>60</v>
      </c>
      <c r="L3296" s="93" t="s">
        <v>111</v>
      </c>
      <c r="M3296" s="93">
        <v>30.8</v>
      </c>
      <c r="N3296" s="93" t="s">
        <v>113</v>
      </c>
      <c r="O3296" s="93">
        <v>37</v>
      </c>
      <c r="P3296" s="93">
        <v>120</v>
      </c>
      <c r="Q3296" s="93">
        <v>107</v>
      </c>
      <c r="R3296" s="93" t="s">
        <v>117</v>
      </c>
      <c r="S3296" s="93" t="s">
        <v>18</v>
      </c>
      <c r="T3296" s="93" t="s">
        <v>1659</v>
      </c>
      <c r="U3296" s="93" t="s">
        <v>116</v>
      </c>
      <c r="V3296" s="94">
        <v>44628.520833333336</v>
      </c>
      <c r="W3296" s="93" t="s">
        <v>1170</v>
      </c>
      <c r="X3296" s="93" t="s">
        <v>24</v>
      </c>
    </row>
    <row r="3297" spans="1:24" hidden="1" x14ac:dyDescent="0.15">
      <c r="A3297" s="93" t="s">
        <v>4941</v>
      </c>
      <c r="B3297" s="93" t="s">
        <v>4942</v>
      </c>
      <c r="C3297" s="410">
        <v>1869</v>
      </c>
      <c r="D3297" s="93" t="s">
        <v>24</v>
      </c>
      <c r="E3297" s="93" t="s">
        <v>24</v>
      </c>
      <c r="F3297" s="93" t="s">
        <v>7070</v>
      </c>
      <c r="G3297" s="93" t="s">
        <v>8237</v>
      </c>
      <c r="H3297" s="93" t="s">
        <v>1198</v>
      </c>
      <c r="I3297" s="93" t="s">
        <v>111</v>
      </c>
      <c r="J3297" s="93" t="s">
        <v>963</v>
      </c>
      <c r="K3297" s="93">
        <v>60</v>
      </c>
      <c r="L3297" s="93" t="s">
        <v>111</v>
      </c>
      <c r="M3297" s="93">
        <v>72</v>
      </c>
      <c r="N3297" s="93" t="s">
        <v>113</v>
      </c>
      <c r="O3297" s="93">
        <v>41</v>
      </c>
      <c r="P3297" s="93">
        <v>136</v>
      </c>
      <c r="Q3297" s="93">
        <v>152</v>
      </c>
      <c r="R3297" s="93" t="s">
        <v>117</v>
      </c>
      <c r="S3297" s="93" t="s">
        <v>18</v>
      </c>
      <c r="T3297" s="93" t="s">
        <v>1659</v>
      </c>
      <c r="U3297" s="93" t="s">
        <v>116</v>
      </c>
      <c r="V3297" s="94">
        <v>44628.642361111109</v>
      </c>
      <c r="W3297" s="93" t="s">
        <v>1170</v>
      </c>
      <c r="X3297" s="93" t="s">
        <v>24</v>
      </c>
    </row>
    <row r="3298" spans="1:24" hidden="1" x14ac:dyDescent="0.15">
      <c r="A3298" s="93" t="s">
        <v>4943</v>
      </c>
      <c r="B3298" s="93" t="s">
        <v>4944</v>
      </c>
      <c r="C3298" s="410">
        <v>4095</v>
      </c>
      <c r="D3298" s="93" t="s">
        <v>24</v>
      </c>
      <c r="E3298" s="93" t="s">
        <v>24</v>
      </c>
      <c r="F3298" s="93" t="s">
        <v>7070</v>
      </c>
      <c r="G3298" s="93" t="s">
        <v>8237</v>
      </c>
      <c r="H3298" s="93" t="s">
        <v>1198</v>
      </c>
      <c r="I3298" s="93" t="s">
        <v>111</v>
      </c>
      <c r="J3298" s="93" t="s">
        <v>963</v>
      </c>
      <c r="K3298" s="93">
        <v>60</v>
      </c>
      <c r="L3298" s="93" t="s">
        <v>111</v>
      </c>
      <c r="M3298" s="93">
        <v>193</v>
      </c>
      <c r="N3298" s="93" t="s">
        <v>113</v>
      </c>
      <c r="O3298" s="93">
        <v>210</v>
      </c>
      <c r="P3298" s="93">
        <v>88</v>
      </c>
      <c r="Q3298" s="93">
        <v>207</v>
      </c>
      <c r="R3298" s="93" t="s">
        <v>117</v>
      </c>
      <c r="S3298" s="93" t="s">
        <v>18</v>
      </c>
      <c r="T3298" s="93" t="s">
        <v>1659</v>
      </c>
      <c r="U3298" s="93" t="s">
        <v>116</v>
      </c>
      <c r="V3298" s="94">
        <v>44628.563888888886</v>
      </c>
      <c r="W3298" s="93" t="s">
        <v>1170</v>
      </c>
      <c r="X3298" s="93" t="s">
        <v>24</v>
      </c>
    </row>
    <row r="3299" spans="1:24" hidden="1" x14ac:dyDescent="0.15">
      <c r="A3299" s="93" t="s">
        <v>9479</v>
      </c>
      <c r="B3299" s="93" t="s">
        <v>9480</v>
      </c>
      <c r="C3299" s="410">
        <v>745.5</v>
      </c>
      <c r="D3299" s="93" t="s">
        <v>9</v>
      </c>
      <c r="E3299" s="93" t="s">
        <v>24</v>
      </c>
      <c r="F3299" s="93" t="s">
        <v>7070</v>
      </c>
      <c r="G3299" s="93" t="s">
        <v>8237</v>
      </c>
      <c r="H3299" s="93" t="s">
        <v>1198</v>
      </c>
      <c r="I3299" s="93" t="s">
        <v>111</v>
      </c>
      <c r="J3299" s="93" t="s">
        <v>963</v>
      </c>
      <c r="K3299" s="93">
        <v>60</v>
      </c>
      <c r="L3299" s="93" t="s">
        <v>111</v>
      </c>
      <c r="M3299" s="93">
        <v>21.8</v>
      </c>
      <c r="N3299" s="93" t="s">
        <v>113</v>
      </c>
      <c r="O3299" s="93">
        <v>67</v>
      </c>
      <c r="P3299" s="93">
        <v>79</v>
      </c>
      <c r="Q3299" s="93">
        <v>80</v>
      </c>
      <c r="R3299" s="93" t="s">
        <v>117</v>
      </c>
      <c r="S3299" s="93" t="s">
        <v>111</v>
      </c>
      <c r="T3299" s="93" t="s">
        <v>1659</v>
      </c>
      <c r="U3299" s="93" t="s">
        <v>119</v>
      </c>
      <c r="V3299" s="94">
        <v>44628.477083333331</v>
      </c>
      <c r="W3299" s="93" t="s">
        <v>1207</v>
      </c>
      <c r="X3299" s="93" t="s">
        <v>24</v>
      </c>
    </row>
    <row r="3300" spans="1:24" hidden="1" x14ac:dyDescent="0.15">
      <c r="A3300" s="93" t="s">
        <v>4945</v>
      </c>
      <c r="B3300" s="93" t="s">
        <v>4946</v>
      </c>
      <c r="C3300" s="410">
        <v>745.5</v>
      </c>
      <c r="D3300" s="93" t="s">
        <v>24</v>
      </c>
      <c r="E3300" s="93" t="s">
        <v>24</v>
      </c>
      <c r="F3300" s="93" t="s">
        <v>7070</v>
      </c>
      <c r="G3300" s="93" t="s">
        <v>8237</v>
      </c>
      <c r="H3300" s="93" t="s">
        <v>1198</v>
      </c>
      <c r="I3300" s="93" t="s">
        <v>111</v>
      </c>
      <c r="J3300" s="93" t="s">
        <v>963</v>
      </c>
      <c r="K3300" s="93">
        <v>60</v>
      </c>
      <c r="L3300" s="93" t="s">
        <v>111</v>
      </c>
      <c r="M3300" s="93">
        <v>21.7</v>
      </c>
      <c r="N3300" s="93" t="s">
        <v>113</v>
      </c>
      <c r="O3300" s="93">
        <v>71</v>
      </c>
      <c r="P3300" s="93">
        <v>71</v>
      </c>
      <c r="Q3300" s="93">
        <v>61</v>
      </c>
      <c r="R3300" s="93" t="s">
        <v>117</v>
      </c>
      <c r="S3300" s="93" t="s">
        <v>20</v>
      </c>
      <c r="T3300" s="93" t="s">
        <v>1659</v>
      </c>
      <c r="U3300" s="93" t="s">
        <v>116</v>
      </c>
      <c r="V3300" s="94">
        <v>44628.563888888886</v>
      </c>
      <c r="W3300" s="93" t="s">
        <v>1817</v>
      </c>
      <c r="X3300" s="93" t="s">
        <v>24</v>
      </c>
    </row>
    <row r="3301" spans="1:24" hidden="1" x14ac:dyDescent="0.15">
      <c r="A3301" s="93" t="s">
        <v>9481</v>
      </c>
      <c r="B3301" s="93" t="s">
        <v>9482</v>
      </c>
      <c r="C3301" s="410">
        <v>1748.25</v>
      </c>
      <c r="D3301" s="93" t="s">
        <v>9</v>
      </c>
      <c r="E3301" s="93" t="s">
        <v>24</v>
      </c>
      <c r="F3301" s="93" t="s">
        <v>7070</v>
      </c>
      <c r="G3301" s="93" t="s">
        <v>8237</v>
      </c>
      <c r="H3301" s="93" t="s">
        <v>1198</v>
      </c>
      <c r="I3301" s="93" t="s">
        <v>111</v>
      </c>
      <c r="J3301" s="93" t="s">
        <v>963</v>
      </c>
      <c r="K3301" s="93">
        <v>60</v>
      </c>
      <c r="L3301" s="93" t="s">
        <v>111</v>
      </c>
      <c r="M3301" s="93">
        <v>36</v>
      </c>
      <c r="N3301" s="93" t="s">
        <v>113</v>
      </c>
      <c r="O3301" s="93" t="s">
        <v>111</v>
      </c>
      <c r="P3301" s="93" t="s">
        <v>111</v>
      </c>
      <c r="Q3301" s="93" t="s">
        <v>111</v>
      </c>
      <c r="R3301" s="93" t="s">
        <v>117</v>
      </c>
      <c r="S3301" s="93" t="s">
        <v>111</v>
      </c>
      <c r="T3301" s="93" t="s">
        <v>1659</v>
      </c>
      <c r="U3301" s="93" t="s">
        <v>119</v>
      </c>
      <c r="V3301" s="94">
        <v>44628.606944444444</v>
      </c>
      <c r="W3301" s="93" t="s">
        <v>1207</v>
      </c>
      <c r="X3301" s="93" t="s">
        <v>24</v>
      </c>
    </row>
    <row r="3302" spans="1:24" hidden="1" x14ac:dyDescent="0.15">
      <c r="A3302" s="93" t="s">
        <v>4947</v>
      </c>
      <c r="B3302" s="93" t="s">
        <v>4948</v>
      </c>
      <c r="C3302" s="410">
        <v>1748.25</v>
      </c>
      <c r="D3302" s="93" t="s">
        <v>24</v>
      </c>
      <c r="E3302" s="93" t="s">
        <v>24</v>
      </c>
      <c r="F3302" s="93" t="s">
        <v>7070</v>
      </c>
      <c r="G3302" s="93" t="s">
        <v>8237</v>
      </c>
      <c r="H3302" s="93" t="s">
        <v>1198</v>
      </c>
      <c r="I3302" s="93" t="s">
        <v>111</v>
      </c>
      <c r="J3302" s="93" t="s">
        <v>963</v>
      </c>
      <c r="K3302" s="93">
        <v>60</v>
      </c>
      <c r="L3302" s="93" t="s">
        <v>111</v>
      </c>
      <c r="M3302" s="93">
        <v>36</v>
      </c>
      <c r="N3302" s="93" t="s">
        <v>113</v>
      </c>
      <c r="O3302" s="93">
        <v>69</v>
      </c>
      <c r="P3302" s="93">
        <v>119</v>
      </c>
      <c r="Q3302" s="93">
        <v>119</v>
      </c>
      <c r="R3302" s="93" t="s">
        <v>117</v>
      </c>
      <c r="S3302" s="93" t="s">
        <v>20</v>
      </c>
      <c r="T3302" s="93" t="s">
        <v>1659</v>
      </c>
      <c r="U3302" s="93" t="s">
        <v>116</v>
      </c>
      <c r="V3302" s="94">
        <v>44628.607638888891</v>
      </c>
      <c r="W3302" s="93" t="s">
        <v>1817</v>
      </c>
      <c r="X3302" s="93" t="s">
        <v>24</v>
      </c>
    </row>
    <row r="3303" spans="1:24" hidden="1" x14ac:dyDescent="0.15">
      <c r="A3303" s="93" t="s">
        <v>9483</v>
      </c>
      <c r="B3303" s="93" t="s">
        <v>9484</v>
      </c>
      <c r="C3303" s="410">
        <v>2625</v>
      </c>
      <c r="D3303" s="93" t="s">
        <v>9</v>
      </c>
      <c r="E3303" s="93" t="s">
        <v>24</v>
      </c>
      <c r="F3303" s="93" t="s">
        <v>7070</v>
      </c>
      <c r="G3303" s="93" t="s">
        <v>8237</v>
      </c>
      <c r="H3303" s="93" t="s">
        <v>1198</v>
      </c>
      <c r="I3303" s="93" t="s">
        <v>111</v>
      </c>
      <c r="J3303" s="93" t="s">
        <v>963</v>
      </c>
      <c r="K3303" s="93">
        <v>60</v>
      </c>
      <c r="L3303" s="93" t="s">
        <v>111</v>
      </c>
      <c r="M3303" s="93">
        <v>90</v>
      </c>
      <c r="N3303" s="93" t="s">
        <v>113</v>
      </c>
      <c r="O3303" s="93">
        <v>149</v>
      </c>
      <c r="P3303" s="93">
        <v>90</v>
      </c>
      <c r="Q3303" s="93">
        <v>147</v>
      </c>
      <c r="R3303" s="93" t="s">
        <v>117</v>
      </c>
      <c r="S3303" s="93" t="s">
        <v>111</v>
      </c>
      <c r="T3303" s="93" t="s">
        <v>1659</v>
      </c>
      <c r="U3303" s="93" t="s">
        <v>119</v>
      </c>
      <c r="V3303" s="94">
        <v>44628.606944444444</v>
      </c>
      <c r="W3303" s="93" t="s">
        <v>1207</v>
      </c>
      <c r="X3303" s="93" t="s">
        <v>24</v>
      </c>
    </row>
    <row r="3304" spans="1:24" hidden="1" x14ac:dyDescent="0.15">
      <c r="A3304" s="93" t="s">
        <v>4949</v>
      </c>
      <c r="B3304" s="93" t="s">
        <v>4950</v>
      </c>
      <c r="C3304" s="410">
        <v>2346.75</v>
      </c>
      <c r="D3304" s="93" t="s">
        <v>24</v>
      </c>
      <c r="E3304" s="93" t="s">
        <v>24</v>
      </c>
      <c r="F3304" s="93" t="s">
        <v>7070</v>
      </c>
      <c r="G3304" s="93" t="s">
        <v>8237</v>
      </c>
      <c r="H3304" s="93" t="s">
        <v>1198</v>
      </c>
      <c r="I3304" s="93" t="s">
        <v>111</v>
      </c>
      <c r="J3304" s="93" t="s">
        <v>963</v>
      </c>
      <c r="K3304" s="93">
        <v>60</v>
      </c>
      <c r="L3304" s="93" t="s">
        <v>111</v>
      </c>
      <c r="M3304" s="93">
        <v>92.3</v>
      </c>
      <c r="N3304" s="93" t="s">
        <v>113</v>
      </c>
      <c r="O3304" s="93">
        <v>71</v>
      </c>
      <c r="P3304" s="93">
        <v>150</v>
      </c>
      <c r="Q3304" s="93">
        <v>152</v>
      </c>
      <c r="R3304" s="93" t="s">
        <v>117</v>
      </c>
      <c r="S3304" s="93" t="s">
        <v>2</v>
      </c>
      <c r="T3304" s="93" t="s">
        <v>1659</v>
      </c>
      <c r="U3304" s="93" t="s">
        <v>116</v>
      </c>
      <c r="V3304" s="94">
        <v>44628.498611111114</v>
      </c>
      <c r="W3304" s="93" t="s">
        <v>1817</v>
      </c>
      <c r="X3304" s="93" t="s">
        <v>24</v>
      </c>
    </row>
    <row r="3305" spans="1:24" hidden="1" x14ac:dyDescent="0.15">
      <c r="A3305" s="93" t="s">
        <v>4951</v>
      </c>
      <c r="B3305" s="93" t="s">
        <v>4952</v>
      </c>
      <c r="C3305" s="410">
        <v>4888.8</v>
      </c>
      <c r="D3305" s="93" t="s">
        <v>24</v>
      </c>
      <c r="E3305" s="93" t="s">
        <v>24</v>
      </c>
      <c r="F3305" s="93" t="s">
        <v>7070</v>
      </c>
      <c r="G3305" s="93" t="s">
        <v>8237</v>
      </c>
      <c r="H3305" s="93" t="s">
        <v>1198</v>
      </c>
      <c r="I3305" s="93" t="s">
        <v>111</v>
      </c>
      <c r="J3305" s="93" t="s">
        <v>963</v>
      </c>
      <c r="K3305" s="93">
        <v>60</v>
      </c>
      <c r="L3305" s="93" t="s">
        <v>111</v>
      </c>
      <c r="M3305" s="93">
        <v>182.3</v>
      </c>
      <c r="N3305" s="93" t="s">
        <v>113</v>
      </c>
      <c r="O3305" s="93">
        <v>86</v>
      </c>
      <c r="P3305" s="93">
        <v>196</v>
      </c>
      <c r="Q3305" s="93">
        <v>203</v>
      </c>
      <c r="R3305" s="93" t="s">
        <v>117</v>
      </c>
      <c r="S3305" s="93" t="s">
        <v>2</v>
      </c>
      <c r="T3305" s="93" t="s">
        <v>1659</v>
      </c>
      <c r="U3305" s="93" t="s">
        <v>116</v>
      </c>
      <c r="V3305" s="94">
        <v>44628.643055555556</v>
      </c>
      <c r="W3305" s="93" t="s">
        <v>1170</v>
      </c>
      <c r="X3305" s="93" t="s">
        <v>24</v>
      </c>
    </row>
    <row r="3306" spans="1:24" hidden="1" x14ac:dyDescent="0.15">
      <c r="A3306" s="93" t="s">
        <v>9485</v>
      </c>
      <c r="B3306" s="93" t="s">
        <v>9486</v>
      </c>
      <c r="C3306" s="410">
        <v>2625</v>
      </c>
      <c r="D3306" s="93" t="s">
        <v>24</v>
      </c>
      <c r="E3306" s="93" t="s">
        <v>24</v>
      </c>
      <c r="F3306" s="93" t="s">
        <v>7070</v>
      </c>
      <c r="G3306" s="93" t="s">
        <v>8237</v>
      </c>
      <c r="H3306" s="93" t="s">
        <v>11</v>
      </c>
      <c r="I3306" s="93" t="s">
        <v>111</v>
      </c>
      <c r="J3306" s="93" t="s">
        <v>1759</v>
      </c>
      <c r="K3306" s="93">
        <v>70</v>
      </c>
      <c r="L3306" s="93" t="s">
        <v>111</v>
      </c>
      <c r="M3306" s="93">
        <v>0.5</v>
      </c>
      <c r="N3306" s="93" t="s">
        <v>113</v>
      </c>
      <c r="O3306" s="93">
        <v>5</v>
      </c>
      <c r="P3306" s="93">
        <v>10</v>
      </c>
      <c r="Q3306" s="93">
        <v>12</v>
      </c>
      <c r="R3306" s="93" t="s">
        <v>117</v>
      </c>
      <c r="S3306" s="93" t="s">
        <v>20</v>
      </c>
      <c r="T3306" s="93" t="s">
        <v>115</v>
      </c>
      <c r="U3306" s="93" t="s">
        <v>116</v>
      </c>
      <c r="V3306" s="94">
        <v>44628.492361111108</v>
      </c>
      <c r="W3306" s="93" t="s">
        <v>1170</v>
      </c>
      <c r="X3306" s="93" t="s">
        <v>24</v>
      </c>
    </row>
    <row r="3307" spans="1:24" hidden="1" x14ac:dyDescent="0.15">
      <c r="A3307" s="93" t="s">
        <v>4953</v>
      </c>
      <c r="B3307" s="93" t="s">
        <v>4954</v>
      </c>
      <c r="C3307" s="410">
        <v>9975</v>
      </c>
      <c r="D3307" s="93" t="s">
        <v>24</v>
      </c>
      <c r="E3307" s="93" t="s">
        <v>24</v>
      </c>
      <c r="F3307" s="93" t="s">
        <v>1648</v>
      </c>
      <c r="G3307" s="93" t="s">
        <v>8237</v>
      </c>
      <c r="H3307" s="93" t="s">
        <v>11</v>
      </c>
      <c r="I3307" s="93" t="s">
        <v>111</v>
      </c>
      <c r="J3307" s="93" t="s">
        <v>1675</v>
      </c>
      <c r="K3307" s="93">
        <v>60</v>
      </c>
      <c r="L3307" s="93" t="s">
        <v>111</v>
      </c>
      <c r="M3307" s="93">
        <v>4</v>
      </c>
      <c r="N3307" s="93" t="s">
        <v>113</v>
      </c>
      <c r="O3307" s="93">
        <v>19</v>
      </c>
      <c r="P3307" s="93">
        <v>30</v>
      </c>
      <c r="Q3307" s="93">
        <v>34</v>
      </c>
      <c r="R3307" s="93" t="s">
        <v>117</v>
      </c>
      <c r="S3307" s="93" t="s">
        <v>659</v>
      </c>
      <c r="T3307" s="93" t="s">
        <v>115</v>
      </c>
      <c r="U3307" s="93" t="s">
        <v>116</v>
      </c>
      <c r="V3307" s="94">
        <v>44628.46875</v>
      </c>
      <c r="W3307" s="93" t="s">
        <v>1555</v>
      </c>
      <c r="X3307" s="93" t="s">
        <v>24</v>
      </c>
    </row>
    <row r="3308" spans="1:24" hidden="1" x14ac:dyDescent="0.15">
      <c r="A3308" s="93" t="s">
        <v>4955</v>
      </c>
      <c r="B3308" s="93" t="s">
        <v>4956</v>
      </c>
      <c r="C3308" s="410">
        <v>185.85</v>
      </c>
      <c r="D3308" s="93" t="s">
        <v>24</v>
      </c>
      <c r="E3308" s="93" t="s">
        <v>24</v>
      </c>
      <c r="F3308" s="93" t="s">
        <v>7070</v>
      </c>
      <c r="G3308" s="93" t="s">
        <v>8237</v>
      </c>
      <c r="H3308" s="93" t="s">
        <v>11</v>
      </c>
      <c r="I3308" s="93" t="s">
        <v>111</v>
      </c>
      <c r="J3308" s="93" t="s">
        <v>963</v>
      </c>
      <c r="K3308" s="93">
        <v>60</v>
      </c>
      <c r="L3308" s="93" t="s">
        <v>111</v>
      </c>
      <c r="M3308" s="93">
        <v>1</v>
      </c>
      <c r="N3308" s="93" t="s">
        <v>113</v>
      </c>
      <c r="O3308" s="93">
        <v>5</v>
      </c>
      <c r="P3308" s="93">
        <v>16.5</v>
      </c>
      <c r="Q3308" s="93">
        <v>21.5</v>
      </c>
      <c r="R3308" s="93" t="s">
        <v>122</v>
      </c>
      <c r="S3308" s="93" t="s">
        <v>20</v>
      </c>
      <c r="T3308" s="93" t="s">
        <v>1659</v>
      </c>
      <c r="U3308" s="93" t="s">
        <v>116</v>
      </c>
      <c r="V3308" s="94">
        <v>44628.581944444442</v>
      </c>
      <c r="W3308" s="93" t="s">
        <v>1170</v>
      </c>
      <c r="X3308" s="93" t="s">
        <v>24</v>
      </c>
    </row>
    <row r="3309" spans="1:24" hidden="1" x14ac:dyDescent="0.15">
      <c r="A3309" s="93" t="s">
        <v>4957</v>
      </c>
      <c r="B3309" s="93" t="s">
        <v>4958</v>
      </c>
      <c r="C3309" s="410">
        <v>278.25</v>
      </c>
      <c r="D3309" s="93" t="s">
        <v>24</v>
      </c>
      <c r="E3309" s="93" t="s">
        <v>24</v>
      </c>
      <c r="F3309" s="93" t="s">
        <v>7070</v>
      </c>
      <c r="G3309" s="93" t="s">
        <v>8237</v>
      </c>
      <c r="H3309" s="93" t="s">
        <v>11</v>
      </c>
      <c r="I3309" s="93" t="s">
        <v>111</v>
      </c>
      <c r="J3309" s="93" t="s">
        <v>963</v>
      </c>
      <c r="K3309" s="93">
        <v>60</v>
      </c>
      <c r="L3309" s="93" t="s">
        <v>111</v>
      </c>
      <c r="M3309" s="93">
        <v>0.5</v>
      </c>
      <c r="N3309" s="93" t="s">
        <v>113</v>
      </c>
      <c r="O3309" s="93">
        <v>5</v>
      </c>
      <c r="P3309" s="93">
        <v>11</v>
      </c>
      <c r="Q3309" s="93">
        <v>11</v>
      </c>
      <c r="R3309" s="93" t="s">
        <v>122</v>
      </c>
      <c r="S3309" s="93" t="s">
        <v>659</v>
      </c>
      <c r="T3309" s="93" t="s">
        <v>1659</v>
      </c>
      <c r="U3309" s="93" t="s">
        <v>116</v>
      </c>
      <c r="V3309" s="94">
        <v>44628.638888888891</v>
      </c>
      <c r="W3309" s="93" t="s">
        <v>1170</v>
      </c>
      <c r="X3309" s="93" t="s">
        <v>24</v>
      </c>
    </row>
    <row r="3310" spans="1:24" hidden="1" x14ac:dyDescent="0.15">
      <c r="A3310" s="93" t="s">
        <v>4959</v>
      </c>
      <c r="B3310" s="93" t="s">
        <v>4960</v>
      </c>
      <c r="C3310" s="410">
        <v>615.83000000000004</v>
      </c>
      <c r="D3310" s="93" t="s">
        <v>24</v>
      </c>
      <c r="E3310" s="93" t="s">
        <v>24</v>
      </c>
      <c r="F3310" s="93" t="s">
        <v>7070</v>
      </c>
      <c r="G3310" s="93" t="s">
        <v>8237</v>
      </c>
      <c r="H3310" s="93" t="s">
        <v>11</v>
      </c>
      <c r="I3310" s="93" t="s">
        <v>111</v>
      </c>
      <c r="J3310" s="93" t="s">
        <v>963</v>
      </c>
      <c r="K3310" s="93">
        <v>60</v>
      </c>
      <c r="L3310" s="93" t="s">
        <v>111</v>
      </c>
      <c r="M3310" s="93">
        <v>2.5</v>
      </c>
      <c r="N3310" s="93" t="s">
        <v>113</v>
      </c>
      <c r="O3310" s="93">
        <v>28</v>
      </c>
      <c r="P3310" s="93">
        <v>28</v>
      </c>
      <c r="Q3310" s="93">
        <v>18</v>
      </c>
      <c r="R3310" s="93" t="s">
        <v>4205</v>
      </c>
      <c r="S3310" s="93" t="s">
        <v>20</v>
      </c>
      <c r="T3310" s="93" t="s">
        <v>1659</v>
      </c>
      <c r="U3310" s="93" t="s">
        <v>116</v>
      </c>
      <c r="V3310" s="94">
        <v>44628.581944444442</v>
      </c>
      <c r="W3310" s="93" t="s">
        <v>1170</v>
      </c>
      <c r="X3310" s="93" t="s">
        <v>24</v>
      </c>
    </row>
    <row r="3311" spans="1:24" hidden="1" x14ac:dyDescent="0.15">
      <c r="A3311" s="93" t="s">
        <v>4961</v>
      </c>
      <c r="B3311" s="93" t="s">
        <v>4962</v>
      </c>
      <c r="C3311" s="410">
        <v>533.4</v>
      </c>
      <c r="D3311" s="93" t="s">
        <v>24</v>
      </c>
      <c r="E3311" s="93" t="s">
        <v>24</v>
      </c>
      <c r="F3311" s="93" t="s">
        <v>7070</v>
      </c>
      <c r="G3311" s="93" t="s">
        <v>8237</v>
      </c>
      <c r="H3311" s="93" t="s">
        <v>11</v>
      </c>
      <c r="I3311" s="93" t="s">
        <v>111</v>
      </c>
      <c r="J3311" s="93" t="s">
        <v>963</v>
      </c>
      <c r="K3311" s="93">
        <v>60</v>
      </c>
      <c r="L3311" s="93" t="s">
        <v>111</v>
      </c>
      <c r="M3311" s="93">
        <v>2</v>
      </c>
      <c r="N3311" s="93" t="s">
        <v>113</v>
      </c>
      <c r="O3311" s="93">
        <v>25</v>
      </c>
      <c r="P3311" s="93">
        <v>25</v>
      </c>
      <c r="Q3311" s="93">
        <v>33</v>
      </c>
      <c r="R3311" s="93" t="s">
        <v>117</v>
      </c>
      <c r="S3311" s="93" t="s">
        <v>20</v>
      </c>
      <c r="T3311" s="93" t="s">
        <v>1659</v>
      </c>
      <c r="U3311" s="93" t="s">
        <v>116</v>
      </c>
      <c r="V3311" s="94">
        <v>44628.517361111109</v>
      </c>
      <c r="W3311" s="93" t="s">
        <v>1170</v>
      </c>
      <c r="X3311" s="93" t="s">
        <v>24</v>
      </c>
    </row>
    <row r="3312" spans="1:24" hidden="1" x14ac:dyDescent="0.15">
      <c r="A3312" s="93" t="s">
        <v>4963</v>
      </c>
      <c r="B3312" s="93" t="s">
        <v>4964</v>
      </c>
      <c r="C3312" s="410">
        <v>533.4</v>
      </c>
      <c r="D3312" s="93" t="s">
        <v>24</v>
      </c>
      <c r="E3312" s="93" t="s">
        <v>24</v>
      </c>
      <c r="F3312" s="93" t="s">
        <v>7070</v>
      </c>
      <c r="G3312" s="93" t="s">
        <v>8237</v>
      </c>
      <c r="H3312" s="93" t="s">
        <v>11</v>
      </c>
      <c r="I3312" s="93" t="s">
        <v>111</v>
      </c>
      <c r="J3312" s="93" t="s">
        <v>963</v>
      </c>
      <c r="K3312" s="93">
        <v>60</v>
      </c>
      <c r="L3312" s="93" t="s">
        <v>111</v>
      </c>
      <c r="M3312" s="93">
        <v>4.55</v>
      </c>
      <c r="N3312" s="93" t="s">
        <v>113</v>
      </c>
      <c r="O3312" s="93">
        <v>66</v>
      </c>
      <c r="P3312" s="93">
        <v>41</v>
      </c>
      <c r="Q3312" s="93">
        <v>28</v>
      </c>
      <c r="R3312" s="93" t="s">
        <v>117</v>
      </c>
      <c r="S3312" s="93" t="s">
        <v>20</v>
      </c>
      <c r="T3312" s="93" t="s">
        <v>1659</v>
      </c>
      <c r="U3312" s="93" t="s">
        <v>116</v>
      </c>
      <c r="V3312" s="94">
        <v>44628.539583333331</v>
      </c>
      <c r="W3312" s="93" t="s">
        <v>1170</v>
      </c>
      <c r="X3312" s="93" t="s">
        <v>24</v>
      </c>
    </row>
    <row r="3313" spans="1:24" hidden="1" x14ac:dyDescent="0.15">
      <c r="A3313" s="93" t="s">
        <v>4965</v>
      </c>
      <c r="B3313" s="93" t="s">
        <v>4966</v>
      </c>
      <c r="C3313" s="410">
        <v>533.4</v>
      </c>
      <c r="D3313" s="93" t="s">
        <v>24</v>
      </c>
      <c r="E3313" s="93" t="s">
        <v>24</v>
      </c>
      <c r="F3313" s="93" t="s">
        <v>7070</v>
      </c>
      <c r="G3313" s="93" t="s">
        <v>8237</v>
      </c>
      <c r="H3313" s="93" t="s">
        <v>11</v>
      </c>
      <c r="I3313" s="93" t="s">
        <v>111</v>
      </c>
      <c r="J3313" s="93" t="s">
        <v>963</v>
      </c>
      <c r="K3313" s="93">
        <v>60</v>
      </c>
      <c r="L3313" s="93" t="s">
        <v>111</v>
      </c>
      <c r="M3313" s="93">
        <v>6.8</v>
      </c>
      <c r="N3313" s="93" t="s">
        <v>113</v>
      </c>
      <c r="O3313" s="93">
        <v>112</v>
      </c>
      <c r="P3313" s="93">
        <v>32</v>
      </c>
      <c r="Q3313" s="93">
        <v>24</v>
      </c>
      <c r="R3313" s="93" t="s">
        <v>117</v>
      </c>
      <c r="S3313" s="93" t="s">
        <v>20</v>
      </c>
      <c r="T3313" s="93" t="s">
        <v>1659</v>
      </c>
      <c r="U3313" s="93" t="s">
        <v>116</v>
      </c>
      <c r="V3313" s="94">
        <v>44628.560416666667</v>
      </c>
      <c r="W3313" s="93" t="s">
        <v>1170</v>
      </c>
      <c r="X3313" s="93" t="s">
        <v>24</v>
      </c>
    </row>
    <row r="3314" spans="1:24" hidden="1" x14ac:dyDescent="0.15">
      <c r="A3314" s="93" t="s">
        <v>4967</v>
      </c>
      <c r="B3314" s="93" t="s">
        <v>4968</v>
      </c>
      <c r="C3314" s="410">
        <v>533.4</v>
      </c>
      <c r="D3314" s="93" t="s">
        <v>24</v>
      </c>
      <c r="E3314" s="93" t="s">
        <v>24</v>
      </c>
      <c r="F3314" s="93" t="s">
        <v>7070</v>
      </c>
      <c r="G3314" s="93" t="s">
        <v>8237</v>
      </c>
      <c r="H3314" s="93" t="s">
        <v>11</v>
      </c>
      <c r="I3314" s="93" t="s">
        <v>111</v>
      </c>
      <c r="J3314" s="93" t="s">
        <v>963</v>
      </c>
      <c r="K3314" s="93">
        <v>60</v>
      </c>
      <c r="L3314" s="93" t="s">
        <v>111</v>
      </c>
      <c r="M3314" s="93">
        <v>6.8</v>
      </c>
      <c r="N3314" s="93" t="s">
        <v>113</v>
      </c>
      <c r="O3314" s="93">
        <v>112</v>
      </c>
      <c r="P3314" s="93">
        <v>32</v>
      </c>
      <c r="Q3314" s="93">
        <v>24</v>
      </c>
      <c r="R3314" s="93" t="s">
        <v>117</v>
      </c>
      <c r="S3314" s="93" t="s">
        <v>20</v>
      </c>
      <c r="T3314" s="93" t="s">
        <v>115</v>
      </c>
      <c r="U3314" s="93" t="s">
        <v>116</v>
      </c>
      <c r="V3314" s="94">
        <v>44628.582638888889</v>
      </c>
      <c r="W3314" s="93" t="s">
        <v>1170</v>
      </c>
      <c r="X3314" s="93" t="s">
        <v>24</v>
      </c>
    </row>
    <row r="3315" spans="1:24" hidden="1" x14ac:dyDescent="0.15">
      <c r="A3315" s="93" t="s">
        <v>4969</v>
      </c>
      <c r="B3315" s="93" t="s">
        <v>4970</v>
      </c>
      <c r="C3315" s="410">
        <v>834.75</v>
      </c>
      <c r="D3315" s="93" t="s">
        <v>24</v>
      </c>
      <c r="E3315" s="93" t="s">
        <v>24</v>
      </c>
      <c r="F3315" s="93" t="s">
        <v>7070</v>
      </c>
      <c r="G3315" s="93" t="s">
        <v>8237</v>
      </c>
      <c r="H3315" s="93" t="s">
        <v>11</v>
      </c>
      <c r="I3315" s="93" t="s">
        <v>111</v>
      </c>
      <c r="J3315" s="93" t="s">
        <v>963</v>
      </c>
      <c r="K3315" s="93">
        <v>60</v>
      </c>
      <c r="L3315" s="93" t="s">
        <v>111</v>
      </c>
      <c r="M3315" s="93">
        <v>3</v>
      </c>
      <c r="N3315" s="93" t="s">
        <v>113</v>
      </c>
      <c r="O3315" s="93">
        <v>11</v>
      </c>
      <c r="P3315" s="93">
        <v>26.5</v>
      </c>
      <c r="Q3315" s="93">
        <v>26.5</v>
      </c>
      <c r="R3315" s="93" t="s">
        <v>117</v>
      </c>
      <c r="S3315" s="93" t="s">
        <v>20</v>
      </c>
      <c r="T3315" s="93" t="s">
        <v>115</v>
      </c>
      <c r="U3315" s="93" t="s">
        <v>116</v>
      </c>
      <c r="V3315" s="94">
        <v>44628.495138888888</v>
      </c>
      <c r="W3315" s="93" t="s">
        <v>1170</v>
      </c>
      <c r="X3315" s="93" t="s">
        <v>24</v>
      </c>
    </row>
    <row r="3316" spans="1:24" hidden="1" x14ac:dyDescent="0.15">
      <c r="A3316" s="93" t="s">
        <v>4971</v>
      </c>
      <c r="B3316" s="93" t="s">
        <v>4972</v>
      </c>
      <c r="C3316" s="410">
        <v>918.75</v>
      </c>
      <c r="D3316" s="93" t="s">
        <v>24</v>
      </c>
      <c r="E3316" s="93" t="s">
        <v>24</v>
      </c>
      <c r="F3316" s="93" t="s">
        <v>7070</v>
      </c>
      <c r="G3316" s="93" t="s">
        <v>8237</v>
      </c>
      <c r="H3316" s="93" t="s">
        <v>11</v>
      </c>
      <c r="I3316" s="93" t="s">
        <v>111</v>
      </c>
      <c r="J3316" s="93" t="s">
        <v>963</v>
      </c>
      <c r="K3316" s="93">
        <v>60</v>
      </c>
      <c r="L3316" s="93" t="s">
        <v>111</v>
      </c>
      <c r="M3316" s="93">
        <v>0.5</v>
      </c>
      <c r="N3316" s="93" t="s">
        <v>113</v>
      </c>
      <c r="O3316" s="93">
        <v>7</v>
      </c>
      <c r="P3316" s="93">
        <v>7</v>
      </c>
      <c r="Q3316" s="93">
        <v>13</v>
      </c>
      <c r="R3316" s="93" t="s">
        <v>1230</v>
      </c>
      <c r="S3316" s="93" t="s">
        <v>16</v>
      </c>
      <c r="T3316" s="93" t="s">
        <v>1659</v>
      </c>
      <c r="U3316" s="93" t="s">
        <v>116</v>
      </c>
      <c r="V3316" s="94">
        <v>44628.473611111112</v>
      </c>
      <c r="W3316" s="93" t="s">
        <v>1170</v>
      </c>
      <c r="X3316" s="93" t="s">
        <v>24</v>
      </c>
    </row>
    <row r="3317" spans="1:24" hidden="1" x14ac:dyDescent="0.15">
      <c r="A3317" s="93" t="s">
        <v>4973</v>
      </c>
      <c r="B3317" s="93" t="s">
        <v>4974</v>
      </c>
      <c r="C3317" s="410">
        <v>1484.7</v>
      </c>
      <c r="D3317" s="93" t="s">
        <v>24</v>
      </c>
      <c r="E3317" s="93" t="s">
        <v>24</v>
      </c>
      <c r="F3317" s="93" t="s">
        <v>7070</v>
      </c>
      <c r="G3317" s="93" t="s">
        <v>8237</v>
      </c>
      <c r="H3317" s="93" t="s">
        <v>11</v>
      </c>
      <c r="I3317" s="93" t="s">
        <v>111</v>
      </c>
      <c r="J3317" s="93" t="s">
        <v>963</v>
      </c>
      <c r="K3317" s="93">
        <v>60</v>
      </c>
      <c r="L3317" s="93" t="s">
        <v>111</v>
      </c>
      <c r="M3317" s="93">
        <v>2</v>
      </c>
      <c r="N3317" s="93" t="s">
        <v>113</v>
      </c>
      <c r="O3317" s="93">
        <v>31</v>
      </c>
      <c r="P3317" s="93">
        <v>34.200000000000003</v>
      </c>
      <c r="Q3317" s="93">
        <v>31</v>
      </c>
      <c r="R3317" s="93" t="s">
        <v>117</v>
      </c>
      <c r="S3317" s="93" t="s">
        <v>111</v>
      </c>
      <c r="T3317" s="93" t="s">
        <v>1659</v>
      </c>
      <c r="U3317" s="93" t="s">
        <v>116</v>
      </c>
      <c r="V3317" s="94">
        <v>44628.607638888891</v>
      </c>
      <c r="W3317" s="93" t="s">
        <v>1170</v>
      </c>
      <c r="X3317" s="93" t="s">
        <v>24</v>
      </c>
    </row>
    <row r="3318" spans="1:24" hidden="1" x14ac:dyDescent="0.15">
      <c r="A3318" s="93" t="s">
        <v>4975</v>
      </c>
      <c r="B3318" s="93" t="s">
        <v>4976</v>
      </c>
      <c r="C3318" s="410">
        <v>1708.35</v>
      </c>
      <c r="D3318" s="93" t="s">
        <v>24</v>
      </c>
      <c r="E3318" s="93" t="s">
        <v>24</v>
      </c>
      <c r="F3318" s="93" t="s">
        <v>7070</v>
      </c>
      <c r="G3318" s="93" t="s">
        <v>8237</v>
      </c>
      <c r="H3318" s="93" t="s">
        <v>11</v>
      </c>
      <c r="I3318" s="93" t="s">
        <v>111</v>
      </c>
      <c r="J3318" s="93" t="s">
        <v>963</v>
      </c>
      <c r="K3318" s="93">
        <v>60</v>
      </c>
      <c r="L3318" s="93" t="s">
        <v>111</v>
      </c>
      <c r="M3318" s="93">
        <v>5.8</v>
      </c>
      <c r="N3318" s="93" t="s">
        <v>113</v>
      </c>
      <c r="O3318" s="93" t="s">
        <v>111</v>
      </c>
      <c r="P3318" s="93" t="s">
        <v>111</v>
      </c>
      <c r="Q3318" s="93" t="s">
        <v>111</v>
      </c>
      <c r="R3318" s="93" t="s">
        <v>117</v>
      </c>
      <c r="S3318" s="93" t="s">
        <v>111</v>
      </c>
      <c r="T3318" s="93" t="s">
        <v>1659</v>
      </c>
      <c r="U3318" s="93" t="s">
        <v>116</v>
      </c>
      <c r="V3318" s="94">
        <v>44628.586111111108</v>
      </c>
      <c r="W3318" s="93" t="s">
        <v>1170</v>
      </c>
      <c r="X3318" s="93" t="s">
        <v>24</v>
      </c>
    </row>
    <row r="3319" spans="1:24" hidden="1" x14ac:dyDescent="0.15">
      <c r="A3319" s="93" t="s">
        <v>4977</v>
      </c>
      <c r="B3319" s="93" t="s">
        <v>4978</v>
      </c>
      <c r="C3319" s="410">
        <v>472.5</v>
      </c>
      <c r="D3319" s="93" t="s">
        <v>24</v>
      </c>
      <c r="E3319" s="93" t="s">
        <v>24</v>
      </c>
      <c r="F3319" s="93" t="s">
        <v>7070</v>
      </c>
      <c r="G3319" s="93" t="s">
        <v>8237</v>
      </c>
      <c r="H3319" s="93" t="s">
        <v>11</v>
      </c>
      <c r="I3319" s="93" t="s">
        <v>111</v>
      </c>
      <c r="J3319" s="93" t="s">
        <v>2086</v>
      </c>
      <c r="K3319" s="93">
        <v>50</v>
      </c>
      <c r="L3319" s="93" t="s">
        <v>111</v>
      </c>
      <c r="M3319" s="93">
        <v>2.9</v>
      </c>
      <c r="N3319" s="93" t="s">
        <v>113</v>
      </c>
      <c r="O3319" s="93">
        <v>19</v>
      </c>
      <c r="P3319" s="93">
        <v>28</v>
      </c>
      <c r="Q3319" s="93">
        <v>33</v>
      </c>
      <c r="R3319" s="93" t="s">
        <v>117</v>
      </c>
      <c r="S3319" s="93" t="s">
        <v>659</v>
      </c>
      <c r="T3319" s="93" t="s">
        <v>1659</v>
      </c>
      <c r="U3319" s="93" t="s">
        <v>116</v>
      </c>
      <c r="V3319" s="94">
        <v>44628.477777777778</v>
      </c>
      <c r="W3319" s="93" t="s">
        <v>1170</v>
      </c>
      <c r="X3319" s="93" t="s">
        <v>9</v>
      </c>
    </row>
    <row r="3320" spans="1:24" hidden="1" x14ac:dyDescent="0.15">
      <c r="A3320" s="93" t="s">
        <v>4979</v>
      </c>
      <c r="B3320" s="93" t="s">
        <v>4980</v>
      </c>
      <c r="C3320" s="410">
        <v>974.4</v>
      </c>
      <c r="D3320" s="93" t="s">
        <v>24</v>
      </c>
      <c r="E3320" s="93" t="s">
        <v>24</v>
      </c>
      <c r="F3320" s="93" t="s">
        <v>7070</v>
      </c>
      <c r="G3320" s="93" t="s">
        <v>8237</v>
      </c>
      <c r="H3320" s="93" t="s">
        <v>11</v>
      </c>
      <c r="I3320" s="93" t="s">
        <v>111</v>
      </c>
      <c r="J3320" s="93" t="s">
        <v>963</v>
      </c>
      <c r="K3320" s="93">
        <v>60</v>
      </c>
      <c r="L3320" s="93" t="s">
        <v>111</v>
      </c>
      <c r="M3320" s="93">
        <v>3.5</v>
      </c>
      <c r="N3320" s="93" t="s">
        <v>113</v>
      </c>
      <c r="O3320" s="93">
        <v>27</v>
      </c>
      <c r="P3320" s="93">
        <v>31</v>
      </c>
      <c r="Q3320" s="93">
        <v>17</v>
      </c>
      <c r="R3320" s="93" t="s">
        <v>117</v>
      </c>
      <c r="S3320" s="93" t="s">
        <v>111</v>
      </c>
      <c r="T3320" s="93" t="s">
        <v>1659</v>
      </c>
      <c r="U3320" s="93" t="s">
        <v>116</v>
      </c>
      <c r="V3320" s="94">
        <v>44628.543055555558</v>
      </c>
      <c r="W3320" s="93" t="s">
        <v>1170</v>
      </c>
      <c r="X3320" s="93" t="s">
        <v>24</v>
      </c>
    </row>
    <row r="3321" spans="1:24" hidden="1" x14ac:dyDescent="0.15">
      <c r="A3321" s="93" t="s">
        <v>4981</v>
      </c>
      <c r="B3321" s="93" t="s">
        <v>4982</v>
      </c>
      <c r="C3321" s="410">
        <v>208.95</v>
      </c>
      <c r="D3321" s="93" t="s">
        <v>24</v>
      </c>
      <c r="E3321" s="93" t="s">
        <v>24</v>
      </c>
      <c r="F3321" s="93" t="s">
        <v>7070</v>
      </c>
      <c r="G3321" s="93" t="s">
        <v>8237</v>
      </c>
      <c r="H3321" s="93" t="s">
        <v>11</v>
      </c>
      <c r="I3321" s="93" t="s">
        <v>111</v>
      </c>
      <c r="J3321" s="93" t="s">
        <v>1675</v>
      </c>
      <c r="K3321" s="93">
        <v>60</v>
      </c>
      <c r="L3321" s="93" t="s">
        <v>111</v>
      </c>
      <c r="M3321" s="93">
        <v>0.2</v>
      </c>
      <c r="N3321" s="93" t="s">
        <v>113</v>
      </c>
      <c r="O3321" s="93">
        <v>15</v>
      </c>
      <c r="P3321" s="93">
        <v>18</v>
      </c>
      <c r="Q3321" s="93">
        <v>20</v>
      </c>
      <c r="R3321" s="93" t="s">
        <v>4205</v>
      </c>
      <c r="S3321" s="93" t="s">
        <v>16</v>
      </c>
      <c r="T3321" s="93" t="s">
        <v>1659</v>
      </c>
      <c r="U3321" s="93" t="s">
        <v>116</v>
      </c>
      <c r="V3321" s="94">
        <v>44628.64166666667</v>
      </c>
      <c r="W3321" s="93" t="s">
        <v>1170</v>
      </c>
      <c r="X3321" s="93" t="s">
        <v>24</v>
      </c>
    </row>
    <row r="3322" spans="1:24" hidden="1" x14ac:dyDescent="0.15">
      <c r="A3322" s="93" t="s">
        <v>4983</v>
      </c>
      <c r="B3322" s="93" t="s">
        <v>4984</v>
      </c>
      <c r="C3322" s="410">
        <v>454.65</v>
      </c>
      <c r="D3322" s="93" t="s">
        <v>24</v>
      </c>
      <c r="E3322" s="93" t="s">
        <v>24</v>
      </c>
      <c r="F3322" s="93" t="s">
        <v>7070</v>
      </c>
      <c r="G3322" s="93" t="s">
        <v>8237</v>
      </c>
      <c r="H3322" s="93" t="s">
        <v>11</v>
      </c>
      <c r="I3322" s="93" t="s">
        <v>111</v>
      </c>
      <c r="J3322" s="93" t="s">
        <v>1675</v>
      </c>
      <c r="K3322" s="93">
        <v>60</v>
      </c>
      <c r="L3322" s="93" t="s">
        <v>111</v>
      </c>
      <c r="M3322" s="93">
        <v>0.2</v>
      </c>
      <c r="N3322" s="93" t="s">
        <v>113</v>
      </c>
      <c r="O3322" s="93">
        <v>15</v>
      </c>
      <c r="P3322" s="93">
        <v>18</v>
      </c>
      <c r="Q3322" s="93">
        <v>20</v>
      </c>
      <c r="R3322" s="93" t="s">
        <v>4205</v>
      </c>
      <c r="S3322" s="93" t="s">
        <v>16</v>
      </c>
      <c r="T3322" s="93" t="s">
        <v>1659</v>
      </c>
      <c r="U3322" s="93" t="s">
        <v>116</v>
      </c>
      <c r="V3322" s="94">
        <v>44628.585416666669</v>
      </c>
      <c r="W3322" s="93" t="s">
        <v>1170</v>
      </c>
      <c r="X3322" s="93" t="s">
        <v>24</v>
      </c>
    </row>
    <row r="3323" spans="1:24" hidden="1" x14ac:dyDescent="0.15">
      <c r="A3323" s="93" t="s">
        <v>4985</v>
      </c>
      <c r="B3323" s="93" t="s">
        <v>4986</v>
      </c>
      <c r="C3323" s="410">
        <v>1558.2</v>
      </c>
      <c r="D3323" s="93" t="s">
        <v>24</v>
      </c>
      <c r="E3323" s="93" t="s">
        <v>24</v>
      </c>
      <c r="F3323" s="93" t="s">
        <v>7070</v>
      </c>
      <c r="G3323" s="93" t="s">
        <v>8237</v>
      </c>
      <c r="H3323" s="93" t="s">
        <v>11</v>
      </c>
      <c r="I3323" s="93" t="s">
        <v>111</v>
      </c>
      <c r="J3323" s="93" t="s">
        <v>1675</v>
      </c>
      <c r="K3323" s="93">
        <v>60</v>
      </c>
      <c r="L3323" s="93" t="s">
        <v>111</v>
      </c>
      <c r="M3323" s="93">
        <v>6.3</v>
      </c>
      <c r="N3323" s="93" t="s">
        <v>113</v>
      </c>
      <c r="O3323" s="93">
        <v>16</v>
      </c>
      <c r="P3323" s="93">
        <v>56</v>
      </c>
      <c r="Q3323" s="93">
        <v>58</v>
      </c>
      <c r="R3323" s="93" t="s">
        <v>117</v>
      </c>
      <c r="S3323" s="93" t="s">
        <v>16</v>
      </c>
      <c r="T3323" s="93" t="s">
        <v>1659</v>
      </c>
      <c r="U3323" s="93" t="s">
        <v>116</v>
      </c>
      <c r="V3323" s="94">
        <v>44628.497916666667</v>
      </c>
      <c r="W3323" s="93" t="s">
        <v>1170</v>
      </c>
      <c r="X3323" s="93" t="s">
        <v>24</v>
      </c>
    </row>
    <row r="3324" spans="1:24" hidden="1" x14ac:dyDescent="0.15">
      <c r="A3324" s="93" t="s">
        <v>4987</v>
      </c>
      <c r="B3324" s="93" t="s">
        <v>4988</v>
      </c>
      <c r="C3324" s="410">
        <v>51.45</v>
      </c>
      <c r="D3324" s="93" t="s">
        <v>24</v>
      </c>
      <c r="E3324" s="93" t="s">
        <v>24</v>
      </c>
      <c r="F3324" s="93" t="s">
        <v>7070</v>
      </c>
      <c r="G3324" s="93" t="s">
        <v>8237</v>
      </c>
      <c r="H3324" s="93" t="s">
        <v>11</v>
      </c>
      <c r="I3324" s="93" t="s">
        <v>111</v>
      </c>
      <c r="J3324" s="93" t="s">
        <v>1675</v>
      </c>
      <c r="K3324" s="93">
        <v>60</v>
      </c>
      <c r="L3324" s="93" t="s">
        <v>111</v>
      </c>
      <c r="M3324" s="93">
        <v>0.4</v>
      </c>
      <c r="N3324" s="93" t="s">
        <v>113</v>
      </c>
      <c r="O3324" s="93">
        <v>5</v>
      </c>
      <c r="P3324" s="93">
        <v>8</v>
      </c>
      <c r="Q3324" s="93">
        <v>10</v>
      </c>
      <c r="R3324" s="93" t="s">
        <v>1199</v>
      </c>
      <c r="S3324" s="93" t="s">
        <v>16</v>
      </c>
      <c r="T3324" s="93" t="s">
        <v>1659</v>
      </c>
      <c r="U3324" s="93" t="s">
        <v>116</v>
      </c>
      <c r="V3324" s="94">
        <v>44628.64166666667</v>
      </c>
      <c r="W3324" s="93" t="s">
        <v>1170</v>
      </c>
      <c r="X3324" s="93" t="s">
        <v>24</v>
      </c>
    </row>
    <row r="3325" spans="1:24" hidden="1" x14ac:dyDescent="0.15">
      <c r="A3325" s="93" t="s">
        <v>4989</v>
      </c>
      <c r="B3325" s="93" t="s">
        <v>4990</v>
      </c>
      <c r="C3325" s="410">
        <v>1206.45</v>
      </c>
      <c r="D3325" s="93" t="s">
        <v>24</v>
      </c>
      <c r="E3325" s="93" t="s">
        <v>24</v>
      </c>
      <c r="F3325" s="93" t="s">
        <v>7070</v>
      </c>
      <c r="G3325" s="93" t="s">
        <v>8237</v>
      </c>
      <c r="H3325" s="93" t="s">
        <v>11</v>
      </c>
      <c r="I3325" s="93" t="s">
        <v>111</v>
      </c>
      <c r="J3325" s="93" t="s">
        <v>1675</v>
      </c>
      <c r="K3325" s="93">
        <v>60</v>
      </c>
      <c r="L3325" s="93" t="s">
        <v>111</v>
      </c>
      <c r="M3325" s="93">
        <v>2.5</v>
      </c>
      <c r="N3325" s="93" t="s">
        <v>113</v>
      </c>
      <c r="O3325" s="93">
        <v>32</v>
      </c>
      <c r="P3325" s="93">
        <v>12</v>
      </c>
      <c r="Q3325" s="93">
        <v>11.5</v>
      </c>
      <c r="R3325" s="93" t="s">
        <v>4205</v>
      </c>
      <c r="S3325" s="93" t="s">
        <v>16</v>
      </c>
      <c r="T3325" s="93" t="s">
        <v>1659</v>
      </c>
      <c r="U3325" s="93" t="s">
        <v>116</v>
      </c>
      <c r="V3325" s="94">
        <v>44628.541666666664</v>
      </c>
      <c r="W3325" s="93" t="s">
        <v>1170</v>
      </c>
      <c r="X3325" s="93" t="s">
        <v>24</v>
      </c>
    </row>
    <row r="3326" spans="1:24" hidden="1" x14ac:dyDescent="0.15">
      <c r="A3326" s="93" t="s">
        <v>4991</v>
      </c>
      <c r="B3326" s="93" t="s">
        <v>4992</v>
      </c>
      <c r="C3326" s="410">
        <v>571.20000000000005</v>
      </c>
      <c r="D3326" s="93" t="s">
        <v>24</v>
      </c>
      <c r="E3326" s="93" t="s">
        <v>24</v>
      </c>
      <c r="F3326" s="93" t="s">
        <v>7070</v>
      </c>
      <c r="G3326" s="93" t="s">
        <v>8237</v>
      </c>
      <c r="H3326" s="93" t="s">
        <v>11</v>
      </c>
      <c r="I3326" s="93" t="s">
        <v>111</v>
      </c>
      <c r="J3326" s="93" t="s">
        <v>963</v>
      </c>
      <c r="K3326" s="93">
        <v>60</v>
      </c>
      <c r="L3326" s="93" t="s">
        <v>111</v>
      </c>
      <c r="M3326" s="93">
        <v>4.7</v>
      </c>
      <c r="N3326" s="93" t="s">
        <v>113</v>
      </c>
      <c r="O3326" s="93">
        <v>31</v>
      </c>
      <c r="P3326" s="93">
        <v>34</v>
      </c>
      <c r="Q3326" s="93">
        <v>34</v>
      </c>
      <c r="R3326" s="93" t="s">
        <v>117</v>
      </c>
      <c r="S3326" s="93" t="s">
        <v>4993</v>
      </c>
      <c r="T3326" s="93" t="s">
        <v>1659</v>
      </c>
      <c r="U3326" s="93" t="s">
        <v>116</v>
      </c>
      <c r="V3326" s="94">
        <v>44628.520833333336</v>
      </c>
      <c r="W3326" s="93" t="s">
        <v>1170</v>
      </c>
      <c r="X3326" s="93" t="s">
        <v>24</v>
      </c>
    </row>
    <row r="3327" spans="1:24" hidden="1" x14ac:dyDescent="0.15">
      <c r="A3327" s="93" t="s">
        <v>4994</v>
      </c>
      <c r="B3327" s="93" t="s">
        <v>4995</v>
      </c>
      <c r="C3327" s="410">
        <v>1129.8</v>
      </c>
      <c r="D3327" s="93" t="s">
        <v>24</v>
      </c>
      <c r="E3327" s="93" t="s">
        <v>24</v>
      </c>
      <c r="F3327" s="93" t="s">
        <v>7070</v>
      </c>
      <c r="G3327" s="93" t="s">
        <v>8237</v>
      </c>
      <c r="H3327" s="93" t="s">
        <v>11</v>
      </c>
      <c r="I3327" s="93" t="s">
        <v>111</v>
      </c>
      <c r="J3327" s="93" t="s">
        <v>2086</v>
      </c>
      <c r="K3327" s="93">
        <v>50</v>
      </c>
      <c r="L3327" s="93" t="s">
        <v>111</v>
      </c>
      <c r="M3327" s="93">
        <v>4.75</v>
      </c>
      <c r="N3327" s="93" t="s">
        <v>113</v>
      </c>
      <c r="O3327" s="93">
        <v>19</v>
      </c>
      <c r="P3327" s="93">
        <v>29</v>
      </c>
      <c r="Q3327" s="93">
        <v>33</v>
      </c>
      <c r="R3327" s="93" t="s">
        <v>117</v>
      </c>
      <c r="S3327" s="93" t="s">
        <v>111</v>
      </c>
      <c r="T3327" s="93" t="s">
        <v>1659</v>
      </c>
      <c r="U3327" s="93" t="s">
        <v>116</v>
      </c>
      <c r="V3327" s="94">
        <v>44628.563888888886</v>
      </c>
      <c r="W3327" s="93" t="s">
        <v>1170</v>
      </c>
      <c r="X3327" s="93" t="s">
        <v>9</v>
      </c>
    </row>
    <row r="3328" spans="1:24" hidden="1" x14ac:dyDescent="0.15">
      <c r="A3328" s="93" t="s">
        <v>4996</v>
      </c>
      <c r="B3328" s="93" t="s">
        <v>4997</v>
      </c>
      <c r="C3328" s="410">
        <v>116.55</v>
      </c>
      <c r="D3328" s="93" t="s">
        <v>24</v>
      </c>
      <c r="E3328" s="93" t="s">
        <v>24</v>
      </c>
      <c r="F3328" s="93" t="s">
        <v>7070</v>
      </c>
      <c r="G3328" s="93" t="s">
        <v>8237</v>
      </c>
      <c r="H3328" s="93" t="s">
        <v>11</v>
      </c>
      <c r="I3328" s="93" t="s">
        <v>111</v>
      </c>
      <c r="J3328" s="93" t="s">
        <v>963</v>
      </c>
      <c r="K3328" s="93">
        <v>60</v>
      </c>
      <c r="L3328" s="93" t="s">
        <v>111</v>
      </c>
      <c r="M3328" s="93">
        <v>2.5</v>
      </c>
      <c r="N3328" s="93" t="s">
        <v>113</v>
      </c>
      <c r="O3328" s="93">
        <v>18</v>
      </c>
      <c r="P3328" s="93">
        <v>28</v>
      </c>
      <c r="Q3328" s="93">
        <v>28</v>
      </c>
      <c r="R3328" s="93" t="s">
        <v>117</v>
      </c>
      <c r="S3328" s="93" t="s">
        <v>20</v>
      </c>
      <c r="T3328" s="93" t="s">
        <v>1659</v>
      </c>
      <c r="U3328" s="93" t="s">
        <v>116</v>
      </c>
      <c r="V3328" s="94">
        <v>44628.563888888886</v>
      </c>
      <c r="W3328" s="93" t="s">
        <v>1170</v>
      </c>
      <c r="X3328" s="93" t="s">
        <v>9</v>
      </c>
    </row>
    <row r="3329" spans="1:24" hidden="1" x14ac:dyDescent="0.15">
      <c r="A3329" s="93" t="s">
        <v>4998</v>
      </c>
      <c r="B3329" s="93" t="s">
        <v>4999</v>
      </c>
      <c r="C3329" s="410">
        <v>93.45</v>
      </c>
      <c r="D3329" s="93" t="s">
        <v>24</v>
      </c>
      <c r="E3329" s="93" t="s">
        <v>24</v>
      </c>
      <c r="F3329" s="93" t="s">
        <v>7070</v>
      </c>
      <c r="G3329" s="93" t="s">
        <v>8237</v>
      </c>
      <c r="H3329" s="93" t="s">
        <v>11</v>
      </c>
      <c r="I3329" s="93" t="s">
        <v>111</v>
      </c>
      <c r="J3329" s="93" t="s">
        <v>963</v>
      </c>
      <c r="K3329" s="93">
        <v>60</v>
      </c>
      <c r="L3329" s="93" t="s">
        <v>111</v>
      </c>
      <c r="M3329" s="93">
        <v>0.1</v>
      </c>
      <c r="N3329" s="93" t="s">
        <v>113</v>
      </c>
      <c r="O3329" s="93">
        <v>4</v>
      </c>
      <c r="P3329" s="93">
        <v>10</v>
      </c>
      <c r="Q3329" s="93">
        <v>12.5</v>
      </c>
      <c r="R3329" s="93" t="s">
        <v>4205</v>
      </c>
      <c r="S3329" s="93" t="s">
        <v>16</v>
      </c>
      <c r="T3329" s="93" t="s">
        <v>1659</v>
      </c>
      <c r="U3329" s="93" t="s">
        <v>116</v>
      </c>
      <c r="V3329" s="94">
        <v>44628.586111111108</v>
      </c>
      <c r="W3329" s="93" t="s">
        <v>1170</v>
      </c>
      <c r="X3329" s="93" t="s">
        <v>24</v>
      </c>
    </row>
    <row r="3330" spans="1:24" hidden="1" x14ac:dyDescent="0.15">
      <c r="A3330" s="93" t="s">
        <v>5000</v>
      </c>
      <c r="B3330" s="93" t="s">
        <v>5001</v>
      </c>
      <c r="C3330" s="410">
        <v>788.55</v>
      </c>
      <c r="D3330" s="93" t="s">
        <v>24</v>
      </c>
      <c r="E3330" s="93" t="s">
        <v>24</v>
      </c>
      <c r="F3330" s="93" t="s">
        <v>7070</v>
      </c>
      <c r="G3330" s="93" t="s">
        <v>8237</v>
      </c>
      <c r="H3330" s="93" t="s">
        <v>11</v>
      </c>
      <c r="I3330" s="93" t="s">
        <v>111</v>
      </c>
      <c r="J3330" s="93" t="s">
        <v>963</v>
      </c>
      <c r="K3330" s="93">
        <v>60</v>
      </c>
      <c r="L3330" s="93" t="s">
        <v>111</v>
      </c>
      <c r="M3330" s="93">
        <v>4.5</v>
      </c>
      <c r="N3330" s="93" t="s">
        <v>113</v>
      </c>
      <c r="O3330" s="93" t="s">
        <v>111</v>
      </c>
      <c r="P3330" s="93" t="s">
        <v>111</v>
      </c>
      <c r="Q3330" s="93" t="s">
        <v>111</v>
      </c>
      <c r="R3330" s="93" t="s">
        <v>117</v>
      </c>
      <c r="S3330" s="93" t="s">
        <v>111</v>
      </c>
      <c r="T3330" s="93" t="s">
        <v>1659</v>
      </c>
      <c r="U3330" s="93" t="s">
        <v>116</v>
      </c>
      <c r="V3330" s="94">
        <v>44628.563888888886</v>
      </c>
      <c r="W3330" s="93" t="s">
        <v>1170</v>
      </c>
      <c r="X3330" s="93" t="s">
        <v>24</v>
      </c>
    </row>
    <row r="3331" spans="1:24" hidden="1" x14ac:dyDescent="0.15">
      <c r="A3331" s="93" t="s">
        <v>5002</v>
      </c>
      <c r="B3331" s="93" t="s">
        <v>5003</v>
      </c>
      <c r="C3331" s="410">
        <v>371.7</v>
      </c>
      <c r="D3331" s="93" t="s">
        <v>24</v>
      </c>
      <c r="E3331" s="93" t="s">
        <v>24</v>
      </c>
      <c r="F3331" s="93" t="s">
        <v>7070</v>
      </c>
      <c r="G3331" s="93" t="s">
        <v>8237</v>
      </c>
      <c r="H3331" s="93" t="s">
        <v>11</v>
      </c>
      <c r="I3331" s="93" t="s">
        <v>111</v>
      </c>
      <c r="J3331" s="93" t="s">
        <v>2086</v>
      </c>
      <c r="K3331" s="93">
        <v>50</v>
      </c>
      <c r="L3331" s="93" t="s">
        <v>111</v>
      </c>
      <c r="M3331" s="93">
        <v>2.5</v>
      </c>
      <c r="N3331" s="93" t="s">
        <v>113</v>
      </c>
      <c r="O3331" s="93">
        <v>18</v>
      </c>
      <c r="P3331" s="93">
        <v>28</v>
      </c>
      <c r="Q3331" s="93">
        <v>28</v>
      </c>
      <c r="R3331" s="93" t="s">
        <v>117</v>
      </c>
      <c r="S3331" s="93" t="s">
        <v>111</v>
      </c>
      <c r="T3331" s="93" t="s">
        <v>1659</v>
      </c>
      <c r="U3331" s="93" t="s">
        <v>116</v>
      </c>
      <c r="V3331" s="94">
        <v>44628.585416666669</v>
      </c>
      <c r="W3331" s="93" t="s">
        <v>1170</v>
      </c>
      <c r="X3331" s="93" t="s">
        <v>9</v>
      </c>
    </row>
    <row r="3332" spans="1:24" hidden="1" x14ac:dyDescent="0.15">
      <c r="A3332" s="93" t="s">
        <v>5004</v>
      </c>
      <c r="B3332" s="93" t="s">
        <v>5005</v>
      </c>
      <c r="C3332" s="410">
        <v>107.1</v>
      </c>
      <c r="D3332" s="93" t="s">
        <v>24</v>
      </c>
      <c r="E3332" s="93" t="s">
        <v>24</v>
      </c>
      <c r="F3332" s="93" t="s">
        <v>7070</v>
      </c>
      <c r="G3332" s="93" t="s">
        <v>8237</v>
      </c>
      <c r="H3332" s="93" t="s">
        <v>11</v>
      </c>
      <c r="I3332" s="93" t="s">
        <v>111</v>
      </c>
      <c r="J3332" s="93" t="s">
        <v>963</v>
      </c>
      <c r="K3332" s="93">
        <v>60</v>
      </c>
      <c r="L3332" s="93" t="s">
        <v>111</v>
      </c>
      <c r="M3332" s="93">
        <v>2.5</v>
      </c>
      <c r="N3332" s="93" t="s">
        <v>113</v>
      </c>
      <c r="O3332" s="93">
        <v>28</v>
      </c>
      <c r="P3332" s="93">
        <v>28</v>
      </c>
      <c r="Q3332" s="93">
        <v>18</v>
      </c>
      <c r="R3332" s="93" t="s">
        <v>117</v>
      </c>
      <c r="S3332" s="93" t="s">
        <v>111</v>
      </c>
      <c r="T3332" s="93" t="s">
        <v>1659</v>
      </c>
      <c r="U3332" s="93" t="s">
        <v>116</v>
      </c>
      <c r="V3332" s="94">
        <v>44628.604166666664</v>
      </c>
      <c r="W3332" s="93" t="s">
        <v>1170</v>
      </c>
      <c r="X3332" s="93" t="s">
        <v>24</v>
      </c>
    </row>
    <row r="3333" spans="1:24" hidden="1" x14ac:dyDescent="0.15">
      <c r="A3333" s="93" t="s">
        <v>5006</v>
      </c>
      <c r="B3333" s="93" t="s">
        <v>5007</v>
      </c>
      <c r="C3333" s="410">
        <v>445.2</v>
      </c>
      <c r="D3333" s="93" t="s">
        <v>24</v>
      </c>
      <c r="E3333" s="93" t="s">
        <v>24</v>
      </c>
      <c r="F3333" s="93" t="s">
        <v>7070</v>
      </c>
      <c r="G3333" s="93" t="s">
        <v>8237</v>
      </c>
      <c r="H3333" s="93" t="s">
        <v>11</v>
      </c>
      <c r="I3333" s="93" t="s">
        <v>111</v>
      </c>
      <c r="J3333" s="93" t="s">
        <v>963</v>
      </c>
      <c r="K3333" s="93">
        <v>60</v>
      </c>
      <c r="L3333" s="93" t="s">
        <v>111</v>
      </c>
      <c r="M3333" s="93">
        <v>3</v>
      </c>
      <c r="N3333" s="93" t="s">
        <v>113</v>
      </c>
      <c r="O3333" s="93">
        <v>7</v>
      </c>
      <c r="P3333" s="93">
        <v>7</v>
      </c>
      <c r="Q3333" s="93">
        <v>13</v>
      </c>
      <c r="R3333" s="93" t="s">
        <v>1230</v>
      </c>
      <c r="S3333" s="93" t="s">
        <v>16</v>
      </c>
      <c r="T3333" s="93" t="s">
        <v>1659</v>
      </c>
      <c r="U3333" s="93" t="s">
        <v>116</v>
      </c>
      <c r="V3333" s="94">
        <v>44628.560416666667</v>
      </c>
      <c r="W3333" s="93" t="s">
        <v>1170</v>
      </c>
      <c r="X3333" s="93" t="s">
        <v>24</v>
      </c>
    </row>
    <row r="3334" spans="1:24" hidden="1" x14ac:dyDescent="0.15">
      <c r="A3334" s="93" t="s">
        <v>5008</v>
      </c>
      <c r="B3334" s="93" t="s">
        <v>5009</v>
      </c>
      <c r="C3334" s="410">
        <v>788.55</v>
      </c>
      <c r="D3334" s="93" t="s">
        <v>24</v>
      </c>
      <c r="E3334" s="93" t="s">
        <v>24</v>
      </c>
      <c r="F3334" s="93" t="s">
        <v>7070</v>
      </c>
      <c r="G3334" s="93" t="s">
        <v>8237</v>
      </c>
      <c r="H3334" s="93" t="s">
        <v>11</v>
      </c>
      <c r="I3334" s="93" t="s">
        <v>111</v>
      </c>
      <c r="J3334" s="93" t="s">
        <v>963</v>
      </c>
      <c r="K3334" s="93">
        <v>60</v>
      </c>
      <c r="L3334" s="93" t="s">
        <v>111</v>
      </c>
      <c r="M3334" s="93">
        <v>1.1000000000000001</v>
      </c>
      <c r="N3334" s="93" t="s">
        <v>113</v>
      </c>
      <c r="O3334" s="93">
        <v>8</v>
      </c>
      <c r="P3334" s="93">
        <v>39</v>
      </c>
      <c r="Q3334" s="93">
        <v>39</v>
      </c>
      <c r="R3334" s="93" t="s">
        <v>1230</v>
      </c>
      <c r="S3334" s="93" t="s">
        <v>16</v>
      </c>
      <c r="T3334" s="93" t="s">
        <v>1659</v>
      </c>
      <c r="U3334" s="93" t="s">
        <v>116</v>
      </c>
      <c r="V3334" s="94">
        <v>44628.494444444441</v>
      </c>
      <c r="W3334" s="93" t="s">
        <v>1170</v>
      </c>
      <c r="X3334" s="93" t="s">
        <v>24</v>
      </c>
    </row>
    <row r="3335" spans="1:24" hidden="1" x14ac:dyDescent="0.15">
      <c r="A3335" s="93" t="s">
        <v>5010</v>
      </c>
      <c r="B3335" s="93" t="s">
        <v>5011</v>
      </c>
      <c r="C3335" s="410">
        <v>93.45</v>
      </c>
      <c r="D3335" s="93" t="s">
        <v>24</v>
      </c>
      <c r="E3335" s="93" t="s">
        <v>24</v>
      </c>
      <c r="F3335" s="93" t="s">
        <v>7070</v>
      </c>
      <c r="G3335" s="93" t="s">
        <v>8237</v>
      </c>
      <c r="H3335" s="93" t="s">
        <v>11</v>
      </c>
      <c r="I3335" s="93" t="s">
        <v>111</v>
      </c>
      <c r="J3335" s="93" t="s">
        <v>963</v>
      </c>
      <c r="K3335" s="93">
        <v>60</v>
      </c>
      <c r="L3335" s="93" t="s">
        <v>111</v>
      </c>
      <c r="M3335" s="93">
        <v>0.4</v>
      </c>
      <c r="N3335" s="93" t="s">
        <v>113</v>
      </c>
      <c r="O3335" s="93">
        <v>5</v>
      </c>
      <c r="P3335" s="93">
        <v>8.1999999999999993</v>
      </c>
      <c r="Q3335" s="93">
        <v>51.5</v>
      </c>
      <c r="R3335" s="93" t="s">
        <v>122</v>
      </c>
      <c r="S3335" s="93" t="s">
        <v>2</v>
      </c>
      <c r="T3335" s="93" t="s">
        <v>1659</v>
      </c>
      <c r="U3335" s="93" t="s">
        <v>116</v>
      </c>
      <c r="V3335" s="94">
        <v>44628.473611111112</v>
      </c>
      <c r="W3335" s="93" t="s">
        <v>1170</v>
      </c>
      <c r="X3335" s="93" t="s">
        <v>24</v>
      </c>
    </row>
    <row r="3336" spans="1:24" hidden="1" x14ac:dyDescent="0.15">
      <c r="A3336" s="93" t="s">
        <v>5012</v>
      </c>
      <c r="B3336" s="93" t="s">
        <v>5013</v>
      </c>
      <c r="C3336" s="410">
        <v>681.45</v>
      </c>
      <c r="D3336" s="93" t="s">
        <v>24</v>
      </c>
      <c r="E3336" s="93" t="s">
        <v>24</v>
      </c>
      <c r="F3336" s="93" t="s">
        <v>7070</v>
      </c>
      <c r="G3336" s="93" t="s">
        <v>8237</v>
      </c>
      <c r="H3336" s="93" t="s">
        <v>11</v>
      </c>
      <c r="I3336" s="93" t="s">
        <v>111</v>
      </c>
      <c r="J3336" s="93" t="s">
        <v>963</v>
      </c>
      <c r="K3336" s="93">
        <v>60</v>
      </c>
      <c r="L3336" s="93" t="s">
        <v>111</v>
      </c>
      <c r="M3336" s="93">
        <v>1.7</v>
      </c>
      <c r="N3336" s="93" t="s">
        <v>113</v>
      </c>
      <c r="O3336" s="93">
        <v>10.5</v>
      </c>
      <c r="P3336" s="93">
        <v>23.2</v>
      </c>
      <c r="Q3336" s="93">
        <v>13.3</v>
      </c>
      <c r="R3336" s="93" t="s">
        <v>117</v>
      </c>
      <c r="S3336" s="93" t="s">
        <v>18</v>
      </c>
      <c r="T3336" s="93" t="s">
        <v>115</v>
      </c>
      <c r="U3336" s="93" t="s">
        <v>116</v>
      </c>
      <c r="V3336" s="94">
        <v>44628.515277777777</v>
      </c>
      <c r="W3336" s="93" t="s">
        <v>1207</v>
      </c>
      <c r="X3336" s="93" t="s">
        <v>24</v>
      </c>
    </row>
    <row r="3337" spans="1:24" hidden="1" x14ac:dyDescent="0.15">
      <c r="A3337" s="93" t="s">
        <v>5014</v>
      </c>
      <c r="B3337" s="93" t="s">
        <v>5015</v>
      </c>
      <c r="C3337" s="410">
        <v>315</v>
      </c>
      <c r="D3337" s="93" t="s">
        <v>24</v>
      </c>
      <c r="E3337" s="93" t="s">
        <v>24</v>
      </c>
      <c r="F3337" s="93" t="s">
        <v>7070</v>
      </c>
      <c r="G3337" s="93" t="s">
        <v>8237</v>
      </c>
      <c r="H3337" s="93" t="s">
        <v>11</v>
      </c>
      <c r="I3337" s="93" t="s">
        <v>111</v>
      </c>
      <c r="J3337" s="93" t="s">
        <v>1759</v>
      </c>
      <c r="K3337" s="93">
        <v>70</v>
      </c>
      <c r="L3337" s="93" t="s">
        <v>111</v>
      </c>
      <c r="M3337" s="93">
        <v>0.5</v>
      </c>
      <c r="N3337" s="93" t="s">
        <v>113</v>
      </c>
      <c r="O3337" s="93">
        <v>5</v>
      </c>
      <c r="P3337" s="93">
        <v>7</v>
      </c>
      <c r="Q3337" s="93">
        <v>9</v>
      </c>
      <c r="R3337" s="93" t="s">
        <v>117</v>
      </c>
      <c r="S3337" s="93" t="s">
        <v>659</v>
      </c>
      <c r="T3337" s="93" t="s">
        <v>115</v>
      </c>
      <c r="U3337" s="93" t="s">
        <v>116</v>
      </c>
      <c r="V3337" s="94">
        <v>44628.601388888892</v>
      </c>
      <c r="W3337" s="93" t="s">
        <v>1170</v>
      </c>
      <c r="X3337" s="93" t="s">
        <v>24</v>
      </c>
    </row>
    <row r="3338" spans="1:24" hidden="1" x14ac:dyDescent="0.15">
      <c r="A3338" s="93" t="s">
        <v>5016</v>
      </c>
      <c r="B3338" s="93" t="s">
        <v>5017</v>
      </c>
      <c r="C3338" s="410">
        <v>3675</v>
      </c>
      <c r="D3338" s="93" t="s">
        <v>9</v>
      </c>
      <c r="E3338" s="93" t="s">
        <v>9</v>
      </c>
      <c r="F3338" s="93" t="s">
        <v>1648</v>
      </c>
      <c r="G3338" s="93" t="s">
        <v>8237</v>
      </c>
      <c r="H3338" s="93" t="s">
        <v>1943</v>
      </c>
      <c r="I3338" s="93" t="s">
        <v>111</v>
      </c>
      <c r="J3338" s="93" t="s">
        <v>1759</v>
      </c>
      <c r="K3338" s="93">
        <v>70</v>
      </c>
      <c r="L3338" s="93" t="s">
        <v>111</v>
      </c>
      <c r="M3338" s="93">
        <v>1.9</v>
      </c>
      <c r="N3338" s="93" t="s">
        <v>113</v>
      </c>
      <c r="O3338" s="93">
        <v>12</v>
      </c>
      <c r="P3338" s="93">
        <v>27</v>
      </c>
      <c r="Q3338" s="93">
        <v>37</v>
      </c>
      <c r="R3338" s="93" t="s">
        <v>117</v>
      </c>
      <c r="S3338" s="93" t="s">
        <v>659</v>
      </c>
      <c r="T3338" s="93" t="s">
        <v>1659</v>
      </c>
      <c r="U3338" s="93" t="s">
        <v>116</v>
      </c>
      <c r="V3338" s="94">
        <v>44628.601388888892</v>
      </c>
      <c r="W3338" s="93" t="s">
        <v>1170</v>
      </c>
      <c r="X3338" s="93" t="s">
        <v>24</v>
      </c>
    </row>
    <row r="3339" spans="1:24" hidden="1" x14ac:dyDescent="0.15">
      <c r="A3339" s="93" t="s">
        <v>5018</v>
      </c>
      <c r="B3339" s="93" t="s">
        <v>5019</v>
      </c>
      <c r="C3339" s="410">
        <v>3675</v>
      </c>
      <c r="D3339" s="93" t="s">
        <v>9</v>
      </c>
      <c r="E3339" s="93" t="s">
        <v>9</v>
      </c>
      <c r="F3339" s="93" t="s">
        <v>1648</v>
      </c>
      <c r="G3339" s="93" t="s">
        <v>8237</v>
      </c>
      <c r="H3339" s="93" t="s">
        <v>1943</v>
      </c>
      <c r="I3339" s="93" t="s">
        <v>111</v>
      </c>
      <c r="J3339" s="93" t="s">
        <v>1759</v>
      </c>
      <c r="K3339" s="93">
        <v>70</v>
      </c>
      <c r="L3339" s="93" t="s">
        <v>111</v>
      </c>
      <c r="M3339" s="93">
        <v>1.9</v>
      </c>
      <c r="N3339" s="93" t="s">
        <v>113</v>
      </c>
      <c r="O3339" s="93">
        <v>12</v>
      </c>
      <c r="P3339" s="93">
        <v>27</v>
      </c>
      <c r="Q3339" s="93">
        <v>37</v>
      </c>
      <c r="R3339" s="93" t="s">
        <v>117</v>
      </c>
      <c r="S3339" s="93" t="s">
        <v>659</v>
      </c>
      <c r="T3339" s="93" t="s">
        <v>1659</v>
      </c>
      <c r="U3339" s="93" t="s">
        <v>116</v>
      </c>
      <c r="V3339" s="94">
        <v>44628.57916666667</v>
      </c>
      <c r="W3339" s="93" t="s">
        <v>1170</v>
      </c>
      <c r="X3339" s="93" t="s">
        <v>24</v>
      </c>
    </row>
    <row r="3340" spans="1:24" hidden="1" x14ac:dyDescent="0.15">
      <c r="A3340" s="93" t="s">
        <v>5020</v>
      </c>
      <c r="B3340" s="93" t="s">
        <v>5021</v>
      </c>
      <c r="C3340" s="410">
        <v>3246.6</v>
      </c>
      <c r="D3340" s="93" t="s">
        <v>9</v>
      </c>
      <c r="E3340" s="93" t="s">
        <v>9</v>
      </c>
      <c r="F3340" s="93" t="s">
        <v>1648</v>
      </c>
      <c r="G3340" s="93" t="s">
        <v>8237</v>
      </c>
      <c r="H3340" s="93" t="s">
        <v>1943</v>
      </c>
      <c r="I3340" s="93" t="s">
        <v>111</v>
      </c>
      <c r="J3340" s="93" t="s">
        <v>1759</v>
      </c>
      <c r="K3340" s="93">
        <v>70</v>
      </c>
      <c r="L3340" s="93" t="s">
        <v>111</v>
      </c>
      <c r="M3340" s="93">
        <v>1.9</v>
      </c>
      <c r="N3340" s="93" t="s">
        <v>113</v>
      </c>
      <c r="O3340" s="93">
        <v>12</v>
      </c>
      <c r="P3340" s="93">
        <v>27</v>
      </c>
      <c r="Q3340" s="93">
        <v>37</v>
      </c>
      <c r="R3340" s="93" t="s">
        <v>117</v>
      </c>
      <c r="S3340" s="93" t="s">
        <v>659</v>
      </c>
      <c r="T3340" s="93" t="s">
        <v>1659</v>
      </c>
      <c r="U3340" s="93" t="s">
        <v>116</v>
      </c>
      <c r="V3340" s="94">
        <v>44628.601388888892</v>
      </c>
      <c r="W3340" s="93" t="s">
        <v>1170</v>
      </c>
      <c r="X3340" s="93" t="s">
        <v>24</v>
      </c>
    </row>
    <row r="3341" spans="1:24" hidden="1" x14ac:dyDescent="0.15">
      <c r="A3341" s="93" t="s">
        <v>5022</v>
      </c>
      <c r="B3341" s="93" t="s">
        <v>5023</v>
      </c>
      <c r="C3341" s="410">
        <v>3675</v>
      </c>
      <c r="D3341" s="93" t="s">
        <v>9</v>
      </c>
      <c r="E3341" s="93" t="s">
        <v>9</v>
      </c>
      <c r="F3341" s="93" t="s">
        <v>1648</v>
      </c>
      <c r="G3341" s="93" t="s">
        <v>8237</v>
      </c>
      <c r="H3341" s="93" t="s">
        <v>1943</v>
      </c>
      <c r="I3341" s="93" t="s">
        <v>111</v>
      </c>
      <c r="J3341" s="93" t="s">
        <v>1759</v>
      </c>
      <c r="K3341" s="93">
        <v>70</v>
      </c>
      <c r="L3341" s="93" t="s">
        <v>111</v>
      </c>
      <c r="M3341" s="93">
        <v>1.9</v>
      </c>
      <c r="N3341" s="93" t="s">
        <v>113</v>
      </c>
      <c r="O3341" s="93">
        <v>12</v>
      </c>
      <c r="P3341" s="93">
        <v>27</v>
      </c>
      <c r="Q3341" s="93">
        <v>37</v>
      </c>
      <c r="R3341" s="93" t="s">
        <v>117</v>
      </c>
      <c r="S3341" s="93" t="s">
        <v>659</v>
      </c>
      <c r="T3341" s="93" t="s">
        <v>1659</v>
      </c>
      <c r="U3341" s="93" t="s">
        <v>116</v>
      </c>
      <c r="V3341" s="94">
        <v>44628.47152777778</v>
      </c>
      <c r="W3341" s="93" t="s">
        <v>1170</v>
      </c>
      <c r="X3341" s="93" t="s">
        <v>24</v>
      </c>
    </row>
    <row r="3342" spans="1:24" hidden="1" x14ac:dyDescent="0.15">
      <c r="A3342" s="93" t="s">
        <v>5024</v>
      </c>
      <c r="B3342" s="93" t="s">
        <v>5025</v>
      </c>
      <c r="C3342" s="410">
        <v>3675</v>
      </c>
      <c r="D3342" s="93" t="s">
        <v>9</v>
      </c>
      <c r="E3342" s="93" t="s">
        <v>9</v>
      </c>
      <c r="F3342" s="93" t="s">
        <v>1648</v>
      </c>
      <c r="G3342" s="93" t="s">
        <v>8237</v>
      </c>
      <c r="H3342" s="93" t="s">
        <v>1943</v>
      </c>
      <c r="I3342" s="93" t="s">
        <v>111</v>
      </c>
      <c r="J3342" s="93" t="s">
        <v>1759</v>
      </c>
      <c r="K3342" s="93">
        <v>70</v>
      </c>
      <c r="L3342" s="93" t="s">
        <v>111</v>
      </c>
      <c r="M3342" s="93">
        <v>1.9</v>
      </c>
      <c r="N3342" s="93" t="s">
        <v>113</v>
      </c>
      <c r="O3342" s="93">
        <v>12</v>
      </c>
      <c r="P3342" s="93">
        <v>27</v>
      </c>
      <c r="Q3342" s="93">
        <v>37</v>
      </c>
      <c r="R3342" s="93" t="s">
        <v>117</v>
      </c>
      <c r="S3342" s="93" t="s">
        <v>659</v>
      </c>
      <c r="T3342" s="93" t="s">
        <v>1659</v>
      </c>
      <c r="U3342" s="93" t="s">
        <v>116</v>
      </c>
      <c r="V3342" s="94">
        <v>44628.492361111108</v>
      </c>
      <c r="W3342" s="93" t="s">
        <v>1170</v>
      </c>
      <c r="X3342" s="93" t="s">
        <v>24</v>
      </c>
    </row>
    <row r="3343" spans="1:24" hidden="1" x14ac:dyDescent="0.15">
      <c r="A3343" s="93" t="s">
        <v>5026</v>
      </c>
      <c r="B3343" s="93" t="s">
        <v>5027</v>
      </c>
      <c r="C3343" s="410">
        <v>3675</v>
      </c>
      <c r="D3343" s="93" t="s">
        <v>9</v>
      </c>
      <c r="E3343" s="93" t="s">
        <v>9</v>
      </c>
      <c r="F3343" s="93" t="s">
        <v>1648</v>
      </c>
      <c r="G3343" s="93" t="s">
        <v>8237</v>
      </c>
      <c r="H3343" s="93" t="s">
        <v>1943</v>
      </c>
      <c r="I3343" s="93" t="s">
        <v>111</v>
      </c>
      <c r="J3343" s="93" t="s">
        <v>1759</v>
      </c>
      <c r="K3343" s="93">
        <v>70</v>
      </c>
      <c r="L3343" s="93" t="s">
        <v>111</v>
      </c>
      <c r="M3343" s="93">
        <v>1.9</v>
      </c>
      <c r="N3343" s="93" t="s">
        <v>113</v>
      </c>
      <c r="O3343" s="93">
        <v>12</v>
      </c>
      <c r="P3343" s="93">
        <v>27</v>
      </c>
      <c r="Q3343" s="93">
        <v>37</v>
      </c>
      <c r="R3343" s="93" t="s">
        <v>117</v>
      </c>
      <c r="S3343" s="93" t="s">
        <v>659</v>
      </c>
      <c r="T3343" s="93" t="s">
        <v>1659</v>
      </c>
      <c r="U3343" s="93" t="s">
        <v>116</v>
      </c>
      <c r="V3343" s="94">
        <v>44628.51458333333</v>
      </c>
      <c r="W3343" s="93" t="s">
        <v>1170</v>
      </c>
      <c r="X3343" s="93" t="s">
        <v>24</v>
      </c>
    </row>
    <row r="3344" spans="1:24" hidden="1" x14ac:dyDescent="0.15">
      <c r="A3344" s="93" t="s">
        <v>5028</v>
      </c>
      <c r="B3344" s="93" t="s">
        <v>5029</v>
      </c>
      <c r="C3344" s="410">
        <v>3675</v>
      </c>
      <c r="D3344" s="93" t="s">
        <v>9</v>
      </c>
      <c r="E3344" s="93" t="s">
        <v>9</v>
      </c>
      <c r="F3344" s="93" t="s">
        <v>1648</v>
      </c>
      <c r="G3344" s="93" t="s">
        <v>8237</v>
      </c>
      <c r="H3344" s="93" t="s">
        <v>1943</v>
      </c>
      <c r="I3344" s="93" t="s">
        <v>111</v>
      </c>
      <c r="J3344" s="93" t="s">
        <v>1759</v>
      </c>
      <c r="K3344" s="93">
        <v>70</v>
      </c>
      <c r="L3344" s="93" t="s">
        <v>111</v>
      </c>
      <c r="M3344" s="93">
        <v>1.9</v>
      </c>
      <c r="N3344" s="93" t="s">
        <v>113</v>
      </c>
      <c r="O3344" s="93">
        <v>12</v>
      </c>
      <c r="P3344" s="93">
        <v>27</v>
      </c>
      <c r="Q3344" s="93">
        <v>37</v>
      </c>
      <c r="R3344" s="93" t="s">
        <v>117</v>
      </c>
      <c r="S3344" s="93" t="s">
        <v>659</v>
      </c>
      <c r="T3344" s="93" t="s">
        <v>1659</v>
      </c>
      <c r="U3344" s="93" t="s">
        <v>116</v>
      </c>
      <c r="V3344" s="94">
        <v>44628.557638888888</v>
      </c>
      <c r="W3344" s="93" t="s">
        <v>1170</v>
      </c>
      <c r="X3344" s="93" t="s">
        <v>24</v>
      </c>
    </row>
    <row r="3345" spans="1:24" hidden="1" x14ac:dyDescent="0.15">
      <c r="A3345" s="93" t="s">
        <v>5030</v>
      </c>
      <c r="B3345" s="93" t="s">
        <v>5031</v>
      </c>
      <c r="C3345" s="410">
        <v>3675</v>
      </c>
      <c r="D3345" s="93" t="s">
        <v>9</v>
      </c>
      <c r="E3345" s="93" t="s">
        <v>9</v>
      </c>
      <c r="F3345" s="93" t="s">
        <v>1648</v>
      </c>
      <c r="G3345" s="93" t="s">
        <v>8237</v>
      </c>
      <c r="H3345" s="93" t="s">
        <v>1943</v>
      </c>
      <c r="I3345" s="93" t="s">
        <v>111</v>
      </c>
      <c r="J3345" s="93" t="s">
        <v>1759</v>
      </c>
      <c r="K3345" s="93">
        <v>70</v>
      </c>
      <c r="L3345" s="93" t="s">
        <v>111</v>
      </c>
      <c r="M3345" s="93">
        <v>1.9</v>
      </c>
      <c r="N3345" s="93" t="s">
        <v>113</v>
      </c>
      <c r="O3345" s="93">
        <v>12</v>
      </c>
      <c r="P3345" s="93">
        <v>27</v>
      </c>
      <c r="Q3345" s="93">
        <v>37</v>
      </c>
      <c r="R3345" s="93" t="s">
        <v>117</v>
      </c>
      <c r="S3345" s="93" t="s">
        <v>659</v>
      </c>
      <c r="T3345" s="93" t="s">
        <v>1659</v>
      </c>
      <c r="U3345" s="93" t="s">
        <v>116</v>
      </c>
      <c r="V3345" s="94">
        <v>44628.536805555559</v>
      </c>
      <c r="W3345" s="93" t="s">
        <v>1170</v>
      </c>
      <c r="X3345" s="93" t="s">
        <v>24</v>
      </c>
    </row>
    <row r="3346" spans="1:24" hidden="1" x14ac:dyDescent="0.15">
      <c r="A3346" s="93" t="s">
        <v>5032</v>
      </c>
      <c r="B3346" s="93" t="s">
        <v>5033</v>
      </c>
      <c r="C3346" s="410">
        <v>3675</v>
      </c>
      <c r="D3346" s="93" t="s">
        <v>9</v>
      </c>
      <c r="E3346" s="93" t="s">
        <v>9</v>
      </c>
      <c r="F3346" s="93" t="s">
        <v>1648</v>
      </c>
      <c r="G3346" s="93" t="s">
        <v>8237</v>
      </c>
      <c r="H3346" s="93" t="s">
        <v>1943</v>
      </c>
      <c r="I3346" s="93" t="s">
        <v>111</v>
      </c>
      <c r="J3346" s="93" t="s">
        <v>1759</v>
      </c>
      <c r="K3346" s="93">
        <v>70</v>
      </c>
      <c r="L3346" s="93" t="s">
        <v>111</v>
      </c>
      <c r="M3346" s="93">
        <v>1.9</v>
      </c>
      <c r="N3346" s="93" t="s">
        <v>113</v>
      </c>
      <c r="O3346" s="93">
        <v>12</v>
      </c>
      <c r="P3346" s="93">
        <v>27</v>
      </c>
      <c r="Q3346" s="93">
        <v>37</v>
      </c>
      <c r="R3346" s="93" t="s">
        <v>117</v>
      </c>
      <c r="S3346" s="93" t="s">
        <v>659</v>
      </c>
      <c r="T3346" s="93" t="s">
        <v>1659</v>
      </c>
      <c r="U3346" s="93" t="s">
        <v>116</v>
      </c>
      <c r="V3346" s="94">
        <v>44628.57916666667</v>
      </c>
      <c r="W3346" s="93" t="s">
        <v>1170</v>
      </c>
      <c r="X3346" s="93" t="s">
        <v>24</v>
      </c>
    </row>
    <row r="3347" spans="1:24" hidden="1" x14ac:dyDescent="0.15">
      <c r="A3347" s="93" t="s">
        <v>5034</v>
      </c>
      <c r="B3347" s="93" t="s">
        <v>5035</v>
      </c>
      <c r="C3347" s="410">
        <v>3675</v>
      </c>
      <c r="D3347" s="93" t="s">
        <v>9</v>
      </c>
      <c r="E3347" s="93" t="s">
        <v>9</v>
      </c>
      <c r="F3347" s="93" t="s">
        <v>1648</v>
      </c>
      <c r="G3347" s="93" t="s">
        <v>8237</v>
      </c>
      <c r="H3347" s="93" t="s">
        <v>1943</v>
      </c>
      <c r="I3347" s="93" t="s">
        <v>111</v>
      </c>
      <c r="J3347" s="93" t="s">
        <v>1759</v>
      </c>
      <c r="K3347" s="93">
        <v>70</v>
      </c>
      <c r="L3347" s="93" t="s">
        <v>111</v>
      </c>
      <c r="M3347" s="93">
        <v>1.9</v>
      </c>
      <c r="N3347" s="93" t="s">
        <v>113</v>
      </c>
      <c r="O3347" s="93">
        <v>12</v>
      </c>
      <c r="P3347" s="93">
        <v>27</v>
      </c>
      <c r="Q3347" s="93">
        <v>37</v>
      </c>
      <c r="R3347" s="93" t="s">
        <v>117</v>
      </c>
      <c r="S3347" s="93" t="s">
        <v>659</v>
      </c>
      <c r="T3347" s="93" t="s">
        <v>1659</v>
      </c>
      <c r="U3347" s="93" t="s">
        <v>116</v>
      </c>
      <c r="V3347" s="94">
        <v>44628.557638888888</v>
      </c>
      <c r="W3347" s="93" t="s">
        <v>1170</v>
      </c>
      <c r="X3347" s="93" t="s">
        <v>24</v>
      </c>
    </row>
    <row r="3348" spans="1:24" hidden="1" x14ac:dyDescent="0.15">
      <c r="A3348" s="93" t="s">
        <v>5036</v>
      </c>
      <c r="B3348" s="93" t="s">
        <v>5037</v>
      </c>
      <c r="C3348" s="410">
        <v>509.25</v>
      </c>
      <c r="D3348" s="93" t="s">
        <v>24</v>
      </c>
      <c r="E3348" s="93" t="s">
        <v>24</v>
      </c>
      <c r="F3348" s="93" t="s">
        <v>7070</v>
      </c>
      <c r="G3348" s="93" t="s">
        <v>8237</v>
      </c>
      <c r="H3348" s="93" t="s">
        <v>11</v>
      </c>
      <c r="I3348" s="93" t="s">
        <v>111</v>
      </c>
      <c r="J3348" s="93" t="s">
        <v>2013</v>
      </c>
      <c r="K3348" s="93">
        <v>50</v>
      </c>
      <c r="L3348" s="93" t="s">
        <v>111</v>
      </c>
      <c r="M3348" s="93">
        <v>2.5</v>
      </c>
      <c r="N3348" s="93" t="s">
        <v>113</v>
      </c>
      <c r="O3348" s="93">
        <v>12.7</v>
      </c>
      <c r="P3348" s="93">
        <v>28</v>
      </c>
      <c r="Q3348" s="93">
        <v>28</v>
      </c>
      <c r="R3348" s="93" t="s">
        <v>117</v>
      </c>
      <c r="S3348" s="93" t="s">
        <v>659</v>
      </c>
      <c r="T3348" s="93" t="s">
        <v>115</v>
      </c>
      <c r="U3348" s="93" t="s">
        <v>116</v>
      </c>
      <c r="V3348" s="94">
        <v>44628.51458333333</v>
      </c>
      <c r="W3348" s="93" t="s">
        <v>1170</v>
      </c>
      <c r="X3348" s="93" t="s">
        <v>24</v>
      </c>
    </row>
    <row r="3349" spans="1:24" hidden="1" x14ac:dyDescent="0.15">
      <c r="A3349" s="93" t="s">
        <v>5038</v>
      </c>
      <c r="B3349" s="93" t="s">
        <v>5039</v>
      </c>
      <c r="C3349" s="410">
        <v>509.25</v>
      </c>
      <c r="D3349" s="93" t="s">
        <v>24</v>
      </c>
      <c r="E3349" s="93" t="s">
        <v>24</v>
      </c>
      <c r="F3349" s="93" t="s">
        <v>7070</v>
      </c>
      <c r="G3349" s="93" t="s">
        <v>8237</v>
      </c>
      <c r="H3349" s="93" t="s">
        <v>11</v>
      </c>
      <c r="I3349" s="93" t="s">
        <v>111</v>
      </c>
      <c r="J3349" s="93" t="s">
        <v>2013</v>
      </c>
      <c r="K3349" s="93">
        <v>50</v>
      </c>
      <c r="L3349" s="93" t="s">
        <v>111</v>
      </c>
      <c r="M3349" s="93">
        <v>2.5</v>
      </c>
      <c r="N3349" s="93" t="s">
        <v>113</v>
      </c>
      <c r="O3349" s="93">
        <v>12.7</v>
      </c>
      <c r="P3349" s="93">
        <v>28</v>
      </c>
      <c r="Q3349" s="93">
        <v>28</v>
      </c>
      <c r="R3349" s="93" t="s">
        <v>117</v>
      </c>
      <c r="S3349" s="93" t="s">
        <v>659</v>
      </c>
      <c r="T3349" s="93" t="s">
        <v>115</v>
      </c>
      <c r="U3349" s="93" t="s">
        <v>116</v>
      </c>
      <c r="V3349" s="94">
        <v>44628.492361111108</v>
      </c>
      <c r="W3349" s="93" t="s">
        <v>1170</v>
      </c>
      <c r="X3349" s="93" t="s">
        <v>24</v>
      </c>
    </row>
    <row r="3350" spans="1:24" hidden="1" x14ac:dyDescent="0.15">
      <c r="A3350" s="93" t="s">
        <v>5040</v>
      </c>
      <c r="B3350" s="93" t="s">
        <v>5041</v>
      </c>
      <c r="C3350" s="410">
        <v>2520</v>
      </c>
      <c r="D3350" s="93" t="s">
        <v>9</v>
      </c>
      <c r="E3350" s="93" t="s">
        <v>9</v>
      </c>
      <c r="F3350" s="93" t="s">
        <v>1648</v>
      </c>
      <c r="G3350" s="93" t="s">
        <v>9117</v>
      </c>
      <c r="H3350" s="93" t="s">
        <v>1943</v>
      </c>
      <c r="I3350" s="93" t="s">
        <v>111</v>
      </c>
      <c r="J3350" s="93" t="s">
        <v>963</v>
      </c>
      <c r="K3350" s="93">
        <v>60</v>
      </c>
      <c r="L3350" s="93" t="s">
        <v>111</v>
      </c>
      <c r="M3350" s="93">
        <v>3.9</v>
      </c>
      <c r="N3350" s="93" t="s">
        <v>113</v>
      </c>
      <c r="O3350" s="93">
        <v>12</v>
      </c>
      <c r="P3350" s="93">
        <v>35</v>
      </c>
      <c r="Q3350" s="93">
        <v>41</v>
      </c>
      <c r="R3350" s="93" t="s">
        <v>117</v>
      </c>
      <c r="S3350" s="93" t="s">
        <v>659</v>
      </c>
      <c r="T3350" s="93" t="s">
        <v>115</v>
      </c>
      <c r="U3350" s="93" t="s">
        <v>116</v>
      </c>
      <c r="V3350" s="94">
        <v>44628.635416666664</v>
      </c>
      <c r="W3350" s="93" t="s">
        <v>1170</v>
      </c>
      <c r="X3350" s="93" t="s">
        <v>9</v>
      </c>
    </row>
    <row r="3351" spans="1:24" hidden="1" x14ac:dyDescent="0.15">
      <c r="A3351" s="93" t="s">
        <v>5042</v>
      </c>
      <c r="B3351" s="93" t="s">
        <v>5043</v>
      </c>
      <c r="C3351" s="410">
        <v>2520</v>
      </c>
      <c r="D3351" s="93" t="s">
        <v>9</v>
      </c>
      <c r="E3351" s="93" t="s">
        <v>9</v>
      </c>
      <c r="F3351" s="93" t="s">
        <v>1648</v>
      </c>
      <c r="G3351" s="93" t="s">
        <v>9117</v>
      </c>
      <c r="H3351" s="93" t="s">
        <v>1943</v>
      </c>
      <c r="I3351" s="93" t="s">
        <v>111</v>
      </c>
      <c r="J3351" s="93" t="s">
        <v>963</v>
      </c>
      <c r="K3351" s="93">
        <v>60</v>
      </c>
      <c r="L3351" s="93" t="s">
        <v>111</v>
      </c>
      <c r="M3351" s="93">
        <v>3.9</v>
      </c>
      <c r="N3351" s="93" t="s">
        <v>113</v>
      </c>
      <c r="O3351" s="93">
        <v>12</v>
      </c>
      <c r="P3351" s="93">
        <v>35</v>
      </c>
      <c r="Q3351" s="93">
        <v>41</v>
      </c>
      <c r="R3351" s="93" t="s">
        <v>117</v>
      </c>
      <c r="S3351" s="93" t="s">
        <v>659</v>
      </c>
      <c r="T3351" s="93" t="s">
        <v>115</v>
      </c>
      <c r="U3351" s="93" t="s">
        <v>116</v>
      </c>
      <c r="V3351" s="94">
        <v>44628.470138888886</v>
      </c>
      <c r="W3351" s="93" t="s">
        <v>1170</v>
      </c>
      <c r="X3351" s="93" t="s">
        <v>9</v>
      </c>
    </row>
    <row r="3352" spans="1:24" hidden="1" x14ac:dyDescent="0.15">
      <c r="A3352" s="93" t="s">
        <v>5044</v>
      </c>
      <c r="B3352" s="93" t="s">
        <v>5045</v>
      </c>
      <c r="C3352" s="410">
        <v>2520</v>
      </c>
      <c r="D3352" s="93" t="s">
        <v>9</v>
      </c>
      <c r="E3352" s="93" t="s">
        <v>9</v>
      </c>
      <c r="F3352" s="93" t="s">
        <v>1648</v>
      </c>
      <c r="G3352" s="93" t="s">
        <v>9117</v>
      </c>
      <c r="H3352" s="93" t="s">
        <v>1943</v>
      </c>
      <c r="I3352" s="93" t="s">
        <v>111</v>
      </c>
      <c r="J3352" s="93" t="s">
        <v>963</v>
      </c>
      <c r="K3352" s="93">
        <v>60</v>
      </c>
      <c r="L3352" s="93" t="s">
        <v>111</v>
      </c>
      <c r="M3352" s="93">
        <v>3.9</v>
      </c>
      <c r="N3352" s="93" t="s">
        <v>113</v>
      </c>
      <c r="O3352" s="93">
        <v>12</v>
      </c>
      <c r="P3352" s="93">
        <v>35</v>
      </c>
      <c r="Q3352" s="93">
        <v>41</v>
      </c>
      <c r="R3352" s="93" t="s">
        <v>117</v>
      </c>
      <c r="S3352" s="93" t="s">
        <v>659</v>
      </c>
      <c r="T3352" s="93" t="s">
        <v>115</v>
      </c>
      <c r="U3352" s="93" t="s">
        <v>116</v>
      </c>
      <c r="V3352" s="94">
        <v>44628.556250000001</v>
      </c>
      <c r="W3352" s="93" t="s">
        <v>1170</v>
      </c>
      <c r="X3352" s="93" t="s">
        <v>24</v>
      </c>
    </row>
    <row r="3353" spans="1:24" hidden="1" x14ac:dyDescent="0.15">
      <c r="A3353" s="93" t="s">
        <v>5046</v>
      </c>
      <c r="B3353" s="93" t="s">
        <v>5047</v>
      </c>
      <c r="C3353" s="410">
        <v>2520</v>
      </c>
      <c r="D3353" s="93" t="s">
        <v>9</v>
      </c>
      <c r="E3353" s="93" t="s">
        <v>9</v>
      </c>
      <c r="F3353" s="93" t="s">
        <v>1648</v>
      </c>
      <c r="G3353" s="93" t="s">
        <v>9117</v>
      </c>
      <c r="H3353" s="93" t="s">
        <v>1943</v>
      </c>
      <c r="I3353" s="93" t="s">
        <v>111</v>
      </c>
      <c r="J3353" s="93" t="s">
        <v>963</v>
      </c>
      <c r="K3353" s="93">
        <v>60</v>
      </c>
      <c r="L3353" s="93" t="s">
        <v>111</v>
      </c>
      <c r="M3353" s="93">
        <v>3.9</v>
      </c>
      <c r="N3353" s="93" t="s">
        <v>113</v>
      </c>
      <c r="O3353" s="93">
        <v>12</v>
      </c>
      <c r="P3353" s="93">
        <v>35</v>
      </c>
      <c r="Q3353" s="93">
        <v>41</v>
      </c>
      <c r="R3353" s="93" t="s">
        <v>117</v>
      </c>
      <c r="S3353" s="93" t="s">
        <v>659</v>
      </c>
      <c r="T3353" s="93" t="s">
        <v>115</v>
      </c>
      <c r="U3353" s="93" t="s">
        <v>116</v>
      </c>
      <c r="V3353" s="94">
        <v>44628.535416666666</v>
      </c>
      <c r="W3353" s="93" t="s">
        <v>1170</v>
      </c>
      <c r="X3353" s="93" t="s">
        <v>24</v>
      </c>
    </row>
    <row r="3354" spans="1:24" hidden="1" x14ac:dyDescent="0.15">
      <c r="A3354" s="93" t="s">
        <v>5048</v>
      </c>
      <c r="B3354" s="93" t="s">
        <v>5049</v>
      </c>
      <c r="C3354" s="410">
        <v>2520</v>
      </c>
      <c r="D3354" s="93" t="s">
        <v>9</v>
      </c>
      <c r="E3354" s="93" t="s">
        <v>9</v>
      </c>
      <c r="F3354" s="93" t="s">
        <v>1648</v>
      </c>
      <c r="G3354" s="93" t="s">
        <v>9117</v>
      </c>
      <c r="H3354" s="93" t="s">
        <v>1943</v>
      </c>
      <c r="I3354" s="93" t="s">
        <v>111</v>
      </c>
      <c r="J3354" s="93" t="s">
        <v>963</v>
      </c>
      <c r="K3354" s="93">
        <v>60</v>
      </c>
      <c r="L3354" s="93" t="s">
        <v>111</v>
      </c>
      <c r="M3354" s="93">
        <v>3.9</v>
      </c>
      <c r="N3354" s="93" t="s">
        <v>113</v>
      </c>
      <c r="O3354" s="93">
        <v>12</v>
      </c>
      <c r="P3354" s="93">
        <v>35</v>
      </c>
      <c r="Q3354" s="93">
        <v>41</v>
      </c>
      <c r="R3354" s="93" t="s">
        <v>117</v>
      </c>
      <c r="S3354" s="93" t="s">
        <v>659</v>
      </c>
      <c r="T3354" s="93" t="s">
        <v>115</v>
      </c>
      <c r="U3354" s="93" t="s">
        <v>116</v>
      </c>
      <c r="V3354" s="94">
        <v>44628.513888888891</v>
      </c>
      <c r="W3354" s="93" t="s">
        <v>1170</v>
      </c>
      <c r="X3354" s="93" t="s">
        <v>24</v>
      </c>
    </row>
    <row r="3355" spans="1:24" hidden="1" x14ac:dyDescent="0.15">
      <c r="A3355" s="93" t="s">
        <v>5050</v>
      </c>
      <c r="B3355" s="93" t="s">
        <v>5051</v>
      </c>
      <c r="C3355" s="410">
        <v>2520</v>
      </c>
      <c r="D3355" s="93" t="s">
        <v>9</v>
      </c>
      <c r="E3355" s="93" t="s">
        <v>9</v>
      </c>
      <c r="F3355" s="93" t="s">
        <v>1648</v>
      </c>
      <c r="G3355" s="93" t="s">
        <v>9117</v>
      </c>
      <c r="H3355" s="93" t="s">
        <v>1943</v>
      </c>
      <c r="I3355" s="93" t="s">
        <v>111</v>
      </c>
      <c r="J3355" s="93" t="s">
        <v>963</v>
      </c>
      <c r="K3355" s="93">
        <v>60</v>
      </c>
      <c r="L3355" s="93" t="s">
        <v>111</v>
      </c>
      <c r="M3355" s="93">
        <v>3.9</v>
      </c>
      <c r="N3355" s="93" t="s">
        <v>113</v>
      </c>
      <c r="O3355" s="93">
        <v>12</v>
      </c>
      <c r="P3355" s="93">
        <v>35</v>
      </c>
      <c r="Q3355" s="93">
        <v>41</v>
      </c>
      <c r="R3355" s="93" t="s">
        <v>117</v>
      </c>
      <c r="S3355" s="93" t="s">
        <v>659</v>
      </c>
      <c r="T3355" s="93" t="s">
        <v>115</v>
      </c>
      <c r="U3355" s="93" t="s">
        <v>116</v>
      </c>
      <c r="V3355" s="94">
        <v>44628.470138888886</v>
      </c>
      <c r="W3355" s="93" t="s">
        <v>1170</v>
      </c>
      <c r="X3355" s="93" t="s">
        <v>24</v>
      </c>
    </row>
    <row r="3356" spans="1:24" hidden="1" x14ac:dyDescent="0.15">
      <c r="A3356" s="93" t="s">
        <v>5052</v>
      </c>
      <c r="B3356" s="93" t="s">
        <v>5053</v>
      </c>
      <c r="C3356" s="410">
        <v>2520</v>
      </c>
      <c r="D3356" s="93" t="s">
        <v>9</v>
      </c>
      <c r="E3356" s="93" t="s">
        <v>9</v>
      </c>
      <c r="F3356" s="93" t="s">
        <v>1648</v>
      </c>
      <c r="G3356" s="93" t="s">
        <v>9117</v>
      </c>
      <c r="H3356" s="93" t="s">
        <v>1943</v>
      </c>
      <c r="I3356" s="93" t="s">
        <v>111</v>
      </c>
      <c r="J3356" s="93" t="s">
        <v>963</v>
      </c>
      <c r="K3356" s="93">
        <v>60</v>
      </c>
      <c r="L3356" s="93" t="s">
        <v>111</v>
      </c>
      <c r="M3356" s="93">
        <v>3.9</v>
      </c>
      <c r="N3356" s="93" t="s">
        <v>113</v>
      </c>
      <c r="O3356" s="93">
        <v>12</v>
      </c>
      <c r="P3356" s="93">
        <v>35</v>
      </c>
      <c r="Q3356" s="93">
        <v>41</v>
      </c>
      <c r="R3356" s="93" t="s">
        <v>117</v>
      </c>
      <c r="S3356" s="93" t="s">
        <v>659</v>
      </c>
      <c r="T3356" s="93" t="s">
        <v>115</v>
      </c>
      <c r="U3356" s="93" t="s">
        <v>116</v>
      </c>
      <c r="V3356" s="94">
        <v>44628.578472222223</v>
      </c>
      <c r="W3356" s="93" t="s">
        <v>1170</v>
      </c>
      <c r="X3356" s="93" t="s">
        <v>24</v>
      </c>
    </row>
    <row r="3357" spans="1:24" hidden="1" x14ac:dyDescent="0.15">
      <c r="A3357" s="93" t="s">
        <v>5054</v>
      </c>
      <c r="B3357" s="93" t="s">
        <v>5055</v>
      </c>
      <c r="C3357" s="410">
        <v>2520</v>
      </c>
      <c r="D3357" s="93" t="s">
        <v>9</v>
      </c>
      <c r="E3357" s="93" t="s">
        <v>9</v>
      </c>
      <c r="F3357" s="93" t="s">
        <v>1648</v>
      </c>
      <c r="G3357" s="93" t="s">
        <v>9117</v>
      </c>
      <c r="H3357" s="93" t="s">
        <v>1943</v>
      </c>
      <c r="I3357" s="93" t="s">
        <v>111</v>
      </c>
      <c r="J3357" s="93" t="s">
        <v>963</v>
      </c>
      <c r="K3357" s="93">
        <v>60</v>
      </c>
      <c r="L3357" s="93" t="s">
        <v>111</v>
      </c>
      <c r="M3357" s="93">
        <v>3.9</v>
      </c>
      <c r="N3357" s="93" t="s">
        <v>113</v>
      </c>
      <c r="O3357" s="93">
        <v>12</v>
      </c>
      <c r="P3357" s="93">
        <v>35</v>
      </c>
      <c r="Q3357" s="93">
        <v>41</v>
      </c>
      <c r="R3357" s="93" t="s">
        <v>117</v>
      </c>
      <c r="S3357" s="93" t="s">
        <v>659</v>
      </c>
      <c r="T3357" s="93" t="s">
        <v>115</v>
      </c>
      <c r="U3357" s="93" t="s">
        <v>116</v>
      </c>
      <c r="V3357" s="94">
        <v>44628.535416666666</v>
      </c>
      <c r="W3357" s="93" t="s">
        <v>1170</v>
      </c>
      <c r="X3357" s="93" t="s">
        <v>24</v>
      </c>
    </row>
    <row r="3358" spans="1:24" hidden="1" x14ac:dyDescent="0.15">
      <c r="A3358" s="93" t="s">
        <v>5056</v>
      </c>
      <c r="B3358" s="93" t="s">
        <v>5057</v>
      </c>
      <c r="C3358" s="410">
        <v>2520</v>
      </c>
      <c r="D3358" s="93" t="s">
        <v>9</v>
      </c>
      <c r="E3358" s="93" t="s">
        <v>9</v>
      </c>
      <c r="F3358" s="93" t="s">
        <v>1648</v>
      </c>
      <c r="G3358" s="93" t="s">
        <v>9117</v>
      </c>
      <c r="H3358" s="93" t="s">
        <v>1943</v>
      </c>
      <c r="I3358" s="93" t="s">
        <v>111</v>
      </c>
      <c r="J3358" s="93" t="s">
        <v>963</v>
      </c>
      <c r="K3358" s="93">
        <v>60</v>
      </c>
      <c r="L3358" s="93" t="s">
        <v>111</v>
      </c>
      <c r="M3358" s="93">
        <v>3.9</v>
      </c>
      <c r="N3358" s="93" t="s">
        <v>113</v>
      </c>
      <c r="O3358" s="93">
        <v>12</v>
      </c>
      <c r="P3358" s="93">
        <v>35</v>
      </c>
      <c r="Q3358" s="93">
        <v>41</v>
      </c>
      <c r="R3358" s="93" t="s">
        <v>117</v>
      </c>
      <c r="S3358" s="93" t="s">
        <v>659</v>
      </c>
      <c r="T3358" s="93" t="s">
        <v>115</v>
      </c>
      <c r="U3358" s="93" t="s">
        <v>116</v>
      </c>
      <c r="V3358" s="94">
        <v>44628.513888888891</v>
      </c>
      <c r="W3358" s="93" t="s">
        <v>1170</v>
      </c>
      <c r="X3358" s="93" t="s">
        <v>24</v>
      </c>
    </row>
    <row r="3359" spans="1:24" hidden="1" x14ac:dyDescent="0.15">
      <c r="A3359" s="93" t="s">
        <v>5058</v>
      </c>
      <c r="B3359" s="93" t="s">
        <v>5059</v>
      </c>
      <c r="C3359" s="410">
        <v>2520</v>
      </c>
      <c r="D3359" s="93" t="s">
        <v>9</v>
      </c>
      <c r="E3359" s="93" t="s">
        <v>9</v>
      </c>
      <c r="F3359" s="93" t="s">
        <v>1648</v>
      </c>
      <c r="G3359" s="93" t="s">
        <v>9117</v>
      </c>
      <c r="H3359" s="93" t="s">
        <v>1943</v>
      </c>
      <c r="I3359" s="93" t="s">
        <v>111</v>
      </c>
      <c r="J3359" s="93" t="s">
        <v>963</v>
      </c>
      <c r="K3359" s="93">
        <v>60</v>
      </c>
      <c r="L3359" s="93" t="s">
        <v>111</v>
      </c>
      <c r="M3359" s="93">
        <v>3.9</v>
      </c>
      <c r="N3359" s="93" t="s">
        <v>113</v>
      </c>
      <c r="O3359" s="93">
        <v>12</v>
      </c>
      <c r="P3359" s="93">
        <v>35</v>
      </c>
      <c r="Q3359" s="93">
        <v>41</v>
      </c>
      <c r="R3359" s="93" t="s">
        <v>117</v>
      </c>
      <c r="S3359" s="93" t="s">
        <v>659</v>
      </c>
      <c r="T3359" s="93" t="s">
        <v>115</v>
      </c>
      <c r="U3359" s="93" t="s">
        <v>116</v>
      </c>
      <c r="V3359" s="94">
        <v>44628.513888888891</v>
      </c>
      <c r="W3359" s="93" t="s">
        <v>1170</v>
      </c>
      <c r="X3359" s="93" t="s">
        <v>24</v>
      </c>
    </row>
    <row r="3360" spans="1:24" hidden="1" x14ac:dyDescent="0.15">
      <c r="A3360" s="93" t="s">
        <v>5060</v>
      </c>
      <c r="B3360" s="93" t="s">
        <v>5061</v>
      </c>
      <c r="C3360" s="410">
        <v>2520</v>
      </c>
      <c r="D3360" s="93" t="s">
        <v>9</v>
      </c>
      <c r="E3360" s="93" t="s">
        <v>9</v>
      </c>
      <c r="F3360" s="93" t="s">
        <v>1648</v>
      </c>
      <c r="G3360" s="93" t="s">
        <v>9117</v>
      </c>
      <c r="H3360" s="93" t="s">
        <v>1943</v>
      </c>
      <c r="I3360" s="93" t="s">
        <v>111</v>
      </c>
      <c r="J3360" s="93" t="s">
        <v>963</v>
      </c>
      <c r="K3360" s="93">
        <v>60</v>
      </c>
      <c r="L3360" s="93" t="s">
        <v>111</v>
      </c>
      <c r="M3360" s="93">
        <v>3.9</v>
      </c>
      <c r="N3360" s="93" t="s">
        <v>113</v>
      </c>
      <c r="O3360" s="93">
        <v>12</v>
      </c>
      <c r="P3360" s="93">
        <v>35</v>
      </c>
      <c r="Q3360" s="93">
        <v>41</v>
      </c>
      <c r="R3360" s="93" t="s">
        <v>117</v>
      </c>
      <c r="S3360" s="93" t="s">
        <v>659</v>
      </c>
      <c r="T3360" s="93" t="s">
        <v>115</v>
      </c>
      <c r="U3360" s="93" t="s">
        <v>116</v>
      </c>
      <c r="V3360" s="94">
        <v>44628.6</v>
      </c>
      <c r="W3360" s="93" t="s">
        <v>1170</v>
      </c>
      <c r="X3360" s="93" t="s">
        <v>24</v>
      </c>
    </row>
    <row r="3361" spans="1:24" hidden="1" x14ac:dyDescent="0.15">
      <c r="A3361" s="93" t="s">
        <v>5062</v>
      </c>
      <c r="B3361" s="93" t="s">
        <v>5063</v>
      </c>
      <c r="C3361" s="410">
        <v>2520</v>
      </c>
      <c r="D3361" s="93" t="s">
        <v>9</v>
      </c>
      <c r="E3361" s="93" t="s">
        <v>9</v>
      </c>
      <c r="F3361" s="93" t="s">
        <v>1648</v>
      </c>
      <c r="G3361" s="93" t="s">
        <v>9117</v>
      </c>
      <c r="H3361" s="93" t="s">
        <v>1943</v>
      </c>
      <c r="I3361" s="93" t="s">
        <v>111</v>
      </c>
      <c r="J3361" s="93" t="s">
        <v>963</v>
      </c>
      <c r="K3361" s="93">
        <v>60</v>
      </c>
      <c r="L3361" s="93" t="s">
        <v>111</v>
      </c>
      <c r="M3361" s="93">
        <v>3.9</v>
      </c>
      <c r="N3361" s="93" t="s">
        <v>113</v>
      </c>
      <c r="O3361" s="93">
        <v>12</v>
      </c>
      <c r="P3361" s="93">
        <v>35</v>
      </c>
      <c r="Q3361" s="93">
        <v>41</v>
      </c>
      <c r="R3361" s="93" t="s">
        <v>117</v>
      </c>
      <c r="S3361" s="93" t="s">
        <v>659</v>
      </c>
      <c r="T3361" s="93" t="s">
        <v>115</v>
      </c>
      <c r="U3361" s="93" t="s">
        <v>116</v>
      </c>
      <c r="V3361" s="94">
        <v>44628.6</v>
      </c>
      <c r="W3361" s="93" t="s">
        <v>1170</v>
      </c>
      <c r="X3361" s="93" t="s">
        <v>24</v>
      </c>
    </row>
    <row r="3362" spans="1:24" hidden="1" x14ac:dyDescent="0.15">
      <c r="A3362" s="93" t="s">
        <v>5064</v>
      </c>
      <c r="B3362" s="93" t="s">
        <v>5065</v>
      </c>
      <c r="C3362" s="410">
        <v>2520</v>
      </c>
      <c r="D3362" s="93" t="s">
        <v>9</v>
      </c>
      <c r="E3362" s="93" t="s">
        <v>9</v>
      </c>
      <c r="F3362" s="93" t="s">
        <v>1648</v>
      </c>
      <c r="G3362" s="93" t="s">
        <v>9117</v>
      </c>
      <c r="H3362" s="93" t="s">
        <v>1943</v>
      </c>
      <c r="I3362" s="93" t="s">
        <v>111</v>
      </c>
      <c r="J3362" s="93" t="s">
        <v>963</v>
      </c>
      <c r="K3362" s="93">
        <v>60</v>
      </c>
      <c r="L3362" s="93" t="s">
        <v>111</v>
      </c>
      <c r="M3362" s="93">
        <v>3.9</v>
      </c>
      <c r="N3362" s="93" t="s">
        <v>113</v>
      </c>
      <c r="O3362" s="93">
        <v>12</v>
      </c>
      <c r="P3362" s="93">
        <v>35</v>
      </c>
      <c r="Q3362" s="93">
        <v>41</v>
      </c>
      <c r="R3362" s="93" t="s">
        <v>117</v>
      </c>
      <c r="S3362" s="93" t="s">
        <v>659</v>
      </c>
      <c r="T3362" s="93" t="s">
        <v>115</v>
      </c>
      <c r="U3362" s="93" t="s">
        <v>116</v>
      </c>
      <c r="V3362" s="94">
        <v>44628.6</v>
      </c>
      <c r="W3362" s="93" t="s">
        <v>1170</v>
      </c>
      <c r="X3362" s="93" t="s">
        <v>9</v>
      </c>
    </row>
    <row r="3363" spans="1:24" hidden="1" x14ac:dyDescent="0.15">
      <c r="A3363" s="93" t="s">
        <v>5066</v>
      </c>
      <c r="B3363" s="93" t="s">
        <v>5067</v>
      </c>
      <c r="C3363" s="410">
        <v>2520</v>
      </c>
      <c r="D3363" s="93" t="s">
        <v>9</v>
      </c>
      <c r="E3363" s="93" t="s">
        <v>9</v>
      </c>
      <c r="F3363" s="93" t="s">
        <v>1648</v>
      </c>
      <c r="G3363" s="93" t="s">
        <v>9117</v>
      </c>
      <c r="H3363" s="93" t="s">
        <v>1943</v>
      </c>
      <c r="I3363" s="93" t="s">
        <v>111</v>
      </c>
      <c r="J3363" s="93" t="s">
        <v>963</v>
      </c>
      <c r="K3363" s="93">
        <v>60</v>
      </c>
      <c r="L3363" s="93" t="s">
        <v>111</v>
      </c>
      <c r="M3363" s="93">
        <v>3.9</v>
      </c>
      <c r="N3363" s="93" t="s">
        <v>113</v>
      </c>
      <c r="O3363" s="93">
        <v>12</v>
      </c>
      <c r="P3363" s="93">
        <v>35</v>
      </c>
      <c r="Q3363" s="93">
        <v>41</v>
      </c>
      <c r="R3363" s="93" t="s">
        <v>117</v>
      </c>
      <c r="S3363" s="93" t="s">
        <v>659</v>
      </c>
      <c r="T3363" s="93" t="s">
        <v>115</v>
      </c>
      <c r="U3363" s="93" t="s">
        <v>116</v>
      </c>
      <c r="V3363" s="94">
        <v>44628.470138888886</v>
      </c>
      <c r="W3363" s="93" t="s">
        <v>1170</v>
      </c>
      <c r="X3363" s="93" t="s">
        <v>9</v>
      </c>
    </row>
    <row r="3364" spans="1:24" hidden="1" x14ac:dyDescent="0.15">
      <c r="A3364" s="93" t="s">
        <v>5068</v>
      </c>
      <c r="B3364" s="93" t="s">
        <v>5069</v>
      </c>
      <c r="C3364" s="410">
        <v>682.5</v>
      </c>
      <c r="D3364" s="93" t="s">
        <v>24</v>
      </c>
      <c r="E3364" s="93" t="s">
        <v>24</v>
      </c>
      <c r="F3364" s="93" t="s">
        <v>7070</v>
      </c>
      <c r="G3364" s="93" t="s">
        <v>8237</v>
      </c>
      <c r="H3364" s="93" t="s">
        <v>11</v>
      </c>
      <c r="I3364" s="93" t="s">
        <v>111</v>
      </c>
      <c r="J3364" s="93" t="s">
        <v>963</v>
      </c>
      <c r="K3364" s="93">
        <v>60</v>
      </c>
      <c r="L3364" s="93" t="s">
        <v>111</v>
      </c>
      <c r="M3364" s="93">
        <v>2</v>
      </c>
      <c r="N3364" s="93" t="s">
        <v>113</v>
      </c>
      <c r="O3364" s="93">
        <v>18</v>
      </c>
      <c r="P3364" s="93">
        <v>33</v>
      </c>
      <c r="Q3364" s="93">
        <v>37</v>
      </c>
      <c r="R3364" s="93" t="s">
        <v>117</v>
      </c>
      <c r="S3364" s="93" t="s">
        <v>659</v>
      </c>
      <c r="T3364" s="93" t="s">
        <v>115</v>
      </c>
      <c r="U3364" s="93" t="s">
        <v>116</v>
      </c>
      <c r="V3364" s="94">
        <v>44628.470138888886</v>
      </c>
      <c r="W3364" s="93" t="s">
        <v>1170</v>
      </c>
      <c r="X3364" s="93" t="s">
        <v>24</v>
      </c>
    </row>
    <row r="3365" spans="1:24" hidden="1" x14ac:dyDescent="0.15">
      <c r="A3365" s="93" t="s">
        <v>5070</v>
      </c>
      <c r="B3365" s="93" t="s">
        <v>5071</v>
      </c>
      <c r="C3365" s="410">
        <v>2205</v>
      </c>
      <c r="D3365" s="93" t="s">
        <v>24</v>
      </c>
      <c r="E3365" s="93" t="s">
        <v>24</v>
      </c>
      <c r="F3365" s="93" t="s">
        <v>7070</v>
      </c>
      <c r="G3365" s="93" t="s">
        <v>8237</v>
      </c>
      <c r="H3365" s="93" t="s">
        <v>11</v>
      </c>
      <c r="I3365" s="93" t="s">
        <v>111</v>
      </c>
      <c r="J3365" s="93" t="s">
        <v>1675</v>
      </c>
      <c r="K3365" s="93">
        <v>60</v>
      </c>
      <c r="L3365" s="93" t="s">
        <v>111</v>
      </c>
      <c r="M3365" s="93">
        <v>2</v>
      </c>
      <c r="N3365" s="93" t="s">
        <v>113</v>
      </c>
      <c r="O3365" s="93">
        <v>31</v>
      </c>
      <c r="P3365" s="93">
        <v>31</v>
      </c>
      <c r="Q3365" s="93">
        <v>34.200000000000003</v>
      </c>
      <c r="R3365" s="93" t="s">
        <v>117</v>
      </c>
      <c r="S3365" s="93" t="s">
        <v>659</v>
      </c>
      <c r="T3365" s="93" t="s">
        <v>115</v>
      </c>
      <c r="U3365" s="93" t="s">
        <v>116</v>
      </c>
      <c r="V3365" s="94">
        <v>44628.635416666664</v>
      </c>
      <c r="W3365" s="93" t="s">
        <v>1555</v>
      </c>
      <c r="X3365" s="93" t="s">
        <v>24</v>
      </c>
    </row>
    <row r="3366" spans="1:24" hidden="1" x14ac:dyDescent="0.15">
      <c r="A3366" s="93" t="s">
        <v>5072</v>
      </c>
      <c r="B3366" s="93" t="s">
        <v>5073</v>
      </c>
      <c r="C3366" s="410">
        <v>2205</v>
      </c>
      <c r="D3366" s="93" t="s">
        <v>24</v>
      </c>
      <c r="E3366" s="93" t="s">
        <v>24</v>
      </c>
      <c r="F3366" s="93" t="s">
        <v>7070</v>
      </c>
      <c r="G3366" s="93" t="s">
        <v>8237</v>
      </c>
      <c r="H3366" s="93" t="s">
        <v>11</v>
      </c>
      <c r="I3366" s="93" t="s">
        <v>111</v>
      </c>
      <c r="J3366" s="93" t="s">
        <v>1675</v>
      </c>
      <c r="K3366" s="93">
        <v>60</v>
      </c>
      <c r="L3366" s="93" t="s">
        <v>111</v>
      </c>
      <c r="M3366" s="93">
        <v>2</v>
      </c>
      <c r="N3366" s="93" t="s">
        <v>113</v>
      </c>
      <c r="O3366" s="93">
        <v>30.6</v>
      </c>
      <c r="P3366" s="93">
        <v>30.4</v>
      </c>
      <c r="Q3366" s="93">
        <v>36.700000000000003</v>
      </c>
      <c r="R3366" s="93" t="s">
        <v>117</v>
      </c>
      <c r="S3366" s="93" t="s">
        <v>659</v>
      </c>
      <c r="T3366" s="93" t="s">
        <v>115</v>
      </c>
      <c r="U3366" s="93" t="s">
        <v>116</v>
      </c>
      <c r="V3366" s="94">
        <v>44628.491666666669</v>
      </c>
      <c r="W3366" s="93" t="s">
        <v>1555</v>
      </c>
      <c r="X3366" s="93" t="s">
        <v>24</v>
      </c>
    </row>
    <row r="3367" spans="1:24" hidden="1" x14ac:dyDescent="0.15">
      <c r="A3367" s="93" t="s">
        <v>5074</v>
      </c>
      <c r="B3367" s="93" t="s">
        <v>5075</v>
      </c>
      <c r="C3367" s="410">
        <v>236.25</v>
      </c>
      <c r="D3367" s="93" t="s">
        <v>24</v>
      </c>
      <c r="E3367" s="93" t="s">
        <v>24</v>
      </c>
      <c r="F3367" s="93" t="s">
        <v>7070</v>
      </c>
      <c r="G3367" s="93" t="s">
        <v>8237</v>
      </c>
      <c r="H3367" s="93" t="s">
        <v>11</v>
      </c>
      <c r="I3367" s="93" t="s">
        <v>111</v>
      </c>
      <c r="J3367" s="93" t="s">
        <v>1675</v>
      </c>
      <c r="K3367" s="93">
        <v>60</v>
      </c>
      <c r="L3367" s="93" t="s">
        <v>111</v>
      </c>
      <c r="M3367" s="93">
        <v>3</v>
      </c>
      <c r="N3367" s="93" t="s">
        <v>113</v>
      </c>
      <c r="O3367" s="93">
        <v>8</v>
      </c>
      <c r="P3367" s="93">
        <v>29</v>
      </c>
      <c r="Q3367" s="93">
        <v>20</v>
      </c>
      <c r="R3367" s="93" t="s">
        <v>117</v>
      </c>
      <c r="S3367" s="93" t="s">
        <v>659</v>
      </c>
      <c r="T3367" s="93" t="s">
        <v>115</v>
      </c>
      <c r="U3367" s="93" t="s">
        <v>116</v>
      </c>
      <c r="V3367" s="94">
        <v>44628.556250000001</v>
      </c>
      <c r="W3367" s="93" t="s">
        <v>1555</v>
      </c>
      <c r="X3367" s="93" t="s">
        <v>24</v>
      </c>
    </row>
    <row r="3368" spans="1:24" hidden="1" x14ac:dyDescent="0.15">
      <c r="A3368" s="93" t="s">
        <v>5076</v>
      </c>
      <c r="B3368" s="93" t="s">
        <v>5077</v>
      </c>
      <c r="C3368" s="410">
        <v>1260</v>
      </c>
      <c r="D3368" s="93" t="s">
        <v>24</v>
      </c>
      <c r="E3368" s="93" t="s">
        <v>24</v>
      </c>
      <c r="F3368" s="93" t="s">
        <v>7070</v>
      </c>
      <c r="G3368" s="93" t="s">
        <v>8237</v>
      </c>
      <c r="H3368" s="93" t="s">
        <v>11</v>
      </c>
      <c r="I3368" s="93" t="s">
        <v>111</v>
      </c>
      <c r="J3368" s="93" t="s">
        <v>963</v>
      </c>
      <c r="K3368" s="93">
        <v>60</v>
      </c>
      <c r="L3368" s="93">
        <v>1</v>
      </c>
      <c r="M3368" s="93" t="s">
        <v>111</v>
      </c>
      <c r="N3368" s="93" t="s">
        <v>111</v>
      </c>
      <c r="O3368" s="93" t="s">
        <v>111</v>
      </c>
      <c r="P3368" s="93" t="s">
        <v>111</v>
      </c>
      <c r="Q3368" s="93" t="s">
        <v>111</v>
      </c>
      <c r="R3368" s="93" t="s">
        <v>117</v>
      </c>
      <c r="S3368" s="93" t="s">
        <v>659</v>
      </c>
      <c r="T3368" s="93" t="s">
        <v>115</v>
      </c>
      <c r="U3368" s="93" t="s">
        <v>116</v>
      </c>
      <c r="V3368" s="94">
        <v>44628.577777777777</v>
      </c>
      <c r="W3368" s="93" t="s">
        <v>1170</v>
      </c>
      <c r="X3368" s="93" t="s">
        <v>24</v>
      </c>
    </row>
    <row r="3369" spans="1:24" hidden="1" x14ac:dyDescent="0.15">
      <c r="A3369" s="93" t="s">
        <v>5078</v>
      </c>
      <c r="B3369" s="93" t="s">
        <v>5079</v>
      </c>
      <c r="C3369" s="410">
        <v>1680</v>
      </c>
      <c r="D3369" s="93" t="s">
        <v>24</v>
      </c>
      <c r="E3369" s="93" t="s">
        <v>24</v>
      </c>
      <c r="F3369" s="93" t="s">
        <v>7070</v>
      </c>
      <c r="G3369" s="93" t="s">
        <v>8237</v>
      </c>
      <c r="H3369" s="93" t="s">
        <v>11</v>
      </c>
      <c r="I3369" s="93" t="s">
        <v>111</v>
      </c>
      <c r="J3369" s="93" t="s">
        <v>1675</v>
      </c>
      <c r="K3369" s="93">
        <v>60</v>
      </c>
      <c r="L3369" s="93" t="s">
        <v>111</v>
      </c>
      <c r="M3369" s="93">
        <v>2</v>
      </c>
      <c r="N3369" s="93" t="s">
        <v>113</v>
      </c>
      <c r="O3369" s="93">
        <v>30.6</v>
      </c>
      <c r="P3369" s="93">
        <v>30.4</v>
      </c>
      <c r="Q3369" s="93">
        <v>36.700000000000003</v>
      </c>
      <c r="R3369" s="93" t="s">
        <v>117</v>
      </c>
      <c r="S3369" s="93" t="s">
        <v>659</v>
      </c>
      <c r="T3369" s="93" t="s">
        <v>115</v>
      </c>
      <c r="U3369" s="93" t="s">
        <v>116</v>
      </c>
      <c r="V3369" s="94">
        <v>44628.513194444444</v>
      </c>
      <c r="W3369" s="93" t="s">
        <v>1555</v>
      </c>
      <c r="X3369" s="93" t="s">
        <v>24</v>
      </c>
    </row>
    <row r="3370" spans="1:24" hidden="1" x14ac:dyDescent="0.15">
      <c r="A3370" s="93" t="s">
        <v>5080</v>
      </c>
      <c r="B3370" s="93" t="s">
        <v>5081</v>
      </c>
      <c r="C3370" s="410">
        <v>1102.5</v>
      </c>
      <c r="D3370" s="93" t="s">
        <v>24</v>
      </c>
      <c r="E3370" s="93" t="s">
        <v>24</v>
      </c>
      <c r="F3370" s="93" t="s">
        <v>1648</v>
      </c>
      <c r="G3370" s="93" t="s">
        <v>8237</v>
      </c>
      <c r="H3370" s="93" t="s">
        <v>11</v>
      </c>
      <c r="I3370" s="93" t="s">
        <v>111</v>
      </c>
      <c r="J3370" s="93" t="s">
        <v>1675</v>
      </c>
      <c r="K3370" s="93">
        <v>60</v>
      </c>
      <c r="L3370" s="93" t="s">
        <v>111</v>
      </c>
      <c r="M3370" s="93">
        <v>2</v>
      </c>
      <c r="N3370" s="93" t="s">
        <v>113</v>
      </c>
      <c r="O3370" s="93">
        <v>30.6</v>
      </c>
      <c r="P3370" s="93">
        <v>30.4</v>
      </c>
      <c r="Q3370" s="93">
        <v>36.700000000000003</v>
      </c>
      <c r="R3370" s="93" t="s">
        <v>117</v>
      </c>
      <c r="S3370" s="93" t="s">
        <v>659</v>
      </c>
      <c r="T3370" s="93" t="s">
        <v>115</v>
      </c>
      <c r="U3370" s="93" t="s">
        <v>116</v>
      </c>
      <c r="V3370" s="94">
        <v>44628.599305555559</v>
      </c>
      <c r="W3370" s="93" t="s">
        <v>1555</v>
      </c>
      <c r="X3370" s="93" t="s">
        <v>24</v>
      </c>
    </row>
    <row r="3371" spans="1:24" hidden="1" x14ac:dyDescent="0.15">
      <c r="A3371" s="93" t="s">
        <v>5082</v>
      </c>
      <c r="B3371" s="93" t="s">
        <v>5083</v>
      </c>
      <c r="C3371" s="410">
        <v>393.75</v>
      </c>
      <c r="D3371" s="93" t="s">
        <v>24</v>
      </c>
      <c r="E3371" s="93" t="s">
        <v>24</v>
      </c>
      <c r="F3371" s="93" t="s">
        <v>7070</v>
      </c>
      <c r="G3371" s="93" t="s">
        <v>8237</v>
      </c>
      <c r="H3371" s="93" t="s">
        <v>11</v>
      </c>
      <c r="I3371" s="93" t="s">
        <v>111</v>
      </c>
      <c r="J3371" s="93" t="s">
        <v>1675</v>
      </c>
      <c r="K3371" s="93">
        <v>60</v>
      </c>
      <c r="L3371" s="93" t="s">
        <v>111</v>
      </c>
      <c r="M3371" s="93">
        <v>1</v>
      </c>
      <c r="N3371" s="93" t="s">
        <v>113</v>
      </c>
      <c r="O3371" s="93">
        <v>7</v>
      </c>
      <c r="P3371" s="93">
        <v>6</v>
      </c>
      <c r="Q3371" s="93">
        <v>10</v>
      </c>
      <c r="R3371" s="93" t="s">
        <v>117</v>
      </c>
      <c r="S3371" s="93" t="s">
        <v>659</v>
      </c>
      <c r="T3371" s="93" t="s">
        <v>115</v>
      </c>
      <c r="U3371" s="93" t="s">
        <v>116</v>
      </c>
      <c r="V3371" s="94">
        <v>44628.513194444444</v>
      </c>
      <c r="W3371" s="93" t="s">
        <v>1555</v>
      </c>
      <c r="X3371" s="93" t="s">
        <v>24</v>
      </c>
    </row>
    <row r="3372" spans="1:24" hidden="1" x14ac:dyDescent="0.15">
      <c r="A3372" s="93" t="s">
        <v>5084</v>
      </c>
      <c r="B3372" s="93" t="s">
        <v>5085</v>
      </c>
      <c r="C3372" s="410">
        <v>761.25</v>
      </c>
      <c r="D3372" s="93" t="s">
        <v>9</v>
      </c>
      <c r="E3372" s="93" t="s">
        <v>9</v>
      </c>
      <c r="F3372" s="93" t="s">
        <v>1648</v>
      </c>
      <c r="G3372" s="93" t="s">
        <v>9117</v>
      </c>
      <c r="H3372" s="93" t="s">
        <v>1943</v>
      </c>
      <c r="I3372" s="93" t="s">
        <v>111</v>
      </c>
      <c r="J3372" s="93" t="s">
        <v>1675</v>
      </c>
      <c r="K3372" s="93">
        <v>60</v>
      </c>
      <c r="L3372" s="93" t="s">
        <v>111</v>
      </c>
      <c r="M3372" s="93">
        <v>3.5</v>
      </c>
      <c r="N3372" s="93" t="s">
        <v>113</v>
      </c>
      <c r="O3372" s="93">
        <v>10</v>
      </c>
      <c r="P3372" s="93">
        <v>30</v>
      </c>
      <c r="Q3372" s="93">
        <v>34</v>
      </c>
      <c r="R3372" s="93" t="s">
        <v>117</v>
      </c>
      <c r="S3372" s="93" t="s">
        <v>659</v>
      </c>
      <c r="T3372" s="93" t="s">
        <v>115</v>
      </c>
      <c r="U3372" s="93" t="s">
        <v>116</v>
      </c>
      <c r="V3372" s="94">
        <v>44628.598611111112</v>
      </c>
      <c r="W3372" s="93" t="s">
        <v>1555</v>
      </c>
      <c r="X3372" s="93" t="s">
        <v>24</v>
      </c>
    </row>
    <row r="3373" spans="1:24" hidden="1" x14ac:dyDescent="0.15">
      <c r="A3373" s="93" t="s">
        <v>5086</v>
      </c>
      <c r="B3373" s="93" t="s">
        <v>5087</v>
      </c>
      <c r="C3373" s="410">
        <v>761.25</v>
      </c>
      <c r="D3373" s="93" t="s">
        <v>9</v>
      </c>
      <c r="E3373" s="93" t="s">
        <v>9</v>
      </c>
      <c r="F3373" s="93" t="s">
        <v>1648</v>
      </c>
      <c r="G3373" s="93" t="s">
        <v>9117</v>
      </c>
      <c r="H3373" s="93" t="s">
        <v>1943</v>
      </c>
      <c r="I3373" s="93" t="s">
        <v>111</v>
      </c>
      <c r="J3373" s="93" t="s">
        <v>1675</v>
      </c>
      <c r="K3373" s="93">
        <v>60</v>
      </c>
      <c r="L3373" s="93" t="s">
        <v>111</v>
      </c>
      <c r="M3373" s="93">
        <v>3.5</v>
      </c>
      <c r="N3373" s="93" t="s">
        <v>113</v>
      </c>
      <c r="O3373" s="93">
        <v>10</v>
      </c>
      <c r="P3373" s="93">
        <v>30</v>
      </c>
      <c r="Q3373" s="93">
        <v>34</v>
      </c>
      <c r="R3373" s="93" t="s">
        <v>117</v>
      </c>
      <c r="S3373" s="93" t="s">
        <v>659</v>
      </c>
      <c r="T3373" s="93" t="s">
        <v>115</v>
      </c>
      <c r="U3373" s="93" t="s">
        <v>116</v>
      </c>
      <c r="V3373" s="94">
        <v>44628.511805555558</v>
      </c>
      <c r="W3373" s="93" t="s">
        <v>1555</v>
      </c>
      <c r="X3373" s="93" t="s">
        <v>24</v>
      </c>
    </row>
    <row r="3374" spans="1:24" hidden="1" x14ac:dyDescent="0.15">
      <c r="A3374" s="93" t="s">
        <v>5088</v>
      </c>
      <c r="B3374" s="93" t="s">
        <v>5089</v>
      </c>
      <c r="C3374" s="410">
        <v>761.25</v>
      </c>
      <c r="D3374" s="93" t="s">
        <v>9</v>
      </c>
      <c r="E3374" s="93" t="s">
        <v>9</v>
      </c>
      <c r="F3374" s="93" t="s">
        <v>1648</v>
      </c>
      <c r="G3374" s="93" t="s">
        <v>9117</v>
      </c>
      <c r="H3374" s="93" t="s">
        <v>1943</v>
      </c>
      <c r="I3374" s="93" t="s">
        <v>111</v>
      </c>
      <c r="J3374" s="93" t="s">
        <v>1675</v>
      </c>
      <c r="K3374" s="93">
        <v>60</v>
      </c>
      <c r="L3374" s="93" t="s">
        <v>111</v>
      </c>
      <c r="M3374" s="93">
        <v>3.5</v>
      </c>
      <c r="N3374" s="93" t="s">
        <v>113</v>
      </c>
      <c r="O3374" s="93">
        <v>10</v>
      </c>
      <c r="P3374" s="93">
        <v>30</v>
      </c>
      <c r="Q3374" s="93">
        <v>34</v>
      </c>
      <c r="R3374" s="93" t="s">
        <v>117</v>
      </c>
      <c r="S3374" s="93" t="s">
        <v>659</v>
      </c>
      <c r="T3374" s="93" t="s">
        <v>115</v>
      </c>
      <c r="U3374" s="93" t="s">
        <v>116</v>
      </c>
      <c r="V3374" s="94">
        <v>44628.489583333336</v>
      </c>
      <c r="W3374" s="93" t="s">
        <v>1555</v>
      </c>
      <c r="X3374" s="93" t="s">
        <v>24</v>
      </c>
    </row>
    <row r="3375" spans="1:24" hidden="1" x14ac:dyDescent="0.15">
      <c r="A3375" s="93" t="s">
        <v>5090</v>
      </c>
      <c r="B3375" s="93" t="s">
        <v>5091</v>
      </c>
      <c r="C3375" s="410">
        <v>761.25</v>
      </c>
      <c r="D3375" s="93" t="s">
        <v>9</v>
      </c>
      <c r="E3375" s="93" t="s">
        <v>9</v>
      </c>
      <c r="F3375" s="93" t="s">
        <v>1648</v>
      </c>
      <c r="G3375" s="93" t="s">
        <v>9117</v>
      </c>
      <c r="H3375" s="93" t="s">
        <v>1943</v>
      </c>
      <c r="I3375" s="93" t="s">
        <v>111</v>
      </c>
      <c r="J3375" s="93" t="s">
        <v>1675</v>
      </c>
      <c r="K3375" s="93">
        <v>60</v>
      </c>
      <c r="L3375" s="93" t="s">
        <v>111</v>
      </c>
      <c r="M3375" s="93">
        <v>3.5</v>
      </c>
      <c r="N3375" s="93" t="s">
        <v>113</v>
      </c>
      <c r="O3375" s="93">
        <v>10</v>
      </c>
      <c r="P3375" s="93">
        <v>30</v>
      </c>
      <c r="Q3375" s="93">
        <v>34</v>
      </c>
      <c r="R3375" s="93" t="s">
        <v>117</v>
      </c>
      <c r="S3375" s="93" t="s">
        <v>659</v>
      </c>
      <c r="T3375" s="93" t="s">
        <v>115</v>
      </c>
      <c r="U3375" s="93" t="s">
        <v>116</v>
      </c>
      <c r="V3375" s="94">
        <v>44628.598611111112</v>
      </c>
      <c r="W3375" s="93" t="s">
        <v>1555</v>
      </c>
      <c r="X3375" s="93" t="s">
        <v>24</v>
      </c>
    </row>
    <row r="3376" spans="1:24" hidden="1" x14ac:dyDescent="0.15">
      <c r="A3376" s="93" t="s">
        <v>5092</v>
      </c>
      <c r="B3376" s="93" t="s">
        <v>5093</v>
      </c>
      <c r="C3376" s="410">
        <v>761.25</v>
      </c>
      <c r="D3376" s="93" t="s">
        <v>9</v>
      </c>
      <c r="E3376" s="93" t="s">
        <v>9</v>
      </c>
      <c r="F3376" s="93" t="s">
        <v>1648</v>
      </c>
      <c r="G3376" s="93" t="s">
        <v>9117</v>
      </c>
      <c r="H3376" s="93" t="s">
        <v>1943</v>
      </c>
      <c r="I3376" s="93" t="s">
        <v>111</v>
      </c>
      <c r="J3376" s="93" t="s">
        <v>1675</v>
      </c>
      <c r="K3376" s="93">
        <v>60</v>
      </c>
      <c r="L3376" s="93" t="s">
        <v>111</v>
      </c>
      <c r="M3376" s="93">
        <v>3.5</v>
      </c>
      <c r="N3376" s="93" t="s">
        <v>113</v>
      </c>
      <c r="O3376" s="93">
        <v>10</v>
      </c>
      <c r="P3376" s="93">
        <v>30</v>
      </c>
      <c r="Q3376" s="93">
        <v>34</v>
      </c>
      <c r="R3376" s="93" t="s">
        <v>117</v>
      </c>
      <c r="S3376" s="93" t="s">
        <v>659</v>
      </c>
      <c r="T3376" s="93" t="s">
        <v>115</v>
      </c>
      <c r="U3376" s="93" t="s">
        <v>116</v>
      </c>
      <c r="V3376" s="94">
        <v>44628.489583333336</v>
      </c>
      <c r="W3376" s="93" t="s">
        <v>1555</v>
      </c>
      <c r="X3376" s="93" t="s">
        <v>24</v>
      </c>
    </row>
    <row r="3377" spans="1:24" hidden="1" x14ac:dyDescent="0.15">
      <c r="A3377" s="93" t="s">
        <v>5094</v>
      </c>
      <c r="B3377" s="93" t="s">
        <v>5095</v>
      </c>
      <c r="C3377" s="410">
        <v>761.25</v>
      </c>
      <c r="D3377" s="93" t="s">
        <v>9</v>
      </c>
      <c r="E3377" s="93" t="s">
        <v>9</v>
      </c>
      <c r="F3377" s="93" t="s">
        <v>1648</v>
      </c>
      <c r="G3377" s="93" t="s">
        <v>9117</v>
      </c>
      <c r="H3377" s="93" t="s">
        <v>1943</v>
      </c>
      <c r="I3377" s="93" t="s">
        <v>111</v>
      </c>
      <c r="J3377" s="93" t="s">
        <v>1675</v>
      </c>
      <c r="K3377" s="93">
        <v>60</v>
      </c>
      <c r="L3377" s="93" t="s">
        <v>111</v>
      </c>
      <c r="M3377" s="93">
        <v>3.5</v>
      </c>
      <c r="N3377" s="93" t="s">
        <v>113</v>
      </c>
      <c r="O3377" s="93">
        <v>10</v>
      </c>
      <c r="P3377" s="93">
        <v>30</v>
      </c>
      <c r="Q3377" s="93">
        <v>34</v>
      </c>
      <c r="R3377" s="93" t="s">
        <v>117</v>
      </c>
      <c r="S3377" s="93" t="s">
        <v>659</v>
      </c>
      <c r="T3377" s="93" t="s">
        <v>115</v>
      </c>
      <c r="U3377" s="93" t="s">
        <v>116</v>
      </c>
      <c r="V3377" s="94">
        <v>44628.554861111108</v>
      </c>
      <c r="W3377" s="93" t="s">
        <v>1555</v>
      </c>
      <c r="X3377" s="93" t="s">
        <v>24</v>
      </c>
    </row>
    <row r="3378" spans="1:24" hidden="1" x14ac:dyDescent="0.15">
      <c r="A3378" s="93" t="s">
        <v>5096</v>
      </c>
      <c r="B3378" s="93" t="s">
        <v>5097</v>
      </c>
      <c r="C3378" s="410">
        <v>761.25</v>
      </c>
      <c r="D3378" s="93" t="s">
        <v>9</v>
      </c>
      <c r="E3378" s="93" t="s">
        <v>9</v>
      </c>
      <c r="F3378" s="93" t="s">
        <v>1648</v>
      </c>
      <c r="G3378" s="93" t="s">
        <v>9117</v>
      </c>
      <c r="H3378" s="93" t="s">
        <v>1943</v>
      </c>
      <c r="I3378" s="93" t="s">
        <v>111</v>
      </c>
      <c r="J3378" s="93" t="s">
        <v>1675</v>
      </c>
      <c r="K3378" s="93">
        <v>60</v>
      </c>
      <c r="L3378" s="93" t="s">
        <v>111</v>
      </c>
      <c r="M3378" s="93">
        <v>3.5</v>
      </c>
      <c r="N3378" s="93" t="s">
        <v>113</v>
      </c>
      <c r="O3378" s="93">
        <v>10</v>
      </c>
      <c r="P3378" s="93">
        <v>30</v>
      </c>
      <c r="Q3378" s="93">
        <v>34</v>
      </c>
      <c r="R3378" s="93" t="s">
        <v>117</v>
      </c>
      <c r="S3378" s="93" t="s">
        <v>659</v>
      </c>
      <c r="T3378" s="93" t="s">
        <v>115</v>
      </c>
      <c r="U3378" s="93" t="s">
        <v>116</v>
      </c>
      <c r="V3378" s="94">
        <v>44628.554861111108</v>
      </c>
      <c r="W3378" s="93" t="s">
        <v>1555</v>
      </c>
      <c r="X3378" s="93" t="s">
        <v>24</v>
      </c>
    </row>
    <row r="3379" spans="1:24" hidden="1" x14ac:dyDescent="0.15">
      <c r="A3379" s="93" t="s">
        <v>5098</v>
      </c>
      <c r="B3379" s="93" t="s">
        <v>5099</v>
      </c>
      <c r="C3379" s="410">
        <v>761.25</v>
      </c>
      <c r="D3379" s="93" t="s">
        <v>9</v>
      </c>
      <c r="E3379" s="93" t="s">
        <v>9</v>
      </c>
      <c r="F3379" s="93" t="s">
        <v>1648</v>
      </c>
      <c r="G3379" s="93" t="s">
        <v>9117</v>
      </c>
      <c r="H3379" s="93" t="s">
        <v>1943</v>
      </c>
      <c r="I3379" s="93" t="s">
        <v>111</v>
      </c>
      <c r="J3379" s="93" t="s">
        <v>1675</v>
      </c>
      <c r="K3379" s="93">
        <v>60</v>
      </c>
      <c r="L3379" s="93" t="s">
        <v>111</v>
      </c>
      <c r="M3379" s="93">
        <v>3.5</v>
      </c>
      <c r="N3379" s="93" t="s">
        <v>113</v>
      </c>
      <c r="O3379" s="93">
        <v>10</v>
      </c>
      <c r="P3379" s="93">
        <v>30</v>
      </c>
      <c r="Q3379" s="93">
        <v>34</v>
      </c>
      <c r="R3379" s="93" t="s">
        <v>117</v>
      </c>
      <c r="S3379" s="93" t="s">
        <v>659</v>
      </c>
      <c r="T3379" s="93" t="s">
        <v>115</v>
      </c>
      <c r="U3379" s="93" t="s">
        <v>116</v>
      </c>
      <c r="V3379" s="94">
        <v>44628.554861111108</v>
      </c>
      <c r="W3379" s="93" t="s">
        <v>1555</v>
      </c>
      <c r="X3379" s="93" t="s">
        <v>24</v>
      </c>
    </row>
    <row r="3380" spans="1:24" hidden="1" x14ac:dyDescent="0.15">
      <c r="A3380" s="93" t="s">
        <v>5100</v>
      </c>
      <c r="B3380" s="93" t="s">
        <v>5101</v>
      </c>
      <c r="C3380" s="410">
        <v>761.25</v>
      </c>
      <c r="D3380" s="93" t="s">
        <v>9</v>
      </c>
      <c r="E3380" s="93" t="s">
        <v>9</v>
      </c>
      <c r="F3380" s="93" t="s">
        <v>1648</v>
      </c>
      <c r="G3380" s="93" t="s">
        <v>9117</v>
      </c>
      <c r="H3380" s="93" t="s">
        <v>1943</v>
      </c>
      <c r="I3380" s="93" t="s">
        <v>111</v>
      </c>
      <c r="J3380" s="93" t="s">
        <v>1675</v>
      </c>
      <c r="K3380" s="93">
        <v>60</v>
      </c>
      <c r="L3380" s="93" t="s">
        <v>111</v>
      </c>
      <c r="M3380" s="93">
        <v>3.5</v>
      </c>
      <c r="N3380" s="93" t="s">
        <v>113</v>
      </c>
      <c r="O3380" s="93">
        <v>10</v>
      </c>
      <c r="P3380" s="93">
        <v>30</v>
      </c>
      <c r="Q3380" s="93">
        <v>34</v>
      </c>
      <c r="R3380" s="93" t="s">
        <v>117</v>
      </c>
      <c r="S3380" s="93" t="s">
        <v>659</v>
      </c>
      <c r="T3380" s="93" t="s">
        <v>115</v>
      </c>
      <c r="U3380" s="93" t="s">
        <v>116</v>
      </c>
      <c r="V3380" s="94">
        <v>44628.533333333333</v>
      </c>
      <c r="W3380" s="93" t="s">
        <v>1555</v>
      </c>
      <c r="X3380" s="93" t="s">
        <v>24</v>
      </c>
    </row>
    <row r="3381" spans="1:24" hidden="1" x14ac:dyDescent="0.15">
      <c r="A3381" s="93" t="s">
        <v>5102</v>
      </c>
      <c r="B3381" s="93" t="s">
        <v>5103</v>
      </c>
      <c r="C3381" s="410">
        <v>761.25</v>
      </c>
      <c r="D3381" s="93" t="s">
        <v>9</v>
      </c>
      <c r="E3381" s="93" t="s">
        <v>9</v>
      </c>
      <c r="F3381" s="93" t="s">
        <v>1648</v>
      </c>
      <c r="G3381" s="93" t="s">
        <v>9117</v>
      </c>
      <c r="H3381" s="93" t="s">
        <v>1943</v>
      </c>
      <c r="I3381" s="93" t="s">
        <v>111</v>
      </c>
      <c r="J3381" s="93" t="s">
        <v>1675</v>
      </c>
      <c r="K3381" s="93">
        <v>60</v>
      </c>
      <c r="L3381" s="93" t="s">
        <v>111</v>
      </c>
      <c r="M3381" s="93">
        <v>3.5</v>
      </c>
      <c r="N3381" s="93" t="s">
        <v>113</v>
      </c>
      <c r="O3381" s="93">
        <v>10</v>
      </c>
      <c r="P3381" s="93">
        <v>30</v>
      </c>
      <c r="Q3381" s="93">
        <v>34</v>
      </c>
      <c r="R3381" s="93" t="s">
        <v>117</v>
      </c>
      <c r="S3381" s="93" t="s">
        <v>659</v>
      </c>
      <c r="T3381" s="93" t="s">
        <v>115</v>
      </c>
      <c r="U3381" s="93" t="s">
        <v>116</v>
      </c>
      <c r="V3381" s="94">
        <v>44628.46875</v>
      </c>
      <c r="W3381" s="93" t="s">
        <v>1555</v>
      </c>
      <c r="X3381" s="93" t="s">
        <v>24</v>
      </c>
    </row>
    <row r="3382" spans="1:24" hidden="1" x14ac:dyDescent="0.15">
      <c r="A3382" s="93" t="s">
        <v>5104</v>
      </c>
      <c r="B3382" s="93" t="s">
        <v>5105</v>
      </c>
      <c r="C3382" s="410">
        <v>761.25</v>
      </c>
      <c r="D3382" s="93" t="s">
        <v>9</v>
      </c>
      <c r="E3382" s="93" t="s">
        <v>9</v>
      </c>
      <c r="F3382" s="93" t="s">
        <v>1648</v>
      </c>
      <c r="G3382" s="93" t="s">
        <v>9117</v>
      </c>
      <c r="H3382" s="93" t="s">
        <v>1943</v>
      </c>
      <c r="I3382" s="93" t="s">
        <v>111</v>
      </c>
      <c r="J3382" s="93" t="s">
        <v>1675</v>
      </c>
      <c r="K3382" s="93">
        <v>60</v>
      </c>
      <c r="L3382" s="93" t="s">
        <v>111</v>
      </c>
      <c r="M3382" s="93">
        <v>3.5</v>
      </c>
      <c r="N3382" s="93" t="s">
        <v>113</v>
      </c>
      <c r="O3382" s="93">
        <v>10</v>
      </c>
      <c r="P3382" s="93">
        <v>30</v>
      </c>
      <c r="Q3382" s="93">
        <v>34</v>
      </c>
      <c r="R3382" s="93" t="s">
        <v>117</v>
      </c>
      <c r="S3382" s="93" t="s">
        <v>659</v>
      </c>
      <c r="T3382" s="93" t="s">
        <v>115</v>
      </c>
      <c r="U3382" s="93" t="s">
        <v>116</v>
      </c>
      <c r="V3382" s="94">
        <v>44628.489583333336</v>
      </c>
      <c r="W3382" s="93" t="s">
        <v>1555</v>
      </c>
      <c r="X3382" s="93" t="s">
        <v>24</v>
      </c>
    </row>
    <row r="3383" spans="1:24" hidden="1" x14ac:dyDescent="0.15">
      <c r="A3383" s="93" t="s">
        <v>5106</v>
      </c>
      <c r="B3383" s="93" t="s">
        <v>5107</v>
      </c>
      <c r="C3383" s="410">
        <v>761.25</v>
      </c>
      <c r="D3383" s="93" t="s">
        <v>9</v>
      </c>
      <c r="E3383" s="93" t="s">
        <v>9</v>
      </c>
      <c r="F3383" s="93" t="s">
        <v>1648</v>
      </c>
      <c r="G3383" s="93" t="s">
        <v>9117</v>
      </c>
      <c r="H3383" s="93" t="s">
        <v>1943</v>
      </c>
      <c r="I3383" s="93" t="s">
        <v>111</v>
      </c>
      <c r="J3383" s="93" t="s">
        <v>1675</v>
      </c>
      <c r="K3383" s="93">
        <v>60</v>
      </c>
      <c r="L3383" s="93" t="s">
        <v>111</v>
      </c>
      <c r="M3383" s="93">
        <v>3.5</v>
      </c>
      <c r="N3383" s="93" t="s">
        <v>113</v>
      </c>
      <c r="O3383" s="93">
        <v>10</v>
      </c>
      <c r="P3383" s="93">
        <v>30</v>
      </c>
      <c r="Q3383" s="93">
        <v>34</v>
      </c>
      <c r="R3383" s="93" t="s">
        <v>117</v>
      </c>
      <c r="S3383" s="93" t="s">
        <v>659</v>
      </c>
      <c r="T3383" s="93" t="s">
        <v>115</v>
      </c>
      <c r="U3383" s="93" t="s">
        <v>116</v>
      </c>
      <c r="V3383" s="94">
        <v>44628.576388888891</v>
      </c>
      <c r="W3383" s="93" t="s">
        <v>1555</v>
      </c>
      <c r="X3383" s="93" t="s">
        <v>24</v>
      </c>
    </row>
    <row r="3384" spans="1:24" hidden="1" x14ac:dyDescent="0.15">
      <c r="A3384" s="93" t="s">
        <v>5108</v>
      </c>
      <c r="B3384" s="93" t="s">
        <v>5109</v>
      </c>
      <c r="C3384" s="410">
        <v>761.25</v>
      </c>
      <c r="D3384" s="93" t="s">
        <v>9</v>
      </c>
      <c r="E3384" s="93" t="s">
        <v>9</v>
      </c>
      <c r="F3384" s="93" t="s">
        <v>1648</v>
      </c>
      <c r="G3384" s="93" t="s">
        <v>9117</v>
      </c>
      <c r="H3384" s="93" t="s">
        <v>1943</v>
      </c>
      <c r="I3384" s="93" t="s">
        <v>111</v>
      </c>
      <c r="J3384" s="93" t="s">
        <v>1675</v>
      </c>
      <c r="K3384" s="93">
        <v>60</v>
      </c>
      <c r="L3384" s="93" t="s">
        <v>111</v>
      </c>
      <c r="M3384" s="93">
        <v>3.5</v>
      </c>
      <c r="N3384" s="93" t="s">
        <v>113</v>
      </c>
      <c r="O3384" s="93">
        <v>10</v>
      </c>
      <c r="P3384" s="93">
        <v>30</v>
      </c>
      <c r="Q3384" s="93">
        <v>34</v>
      </c>
      <c r="R3384" s="93" t="s">
        <v>117</v>
      </c>
      <c r="S3384" s="93" t="s">
        <v>659</v>
      </c>
      <c r="T3384" s="93" t="s">
        <v>115</v>
      </c>
      <c r="U3384" s="93" t="s">
        <v>116</v>
      </c>
      <c r="V3384" s="94">
        <v>44628.598611111112</v>
      </c>
      <c r="W3384" s="93" t="s">
        <v>1555</v>
      </c>
      <c r="X3384" s="93" t="s">
        <v>24</v>
      </c>
    </row>
    <row r="3385" spans="1:24" hidden="1" x14ac:dyDescent="0.15">
      <c r="A3385" s="93" t="s">
        <v>5110</v>
      </c>
      <c r="B3385" s="93" t="s">
        <v>5111</v>
      </c>
      <c r="C3385" s="410">
        <v>761.25</v>
      </c>
      <c r="D3385" s="93" t="s">
        <v>9</v>
      </c>
      <c r="E3385" s="93" t="s">
        <v>9</v>
      </c>
      <c r="F3385" s="93" t="s">
        <v>1648</v>
      </c>
      <c r="G3385" s="93" t="s">
        <v>9117</v>
      </c>
      <c r="H3385" s="93" t="s">
        <v>1943</v>
      </c>
      <c r="I3385" s="93" t="s">
        <v>111</v>
      </c>
      <c r="J3385" s="93" t="s">
        <v>1675</v>
      </c>
      <c r="K3385" s="93">
        <v>60</v>
      </c>
      <c r="L3385" s="93" t="s">
        <v>111</v>
      </c>
      <c r="M3385" s="93">
        <v>3.5</v>
      </c>
      <c r="N3385" s="93" t="s">
        <v>113</v>
      </c>
      <c r="O3385" s="93">
        <v>10</v>
      </c>
      <c r="P3385" s="93">
        <v>30</v>
      </c>
      <c r="Q3385" s="93">
        <v>34</v>
      </c>
      <c r="R3385" s="93" t="s">
        <v>117</v>
      </c>
      <c r="S3385" s="93" t="s">
        <v>659</v>
      </c>
      <c r="T3385" s="93" t="s">
        <v>115</v>
      </c>
      <c r="U3385" s="93" t="s">
        <v>116</v>
      </c>
      <c r="V3385" s="94">
        <v>44628.533333333333</v>
      </c>
      <c r="W3385" s="93" t="s">
        <v>1555</v>
      </c>
      <c r="X3385" s="93" t="s">
        <v>24</v>
      </c>
    </row>
    <row r="3386" spans="1:24" hidden="1" x14ac:dyDescent="0.15">
      <c r="A3386" s="93" t="s">
        <v>5112</v>
      </c>
      <c r="B3386" s="93" t="s">
        <v>5113</v>
      </c>
      <c r="C3386" s="410">
        <v>525</v>
      </c>
      <c r="D3386" s="93" t="s">
        <v>9</v>
      </c>
      <c r="E3386" s="93" t="s">
        <v>9</v>
      </c>
      <c r="F3386" s="93" t="s">
        <v>1648</v>
      </c>
      <c r="G3386" s="93" t="s">
        <v>9183</v>
      </c>
      <c r="H3386" s="93" t="s">
        <v>1943</v>
      </c>
      <c r="I3386" s="93" t="s">
        <v>1229</v>
      </c>
      <c r="J3386" s="93" t="s">
        <v>1675</v>
      </c>
      <c r="K3386" s="93">
        <v>60</v>
      </c>
      <c r="L3386" s="93" t="s">
        <v>111</v>
      </c>
      <c r="M3386" s="93">
        <v>9</v>
      </c>
      <c r="N3386" s="93" t="s">
        <v>113</v>
      </c>
      <c r="O3386" s="93">
        <v>21.8</v>
      </c>
      <c r="P3386" s="93">
        <v>31.8</v>
      </c>
      <c r="Q3386" s="93">
        <v>46.3</v>
      </c>
      <c r="R3386" s="93" t="s">
        <v>117</v>
      </c>
      <c r="S3386" s="93" t="s">
        <v>659</v>
      </c>
      <c r="T3386" s="93" t="s">
        <v>115</v>
      </c>
      <c r="U3386" s="93" t="s">
        <v>116</v>
      </c>
      <c r="V3386" s="94">
        <v>44628.511805555558</v>
      </c>
      <c r="W3386" s="93" t="s">
        <v>1555</v>
      </c>
      <c r="X3386" s="93" t="s">
        <v>9</v>
      </c>
    </row>
    <row r="3387" spans="1:24" hidden="1" x14ac:dyDescent="0.15">
      <c r="A3387" s="93" t="s">
        <v>5114</v>
      </c>
      <c r="B3387" s="93" t="s">
        <v>5115</v>
      </c>
      <c r="C3387" s="410">
        <v>525</v>
      </c>
      <c r="D3387" s="93" t="s">
        <v>9</v>
      </c>
      <c r="E3387" s="93" t="s">
        <v>9</v>
      </c>
      <c r="F3387" s="93" t="s">
        <v>1648</v>
      </c>
      <c r="G3387" s="93" t="s">
        <v>9183</v>
      </c>
      <c r="H3387" s="93" t="s">
        <v>1943</v>
      </c>
      <c r="I3387" s="93" t="s">
        <v>1229</v>
      </c>
      <c r="J3387" s="93" t="s">
        <v>1675</v>
      </c>
      <c r="K3387" s="93">
        <v>60</v>
      </c>
      <c r="L3387" s="93" t="s">
        <v>111</v>
      </c>
      <c r="M3387" s="93">
        <v>9</v>
      </c>
      <c r="N3387" s="93" t="s">
        <v>113</v>
      </c>
      <c r="O3387" s="93">
        <v>21.8</v>
      </c>
      <c r="P3387" s="93">
        <v>31.8</v>
      </c>
      <c r="Q3387" s="93">
        <v>46.3</v>
      </c>
      <c r="R3387" s="93" t="s">
        <v>117</v>
      </c>
      <c r="S3387" s="93" t="s">
        <v>659</v>
      </c>
      <c r="T3387" s="93" t="s">
        <v>115</v>
      </c>
      <c r="U3387" s="93" t="s">
        <v>116</v>
      </c>
      <c r="V3387" s="94">
        <v>44628.634027777778</v>
      </c>
      <c r="W3387" s="93" t="s">
        <v>1555</v>
      </c>
      <c r="X3387" s="93" t="s">
        <v>9</v>
      </c>
    </row>
    <row r="3388" spans="1:24" hidden="1" x14ac:dyDescent="0.15">
      <c r="A3388" s="93" t="s">
        <v>5116</v>
      </c>
      <c r="B3388" s="93" t="s">
        <v>5117</v>
      </c>
      <c r="C3388" s="410">
        <v>525</v>
      </c>
      <c r="D3388" s="93" t="s">
        <v>9</v>
      </c>
      <c r="E3388" s="93" t="s">
        <v>9</v>
      </c>
      <c r="F3388" s="93" t="s">
        <v>1648</v>
      </c>
      <c r="G3388" s="93" t="s">
        <v>9183</v>
      </c>
      <c r="H3388" s="93" t="s">
        <v>1943</v>
      </c>
      <c r="I3388" s="93" t="s">
        <v>1229</v>
      </c>
      <c r="J3388" s="93" t="s">
        <v>1675</v>
      </c>
      <c r="K3388" s="93">
        <v>60</v>
      </c>
      <c r="L3388" s="93" t="s">
        <v>111</v>
      </c>
      <c r="M3388" s="93">
        <v>9</v>
      </c>
      <c r="N3388" s="93" t="s">
        <v>113</v>
      </c>
      <c r="O3388" s="93">
        <v>21.8</v>
      </c>
      <c r="P3388" s="93">
        <v>31.8</v>
      </c>
      <c r="Q3388" s="93">
        <v>46.3</v>
      </c>
      <c r="R3388" s="93" t="s">
        <v>117</v>
      </c>
      <c r="S3388" s="93" t="s">
        <v>659</v>
      </c>
      <c r="T3388" s="93" t="s">
        <v>115</v>
      </c>
      <c r="U3388" s="93" t="s">
        <v>116</v>
      </c>
      <c r="V3388" s="94">
        <v>44628.489583333336</v>
      </c>
      <c r="W3388" s="93" t="s">
        <v>1555</v>
      </c>
      <c r="X3388" s="93" t="s">
        <v>24</v>
      </c>
    </row>
    <row r="3389" spans="1:24" hidden="1" x14ac:dyDescent="0.15">
      <c r="A3389" s="93" t="s">
        <v>5118</v>
      </c>
      <c r="B3389" s="93" t="s">
        <v>5119</v>
      </c>
      <c r="C3389" s="410">
        <v>525</v>
      </c>
      <c r="D3389" s="93" t="s">
        <v>9</v>
      </c>
      <c r="E3389" s="93" t="s">
        <v>9</v>
      </c>
      <c r="F3389" s="93" t="s">
        <v>1648</v>
      </c>
      <c r="G3389" s="93" t="s">
        <v>9183</v>
      </c>
      <c r="H3389" s="93" t="s">
        <v>1943</v>
      </c>
      <c r="I3389" s="93" t="s">
        <v>1229</v>
      </c>
      <c r="J3389" s="93" t="s">
        <v>1675</v>
      </c>
      <c r="K3389" s="93">
        <v>60</v>
      </c>
      <c r="L3389" s="93" t="s">
        <v>111</v>
      </c>
      <c r="M3389" s="93">
        <v>9</v>
      </c>
      <c r="N3389" s="93" t="s">
        <v>113</v>
      </c>
      <c r="O3389" s="93">
        <v>21.8</v>
      </c>
      <c r="P3389" s="93">
        <v>31.8</v>
      </c>
      <c r="Q3389" s="93">
        <v>46.3</v>
      </c>
      <c r="R3389" s="93" t="s">
        <v>117</v>
      </c>
      <c r="S3389" s="93" t="s">
        <v>659</v>
      </c>
      <c r="T3389" s="93" t="s">
        <v>115</v>
      </c>
      <c r="U3389" s="93" t="s">
        <v>116</v>
      </c>
      <c r="V3389" s="94">
        <v>44628.511805555558</v>
      </c>
      <c r="W3389" s="93" t="s">
        <v>1555</v>
      </c>
      <c r="X3389" s="93" t="s">
        <v>24</v>
      </c>
    </row>
    <row r="3390" spans="1:24" hidden="1" x14ac:dyDescent="0.15">
      <c r="A3390" s="93" t="s">
        <v>5120</v>
      </c>
      <c r="B3390" s="93" t="s">
        <v>5121</v>
      </c>
      <c r="C3390" s="410">
        <v>525</v>
      </c>
      <c r="D3390" s="93" t="s">
        <v>9</v>
      </c>
      <c r="E3390" s="93" t="s">
        <v>9</v>
      </c>
      <c r="F3390" s="93" t="s">
        <v>1648</v>
      </c>
      <c r="G3390" s="93" t="s">
        <v>9183</v>
      </c>
      <c r="H3390" s="93" t="s">
        <v>1943</v>
      </c>
      <c r="I3390" s="93" t="s">
        <v>1229</v>
      </c>
      <c r="J3390" s="93" t="s">
        <v>1675</v>
      </c>
      <c r="K3390" s="93">
        <v>60</v>
      </c>
      <c r="L3390" s="93" t="s">
        <v>111</v>
      </c>
      <c r="M3390" s="93">
        <v>9</v>
      </c>
      <c r="N3390" s="93" t="s">
        <v>113</v>
      </c>
      <c r="O3390" s="93">
        <v>21.8</v>
      </c>
      <c r="P3390" s="93">
        <v>31.8</v>
      </c>
      <c r="Q3390" s="93">
        <v>46.3</v>
      </c>
      <c r="R3390" s="93" t="s">
        <v>117</v>
      </c>
      <c r="S3390" s="93" t="s">
        <v>659</v>
      </c>
      <c r="T3390" s="93" t="s">
        <v>115</v>
      </c>
      <c r="U3390" s="93" t="s">
        <v>116</v>
      </c>
      <c r="V3390" s="94">
        <v>44628.533333333333</v>
      </c>
      <c r="W3390" s="93" t="s">
        <v>1555</v>
      </c>
      <c r="X3390" s="93" t="s">
        <v>24</v>
      </c>
    </row>
    <row r="3391" spans="1:24" hidden="1" x14ac:dyDescent="0.15">
      <c r="A3391" s="93" t="s">
        <v>5122</v>
      </c>
      <c r="B3391" s="93" t="s">
        <v>5123</v>
      </c>
      <c r="C3391" s="410">
        <v>525</v>
      </c>
      <c r="D3391" s="93" t="s">
        <v>9</v>
      </c>
      <c r="E3391" s="93" t="s">
        <v>9</v>
      </c>
      <c r="F3391" s="93" t="s">
        <v>1648</v>
      </c>
      <c r="G3391" s="93" t="s">
        <v>9183</v>
      </c>
      <c r="H3391" s="93" t="s">
        <v>1943</v>
      </c>
      <c r="I3391" s="93" t="s">
        <v>1229</v>
      </c>
      <c r="J3391" s="93" t="s">
        <v>1675</v>
      </c>
      <c r="K3391" s="93">
        <v>60</v>
      </c>
      <c r="L3391" s="93" t="s">
        <v>111</v>
      </c>
      <c r="M3391" s="93">
        <v>9</v>
      </c>
      <c r="N3391" s="93" t="s">
        <v>113</v>
      </c>
      <c r="O3391" s="93">
        <v>21.8</v>
      </c>
      <c r="P3391" s="93">
        <v>31.8</v>
      </c>
      <c r="Q3391" s="93">
        <v>46.3</v>
      </c>
      <c r="R3391" s="93" t="s">
        <v>117</v>
      </c>
      <c r="S3391" s="93" t="s">
        <v>659</v>
      </c>
      <c r="T3391" s="93" t="s">
        <v>115</v>
      </c>
      <c r="U3391" s="93" t="s">
        <v>116</v>
      </c>
      <c r="V3391" s="94">
        <v>44628.576388888891</v>
      </c>
      <c r="W3391" s="93" t="s">
        <v>1555</v>
      </c>
      <c r="X3391" s="93" t="s">
        <v>24</v>
      </c>
    </row>
    <row r="3392" spans="1:24" hidden="1" x14ac:dyDescent="0.15">
      <c r="A3392" s="93" t="s">
        <v>5124</v>
      </c>
      <c r="B3392" s="93" t="s">
        <v>5125</v>
      </c>
      <c r="C3392" s="410">
        <v>525</v>
      </c>
      <c r="D3392" s="93" t="s">
        <v>9</v>
      </c>
      <c r="E3392" s="93" t="s">
        <v>9</v>
      </c>
      <c r="F3392" s="93" t="s">
        <v>1648</v>
      </c>
      <c r="G3392" s="93" t="s">
        <v>9183</v>
      </c>
      <c r="H3392" s="93" t="s">
        <v>1943</v>
      </c>
      <c r="I3392" s="93" t="s">
        <v>1229</v>
      </c>
      <c r="J3392" s="93" t="s">
        <v>1675</v>
      </c>
      <c r="K3392" s="93">
        <v>60</v>
      </c>
      <c r="L3392" s="93" t="s">
        <v>111</v>
      </c>
      <c r="M3392" s="93">
        <v>9</v>
      </c>
      <c r="N3392" s="93" t="s">
        <v>113</v>
      </c>
      <c r="O3392" s="93">
        <v>21.8</v>
      </c>
      <c r="P3392" s="93">
        <v>31.8</v>
      </c>
      <c r="Q3392" s="93">
        <v>46.3</v>
      </c>
      <c r="R3392" s="93" t="s">
        <v>117</v>
      </c>
      <c r="S3392" s="93" t="s">
        <v>659</v>
      </c>
      <c r="T3392" s="93" t="s">
        <v>115</v>
      </c>
      <c r="U3392" s="93" t="s">
        <v>116</v>
      </c>
      <c r="V3392" s="94">
        <v>44628.511805555558</v>
      </c>
      <c r="W3392" s="93" t="s">
        <v>1555</v>
      </c>
      <c r="X3392" s="93" t="s">
        <v>24</v>
      </c>
    </row>
    <row r="3393" spans="1:24" hidden="1" x14ac:dyDescent="0.15">
      <c r="A3393" s="93" t="s">
        <v>5126</v>
      </c>
      <c r="B3393" s="93" t="s">
        <v>5127</v>
      </c>
      <c r="C3393" s="410">
        <v>525</v>
      </c>
      <c r="D3393" s="93" t="s">
        <v>9</v>
      </c>
      <c r="E3393" s="93" t="s">
        <v>9</v>
      </c>
      <c r="F3393" s="93" t="s">
        <v>1648</v>
      </c>
      <c r="G3393" s="93" t="s">
        <v>9183</v>
      </c>
      <c r="H3393" s="93" t="s">
        <v>1943</v>
      </c>
      <c r="I3393" s="93" t="s">
        <v>1229</v>
      </c>
      <c r="J3393" s="93" t="s">
        <v>1675</v>
      </c>
      <c r="K3393" s="93">
        <v>60</v>
      </c>
      <c r="L3393" s="93" t="s">
        <v>111</v>
      </c>
      <c r="M3393" s="93">
        <v>9</v>
      </c>
      <c r="N3393" s="93" t="s">
        <v>113</v>
      </c>
      <c r="O3393" s="93">
        <v>21.8</v>
      </c>
      <c r="P3393" s="93">
        <v>31.8</v>
      </c>
      <c r="Q3393" s="93">
        <v>46.3</v>
      </c>
      <c r="R3393" s="93" t="s">
        <v>117</v>
      </c>
      <c r="S3393" s="93" t="s">
        <v>659</v>
      </c>
      <c r="T3393" s="93" t="s">
        <v>115</v>
      </c>
      <c r="U3393" s="93" t="s">
        <v>116</v>
      </c>
      <c r="V3393" s="94">
        <v>44628.598611111112</v>
      </c>
      <c r="W3393" s="93" t="s">
        <v>1555</v>
      </c>
      <c r="X3393" s="93" t="s">
        <v>24</v>
      </c>
    </row>
    <row r="3394" spans="1:24" hidden="1" x14ac:dyDescent="0.15">
      <c r="A3394" s="93" t="s">
        <v>5128</v>
      </c>
      <c r="B3394" s="93" t="s">
        <v>5129</v>
      </c>
      <c r="C3394" s="410">
        <v>525</v>
      </c>
      <c r="D3394" s="93" t="s">
        <v>9</v>
      </c>
      <c r="E3394" s="93" t="s">
        <v>9</v>
      </c>
      <c r="F3394" s="93" t="s">
        <v>1648</v>
      </c>
      <c r="G3394" s="93" t="s">
        <v>9183</v>
      </c>
      <c r="H3394" s="93" t="s">
        <v>1943</v>
      </c>
      <c r="I3394" s="93" t="s">
        <v>1229</v>
      </c>
      <c r="J3394" s="93" t="s">
        <v>1675</v>
      </c>
      <c r="K3394" s="93">
        <v>60</v>
      </c>
      <c r="L3394" s="93" t="s">
        <v>111</v>
      </c>
      <c r="M3394" s="93">
        <v>9</v>
      </c>
      <c r="N3394" s="93" t="s">
        <v>113</v>
      </c>
      <c r="O3394" s="93">
        <v>21.8</v>
      </c>
      <c r="P3394" s="93">
        <v>31.8</v>
      </c>
      <c r="Q3394" s="93">
        <v>46.3</v>
      </c>
      <c r="R3394" s="93" t="s">
        <v>117</v>
      </c>
      <c r="S3394" s="93" t="s">
        <v>659</v>
      </c>
      <c r="T3394" s="93" t="s">
        <v>115</v>
      </c>
      <c r="U3394" s="93" t="s">
        <v>116</v>
      </c>
      <c r="V3394" s="94">
        <v>44628.489583333336</v>
      </c>
      <c r="W3394" s="93" t="s">
        <v>1555</v>
      </c>
      <c r="X3394" s="93" t="s">
        <v>24</v>
      </c>
    </row>
    <row r="3395" spans="1:24" hidden="1" x14ac:dyDescent="0.15">
      <c r="A3395" s="93" t="s">
        <v>5130</v>
      </c>
      <c r="B3395" s="93" t="s">
        <v>5131</v>
      </c>
      <c r="C3395" s="410">
        <v>525</v>
      </c>
      <c r="D3395" s="93" t="s">
        <v>9</v>
      </c>
      <c r="E3395" s="93" t="s">
        <v>9</v>
      </c>
      <c r="F3395" s="93" t="s">
        <v>1648</v>
      </c>
      <c r="G3395" s="93" t="s">
        <v>9183</v>
      </c>
      <c r="H3395" s="93" t="s">
        <v>1943</v>
      </c>
      <c r="I3395" s="93" t="s">
        <v>1229</v>
      </c>
      <c r="J3395" s="93" t="s">
        <v>1675</v>
      </c>
      <c r="K3395" s="93">
        <v>60</v>
      </c>
      <c r="L3395" s="93" t="s">
        <v>111</v>
      </c>
      <c r="M3395" s="93">
        <v>9</v>
      </c>
      <c r="N3395" s="93" t="s">
        <v>113</v>
      </c>
      <c r="O3395" s="93">
        <v>21.8</v>
      </c>
      <c r="P3395" s="93">
        <v>31.8</v>
      </c>
      <c r="Q3395" s="93">
        <v>46.3</v>
      </c>
      <c r="R3395" s="93" t="s">
        <v>117</v>
      </c>
      <c r="S3395" s="93" t="s">
        <v>659</v>
      </c>
      <c r="T3395" s="93" t="s">
        <v>115</v>
      </c>
      <c r="U3395" s="93" t="s">
        <v>116</v>
      </c>
      <c r="V3395" s="94">
        <v>44628.489583333336</v>
      </c>
      <c r="W3395" s="93" t="s">
        <v>1555</v>
      </c>
      <c r="X3395" s="93" t="s">
        <v>24</v>
      </c>
    </row>
    <row r="3396" spans="1:24" hidden="1" x14ac:dyDescent="0.15">
      <c r="A3396" s="93" t="s">
        <v>5132</v>
      </c>
      <c r="B3396" s="93" t="s">
        <v>5133</v>
      </c>
      <c r="C3396" s="410">
        <v>525</v>
      </c>
      <c r="D3396" s="93" t="s">
        <v>9</v>
      </c>
      <c r="E3396" s="93" t="s">
        <v>9</v>
      </c>
      <c r="F3396" s="93" t="s">
        <v>1648</v>
      </c>
      <c r="G3396" s="93" t="s">
        <v>9183</v>
      </c>
      <c r="H3396" s="93" t="s">
        <v>1943</v>
      </c>
      <c r="I3396" s="93" t="s">
        <v>1229</v>
      </c>
      <c r="J3396" s="93" t="s">
        <v>1675</v>
      </c>
      <c r="K3396" s="93">
        <v>60</v>
      </c>
      <c r="L3396" s="93" t="s">
        <v>111</v>
      </c>
      <c r="M3396" s="93">
        <v>9</v>
      </c>
      <c r="N3396" s="93" t="s">
        <v>113</v>
      </c>
      <c r="O3396" s="93">
        <v>21.8</v>
      </c>
      <c r="P3396" s="93">
        <v>31.8</v>
      </c>
      <c r="Q3396" s="93">
        <v>46.3</v>
      </c>
      <c r="R3396" s="93" t="s">
        <v>117</v>
      </c>
      <c r="S3396" s="93" t="s">
        <v>659</v>
      </c>
      <c r="T3396" s="93" t="s">
        <v>115</v>
      </c>
      <c r="U3396" s="93" t="s">
        <v>116</v>
      </c>
      <c r="V3396" s="94">
        <v>44628.46875</v>
      </c>
      <c r="W3396" s="93" t="s">
        <v>1555</v>
      </c>
      <c r="X3396" s="93" t="s">
        <v>24</v>
      </c>
    </row>
    <row r="3397" spans="1:24" hidden="1" x14ac:dyDescent="0.15">
      <c r="A3397" s="93" t="s">
        <v>5134</v>
      </c>
      <c r="B3397" s="93" t="s">
        <v>5135</v>
      </c>
      <c r="C3397" s="410">
        <v>525</v>
      </c>
      <c r="D3397" s="93" t="s">
        <v>9</v>
      </c>
      <c r="E3397" s="93" t="s">
        <v>9</v>
      </c>
      <c r="F3397" s="93" t="s">
        <v>1648</v>
      </c>
      <c r="G3397" s="93" t="s">
        <v>9183</v>
      </c>
      <c r="H3397" s="93" t="s">
        <v>1943</v>
      </c>
      <c r="I3397" s="93" t="s">
        <v>1229</v>
      </c>
      <c r="J3397" s="93" t="s">
        <v>1675</v>
      </c>
      <c r="K3397" s="93">
        <v>60</v>
      </c>
      <c r="L3397" s="93" t="s">
        <v>111</v>
      </c>
      <c r="M3397" s="93">
        <v>9</v>
      </c>
      <c r="N3397" s="93" t="s">
        <v>113</v>
      </c>
      <c r="O3397" s="93">
        <v>21.8</v>
      </c>
      <c r="P3397" s="93">
        <v>31.8</v>
      </c>
      <c r="Q3397" s="93">
        <v>46.3</v>
      </c>
      <c r="R3397" s="93" t="s">
        <v>117</v>
      </c>
      <c r="S3397" s="93" t="s">
        <v>659</v>
      </c>
      <c r="T3397" s="93" t="s">
        <v>115</v>
      </c>
      <c r="U3397" s="93" t="s">
        <v>116</v>
      </c>
      <c r="V3397" s="94">
        <v>44628.633333333331</v>
      </c>
      <c r="W3397" s="93" t="s">
        <v>1555</v>
      </c>
      <c r="X3397" s="93" t="s">
        <v>24</v>
      </c>
    </row>
    <row r="3398" spans="1:24" hidden="1" x14ac:dyDescent="0.15">
      <c r="A3398" s="93" t="s">
        <v>5136</v>
      </c>
      <c r="B3398" s="93" t="s">
        <v>5137</v>
      </c>
      <c r="C3398" s="410">
        <v>525</v>
      </c>
      <c r="D3398" s="93" t="s">
        <v>9</v>
      </c>
      <c r="E3398" s="93" t="s">
        <v>9</v>
      </c>
      <c r="F3398" s="93" t="s">
        <v>1648</v>
      </c>
      <c r="G3398" s="93" t="s">
        <v>9183</v>
      </c>
      <c r="H3398" s="93" t="s">
        <v>1943</v>
      </c>
      <c r="I3398" s="93" t="s">
        <v>1229</v>
      </c>
      <c r="J3398" s="93" t="s">
        <v>1675</v>
      </c>
      <c r="K3398" s="93">
        <v>60</v>
      </c>
      <c r="L3398" s="93" t="s">
        <v>111</v>
      </c>
      <c r="M3398" s="93">
        <v>9</v>
      </c>
      <c r="N3398" s="93" t="s">
        <v>113</v>
      </c>
      <c r="O3398" s="93">
        <v>21.8</v>
      </c>
      <c r="P3398" s="93">
        <v>31.8</v>
      </c>
      <c r="Q3398" s="93">
        <v>46.3</v>
      </c>
      <c r="R3398" s="93" t="s">
        <v>117</v>
      </c>
      <c r="S3398" s="93" t="s">
        <v>659</v>
      </c>
      <c r="T3398" s="93" t="s">
        <v>115</v>
      </c>
      <c r="U3398" s="93" t="s">
        <v>116</v>
      </c>
      <c r="V3398" s="94">
        <v>44628.576388888891</v>
      </c>
      <c r="W3398" s="93" t="s">
        <v>1555</v>
      </c>
      <c r="X3398" s="93" t="s">
        <v>9</v>
      </c>
    </row>
    <row r="3399" spans="1:24" hidden="1" x14ac:dyDescent="0.15">
      <c r="A3399" s="93" t="s">
        <v>5138</v>
      </c>
      <c r="B3399" s="93" t="s">
        <v>5139</v>
      </c>
      <c r="C3399" s="410">
        <v>525</v>
      </c>
      <c r="D3399" s="93" t="s">
        <v>9</v>
      </c>
      <c r="E3399" s="93" t="s">
        <v>9</v>
      </c>
      <c r="F3399" s="93" t="s">
        <v>1648</v>
      </c>
      <c r="G3399" s="93" t="s">
        <v>9183</v>
      </c>
      <c r="H3399" s="93" t="s">
        <v>1943</v>
      </c>
      <c r="I3399" s="93" t="s">
        <v>1229</v>
      </c>
      <c r="J3399" s="93" t="s">
        <v>1675</v>
      </c>
      <c r="K3399" s="93">
        <v>60</v>
      </c>
      <c r="L3399" s="93" t="s">
        <v>111</v>
      </c>
      <c r="M3399" s="93">
        <v>9</v>
      </c>
      <c r="N3399" s="93" t="s">
        <v>113</v>
      </c>
      <c r="O3399" s="93">
        <v>21.8</v>
      </c>
      <c r="P3399" s="93">
        <v>31.8</v>
      </c>
      <c r="Q3399" s="93">
        <v>46.3</v>
      </c>
      <c r="R3399" s="93" t="s">
        <v>117</v>
      </c>
      <c r="S3399" s="93" t="s">
        <v>659</v>
      </c>
      <c r="T3399" s="93" t="s">
        <v>115</v>
      </c>
      <c r="U3399" s="93" t="s">
        <v>116</v>
      </c>
      <c r="V3399" s="94">
        <v>44628.46875</v>
      </c>
      <c r="W3399" s="93" t="s">
        <v>1555</v>
      </c>
      <c r="X3399" s="93" t="s">
        <v>9</v>
      </c>
    </row>
    <row r="3400" spans="1:24" hidden="1" x14ac:dyDescent="0.15">
      <c r="A3400" s="93" t="s">
        <v>5140</v>
      </c>
      <c r="B3400" s="93" t="s">
        <v>5141</v>
      </c>
      <c r="C3400" s="410">
        <v>315</v>
      </c>
      <c r="D3400" s="93" t="s">
        <v>24</v>
      </c>
      <c r="E3400" s="93" t="s">
        <v>24</v>
      </c>
      <c r="F3400" s="93" t="s">
        <v>7070</v>
      </c>
      <c r="G3400" s="93" t="s">
        <v>8237</v>
      </c>
      <c r="H3400" s="93" t="s">
        <v>11</v>
      </c>
      <c r="I3400" s="93" t="s">
        <v>111</v>
      </c>
      <c r="J3400" s="93" t="s">
        <v>963</v>
      </c>
      <c r="K3400" s="93">
        <v>60</v>
      </c>
      <c r="L3400" s="93">
        <v>1</v>
      </c>
      <c r="M3400" s="93">
        <v>0.1</v>
      </c>
      <c r="N3400" s="93" t="s">
        <v>113</v>
      </c>
      <c r="O3400" s="93">
        <v>5</v>
      </c>
      <c r="P3400" s="93">
        <v>6</v>
      </c>
      <c r="Q3400" s="93">
        <v>6</v>
      </c>
      <c r="R3400" s="93" t="s">
        <v>117</v>
      </c>
      <c r="S3400" s="93" t="s">
        <v>659</v>
      </c>
      <c r="T3400" s="93" t="s">
        <v>115</v>
      </c>
      <c r="U3400" s="93" t="s">
        <v>116</v>
      </c>
      <c r="V3400" s="94">
        <v>44628.511111111111</v>
      </c>
      <c r="W3400" s="93" t="s">
        <v>1555</v>
      </c>
      <c r="X3400" s="93" t="s">
        <v>24</v>
      </c>
    </row>
    <row r="3401" spans="1:24" hidden="1" x14ac:dyDescent="0.15">
      <c r="A3401" s="93" t="s">
        <v>5142</v>
      </c>
      <c r="B3401" s="93" t="s">
        <v>5143</v>
      </c>
      <c r="C3401" s="410">
        <v>488.25</v>
      </c>
      <c r="D3401" s="93" t="s">
        <v>24</v>
      </c>
      <c r="E3401" s="93" t="s">
        <v>24</v>
      </c>
      <c r="F3401" s="93" t="s">
        <v>7070</v>
      </c>
      <c r="G3401" s="93" t="s">
        <v>8237</v>
      </c>
      <c r="H3401" s="93" t="s">
        <v>11</v>
      </c>
      <c r="I3401" s="93" t="s">
        <v>111</v>
      </c>
      <c r="J3401" s="93" t="s">
        <v>390</v>
      </c>
      <c r="K3401" s="93">
        <v>80</v>
      </c>
      <c r="L3401" s="93" t="s">
        <v>111</v>
      </c>
      <c r="M3401" s="93">
        <v>0.3</v>
      </c>
      <c r="N3401" s="93" t="s">
        <v>111</v>
      </c>
      <c r="O3401" s="93">
        <v>8</v>
      </c>
      <c r="P3401" s="93">
        <v>12</v>
      </c>
      <c r="Q3401" s="93">
        <v>19</v>
      </c>
      <c r="R3401" s="93" t="s">
        <v>117</v>
      </c>
      <c r="S3401" s="93" t="s">
        <v>20</v>
      </c>
      <c r="T3401" s="93" t="s">
        <v>115</v>
      </c>
      <c r="U3401" s="93" t="s">
        <v>116</v>
      </c>
      <c r="V3401" s="94">
        <v>44628.631249999999</v>
      </c>
      <c r="W3401" s="93" t="s">
        <v>1170</v>
      </c>
      <c r="X3401" s="93" t="s">
        <v>24</v>
      </c>
    </row>
    <row r="3402" spans="1:24" hidden="1" x14ac:dyDescent="0.15">
      <c r="A3402" s="93" t="s">
        <v>5144</v>
      </c>
      <c r="B3402" s="93" t="s">
        <v>5145</v>
      </c>
      <c r="C3402" s="410">
        <v>678.3</v>
      </c>
      <c r="D3402" s="93" t="s">
        <v>9</v>
      </c>
      <c r="E3402" s="93" t="s">
        <v>9</v>
      </c>
      <c r="F3402" s="93" t="s">
        <v>1648</v>
      </c>
      <c r="G3402" s="93" t="s">
        <v>9183</v>
      </c>
      <c r="H3402" s="93" t="s">
        <v>1943</v>
      </c>
      <c r="I3402" s="93" t="s">
        <v>111</v>
      </c>
      <c r="J3402" s="93" t="s">
        <v>963</v>
      </c>
      <c r="K3402" s="93">
        <v>60</v>
      </c>
      <c r="L3402" s="93" t="s">
        <v>111</v>
      </c>
      <c r="M3402" s="93">
        <v>2</v>
      </c>
      <c r="N3402" s="93" t="s">
        <v>111</v>
      </c>
      <c r="O3402" s="93">
        <v>11.5</v>
      </c>
      <c r="P3402" s="93">
        <v>35</v>
      </c>
      <c r="Q3402" s="93">
        <v>40</v>
      </c>
      <c r="R3402" s="93" t="s">
        <v>123</v>
      </c>
      <c r="S3402" s="93" t="s">
        <v>659</v>
      </c>
      <c r="T3402" s="93" t="s">
        <v>115</v>
      </c>
      <c r="U3402" s="93" t="s">
        <v>116</v>
      </c>
      <c r="V3402" s="94">
        <v>44628.552083333336</v>
      </c>
      <c r="W3402" s="93" t="s">
        <v>1170</v>
      </c>
      <c r="X3402" s="93" t="s">
        <v>9</v>
      </c>
    </row>
    <row r="3403" spans="1:24" hidden="1" x14ac:dyDescent="0.15">
      <c r="A3403" s="93" t="s">
        <v>5146</v>
      </c>
      <c r="B3403" s="93" t="s">
        <v>5147</v>
      </c>
      <c r="C3403" s="410">
        <v>678.3</v>
      </c>
      <c r="D3403" s="93" t="s">
        <v>9</v>
      </c>
      <c r="E3403" s="93" t="s">
        <v>9</v>
      </c>
      <c r="F3403" s="93" t="s">
        <v>1648</v>
      </c>
      <c r="G3403" s="93" t="s">
        <v>9183</v>
      </c>
      <c r="H3403" s="93" t="s">
        <v>1943</v>
      </c>
      <c r="I3403" s="93" t="s">
        <v>111</v>
      </c>
      <c r="J3403" s="93" t="s">
        <v>963</v>
      </c>
      <c r="K3403" s="93">
        <v>60</v>
      </c>
      <c r="L3403" s="93" t="s">
        <v>111</v>
      </c>
      <c r="M3403" s="93">
        <v>2</v>
      </c>
      <c r="N3403" s="93" t="s">
        <v>111</v>
      </c>
      <c r="O3403" s="93">
        <v>11.5</v>
      </c>
      <c r="P3403" s="93">
        <v>35</v>
      </c>
      <c r="Q3403" s="93">
        <v>40</v>
      </c>
      <c r="R3403" s="93" t="s">
        <v>123</v>
      </c>
      <c r="S3403" s="93" t="s">
        <v>659</v>
      </c>
      <c r="T3403" s="93" t="s">
        <v>115</v>
      </c>
      <c r="U3403" s="93" t="s">
        <v>116</v>
      </c>
      <c r="V3403" s="94">
        <v>44628.508333333331</v>
      </c>
      <c r="W3403" s="93" t="s">
        <v>1170</v>
      </c>
      <c r="X3403" s="93" t="s">
        <v>9</v>
      </c>
    </row>
    <row r="3404" spans="1:24" hidden="1" x14ac:dyDescent="0.15">
      <c r="A3404" s="93" t="s">
        <v>5148</v>
      </c>
      <c r="B3404" s="93" t="s">
        <v>5149</v>
      </c>
      <c r="C3404" s="410">
        <v>678.3</v>
      </c>
      <c r="D3404" s="93" t="s">
        <v>9</v>
      </c>
      <c r="E3404" s="93" t="s">
        <v>24</v>
      </c>
      <c r="F3404" s="93" t="s">
        <v>1648</v>
      </c>
      <c r="G3404" s="93" t="s">
        <v>9183</v>
      </c>
      <c r="H3404" s="93" t="s">
        <v>1943</v>
      </c>
      <c r="I3404" s="93" t="s">
        <v>111</v>
      </c>
      <c r="J3404" s="93" t="s">
        <v>963</v>
      </c>
      <c r="K3404" s="93">
        <v>60</v>
      </c>
      <c r="L3404" s="93" t="s">
        <v>111</v>
      </c>
      <c r="M3404" s="93">
        <v>2</v>
      </c>
      <c r="N3404" s="93" t="s">
        <v>111</v>
      </c>
      <c r="O3404" s="93">
        <v>11.5</v>
      </c>
      <c r="P3404" s="93">
        <v>35</v>
      </c>
      <c r="Q3404" s="93">
        <v>40</v>
      </c>
      <c r="R3404" s="93" t="s">
        <v>123</v>
      </c>
      <c r="S3404" s="93" t="s">
        <v>659</v>
      </c>
      <c r="T3404" s="93" t="s">
        <v>115</v>
      </c>
      <c r="U3404" s="93" t="s">
        <v>116</v>
      </c>
      <c r="V3404" s="94">
        <v>44628.595138888886</v>
      </c>
      <c r="W3404" s="93" t="s">
        <v>1170</v>
      </c>
      <c r="X3404" s="93" t="s">
        <v>24</v>
      </c>
    </row>
    <row r="3405" spans="1:24" hidden="1" x14ac:dyDescent="0.15">
      <c r="A3405" s="93" t="s">
        <v>5150</v>
      </c>
      <c r="B3405" s="93" t="s">
        <v>5151</v>
      </c>
      <c r="C3405" s="410">
        <v>678.3</v>
      </c>
      <c r="D3405" s="93" t="s">
        <v>9</v>
      </c>
      <c r="E3405" s="93" t="s">
        <v>9</v>
      </c>
      <c r="F3405" s="93" t="s">
        <v>1648</v>
      </c>
      <c r="G3405" s="93" t="s">
        <v>9183</v>
      </c>
      <c r="H3405" s="93" t="s">
        <v>1943</v>
      </c>
      <c r="I3405" s="93" t="s">
        <v>111</v>
      </c>
      <c r="J3405" s="93" t="s">
        <v>963</v>
      </c>
      <c r="K3405" s="93">
        <v>60</v>
      </c>
      <c r="L3405" s="93" t="s">
        <v>111</v>
      </c>
      <c r="M3405" s="93">
        <v>2</v>
      </c>
      <c r="N3405" s="93" t="s">
        <v>111</v>
      </c>
      <c r="O3405" s="93">
        <v>11.5</v>
      </c>
      <c r="P3405" s="93">
        <v>35</v>
      </c>
      <c r="Q3405" s="93">
        <v>40</v>
      </c>
      <c r="R3405" s="93" t="s">
        <v>123</v>
      </c>
      <c r="S3405" s="93" t="s">
        <v>659</v>
      </c>
      <c r="T3405" s="93" t="s">
        <v>115</v>
      </c>
      <c r="U3405" s="93" t="s">
        <v>116</v>
      </c>
      <c r="V3405" s="94">
        <v>44628.595138888886</v>
      </c>
      <c r="W3405" s="93" t="s">
        <v>1170</v>
      </c>
      <c r="X3405" s="93" t="s">
        <v>24</v>
      </c>
    </row>
    <row r="3406" spans="1:24" hidden="1" x14ac:dyDescent="0.15">
      <c r="A3406" s="93" t="s">
        <v>5152</v>
      </c>
      <c r="B3406" s="93" t="s">
        <v>5153</v>
      </c>
      <c r="C3406" s="410">
        <v>678.3</v>
      </c>
      <c r="D3406" s="93" t="s">
        <v>9</v>
      </c>
      <c r="E3406" s="93" t="s">
        <v>9</v>
      </c>
      <c r="F3406" s="93" t="s">
        <v>1648</v>
      </c>
      <c r="G3406" s="93" t="s">
        <v>9183</v>
      </c>
      <c r="H3406" s="93" t="s">
        <v>1943</v>
      </c>
      <c r="I3406" s="93" t="s">
        <v>111</v>
      </c>
      <c r="J3406" s="93" t="s">
        <v>963</v>
      </c>
      <c r="K3406" s="93">
        <v>60</v>
      </c>
      <c r="L3406" s="93" t="s">
        <v>111</v>
      </c>
      <c r="M3406" s="93">
        <v>2</v>
      </c>
      <c r="N3406" s="93" t="s">
        <v>111</v>
      </c>
      <c r="O3406" s="93">
        <v>11.5</v>
      </c>
      <c r="P3406" s="93">
        <v>35</v>
      </c>
      <c r="Q3406" s="93">
        <v>40</v>
      </c>
      <c r="R3406" s="93" t="s">
        <v>123</v>
      </c>
      <c r="S3406" s="93" t="s">
        <v>659</v>
      </c>
      <c r="T3406" s="93" t="s">
        <v>115</v>
      </c>
      <c r="U3406" s="93" t="s">
        <v>116</v>
      </c>
      <c r="V3406" s="94">
        <v>44628.529861111114</v>
      </c>
      <c r="W3406" s="93" t="s">
        <v>1170</v>
      </c>
      <c r="X3406" s="93" t="s">
        <v>24</v>
      </c>
    </row>
    <row r="3407" spans="1:24" hidden="1" x14ac:dyDescent="0.15">
      <c r="A3407" s="93" t="s">
        <v>5154</v>
      </c>
      <c r="B3407" s="93" t="s">
        <v>5155</v>
      </c>
      <c r="C3407" s="410">
        <v>678.3</v>
      </c>
      <c r="D3407" s="93" t="s">
        <v>9</v>
      </c>
      <c r="E3407" s="93" t="s">
        <v>9</v>
      </c>
      <c r="F3407" s="93" t="s">
        <v>1648</v>
      </c>
      <c r="G3407" s="93" t="s">
        <v>9183</v>
      </c>
      <c r="H3407" s="93" t="s">
        <v>1943</v>
      </c>
      <c r="I3407" s="93" t="s">
        <v>111</v>
      </c>
      <c r="J3407" s="93" t="s">
        <v>963</v>
      </c>
      <c r="K3407" s="93">
        <v>60</v>
      </c>
      <c r="L3407" s="93" t="s">
        <v>111</v>
      </c>
      <c r="M3407" s="93">
        <v>2</v>
      </c>
      <c r="N3407" s="93" t="s">
        <v>111</v>
      </c>
      <c r="O3407" s="93">
        <v>11.5</v>
      </c>
      <c r="P3407" s="93">
        <v>35</v>
      </c>
      <c r="Q3407" s="93">
        <v>40</v>
      </c>
      <c r="R3407" s="93" t="s">
        <v>123</v>
      </c>
      <c r="S3407" s="93" t="s">
        <v>659</v>
      </c>
      <c r="T3407" s="93" t="s">
        <v>115</v>
      </c>
      <c r="U3407" s="93" t="s">
        <v>116</v>
      </c>
      <c r="V3407" s="94">
        <v>44628.529861111114</v>
      </c>
      <c r="W3407" s="93" t="s">
        <v>1170</v>
      </c>
      <c r="X3407" s="93" t="s">
        <v>24</v>
      </c>
    </row>
    <row r="3408" spans="1:24" hidden="1" x14ac:dyDescent="0.15">
      <c r="A3408" s="93" t="s">
        <v>5156</v>
      </c>
      <c r="B3408" s="93" t="s">
        <v>5157</v>
      </c>
      <c r="C3408" s="410">
        <v>678.3</v>
      </c>
      <c r="D3408" s="93" t="s">
        <v>9</v>
      </c>
      <c r="E3408" s="93" t="s">
        <v>9</v>
      </c>
      <c r="F3408" s="93" t="s">
        <v>1648</v>
      </c>
      <c r="G3408" s="93" t="s">
        <v>9183</v>
      </c>
      <c r="H3408" s="93" t="s">
        <v>1943</v>
      </c>
      <c r="I3408" s="93" t="s">
        <v>111</v>
      </c>
      <c r="J3408" s="93" t="s">
        <v>963</v>
      </c>
      <c r="K3408" s="93">
        <v>60</v>
      </c>
      <c r="L3408" s="93" t="s">
        <v>111</v>
      </c>
      <c r="M3408" s="93">
        <v>2</v>
      </c>
      <c r="N3408" s="93" t="s">
        <v>111</v>
      </c>
      <c r="O3408" s="93">
        <v>11.5</v>
      </c>
      <c r="P3408" s="93">
        <v>35</v>
      </c>
      <c r="Q3408" s="93">
        <v>40</v>
      </c>
      <c r="R3408" s="93" t="s">
        <v>123</v>
      </c>
      <c r="S3408" s="93" t="s">
        <v>659</v>
      </c>
      <c r="T3408" s="93" t="s">
        <v>115</v>
      </c>
      <c r="U3408" s="93" t="s">
        <v>116</v>
      </c>
      <c r="V3408" s="94">
        <v>44628.486805555556</v>
      </c>
      <c r="W3408" s="93" t="s">
        <v>1170</v>
      </c>
      <c r="X3408" s="93" t="s">
        <v>9</v>
      </c>
    </row>
    <row r="3409" spans="1:24" hidden="1" x14ac:dyDescent="0.15">
      <c r="A3409" s="93" t="s">
        <v>5158</v>
      </c>
      <c r="B3409" s="93" t="s">
        <v>5159</v>
      </c>
      <c r="C3409" s="410">
        <v>678.3</v>
      </c>
      <c r="D3409" s="93" t="s">
        <v>9</v>
      </c>
      <c r="E3409" s="93" t="s">
        <v>9</v>
      </c>
      <c r="F3409" s="93" t="s">
        <v>1648</v>
      </c>
      <c r="G3409" s="93" t="s">
        <v>9183</v>
      </c>
      <c r="H3409" s="93" t="s">
        <v>1943</v>
      </c>
      <c r="I3409" s="93" t="s">
        <v>111</v>
      </c>
      <c r="J3409" s="93" t="s">
        <v>963</v>
      </c>
      <c r="K3409" s="93">
        <v>60</v>
      </c>
      <c r="L3409" s="93" t="s">
        <v>111</v>
      </c>
      <c r="M3409" s="93">
        <v>2</v>
      </c>
      <c r="N3409" s="93" t="s">
        <v>111</v>
      </c>
      <c r="O3409" s="93">
        <v>11.5</v>
      </c>
      <c r="P3409" s="93">
        <v>35</v>
      </c>
      <c r="Q3409" s="93">
        <v>40</v>
      </c>
      <c r="R3409" s="93" t="s">
        <v>123</v>
      </c>
      <c r="S3409" s="93" t="s">
        <v>659</v>
      </c>
      <c r="T3409" s="93" t="s">
        <v>115</v>
      </c>
      <c r="U3409" s="93" t="s">
        <v>116</v>
      </c>
      <c r="V3409" s="94">
        <v>44628.595138888886</v>
      </c>
      <c r="W3409" s="93" t="s">
        <v>1170</v>
      </c>
      <c r="X3409" s="93" t="s">
        <v>24</v>
      </c>
    </row>
    <row r="3410" spans="1:24" hidden="1" x14ac:dyDescent="0.15">
      <c r="A3410" s="93" t="s">
        <v>5160</v>
      </c>
      <c r="B3410" s="93" t="s">
        <v>5161</v>
      </c>
      <c r="C3410" s="410">
        <v>678.3</v>
      </c>
      <c r="D3410" s="93" t="s">
        <v>9</v>
      </c>
      <c r="E3410" s="93" t="s">
        <v>9</v>
      </c>
      <c r="F3410" s="93" t="s">
        <v>1648</v>
      </c>
      <c r="G3410" s="93" t="s">
        <v>9183</v>
      </c>
      <c r="H3410" s="93" t="s">
        <v>1943</v>
      </c>
      <c r="I3410" s="93" t="s">
        <v>111</v>
      </c>
      <c r="J3410" s="93" t="s">
        <v>963</v>
      </c>
      <c r="K3410" s="93">
        <v>60</v>
      </c>
      <c r="L3410" s="93" t="s">
        <v>111</v>
      </c>
      <c r="M3410" s="93">
        <v>2</v>
      </c>
      <c r="N3410" s="93" t="s">
        <v>111</v>
      </c>
      <c r="O3410" s="93">
        <v>11.5</v>
      </c>
      <c r="P3410" s="93">
        <v>35</v>
      </c>
      <c r="Q3410" s="93">
        <v>40</v>
      </c>
      <c r="R3410" s="93" t="s">
        <v>123</v>
      </c>
      <c r="S3410" s="93" t="s">
        <v>659</v>
      </c>
      <c r="T3410" s="93" t="s">
        <v>115</v>
      </c>
      <c r="U3410" s="93" t="s">
        <v>116</v>
      </c>
      <c r="V3410" s="94">
        <v>44628.508333333331</v>
      </c>
      <c r="W3410" s="93" t="s">
        <v>1170</v>
      </c>
      <c r="X3410" s="93" t="s">
        <v>24</v>
      </c>
    </row>
    <row r="3411" spans="1:24" hidden="1" x14ac:dyDescent="0.15">
      <c r="A3411" s="93" t="s">
        <v>5162</v>
      </c>
      <c r="B3411" s="93" t="s">
        <v>5163</v>
      </c>
      <c r="C3411" s="410">
        <v>678.3</v>
      </c>
      <c r="D3411" s="93" t="s">
        <v>9</v>
      </c>
      <c r="E3411" s="93" t="s">
        <v>9</v>
      </c>
      <c r="F3411" s="93" t="s">
        <v>1648</v>
      </c>
      <c r="G3411" s="93" t="s">
        <v>9183</v>
      </c>
      <c r="H3411" s="93" t="s">
        <v>1943</v>
      </c>
      <c r="I3411" s="93" t="s">
        <v>111</v>
      </c>
      <c r="J3411" s="93" t="s">
        <v>963</v>
      </c>
      <c r="K3411" s="93">
        <v>60</v>
      </c>
      <c r="L3411" s="93" t="s">
        <v>111</v>
      </c>
      <c r="M3411" s="93">
        <v>2</v>
      </c>
      <c r="N3411" s="93" t="s">
        <v>111</v>
      </c>
      <c r="O3411" s="93">
        <v>11.5</v>
      </c>
      <c r="P3411" s="93">
        <v>35</v>
      </c>
      <c r="Q3411" s="93">
        <v>40</v>
      </c>
      <c r="R3411" s="93" t="s">
        <v>123</v>
      </c>
      <c r="S3411" s="93" t="s">
        <v>659</v>
      </c>
      <c r="T3411" s="93" t="s">
        <v>115</v>
      </c>
      <c r="U3411" s="93" t="s">
        <v>116</v>
      </c>
      <c r="V3411" s="94">
        <v>44628.595138888886</v>
      </c>
      <c r="W3411" s="93" t="s">
        <v>1170</v>
      </c>
      <c r="X3411" s="93" t="s">
        <v>24</v>
      </c>
    </row>
    <row r="3412" spans="1:24" hidden="1" x14ac:dyDescent="0.15">
      <c r="A3412" s="93" t="s">
        <v>5164</v>
      </c>
      <c r="B3412" s="93" t="s">
        <v>5165</v>
      </c>
      <c r="C3412" s="410">
        <v>678.3</v>
      </c>
      <c r="D3412" s="93" t="s">
        <v>9</v>
      </c>
      <c r="E3412" s="93" t="s">
        <v>9</v>
      </c>
      <c r="F3412" s="93" t="s">
        <v>1648</v>
      </c>
      <c r="G3412" s="93" t="s">
        <v>9183</v>
      </c>
      <c r="H3412" s="93" t="s">
        <v>1943</v>
      </c>
      <c r="I3412" s="93" t="s">
        <v>111</v>
      </c>
      <c r="J3412" s="93" t="s">
        <v>963</v>
      </c>
      <c r="K3412" s="93">
        <v>60</v>
      </c>
      <c r="L3412" s="93" t="s">
        <v>111</v>
      </c>
      <c r="M3412" s="93">
        <v>2</v>
      </c>
      <c r="N3412" s="93" t="s">
        <v>111</v>
      </c>
      <c r="O3412" s="93">
        <v>11.5</v>
      </c>
      <c r="P3412" s="93">
        <v>35</v>
      </c>
      <c r="Q3412" s="93">
        <v>40</v>
      </c>
      <c r="R3412" s="93" t="s">
        <v>123</v>
      </c>
      <c r="S3412" s="93" t="s">
        <v>659</v>
      </c>
      <c r="T3412" s="93" t="s">
        <v>115</v>
      </c>
      <c r="U3412" s="93" t="s">
        <v>116</v>
      </c>
      <c r="V3412" s="94">
        <v>44628.572916666664</v>
      </c>
      <c r="W3412" s="93" t="s">
        <v>1170</v>
      </c>
      <c r="X3412" s="93" t="s">
        <v>24</v>
      </c>
    </row>
    <row r="3413" spans="1:24" hidden="1" x14ac:dyDescent="0.15">
      <c r="A3413" s="93" t="s">
        <v>5166</v>
      </c>
      <c r="B3413" s="93" t="s">
        <v>5167</v>
      </c>
      <c r="C3413" s="410">
        <v>678.3</v>
      </c>
      <c r="D3413" s="93" t="s">
        <v>9</v>
      </c>
      <c r="E3413" s="93" t="s">
        <v>9</v>
      </c>
      <c r="F3413" s="93" t="s">
        <v>1648</v>
      </c>
      <c r="G3413" s="93" t="s">
        <v>9183</v>
      </c>
      <c r="H3413" s="93" t="s">
        <v>1943</v>
      </c>
      <c r="I3413" s="93" t="s">
        <v>111</v>
      </c>
      <c r="J3413" s="93" t="s">
        <v>963</v>
      </c>
      <c r="K3413" s="93">
        <v>60</v>
      </c>
      <c r="L3413" s="93" t="s">
        <v>111</v>
      </c>
      <c r="M3413" s="93">
        <v>2</v>
      </c>
      <c r="N3413" s="93" t="s">
        <v>111</v>
      </c>
      <c r="O3413" s="93">
        <v>11.5</v>
      </c>
      <c r="P3413" s="93">
        <v>35</v>
      </c>
      <c r="Q3413" s="93">
        <v>40</v>
      </c>
      <c r="R3413" s="93" t="s">
        <v>123</v>
      </c>
      <c r="S3413" s="93" t="s">
        <v>659</v>
      </c>
      <c r="T3413" s="93" t="s">
        <v>115</v>
      </c>
      <c r="U3413" s="93" t="s">
        <v>116</v>
      </c>
      <c r="V3413" s="94">
        <v>44628.595138888886</v>
      </c>
      <c r="W3413" s="93" t="s">
        <v>1170</v>
      </c>
      <c r="X3413" s="93" t="s">
        <v>24</v>
      </c>
    </row>
    <row r="3414" spans="1:24" hidden="1" x14ac:dyDescent="0.15">
      <c r="A3414" s="93" t="s">
        <v>5168</v>
      </c>
      <c r="B3414" s="93" t="s">
        <v>5169</v>
      </c>
      <c r="C3414" s="410">
        <v>678.3</v>
      </c>
      <c r="D3414" s="93" t="s">
        <v>9</v>
      </c>
      <c r="E3414" s="93" t="s">
        <v>9</v>
      </c>
      <c r="F3414" s="93" t="s">
        <v>1648</v>
      </c>
      <c r="G3414" s="93" t="s">
        <v>9183</v>
      </c>
      <c r="H3414" s="93" t="s">
        <v>1943</v>
      </c>
      <c r="I3414" s="93" t="s">
        <v>111</v>
      </c>
      <c r="J3414" s="93" t="s">
        <v>963</v>
      </c>
      <c r="K3414" s="93">
        <v>60</v>
      </c>
      <c r="L3414" s="93" t="s">
        <v>111</v>
      </c>
      <c r="M3414" s="93">
        <v>2</v>
      </c>
      <c r="N3414" s="93" t="s">
        <v>111</v>
      </c>
      <c r="O3414" s="93">
        <v>11.5</v>
      </c>
      <c r="P3414" s="93">
        <v>35</v>
      </c>
      <c r="Q3414" s="93">
        <v>40</v>
      </c>
      <c r="R3414" s="93" t="s">
        <v>123</v>
      </c>
      <c r="S3414" s="93" t="s">
        <v>659</v>
      </c>
      <c r="T3414" s="93" t="s">
        <v>115</v>
      </c>
      <c r="U3414" s="93" t="s">
        <v>116</v>
      </c>
      <c r="V3414" s="94">
        <v>44628.486805555556</v>
      </c>
      <c r="W3414" s="93" t="s">
        <v>1170</v>
      </c>
      <c r="X3414" s="93" t="s">
        <v>9</v>
      </c>
    </row>
    <row r="3415" spans="1:24" hidden="1" x14ac:dyDescent="0.15">
      <c r="A3415" s="93" t="s">
        <v>5170</v>
      </c>
      <c r="B3415" s="93" t="s">
        <v>5171</v>
      </c>
      <c r="C3415" s="410">
        <v>678.3</v>
      </c>
      <c r="D3415" s="93" t="s">
        <v>9</v>
      </c>
      <c r="E3415" s="93" t="s">
        <v>9</v>
      </c>
      <c r="F3415" s="93" t="s">
        <v>1648</v>
      </c>
      <c r="G3415" s="93" t="s">
        <v>9183</v>
      </c>
      <c r="H3415" s="93" t="s">
        <v>1943</v>
      </c>
      <c r="I3415" s="93" t="s">
        <v>111</v>
      </c>
      <c r="J3415" s="93" t="s">
        <v>963</v>
      </c>
      <c r="K3415" s="93">
        <v>60</v>
      </c>
      <c r="L3415" s="93" t="s">
        <v>111</v>
      </c>
      <c r="M3415" s="93">
        <v>2</v>
      </c>
      <c r="N3415" s="93" t="s">
        <v>111</v>
      </c>
      <c r="O3415" s="93">
        <v>11.5</v>
      </c>
      <c r="P3415" s="93">
        <v>35</v>
      </c>
      <c r="Q3415" s="93">
        <v>40</v>
      </c>
      <c r="R3415" s="93" t="s">
        <v>123</v>
      </c>
      <c r="S3415" s="93" t="s">
        <v>659</v>
      </c>
      <c r="T3415" s="93" t="s">
        <v>115</v>
      </c>
      <c r="U3415" s="93" t="s">
        <v>116</v>
      </c>
      <c r="V3415" s="94">
        <v>44628.552083333336</v>
      </c>
      <c r="W3415" s="93" t="s">
        <v>1170</v>
      </c>
      <c r="X3415" s="93" t="s">
        <v>9</v>
      </c>
    </row>
    <row r="3416" spans="1:24" hidden="1" x14ac:dyDescent="0.15">
      <c r="A3416" s="93" t="s">
        <v>5172</v>
      </c>
      <c r="B3416" s="93" t="s">
        <v>5173</v>
      </c>
      <c r="C3416" s="410">
        <v>478.8</v>
      </c>
      <c r="D3416" s="93" t="s">
        <v>24</v>
      </c>
      <c r="E3416" s="93" t="s">
        <v>24</v>
      </c>
      <c r="F3416" s="93" t="s">
        <v>7070</v>
      </c>
      <c r="G3416" s="93" t="s">
        <v>8237</v>
      </c>
      <c r="H3416" s="93" t="s">
        <v>1198</v>
      </c>
      <c r="I3416" s="93" t="s">
        <v>111</v>
      </c>
      <c r="J3416" s="93" t="s">
        <v>963</v>
      </c>
      <c r="K3416" s="93">
        <v>60</v>
      </c>
      <c r="L3416" s="93" t="s">
        <v>111</v>
      </c>
      <c r="M3416" s="93">
        <v>9.1999999999999993</v>
      </c>
      <c r="N3416" s="93" t="s">
        <v>113</v>
      </c>
      <c r="O3416" s="93">
        <v>30</v>
      </c>
      <c r="P3416" s="93">
        <v>46</v>
      </c>
      <c r="Q3416" s="93">
        <v>64</v>
      </c>
      <c r="R3416" s="93" t="s">
        <v>117</v>
      </c>
      <c r="S3416" s="93" t="s">
        <v>18</v>
      </c>
      <c r="T3416" s="93" t="s">
        <v>1659</v>
      </c>
      <c r="U3416" s="93" t="s">
        <v>116</v>
      </c>
      <c r="V3416" s="94">
        <v>44628.563194444447</v>
      </c>
      <c r="W3416" s="93" t="s">
        <v>1170</v>
      </c>
      <c r="X3416" s="93" t="s">
        <v>24</v>
      </c>
    </row>
    <row r="3417" spans="1:24" hidden="1" x14ac:dyDescent="0.15">
      <c r="A3417" s="93" t="s">
        <v>5174</v>
      </c>
      <c r="B3417" s="93" t="s">
        <v>5175</v>
      </c>
      <c r="C3417" s="410">
        <v>603.75</v>
      </c>
      <c r="D3417" s="93" t="s">
        <v>24</v>
      </c>
      <c r="E3417" s="93" t="s">
        <v>24</v>
      </c>
      <c r="F3417" s="93" t="s">
        <v>7070</v>
      </c>
      <c r="G3417" s="93" t="s">
        <v>8237</v>
      </c>
      <c r="H3417" s="93" t="s">
        <v>1198</v>
      </c>
      <c r="I3417" s="93" t="s">
        <v>111</v>
      </c>
      <c r="J3417" s="93" t="s">
        <v>963</v>
      </c>
      <c r="K3417" s="93">
        <v>60</v>
      </c>
      <c r="L3417" s="93" t="s">
        <v>111</v>
      </c>
      <c r="M3417" s="93">
        <v>19.420000000000002</v>
      </c>
      <c r="N3417" s="93" t="s">
        <v>113</v>
      </c>
      <c r="O3417" s="93">
        <v>70</v>
      </c>
      <c r="P3417" s="93">
        <v>56</v>
      </c>
      <c r="Q3417" s="93">
        <v>70</v>
      </c>
      <c r="R3417" s="93" t="s">
        <v>117</v>
      </c>
      <c r="S3417" s="93" t="s">
        <v>18</v>
      </c>
      <c r="T3417" s="93" t="s">
        <v>1659</v>
      </c>
      <c r="U3417" s="93" t="s">
        <v>116</v>
      </c>
      <c r="V3417" s="94">
        <v>44628.476388888892</v>
      </c>
      <c r="W3417" s="93" t="s">
        <v>1170</v>
      </c>
      <c r="X3417" s="93" t="s">
        <v>24</v>
      </c>
    </row>
    <row r="3418" spans="1:24" hidden="1" x14ac:dyDescent="0.15">
      <c r="A3418" s="93" t="s">
        <v>5176</v>
      </c>
      <c r="B3418" s="93" t="s">
        <v>5177</v>
      </c>
      <c r="C3418" s="410">
        <v>1365</v>
      </c>
      <c r="D3418" s="93" t="s">
        <v>24</v>
      </c>
      <c r="E3418" s="93" t="s">
        <v>24</v>
      </c>
      <c r="F3418" s="93" t="s">
        <v>7070</v>
      </c>
      <c r="G3418" s="93" t="s">
        <v>8237</v>
      </c>
      <c r="H3418" s="93" t="s">
        <v>1198</v>
      </c>
      <c r="I3418" s="93" t="s">
        <v>111</v>
      </c>
      <c r="J3418" s="93" t="s">
        <v>963</v>
      </c>
      <c r="K3418" s="93">
        <v>60</v>
      </c>
      <c r="L3418" s="93" t="s">
        <v>111</v>
      </c>
      <c r="M3418" s="93">
        <v>30.8</v>
      </c>
      <c r="N3418" s="93" t="s">
        <v>113</v>
      </c>
      <c r="O3418" s="93">
        <v>37</v>
      </c>
      <c r="P3418" s="93">
        <v>120</v>
      </c>
      <c r="Q3418" s="93">
        <v>107</v>
      </c>
      <c r="R3418" s="93" t="s">
        <v>117</v>
      </c>
      <c r="S3418" s="93" t="s">
        <v>18</v>
      </c>
      <c r="T3418" s="93" t="s">
        <v>1659</v>
      </c>
      <c r="U3418" s="93" t="s">
        <v>116</v>
      </c>
      <c r="V3418" s="94">
        <v>44628.497916666667</v>
      </c>
      <c r="W3418" s="93" t="s">
        <v>1170</v>
      </c>
      <c r="X3418" s="93" t="s">
        <v>24</v>
      </c>
    </row>
    <row r="3419" spans="1:24" hidden="1" x14ac:dyDescent="0.15">
      <c r="A3419" s="93" t="s">
        <v>5178</v>
      </c>
      <c r="B3419" s="93" t="s">
        <v>5179</v>
      </c>
      <c r="C3419" s="410">
        <v>1869</v>
      </c>
      <c r="D3419" s="93" t="s">
        <v>24</v>
      </c>
      <c r="E3419" s="93" t="s">
        <v>24</v>
      </c>
      <c r="F3419" s="93" t="s">
        <v>7070</v>
      </c>
      <c r="G3419" s="93" t="s">
        <v>8237</v>
      </c>
      <c r="H3419" s="93" t="s">
        <v>1198</v>
      </c>
      <c r="I3419" s="93" t="s">
        <v>111</v>
      </c>
      <c r="J3419" s="93" t="s">
        <v>963</v>
      </c>
      <c r="K3419" s="93">
        <v>60</v>
      </c>
      <c r="L3419" s="93" t="s">
        <v>111</v>
      </c>
      <c r="M3419" s="93">
        <v>66</v>
      </c>
      <c r="N3419" s="93" t="s">
        <v>113</v>
      </c>
      <c r="O3419" s="93">
        <v>151</v>
      </c>
      <c r="P3419" s="93">
        <v>39</v>
      </c>
      <c r="Q3419" s="93">
        <v>138</v>
      </c>
      <c r="R3419" s="93" t="s">
        <v>117</v>
      </c>
      <c r="S3419" s="93" t="s">
        <v>18</v>
      </c>
      <c r="T3419" s="93" t="s">
        <v>1659</v>
      </c>
      <c r="U3419" s="93" t="s">
        <v>116</v>
      </c>
      <c r="V3419" s="94">
        <v>44628.49722222222</v>
      </c>
      <c r="W3419" s="93" t="s">
        <v>1170</v>
      </c>
      <c r="X3419" s="93" t="s">
        <v>24</v>
      </c>
    </row>
    <row r="3420" spans="1:24" hidden="1" x14ac:dyDescent="0.15">
      <c r="A3420" s="93" t="s">
        <v>5180</v>
      </c>
      <c r="B3420" s="93" t="s">
        <v>5181</v>
      </c>
      <c r="C3420" s="410">
        <v>3807.3</v>
      </c>
      <c r="D3420" s="93" t="s">
        <v>24</v>
      </c>
      <c r="E3420" s="93" t="s">
        <v>24</v>
      </c>
      <c r="F3420" s="93" t="s">
        <v>7070</v>
      </c>
      <c r="G3420" s="93" t="s">
        <v>8237</v>
      </c>
      <c r="H3420" s="93" t="s">
        <v>1198</v>
      </c>
      <c r="I3420" s="93" t="s">
        <v>111</v>
      </c>
      <c r="J3420" s="93" t="s">
        <v>963</v>
      </c>
      <c r="K3420" s="93">
        <v>60</v>
      </c>
      <c r="L3420" s="93" t="s">
        <v>111</v>
      </c>
      <c r="M3420" s="93">
        <v>193</v>
      </c>
      <c r="N3420" s="93" t="s">
        <v>113</v>
      </c>
      <c r="O3420" s="93">
        <v>210</v>
      </c>
      <c r="P3420" s="93">
        <v>88</v>
      </c>
      <c r="Q3420" s="93">
        <v>207</v>
      </c>
      <c r="R3420" s="93" t="s">
        <v>117</v>
      </c>
      <c r="S3420" s="93" t="s">
        <v>18</v>
      </c>
      <c r="T3420" s="93" t="s">
        <v>1659</v>
      </c>
      <c r="U3420" s="93" t="s">
        <v>116</v>
      </c>
      <c r="V3420" s="94">
        <v>44628.476388888892</v>
      </c>
      <c r="W3420" s="93" t="s">
        <v>1170</v>
      </c>
      <c r="X3420" s="93" t="s">
        <v>24</v>
      </c>
    </row>
    <row r="3421" spans="1:24" hidden="1" x14ac:dyDescent="0.15">
      <c r="A3421" s="93" t="s">
        <v>5182</v>
      </c>
      <c r="B3421" s="93" t="s">
        <v>5183</v>
      </c>
      <c r="C3421" s="410">
        <v>693</v>
      </c>
      <c r="D3421" s="93" t="s">
        <v>24</v>
      </c>
      <c r="E3421" s="93" t="s">
        <v>24</v>
      </c>
      <c r="F3421" s="93" t="s">
        <v>7070</v>
      </c>
      <c r="G3421" s="93" t="s">
        <v>8237</v>
      </c>
      <c r="H3421" s="93" t="s">
        <v>1198</v>
      </c>
      <c r="I3421" s="93" t="s">
        <v>111</v>
      </c>
      <c r="J3421" s="93" t="s">
        <v>963</v>
      </c>
      <c r="K3421" s="93">
        <v>60</v>
      </c>
      <c r="L3421" s="93" t="s">
        <v>111</v>
      </c>
      <c r="M3421" s="93">
        <v>10.8</v>
      </c>
      <c r="N3421" s="93" t="s">
        <v>113</v>
      </c>
      <c r="O3421" s="93">
        <v>45</v>
      </c>
      <c r="P3421" s="93">
        <v>45</v>
      </c>
      <c r="Q3421" s="93">
        <v>48</v>
      </c>
      <c r="R3421" s="93" t="s">
        <v>117</v>
      </c>
      <c r="S3421" s="93" t="s">
        <v>20</v>
      </c>
      <c r="T3421" s="93" t="s">
        <v>1659</v>
      </c>
      <c r="U3421" s="93" t="s">
        <v>116</v>
      </c>
      <c r="V3421" s="94">
        <v>44628.498611111114</v>
      </c>
      <c r="W3421" s="93" t="s">
        <v>1207</v>
      </c>
      <c r="X3421" s="93" t="s">
        <v>24</v>
      </c>
    </row>
    <row r="3422" spans="1:24" hidden="1" x14ac:dyDescent="0.15">
      <c r="A3422" s="93" t="s">
        <v>5184</v>
      </c>
      <c r="B3422" s="93" t="s">
        <v>5185</v>
      </c>
      <c r="C3422" s="410">
        <v>745.5</v>
      </c>
      <c r="D3422" s="93" t="s">
        <v>24</v>
      </c>
      <c r="E3422" s="93" t="s">
        <v>24</v>
      </c>
      <c r="F3422" s="93" t="s">
        <v>7070</v>
      </c>
      <c r="G3422" s="93" t="s">
        <v>8237</v>
      </c>
      <c r="H3422" s="93" t="s">
        <v>1198</v>
      </c>
      <c r="I3422" s="93" t="s">
        <v>111</v>
      </c>
      <c r="J3422" s="93" t="s">
        <v>963</v>
      </c>
      <c r="K3422" s="93">
        <v>60</v>
      </c>
      <c r="L3422" s="93" t="s">
        <v>111</v>
      </c>
      <c r="M3422" s="93">
        <v>21.7</v>
      </c>
      <c r="N3422" s="93" t="s">
        <v>113</v>
      </c>
      <c r="O3422" s="93">
        <v>71</v>
      </c>
      <c r="P3422" s="93">
        <v>71</v>
      </c>
      <c r="Q3422" s="93">
        <v>61</v>
      </c>
      <c r="R3422" s="93" t="s">
        <v>117</v>
      </c>
      <c r="S3422" s="93" t="s">
        <v>20</v>
      </c>
      <c r="T3422" s="93" t="s">
        <v>1659</v>
      </c>
      <c r="U3422" s="93" t="s">
        <v>116</v>
      </c>
      <c r="V3422" s="94">
        <v>44628.477083333331</v>
      </c>
      <c r="W3422" s="93" t="s">
        <v>1207</v>
      </c>
      <c r="X3422" s="93" t="s">
        <v>24</v>
      </c>
    </row>
    <row r="3423" spans="1:24" hidden="1" x14ac:dyDescent="0.15">
      <c r="A3423" s="93" t="s">
        <v>5186</v>
      </c>
      <c r="B3423" s="93" t="s">
        <v>5187</v>
      </c>
      <c r="C3423" s="410">
        <v>1748.25</v>
      </c>
      <c r="D3423" s="93" t="s">
        <v>24</v>
      </c>
      <c r="E3423" s="93" t="s">
        <v>24</v>
      </c>
      <c r="F3423" s="93" t="s">
        <v>7070</v>
      </c>
      <c r="G3423" s="93" t="s">
        <v>8237</v>
      </c>
      <c r="H3423" s="93" t="s">
        <v>1198</v>
      </c>
      <c r="I3423" s="93" t="s">
        <v>111</v>
      </c>
      <c r="J3423" s="93" t="s">
        <v>963</v>
      </c>
      <c r="K3423" s="93">
        <v>60</v>
      </c>
      <c r="L3423" s="93" t="s">
        <v>111</v>
      </c>
      <c r="M3423" s="93">
        <v>36</v>
      </c>
      <c r="N3423" s="93" t="s">
        <v>113</v>
      </c>
      <c r="O3423" s="93">
        <v>69</v>
      </c>
      <c r="P3423" s="93">
        <v>119</v>
      </c>
      <c r="Q3423" s="93">
        <v>119</v>
      </c>
      <c r="R3423" s="93" t="s">
        <v>117</v>
      </c>
      <c r="S3423" s="93" t="s">
        <v>20</v>
      </c>
      <c r="T3423" s="93" t="s">
        <v>1659</v>
      </c>
      <c r="U3423" s="93" t="s">
        <v>116</v>
      </c>
      <c r="V3423" s="94">
        <v>44628.520138888889</v>
      </c>
      <c r="W3423" s="93" t="s">
        <v>1207</v>
      </c>
      <c r="X3423" s="93" t="s">
        <v>24</v>
      </c>
    </row>
    <row r="3424" spans="1:24" hidden="1" x14ac:dyDescent="0.15">
      <c r="A3424" s="93" t="s">
        <v>5188</v>
      </c>
      <c r="B3424" s="93" t="s">
        <v>5189</v>
      </c>
      <c r="C3424" s="410">
        <v>2346.75</v>
      </c>
      <c r="D3424" s="93" t="s">
        <v>24</v>
      </c>
      <c r="E3424" s="93" t="s">
        <v>24</v>
      </c>
      <c r="F3424" s="93" t="s">
        <v>7070</v>
      </c>
      <c r="G3424" s="93" t="s">
        <v>8237</v>
      </c>
      <c r="H3424" s="93" t="s">
        <v>1198</v>
      </c>
      <c r="I3424" s="93" t="s">
        <v>111</v>
      </c>
      <c r="J3424" s="93" t="s">
        <v>963</v>
      </c>
      <c r="K3424" s="93">
        <v>60</v>
      </c>
      <c r="L3424" s="93" t="s">
        <v>111</v>
      </c>
      <c r="M3424" s="93">
        <v>92.3</v>
      </c>
      <c r="N3424" s="93" t="s">
        <v>113</v>
      </c>
      <c r="O3424" s="93">
        <v>71</v>
      </c>
      <c r="P3424" s="93">
        <v>150</v>
      </c>
      <c r="Q3424" s="93">
        <v>152</v>
      </c>
      <c r="R3424" s="93" t="s">
        <v>117</v>
      </c>
      <c r="S3424" s="93" t="s">
        <v>2</v>
      </c>
      <c r="T3424" s="93" t="s">
        <v>1659</v>
      </c>
      <c r="U3424" s="93" t="s">
        <v>116</v>
      </c>
      <c r="V3424" s="94">
        <v>44628.477083333331</v>
      </c>
      <c r="W3424" s="93" t="s">
        <v>1207</v>
      </c>
      <c r="X3424" s="93" t="s">
        <v>24</v>
      </c>
    </row>
    <row r="3425" spans="1:24" hidden="1" x14ac:dyDescent="0.15">
      <c r="A3425" s="93" t="s">
        <v>5190</v>
      </c>
      <c r="B3425" s="93" t="s">
        <v>5191</v>
      </c>
      <c r="C3425" s="410">
        <v>4888.8</v>
      </c>
      <c r="D3425" s="93" t="s">
        <v>24</v>
      </c>
      <c r="E3425" s="93" t="s">
        <v>24</v>
      </c>
      <c r="F3425" s="93" t="s">
        <v>7070</v>
      </c>
      <c r="G3425" s="93" t="s">
        <v>8237</v>
      </c>
      <c r="H3425" s="93" t="s">
        <v>1198</v>
      </c>
      <c r="I3425" s="93" t="s">
        <v>111</v>
      </c>
      <c r="J3425" s="93" t="s">
        <v>963</v>
      </c>
      <c r="K3425" s="93">
        <v>60</v>
      </c>
      <c r="L3425" s="93" t="s">
        <v>111</v>
      </c>
      <c r="M3425" s="93">
        <v>182.3</v>
      </c>
      <c r="N3425" s="93" t="s">
        <v>113</v>
      </c>
      <c r="O3425" s="93">
        <v>86</v>
      </c>
      <c r="P3425" s="93">
        <v>196</v>
      </c>
      <c r="Q3425" s="93">
        <v>203</v>
      </c>
      <c r="R3425" s="93" t="s">
        <v>117</v>
      </c>
      <c r="S3425" s="93" t="s">
        <v>2</v>
      </c>
      <c r="T3425" s="93" t="s">
        <v>1659</v>
      </c>
      <c r="U3425" s="93" t="s">
        <v>116</v>
      </c>
      <c r="V3425" s="94">
        <v>44628.497916666667</v>
      </c>
      <c r="W3425" s="93" t="s">
        <v>1207</v>
      </c>
      <c r="X3425" s="93" t="s">
        <v>24</v>
      </c>
    </row>
    <row r="3426" spans="1:24" hidden="1" x14ac:dyDescent="0.15">
      <c r="A3426" s="93" t="s">
        <v>5192</v>
      </c>
      <c r="B3426" s="93" t="s">
        <v>5193</v>
      </c>
      <c r="C3426" s="410">
        <v>185.85</v>
      </c>
      <c r="D3426" s="93" t="s">
        <v>24</v>
      </c>
      <c r="E3426" s="93" t="s">
        <v>24</v>
      </c>
      <c r="F3426" s="93" t="s">
        <v>7070</v>
      </c>
      <c r="G3426" s="93" t="s">
        <v>8237</v>
      </c>
      <c r="H3426" s="93" t="s">
        <v>11</v>
      </c>
      <c r="I3426" s="93" t="s">
        <v>111</v>
      </c>
      <c r="J3426" s="93" t="s">
        <v>963</v>
      </c>
      <c r="K3426" s="93">
        <v>60</v>
      </c>
      <c r="L3426" s="93" t="s">
        <v>111</v>
      </c>
      <c r="M3426" s="93">
        <v>1</v>
      </c>
      <c r="N3426" s="93" t="s">
        <v>113</v>
      </c>
      <c r="O3426" s="93">
        <v>5</v>
      </c>
      <c r="P3426" s="93">
        <v>16.5</v>
      </c>
      <c r="Q3426" s="93">
        <v>23.5</v>
      </c>
      <c r="R3426" s="93" t="s">
        <v>122</v>
      </c>
      <c r="S3426" s="93" t="s">
        <v>20</v>
      </c>
      <c r="T3426" s="93" t="s">
        <v>1659</v>
      </c>
      <c r="U3426" s="93" t="s">
        <v>116</v>
      </c>
      <c r="V3426" s="94">
        <v>44628.604166666664</v>
      </c>
      <c r="W3426" s="93" t="s">
        <v>1170</v>
      </c>
      <c r="X3426" s="93" t="s">
        <v>24</v>
      </c>
    </row>
    <row r="3427" spans="1:24" hidden="1" x14ac:dyDescent="0.15">
      <c r="A3427" s="93" t="s">
        <v>5194</v>
      </c>
      <c r="B3427" s="93" t="s">
        <v>5195</v>
      </c>
      <c r="C3427" s="410">
        <v>139.65</v>
      </c>
      <c r="D3427" s="93" t="s">
        <v>24</v>
      </c>
      <c r="E3427" s="93" t="s">
        <v>24</v>
      </c>
      <c r="F3427" s="93" t="s">
        <v>7070</v>
      </c>
      <c r="G3427" s="93" t="s">
        <v>8237</v>
      </c>
      <c r="H3427" s="93" t="s">
        <v>11</v>
      </c>
      <c r="I3427" s="93" t="s">
        <v>111</v>
      </c>
      <c r="J3427" s="93" t="s">
        <v>963</v>
      </c>
      <c r="K3427" s="93">
        <v>60</v>
      </c>
      <c r="L3427" s="93" t="s">
        <v>111</v>
      </c>
      <c r="M3427" s="93">
        <v>0.3</v>
      </c>
      <c r="N3427" s="93" t="s">
        <v>113</v>
      </c>
      <c r="O3427" s="93">
        <v>4</v>
      </c>
      <c r="P3427" s="93">
        <v>16</v>
      </c>
      <c r="Q3427" s="93">
        <v>17</v>
      </c>
      <c r="R3427" s="93" t="s">
        <v>122</v>
      </c>
      <c r="S3427" s="93" t="s">
        <v>659</v>
      </c>
      <c r="T3427" s="93" t="s">
        <v>1659</v>
      </c>
      <c r="U3427" s="93" t="s">
        <v>116</v>
      </c>
      <c r="V3427" s="94">
        <v>44628.474305555559</v>
      </c>
      <c r="W3427" s="93" t="s">
        <v>1170</v>
      </c>
      <c r="X3427" s="93" t="s">
        <v>24</v>
      </c>
    </row>
    <row r="3428" spans="1:24" hidden="1" x14ac:dyDescent="0.15">
      <c r="A3428" s="93" t="s">
        <v>5196</v>
      </c>
      <c r="B3428" s="93" t="s">
        <v>5197</v>
      </c>
      <c r="C3428" s="410">
        <v>487.2</v>
      </c>
      <c r="D3428" s="93" t="s">
        <v>24</v>
      </c>
      <c r="E3428" s="93" t="s">
        <v>24</v>
      </c>
      <c r="F3428" s="93" t="s">
        <v>7070</v>
      </c>
      <c r="G3428" s="93" t="s">
        <v>8237</v>
      </c>
      <c r="H3428" s="93" t="s">
        <v>11</v>
      </c>
      <c r="I3428" s="93" t="s">
        <v>111</v>
      </c>
      <c r="J3428" s="93" t="s">
        <v>963</v>
      </c>
      <c r="K3428" s="93">
        <v>60</v>
      </c>
      <c r="L3428" s="93" t="s">
        <v>111</v>
      </c>
      <c r="M3428" s="93">
        <v>2.5</v>
      </c>
      <c r="N3428" s="93" t="s">
        <v>113</v>
      </c>
      <c r="O3428" s="93">
        <v>28</v>
      </c>
      <c r="P3428" s="93">
        <v>28</v>
      </c>
      <c r="Q3428" s="93">
        <v>18</v>
      </c>
      <c r="R3428" s="93" t="s">
        <v>4205</v>
      </c>
      <c r="S3428" s="93" t="s">
        <v>20</v>
      </c>
      <c r="T3428" s="93" t="s">
        <v>1659</v>
      </c>
      <c r="U3428" s="93" t="s">
        <v>116</v>
      </c>
      <c r="V3428" s="94">
        <v>44628.495138888888</v>
      </c>
      <c r="W3428" s="93" t="s">
        <v>1170</v>
      </c>
      <c r="X3428" s="93" t="s">
        <v>24</v>
      </c>
    </row>
    <row r="3429" spans="1:24" hidden="1" x14ac:dyDescent="0.15">
      <c r="A3429" s="93" t="s">
        <v>5198</v>
      </c>
      <c r="B3429" s="93" t="s">
        <v>5199</v>
      </c>
      <c r="C3429" s="410">
        <v>945</v>
      </c>
      <c r="D3429" s="93" t="s">
        <v>24</v>
      </c>
      <c r="E3429" s="93" t="s">
        <v>24</v>
      </c>
      <c r="F3429" s="93" t="s">
        <v>7070</v>
      </c>
      <c r="G3429" s="93" t="s">
        <v>8237</v>
      </c>
      <c r="H3429" s="93" t="s">
        <v>11</v>
      </c>
      <c r="I3429" s="93" t="s">
        <v>111</v>
      </c>
      <c r="J3429" s="93" t="s">
        <v>963</v>
      </c>
      <c r="K3429" s="93">
        <v>60</v>
      </c>
      <c r="L3429" s="93" t="s">
        <v>111</v>
      </c>
      <c r="M3429" s="93">
        <v>3</v>
      </c>
      <c r="N3429" s="93" t="s">
        <v>113</v>
      </c>
      <c r="O3429" s="93">
        <v>11</v>
      </c>
      <c r="P3429" s="93">
        <v>26.5</v>
      </c>
      <c r="Q3429" s="93">
        <v>26.5</v>
      </c>
      <c r="R3429" s="93" t="s">
        <v>117</v>
      </c>
      <c r="S3429" s="93" t="s">
        <v>20</v>
      </c>
      <c r="T3429" s="93" t="s">
        <v>115</v>
      </c>
      <c r="U3429" s="93" t="s">
        <v>116</v>
      </c>
      <c r="V3429" s="94">
        <v>44628.560416666667</v>
      </c>
      <c r="W3429" s="93" t="s">
        <v>1170</v>
      </c>
      <c r="X3429" s="93" t="s">
        <v>24</v>
      </c>
    </row>
    <row r="3430" spans="1:24" hidden="1" x14ac:dyDescent="0.15">
      <c r="A3430" s="93" t="s">
        <v>5200</v>
      </c>
      <c r="B3430" s="93" t="s">
        <v>5201</v>
      </c>
      <c r="C3430" s="410">
        <v>1368.15</v>
      </c>
      <c r="D3430" s="93" t="s">
        <v>24</v>
      </c>
      <c r="E3430" s="93" t="s">
        <v>24</v>
      </c>
      <c r="F3430" s="93" t="s">
        <v>7070</v>
      </c>
      <c r="G3430" s="93" t="s">
        <v>8237</v>
      </c>
      <c r="H3430" s="93" t="s">
        <v>11</v>
      </c>
      <c r="I3430" s="93" t="s">
        <v>111</v>
      </c>
      <c r="J3430" s="93" t="s">
        <v>963</v>
      </c>
      <c r="K3430" s="93">
        <v>60</v>
      </c>
      <c r="L3430" s="93" t="s">
        <v>111</v>
      </c>
      <c r="M3430" s="93">
        <v>2</v>
      </c>
      <c r="N3430" s="93" t="s">
        <v>113</v>
      </c>
      <c r="O3430" s="93">
        <v>31</v>
      </c>
      <c r="P3430" s="93">
        <v>34.200000000000003</v>
      </c>
      <c r="Q3430" s="93">
        <v>31</v>
      </c>
      <c r="R3430" s="93" t="s">
        <v>117</v>
      </c>
      <c r="S3430" s="93" t="s">
        <v>111</v>
      </c>
      <c r="T3430" s="93" t="s">
        <v>1659</v>
      </c>
      <c r="U3430" s="93" t="s">
        <v>116</v>
      </c>
      <c r="V3430" s="94">
        <v>44628.606249999997</v>
      </c>
      <c r="W3430" s="93" t="s">
        <v>1170</v>
      </c>
      <c r="X3430" s="93" t="s">
        <v>24</v>
      </c>
    </row>
    <row r="3431" spans="1:24" hidden="1" x14ac:dyDescent="0.15">
      <c r="A3431" s="93" t="s">
        <v>5202</v>
      </c>
      <c r="B3431" s="93" t="s">
        <v>5203</v>
      </c>
      <c r="C3431" s="410">
        <v>1368.15</v>
      </c>
      <c r="D3431" s="93" t="s">
        <v>24</v>
      </c>
      <c r="E3431" s="93" t="s">
        <v>24</v>
      </c>
      <c r="F3431" s="93" t="s">
        <v>7070</v>
      </c>
      <c r="G3431" s="93" t="s">
        <v>8237</v>
      </c>
      <c r="H3431" s="93" t="s">
        <v>11</v>
      </c>
      <c r="I3431" s="93" t="s">
        <v>111</v>
      </c>
      <c r="J3431" s="93" t="s">
        <v>963</v>
      </c>
      <c r="K3431" s="93">
        <v>60</v>
      </c>
      <c r="L3431" s="93" t="s">
        <v>111</v>
      </c>
      <c r="M3431" s="93">
        <v>2</v>
      </c>
      <c r="N3431" s="93" t="s">
        <v>113</v>
      </c>
      <c r="O3431" s="93">
        <v>31</v>
      </c>
      <c r="P3431" s="93">
        <v>34.200000000000003</v>
      </c>
      <c r="Q3431" s="93">
        <v>31</v>
      </c>
      <c r="R3431" s="93" t="s">
        <v>117</v>
      </c>
      <c r="S3431" s="93" t="s">
        <v>659</v>
      </c>
      <c r="T3431" s="93" t="s">
        <v>1659</v>
      </c>
      <c r="U3431" s="93" t="s">
        <v>116</v>
      </c>
      <c r="V3431" s="94">
        <v>44628.541666666664</v>
      </c>
      <c r="W3431" s="93" t="s">
        <v>1170</v>
      </c>
      <c r="X3431" s="93" t="s">
        <v>24</v>
      </c>
    </row>
    <row r="3432" spans="1:24" hidden="1" x14ac:dyDescent="0.15">
      <c r="A3432" s="93" t="s">
        <v>5204</v>
      </c>
      <c r="B3432" s="93" t="s">
        <v>5205</v>
      </c>
      <c r="C3432" s="410">
        <v>472.5</v>
      </c>
      <c r="D3432" s="93" t="s">
        <v>24</v>
      </c>
      <c r="E3432" s="93" t="s">
        <v>24</v>
      </c>
      <c r="F3432" s="93" t="s">
        <v>7070</v>
      </c>
      <c r="G3432" s="93" t="s">
        <v>8237</v>
      </c>
      <c r="H3432" s="93" t="s">
        <v>11</v>
      </c>
      <c r="I3432" s="93" t="s">
        <v>111</v>
      </c>
      <c r="J3432" s="93" t="s">
        <v>963</v>
      </c>
      <c r="K3432" s="93">
        <v>60</v>
      </c>
      <c r="L3432" s="93" t="s">
        <v>111</v>
      </c>
      <c r="M3432" s="93">
        <v>3</v>
      </c>
      <c r="N3432" s="93" t="s">
        <v>113</v>
      </c>
      <c r="O3432" s="93">
        <v>29</v>
      </c>
      <c r="P3432" s="93">
        <v>30</v>
      </c>
      <c r="Q3432" s="93">
        <v>18</v>
      </c>
      <c r="R3432" s="93" t="s">
        <v>117</v>
      </c>
      <c r="S3432" s="93" t="s">
        <v>659</v>
      </c>
      <c r="T3432" s="93" t="s">
        <v>1659</v>
      </c>
      <c r="U3432" s="93" t="s">
        <v>116</v>
      </c>
      <c r="V3432" s="94">
        <v>44628.5625</v>
      </c>
      <c r="W3432" s="93" t="s">
        <v>1170</v>
      </c>
      <c r="X3432" s="93" t="s">
        <v>24</v>
      </c>
    </row>
    <row r="3433" spans="1:24" hidden="1" x14ac:dyDescent="0.15">
      <c r="A3433" s="93" t="s">
        <v>5206</v>
      </c>
      <c r="B3433" s="93" t="s">
        <v>5207</v>
      </c>
      <c r="C3433" s="410">
        <v>803.25</v>
      </c>
      <c r="D3433" s="93" t="s">
        <v>24</v>
      </c>
      <c r="E3433" s="93" t="s">
        <v>24</v>
      </c>
      <c r="F3433" s="93" t="s">
        <v>7070</v>
      </c>
      <c r="G3433" s="93" t="s">
        <v>8237</v>
      </c>
      <c r="H3433" s="93" t="s">
        <v>11</v>
      </c>
      <c r="I3433" s="93" t="s">
        <v>111</v>
      </c>
      <c r="J3433" s="93" t="s">
        <v>963</v>
      </c>
      <c r="K3433" s="93">
        <v>60</v>
      </c>
      <c r="L3433" s="93" t="s">
        <v>111</v>
      </c>
      <c r="M3433" s="93">
        <v>3.5</v>
      </c>
      <c r="N3433" s="93" t="s">
        <v>113</v>
      </c>
      <c r="O3433" s="93">
        <v>29</v>
      </c>
      <c r="P3433" s="93">
        <v>30</v>
      </c>
      <c r="Q3433" s="93">
        <v>18</v>
      </c>
      <c r="R3433" s="93" t="s">
        <v>117</v>
      </c>
      <c r="S3433" s="93" t="s">
        <v>111</v>
      </c>
      <c r="T3433" s="93" t="s">
        <v>1659</v>
      </c>
      <c r="U3433" s="93" t="s">
        <v>116</v>
      </c>
      <c r="V3433" s="94">
        <v>44628.519444444442</v>
      </c>
      <c r="W3433" s="93" t="s">
        <v>1170</v>
      </c>
      <c r="X3433" s="93" t="s">
        <v>24</v>
      </c>
    </row>
    <row r="3434" spans="1:24" hidden="1" x14ac:dyDescent="0.15">
      <c r="A3434" s="93" t="s">
        <v>5208</v>
      </c>
      <c r="B3434" s="93" t="s">
        <v>5209</v>
      </c>
      <c r="C3434" s="410">
        <v>571.20000000000005</v>
      </c>
      <c r="D3434" s="93" t="s">
        <v>24</v>
      </c>
      <c r="E3434" s="93" t="s">
        <v>24</v>
      </c>
      <c r="F3434" s="93" t="s">
        <v>7070</v>
      </c>
      <c r="G3434" s="93" t="s">
        <v>8237</v>
      </c>
      <c r="H3434" s="93" t="s">
        <v>11</v>
      </c>
      <c r="I3434" s="93" t="s">
        <v>111</v>
      </c>
      <c r="J3434" s="93" t="s">
        <v>963</v>
      </c>
      <c r="K3434" s="93">
        <v>60</v>
      </c>
      <c r="L3434" s="93" t="s">
        <v>111</v>
      </c>
      <c r="M3434" s="93">
        <v>2.8</v>
      </c>
      <c r="N3434" s="93" t="s">
        <v>113</v>
      </c>
      <c r="O3434" s="93">
        <v>29</v>
      </c>
      <c r="P3434" s="93">
        <v>29</v>
      </c>
      <c r="Q3434" s="93">
        <v>18</v>
      </c>
      <c r="R3434" s="93" t="s">
        <v>117</v>
      </c>
      <c r="S3434" s="93" t="s">
        <v>111</v>
      </c>
      <c r="T3434" s="93" t="s">
        <v>1659</v>
      </c>
      <c r="U3434" s="93" t="s">
        <v>116</v>
      </c>
      <c r="V3434" s="94">
        <v>44628.476388888892</v>
      </c>
      <c r="W3434" s="93" t="s">
        <v>1170</v>
      </c>
      <c r="X3434" s="93" t="s">
        <v>24</v>
      </c>
    </row>
    <row r="3435" spans="1:24" hidden="1" x14ac:dyDescent="0.15">
      <c r="A3435" s="93" t="s">
        <v>5210</v>
      </c>
      <c r="B3435" s="93" t="s">
        <v>5211</v>
      </c>
      <c r="C3435" s="410">
        <v>1129.8</v>
      </c>
      <c r="D3435" s="93" t="s">
        <v>24</v>
      </c>
      <c r="E3435" s="93" t="s">
        <v>24</v>
      </c>
      <c r="F3435" s="93" t="s">
        <v>7070</v>
      </c>
      <c r="G3435" s="93" t="s">
        <v>8237</v>
      </c>
      <c r="H3435" s="93" t="s">
        <v>11</v>
      </c>
      <c r="I3435" s="93" t="s">
        <v>111</v>
      </c>
      <c r="J3435" s="93" t="s">
        <v>963</v>
      </c>
      <c r="K3435" s="93">
        <v>60</v>
      </c>
      <c r="L3435" s="93" t="s">
        <v>111</v>
      </c>
      <c r="M3435" s="93">
        <v>4</v>
      </c>
      <c r="N3435" s="93" t="s">
        <v>113</v>
      </c>
      <c r="O3435" s="93">
        <v>17</v>
      </c>
      <c r="P3435" s="93">
        <v>32</v>
      </c>
      <c r="Q3435" s="93">
        <v>27</v>
      </c>
      <c r="R3435" s="93" t="s">
        <v>117</v>
      </c>
      <c r="S3435" s="93" t="s">
        <v>111</v>
      </c>
      <c r="T3435" s="93" t="s">
        <v>1659</v>
      </c>
      <c r="U3435" s="93" t="s">
        <v>116</v>
      </c>
      <c r="V3435" s="94">
        <v>44628.541666666664</v>
      </c>
      <c r="W3435" s="93" t="s">
        <v>1170</v>
      </c>
      <c r="X3435" s="93" t="s">
        <v>24</v>
      </c>
    </row>
    <row r="3436" spans="1:24" hidden="1" x14ac:dyDescent="0.15">
      <c r="A3436" s="93" t="s">
        <v>5212</v>
      </c>
      <c r="B3436" s="93" t="s">
        <v>5213</v>
      </c>
      <c r="C3436" s="410">
        <v>116.55</v>
      </c>
      <c r="D3436" s="93" t="s">
        <v>24</v>
      </c>
      <c r="E3436" s="93" t="s">
        <v>24</v>
      </c>
      <c r="F3436" s="93" t="s">
        <v>7070</v>
      </c>
      <c r="G3436" s="93" t="s">
        <v>8237</v>
      </c>
      <c r="H3436" s="93" t="s">
        <v>11</v>
      </c>
      <c r="I3436" s="93" t="s">
        <v>111</v>
      </c>
      <c r="J3436" s="93" t="s">
        <v>963</v>
      </c>
      <c r="K3436" s="93">
        <v>60</v>
      </c>
      <c r="L3436" s="93" t="s">
        <v>111</v>
      </c>
      <c r="M3436" s="93">
        <v>2.5</v>
      </c>
      <c r="N3436" s="93" t="s">
        <v>113</v>
      </c>
      <c r="O3436" s="93">
        <v>28</v>
      </c>
      <c r="P3436" s="93">
        <v>28</v>
      </c>
      <c r="Q3436" s="93">
        <v>18</v>
      </c>
      <c r="R3436" s="93" t="s">
        <v>117</v>
      </c>
      <c r="S3436" s="93" t="s">
        <v>659</v>
      </c>
      <c r="T3436" s="93" t="s">
        <v>1659</v>
      </c>
      <c r="U3436" s="93" t="s">
        <v>116</v>
      </c>
      <c r="V3436" s="94">
        <v>44628.64166666667</v>
      </c>
      <c r="W3436" s="93" t="s">
        <v>1170</v>
      </c>
      <c r="X3436" s="93" t="s">
        <v>24</v>
      </c>
    </row>
    <row r="3437" spans="1:24" hidden="1" x14ac:dyDescent="0.15">
      <c r="A3437" s="93" t="s">
        <v>5214</v>
      </c>
      <c r="B3437" s="93" t="s">
        <v>5215</v>
      </c>
      <c r="C3437" s="410">
        <v>93.45</v>
      </c>
      <c r="D3437" s="93" t="s">
        <v>24</v>
      </c>
      <c r="E3437" s="93" t="s">
        <v>24</v>
      </c>
      <c r="F3437" s="93" t="s">
        <v>7070</v>
      </c>
      <c r="G3437" s="93" t="s">
        <v>8237</v>
      </c>
      <c r="H3437" s="93" t="s">
        <v>11</v>
      </c>
      <c r="I3437" s="93" t="s">
        <v>111</v>
      </c>
      <c r="J3437" s="93" t="s">
        <v>963</v>
      </c>
      <c r="K3437" s="93">
        <v>60</v>
      </c>
      <c r="L3437" s="93" t="s">
        <v>111</v>
      </c>
      <c r="M3437" s="93">
        <v>0.1</v>
      </c>
      <c r="N3437" s="93" t="s">
        <v>113</v>
      </c>
      <c r="O3437" s="93">
        <v>10</v>
      </c>
      <c r="P3437" s="93">
        <v>12.5</v>
      </c>
      <c r="Q3437" s="93">
        <v>4</v>
      </c>
      <c r="R3437" s="93" t="s">
        <v>4205</v>
      </c>
      <c r="S3437" s="93" t="s">
        <v>111</v>
      </c>
      <c r="T3437" s="93" t="s">
        <v>1659</v>
      </c>
      <c r="U3437" s="93" t="s">
        <v>116</v>
      </c>
      <c r="V3437" s="94">
        <v>44628.584722222222</v>
      </c>
      <c r="W3437" s="93" t="s">
        <v>1170</v>
      </c>
      <c r="X3437" s="93" t="s">
        <v>24</v>
      </c>
    </row>
    <row r="3438" spans="1:24" hidden="1" x14ac:dyDescent="0.15">
      <c r="A3438" s="93" t="s">
        <v>5216</v>
      </c>
      <c r="B3438" s="93" t="s">
        <v>5217</v>
      </c>
      <c r="C3438" s="410">
        <v>717.15</v>
      </c>
      <c r="D3438" s="93" t="s">
        <v>24</v>
      </c>
      <c r="E3438" s="93" t="s">
        <v>24</v>
      </c>
      <c r="F3438" s="93" t="s">
        <v>7070</v>
      </c>
      <c r="G3438" s="93" t="s">
        <v>8237</v>
      </c>
      <c r="H3438" s="93" t="s">
        <v>11</v>
      </c>
      <c r="I3438" s="93" t="s">
        <v>111</v>
      </c>
      <c r="J3438" s="93" t="s">
        <v>963</v>
      </c>
      <c r="K3438" s="93">
        <v>60</v>
      </c>
      <c r="L3438" s="93" t="s">
        <v>111</v>
      </c>
      <c r="M3438" s="93">
        <v>3.5</v>
      </c>
      <c r="N3438" s="93" t="s">
        <v>113</v>
      </c>
      <c r="O3438" s="93">
        <v>29</v>
      </c>
      <c r="P3438" s="93">
        <v>27</v>
      </c>
      <c r="Q3438" s="93">
        <v>18</v>
      </c>
      <c r="R3438" s="93" t="s">
        <v>117</v>
      </c>
      <c r="S3438" s="93" t="s">
        <v>111</v>
      </c>
      <c r="T3438" s="93" t="s">
        <v>1659</v>
      </c>
      <c r="U3438" s="93" t="s">
        <v>116</v>
      </c>
      <c r="V3438" s="94">
        <v>44628.606249999997</v>
      </c>
      <c r="W3438" s="93" t="s">
        <v>1170</v>
      </c>
      <c r="X3438" s="93" t="s">
        <v>24</v>
      </c>
    </row>
    <row r="3439" spans="1:24" hidden="1" x14ac:dyDescent="0.15">
      <c r="A3439" s="93" t="s">
        <v>5218</v>
      </c>
      <c r="B3439" s="93" t="s">
        <v>5219</v>
      </c>
      <c r="C3439" s="410">
        <v>371.7</v>
      </c>
      <c r="D3439" s="93" t="s">
        <v>24</v>
      </c>
      <c r="E3439" s="93" t="s">
        <v>24</v>
      </c>
      <c r="F3439" s="93" t="s">
        <v>7070</v>
      </c>
      <c r="G3439" s="93" t="s">
        <v>8237</v>
      </c>
      <c r="H3439" s="93" t="s">
        <v>11</v>
      </c>
      <c r="I3439" s="93" t="s">
        <v>111</v>
      </c>
      <c r="J3439" s="93" t="s">
        <v>963</v>
      </c>
      <c r="K3439" s="93">
        <v>60</v>
      </c>
      <c r="L3439" s="93" t="s">
        <v>111</v>
      </c>
      <c r="M3439" s="93">
        <v>2.5</v>
      </c>
      <c r="N3439" s="93" t="s">
        <v>113</v>
      </c>
      <c r="O3439" s="93">
        <v>28</v>
      </c>
      <c r="P3439" s="93">
        <v>28</v>
      </c>
      <c r="Q3439" s="93">
        <v>18</v>
      </c>
      <c r="R3439" s="93" t="s">
        <v>117</v>
      </c>
      <c r="S3439" s="93" t="s">
        <v>111</v>
      </c>
      <c r="T3439" s="93" t="s">
        <v>1659</v>
      </c>
      <c r="U3439" s="93" t="s">
        <v>116</v>
      </c>
      <c r="V3439" s="94">
        <v>44628.63958333333</v>
      </c>
      <c r="W3439" s="93" t="s">
        <v>1170</v>
      </c>
      <c r="X3439" s="93" t="s">
        <v>24</v>
      </c>
    </row>
    <row r="3440" spans="1:24" hidden="1" x14ac:dyDescent="0.15">
      <c r="A3440" s="93" t="s">
        <v>5220</v>
      </c>
      <c r="B3440" s="93" t="s">
        <v>5221</v>
      </c>
      <c r="C3440" s="410">
        <v>97.65</v>
      </c>
      <c r="D3440" s="93" t="s">
        <v>24</v>
      </c>
      <c r="E3440" s="93" t="s">
        <v>24</v>
      </c>
      <c r="F3440" s="93" t="s">
        <v>7070</v>
      </c>
      <c r="G3440" s="93" t="s">
        <v>8237</v>
      </c>
      <c r="H3440" s="93" t="s">
        <v>11</v>
      </c>
      <c r="I3440" s="93" t="s">
        <v>111</v>
      </c>
      <c r="J3440" s="93" t="s">
        <v>963</v>
      </c>
      <c r="K3440" s="93">
        <v>60</v>
      </c>
      <c r="L3440" s="93" t="s">
        <v>111</v>
      </c>
      <c r="M3440" s="93">
        <v>2.5</v>
      </c>
      <c r="N3440" s="93" t="s">
        <v>113</v>
      </c>
      <c r="O3440" s="93">
        <v>28</v>
      </c>
      <c r="P3440" s="93">
        <v>28</v>
      </c>
      <c r="Q3440" s="93">
        <v>18</v>
      </c>
      <c r="R3440" s="93" t="s">
        <v>117</v>
      </c>
      <c r="S3440" s="93" t="s">
        <v>111</v>
      </c>
      <c r="T3440" s="93" t="s">
        <v>1659</v>
      </c>
      <c r="U3440" s="93" t="s">
        <v>116</v>
      </c>
      <c r="V3440" s="94">
        <v>44628.582638888889</v>
      </c>
      <c r="W3440" s="93" t="s">
        <v>1170</v>
      </c>
      <c r="X3440" s="93" t="s">
        <v>24</v>
      </c>
    </row>
    <row r="3441" spans="1:24" hidden="1" x14ac:dyDescent="0.15">
      <c r="A3441" s="93" t="s">
        <v>5222</v>
      </c>
      <c r="B3441" s="93" t="s">
        <v>5223</v>
      </c>
      <c r="C3441" s="410">
        <v>445.2</v>
      </c>
      <c r="D3441" s="93" t="s">
        <v>24</v>
      </c>
      <c r="E3441" s="93" t="s">
        <v>24</v>
      </c>
      <c r="F3441" s="93" t="s">
        <v>7070</v>
      </c>
      <c r="G3441" s="93" t="s">
        <v>8237</v>
      </c>
      <c r="H3441" s="93" t="s">
        <v>11</v>
      </c>
      <c r="I3441" s="93" t="s">
        <v>111</v>
      </c>
      <c r="J3441" s="93" t="s">
        <v>963</v>
      </c>
      <c r="K3441" s="93">
        <v>60</v>
      </c>
      <c r="L3441" s="93" t="s">
        <v>111</v>
      </c>
      <c r="M3441" s="93">
        <v>0.45</v>
      </c>
      <c r="N3441" s="93" t="s">
        <v>113</v>
      </c>
      <c r="O3441" s="93">
        <v>7</v>
      </c>
      <c r="P3441" s="93">
        <v>7</v>
      </c>
      <c r="Q3441" s="93">
        <v>110</v>
      </c>
      <c r="R3441" s="93" t="s">
        <v>1230</v>
      </c>
      <c r="S3441" s="93" t="s">
        <v>16</v>
      </c>
      <c r="T3441" s="93" t="s">
        <v>1659</v>
      </c>
      <c r="U3441" s="93" t="s">
        <v>116</v>
      </c>
      <c r="V3441" s="94">
        <v>44628.638194444444</v>
      </c>
      <c r="W3441" s="93" t="s">
        <v>1170</v>
      </c>
      <c r="X3441" s="93" t="s">
        <v>24</v>
      </c>
    </row>
    <row r="3442" spans="1:24" hidden="1" x14ac:dyDescent="0.15">
      <c r="A3442" s="93" t="s">
        <v>5224</v>
      </c>
      <c r="B3442" s="93" t="s">
        <v>5225</v>
      </c>
      <c r="C3442" s="410">
        <v>93.45</v>
      </c>
      <c r="D3442" s="93" t="s">
        <v>24</v>
      </c>
      <c r="E3442" s="93" t="s">
        <v>24</v>
      </c>
      <c r="F3442" s="93" t="s">
        <v>7070</v>
      </c>
      <c r="G3442" s="93" t="s">
        <v>8237</v>
      </c>
      <c r="H3442" s="93" t="s">
        <v>11</v>
      </c>
      <c r="I3442" s="93" t="s">
        <v>111</v>
      </c>
      <c r="J3442" s="93" t="s">
        <v>963</v>
      </c>
      <c r="K3442" s="93">
        <v>60</v>
      </c>
      <c r="L3442" s="93" t="s">
        <v>111</v>
      </c>
      <c r="M3442" s="93">
        <v>0.4</v>
      </c>
      <c r="N3442" s="93" t="s">
        <v>113</v>
      </c>
      <c r="O3442" s="93">
        <v>5</v>
      </c>
      <c r="P3442" s="93">
        <v>8.1999999999999993</v>
      </c>
      <c r="Q3442" s="93">
        <v>51.5</v>
      </c>
      <c r="R3442" s="93" t="s">
        <v>122</v>
      </c>
      <c r="S3442" s="93" t="s">
        <v>2</v>
      </c>
      <c r="T3442" s="93" t="s">
        <v>1659</v>
      </c>
      <c r="U3442" s="93" t="s">
        <v>116</v>
      </c>
      <c r="V3442" s="94">
        <v>44628.51666666667</v>
      </c>
      <c r="W3442" s="93" t="s">
        <v>1170</v>
      </c>
      <c r="X3442" s="93" t="s">
        <v>24</v>
      </c>
    </row>
    <row r="3443" spans="1:24" hidden="1" x14ac:dyDescent="0.15">
      <c r="A3443" s="93" t="s">
        <v>5226</v>
      </c>
      <c r="B3443" s="93" t="s">
        <v>5227</v>
      </c>
      <c r="C3443" s="410">
        <v>189</v>
      </c>
      <c r="D3443" s="93" t="s">
        <v>24</v>
      </c>
      <c r="E3443" s="93" t="s">
        <v>24</v>
      </c>
      <c r="F3443" s="93" t="s">
        <v>7070</v>
      </c>
      <c r="G3443" s="93" t="s">
        <v>8237</v>
      </c>
      <c r="H3443" s="93" t="s">
        <v>11</v>
      </c>
      <c r="I3443" s="93" t="s">
        <v>111</v>
      </c>
      <c r="J3443" s="93" t="s">
        <v>1759</v>
      </c>
      <c r="K3443" s="93">
        <v>70</v>
      </c>
      <c r="L3443" s="93" t="s">
        <v>111</v>
      </c>
      <c r="M3443" s="93">
        <v>0.5</v>
      </c>
      <c r="N3443" s="93" t="s">
        <v>113</v>
      </c>
      <c r="O3443" s="93">
        <v>5</v>
      </c>
      <c r="P3443" s="93">
        <v>7</v>
      </c>
      <c r="Q3443" s="93">
        <v>9</v>
      </c>
      <c r="R3443" s="93" t="s">
        <v>117</v>
      </c>
      <c r="S3443" s="93" t="s">
        <v>659</v>
      </c>
      <c r="T3443" s="93" t="s">
        <v>115</v>
      </c>
      <c r="U3443" s="93" t="s">
        <v>116</v>
      </c>
      <c r="V3443" s="94">
        <v>44628.57916666667</v>
      </c>
      <c r="W3443" s="93" t="s">
        <v>1170</v>
      </c>
      <c r="X3443" s="93" t="s">
        <v>24</v>
      </c>
    </row>
    <row r="3444" spans="1:24" hidden="1" x14ac:dyDescent="0.15">
      <c r="A3444" s="93" t="s">
        <v>5228</v>
      </c>
      <c r="B3444" s="93" t="s">
        <v>5229</v>
      </c>
      <c r="C3444" s="410">
        <v>761.25</v>
      </c>
      <c r="D3444" s="93" t="s">
        <v>9</v>
      </c>
      <c r="E3444" s="93" t="s">
        <v>9</v>
      </c>
      <c r="F3444" s="93" t="s">
        <v>1648</v>
      </c>
      <c r="G3444" s="93" t="s">
        <v>9117</v>
      </c>
      <c r="H3444" s="93" t="s">
        <v>1943</v>
      </c>
      <c r="I3444" s="93" t="s">
        <v>111</v>
      </c>
      <c r="J3444" s="93" t="s">
        <v>1675</v>
      </c>
      <c r="K3444" s="93">
        <v>60</v>
      </c>
      <c r="L3444" s="93" t="s">
        <v>111</v>
      </c>
      <c r="M3444" s="93">
        <v>3.5</v>
      </c>
      <c r="N3444" s="93" t="s">
        <v>113</v>
      </c>
      <c r="O3444" s="93">
        <v>10</v>
      </c>
      <c r="P3444" s="93">
        <v>30</v>
      </c>
      <c r="Q3444" s="93">
        <v>34</v>
      </c>
      <c r="R3444" s="93" t="s">
        <v>117</v>
      </c>
      <c r="S3444" s="93" t="s">
        <v>659</v>
      </c>
      <c r="T3444" s="93" t="s">
        <v>115</v>
      </c>
      <c r="U3444" s="93" t="s">
        <v>116</v>
      </c>
      <c r="V3444" s="94">
        <v>44628.489583333336</v>
      </c>
      <c r="W3444" s="93" t="s">
        <v>1555</v>
      </c>
      <c r="X3444" s="93" t="s">
        <v>24</v>
      </c>
    </row>
    <row r="3445" spans="1:24" hidden="1" x14ac:dyDescent="0.15">
      <c r="A3445" s="93" t="s">
        <v>5230</v>
      </c>
      <c r="B3445" s="93" t="s">
        <v>5231</v>
      </c>
      <c r="C3445" s="410">
        <v>761.25</v>
      </c>
      <c r="D3445" s="93" t="s">
        <v>9</v>
      </c>
      <c r="E3445" s="93" t="s">
        <v>9</v>
      </c>
      <c r="F3445" s="93" t="s">
        <v>1648</v>
      </c>
      <c r="G3445" s="93" t="s">
        <v>9117</v>
      </c>
      <c r="H3445" s="93" t="s">
        <v>1943</v>
      </c>
      <c r="I3445" s="93" t="s">
        <v>111</v>
      </c>
      <c r="J3445" s="93" t="s">
        <v>1675</v>
      </c>
      <c r="K3445" s="93">
        <v>60</v>
      </c>
      <c r="L3445" s="93" t="s">
        <v>111</v>
      </c>
      <c r="M3445" s="93">
        <v>3.5</v>
      </c>
      <c r="N3445" s="93" t="s">
        <v>113</v>
      </c>
      <c r="O3445" s="93">
        <v>10</v>
      </c>
      <c r="P3445" s="93">
        <v>30</v>
      </c>
      <c r="Q3445" s="93">
        <v>34</v>
      </c>
      <c r="R3445" s="93" t="s">
        <v>117</v>
      </c>
      <c r="S3445" s="93" t="s">
        <v>659</v>
      </c>
      <c r="T3445" s="93" t="s">
        <v>115</v>
      </c>
      <c r="U3445" s="93" t="s">
        <v>116</v>
      </c>
      <c r="V3445" s="94">
        <v>44628.511805555558</v>
      </c>
      <c r="W3445" s="93" t="s">
        <v>1555</v>
      </c>
      <c r="X3445" s="93" t="s">
        <v>24</v>
      </c>
    </row>
    <row r="3446" spans="1:24" hidden="1" x14ac:dyDescent="0.15">
      <c r="A3446" s="93" t="s">
        <v>5232</v>
      </c>
      <c r="B3446" s="93" t="s">
        <v>5233</v>
      </c>
      <c r="C3446" s="410">
        <v>761.25</v>
      </c>
      <c r="D3446" s="93" t="s">
        <v>9</v>
      </c>
      <c r="E3446" s="93" t="s">
        <v>9</v>
      </c>
      <c r="F3446" s="93" t="s">
        <v>1648</v>
      </c>
      <c r="G3446" s="93" t="s">
        <v>9117</v>
      </c>
      <c r="H3446" s="93" t="s">
        <v>1943</v>
      </c>
      <c r="I3446" s="93" t="s">
        <v>111</v>
      </c>
      <c r="J3446" s="93" t="s">
        <v>1675</v>
      </c>
      <c r="K3446" s="93">
        <v>60</v>
      </c>
      <c r="L3446" s="93" t="s">
        <v>111</v>
      </c>
      <c r="M3446" s="93">
        <v>3.5</v>
      </c>
      <c r="N3446" s="93" t="s">
        <v>113</v>
      </c>
      <c r="O3446" s="93">
        <v>10</v>
      </c>
      <c r="P3446" s="93">
        <v>30</v>
      </c>
      <c r="Q3446" s="93">
        <v>34</v>
      </c>
      <c r="R3446" s="93" t="s">
        <v>117</v>
      </c>
      <c r="S3446" s="93" t="s">
        <v>659</v>
      </c>
      <c r="T3446" s="93" t="s">
        <v>115</v>
      </c>
      <c r="U3446" s="93" t="s">
        <v>116</v>
      </c>
      <c r="V3446" s="94">
        <v>44628.489583333336</v>
      </c>
      <c r="W3446" s="93" t="s">
        <v>1555</v>
      </c>
      <c r="X3446" s="93" t="s">
        <v>24</v>
      </c>
    </row>
    <row r="3447" spans="1:24" hidden="1" x14ac:dyDescent="0.15">
      <c r="A3447" s="93" t="s">
        <v>5234</v>
      </c>
      <c r="B3447" s="93" t="s">
        <v>5235</v>
      </c>
      <c r="C3447" s="410">
        <v>761.25</v>
      </c>
      <c r="D3447" s="93" t="s">
        <v>9</v>
      </c>
      <c r="E3447" s="93" t="s">
        <v>9</v>
      </c>
      <c r="F3447" s="93" t="s">
        <v>1648</v>
      </c>
      <c r="G3447" s="93" t="s">
        <v>9117</v>
      </c>
      <c r="H3447" s="93" t="s">
        <v>1943</v>
      </c>
      <c r="I3447" s="93" t="s">
        <v>111</v>
      </c>
      <c r="J3447" s="93" t="s">
        <v>1675</v>
      </c>
      <c r="K3447" s="93">
        <v>60</v>
      </c>
      <c r="L3447" s="93" t="s">
        <v>111</v>
      </c>
      <c r="M3447" s="93">
        <v>3.5</v>
      </c>
      <c r="N3447" s="93" t="s">
        <v>113</v>
      </c>
      <c r="O3447" s="93">
        <v>10</v>
      </c>
      <c r="P3447" s="93">
        <v>30</v>
      </c>
      <c r="Q3447" s="93">
        <v>34</v>
      </c>
      <c r="R3447" s="93" t="s">
        <v>117</v>
      </c>
      <c r="S3447" s="93" t="s">
        <v>659</v>
      </c>
      <c r="T3447" s="93" t="s">
        <v>115</v>
      </c>
      <c r="U3447" s="93" t="s">
        <v>116</v>
      </c>
      <c r="V3447" s="94">
        <v>44628.633333333331</v>
      </c>
      <c r="W3447" s="93" t="s">
        <v>1555</v>
      </c>
      <c r="X3447" s="93" t="s">
        <v>24</v>
      </c>
    </row>
    <row r="3448" spans="1:24" hidden="1" x14ac:dyDescent="0.15">
      <c r="A3448" s="93" t="s">
        <v>5236</v>
      </c>
      <c r="B3448" s="93" t="s">
        <v>5237</v>
      </c>
      <c r="C3448" s="410">
        <v>761.25</v>
      </c>
      <c r="D3448" s="93" t="s">
        <v>9</v>
      </c>
      <c r="E3448" s="93" t="s">
        <v>9</v>
      </c>
      <c r="F3448" s="93" t="s">
        <v>1648</v>
      </c>
      <c r="G3448" s="93" t="s">
        <v>9117</v>
      </c>
      <c r="H3448" s="93" t="s">
        <v>1943</v>
      </c>
      <c r="I3448" s="93" t="s">
        <v>111</v>
      </c>
      <c r="J3448" s="93" t="s">
        <v>1675</v>
      </c>
      <c r="K3448" s="93">
        <v>60</v>
      </c>
      <c r="L3448" s="93" t="s">
        <v>111</v>
      </c>
      <c r="M3448" s="93">
        <v>3.5</v>
      </c>
      <c r="N3448" s="93" t="s">
        <v>113</v>
      </c>
      <c r="O3448" s="93">
        <v>10</v>
      </c>
      <c r="P3448" s="93">
        <v>30</v>
      </c>
      <c r="Q3448" s="93">
        <v>34</v>
      </c>
      <c r="R3448" s="93" t="s">
        <v>117</v>
      </c>
      <c r="S3448" s="93" t="s">
        <v>659</v>
      </c>
      <c r="T3448" s="93" t="s">
        <v>115</v>
      </c>
      <c r="U3448" s="93" t="s">
        <v>116</v>
      </c>
      <c r="V3448" s="94">
        <v>44628.633333333331</v>
      </c>
      <c r="W3448" s="93" t="s">
        <v>1555</v>
      </c>
      <c r="X3448" s="93" t="s">
        <v>24</v>
      </c>
    </row>
    <row r="3449" spans="1:24" hidden="1" x14ac:dyDescent="0.15">
      <c r="A3449" s="93" t="s">
        <v>5238</v>
      </c>
      <c r="B3449" s="93" t="s">
        <v>5239</v>
      </c>
      <c r="C3449" s="410">
        <v>761.25</v>
      </c>
      <c r="D3449" s="93" t="s">
        <v>9</v>
      </c>
      <c r="E3449" s="93" t="s">
        <v>9</v>
      </c>
      <c r="F3449" s="93" t="s">
        <v>1648</v>
      </c>
      <c r="G3449" s="93" t="s">
        <v>9117</v>
      </c>
      <c r="H3449" s="93" t="s">
        <v>1943</v>
      </c>
      <c r="I3449" s="93" t="s">
        <v>111</v>
      </c>
      <c r="J3449" s="93" t="s">
        <v>1675</v>
      </c>
      <c r="K3449" s="93">
        <v>60</v>
      </c>
      <c r="L3449" s="93" t="s">
        <v>111</v>
      </c>
      <c r="M3449" s="93">
        <v>3.5</v>
      </c>
      <c r="N3449" s="93" t="s">
        <v>113</v>
      </c>
      <c r="O3449" s="93">
        <v>10</v>
      </c>
      <c r="P3449" s="93">
        <v>30</v>
      </c>
      <c r="Q3449" s="93">
        <v>34</v>
      </c>
      <c r="R3449" s="93" t="s">
        <v>117</v>
      </c>
      <c r="S3449" s="93" t="s">
        <v>659</v>
      </c>
      <c r="T3449" s="93" t="s">
        <v>115</v>
      </c>
      <c r="U3449" s="93" t="s">
        <v>116</v>
      </c>
      <c r="V3449" s="94">
        <v>44628.489583333336</v>
      </c>
      <c r="W3449" s="93" t="s">
        <v>1555</v>
      </c>
      <c r="X3449" s="93" t="s">
        <v>24</v>
      </c>
    </row>
    <row r="3450" spans="1:24" hidden="1" x14ac:dyDescent="0.15">
      <c r="A3450" s="93" t="s">
        <v>5240</v>
      </c>
      <c r="B3450" s="93" t="s">
        <v>5241</v>
      </c>
      <c r="C3450" s="410">
        <v>525</v>
      </c>
      <c r="D3450" s="93" t="s">
        <v>9</v>
      </c>
      <c r="E3450" s="93" t="s">
        <v>9</v>
      </c>
      <c r="F3450" s="93" t="s">
        <v>1648</v>
      </c>
      <c r="G3450" s="93" t="s">
        <v>9117</v>
      </c>
      <c r="H3450" s="93" t="s">
        <v>1943</v>
      </c>
      <c r="I3450" s="93" t="s">
        <v>111</v>
      </c>
      <c r="J3450" s="93" t="s">
        <v>1675</v>
      </c>
      <c r="K3450" s="93">
        <v>60</v>
      </c>
      <c r="L3450" s="93" t="s">
        <v>111</v>
      </c>
      <c r="M3450" s="93">
        <v>9</v>
      </c>
      <c r="N3450" s="93" t="s">
        <v>113</v>
      </c>
      <c r="O3450" s="93">
        <v>21.8</v>
      </c>
      <c r="P3450" s="93">
        <v>31.8</v>
      </c>
      <c r="Q3450" s="93">
        <v>46.3</v>
      </c>
      <c r="R3450" s="93" t="s">
        <v>117</v>
      </c>
      <c r="S3450" s="93" t="s">
        <v>659</v>
      </c>
      <c r="T3450" s="93" t="s">
        <v>115</v>
      </c>
      <c r="U3450" s="93" t="s">
        <v>116</v>
      </c>
      <c r="V3450" s="94">
        <v>44628.511805555558</v>
      </c>
      <c r="W3450" s="93" t="s">
        <v>1555</v>
      </c>
      <c r="X3450" s="93" t="s">
        <v>24</v>
      </c>
    </row>
    <row r="3451" spans="1:24" hidden="1" x14ac:dyDescent="0.15">
      <c r="A3451" s="93" t="s">
        <v>5242</v>
      </c>
      <c r="B3451" s="93" t="s">
        <v>5243</v>
      </c>
      <c r="C3451" s="410">
        <v>525</v>
      </c>
      <c r="D3451" s="93" t="s">
        <v>9</v>
      </c>
      <c r="E3451" s="93" t="s">
        <v>9</v>
      </c>
      <c r="F3451" s="93" t="s">
        <v>1648</v>
      </c>
      <c r="G3451" s="93" t="s">
        <v>9117</v>
      </c>
      <c r="H3451" s="93" t="s">
        <v>1943</v>
      </c>
      <c r="I3451" s="93" t="s">
        <v>111</v>
      </c>
      <c r="J3451" s="93" t="s">
        <v>1675</v>
      </c>
      <c r="K3451" s="93">
        <v>60</v>
      </c>
      <c r="L3451" s="93" t="s">
        <v>111</v>
      </c>
      <c r="M3451" s="93">
        <v>9</v>
      </c>
      <c r="N3451" s="93" t="s">
        <v>113</v>
      </c>
      <c r="O3451" s="93">
        <v>21.8</v>
      </c>
      <c r="P3451" s="93">
        <v>31.8</v>
      </c>
      <c r="Q3451" s="93">
        <v>46.3</v>
      </c>
      <c r="R3451" s="93" t="s">
        <v>117</v>
      </c>
      <c r="S3451" s="93" t="s">
        <v>659</v>
      </c>
      <c r="T3451" s="93" t="s">
        <v>115</v>
      </c>
      <c r="U3451" s="93" t="s">
        <v>116</v>
      </c>
      <c r="V3451" s="94">
        <v>44628.46875</v>
      </c>
      <c r="W3451" s="93" t="s">
        <v>1555</v>
      </c>
      <c r="X3451" s="93" t="s">
        <v>24</v>
      </c>
    </row>
    <row r="3452" spans="1:24" hidden="1" x14ac:dyDescent="0.15">
      <c r="A3452" s="93" t="s">
        <v>5244</v>
      </c>
      <c r="B3452" s="93" t="s">
        <v>5245</v>
      </c>
      <c r="C3452" s="410">
        <v>525</v>
      </c>
      <c r="D3452" s="93" t="s">
        <v>9</v>
      </c>
      <c r="E3452" s="93" t="s">
        <v>9</v>
      </c>
      <c r="F3452" s="93" t="s">
        <v>1648</v>
      </c>
      <c r="G3452" s="93" t="s">
        <v>9117</v>
      </c>
      <c r="H3452" s="93" t="s">
        <v>1943</v>
      </c>
      <c r="I3452" s="93" t="s">
        <v>111</v>
      </c>
      <c r="J3452" s="93" t="s">
        <v>1675</v>
      </c>
      <c r="K3452" s="93">
        <v>60</v>
      </c>
      <c r="L3452" s="93" t="s">
        <v>111</v>
      </c>
      <c r="M3452" s="93">
        <v>9</v>
      </c>
      <c r="N3452" s="93" t="s">
        <v>113</v>
      </c>
      <c r="O3452" s="93">
        <v>21.8</v>
      </c>
      <c r="P3452" s="93">
        <v>31.8</v>
      </c>
      <c r="Q3452" s="93">
        <v>46.3</v>
      </c>
      <c r="R3452" s="93" t="s">
        <v>117</v>
      </c>
      <c r="S3452" s="93" t="s">
        <v>659</v>
      </c>
      <c r="T3452" s="93" t="s">
        <v>115</v>
      </c>
      <c r="U3452" s="93" t="s">
        <v>116</v>
      </c>
      <c r="V3452" s="94">
        <v>44628.511805555558</v>
      </c>
      <c r="W3452" s="93" t="s">
        <v>1555</v>
      </c>
      <c r="X3452" s="93" t="s">
        <v>24</v>
      </c>
    </row>
    <row r="3453" spans="1:24" hidden="1" x14ac:dyDescent="0.15">
      <c r="A3453" s="93" t="s">
        <v>5246</v>
      </c>
      <c r="B3453" s="93" t="s">
        <v>5247</v>
      </c>
      <c r="C3453" s="410">
        <v>525</v>
      </c>
      <c r="D3453" s="93" t="s">
        <v>9</v>
      </c>
      <c r="E3453" s="93" t="s">
        <v>9</v>
      </c>
      <c r="F3453" s="93" t="s">
        <v>1648</v>
      </c>
      <c r="G3453" s="93" t="s">
        <v>9117</v>
      </c>
      <c r="H3453" s="93" t="s">
        <v>1943</v>
      </c>
      <c r="I3453" s="93" t="s">
        <v>111</v>
      </c>
      <c r="J3453" s="93" t="s">
        <v>1675</v>
      </c>
      <c r="K3453" s="93">
        <v>60</v>
      </c>
      <c r="L3453" s="93" t="s">
        <v>111</v>
      </c>
      <c r="M3453" s="93">
        <v>9</v>
      </c>
      <c r="N3453" s="93" t="s">
        <v>113</v>
      </c>
      <c r="O3453" s="93">
        <v>21.8</v>
      </c>
      <c r="P3453" s="93">
        <v>31.8</v>
      </c>
      <c r="Q3453" s="93">
        <v>46.3</v>
      </c>
      <c r="R3453" s="93" t="s">
        <v>117</v>
      </c>
      <c r="S3453" s="93" t="s">
        <v>659</v>
      </c>
      <c r="T3453" s="93" t="s">
        <v>115</v>
      </c>
      <c r="U3453" s="93" t="s">
        <v>116</v>
      </c>
      <c r="V3453" s="94">
        <v>44628.489583333336</v>
      </c>
      <c r="W3453" s="93" t="s">
        <v>1555</v>
      </c>
      <c r="X3453" s="93" t="s">
        <v>24</v>
      </c>
    </row>
    <row r="3454" spans="1:24" hidden="1" x14ac:dyDescent="0.15">
      <c r="A3454" s="93" t="s">
        <v>5248</v>
      </c>
      <c r="B3454" s="93" t="s">
        <v>5249</v>
      </c>
      <c r="C3454" s="410">
        <v>525</v>
      </c>
      <c r="D3454" s="93" t="s">
        <v>9</v>
      </c>
      <c r="E3454" s="93" t="s">
        <v>9</v>
      </c>
      <c r="F3454" s="93" t="s">
        <v>1648</v>
      </c>
      <c r="G3454" s="93" t="s">
        <v>9117</v>
      </c>
      <c r="H3454" s="93" t="s">
        <v>1943</v>
      </c>
      <c r="I3454" s="93" t="s">
        <v>111</v>
      </c>
      <c r="J3454" s="93" t="s">
        <v>1675</v>
      </c>
      <c r="K3454" s="93">
        <v>60</v>
      </c>
      <c r="L3454" s="93" t="s">
        <v>111</v>
      </c>
      <c r="M3454" s="93">
        <v>9</v>
      </c>
      <c r="N3454" s="93" t="s">
        <v>113</v>
      </c>
      <c r="O3454" s="93">
        <v>21.8</v>
      </c>
      <c r="P3454" s="93">
        <v>31.8</v>
      </c>
      <c r="Q3454" s="93">
        <v>46.3</v>
      </c>
      <c r="R3454" s="93" t="s">
        <v>117</v>
      </c>
      <c r="S3454" s="93" t="s">
        <v>659</v>
      </c>
      <c r="T3454" s="93" t="s">
        <v>115</v>
      </c>
      <c r="U3454" s="93" t="s">
        <v>116</v>
      </c>
      <c r="V3454" s="94">
        <v>44628.554861111108</v>
      </c>
      <c r="W3454" s="93" t="s">
        <v>1555</v>
      </c>
      <c r="X3454" s="93" t="s">
        <v>24</v>
      </c>
    </row>
    <row r="3455" spans="1:24" hidden="1" x14ac:dyDescent="0.15">
      <c r="A3455" s="93" t="s">
        <v>5250</v>
      </c>
      <c r="B3455" s="93" t="s">
        <v>5251</v>
      </c>
      <c r="C3455" s="410">
        <v>525</v>
      </c>
      <c r="D3455" s="93" t="s">
        <v>9</v>
      </c>
      <c r="E3455" s="93" t="s">
        <v>9</v>
      </c>
      <c r="F3455" s="93" t="s">
        <v>1648</v>
      </c>
      <c r="G3455" s="93" t="s">
        <v>9117</v>
      </c>
      <c r="H3455" s="93" t="s">
        <v>1943</v>
      </c>
      <c r="I3455" s="93" t="s">
        <v>111</v>
      </c>
      <c r="J3455" s="93" t="s">
        <v>1675</v>
      </c>
      <c r="K3455" s="93">
        <v>60</v>
      </c>
      <c r="L3455" s="93" t="s">
        <v>111</v>
      </c>
      <c r="M3455" s="93">
        <v>9</v>
      </c>
      <c r="N3455" s="93" t="s">
        <v>113</v>
      </c>
      <c r="O3455" s="93">
        <v>21.8</v>
      </c>
      <c r="P3455" s="93">
        <v>31.8</v>
      </c>
      <c r="Q3455" s="93">
        <v>46.3</v>
      </c>
      <c r="R3455" s="93" t="s">
        <v>117</v>
      </c>
      <c r="S3455" s="93" t="s">
        <v>659</v>
      </c>
      <c r="T3455" s="93" t="s">
        <v>115</v>
      </c>
      <c r="U3455" s="93" t="s">
        <v>116</v>
      </c>
      <c r="V3455" s="94">
        <v>44628.511805555558</v>
      </c>
      <c r="W3455" s="93" t="s">
        <v>1555</v>
      </c>
      <c r="X3455" s="93" t="s">
        <v>24</v>
      </c>
    </row>
    <row r="3456" spans="1:24" hidden="1" x14ac:dyDescent="0.15">
      <c r="A3456" s="93" t="s">
        <v>5252</v>
      </c>
      <c r="B3456" s="93" t="s">
        <v>5253</v>
      </c>
      <c r="C3456" s="410">
        <v>131.25</v>
      </c>
      <c r="D3456" s="93" t="s">
        <v>24</v>
      </c>
      <c r="E3456" s="93" t="s">
        <v>24</v>
      </c>
      <c r="F3456" s="93" t="s">
        <v>7070</v>
      </c>
      <c r="G3456" s="93" t="s">
        <v>8237</v>
      </c>
      <c r="H3456" s="93" t="s">
        <v>11</v>
      </c>
      <c r="I3456" s="93" t="s">
        <v>111</v>
      </c>
      <c r="J3456" s="93" t="s">
        <v>963</v>
      </c>
      <c r="K3456" s="93">
        <v>60</v>
      </c>
      <c r="L3456" s="93">
        <v>1</v>
      </c>
      <c r="M3456" s="93">
        <v>0.1</v>
      </c>
      <c r="N3456" s="93" t="s">
        <v>113</v>
      </c>
      <c r="O3456" s="93">
        <v>5</v>
      </c>
      <c r="P3456" s="93">
        <v>6</v>
      </c>
      <c r="Q3456" s="93">
        <v>6</v>
      </c>
      <c r="R3456" s="93" t="s">
        <v>117</v>
      </c>
      <c r="S3456" s="93" t="s">
        <v>659</v>
      </c>
      <c r="T3456" s="93" t="s">
        <v>115</v>
      </c>
      <c r="U3456" s="93" t="s">
        <v>116</v>
      </c>
      <c r="V3456" s="94">
        <v>44628.511111111111</v>
      </c>
      <c r="W3456" s="93" t="s">
        <v>1555</v>
      </c>
      <c r="X3456" s="93" t="s">
        <v>24</v>
      </c>
    </row>
    <row r="3457" spans="1:24" hidden="1" x14ac:dyDescent="0.15">
      <c r="A3457" s="93" t="s">
        <v>5254</v>
      </c>
      <c r="B3457" s="93" t="s">
        <v>5255</v>
      </c>
      <c r="C3457" s="410">
        <v>478.8</v>
      </c>
      <c r="D3457" s="93" t="s">
        <v>24</v>
      </c>
      <c r="E3457" s="93" t="s">
        <v>24</v>
      </c>
      <c r="F3457" s="93" t="s">
        <v>7070</v>
      </c>
      <c r="G3457" s="93" t="s">
        <v>8237</v>
      </c>
      <c r="H3457" s="93" t="s">
        <v>1198</v>
      </c>
      <c r="I3457" s="93" t="s">
        <v>111</v>
      </c>
      <c r="J3457" s="93" t="s">
        <v>963</v>
      </c>
      <c r="K3457" s="93">
        <v>60</v>
      </c>
      <c r="L3457" s="93" t="s">
        <v>111</v>
      </c>
      <c r="M3457" s="93">
        <v>9.3000000000000007</v>
      </c>
      <c r="N3457" s="93" t="s">
        <v>113</v>
      </c>
      <c r="O3457" s="93">
        <v>46</v>
      </c>
      <c r="P3457" s="93">
        <v>33</v>
      </c>
      <c r="Q3457" s="93">
        <v>64</v>
      </c>
      <c r="R3457" s="93" t="s">
        <v>117</v>
      </c>
      <c r="S3457" s="93" t="s">
        <v>18</v>
      </c>
      <c r="T3457" s="93" t="s">
        <v>1659</v>
      </c>
      <c r="U3457" s="93" t="s">
        <v>116</v>
      </c>
      <c r="V3457" s="94">
        <v>44628.519444444442</v>
      </c>
      <c r="W3457" s="93" t="s">
        <v>1170</v>
      </c>
      <c r="X3457" s="93" t="s">
        <v>24</v>
      </c>
    </row>
    <row r="3458" spans="1:24" hidden="1" x14ac:dyDescent="0.15">
      <c r="A3458" s="93" t="s">
        <v>5256</v>
      </c>
      <c r="B3458" s="93" t="s">
        <v>5257</v>
      </c>
      <c r="C3458" s="410">
        <v>603.75</v>
      </c>
      <c r="D3458" s="93" t="s">
        <v>24</v>
      </c>
      <c r="E3458" s="93" t="s">
        <v>24</v>
      </c>
      <c r="F3458" s="93" t="s">
        <v>7070</v>
      </c>
      <c r="G3458" s="93" t="s">
        <v>8237</v>
      </c>
      <c r="H3458" s="93" t="s">
        <v>1198</v>
      </c>
      <c r="I3458" s="93" t="s">
        <v>111</v>
      </c>
      <c r="J3458" s="93" t="s">
        <v>963</v>
      </c>
      <c r="K3458" s="93">
        <v>60</v>
      </c>
      <c r="L3458" s="93" t="s">
        <v>111</v>
      </c>
      <c r="M3458" s="93">
        <v>19.420000000000002</v>
      </c>
      <c r="N3458" s="93" t="s">
        <v>113</v>
      </c>
      <c r="O3458" s="93">
        <v>70</v>
      </c>
      <c r="P3458" s="93">
        <v>56</v>
      </c>
      <c r="Q3458" s="93">
        <v>70</v>
      </c>
      <c r="R3458" s="93" t="s">
        <v>117</v>
      </c>
      <c r="S3458" s="93" t="s">
        <v>18</v>
      </c>
      <c r="T3458" s="93" t="s">
        <v>1659</v>
      </c>
      <c r="U3458" s="93" t="s">
        <v>116</v>
      </c>
      <c r="V3458" s="94">
        <v>44628.606249999997</v>
      </c>
      <c r="W3458" s="93" t="s">
        <v>1170</v>
      </c>
      <c r="X3458" s="93" t="s">
        <v>24</v>
      </c>
    </row>
    <row r="3459" spans="1:24" hidden="1" x14ac:dyDescent="0.15">
      <c r="A3459" s="93" t="s">
        <v>5258</v>
      </c>
      <c r="B3459" s="93" t="s">
        <v>5259</v>
      </c>
      <c r="C3459" s="410">
        <v>1365</v>
      </c>
      <c r="D3459" s="93" t="s">
        <v>24</v>
      </c>
      <c r="E3459" s="93" t="s">
        <v>24</v>
      </c>
      <c r="F3459" s="93" t="s">
        <v>7070</v>
      </c>
      <c r="G3459" s="93" t="s">
        <v>8237</v>
      </c>
      <c r="H3459" s="93" t="s">
        <v>1198</v>
      </c>
      <c r="I3459" s="93" t="s">
        <v>111</v>
      </c>
      <c r="J3459" s="93" t="s">
        <v>963</v>
      </c>
      <c r="K3459" s="93">
        <v>60</v>
      </c>
      <c r="L3459" s="93" t="s">
        <v>111</v>
      </c>
      <c r="M3459" s="93">
        <v>30.8</v>
      </c>
      <c r="N3459" s="93" t="s">
        <v>113</v>
      </c>
      <c r="O3459" s="93">
        <v>37</v>
      </c>
      <c r="P3459" s="93">
        <v>120</v>
      </c>
      <c r="Q3459" s="93">
        <v>107</v>
      </c>
      <c r="R3459" s="93" t="s">
        <v>117</v>
      </c>
      <c r="S3459" s="93" t="s">
        <v>18</v>
      </c>
      <c r="T3459" s="93" t="s">
        <v>1659</v>
      </c>
      <c r="U3459" s="93" t="s">
        <v>116</v>
      </c>
      <c r="V3459" s="94">
        <v>44628.5625</v>
      </c>
      <c r="W3459" s="93" t="s">
        <v>1170</v>
      </c>
      <c r="X3459" s="93" t="s">
        <v>24</v>
      </c>
    </row>
    <row r="3460" spans="1:24" hidden="1" x14ac:dyDescent="0.15">
      <c r="A3460" s="93" t="s">
        <v>5260</v>
      </c>
      <c r="B3460" s="93" t="s">
        <v>5261</v>
      </c>
      <c r="C3460" s="410">
        <v>1869</v>
      </c>
      <c r="D3460" s="93" t="s">
        <v>24</v>
      </c>
      <c r="E3460" s="93" t="s">
        <v>24</v>
      </c>
      <c r="F3460" s="93" t="s">
        <v>7070</v>
      </c>
      <c r="G3460" s="93" t="s">
        <v>8237</v>
      </c>
      <c r="H3460" s="93" t="s">
        <v>1198</v>
      </c>
      <c r="I3460" s="93" t="s">
        <v>111</v>
      </c>
      <c r="J3460" s="93" t="s">
        <v>963</v>
      </c>
      <c r="K3460" s="93">
        <v>60</v>
      </c>
      <c r="L3460" s="93" t="s">
        <v>111</v>
      </c>
      <c r="M3460" s="93">
        <v>102</v>
      </c>
      <c r="N3460" s="93" t="s">
        <v>113</v>
      </c>
      <c r="O3460" s="93">
        <v>137</v>
      </c>
      <c r="P3460" s="93">
        <v>137</v>
      </c>
      <c r="Q3460" s="93">
        <v>82</v>
      </c>
      <c r="R3460" s="93" t="s">
        <v>117</v>
      </c>
      <c r="S3460" s="93" t="s">
        <v>18</v>
      </c>
      <c r="T3460" s="93" t="s">
        <v>1659</v>
      </c>
      <c r="U3460" s="93" t="s">
        <v>116</v>
      </c>
      <c r="V3460" s="94">
        <v>44628.606249999997</v>
      </c>
      <c r="W3460" s="93" t="s">
        <v>1170</v>
      </c>
      <c r="X3460" s="93" t="s">
        <v>24</v>
      </c>
    </row>
    <row r="3461" spans="1:24" hidden="1" x14ac:dyDescent="0.15">
      <c r="A3461" s="93" t="s">
        <v>5262</v>
      </c>
      <c r="B3461" s="93" t="s">
        <v>5263</v>
      </c>
      <c r="C3461" s="410">
        <v>3807.3</v>
      </c>
      <c r="D3461" s="93" t="s">
        <v>24</v>
      </c>
      <c r="E3461" s="93" t="s">
        <v>24</v>
      </c>
      <c r="F3461" s="93" t="s">
        <v>7070</v>
      </c>
      <c r="G3461" s="93" t="s">
        <v>8237</v>
      </c>
      <c r="H3461" s="93" t="s">
        <v>1198</v>
      </c>
      <c r="I3461" s="93" t="s">
        <v>111</v>
      </c>
      <c r="J3461" s="93" t="s">
        <v>963</v>
      </c>
      <c r="K3461" s="93">
        <v>60</v>
      </c>
      <c r="L3461" s="93" t="s">
        <v>111</v>
      </c>
      <c r="M3461" s="93">
        <v>193</v>
      </c>
      <c r="N3461" s="93" t="s">
        <v>113</v>
      </c>
      <c r="O3461" s="93">
        <v>210</v>
      </c>
      <c r="P3461" s="93">
        <v>88</v>
      </c>
      <c r="Q3461" s="93">
        <v>207</v>
      </c>
      <c r="R3461" s="93" t="s">
        <v>117</v>
      </c>
      <c r="S3461" s="93" t="s">
        <v>18</v>
      </c>
      <c r="T3461" s="93" t="s">
        <v>1659</v>
      </c>
      <c r="U3461" s="93" t="s">
        <v>116</v>
      </c>
      <c r="V3461" s="94">
        <v>44628.606249999997</v>
      </c>
      <c r="W3461" s="93" t="s">
        <v>1170</v>
      </c>
      <c r="X3461" s="93" t="s">
        <v>24</v>
      </c>
    </row>
    <row r="3462" spans="1:24" hidden="1" x14ac:dyDescent="0.15">
      <c r="A3462" s="93" t="s">
        <v>5264</v>
      </c>
      <c r="B3462" s="93" t="s">
        <v>5265</v>
      </c>
      <c r="C3462" s="410">
        <v>693</v>
      </c>
      <c r="D3462" s="93" t="s">
        <v>24</v>
      </c>
      <c r="E3462" s="93" t="s">
        <v>24</v>
      </c>
      <c r="F3462" s="93" t="s">
        <v>7070</v>
      </c>
      <c r="G3462" s="93" t="s">
        <v>8237</v>
      </c>
      <c r="H3462" s="93" t="s">
        <v>1198</v>
      </c>
      <c r="I3462" s="93" t="s">
        <v>111</v>
      </c>
      <c r="J3462" s="93" t="s">
        <v>963</v>
      </c>
      <c r="K3462" s="93">
        <v>60</v>
      </c>
      <c r="L3462" s="93" t="s">
        <v>111</v>
      </c>
      <c r="M3462" s="93">
        <v>10.8</v>
      </c>
      <c r="N3462" s="93" t="s">
        <v>113</v>
      </c>
      <c r="O3462" s="93">
        <v>45</v>
      </c>
      <c r="P3462" s="93">
        <v>45</v>
      </c>
      <c r="Q3462" s="93">
        <v>48</v>
      </c>
      <c r="R3462" s="93" t="s">
        <v>117</v>
      </c>
      <c r="S3462" s="93" t="s">
        <v>20</v>
      </c>
      <c r="T3462" s="93" t="s">
        <v>1659</v>
      </c>
      <c r="U3462" s="93" t="s">
        <v>116</v>
      </c>
      <c r="V3462" s="94">
        <v>44628.477083333331</v>
      </c>
      <c r="W3462" s="93" t="s">
        <v>1207</v>
      </c>
      <c r="X3462" s="93" t="s">
        <v>24</v>
      </c>
    </row>
    <row r="3463" spans="1:24" hidden="1" x14ac:dyDescent="0.15">
      <c r="A3463" s="93" t="s">
        <v>5266</v>
      </c>
      <c r="B3463" s="93" t="s">
        <v>5267</v>
      </c>
      <c r="C3463" s="410">
        <v>745.5</v>
      </c>
      <c r="D3463" s="93" t="s">
        <v>24</v>
      </c>
      <c r="E3463" s="93" t="s">
        <v>24</v>
      </c>
      <c r="F3463" s="93" t="s">
        <v>7070</v>
      </c>
      <c r="G3463" s="93" t="s">
        <v>8237</v>
      </c>
      <c r="H3463" s="93" t="s">
        <v>1198</v>
      </c>
      <c r="I3463" s="93" t="s">
        <v>111</v>
      </c>
      <c r="J3463" s="93" t="s">
        <v>963</v>
      </c>
      <c r="K3463" s="93">
        <v>60</v>
      </c>
      <c r="L3463" s="93" t="s">
        <v>111</v>
      </c>
      <c r="M3463" s="93">
        <v>21.7</v>
      </c>
      <c r="N3463" s="93" t="s">
        <v>113</v>
      </c>
      <c r="O3463" s="93">
        <v>71</v>
      </c>
      <c r="P3463" s="93">
        <v>71</v>
      </c>
      <c r="Q3463" s="93">
        <v>61</v>
      </c>
      <c r="R3463" s="93" t="s">
        <v>117</v>
      </c>
      <c r="S3463" s="93" t="s">
        <v>20</v>
      </c>
      <c r="T3463" s="93" t="s">
        <v>1659</v>
      </c>
      <c r="U3463" s="93" t="s">
        <v>116</v>
      </c>
      <c r="V3463" s="94">
        <v>44628.606944444444</v>
      </c>
      <c r="W3463" s="93" t="s">
        <v>1207</v>
      </c>
      <c r="X3463" s="93" t="s">
        <v>24</v>
      </c>
    </row>
    <row r="3464" spans="1:24" hidden="1" x14ac:dyDescent="0.15">
      <c r="A3464" s="93" t="s">
        <v>5268</v>
      </c>
      <c r="B3464" s="93" t="s">
        <v>5269</v>
      </c>
      <c r="C3464" s="410">
        <v>1748.25</v>
      </c>
      <c r="D3464" s="93" t="s">
        <v>24</v>
      </c>
      <c r="E3464" s="93" t="s">
        <v>24</v>
      </c>
      <c r="F3464" s="93" t="s">
        <v>7070</v>
      </c>
      <c r="G3464" s="93" t="s">
        <v>8237</v>
      </c>
      <c r="H3464" s="93" t="s">
        <v>1198</v>
      </c>
      <c r="I3464" s="93" t="s">
        <v>111</v>
      </c>
      <c r="J3464" s="93" t="s">
        <v>963</v>
      </c>
      <c r="K3464" s="93">
        <v>60</v>
      </c>
      <c r="L3464" s="93" t="s">
        <v>111</v>
      </c>
      <c r="M3464" s="93">
        <v>36</v>
      </c>
      <c r="N3464" s="93" t="s">
        <v>113</v>
      </c>
      <c r="O3464" s="93">
        <v>69</v>
      </c>
      <c r="P3464" s="93">
        <v>119</v>
      </c>
      <c r="Q3464" s="93">
        <v>119</v>
      </c>
      <c r="R3464" s="93" t="s">
        <v>117</v>
      </c>
      <c r="S3464" s="93" t="s">
        <v>20</v>
      </c>
      <c r="T3464" s="93" t="s">
        <v>1659</v>
      </c>
      <c r="U3464" s="93" t="s">
        <v>116</v>
      </c>
      <c r="V3464" s="94">
        <v>44628.642361111109</v>
      </c>
      <c r="W3464" s="93" t="s">
        <v>1207</v>
      </c>
      <c r="X3464" s="93" t="s">
        <v>24</v>
      </c>
    </row>
    <row r="3465" spans="1:24" hidden="1" x14ac:dyDescent="0.15">
      <c r="A3465" s="93" t="s">
        <v>5270</v>
      </c>
      <c r="B3465" s="93" t="s">
        <v>5271</v>
      </c>
      <c r="C3465" s="410">
        <v>2346.75</v>
      </c>
      <c r="D3465" s="93" t="s">
        <v>24</v>
      </c>
      <c r="E3465" s="93" t="s">
        <v>24</v>
      </c>
      <c r="F3465" s="93" t="s">
        <v>7070</v>
      </c>
      <c r="G3465" s="93" t="s">
        <v>8237</v>
      </c>
      <c r="H3465" s="93" t="s">
        <v>1198</v>
      </c>
      <c r="I3465" s="93" t="s">
        <v>111</v>
      </c>
      <c r="J3465" s="93" t="s">
        <v>963</v>
      </c>
      <c r="K3465" s="93">
        <v>60</v>
      </c>
      <c r="L3465" s="93" t="s">
        <v>111</v>
      </c>
      <c r="M3465" s="93">
        <v>92.3</v>
      </c>
      <c r="N3465" s="93" t="s">
        <v>113</v>
      </c>
      <c r="O3465" s="93">
        <v>71</v>
      </c>
      <c r="P3465" s="93">
        <v>150</v>
      </c>
      <c r="Q3465" s="93">
        <v>152</v>
      </c>
      <c r="R3465" s="93" t="s">
        <v>117</v>
      </c>
      <c r="S3465" s="93" t="s">
        <v>2</v>
      </c>
      <c r="T3465" s="93" t="s">
        <v>1659</v>
      </c>
      <c r="U3465" s="93" t="s">
        <v>116</v>
      </c>
      <c r="V3465" s="94">
        <v>44628.585416666669</v>
      </c>
      <c r="W3465" s="93" t="s">
        <v>1207</v>
      </c>
      <c r="X3465" s="93" t="s">
        <v>24</v>
      </c>
    </row>
    <row r="3466" spans="1:24" hidden="1" x14ac:dyDescent="0.15">
      <c r="A3466" s="93" t="s">
        <v>5272</v>
      </c>
      <c r="B3466" s="93" t="s">
        <v>5273</v>
      </c>
      <c r="C3466" s="410">
        <v>4888.8</v>
      </c>
      <c r="D3466" s="93" t="s">
        <v>24</v>
      </c>
      <c r="E3466" s="93" t="s">
        <v>24</v>
      </c>
      <c r="F3466" s="93" t="s">
        <v>7070</v>
      </c>
      <c r="G3466" s="93" t="s">
        <v>8237</v>
      </c>
      <c r="H3466" s="93" t="s">
        <v>1198</v>
      </c>
      <c r="I3466" s="93" t="s">
        <v>111</v>
      </c>
      <c r="J3466" s="93" t="s">
        <v>963</v>
      </c>
      <c r="K3466" s="93">
        <v>60</v>
      </c>
      <c r="L3466" s="93" t="s">
        <v>111</v>
      </c>
      <c r="M3466" s="93">
        <v>182.3</v>
      </c>
      <c r="N3466" s="93" t="s">
        <v>113</v>
      </c>
      <c r="O3466" s="93">
        <v>86</v>
      </c>
      <c r="P3466" s="93">
        <v>196</v>
      </c>
      <c r="Q3466" s="93">
        <v>203</v>
      </c>
      <c r="R3466" s="93" t="s">
        <v>117</v>
      </c>
      <c r="S3466" s="93" t="s">
        <v>2</v>
      </c>
      <c r="T3466" s="93" t="s">
        <v>1659</v>
      </c>
      <c r="U3466" s="93" t="s">
        <v>116</v>
      </c>
      <c r="V3466" s="94">
        <v>44628.606944444444</v>
      </c>
      <c r="W3466" s="93" t="s">
        <v>1207</v>
      </c>
      <c r="X3466" s="93" t="s">
        <v>24</v>
      </c>
    </row>
    <row r="3467" spans="1:24" hidden="1" x14ac:dyDescent="0.15">
      <c r="A3467" s="93" t="s">
        <v>5274</v>
      </c>
      <c r="B3467" s="93" t="s">
        <v>5275</v>
      </c>
      <c r="C3467" s="410">
        <v>487.2</v>
      </c>
      <c r="D3467" s="93" t="s">
        <v>24</v>
      </c>
      <c r="E3467" s="93" t="s">
        <v>24</v>
      </c>
      <c r="F3467" s="93" t="s">
        <v>7070</v>
      </c>
      <c r="G3467" s="93" t="s">
        <v>8237</v>
      </c>
      <c r="H3467" s="93" t="s">
        <v>11</v>
      </c>
      <c r="I3467" s="93" t="s">
        <v>111</v>
      </c>
      <c r="J3467" s="93" t="s">
        <v>963</v>
      </c>
      <c r="K3467" s="93">
        <v>60</v>
      </c>
      <c r="L3467" s="93" t="s">
        <v>111</v>
      </c>
      <c r="M3467" s="93">
        <v>2.5</v>
      </c>
      <c r="N3467" s="93" t="s">
        <v>113</v>
      </c>
      <c r="O3467" s="93">
        <v>28</v>
      </c>
      <c r="P3467" s="93">
        <v>28</v>
      </c>
      <c r="Q3467" s="93">
        <v>18</v>
      </c>
      <c r="R3467" s="93" t="s">
        <v>4205</v>
      </c>
      <c r="S3467" s="93" t="s">
        <v>20</v>
      </c>
      <c r="T3467" s="93" t="s">
        <v>1659</v>
      </c>
      <c r="U3467" s="93" t="s">
        <v>116</v>
      </c>
      <c r="V3467" s="94">
        <v>44628.560416666667</v>
      </c>
      <c r="W3467" s="93" t="s">
        <v>1170</v>
      </c>
      <c r="X3467" s="93" t="s">
        <v>24</v>
      </c>
    </row>
    <row r="3468" spans="1:24" hidden="1" x14ac:dyDescent="0.15">
      <c r="A3468" s="93" t="s">
        <v>5276</v>
      </c>
      <c r="B3468" s="93" t="s">
        <v>5277</v>
      </c>
      <c r="C3468" s="410">
        <v>1368.15</v>
      </c>
      <c r="D3468" s="93" t="s">
        <v>24</v>
      </c>
      <c r="E3468" s="93" t="s">
        <v>24</v>
      </c>
      <c r="F3468" s="93" t="s">
        <v>7070</v>
      </c>
      <c r="G3468" s="93" t="s">
        <v>8237</v>
      </c>
      <c r="H3468" s="93" t="s">
        <v>11</v>
      </c>
      <c r="I3468" s="93" t="s">
        <v>111</v>
      </c>
      <c r="J3468" s="93" t="s">
        <v>963</v>
      </c>
      <c r="K3468" s="93">
        <v>60</v>
      </c>
      <c r="L3468" s="93" t="s">
        <v>111</v>
      </c>
      <c r="M3468" s="93">
        <v>2</v>
      </c>
      <c r="N3468" s="93" t="s">
        <v>113</v>
      </c>
      <c r="O3468" s="93">
        <v>31</v>
      </c>
      <c r="P3468" s="93">
        <v>34.200000000000003</v>
      </c>
      <c r="Q3468" s="93">
        <v>31</v>
      </c>
      <c r="R3468" s="93" t="s">
        <v>117</v>
      </c>
      <c r="S3468" s="93" t="s">
        <v>111</v>
      </c>
      <c r="T3468" s="93" t="s">
        <v>1659</v>
      </c>
      <c r="U3468" s="93" t="s">
        <v>116</v>
      </c>
      <c r="V3468" s="94">
        <v>44628.5625</v>
      </c>
      <c r="W3468" s="93" t="s">
        <v>1170</v>
      </c>
      <c r="X3468" s="93" t="s">
        <v>24</v>
      </c>
    </row>
    <row r="3469" spans="1:24" hidden="1" x14ac:dyDescent="0.15">
      <c r="A3469" s="93" t="s">
        <v>5278</v>
      </c>
      <c r="B3469" s="93" t="s">
        <v>5279</v>
      </c>
      <c r="C3469" s="410">
        <v>1368.15</v>
      </c>
      <c r="D3469" s="93" t="s">
        <v>24</v>
      </c>
      <c r="E3469" s="93" t="s">
        <v>24</v>
      </c>
      <c r="F3469" s="93" t="s">
        <v>7070</v>
      </c>
      <c r="G3469" s="93" t="s">
        <v>8237</v>
      </c>
      <c r="H3469" s="93" t="s">
        <v>11</v>
      </c>
      <c r="I3469" s="93" t="s">
        <v>111</v>
      </c>
      <c r="J3469" s="93" t="s">
        <v>963</v>
      </c>
      <c r="K3469" s="93">
        <v>60</v>
      </c>
      <c r="L3469" s="93" t="s">
        <v>111</v>
      </c>
      <c r="M3469" s="93">
        <v>2.5</v>
      </c>
      <c r="N3469" s="93" t="s">
        <v>113</v>
      </c>
      <c r="O3469" s="93">
        <v>31</v>
      </c>
      <c r="P3469" s="93">
        <v>34.200000000000003</v>
      </c>
      <c r="Q3469" s="93">
        <v>31</v>
      </c>
      <c r="R3469" s="93" t="s">
        <v>117</v>
      </c>
      <c r="S3469" s="93" t="s">
        <v>111</v>
      </c>
      <c r="T3469" s="93" t="s">
        <v>1659</v>
      </c>
      <c r="U3469" s="93" t="s">
        <v>116</v>
      </c>
      <c r="V3469" s="94">
        <v>44628.64166666667</v>
      </c>
      <c r="W3469" s="93" t="s">
        <v>1170</v>
      </c>
      <c r="X3469" s="93" t="s">
        <v>24</v>
      </c>
    </row>
    <row r="3470" spans="1:24" hidden="1" x14ac:dyDescent="0.15">
      <c r="A3470" s="93" t="s">
        <v>5280</v>
      </c>
      <c r="B3470" s="93" t="s">
        <v>5281</v>
      </c>
      <c r="C3470" s="410">
        <v>472.5</v>
      </c>
      <c r="D3470" s="93" t="s">
        <v>24</v>
      </c>
      <c r="E3470" s="93" t="s">
        <v>24</v>
      </c>
      <c r="F3470" s="93" t="s">
        <v>7070</v>
      </c>
      <c r="G3470" s="93" t="s">
        <v>8237</v>
      </c>
      <c r="H3470" s="93" t="s">
        <v>11</v>
      </c>
      <c r="I3470" s="93" t="s">
        <v>111</v>
      </c>
      <c r="J3470" s="93" t="s">
        <v>963</v>
      </c>
      <c r="K3470" s="93">
        <v>60</v>
      </c>
      <c r="L3470" s="93" t="s">
        <v>111</v>
      </c>
      <c r="M3470" s="93">
        <v>3</v>
      </c>
      <c r="N3470" s="93" t="s">
        <v>113</v>
      </c>
      <c r="O3470" s="93">
        <v>29</v>
      </c>
      <c r="P3470" s="93">
        <v>30</v>
      </c>
      <c r="Q3470" s="93">
        <v>18</v>
      </c>
      <c r="R3470" s="93" t="s">
        <v>117</v>
      </c>
      <c r="S3470" s="93" t="s">
        <v>16</v>
      </c>
      <c r="T3470" s="93" t="s">
        <v>1659</v>
      </c>
      <c r="U3470" s="93" t="s">
        <v>116</v>
      </c>
      <c r="V3470" s="94">
        <v>44628.5625</v>
      </c>
      <c r="W3470" s="93" t="s">
        <v>1170</v>
      </c>
      <c r="X3470" s="93" t="s">
        <v>24</v>
      </c>
    </row>
    <row r="3471" spans="1:24" hidden="1" x14ac:dyDescent="0.15">
      <c r="A3471" s="93" t="s">
        <v>5282</v>
      </c>
      <c r="B3471" s="93" t="s">
        <v>5283</v>
      </c>
      <c r="C3471" s="410">
        <v>803.25</v>
      </c>
      <c r="D3471" s="93" t="s">
        <v>24</v>
      </c>
      <c r="E3471" s="93" t="s">
        <v>24</v>
      </c>
      <c r="F3471" s="93" t="s">
        <v>7070</v>
      </c>
      <c r="G3471" s="93" t="s">
        <v>8237</v>
      </c>
      <c r="H3471" s="93" t="s">
        <v>11</v>
      </c>
      <c r="I3471" s="93" t="s">
        <v>111</v>
      </c>
      <c r="J3471" s="93" t="s">
        <v>963</v>
      </c>
      <c r="K3471" s="93">
        <v>60</v>
      </c>
      <c r="L3471" s="93" t="s">
        <v>111</v>
      </c>
      <c r="M3471" s="93">
        <v>3.5</v>
      </c>
      <c r="N3471" s="93" t="s">
        <v>113</v>
      </c>
      <c r="O3471" s="93">
        <v>29</v>
      </c>
      <c r="P3471" s="93">
        <v>30</v>
      </c>
      <c r="Q3471" s="93">
        <v>18</v>
      </c>
      <c r="R3471" s="93" t="s">
        <v>117</v>
      </c>
      <c r="S3471" s="93" t="s">
        <v>111</v>
      </c>
      <c r="T3471" s="93" t="s">
        <v>1659</v>
      </c>
      <c r="U3471" s="93" t="s">
        <v>116</v>
      </c>
      <c r="V3471" s="94">
        <v>44628.476388888892</v>
      </c>
      <c r="W3471" s="93" t="s">
        <v>1170</v>
      </c>
      <c r="X3471" s="93" t="s">
        <v>24</v>
      </c>
    </row>
    <row r="3472" spans="1:24" hidden="1" x14ac:dyDescent="0.15">
      <c r="A3472" s="93" t="s">
        <v>5284</v>
      </c>
      <c r="B3472" s="93" t="s">
        <v>5285</v>
      </c>
      <c r="C3472" s="410">
        <v>571.20000000000005</v>
      </c>
      <c r="D3472" s="93" t="s">
        <v>24</v>
      </c>
      <c r="E3472" s="93" t="s">
        <v>24</v>
      </c>
      <c r="F3472" s="93" t="s">
        <v>7070</v>
      </c>
      <c r="G3472" s="93" t="s">
        <v>8237</v>
      </c>
      <c r="H3472" s="93" t="s">
        <v>11</v>
      </c>
      <c r="I3472" s="93" t="s">
        <v>111</v>
      </c>
      <c r="J3472" s="93" t="s">
        <v>963</v>
      </c>
      <c r="K3472" s="93">
        <v>60</v>
      </c>
      <c r="L3472" s="93" t="s">
        <v>111</v>
      </c>
      <c r="M3472" s="93">
        <v>2.8</v>
      </c>
      <c r="N3472" s="93" t="s">
        <v>113</v>
      </c>
      <c r="O3472" s="93">
        <v>29</v>
      </c>
      <c r="P3472" s="93">
        <v>29</v>
      </c>
      <c r="Q3472" s="93">
        <v>18</v>
      </c>
      <c r="R3472" s="93" t="s">
        <v>117</v>
      </c>
      <c r="S3472" s="93" t="s">
        <v>111</v>
      </c>
      <c r="T3472" s="93" t="s">
        <v>1659</v>
      </c>
      <c r="U3472" s="93" t="s">
        <v>116</v>
      </c>
      <c r="V3472" s="94">
        <v>44628.584722222222</v>
      </c>
      <c r="W3472" s="93" t="s">
        <v>1170</v>
      </c>
      <c r="X3472" s="93" t="s">
        <v>24</v>
      </c>
    </row>
    <row r="3473" spans="1:24" hidden="1" x14ac:dyDescent="0.15">
      <c r="A3473" s="93" t="s">
        <v>5286</v>
      </c>
      <c r="B3473" s="93" t="s">
        <v>5287</v>
      </c>
      <c r="C3473" s="410">
        <v>1129.8</v>
      </c>
      <c r="D3473" s="93" t="s">
        <v>24</v>
      </c>
      <c r="E3473" s="93" t="s">
        <v>24</v>
      </c>
      <c r="F3473" s="93" t="s">
        <v>7070</v>
      </c>
      <c r="G3473" s="93" t="s">
        <v>8237</v>
      </c>
      <c r="H3473" s="93" t="s">
        <v>11</v>
      </c>
      <c r="I3473" s="93" t="s">
        <v>111</v>
      </c>
      <c r="J3473" s="93" t="s">
        <v>963</v>
      </c>
      <c r="K3473" s="93">
        <v>60</v>
      </c>
      <c r="L3473" s="93" t="s">
        <v>111</v>
      </c>
      <c r="M3473" s="93">
        <v>4</v>
      </c>
      <c r="N3473" s="93" t="s">
        <v>113</v>
      </c>
      <c r="O3473" s="93">
        <v>17</v>
      </c>
      <c r="P3473" s="93">
        <v>32</v>
      </c>
      <c r="Q3473" s="93">
        <v>27</v>
      </c>
      <c r="R3473" s="93" t="s">
        <v>117</v>
      </c>
      <c r="S3473" s="93" t="s">
        <v>111</v>
      </c>
      <c r="T3473" s="93" t="s">
        <v>1659</v>
      </c>
      <c r="U3473" s="93" t="s">
        <v>116</v>
      </c>
      <c r="V3473" s="94">
        <v>44628.64166666667</v>
      </c>
      <c r="W3473" s="93" t="s">
        <v>1170</v>
      </c>
      <c r="X3473" s="93" t="s">
        <v>24</v>
      </c>
    </row>
    <row r="3474" spans="1:24" hidden="1" x14ac:dyDescent="0.15">
      <c r="A3474" s="93" t="s">
        <v>5288</v>
      </c>
      <c r="B3474" s="93" t="s">
        <v>5289</v>
      </c>
      <c r="C3474" s="410">
        <v>116.55</v>
      </c>
      <c r="D3474" s="93" t="s">
        <v>24</v>
      </c>
      <c r="E3474" s="93" t="s">
        <v>24</v>
      </c>
      <c r="F3474" s="93" t="s">
        <v>7070</v>
      </c>
      <c r="G3474" s="93" t="s">
        <v>8237</v>
      </c>
      <c r="H3474" s="93" t="s">
        <v>11</v>
      </c>
      <c r="I3474" s="93" t="s">
        <v>111</v>
      </c>
      <c r="J3474" s="93" t="s">
        <v>963</v>
      </c>
      <c r="K3474" s="93">
        <v>60</v>
      </c>
      <c r="L3474" s="93" t="s">
        <v>111</v>
      </c>
      <c r="M3474" s="93">
        <v>2.5</v>
      </c>
      <c r="N3474" s="93" t="s">
        <v>113</v>
      </c>
      <c r="O3474" s="93">
        <v>28</v>
      </c>
      <c r="P3474" s="93">
        <v>28</v>
      </c>
      <c r="Q3474" s="93">
        <v>18</v>
      </c>
      <c r="R3474" s="93" t="s">
        <v>117</v>
      </c>
      <c r="S3474" s="93" t="s">
        <v>111</v>
      </c>
      <c r="T3474" s="93" t="s">
        <v>1659</v>
      </c>
      <c r="U3474" s="93" t="s">
        <v>116</v>
      </c>
      <c r="V3474" s="94">
        <v>44628.584722222222</v>
      </c>
      <c r="W3474" s="93" t="s">
        <v>1170</v>
      </c>
      <c r="X3474" s="93" t="s">
        <v>24</v>
      </c>
    </row>
    <row r="3475" spans="1:24" hidden="1" x14ac:dyDescent="0.15">
      <c r="A3475" s="93" t="s">
        <v>5290</v>
      </c>
      <c r="B3475" s="93" t="s">
        <v>5291</v>
      </c>
      <c r="C3475" s="410">
        <v>93.45</v>
      </c>
      <c r="D3475" s="93" t="s">
        <v>24</v>
      </c>
      <c r="E3475" s="93" t="s">
        <v>24</v>
      </c>
      <c r="F3475" s="93" t="s">
        <v>7070</v>
      </c>
      <c r="G3475" s="93" t="s">
        <v>8237</v>
      </c>
      <c r="H3475" s="93" t="s">
        <v>11</v>
      </c>
      <c r="I3475" s="93" t="s">
        <v>111</v>
      </c>
      <c r="J3475" s="93" t="s">
        <v>963</v>
      </c>
      <c r="K3475" s="93">
        <v>60</v>
      </c>
      <c r="L3475" s="93" t="s">
        <v>111</v>
      </c>
      <c r="M3475" s="93">
        <v>0.1</v>
      </c>
      <c r="N3475" s="93" t="s">
        <v>113</v>
      </c>
      <c r="O3475" s="93">
        <v>10</v>
      </c>
      <c r="P3475" s="93">
        <v>12.5</v>
      </c>
      <c r="Q3475" s="93">
        <v>4</v>
      </c>
      <c r="R3475" s="93" t="s">
        <v>4205</v>
      </c>
      <c r="S3475" s="93" t="s">
        <v>111</v>
      </c>
      <c r="T3475" s="93" t="s">
        <v>1659</v>
      </c>
      <c r="U3475" s="93" t="s">
        <v>116</v>
      </c>
      <c r="V3475" s="94">
        <v>44628.541666666664</v>
      </c>
      <c r="W3475" s="93" t="s">
        <v>1170</v>
      </c>
      <c r="X3475" s="93" t="s">
        <v>24</v>
      </c>
    </row>
    <row r="3476" spans="1:24" hidden="1" x14ac:dyDescent="0.15">
      <c r="A3476" s="93" t="s">
        <v>5292</v>
      </c>
      <c r="B3476" s="93" t="s">
        <v>5293</v>
      </c>
      <c r="C3476" s="410">
        <v>717.15</v>
      </c>
      <c r="D3476" s="93" t="s">
        <v>24</v>
      </c>
      <c r="E3476" s="93" t="s">
        <v>24</v>
      </c>
      <c r="F3476" s="93" t="s">
        <v>7070</v>
      </c>
      <c r="G3476" s="93" t="s">
        <v>8237</v>
      </c>
      <c r="H3476" s="93" t="s">
        <v>11</v>
      </c>
      <c r="I3476" s="93" t="s">
        <v>111</v>
      </c>
      <c r="J3476" s="93" t="s">
        <v>963</v>
      </c>
      <c r="K3476" s="93">
        <v>60</v>
      </c>
      <c r="L3476" s="93" t="s">
        <v>111</v>
      </c>
      <c r="M3476" s="93">
        <v>3.5</v>
      </c>
      <c r="N3476" s="93" t="s">
        <v>113</v>
      </c>
      <c r="O3476" s="93">
        <v>29</v>
      </c>
      <c r="P3476" s="93">
        <v>27</v>
      </c>
      <c r="Q3476" s="93">
        <v>18</v>
      </c>
      <c r="R3476" s="93" t="s">
        <v>117</v>
      </c>
      <c r="S3476" s="93" t="s">
        <v>111</v>
      </c>
      <c r="T3476" s="93" t="s">
        <v>1659</v>
      </c>
      <c r="U3476" s="93" t="s">
        <v>116</v>
      </c>
      <c r="V3476" s="94">
        <v>44628.584722222222</v>
      </c>
      <c r="W3476" s="93" t="s">
        <v>1170</v>
      </c>
      <c r="X3476" s="93" t="s">
        <v>24</v>
      </c>
    </row>
    <row r="3477" spans="1:24" hidden="1" x14ac:dyDescent="0.15">
      <c r="A3477" s="93" t="s">
        <v>5294</v>
      </c>
      <c r="B3477" s="93" t="s">
        <v>5295</v>
      </c>
      <c r="C3477" s="410">
        <v>371.7</v>
      </c>
      <c r="D3477" s="93" t="s">
        <v>24</v>
      </c>
      <c r="E3477" s="93" t="s">
        <v>24</v>
      </c>
      <c r="F3477" s="93" t="s">
        <v>7070</v>
      </c>
      <c r="G3477" s="93" t="s">
        <v>8237</v>
      </c>
      <c r="H3477" s="93" t="s">
        <v>11</v>
      </c>
      <c r="I3477" s="93" t="s">
        <v>111</v>
      </c>
      <c r="J3477" s="93" t="s">
        <v>963</v>
      </c>
      <c r="K3477" s="93">
        <v>60</v>
      </c>
      <c r="L3477" s="93" t="s">
        <v>111</v>
      </c>
      <c r="M3477" s="93">
        <v>2.5</v>
      </c>
      <c r="N3477" s="93" t="s">
        <v>113</v>
      </c>
      <c r="O3477" s="93">
        <v>28</v>
      </c>
      <c r="P3477" s="93">
        <v>28</v>
      </c>
      <c r="Q3477" s="93">
        <v>18</v>
      </c>
      <c r="R3477" s="93" t="s">
        <v>117</v>
      </c>
      <c r="S3477" s="93" t="s">
        <v>111</v>
      </c>
      <c r="T3477" s="93" t="s">
        <v>1659</v>
      </c>
      <c r="U3477" s="93" t="s">
        <v>116</v>
      </c>
      <c r="V3477" s="94">
        <v>44628.560416666667</v>
      </c>
      <c r="W3477" s="93" t="s">
        <v>1170</v>
      </c>
      <c r="X3477" s="93" t="s">
        <v>24</v>
      </c>
    </row>
    <row r="3478" spans="1:24" hidden="1" x14ac:dyDescent="0.15">
      <c r="A3478" s="93" t="s">
        <v>5296</v>
      </c>
      <c r="B3478" s="93" t="s">
        <v>5297</v>
      </c>
      <c r="C3478" s="410">
        <v>97.65</v>
      </c>
      <c r="D3478" s="93" t="s">
        <v>24</v>
      </c>
      <c r="E3478" s="93" t="s">
        <v>24</v>
      </c>
      <c r="F3478" s="93" t="s">
        <v>7070</v>
      </c>
      <c r="G3478" s="93" t="s">
        <v>8237</v>
      </c>
      <c r="H3478" s="93" t="s">
        <v>11</v>
      </c>
      <c r="I3478" s="93" t="s">
        <v>111</v>
      </c>
      <c r="J3478" s="93" t="s">
        <v>963</v>
      </c>
      <c r="K3478" s="93">
        <v>60</v>
      </c>
      <c r="L3478" s="93" t="s">
        <v>111</v>
      </c>
      <c r="M3478" s="93">
        <v>2.5</v>
      </c>
      <c r="N3478" s="93" t="s">
        <v>113</v>
      </c>
      <c r="O3478" s="93">
        <v>28</v>
      </c>
      <c r="P3478" s="93">
        <v>28</v>
      </c>
      <c r="Q3478" s="93">
        <v>18</v>
      </c>
      <c r="R3478" s="93" t="s">
        <v>117</v>
      </c>
      <c r="S3478" s="93" t="s">
        <v>20</v>
      </c>
      <c r="T3478" s="93" t="s">
        <v>1659</v>
      </c>
      <c r="U3478" s="93" t="s">
        <v>116</v>
      </c>
      <c r="V3478" s="94">
        <v>44628.539583333331</v>
      </c>
      <c r="W3478" s="93" t="s">
        <v>1170</v>
      </c>
      <c r="X3478" s="93" t="s">
        <v>24</v>
      </c>
    </row>
    <row r="3479" spans="1:24" hidden="1" x14ac:dyDescent="0.15">
      <c r="A3479" s="93" t="s">
        <v>5298</v>
      </c>
      <c r="B3479" s="93" t="s">
        <v>5299</v>
      </c>
      <c r="C3479" s="410">
        <v>389.55</v>
      </c>
      <c r="D3479" s="93" t="s">
        <v>24</v>
      </c>
      <c r="E3479" s="93" t="s">
        <v>24</v>
      </c>
      <c r="F3479" s="93" t="s">
        <v>7070</v>
      </c>
      <c r="G3479" s="93" t="s">
        <v>8237</v>
      </c>
      <c r="H3479" s="93" t="s">
        <v>11</v>
      </c>
      <c r="I3479" s="93" t="s">
        <v>111</v>
      </c>
      <c r="J3479" s="93" t="s">
        <v>963</v>
      </c>
      <c r="K3479" s="93">
        <v>60</v>
      </c>
      <c r="L3479" s="93" t="s">
        <v>111</v>
      </c>
      <c r="M3479" s="93">
        <v>0.5</v>
      </c>
      <c r="N3479" s="93" t="s">
        <v>113</v>
      </c>
      <c r="O3479" s="93">
        <v>7</v>
      </c>
      <c r="P3479" s="93">
        <v>7</v>
      </c>
      <c r="Q3479" s="93">
        <v>10</v>
      </c>
      <c r="R3479" s="93" t="s">
        <v>1230</v>
      </c>
      <c r="S3479" s="93" t="s">
        <v>16</v>
      </c>
      <c r="T3479" s="93" t="s">
        <v>1659</v>
      </c>
      <c r="U3479" s="93" t="s">
        <v>116</v>
      </c>
      <c r="V3479" s="94">
        <v>44628.494444444441</v>
      </c>
      <c r="W3479" s="93" t="s">
        <v>1170</v>
      </c>
      <c r="X3479" s="93" t="s">
        <v>24</v>
      </c>
    </row>
    <row r="3480" spans="1:24" hidden="1" x14ac:dyDescent="0.15">
      <c r="A3480" s="93" t="s">
        <v>5300</v>
      </c>
      <c r="B3480" s="93" t="s">
        <v>5301</v>
      </c>
      <c r="C3480" s="410">
        <v>93.45</v>
      </c>
      <c r="D3480" s="93" t="s">
        <v>24</v>
      </c>
      <c r="E3480" s="93" t="s">
        <v>24</v>
      </c>
      <c r="F3480" s="93" t="s">
        <v>7070</v>
      </c>
      <c r="G3480" s="93" t="s">
        <v>8237</v>
      </c>
      <c r="H3480" s="93" t="s">
        <v>11</v>
      </c>
      <c r="I3480" s="93" t="s">
        <v>111</v>
      </c>
      <c r="J3480" s="93" t="s">
        <v>963</v>
      </c>
      <c r="K3480" s="93">
        <v>60</v>
      </c>
      <c r="L3480" s="93" t="s">
        <v>111</v>
      </c>
      <c r="M3480" s="93">
        <v>0.4</v>
      </c>
      <c r="N3480" s="93" t="s">
        <v>113</v>
      </c>
      <c r="O3480" s="93">
        <v>5</v>
      </c>
      <c r="P3480" s="93">
        <v>8.1999999999999993</v>
      </c>
      <c r="Q3480" s="93">
        <v>51.5</v>
      </c>
      <c r="R3480" s="93" t="s">
        <v>122</v>
      </c>
      <c r="S3480" s="93" t="s">
        <v>2</v>
      </c>
      <c r="T3480" s="93" t="s">
        <v>1659</v>
      </c>
      <c r="U3480" s="93" t="s">
        <v>116</v>
      </c>
      <c r="V3480" s="94">
        <v>44628.55972222222</v>
      </c>
      <c r="W3480" s="93" t="s">
        <v>1170</v>
      </c>
      <c r="X3480" s="93" t="s">
        <v>24</v>
      </c>
    </row>
    <row r="3481" spans="1:24" hidden="1" x14ac:dyDescent="0.15">
      <c r="A3481" s="93" t="s">
        <v>5302</v>
      </c>
      <c r="B3481" s="93" t="s">
        <v>5303</v>
      </c>
      <c r="C3481" s="410">
        <v>761.25</v>
      </c>
      <c r="D3481" s="93" t="s">
        <v>9</v>
      </c>
      <c r="E3481" s="93" t="s">
        <v>9</v>
      </c>
      <c r="F3481" s="93" t="s">
        <v>1648</v>
      </c>
      <c r="G3481" s="93" t="s">
        <v>9117</v>
      </c>
      <c r="H3481" s="93" t="s">
        <v>1943</v>
      </c>
      <c r="I3481" s="93" t="s">
        <v>111</v>
      </c>
      <c r="J3481" s="93" t="s">
        <v>1675</v>
      </c>
      <c r="K3481" s="93">
        <v>60</v>
      </c>
      <c r="L3481" s="93" t="s">
        <v>111</v>
      </c>
      <c r="M3481" s="93">
        <v>3.5</v>
      </c>
      <c r="N3481" s="93" t="s">
        <v>113</v>
      </c>
      <c r="O3481" s="93">
        <v>10</v>
      </c>
      <c r="P3481" s="93">
        <v>30</v>
      </c>
      <c r="Q3481" s="93">
        <v>34</v>
      </c>
      <c r="R3481" s="93" t="s">
        <v>117</v>
      </c>
      <c r="S3481" s="93" t="s">
        <v>659</v>
      </c>
      <c r="T3481" s="93" t="s">
        <v>115</v>
      </c>
      <c r="U3481" s="93" t="s">
        <v>116</v>
      </c>
      <c r="V3481" s="94">
        <v>44628.489583333336</v>
      </c>
      <c r="W3481" s="93" t="s">
        <v>1555</v>
      </c>
      <c r="X3481" s="93" t="s">
        <v>24</v>
      </c>
    </row>
    <row r="3482" spans="1:24" hidden="1" x14ac:dyDescent="0.15">
      <c r="A3482" s="93" t="s">
        <v>5304</v>
      </c>
      <c r="B3482" s="93" t="s">
        <v>5305</v>
      </c>
      <c r="C3482" s="410">
        <v>761.25</v>
      </c>
      <c r="D3482" s="93" t="s">
        <v>9</v>
      </c>
      <c r="E3482" s="93" t="s">
        <v>9</v>
      </c>
      <c r="F3482" s="93" t="s">
        <v>1648</v>
      </c>
      <c r="G3482" s="93" t="s">
        <v>9117</v>
      </c>
      <c r="H3482" s="93" t="s">
        <v>1943</v>
      </c>
      <c r="I3482" s="93" t="s">
        <v>111</v>
      </c>
      <c r="J3482" s="93" t="s">
        <v>1675</v>
      </c>
      <c r="K3482" s="93">
        <v>60</v>
      </c>
      <c r="L3482" s="93" t="s">
        <v>111</v>
      </c>
      <c r="M3482" s="93">
        <v>3.5</v>
      </c>
      <c r="N3482" s="93" t="s">
        <v>113</v>
      </c>
      <c r="O3482" s="93">
        <v>10</v>
      </c>
      <c r="P3482" s="93">
        <v>30</v>
      </c>
      <c r="Q3482" s="93">
        <v>34</v>
      </c>
      <c r="R3482" s="93" t="s">
        <v>117</v>
      </c>
      <c r="S3482" s="93" t="s">
        <v>659</v>
      </c>
      <c r="T3482" s="93" t="s">
        <v>115</v>
      </c>
      <c r="U3482" s="93" t="s">
        <v>116</v>
      </c>
      <c r="V3482" s="94">
        <v>44628.633333333331</v>
      </c>
      <c r="W3482" s="93" t="s">
        <v>1555</v>
      </c>
      <c r="X3482" s="93" t="s">
        <v>24</v>
      </c>
    </row>
    <row r="3483" spans="1:24" hidden="1" x14ac:dyDescent="0.15">
      <c r="A3483" s="93" t="s">
        <v>5306</v>
      </c>
      <c r="B3483" s="93" t="s">
        <v>5307</v>
      </c>
      <c r="C3483" s="410">
        <v>761.25</v>
      </c>
      <c r="D3483" s="93" t="s">
        <v>9</v>
      </c>
      <c r="E3483" s="93" t="s">
        <v>9</v>
      </c>
      <c r="F3483" s="93" t="s">
        <v>1648</v>
      </c>
      <c r="G3483" s="93" t="s">
        <v>9117</v>
      </c>
      <c r="H3483" s="93" t="s">
        <v>1943</v>
      </c>
      <c r="I3483" s="93" t="s">
        <v>111</v>
      </c>
      <c r="J3483" s="93" t="s">
        <v>1675</v>
      </c>
      <c r="K3483" s="93">
        <v>60</v>
      </c>
      <c r="L3483" s="93" t="s">
        <v>111</v>
      </c>
      <c r="M3483" s="93">
        <v>3.5</v>
      </c>
      <c r="N3483" s="93" t="s">
        <v>113</v>
      </c>
      <c r="O3483" s="93">
        <v>10</v>
      </c>
      <c r="P3483" s="93">
        <v>30</v>
      </c>
      <c r="Q3483" s="93">
        <v>34</v>
      </c>
      <c r="R3483" s="93" t="s">
        <v>117</v>
      </c>
      <c r="S3483" s="93" t="s">
        <v>659</v>
      </c>
      <c r="T3483" s="93" t="s">
        <v>115</v>
      </c>
      <c r="U3483" s="93" t="s">
        <v>116</v>
      </c>
      <c r="V3483" s="94">
        <v>44628.633333333331</v>
      </c>
      <c r="W3483" s="93" t="s">
        <v>1555</v>
      </c>
      <c r="X3483" s="93" t="s">
        <v>24</v>
      </c>
    </row>
    <row r="3484" spans="1:24" hidden="1" x14ac:dyDescent="0.15">
      <c r="A3484" s="93" t="s">
        <v>5308</v>
      </c>
      <c r="B3484" s="93" t="s">
        <v>5309</v>
      </c>
      <c r="C3484" s="410">
        <v>761.25</v>
      </c>
      <c r="D3484" s="93" t="s">
        <v>9</v>
      </c>
      <c r="E3484" s="93" t="s">
        <v>9</v>
      </c>
      <c r="F3484" s="93" t="s">
        <v>1648</v>
      </c>
      <c r="G3484" s="93" t="s">
        <v>9117</v>
      </c>
      <c r="H3484" s="93" t="s">
        <v>1943</v>
      </c>
      <c r="I3484" s="93" t="s">
        <v>111</v>
      </c>
      <c r="J3484" s="93" t="s">
        <v>1675</v>
      </c>
      <c r="K3484" s="93">
        <v>60</v>
      </c>
      <c r="L3484" s="93" t="s">
        <v>111</v>
      </c>
      <c r="M3484" s="93">
        <v>3.5</v>
      </c>
      <c r="N3484" s="93" t="s">
        <v>113</v>
      </c>
      <c r="O3484" s="93">
        <v>10</v>
      </c>
      <c r="P3484" s="93">
        <v>30</v>
      </c>
      <c r="Q3484" s="93">
        <v>34</v>
      </c>
      <c r="R3484" s="93" t="s">
        <v>117</v>
      </c>
      <c r="S3484" s="93" t="s">
        <v>659</v>
      </c>
      <c r="T3484" s="93" t="s">
        <v>115</v>
      </c>
      <c r="U3484" s="93" t="s">
        <v>116</v>
      </c>
      <c r="V3484" s="94">
        <v>44628.533333333333</v>
      </c>
      <c r="W3484" s="93" t="s">
        <v>1555</v>
      </c>
      <c r="X3484" s="93" t="s">
        <v>24</v>
      </c>
    </row>
    <row r="3485" spans="1:24" hidden="1" x14ac:dyDescent="0.15">
      <c r="A3485" s="93" t="s">
        <v>5310</v>
      </c>
      <c r="B3485" s="93" t="s">
        <v>5311</v>
      </c>
      <c r="C3485" s="410">
        <v>761.25</v>
      </c>
      <c r="D3485" s="93" t="s">
        <v>9</v>
      </c>
      <c r="E3485" s="93" t="s">
        <v>9</v>
      </c>
      <c r="F3485" s="93" t="s">
        <v>1648</v>
      </c>
      <c r="G3485" s="93" t="s">
        <v>9117</v>
      </c>
      <c r="H3485" s="93" t="s">
        <v>1943</v>
      </c>
      <c r="I3485" s="93" t="s">
        <v>111</v>
      </c>
      <c r="J3485" s="93" t="s">
        <v>1675</v>
      </c>
      <c r="K3485" s="93">
        <v>60</v>
      </c>
      <c r="L3485" s="93" t="s">
        <v>111</v>
      </c>
      <c r="M3485" s="93">
        <v>3.5</v>
      </c>
      <c r="N3485" s="93" t="s">
        <v>113</v>
      </c>
      <c r="O3485" s="93">
        <v>10</v>
      </c>
      <c r="P3485" s="93">
        <v>30</v>
      </c>
      <c r="Q3485" s="93">
        <v>34</v>
      </c>
      <c r="R3485" s="93" t="s">
        <v>117</v>
      </c>
      <c r="S3485" s="93" t="s">
        <v>659</v>
      </c>
      <c r="T3485" s="93" t="s">
        <v>115</v>
      </c>
      <c r="U3485" s="93" t="s">
        <v>116</v>
      </c>
      <c r="V3485" s="94">
        <v>44628.46875</v>
      </c>
      <c r="W3485" s="93" t="s">
        <v>1555</v>
      </c>
      <c r="X3485" s="93" t="s">
        <v>24</v>
      </c>
    </row>
    <row r="3486" spans="1:24" hidden="1" x14ac:dyDescent="0.15">
      <c r="A3486" s="93" t="s">
        <v>5312</v>
      </c>
      <c r="B3486" s="93" t="s">
        <v>5313</v>
      </c>
      <c r="C3486" s="410">
        <v>761.25</v>
      </c>
      <c r="D3486" s="93" t="s">
        <v>9</v>
      </c>
      <c r="E3486" s="93" t="s">
        <v>9</v>
      </c>
      <c r="F3486" s="93" t="s">
        <v>1648</v>
      </c>
      <c r="G3486" s="93" t="s">
        <v>9117</v>
      </c>
      <c r="H3486" s="93" t="s">
        <v>1943</v>
      </c>
      <c r="I3486" s="93" t="s">
        <v>111</v>
      </c>
      <c r="J3486" s="93" t="s">
        <v>1675</v>
      </c>
      <c r="K3486" s="93">
        <v>60</v>
      </c>
      <c r="L3486" s="93" t="s">
        <v>111</v>
      </c>
      <c r="M3486" s="93">
        <v>3.5</v>
      </c>
      <c r="N3486" s="93" t="s">
        <v>113</v>
      </c>
      <c r="O3486" s="93">
        <v>10</v>
      </c>
      <c r="P3486" s="93">
        <v>30</v>
      </c>
      <c r="Q3486" s="93">
        <v>34</v>
      </c>
      <c r="R3486" s="93" t="s">
        <v>117</v>
      </c>
      <c r="S3486" s="93" t="s">
        <v>659</v>
      </c>
      <c r="T3486" s="93" t="s">
        <v>115</v>
      </c>
      <c r="U3486" s="93" t="s">
        <v>116</v>
      </c>
      <c r="V3486" s="94">
        <v>44628.46875</v>
      </c>
      <c r="W3486" s="93" t="s">
        <v>1555</v>
      </c>
      <c r="X3486" s="93" t="s">
        <v>24</v>
      </c>
    </row>
    <row r="3487" spans="1:24" hidden="1" x14ac:dyDescent="0.15">
      <c r="A3487" s="93" t="s">
        <v>5314</v>
      </c>
      <c r="B3487" s="93" t="s">
        <v>5315</v>
      </c>
      <c r="C3487" s="410">
        <v>525</v>
      </c>
      <c r="D3487" s="93" t="s">
        <v>9</v>
      </c>
      <c r="E3487" s="93" t="s">
        <v>9</v>
      </c>
      <c r="F3487" s="93" t="s">
        <v>1648</v>
      </c>
      <c r="G3487" s="93" t="s">
        <v>9117</v>
      </c>
      <c r="H3487" s="93" t="s">
        <v>1943</v>
      </c>
      <c r="I3487" s="93" t="s">
        <v>111</v>
      </c>
      <c r="J3487" s="93" t="s">
        <v>1675</v>
      </c>
      <c r="K3487" s="93">
        <v>60</v>
      </c>
      <c r="L3487" s="93" t="s">
        <v>111</v>
      </c>
      <c r="M3487" s="93">
        <v>9</v>
      </c>
      <c r="N3487" s="93" t="s">
        <v>113</v>
      </c>
      <c r="O3487" s="93">
        <v>21.8</v>
      </c>
      <c r="P3487" s="93">
        <v>31.8</v>
      </c>
      <c r="Q3487" s="93">
        <v>46.3</v>
      </c>
      <c r="R3487" s="93" t="s">
        <v>117</v>
      </c>
      <c r="S3487" s="93" t="s">
        <v>659</v>
      </c>
      <c r="T3487" s="93" t="s">
        <v>115</v>
      </c>
      <c r="U3487" s="93" t="s">
        <v>116</v>
      </c>
      <c r="V3487" s="94">
        <v>44628.511805555558</v>
      </c>
      <c r="W3487" s="93" t="s">
        <v>1555</v>
      </c>
      <c r="X3487" s="93" t="s">
        <v>24</v>
      </c>
    </row>
    <row r="3488" spans="1:24" hidden="1" x14ac:dyDescent="0.15">
      <c r="A3488" s="93" t="s">
        <v>5316</v>
      </c>
      <c r="B3488" s="93" t="s">
        <v>5317</v>
      </c>
      <c r="C3488" s="410">
        <v>525</v>
      </c>
      <c r="D3488" s="93" t="s">
        <v>9</v>
      </c>
      <c r="E3488" s="93" t="s">
        <v>9</v>
      </c>
      <c r="F3488" s="93" t="s">
        <v>1648</v>
      </c>
      <c r="G3488" s="93" t="s">
        <v>9117</v>
      </c>
      <c r="H3488" s="93" t="s">
        <v>1943</v>
      </c>
      <c r="I3488" s="93" t="s">
        <v>111</v>
      </c>
      <c r="J3488" s="93" t="s">
        <v>1675</v>
      </c>
      <c r="K3488" s="93">
        <v>60</v>
      </c>
      <c r="L3488" s="93" t="s">
        <v>111</v>
      </c>
      <c r="M3488" s="93">
        <v>9</v>
      </c>
      <c r="N3488" s="93" t="s">
        <v>113</v>
      </c>
      <c r="O3488" s="93">
        <v>21.8</v>
      </c>
      <c r="P3488" s="93">
        <v>31.8</v>
      </c>
      <c r="Q3488" s="93">
        <v>46.3</v>
      </c>
      <c r="R3488" s="93" t="s">
        <v>117</v>
      </c>
      <c r="S3488" s="93" t="s">
        <v>659</v>
      </c>
      <c r="T3488" s="93" t="s">
        <v>115</v>
      </c>
      <c r="U3488" s="93" t="s">
        <v>116</v>
      </c>
      <c r="V3488" s="94">
        <v>44628.554861111108</v>
      </c>
      <c r="W3488" s="93" t="s">
        <v>1555</v>
      </c>
      <c r="X3488" s="93" t="s">
        <v>24</v>
      </c>
    </row>
    <row r="3489" spans="1:24" hidden="1" x14ac:dyDescent="0.15">
      <c r="A3489" s="93" t="s">
        <v>5318</v>
      </c>
      <c r="B3489" s="93" t="s">
        <v>5319</v>
      </c>
      <c r="C3489" s="410">
        <v>525</v>
      </c>
      <c r="D3489" s="93" t="s">
        <v>9</v>
      </c>
      <c r="E3489" s="93" t="s">
        <v>9</v>
      </c>
      <c r="F3489" s="93" t="s">
        <v>1648</v>
      </c>
      <c r="G3489" s="93" t="s">
        <v>9117</v>
      </c>
      <c r="H3489" s="93" t="s">
        <v>1943</v>
      </c>
      <c r="I3489" s="93" t="s">
        <v>111</v>
      </c>
      <c r="J3489" s="93" t="s">
        <v>1675</v>
      </c>
      <c r="K3489" s="93">
        <v>60</v>
      </c>
      <c r="L3489" s="93" t="s">
        <v>111</v>
      </c>
      <c r="M3489" s="93">
        <v>9</v>
      </c>
      <c r="N3489" s="93" t="s">
        <v>113</v>
      </c>
      <c r="O3489" s="93">
        <v>21.8</v>
      </c>
      <c r="P3489" s="93">
        <v>31.8</v>
      </c>
      <c r="Q3489" s="93">
        <v>46.3</v>
      </c>
      <c r="R3489" s="93" t="s">
        <v>117</v>
      </c>
      <c r="S3489" s="93" t="s">
        <v>659</v>
      </c>
      <c r="T3489" s="93" t="s">
        <v>115</v>
      </c>
      <c r="U3489" s="93" t="s">
        <v>116</v>
      </c>
      <c r="V3489" s="94">
        <v>44628.489583333336</v>
      </c>
      <c r="W3489" s="93" t="s">
        <v>1555</v>
      </c>
      <c r="X3489" s="93" t="s">
        <v>24</v>
      </c>
    </row>
    <row r="3490" spans="1:24" hidden="1" x14ac:dyDescent="0.15">
      <c r="A3490" s="93" t="s">
        <v>5320</v>
      </c>
      <c r="B3490" s="93" t="s">
        <v>5321</v>
      </c>
      <c r="C3490" s="410">
        <v>525</v>
      </c>
      <c r="D3490" s="93" t="s">
        <v>9</v>
      </c>
      <c r="E3490" s="93" t="s">
        <v>9</v>
      </c>
      <c r="F3490" s="93" t="s">
        <v>1648</v>
      </c>
      <c r="G3490" s="93" t="s">
        <v>9117</v>
      </c>
      <c r="H3490" s="93" t="s">
        <v>1943</v>
      </c>
      <c r="I3490" s="93" t="s">
        <v>111</v>
      </c>
      <c r="J3490" s="93" t="s">
        <v>1675</v>
      </c>
      <c r="K3490" s="93">
        <v>60</v>
      </c>
      <c r="L3490" s="93" t="s">
        <v>111</v>
      </c>
      <c r="M3490" s="93">
        <v>9</v>
      </c>
      <c r="N3490" s="93" t="s">
        <v>113</v>
      </c>
      <c r="O3490" s="93">
        <v>21.8</v>
      </c>
      <c r="P3490" s="93">
        <v>31.8</v>
      </c>
      <c r="Q3490" s="93">
        <v>46.3</v>
      </c>
      <c r="R3490" s="93" t="s">
        <v>117</v>
      </c>
      <c r="S3490" s="93" t="s">
        <v>659</v>
      </c>
      <c r="T3490" s="93" t="s">
        <v>115</v>
      </c>
      <c r="U3490" s="93" t="s">
        <v>116</v>
      </c>
      <c r="V3490" s="94">
        <v>44628.633333333331</v>
      </c>
      <c r="W3490" s="93" t="s">
        <v>1555</v>
      </c>
      <c r="X3490" s="93" t="s">
        <v>24</v>
      </c>
    </row>
    <row r="3491" spans="1:24" hidden="1" x14ac:dyDescent="0.15">
      <c r="A3491" s="93" t="s">
        <v>5322</v>
      </c>
      <c r="B3491" s="93" t="s">
        <v>5323</v>
      </c>
      <c r="C3491" s="410">
        <v>525</v>
      </c>
      <c r="D3491" s="93" t="s">
        <v>9</v>
      </c>
      <c r="E3491" s="93" t="s">
        <v>9</v>
      </c>
      <c r="F3491" s="93" t="s">
        <v>1648</v>
      </c>
      <c r="G3491" s="93" t="s">
        <v>9117</v>
      </c>
      <c r="H3491" s="93" t="s">
        <v>1943</v>
      </c>
      <c r="I3491" s="93" t="s">
        <v>111</v>
      </c>
      <c r="J3491" s="93" t="s">
        <v>963</v>
      </c>
      <c r="K3491" s="93">
        <v>60</v>
      </c>
      <c r="L3491" s="93">
        <v>1</v>
      </c>
      <c r="M3491" s="93">
        <v>9</v>
      </c>
      <c r="N3491" s="93" t="s">
        <v>113</v>
      </c>
      <c r="O3491" s="93">
        <v>21.8</v>
      </c>
      <c r="P3491" s="93">
        <v>31.8</v>
      </c>
      <c r="Q3491" s="93">
        <v>46.3</v>
      </c>
      <c r="R3491" s="93" t="s">
        <v>117</v>
      </c>
      <c r="S3491" s="93" t="s">
        <v>659</v>
      </c>
      <c r="T3491" s="93" t="s">
        <v>115</v>
      </c>
      <c r="U3491" s="93" t="s">
        <v>116</v>
      </c>
      <c r="V3491" s="94">
        <v>44628.46875</v>
      </c>
      <c r="W3491" s="93" t="s">
        <v>1555</v>
      </c>
      <c r="X3491" s="93" t="s">
        <v>24</v>
      </c>
    </row>
    <row r="3492" spans="1:24" hidden="1" x14ac:dyDescent="0.15">
      <c r="A3492" s="93" t="s">
        <v>5324</v>
      </c>
      <c r="B3492" s="93" t="s">
        <v>5325</v>
      </c>
      <c r="C3492" s="410">
        <v>525</v>
      </c>
      <c r="D3492" s="93" t="s">
        <v>9</v>
      </c>
      <c r="E3492" s="93" t="s">
        <v>9</v>
      </c>
      <c r="F3492" s="93" t="s">
        <v>1648</v>
      </c>
      <c r="G3492" s="93" t="s">
        <v>9117</v>
      </c>
      <c r="H3492" s="93" t="s">
        <v>1943</v>
      </c>
      <c r="I3492" s="93" t="s">
        <v>111</v>
      </c>
      <c r="J3492" s="93" t="s">
        <v>963</v>
      </c>
      <c r="K3492" s="93">
        <v>60</v>
      </c>
      <c r="L3492" s="93">
        <v>1</v>
      </c>
      <c r="M3492" s="93">
        <v>9</v>
      </c>
      <c r="N3492" s="93" t="s">
        <v>113</v>
      </c>
      <c r="O3492" s="93">
        <v>21.8</v>
      </c>
      <c r="P3492" s="93">
        <v>31.8</v>
      </c>
      <c r="Q3492" s="93">
        <v>46.3</v>
      </c>
      <c r="R3492" s="93" t="s">
        <v>117</v>
      </c>
      <c r="S3492" s="93" t="s">
        <v>659</v>
      </c>
      <c r="T3492" s="93" t="s">
        <v>115</v>
      </c>
      <c r="U3492" s="93" t="s">
        <v>116</v>
      </c>
      <c r="V3492" s="94">
        <v>44628.554861111108</v>
      </c>
      <c r="W3492" s="93" t="s">
        <v>1555</v>
      </c>
      <c r="X3492" s="93" t="s">
        <v>24</v>
      </c>
    </row>
    <row r="3493" spans="1:24" hidden="1" x14ac:dyDescent="0.15">
      <c r="A3493" s="93" t="s">
        <v>5326</v>
      </c>
      <c r="B3493" s="93" t="s">
        <v>5327</v>
      </c>
      <c r="C3493" s="410">
        <v>478.8</v>
      </c>
      <c r="D3493" s="93" t="s">
        <v>24</v>
      </c>
      <c r="E3493" s="93" t="s">
        <v>24</v>
      </c>
      <c r="F3493" s="93" t="s">
        <v>7070</v>
      </c>
      <c r="G3493" s="93" t="s">
        <v>8237</v>
      </c>
      <c r="H3493" s="93" t="s">
        <v>1198</v>
      </c>
      <c r="I3493" s="93" t="s">
        <v>111</v>
      </c>
      <c r="J3493" s="93" t="s">
        <v>963</v>
      </c>
      <c r="K3493" s="93">
        <v>60</v>
      </c>
      <c r="L3493" s="93" t="s">
        <v>111</v>
      </c>
      <c r="M3493" s="93">
        <v>8.9499999999999993</v>
      </c>
      <c r="N3493" s="93" t="s">
        <v>113</v>
      </c>
      <c r="O3493" s="93">
        <v>46</v>
      </c>
      <c r="P3493" s="93">
        <v>64</v>
      </c>
      <c r="Q3493" s="93">
        <v>33</v>
      </c>
      <c r="R3493" s="93" t="s">
        <v>117</v>
      </c>
      <c r="S3493" s="93" t="s">
        <v>18</v>
      </c>
      <c r="T3493" s="93" t="s">
        <v>1659</v>
      </c>
      <c r="U3493" s="93" t="s">
        <v>116</v>
      </c>
      <c r="V3493" s="94">
        <v>44628.563888888886</v>
      </c>
      <c r="W3493" s="93" t="s">
        <v>1170</v>
      </c>
      <c r="X3493" s="93" t="s">
        <v>24</v>
      </c>
    </row>
    <row r="3494" spans="1:24" hidden="1" x14ac:dyDescent="0.15">
      <c r="A3494" s="93" t="s">
        <v>5328</v>
      </c>
      <c r="B3494" s="93" t="s">
        <v>5329</v>
      </c>
      <c r="C3494" s="410">
        <v>603.75</v>
      </c>
      <c r="D3494" s="93" t="s">
        <v>24</v>
      </c>
      <c r="E3494" s="93" t="s">
        <v>24</v>
      </c>
      <c r="F3494" s="93" t="s">
        <v>7070</v>
      </c>
      <c r="G3494" s="93" t="s">
        <v>8237</v>
      </c>
      <c r="H3494" s="93" t="s">
        <v>1198</v>
      </c>
      <c r="I3494" s="93" t="s">
        <v>111</v>
      </c>
      <c r="J3494" s="93" t="s">
        <v>963</v>
      </c>
      <c r="K3494" s="93">
        <v>60</v>
      </c>
      <c r="L3494" s="93" t="s">
        <v>111</v>
      </c>
      <c r="M3494" s="93">
        <v>10.9</v>
      </c>
      <c r="N3494" s="93" t="s">
        <v>113</v>
      </c>
      <c r="O3494" s="93">
        <v>36</v>
      </c>
      <c r="P3494" s="93">
        <v>70</v>
      </c>
      <c r="Q3494" s="93">
        <v>73</v>
      </c>
      <c r="R3494" s="93" t="s">
        <v>117</v>
      </c>
      <c r="S3494" s="93" t="s">
        <v>18</v>
      </c>
      <c r="T3494" s="93" t="s">
        <v>1659</v>
      </c>
      <c r="U3494" s="93" t="s">
        <v>116</v>
      </c>
      <c r="V3494" s="94">
        <v>44628.477777777778</v>
      </c>
      <c r="W3494" s="93" t="s">
        <v>1170</v>
      </c>
      <c r="X3494" s="93" t="s">
        <v>24</v>
      </c>
    </row>
    <row r="3495" spans="1:24" hidden="1" x14ac:dyDescent="0.15">
      <c r="A3495" s="93" t="s">
        <v>5330</v>
      </c>
      <c r="B3495" s="93" t="s">
        <v>5331</v>
      </c>
      <c r="C3495" s="410">
        <v>1365</v>
      </c>
      <c r="D3495" s="93" t="s">
        <v>24</v>
      </c>
      <c r="E3495" s="93" t="s">
        <v>24</v>
      </c>
      <c r="F3495" s="93" t="s">
        <v>7070</v>
      </c>
      <c r="G3495" s="93" t="s">
        <v>8237</v>
      </c>
      <c r="H3495" s="93" t="s">
        <v>1198</v>
      </c>
      <c r="I3495" s="93" t="s">
        <v>111</v>
      </c>
      <c r="J3495" s="93" t="s">
        <v>963</v>
      </c>
      <c r="K3495" s="93">
        <v>60</v>
      </c>
      <c r="L3495" s="93" t="s">
        <v>111</v>
      </c>
      <c r="M3495" s="93">
        <v>31</v>
      </c>
      <c r="N3495" s="93" t="s">
        <v>113</v>
      </c>
      <c r="O3495" s="93">
        <v>107</v>
      </c>
      <c r="P3495" s="93">
        <v>37</v>
      </c>
      <c r="Q3495" s="93">
        <v>120</v>
      </c>
      <c r="R3495" s="93" t="s">
        <v>117</v>
      </c>
      <c r="S3495" s="93" t="s">
        <v>18</v>
      </c>
      <c r="T3495" s="93" t="s">
        <v>1659</v>
      </c>
      <c r="U3495" s="93" t="s">
        <v>116</v>
      </c>
      <c r="V3495" s="94">
        <v>44628.586111111108</v>
      </c>
      <c r="W3495" s="93" t="s">
        <v>1170</v>
      </c>
      <c r="X3495" s="93" t="s">
        <v>24</v>
      </c>
    </row>
    <row r="3496" spans="1:24" hidden="1" x14ac:dyDescent="0.15">
      <c r="A3496" s="93" t="s">
        <v>5332</v>
      </c>
      <c r="B3496" s="93" t="s">
        <v>5333</v>
      </c>
      <c r="C3496" s="410">
        <v>1869</v>
      </c>
      <c r="D3496" s="93" t="s">
        <v>24</v>
      </c>
      <c r="E3496" s="93" t="s">
        <v>24</v>
      </c>
      <c r="F3496" s="93" t="s">
        <v>7070</v>
      </c>
      <c r="G3496" s="93" t="s">
        <v>8237</v>
      </c>
      <c r="H3496" s="93" t="s">
        <v>1198</v>
      </c>
      <c r="I3496" s="93" t="s">
        <v>111</v>
      </c>
      <c r="J3496" s="93" t="s">
        <v>963</v>
      </c>
      <c r="K3496" s="93">
        <v>60</v>
      </c>
      <c r="L3496" s="93" t="s">
        <v>111</v>
      </c>
      <c r="M3496" s="93">
        <v>102</v>
      </c>
      <c r="N3496" s="93" t="s">
        <v>113</v>
      </c>
      <c r="O3496" s="93">
        <v>137</v>
      </c>
      <c r="P3496" s="93">
        <v>137</v>
      </c>
      <c r="Q3496" s="93">
        <v>82</v>
      </c>
      <c r="R3496" s="93" t="s">
        <v>117</v>
      </c>
      <c r="S3496" s="93" t="s">
        <v>18</v>
      </c>
      <c r="T3496" s="93" t="s">
        <v>1659</v>
      </c>
      <c r="U3496" s="93" t="s">
        <v>116</v>
      </c>
      <c r="V3496" s="94">
        <v>44628.563888888886</v>
      </c>
      <c r="W3496" s="93" t="s">
        <v>1170</v>
      </c>
      <c r="X3496" s="93" t="s">
        <v>24</v>
      </c>
    </row>
    <row r="3497" spans="1:24" hidden="1" x14ac:dyDescent="0.15">
      <c r="A3497" s="93" t="s">
        <v>5334</v>
      </c>
      <c r="B3497" s="93" t="s">
        <v>5335</v>
      </c>
      <c r="C3497" s="410">
        <v>3807.3</v>
      </c>
      <c r="D3497" s="93" t="s">
        <v>24</v>
      </c>
      <c r="E3497" s="93" t="s">
        <v>24</v>
      </c>
      <c r="F3497" s="93" t="s">
        <v>7070</v>
      </c>
      <c r="G3497" s="93" t="s">
        <v>8237</v>
      </c>
      <c r="H3497" s="93" t="s">
        <v>1198</v>
      </c>
      <c r="I3497" s="93" t="s">
        <v>111</v>
      </c>
      <c r="J3497" s="93" t="s">
        <v>963</v>
      </c>
      <c r="K3497" s="93">
        <v>60</v>
      </c>
      <c r="L3497" s="93" t="s">
        <v>111</v>
      </c>
      <c r="M3497" s="93">
        <v>193</v>
      </c>
      <c r="N3497" s="93" t="s">
        <v>113</v>
      </c>
      <c r="O3497" s="93">
        <v>210</v>
      </c>
      <c r="P3497" s="93">
        <v>88</v>
      </c>
      <c r="Q3497" s="93">
        <v>207</v>
      </c>
      <c r="R3497" s="93" t="s">
        <v>117</v>
      </c>
      <c r="S3497" s="93" t="s">
        <v>18</v>
      </c>
      <c r="T3497" s="93" t="s">
        <v>1659</v>
      </c>
      <c r="U3497" s="93" t="s">
        <v>116</v>
      </c>
      <c r="V3497" s="94">
        <v>44628.477777777778</v>
      </c>
      <c r="W3497" s="93" t="s">
        <v>1170</v>
      </c>
      <c r="X3497" s="93" t="s">
        <v>24</v>
      </c>
    </row>
    <row r="3498" spans="1:24" hidden="1" x14ac:dyDescent="0.15">
      <c r="A3498" s="93" t="s">
        <v>5336</v>
      </c>
      <c r="B3498" s="93" t="s">
        <v>5337</v>
      </c>
      <c r="C3498" s="410">
        <v>693</v>
      </c>
      <c r="D3498" s="93" t="s">
        <v>24</v>
      </c>
      <c r="E3498" s="93" t="s">
        <v>24</v>
      </c>
      <c r="F3498" s="93" t="s">
        <v>7070</v>
      </c>
      <c r="G3498" s="93" t="s">
        <v>8237</v>
      </c>
      <c r="H3498" s="93" t="s">
        <v>1198</v>
      </c>
      <c r="I3498" s="93" t="s">
        <v>111</v>
      </c>
      <c r="J3498" s="93" t="s">
        <v>963</v>
      </c>
      <c r="K3498" s="93">
        <v>60</v>
      </c>
      <c r="L3498" s="93" t="s">
        <v>111</v>
      </c>
      <c r="M3498" s="93">
        <v>10.8</v>
      </c>
      <c r="N3498" s="93" t="s">
        <v>113</v>
      </c>
      <c r="O3498" s="93">
        <v>45</v>
      </c>
      <c r="P3498" s="93">
        <v>45</v>
      </c>
      <c r="Q3498" s="93">
        <v>48</v>
      </c>
      <c r="R3498" s="93" t="s">
        <v>117</v>
      </c>
      <c r="S3498" s="93" t="s">
        <v>20</v>
      </c>
      <c r="T3498" s="93" t="s">
        <v>1659</v>
      </c>
      <c r="U3498" s="93" t="s">
        <v>116</v>
      </c>
      <c r="V3498" s="94">
        <v>44628.607638888891</v>
      </c>
      <c r="W3498" s="93" t="s">
        <v>1207</v>
      </c>
      <c r="X3498" s="93" t="s">
        <v>24</v>
      </c>
    </row>
    <row r="3499" spans="1:24" hidden="1" x14ac:dyDescent="0.15">
      <c r="A3499" s="93" t="s">
        <v>5338</v>
      </c>
      <c r="B3499" s="93" t="s">
        <v>5339</v>
      </c>
      <c r="C3499" s="410">
        <v>745.5</v>
      </c>
      <c r="D3499" s="93" t="s">
        <v>24</v>
      </c>
      <c r="E3499" s="93" t="s">
        <v>24</v>
      </c>
      <c r="F3499" s="93" t="s">
        <v>7070</v>
      </c>
      <c r="G3499" s="93" t="s">
        <v>8237</v>
      </c>
      <c r="H3499" s="93" t="s">
        <v>1198</v>
      </c>
      <c r="I3499" s="93" t="s">
        <v>111</v>
      </c>
      <c r="J3499" s="93" t="s">
        <v>963</v>
      </c>
      <c r="K3499" s="93">
        <v>60</v>
      </c>
      <c r="L3499" s="93" t="s">
        <v>111</v>
      </c>
      <c r="M3499" s="93">
        <v>21.7</v>
      </c>
      <c r="N3499" s="93" t="s">
        <v>113</v>
      </c>
      <c r="O3499" s="93">
        <v>71</v>
      </c>
      <c r="P3499" s="93">
        <v>71</v>
      </c>
      <c r="Q3499" s="93">
        <v>61</v>
      </c>
      <c r="R3499" s="93" t="s">
        <v>117</v>
      </c>
      <c r="S3499" s="93" t="s">
        <v>20</v>
      </c>
      <c r="T3499" s="93" t="s">
        <v>1659</v>
      </c>
      <c r="U3499" s="93" t="s">
        <v>116</v>
      </c>
      <c r="V3499" s="94">
        <v>44628.563888888886</v>
      </c>
      <c r="W3499" s="93" t="s">
        <v>1817</v>
      </c>
      <c r="X3499" s="93" t="s">
        <v>24</v>
      </c>
    </row>
    <row r="3500" spans="1:24" hidden="1" x14ac:dyDescent="0.15">
      <c r="A3500" s="93" t="s">
        <v>5340</v>
      </c>
      <c r="B3500" s="93" t="s">
        <v>5341</v>
      </c>
      <c r="C3500" s="410">
        <v>1748.25</v>
      </c>
      <c r="D3500" s="93" t="s">
        <v>24</v>
      </c>
      <c r="E3500" s="93" t="s">
        <v>24</v>
      </c>
      <c r="F3500" s="93" t="s">
        <v>7070</v>
      </c>
      <c r="G3500" s="93" t="s">
        <v>8237</v>
      </c>
      <c r="H3500" s="93" t="s">
        <v>1198</v>
      </c>
      <c r="I3500" s="93" t="s">
        <v>111</v>
      </c>
      <c r="J3500" s="93" t="s">
        <v>963</v>
      </c>
      <c r="K3500" s="93">
        <v>60</v>
      </c>
      <c r="L3500" s="93" t="s">
        <v>111</v>
      </c>
      <c r="M3500" s="93">
        <v>36</v>
      </c>
      <c r="N3500" s="93" t="s">
        <v>113</v>
      </c>
      <c r="O3500" s="93">
        <v>69</v>
      </c>
      <c r="P3500" s="93">
        <v>119</v>
      </c>
      <c r="Q3500" s="93">
        <v>119</v>
      </c>
      <c r="R3500" s="93" t="s">
        <v>117</v>
      </c>
      <c r="S3500" s="93" t="s">
        <v>20</v>
      </c>
      <c r="T3500" s="93" t="s">
        <v>1659</v>
      </c>
      <c r="U3500" s="93" t="s">
        <v>116</v>
      </c>
      <c r="V3500" s="94">
        <v>44628.477777777778</v>
      </c>
      <c r="W3500" s="93" t="s">
        <v>1817</v>
      </c>
      <c r="X3500" s="93" t="s">
        <v>24</v>
      </c>
    </row>
    <row r="3501" spans="1:24" hidden="1" x14ac:dyDescent="0.15">
      <c r="A3501" s="93" t="s">
        <v>5342</v>
      </c>
      <c r="B3501" s="93" t="s">
        <v>5343</v>
      </c>
      <c r="C3501" s="410">
        <v>2346.75</v>
      </c>
      <c r="D3501" s="93" t="s">
        <v>24</v>
      </c>
      <c r="E3501" s="93" t="s">
        <v>24</v>
      </c>
      <c r="F3501" s="93" t="s">
        <v>7070</v>
      </c>
      <c r="G3501" s="93" t="s">
        <v>8237</v>
      </c>
      <c r="H3501" s="93" t="s">
        <v>1198</v>
      </c>
      <c r="I3501" s="93" t="s">
        <v>111</v>
      </c>
      <c r="J3501" s="93" t="s">
        <v>963</v>
      </c>
      <c r="K3501" s="93">
        <v>60</v>
      </c>
      <c r="L3501" s="93" t="s">
        <v>111</v>
      </c>
      <c r="M3501" s="93">
        <v>86</v>
      </c>
      <c r="N3501" s="93" t="s">
        <v>113</v>
      </c>
      <c r="O3501" s="93">
        <v>150</v>
      </c>
      <c r="P3501" s="93">
        <v>91</v>
      </c>
      <c r="Q3501" s="93">
        <v>147</v>
      </c>
      <c r="R3501" s="93" t="s">
        <v>117</v>
      </c>
      <c r="S3501" s="93" t="s">
        <v>2</v>
      </c>
      <c r="T3501" s="93" t="s">
        <v>1659</v>
      </c>
      <c r="U3501" s="93" t="s">
        <v>116</v>
      </c>
      <c r="V3501" s="94">
        <v>44628.477777777778</v>
      </c>
      <c r="W3501" s="93" t="s">
        <v>1207</v>
      </c>
      <c r="X3501" s="93" t="s">
        <v>24</v>
      </c>
    </row>
    <row r="3502" spans="1:24" hidden="1" x14ac:dyDescent="0.15">
      <c r="A3502" s="93" t="s">
        <v>5344</v>
      </c>
      <c r="B3502" s="93" t="s">
        <v>5345</v>
      </c>
      <c r="C3502" s="410">
        <v>4888.8</v>
      </c>
      <c r="D3502" s="93" t="s">
        <v>24</v>
      </c>
      <c r="E3502" s="93" t="s">
        <v>24</v>
      </c>
      <c r="F3502" s="93" t="s">
        <v>7070</v>
      </c>
      <c r="G3502" s="93" t="s">
        <v>8237</v>
      </c>
      <c r="H3502" s="93" t="s">
        <v>1198</v>
      </c>
      <c r="I3502" s="93" t="s">
        <v>111</v>
      </c>
      <c r="J3502" s="93" t="s">
        <v>963</v>
      </c>
      <c r="K3502" s="93">
        <v>60</v>
      </c>
      <c r="L3502" s="93" t="s">
        <v>111</v>
      </c>
      <c r="M3502" s="93">
        <v>183</v>
      </c>
      <c r="N3502" s="93" t="s">
        <v>113</v>
      </c>
      <c r="O3502" s="93">
        <v>199</v>
      </c>
      <c r="P3502" s="93">
        <v>88</v>
      </c>
      <c r="Q3502" s="93">
        <v>197</v>
      </c>
      <c r="R3502" s="93" t="s">
        <v>117</v>
      </c>
      <c r="S3502" s="93" t="s">
        <v>2</v>
      </c>
      <c r="T3502" s="93" t="s">
        <v>1659</v>
      </c>
      <c r="U3502" s="93" t="s">
        <v>116</v>
      </c>
      <c r="V3502" s="94">
        <v>44628.643055555556</v>
      </c>
      <c r="W3502" s="93" t="s">
        <v>1207</v>
      </c>
      <c r="X3502" s="93" t="s">
        <v>24</v>
      </c>
    </row>
    <row r="3503" spans="1:24" hidden="1" x14ac:dyDescent="0.15">
      <c r="A3503" s="93" t="s">
        <v>9487</v>
      </c>
      <c r="B3503" s="93" t="s">
        <v>9488</v>
      </c>
      <c r="C3503" s="410">
        <v>2625</v>
      </c>
      <c r="D3503" s="93" t="s">
        <v>24</v>
      </c>
      <c r="E3503" s="93" t="s">
        <v>24</v>
      </c>
      <c r="F3503" s="93" t="s">
        <v>7070</v>
      </c>
      <c r="G3503" s="93" t="s">
        <v>8237</v>
      </c>
      <c r="H3503" s="93" t="s">
        <v>11</v>
      </c>
      <c r="I3503" s="93" t="s">
        <v>111</v>
      </c>
      <c r="J3503" s="93" t="s">
        <v>1759</v>
      </c>
      <c r="K3503" s="93">
        <v>70</v>
      </c>
      <c r="L3503" s="93" t="s">
        <v>111</v>
      </c>
      <c r="M3503" s="93">
        <v>0.5</v>
      </c>
      <c r="N3503" s="93" t="s">
        <v>113</v>
      </c>
      <c r="O3503" s="93">
        <v>5</v>
      </c>
      <c r="P3503" s="93">
        <v>10</v>
      </c>
      <c r="Q3503" s="93">
        <v>12</v>
      </c>
      <c r="R3503" s="93" t="s">
        <v>117</v>
      </c>
      <c r="S3503" s="93" t="s">
        <v>20</v>
      </c>
      <c r="T3503" s="93" t="s">
        <v>115</v>
      </c>
      <c r="U3503" s="93" t="s">
        <v>116</v>
      </c>
      <c r="V3503" s="94">
        <v>44628.51458333333</v>
      </c>
      <c r="W3503" s="93" t="s">
        <v>1170</v>
      </c>
      <c r="X3503" s="93" t="s">
        <v>24</v>
      </c>
    </row>
    <row r="3504" spans="1:24" hidden="1" x14ac:dyDescent="0.15">
      <c r="A3504" s="93" t="s">
        <v>5346</v>
      </c>
      <c r="B3504" s="93" t="s">
        <v>5347</v>
      </c>
      <c r="C3504" s="410">
        <v>487.2</v>
      </c>
      <c r="D3504" s="93" t="s">
        <v>24</v>
      </c>
      <c r="E3504" s="93" t="s">
        <v>24</v>
      </c>
      <c r="F3504" s="93" t="s">
        <v>7070</v>
      </c>
      <c r="G3504" s="93" t="s">
        <v>8237</v>
      </c>
      <c r="H3504" s="93" t="s">
        <v>11</v>
      </c>
      <c r="I3504" s="93" t="s">
        <v>111</v>
      </c>
      <c r="J3504" s="93" t="s">
        <v>963</v>
      </c>
      <c r="K3504" s="93">
        <v>60</v>
      </c>
      <c r="L3504" s="93" t="s">
        <v>111</v>
      </c>
      <c r="M3504" s="93">
        <v>2.5</v>
      </c>
      <c r="N3504" s="93" t="s">
        <v>113</v>
      </c>
      <c r="O3504" s="93">
        <v>28</v>
      </c>
      <c r="P3504" s="93">
        <v>28</v>
      </c>
      <c r="Q3504" s="93">
        <v>18</v>
      </c>
      <c r="R3504" s="93" t="s">
        <v>4205</v>
      </c>
      <c r="S3504" s="93" t="s">
        <v>20</v>
      </c>
      <c r="T3504" s="93" t="s">
        <v>1659</v>
      </c>
      <c r="U3504" s="93" t="s">
        <v>116</v>
      </c>
      <c r="V3504" s="94">
        <v>44628.560416666667</v>
      </c>
      <c r="W3504" s="93" t="s">
        <v>1170</v>
      </c>
      <c r="X3504" s="93" t="s">
        <v>24</v>
      </c>
    </row>
    <row r="3505" spans="1:24" hidden="1" x14ac:dyDescent="0.15">
      <c r="A3505" s="93" t="s">
        <v>5348</v>
      </c>
      <c r="B3505" s="93" t="s">
        <v>5349</v>
      </c>
      <c r="C3505" s="410">
        <v>533.4</v>
      </c>
      <c r="D3505" s="93" t="s">
        <v>24</v>
      </c>
      <c r="E3505" s="93" t="s">
        <v>24</v>
      </c>
      <c r="F3505" s="93" t="s">
        <v>7070</v>
      </c>
      <c r="G3505" s="93" t="s">
        <v>8237</v>
      </c>
      <c r="H3505" s="93" t="s">
        <v>11</v>
      </c>
      <c r="I3505" s="93" t="s">
        <v>111</v>
      </c>
      <c r="J3505" s="93" t="s">
        <v>963</v>
      </c>
      <c r="K3505" s="93">
        <v>60</v>
      </c>
      <c r="L3505" s="93" t="s">
        <v>111</v>
      </c>
      <c r="M3505" s="93">
        <v>4.55</v>
      </c>
      <c r="N3505" s="93" t="s">
        <v>113</v>
      </c>
      <c r="O3505" s="93">
        <v>66</v>
      </c>
      <c r="P3505" s="93">
        <v>41</v>
      </c>
      <c r="Q3505" s="93">
        <v>28</v>
      </c>
      <c r="R3505" s="93" t="s">
        <v>117</v>
      </c>
      <c r="S3505" s="93" t="s">
        <v>20</v>
      </c>
      <c r="T3505" s="93" t="s">
        <v>1659</v>
      </c>
      <c r="U3505" s="93" t="s">
        <v>116</v>
      </c>
      <c r="V3505" s="94">
        <v>44628.495138888888</v>
      </c>
      <c r="W3505" s="93" t="s">
        <v>1170</v>
      </c>
      <c r="X3505" s="93" t="s">
        <v>24</v>
      </c>
    </row>
    <row r="3506" spans="1:24" hidden="1" x14ac:dyDescent="0.15">
      <c r="A3506" s="93" t="s">
        <v>5350</v>
      </c>
      <c r="B3506" s="93" t="s">
        <v>5351</v>
      </c>
      <c r="C3506" s="410">
        <v>533.4</v>
      </c>
      <c r="D3506" s="93" t="s">
        <v>24</v>
      </c>
      <c r="E3506" s="93" t="s">
        <v>24</v>
      </c>
      <c r="F3506" s="93" t="s">
        <v>7070</v>
      </c>
      <c r="G3506" s="93" t="s">
        <v>8237</v>
      </c>
      <c r="H3506" s="93" t="s">
        <v>11</v>
      </c>
      <c r="I3506" s="93" t="s">
        <v>111</v>
      </c>
      <c r="J3506" s="93" t="s">
        <v>963</v>
      </c>
      <c r="K3506" s="93">
        <v>60</v>
      </c>
      <c r="L3506" s="93" t="s">
        <v>111</v>
      </c>
      <c r="M3506" s="93">
        <v>4.55</v>
      </c>
      <c r="N3506" s="93" t="s">
        <v>113</v>
      </c>
      <c r="O3506" s="93">
        <v>66</v>
      </c>
      <c r="P3506" s="93">
        <v>41</v>
      </c>
      <c r="Q3506" s="93">
        <v>28</v>
      </c>
      <c r="R3506" s="93" t="s">
        <v>117</v>
      </c>
      <c r="S3506" s="93" t="s">
        <v>20</v>
      </c>
      <c r="T3506" s="93" t="s">
        <v>1659</v>
      </c>
      <c r="U3506" s="93" t="s">
        <v>116</v>
      </c>
      <c r="V3506" s="94">
        <v>44628.474305555559</v>
      </c>
      <c r="W3506" s="93" t="s">
        <v>1170</v>
      </c>
      <c r="X3506" s="93" t="s">
        <v>24</v>
      </c>
    </row>
    <row r="3507" spans="1:24" hidden="1" x14ac:dyDescent="0.15">
      <c r="A3507" s="93" t="s">
        <v>5352</v>
      </c>
      <c r="B3507" s="93" t="s">
        <v>5353</v>
      </c>
      <c r="C3507" s="410">
        <v>533.4</v>
      </c>
      <c r="D3507" s="93" t="s">
        <v>24</v>
      </c>
      <c r="E3507" s="93" t="s">
        <v>24</v>
      </c>
      <c r="F3507" s="93" t="s">
        <v>7070</v>
      </c>
      <c r="G3507" s="93" t="s">
        <v>8237</v>
      </c>
      <c r="H3507" s="93" t="s">
        <v>11</v>
      </c>
      <c r="I3507" s="93" t="s">
        <v>111</v>
      </c>
      <c r="J3507" s="93" t="s">
        <v>963</v>
      </c>
      <c r="K3507" s="93">
        <v>60</v>
      </c>
      <c r="L3507" s="93" t="s">
        <v>111</v>
      </c>
      <c r="M3507" s="93">
        <v>6.8</v>
      </c>
      <c r="N3507" s="93" t="s">
        <v>113</v>
      </c>
      <c r="O3507" s="93">
        <v>112</v>
      </c>
      <c r="P3507" s="93">
        <v>32</v>
      </c>
      <c r="Q3507" s="93">
        <v>24</v>
      </c>
      <c r="R3507" s="93" t="s">
        <v>117</v>
      </c>
      <c r="S3507" s="93" t="s">
        <v>20</v>
      </c>
      <c r="T3507" s="93" t="s">
        <v>1659</v>
      </c>
      <c r="U3507" s="93" t="s">
        <v>116</v>
      </c>
      <c r="V3507" s="94">
        <v>44628.604166666664</v>
      </c>
      <c r="W3507" s="93" t="s">
        <v>1170</v>
      </c>
      <c r="X3507" s="93" t="s">
        <v>24</v>
      </c>
    </row>
    <row r="3508" spans="1:24" hidden="1" x14ac:dyDescent="0.15">
      <c r="A3508" s="93" t="s">
        <v>5354</v>
      </c>
      <c r="B3508" s="93" t="s">
        <v>5355</v>
      </c>
      <c r="C3508" s="410">
        <v>533.4</v>
      </c>
      <c r="D3508" s="93" t="s">
        <v>24</v>
      </c>
      <c r="E3508" s="93" t="s">
        <v>24</v>
      </c>
      <c r="F3508" s="93" t="s">
        <v>7070</v>
      </c>
      <c r="G3508" s="93" t="s">
        <v>8237</v>
      </c>
      <c r="H3508" s="93" t="s">
        <v>11</v>
      </c>
      <c r="I3508" s="93" t="s">
        <v>111</v>
      </c>
      <c r="J3508" s="93" t="s">
        <v>963</v>
      </c>
      <c r="K3508" s="93">
        <v>60</v>
      </c>
      <c r="L3508" s="93" t="s">
        <v>111</v>
      </c>
      <c r="M3508" s="93">
        <v>6.8</v>
      </c>
      <c r="N3508" s="93" t="s">
        <v>113</v>
      </c>
      <c r="O3508" s="93">
        <v>112</v>
      </c>
      <c r="P3508" s="93">
        <v>32</v>
      </c>
      <c r="Q3508" s="93">
        <v>24</v>
      </c>
      <c r="R3508" s="93" t="s">
        <v>117</v>
      </c>
      <c r="S3508" s="93" t="s">
        <v>20</v>
      </c>
      <c r="T3508" s="93" t="s">
        <v>1659</v>
      </c>
      <c r="U3508" s="93" t="s">
        <v>116</v>
      </c>
      <c r="V3508" s="94">
        <v>44628.638888888891</v>
      </c>
      <c r="W3508" s="93" t="s">
        <v>1170</v>
      </c>
      <c r="X3508" s="93" t="s">
        <v>24</v>
      </c>
    </row>
    <row r="3509" spans="1:24" hidden="1" x14ac:dyDescent="0.15">
      <c r="A3509" s="93" t="s">
        <v>5356</v>
      </c>
      <c r="B3509" s="93" t="s">
        <v>5357</v>
      </c>
      <c r="C3509" s="410">
        <v>834.75</v>
      </c>
      <c r="D3509" s="93" t="s">
        <v>24</v>
      </c>
      <c r="E3509" s="93" t="s">
        <v>24</v>
      </c>
      <c r="F3509" s="93" t="s">
        <v>7070</v>
      </c>
      <c r="G3509" s="93" t="s">
        <v>8237</v>
      </c>
      <c r="H3509" s="93" t="s">
        <v>11</v>
      </c>
      <c r="I3509" s="93" t="s">
        <v>111</v>
      </c>
      <c r="J3509" s="93" t="s">
        <v>963</v>
      </c>
      <c r="K3509" s="93">
        <v>60</v>
      </c>
      <c r="L3509" s="93" t="s">
        <v>111</v>
      </c>
      <c r="M3509" s="93">
        <v>3</v>
      </c>
      <c r="N3509" s="93" t="s">
        <v>113</v>
      </c>
      <c r="O3509" s="93">
        <v>11</v>
      </c>
      <c r="P3509" s="93">
        <v>26.5</v>
      </c>
      <c r="Q3509" s="93">
        <v>26.5</v>
      </c>
      <c r="R3509" s="93" t="s">
        <v>117</v>
      </c>
      <c r="S3509" s="93" t="s">
        <v>20</v>
      </c>
      <c r="T3509" s="93" t="s">
        <v>115</v>
      </c>
      <c r="U3509" s="93" t="s">
        <v>116</v>
      </c>
      <c r="V3509" s="94">
        <v>44628.517361111109</v>
      </c>
      <c r="W3509" s="93" t="s">
        <v>1170</v>
      </c>
      <c r="X3509" s="93" t="s">
        <v>24</v>
      </c>
    </row>
    <row r="3510" spans="1:24" hidden="1" x14ac:dyDescent="0.15">
      <c r="A3510" s="93" t="s">
        <v>5358</v>
      </c>
      <c r="B3510" s="93" t="s">
        <v>5359</v>
      </c>
      <c r="C3510" s="410">
        <v>1368.15</v>
      </c>
      <c r="D3510" s="93" t="s">
        <v>24</v>
      </c>
      <c r="E3510" s="93" t="s">
        <v>24</v>
      </c>
      <c r="F3510" s="93" t="s">
        <v>7070</v>
      </c>
      <c r="G3510" s="93" t="s">
        <v>8237</v>
      </c>
      <c r="H3510" s="93" t="s">
        <v>11</v>
      </c>
      <c r="I3510" s="93" t="s">
        <v>111</v>
      </c>
      <c r="J3510" s="93" t="s">
        <v>963</v>
      </c>
      <c r="K3510" s="93">
        <v>60</v>
      </c>
      <c r="L3510" s="93" t="s">
        <v>111</v>
      </c>
      <c r="M3510" s="93">
        <v>2</v>
      </c>
      <c r="N3510" s="93" t="s">
        <v>113</v>
      </c>
      <c r="O3510" s="93">
        <v>31</v>
      </c>
      <c r="P3510" s="93">
        <v>34.200000000000003</v>
      </c>
      <c r="Q3510" s="93">
        <v>31</v>
      </c>
      <c r="R3510" s="93" t="s">
        <v>117</v>
      </c>
      <c r="S3510" s="93" t="s">
        <v>111</v>
      </c>
      <c r="T3510" s="93" t="s">
        <v>1659</v>
      </c>
      <c r="U3510" s="93" t="s">
        <v>116</v>
      </c>
      <c r="V3510" s="94">
        <v>44628.520833333336</v>
      </c>
      <c r="W3510" s="93" t="s">
        <v>1170</v>
      </c>
      <c r="X3510" s="93" t="s">
        <v>24</v>
      </c>
    </row>
    <row r="3511" spans="1:24" hidden="1" x14ac:dyDescent="0.15">
      <c r="A3511" s="93" t="s">
        <v>5360</v>
      </c>
      <c r="B3511" s="93" t="s">
        <v>5361</v>
      </c>
      <c r="C3511" s="410">
        <v>1571.07</v>
      </c>
      <c r="D3511" s="93" t="s">
        <v>24</v>
      </c>
      <c r="E3511" s="93" t="s">
        <v>24</v>
      </c>
      <c r="F3511" s="93" t="s">
        <v>7070</v>
      </c>
      <c r="G3511" s="93" t="s">
        <v>8237</v>
      </c>
      <c r="H3511" s="93" t="s">
        <v>11</v>
      </c>
      <c r="I3511" s="93" t="s">
        <v>111</v>
      </c>
      <c r="J3511" s="93" t="s">
        <v>963</v>
      </c>
      <c r="K3511" s="93">
        <v>60</v>
      </c>
      <c r="L3511" s="93" t="s">
        <v>111</v>
      </c>
      <c r="M3511" s="93">
        <v>2</v>
      </c>
      <c r="N3511" s="93" t="s">
        <v>113</v>
      </c>
      <c r="O3511" s="93">
        <v>31</v>
      </c>
      <c r="P3511" s="93">
        <v>31</v>
      </c>
      <c r="Q3511" s="93">
        <v>34.200000000000003</v>
      </c>
      <c r="R3511" s="93" t="s">
        <v>117</v>
      </c>
      <c r="S3511" s="93" t="s">
        <v>111</v>
      </c>
      <c r="T3511" s="93" t="s">
        <v>1659</v>
      </c>
      <c r="U3511" s="93" t="s">
        <v>116</v>
      </c>
      <c r="V3511" s="94">
        <v>44628.586111111108</v>
      </c>
      <c r="W3511" s="93" t="s">
        <v>1170</v>
      </c>
      <c r="X3511" s="93" t="s">
        <v>24</v>
      </c>
    </row>
    <row r="3512" spans="1:24" hidden="1" x14ac:dyDescent="0.15">
      <c r="A3512" s="93" t="s">
        <v>5362</v>
      </c>
      <c r="B3512" s="93" t="s">
        <v>5363</v>
      </c>
      <c r="C3512" s="410">
        <v>472.5</v>
      </c>
      <c r="D3512" s="93" t="s">
        <v>24</v>
      </c>
      <c r="E3512" s="93" t="s">
        <v>24</v>
      </c>
      <c r="F3512" s="93" t="s">
        <v>7070</v>
      </c>
      <c r="G3512" s="93" t="s">
        <v>8237</v>
      </c>
      <c r="H3512" s="93" t="s">
        <v>11</v>
      </c>
      <c r="I3512" s="93" t="s">
        <v>111</v>
      </c>
      <c r="J3512" s="93" t="s">
        <v>2086</v>
      </c>
      <c r="K3512" s="93">
        <v>50</v>
      </c>
      <c r="L3512" s="93" t="s">
        <v>111</v>
      </c>
      <c r="M3512" s="93">
        <v>2.2999999999999998</v>
      </c>
      <c r="N3512" s="93" t="s">
        <v>113</v>
      </c>
      <c r="O3512" s="93">
        <v>19</v>
      </c>
      <c r="P3512" s="93">
        <v>29</v>
      </c>
      <c r="Q3512" s="93">
        <v>33</v>
      </c>
      <c r="R3512" s="93" t="s">
        <v>117</v>
      </c>
      <c r="S3512" s="93" t="s">
        <v>16</v>
      </c>
      <c r="T3512" s="93" t="s">
        <v>1659</v>
      </c>
      <c r="U3512" s="93" t="s">
        <v>116</v>
      </c>
      <c r="V3512" s="94">
        <v>44628.607638888891</v>
      </c>
      <c r="W3512" s="93" t="s">
        <v>1170</v>
      </c>
      <c r="X3512" s="93" t="s">
        <v>9</v>
      </c>
    </row>
    <row r="3513" spans="1:24" hidden="1" x14ac:dyDescent="0.15">
      <c r="A3513" s="93" t="s">
        <v>5364</v>
      </c>
      <c r="B3513" s="93" t="s">
        <v>5365</v>
      </c>
      <c r="C3513" s="410">
        <v>803.25</v>
      </c>
      <c r="D3513" s="93" t="s">
        <v>24</v>
      </c>
      <c r="E3513" s="93" t="s">
        <v>24</v>
      </c>
      <c r="F3513" s="93" t="s">
        <v>7070</v>
      </c>
      <c r="G3513" s="93" t="s">
        <v>8237</v>
      </c>
      <c r="H3513" s="93" t="s">
        <v>11</v>
      </c>
      <c r="I3513" s="93" t="s">
        <v>111</v>
      </c>
      <c r="J3513" s="93" t="s">
        <v>963</v>
      </c>
      <c r="K3513" s="93">
        <v>60</v>
      </c>
      <c r="L3513" s="93" t="s">
        <v>111</v>
      </c>
      <c r="M3513" s="93">
        <v>3.5</v>
      </c>
      <c r="N3513" s="93" t="s">
        <v>113</v>
      </c>
      <c r="O3513" s="93">
        <v>29</v>
      </c>
      <c r="P3513" s="93">
        <v>30</v>
      </c>
      <c r="Q3513" s="93">
        <v>18</v>
      </c>
      <c r="R3513" s="93" t="s">
        <v>117</v>
      </c>
      <c r="S3513" s="93" t="s">
        <v>111</v>
      </c>
      <c r="T3513" s="93" t="s">
        <v>1659</v>
      </c>
      <c r="U3513" s="93" t="s">
        <v>116</v>
      </c>
      <c r="V3513" s="94">
        <v>44628.642361111109</v>
      </c>
      <c r="W3513" s="93" t="s">
        <v>1170</v>
      </c>
      <c r="X3513" s="93" t="s">
        <v>24</v>
      </c>
    </row>
    <row r="3514" spans="1:24" hidden="1" x14ac:dyDescent="0.15">
      <c r="A3514" s="93" t="s">
        <v>5366</v>
      </c>
      <c r="B3514" s="93" t="s">
        <v>5367</v>
      </c>
      <c r="C3514" s="410">
        <v>571.20000000000005</v>
      </c>
      <c r="D3514" s="93" t="s">
        <v>24</v>
      </c>
      <c r="E3514" s="93" t="s">
        <v>24</v>
      </c>
      <c r="F3514" s="93" t="s">
        <v>7070</v>
      </c>
      <c r="G3514" s="93" t="s">
        <v>8237</v>
      </c>
      <c r="H3514" s="93" t="s">
        <v>11</v>
      </c>
      <c r="I3514" s="93" t="s">
        <v>111</v>
      </c>
      <c r="J3514" s="93" t="s">
        <v>963</v>
      </c>
      <c r="K3514" s="93">
        <v>60</v>
      </c>
      <c r="L3514" s="93" t="s">
        <v>111</v>
      </c>
      <c r="M3514" s="93">
        <v>2.8</v>
      </c>
      <c r="N3514" s="93" t="s">
        <v>113</v>
      </c>
      <c r="O3514" s="93">
        <v>29</v>
      </c>
      <c r="P3514" s="93">
        <v>29</v>
      </c>
      <c r="Q3514" s="93">
        <v>18</v>
      </c>
      <c r="R3514" s="93" t="s">
        <v>117</v>
      </c>
      <c r="S3514" s="93" t="s">
        <v>111</v>
      </c>
      <c r="T3514" s="93" t="s">
        <v>1659</v>
      </c>
      <c r="U3514" s="93" t="s">
        <v>116</v>
      </c>
      <c r="V3514" s="94">
        <v>44628.607638888891</v>
      </c>
      <c r="W3514" s="93" t="s">
        <v>1170</v>
      </c>
      <c r="X3514" s="93" t="s">
        <v>24</v>
      </c>
    </row>
    <row r="3515" spans="1:24" hidden="1" x14ac:dyDescent="0.15">
      <c r="A3515" s="93" t="s">
        <v>5368</v>
      </c>
      <c r="B3515" s="93" t="s">
        <v>5369</v>
      </c>
      <c r="C3515" s="410">
        <v>1129.8</v>
      </c>
      <c r="D3515" s="93" t="s">
        <v>24</v>
      </c>
      <c r="E3515" s="93" t="s">
        <v>24</v>
      </c>
      <c r="F3515" s="93" t="s">
        <v>7070</v>
      </c>
      <c r="G3515" s="93" t="s">
        <v>8237</v>
      </c>
      <c r="H3515" s="93" t="s">
        <v>11</v>
      </c>
      <c r="I3515" s="93" t="s">
        <v>111</v>
      </c>
      <c r="J3515" s="93" t="s">
        <v>2086</v>
      </c>
      <c r="K3515" s="93">
        <v>50</v>
      </c>
      <c r="L3515" s="93" t="s">
        <v>111</v>
      </c>
      <c r="M3515" s="93">
        <v>4</v>
      </c>
      <c r="N3515" s="93" t="s">
        <v>113</v>
      </c>
      <c r="O3515" s="93">
        <v>17</v>
      </c>
      <c r="P3515" s="93">
        <v>32</v>
      </c>
      <c r="Q3515" s="93">
        <v>27</v>
      </c>
      <c r="R3515" s="93" t="s">
        <v>117</v>
      </c>
      <c r="S3515" s="93" t="s">
        <v>111</v>
      </c>
      <c r="T3515" s="93" t="s">
        <v>1659</v>
      </c>
      <c r="U3515" s="93" t="s">
        <v>116</v>
      </c>
      <c r="V3515" s="94">
        <v>44628.607638888891</v>
      </c>
      <c r="W3515" s="93" t="s">
        <v>1170</v>
      </c>
      <c r="X3515" s="93" t="s">
        <v>9</v>
      </c>
    </row>
    <row r="3516" spans="1:24" hidden="1" x14ac:dyDescent="0.15">
      <c r="A3516" s="93" t="s">
        <v>5370</v>
      </c>
      <c r="B3516" s="93" t="s">
        <v>5371</v>
      </c>
      <c r="C3516" s="410">
        <v>116.55</v>
      </c>
      <c r="D3516" s="93" t="s">
        <v>24</v>
      </c>
      <c r="E3516" s="93" t="s">
        <v>24</v>
      </c>
      <c r="F3516" s="93" t="s">
        <v>7070</v>
      </c>
      <c r="G3516" s="93" t="s">
        <v>8237</v>
      </c>
      <c r="H3516" s="93" t="s">
        <v>11</v>
      </c>
      <c r="I3516" s="93" t="s">
        <v>111</v>
      </c>
      <c r="J3516" s="93" t="s">
        <v>963</v>
      </c>
      <c r="K3516" s="93">
        <v>60</v>
      </c>
      <c r="L3516" s="93" t="s">
        <v>111</v>
      </c>
      <c r="M3516" s="93">
        <v>2.5</v>
      </c>
      <c r="N3516" s="93" t="s">
        <v>113</v>
      </c>
      <c r="O3516" s="93">
        <v>28</v>
      </c>
      <c r="P3516" s="93">
        <v>18</v>
      </c>
      <c r="Q3516" s="93">
        <v>28</v>
      </c>
      <c r="R3516" s="93" t="s">
        <v>117</v>
      </c>
      <c r="S3516" s="93" t="s">
        <v>111</v>
      </c>
      <c r="T3516" s="93" t="s">
        <v>1659</v>
      </c>
      <c r="U3516" s="93" t="s">
        <v>116</v>
      </c>
      <c r="V3516" s="94">
        <v>44628.477777777778</v>
      </c>
      <c r="W3516" s="93" t="s">
        <v>1170</v>
      </c>
      <c r="X3516" s="93" t="s">
        <v>9</v>
      </c>
    </row>
    <row r="3517" spans="1:24" hidden="1" x14ac:dyDescent="0.15">
      <c r="A3517" s="93" t="s">
        <v>5372</v>
      </c>
      <c r="B3517" s="93" t="s">
        <v>5373</v>
      </c>
      <c r="C3517" s="410">
        <v>93.45</v>
      </c>
      <c r="D3517" s="93" t="s">
        <v>24</v>
      </c>
      <c r="E3517" s="93" t="s">
        <v>24</v>
      </c>
      <c r="F3517" s="93" t="s">
        <v>7070</v>
      </c>
      <c r="G3517" s="93" t="s">
        <v>8237</v>
      </c>
      <c r="H3517" s="93" t="s">
        <v>11</v>
      </c>
      <c r="I3517" s="93" t="s">
        <v>111</v>
      </c>
      <c r="J3517" s="93" t="s">
        <v>963</v>
      </c>
      <c r="K3517" s="93">
        <v>60</v>
      </c>
      <c r="L3517" s="93" t="s">
        <v>111</v>
      </c>
      <c r="M3517" s="93">
        <v>0.1</v>
      </c>
      <c r="N3517" s="93" t="s">
        <v>113</v>
      </c>
      <c r="O3517" s="93">
        <v>10</v>
      </c>
      <c r="P3517" s="93">
        <v>12.5</v>
      </c>
      <c r="Q3517" s="93">
        <v>4</v>
      </c>
      <c r="R3517" s="93" t="s">
        <v>4205</v>
      </c>
      <c r="S3517" s="93" t="s">
        <v>111</v>
      </c>
      <c r="T3517" s="93" t="s">
        <v>1659</v>
      </c>
      <c r="U3517" s="93" t="s">
        <v>116</v>
      </c>
      <c r="V3517" s="94">
        <v>44628.520833333336</v>
      </c>
      <c r="W3517" s="93" t="s">
        <v>1170</v>
      </c>
      <c r="X3517" s="93" t="s">
        <v>24</v>
      </c>
    </row>
    <row r="3518" spans="1:24" hidden="1" x14ac:dyDescent="0.15">
      <c r="A3518" s="93" t="s">
        <v>5374</v>
      </c>
      <c r="B3518" s="93" t="s">
        <v>5375</v>
      </c>
      <c r="C3518" s="410">
        <v>717.15</v>
      </c>
      <c r="D3518" s="93" t="s">
        <v>24</v>
      </c>
      <c r="E3518" s="93" t="s">
        <v>24</v>
      </c>
      <c r="F3518" s="93" t="s">
        <v>7070</v>
      </c>
      <c r="G3518" s="93" t="s">
        <v>8237</v>
      </c>
      <c r="H3518" s="93" t="s">
        <v>11</v>
      </c>
      <c r="I3518" s="93" t="s">
        <v>111</v>
      </c>
      <c r="J3518" s="93" t="s">
        <v>963</v>
      </c>
      <c r="K3518" s="93">
        <v>60</v>
      </c>
      <c r="L3518" s="93" t="s">
        <v>111</v>
      </c>
      <c r="M3518" s="93">
        <v>2.5</v>
      </c>
      <c r="N3518" s="93" t="s">
        <v>113</v>
      </c>
      <c r="O3518" s="93">
        <v>29</v>
      </c>
      <c r="P3518" s="93">
        <v>27</v>
      </c>
      <c r="Q3518" s="93">
        <v>18</v>
      </c>
      <c r="R3518" s="93" t="s">
        <v>117</v>
      </c>
      <c r="S3518" s="93" t="s">
        <v>111</v>
      </c>
      <c r="T3518" s="93" t="s">
        <v>1659</v>
      </c>
      <c r="U3518" s="93" t="s">
        <v>116</v>
      </c>
      <c r="V3518" s="94">
        <v>44628.563888888886</v>
      </c>
      <c r="W3518" s="93" t="s">
        <v>1170</v>
      </c>
      <c r="X3518" s="93" t="s">
        <v>24</v>
      </c>
    </row>
    <row r="3519" spans="1:24" hidden="1" x14ac:dyDescent="0.15">
      <c r="A3519" s="93" t="s">
        <v>5376</v>
      </c>
      <c r="B3519" s="93" t="s">
        <v>5377</v>
      </c>
      <c r="C3519" s="410">
        <v>371.7</v>
      </c>
      <c r="D3519" s="93" t="s">
        <v>24</v>
      </c>
      <c r="E3519" s="93" t="s">
        <v>24</v>
      </c>
      <c r="F3519" s="93" t="s">
        <v>7070</v>
      </c>
      <c r="G3519" s="93" t="s">
        <v>8237</v>
      </c>
      <c r="H3519" s="93" t="s">
        <v>11</v>
      </c>
      <c r="I3519" s="93" t="s">
        <v>111</v>
      </c>
      <c r="J3519" s="93" t="s">
        <v>2086</v>
      </c>
      <c r="K3519" s="93">
        <v>50</v>
      </c>
      <c r="L3519" s="93" t="s">
        <v>111</v>
      </c>
      <c r="M3519" s="93">
        <v>2.5</v>
      </c>
      <c r="N3519" s="93" t="s">
        <v>113</v>
      </c>
      <c r="O3519" s="93">
        <v>28</v>
      </c>
      <c r="P3519" s="93">
        <v>18</v>
      </c>
      <c r="Q3519" s="93">
        <v>28</v>
      </c>
      <c r="R3519" s="93" t="s">
        <v>117</v>
      </c>
      <c r="S3519" s="93" t="s">
        <v>2</v>
      </c>
      <c r="T3519" s="93" t="s">
        <v>1659</v>
      </c>
      <c r="U3519" s="93" t="s">
        <v>116</v>
      </c>
      <c r="V3519" s="94">
        <v>44628.542361111111</v>
      </c>
      <c r="W3519" s="93" t="s">
        <v>1170</v>
      </c>
      <c r="X3519" s="93" t="s">
        <v>9</v>
      </c>
    </row>
    <row r="3520" spans="1:24" hidden="1" x14ac:dyDescent="0.15">
      <c r="A3520" s="93" t="s">
        <v>5378</v>
      </c>
      <c r="B3520" s="93" t="s">
        <v>5379</v>
      </c>
      <c r="C3520" s="410">
        <v>97.65</v>
      </c>
      <c r="D3520" s="93" t="s">
        <v>24</v>
      </c>
      <c r="E3520" s="93" t="s">
        <v>24</v>
      </c>
      <c r="F3520" s="93" t="s">
        <v>7070</v>
      </c>
      <c r="G3520" s="93" t="s">
        <v>8237</v>
      </c>
      <c r="H3520" s="93" t="s">
        <v>11</v>
      </c>
      <c r="I3520" s="93" t="s">
        <v>111</v>
      </c>
      <c r="J3520" s="93" t="s">
        <v>963</v>
      </c>
      <c r="K3520" s="93">
        <v>60</v>
      </c>
      <c r="L3520" s="93" t="s">
        <v>111</v>
      </c>
      <c r="M3520" s="93">
        <v>2.5</v>
      </c>
      <c r="N3520" s="93" t="s">
        <v>113</v>
      </c>
      <c r="O3520" s="93">
        <v>28</v>
      </c>
      <c r="P3520" s="93">
        <v>28</v>
      </c>
      <c r="Q3520" s="93">
        <v>18</v>
      </c>
      <c r="R3520" s="93" t="s">
        <v>117</v>
      </c>
      <c r="S3520" s="93" t="s">
        <v>20</v>
      </c>
      <c r="T3520" s="93" t="s">
        <v>1659</v>
      </c>
      <c r="U3520" s="93" t="s">
        <v>116</v>
      </c>
      <c r="V3520" s="94">
        <v>44628.517361111109</v>
      </c>
      <c r="W3520" s="93" t="s">
        <v>1170</v>
      </c>
      <c r="X3520" s="93" t="s">
        <v>24</v>
      </c>
    </row>
    <row r="3521" spans="1:24" hidden="1" x14ac:dyDescent="0.15">
      <c r="A3521" s="93" t="s">
        <v>5380</v>
      </c>
      <c r="B3521" s="93" t="s">
        <v>5381</v>
      </c>
      <c r="C3521" s="410">
        <v>445.2</v>
      </c>
      <c r="D3521" s="93" t="s">
        <v>24</v>
      </c>
      <c r="E3521" s="93" t="s">
        <v>24</v>
      </c>
      <c r="F3521" s="93" t="s">
        <v>7070</v>
      </c>
      <c r="G3521" s="93" t="s">
        <v>8237</v>
      </c>
      <c r="H3521" s="93" t="s">
        <v>11</v>
      </c>
      <c r="I3521" s="93" t="s">
        <v>111</v>
      </c>
      <c r="J3521" s="93" t="s">
        <v>963</v>
      </c>
      <c r="K3521" s="93">
        <v>60</v>
      </c>
      <c r="L3521" s="93" t="s">
        <v>111</v>
      </c>
      <c r="M3521" s="93">
        <v>0.5</v>
      </c>
      <c r="N3521" s="93" t="s">
        <v>113</v>
      </c>
      <c r="O3521" s="93">
        <v>7</v>
      </c>
      <c r="P3521" s="93">
        <v>7</v>
      </c>
      <c r="Q3521" s="93">
        <v>10</v>
      </c>
      <c r="R3521" s="93" t="s">
        <v>1230</v>
      </c>
      <c r="S3521" s="93" t="s">
        <v>16</v>
      </c>
      <c r="T3521" s="93" t="s">
        <v>1659</v>
      </c>
      <c r="U3521" s="93" t="s">
        <v>116</v>
      </c>
      <c r="V3521" s="94">
        <v>44628.51666666667</v>
      </c>
      <c r="W3521" s="93" t="s">
        <v>1170</v>
      </c>
      <c r="X3521" s="93" t="s">
        <v>24</v>
      </c>
    </row>
    <row r="3522" spans="1:24" hidden="1" x14ac:dyDescent="0.15">
      <c r="A3522" s="93" t="s">
        <v>5382</v>
      </c>
      <c r="B3522" s="93" t="s">
        <v>5383</v>
      </c>
      <c r="C3522" s="410">
        <v>116.55</v>
      </c>
      <c r="D3522" s="93" t="s">
        <v>24</v>
      </c>
      <c r="E3522" s="93" t="s">
        <v>24</v>
      </c>
      <c r="F3522" s="93" t="s">
        <v>7070</v>
      </c>
      <c r="G3522" s="93" t="s">
        <v>8237</v>
      </c>
      <c r="H3522" s="93" t="s">
        <v>11</v>
      </c>
      <c r="I3522" s="93" t="s">
        <v>111</v>
      </c>
      <c r="J3522" s="93" t="s">
        <v>963</v>
      </c>
      <c r="K3522" s="93">
        <v>60</v>
      </c>
      <c r="L3522" s="93" t="s">
        <v>111</v>
      </c>
      <c r="M3522" s="93">
        <v>0.35</v>
      </c>
      <c r="N3522" s="93" t="s">
        <v>113</v>
      </c>
      <c r="O3522" s="93">
        <v>6</v>
      </c>
      <c r="P3522" s="93">
        <v>5</v>
      </c>
      <c r="Q3522" s="93">
        <v>51</v>
      </c>
      <c r="R3522" s="93" t="s">
        <v>122</v>
      </c>
      <c r="S3522" s="93" t="s">
        <v>2</v>
      </c>
      <c r="T3522" s="93" t="s">
        <v>1659</v>
      </c>
      <c r="U3522" s="93" t="s">
        <v>116</v>
      </c>
      <c r="V3522" s="94">
        <v>44628.638194444444</v>
      </c>
      <c r="W3522" s="93" t="s">
        <v>1170</v>
      </c>
      <c r="X3522" s="93" t="s">
        <v>24</v>
      </c>
    </row>
    <row r="3523" spans="1:24" hidden="1" x14ac:dyDescent="0.15">
      <c r="A3523" s="93" t="s">
        <v>5384</v>
      </c>
      <c r="B3523" s="93" t="s">
        <v>5385</v>
      </c>
      <c r="C3523" s="410">
        <v>509.25</v>
      </c>
      <c r="D3523" s="93" t="s">
        <v>24</v>
      </c>
      <c r="E3523" s="93" t="s">
        <v>24</v>
      </c>
      <c r="F3523" s="93" t="s">
        <v>7070</v>
      </c>
      <c r="G3523" s="93" t="s">
        <v>8237</v>
      </c>
      <c r="H3523" s="93" t="s">
        <v>11</v>
      </c>
      <c r="I3523" s="93" t="s">
        <v>111</v>
      </c>
      <c r="J3523" s="93" t="s">
        <v>2013</v>
      </c>
      <c r="K3523" s="93">
        <v>50</v>
      </c>
      <c r="L3523" s="93" t="s">
        <v>111</v>
      </c>
      <c r="M3523" s="93">
        <v>2.5</v>
      </c>
      <c r="N3523" s="93" t="s">
        <v>113</v>
      </c>
      <c r="O3523" s="93">
        <v>12.7</v>
      </c>
      <c r="P3523" s="93">
        <v>28</v>
      </c>
      <c r="Q3523" s="93">
        <v>28</v>
      </c>
      <c r="R3523" s="93" t="s">
        <v>117</v>
      </c>
      <c r="S3523" s="93" t="s">
        <v>659</v>
      </c>
      <c r="T3523" s="93" t="s">
        <v>115</v>
      </c>
      <c r="U3523" s="93" t="s">
        <v>116</v>
      </c>
      <c r="V3523" s="94">
        <v>44628.492361111108</v>
      </c>
      <c r="W3523" s="93" t="s">
        <v>1170</v>
      </c>
      <c r="X3523" s="93" t="s">
        <v>24</v>
      </c>
    </row>
    <row r="3524" spans="1:24" hidden="1" x14ac:dyDescent="0.15">
      <c r="A3524" s="93" t="s">
        <v>5386</v>
      </c>
      <c r="B3524" s="93" t="s">
        <v>5387</v>
      </c>
      <c r="C3524" s="410">
        <v>509.25</v>
      </c>
      <c r="D3524" s="93" t="s">
        <v>24</v>
      </c>
      <c r="E3524" s="93" t="s">
        <v>24</v>
      </c>
      <c r="F3524" s="93" t="s">
        <v>7070</v>
      </c>
      <c r="G3524" s="93" t="s">
        <v>8237</v>
      </c>
      <c r="H3524" s="93" t="s">
        <v>11</v>
      </c>
      <c r="I3524" s="93" t="s">
        <v>111</v>
      </c>
      <c r="J3524" s="93" t="s">
        <v>2013</v>
      </c>
      <c r="K3524" s="93">
        <v>50</v>
      </c>
      <c r="L3524" s="93" t="s">
        <v>111</v>
      </c>
      <c r="M3524" s="93">
        <v>2.5</v>
      </c>
      <c r="N3524" s="93" t="s">
        <v>113</v>
      </c>
      <c r="O3524" s="93">
        <v>12.7</v>
      </c>
      <c r="P3524" s="93">
        <v>28</v>
      </c>
      <c r="Q3524" s="93">
        <v>28</v>
      </c>
      <c r="R3524" s="93" t="s">
        <v>117</v>
      </c>
      <c r="S3524" s="93" t="s">
        <v>659</v>
      </c>
      <c r="T3524" s="93" t="s">
        <v>115</v>
      </c>
      <c r="U3524" s="93" t="s">
        <v>116</v>
      </c>
      <c r="V3524" s="94">
        <v>44628.492361111108</v>
      </c>
      <c r="W3524" s="93" t="s">
        <v>1170</v>
      </c>
      <c r="X3524" s="93" t="s">
        <v>24</v>
      </c>
    </row>
    <row r="3525" spans="1:24" hidden="1" x14ac:dyDescent="0.15">
      <c r="A3525" s="93" t="s">
        <v>5388</v>
      </c>
      <c r="B3525" s="93" t="s">
        <v>5389</v>
      </c>
      <c r="C3525" s="410">
        <v>420</v>
      </c>
      <c r="D3525" s="93" t="s">
        <v>24</v>
      </c>
      <c r="E3525" s="93" t="s">
        <v>24</v>
      </c>
      <c r="F3525" s="93" t="s">
        <v>7070</v>
      </c>
      <c r="G3525" s="93" t="s">
        <v>8237</v>
      </c>
      <c r="H3525" s="93" t="s">
        <v>11</v>
      </c>
      <c r="I3525" s="93" t="s">
        <v>111</v>
      </c>
      <c r="J3525" s="93" t="s">
        <v>963</v>
      </c>
      <c r="K3525" s="93">
        <v>60</v>
      </c>
      <c r="L3525" s="93" t="s">
        <v>111</v>
      </c>
      <c r="M3525" s="93">
        <v>2</v>
      </c>
      <c r="N3525" s="93" t="s">
        <v>113</v>
      </c>
      <c r="O3525" s="93">
        <v>10</v>
      </c>
      <c r="P3525" s="93">
        <v>29</v>
      </c>
      <c r="Q3525" s="93">
        <v>29</v>
      </c>
      <c r="R3525" s="93" t="s">
        <v>117</v>
      </c>
      <c r="S3525" s="93" t="s">
        <v>659</v>
      </c>
      <c r="T3525" s="93" t="s">
        <v>115</v>
      </c>
      <c r="U3525" s="93" t="s">
        <v>116</v>
      </c>
      <c r="V3525" s="94">
        <v>44628.513888888891</v>
      </c>
      <c r="W3525" s="93" t="s">
        <v>1170</v>
      </c>
      <c r="X3525" s="93" t="s">
        <v>24</v>
      </c>
    </row>
    <row r="3526" spans="1:24" hidden="1" x14ac:dyDescent="0.15">
      <c r="A3526" s="93" t="s">
        <v>5390</v>
      </c>
      <c r="B3526" s="93" t="s">
        <v>5391</v>
      </c>
      <c r="C3526" s="410">
        <v>478.8</v>
      </c>
      <c r="D3526" s="93" t="s">
        <v>24</v>
      </c>
      <c r="E3526" s="93" t="s">
        <v>24</v>
      </c>
      <c r="F3526" s="93" t="s">
        <v>7070</v>
      </c>
      <c r="G3526" s="93" t="s">
        <v>8237</v>
      </c>
      <c r="H3526" s="93" t="s">
        <v>1198</v>
      </c>
      <c r="I3526" s="93" t="s">
        <v>111</v>
      </c>
      <c r="J3526" s="93" t="s">
        <v>963</v>
      </c>
      <c r="K3526" s="93">
        <v>60</v>
      </c>
      <c r="L3526" s="93" t="s">
        <v>111</v>
      </c>
      <c r="M3526" s="93">
        <v>8.9499999999999993</v>
      </c>
      <c r="N3526" s="93" t="s">
        <v>113</v>
      </c>
      <c r="O3526" s="93">
        <v>46</v>
      </c>
      <c r="P3526" s="93">
        <v>64</v>
      </c>
      <c r="Q3526" s="93">
        <v>33</v>
      </c>
      <c r="R3526" s="93" t="s">
        <v>117</v>
      </c>
      <c r="S3526" s="93" t="s">
        <v>18</v>
      </c>
      <c r="T3526" s="93" t="s">
        <v>1659</v>
      </c>
      <c r="U3526" s="93" t="s">
        <v>116</v>
      </c>
      <c r="V3526" s="94">
        <v>44628.477777777778</v>
      </c>
      <c r="W3526" s="93" t="s">
        <v>1170</v>
      </c>
      <c r="X3526" s="93" t="s">
        <v>24</v>
      </c>
    </row>
    <row r="3527" spans="1:24" hidden="1" x14ac:dyDescent="0.15">
      <c r="A3527" s="93" t="s">
        <v>5392</v>
      </c>
      <c r="B3527" s="93" t="s">
        <v>5393</v>
      </c>
      <c r="C3527" s="410">
        <v>603.75</v>
      </c>
      <c r="D3527" s="93" t="s">
        <v>24</v>
      </c>
      <c r="E3527" s="93" t="s">
        <v>24</v>
      </c>
      <c r="F3527" s="93" t="s">
        <v>7070</v>
      </c>
      <c r="G3527" s="93" t="s">
        <v>8237</v>
      </c>
      <c r="H3527" s="93" t="s">
        <v>1198</v>
      </c>
      <c r="I3527" s="93" t="s">
        <v>111</v>
      </c>
      <c r="J3527" s="93" t="s">
        <v>963</v>
      </c>
      <c r="K3527" s="93">
        <v>60</v>
      </c>
      <c r="L3527" s="93" t="s">
        <v>111</v>
      </c>
      <c r="M3527" s="93">
        <v>10.9</v>
      </c>
      <c r="N3527" s="93" t="s">
        <v>113</v>
      </c>
      <c r="O3527" s="93">
        <v>36</v>
      </c>
      <c r="P3527" s="93">
        <v>69</v>
      </c>
      <c r="Q3527" s="93">
        <v>73</v>
      </c>
      <c r="R3527" s="93" t="s">
        <v>117</v>
      </c>
      <c r="S3527" s="93" t="s">
        <v>18</v>
      </c>
      <c r="T3527" s="93" t="s">
        <v>1659</v>
      </c>
      <c r="U3527" s="93" t="s">
        <v>116</v>
      </c>
      <c r="V3527" s="94">
        <v>44628.606944444444</v>
      </c>
      <c r="W3527" s="93" t="s">
        <v>1170</v>
      </c>
      <c r="X3527" s="93" t="s">
        <v>24</v>
      </c>
    </row>
    <row r="3528" spans="1:24" hidden="1" x14ac:dyDescent="0.15">
      <c r="A3528" s="93" t="s">
        <v>5394</v>
      </c>
      <c r="B3528" s="93" t="s">
        <v>5395</v>
      </c>
      <c r="C3528" s="410">
        <v>1365</v>
      </c>
      <c r="D3528" s="93" t="s">
        <v>24</v>
      </c>
      <c r="E3528" s="93" t="s">
        <v>24</v>
      </c>
      <c r="F3528" s="93" t="s">
        <v>7070</v>
      </c>
      <c r="G3528" s="93" t="s">
        <v>8237</v>
      </c>
      <c r="H3528" s="93" t="s">
        <v>1198</v>
      </c>
      <c r="I3528" s="93" t="s">
        <v>111</v>
      </c>
      <c r="J3528" s="93" t="s">
        <v>963</v>
      </c>
      <c r="K3528" s="93">
        <v>60</v>
      </c>
      <c r="L3528" s="93" t="s">
        <v>111</v>
      </c>
      <c r="M3528" s="93">
        <v>30.8</v>
      </c>
      <c r="N3528" s="93" t="s">
        <v>113</v>
      </c>
      <c r="O3528" s="93">
        <v>37</v>
      </c>
      <c r="P3528" s="93">
        <v>120</v>
      </c>
      <c r="Q3528" s="93">
        <v>107</v>
      </c>
      <c r="R3528" s="93" t="s">
        <v>117</v>
      </c>
      <c r="S3528" s="93" t="s">
        <v>18</v>
      </c>
      <c r="T3528" s="93" t="s">
        <v>1659</v>
      </c>
      <c r="U3528" s="93" t="s">
        <v>116</v>
      </c>
      <c r="V3528" s="94">
        <v>44628.563888888886</v>
      </c>
      <c r="W3528" s="93" t="s">
        <v>1170</v>
      </c>
      <c r="X3528" s="93" t="s">
        <v>24</v>
      </c>
    </row>
    <row r="3529" spans="1:24" hidden="1" x14ac:dyDescent="0.15">
      <c r="A3529" s="93" t="s">
        <v>5396</v>
      </c>
      <c r="B3529" s="93" t="s">
        <v>5397</v>
      </c>
      <c r="C3529" s="410">
        <v>1869</v>
      </c>
      <c r="D3529" s="93" t="s">
        <v>24</v>
      </c>
      <c r="E3529" s="93" t="s">
        <v>24</v>
      </c>
      <c r="F3529" s="93" t="s">
        <v>7070</v>
      </c>
      <c r="G3529" s="93" t="s">
        <v>8237</v>
      </c>
      <c r="H3529" s="93" t="s">
        <v>1198</v>
      </c>
      <c r="I3529" s="93" t="s">
        <v>111</v>
      </c>
      <c r="J3529" s="93" t="s">
        <v>963</v>
      </c>
      <c r="K3529" s="93">
        <v>60</v>
      </c>
      <c r="L3529" s="93" t="s">
        <v>111</v>
      </c>
      <c r="M3529" s="93">
        <v>102</v>
      </c>
      <c r="N3529" s="93" t="s">
        <v>113</v>
      </c>
      <c r="O3529" s="93">
        <v>137</v>
      </c>
      <c r="P3529" s="93">
        <v>137</v>
      </c>
      <c r="Q3529" s="93">
        <v>82</v>
      </c>
      <c r="R3529" s="93" t="s">
        <v>117</v>
      </c>
      <c r="S3529" s="93" t="s">
        <v>18</v>
      </c>
      <c r="T3529" s="93" t="s">
        <v>1659</v>
      </c>
      <c r="U3529" s="93" t="s">
        <v>116</v>
      </c>
      <c r="V3529" s="94">
        <v>44628.477777777778</v>
      </c>
      <c r="W3529" s="93" t="s">
        <v>1170</v>
      </c>
      <c r="X3529" s="93" t="s">
        <v>24</v>
      </c>
    </row>
    <row r="3530" spans="1:24" hidden="1" x14ac:dyDescent="0.15">
      <c r="A3530" s="93" t="s">
        <v>5398</v>
      </c>
      <c r="B3530" s="93" t="s">
        <v>5399</v>
      </c>
      <c r="C3530" s="410">
        <v>3807.3</v>
      </c>
      <c r="D3530" s="93" t="s">
        <v>24</v>
      </c>
      <c r="E3530" s="93" t="s">
        <v>24</v>
      </c>
      <c r="F3530" s="93" t="s">
        <v>7070</v>
      </c>
      <c r="G3530" s="93" t="s">
        <v>8237</v>
      </c>
      <c r="H3530" s="93" t="s">
        <v>1198</v>
      </c>
      <c r="I3530" s="93" t="s">
        <v>111</v>
      </c>
      <c r="J3530" s="93" t="s">
        <v>963</v>
      </c>
      <c r="K3530" s="93">
        <v>60</v>
      </c>
      <c r="L3530" s="93" t="s">
        <v>111</v>
      </c>
      <c r="M3530" s="93">
        <v>193</v>
      </c>
      <c r="N3530" s="93" t="s">
        <v>113</v>
      </c>
      <c r="O3530" s="93">
        <v>210</v>
      </c>
      <c r="P3530" s="93">
        <v>88</v>
      </c>
      <c r="Q3530" s="93">
        <v>207</v>
      </c>
      <c r="R3530" s="93" t="s">
        <v>117</v>
      </c>
      <c r="S3530" s="93" t="s">
        <v>18</v>
      </c>
      <c r="T3530" s="93" t="s">
        <v>1659</v>
      </c>
      <c r="U3530" s="93" t="s">
        <v>116</v>
      </c>
      <c r="V3530" s="94">
        <v>44628.586111111108</v>
      </c>
      <c r="W3530" s="93" t="s">
        <v>1170</v>
      </c>
      <c r="X3530" s="93" t="s">
        <v>24</v>
      </c>
    </row>
    <row r="3531" spans="1:24" hidden="1" x14ac:dyDescent="0.15">
      <c r="A3531" s="93" t="s">
        <v>5400</v>
      </c>
      <c r="B3531" s="93" t="s">
        <v>5401</v>
      </c>
      <c r="C3531" s="410">
        <v>693</v>
      </c>
      <c r="D3531" s="93" t="s">
        <v>24</v>
      </c>
      <c r="E3531" s="93" t="s">
        <v>24</v>
      </c>
      <c r="F3531" s="93" t="s">
        <v>7070</v>
      </c>
      <c r="G3531" s="93" t="s">
        <v>8237</v>
      </c>
      <c r="H3531" s="93" t="s">
        <v>1198</v>
      </c>
      <c r="I3531" s="93" t="s">
        <v>111</v>
      </c>
      <c r="J3531" s="93" t="s">
        <v>963</v>
      </c>
      <c r="K3531" s="93">
        <v>60</v>
      </c>
      <c r="L3531" s="93" t="s">
        <v>111</v>
      </c>
      <c r="M3531" s="93">
        <v>10.8</v>
      </c>
      <c r="N3531" s="93" t="s">
        <v>113</v>
      </c>
      <c r="O3531" s="93">
        <v>45</v>
      </c>
      <c r="P3531" s="93">
        <v>45</v>
      </c>
      <c r="Q3531" s="93">
        <v>48</v>
      </c>
      <c r="R3531" s="93" t="s">
        <v>117</v>
      </c>
      <c r="S3531" s="93" t="s">
        <v>20</v>
      </c>
      <c r="T3531" s="93" t="s">
        <v>1659</v>
      </c>
      <c r="U3531" s="93" t="s">
        <v>116</v>
      </c>
      <c r="V3531" s="94">
        <v>44628.477777777778</v>
      </c>
      <c r="W3531" s="93" t="s">
        <v>1207</v>
      </c>
      <c r="X3531" s="93" t="s">
        <v>24</v>
      </c>
    </row>
    <row r="3532" spans="1:24" hidden="1" x14ac:dyDescent="0.15">
      <c r="A3532" s="93" t="s">
        <v>5402</v>
      </c>
      <c r="B3532" s="93" t="s">
        <v>5403</v>
      </c>
      <c r="C3532" s="410">
        <v>745.5</v>
      </c>
      <c r="D3532" s="93" t="s">
        <v>24</v>
      </c>
      <c r="E3532" s="93" t="s">
        <v>24</v>
      </c>
      <c r="F3532" s="93" t="s">
        <v>7070</v>
      </c>
      <c r="G3532" s="93" t="s">
        <v>8237</v>
      </c>
      <c r="H3532" s="93" t="s">
        <v>1198</v>
      </c>
      <c r="I3532" s="93" t="s">
        <v>111</v>
      </c>
      <c r="J3532" s="93" t="s">
        <v>963</v>
      </c>
      <c r="K3532" s="93">
        <v>60</v>
      </c>
      <c r="L3532" s="93" t="s">
        <v>111</v>
      </c>
      <c r="M3532" s="93">
        <v>21.7</v>
      </c>
      <c r="N3532" s="93" t="s">
        <v>113</v>
      </c>
      <c r="O3532" s="93">
        <v>71</v>
      </c>
      <c r="P3532" s="93">
        <v>71</v>
      </c>
      <c r="Q3532" s="93">
        <v>61</v>
      </c>
      <c r="R3532" s="93" t="s">
        <v>117</v>
      </c>
      <c r="S3532" s="93" t="s">
        <v>20</v>
      </c>
      <c r="T3532" s="93" t="s">
        <v>1659</v>
      </c>
      <c r="U3532" s="93" t="s">
        <v>116</v>
      </c>
      <c r="V3532" s="94">
        <v>44628.498611111114</v>
      </c>
      <c r="W3532" s="93" t="s">
        <v>1207</v>
      </c>
      <c r="X3532" s="93" t="s">
        <v>24</v>
      </c>
    </row>
    <row r="3533" spans="1:24" hidden="1" x14ac:dyDescent="0.15">
      <c r="A3533" s="93" t="s">
        <v>5404</v>
      </c>
      <c r="B3533" s="93" t="s">
        <v>5405</v>
      </c>
      <c r="C3533" s="410">
        <v>1748.25</v>
      </c>
      <c r="D3533" s="93" t="s">
        <v>24</v>
      </c>
      <c r="E3533" s="93" t="s">
        <v>24</v>
      </c>
      <c r="F3533" s="93" t="s">
        <v>7070</v>
      </c>
      <c r="G3533" s="93" t="s">
        <v>8237</v>
      </c>
      <c r="H3533" s="93" t="s">
        <v>1198</v>
      </c>
      <c r="I3533" s="93" t="s">
        <v>111</v>
      </c>
      <c r="J3533" s="93" t="s">
        <v>963</v>
      </c>
      <c r="K3533" s="93">
        <v>60</v>
      </c>
      <c r="L3533" s="93" t="s">
        <v>111</v>
      </c>
      <c r="M3533" s="93">
        <v>36</v>
      </c>
      <c r="N3533" s="93" t="s">
        <v>113</v>
      </c>
      <c r="O3533" s="93">
        <v>69</v>
      </c>
      <c r="P3533" s="93">
        <v>119</v>
      </c>
      <c r="Q3533" s="93">
        <v>119</v>
      </c>
      <c r="R3533" s="93" t="s">
        <v>117</v>
      </c>
      <c r="S3533" s="93" t="s">
        <v>20</v>
      </c>
      <c r="T3533" s="93" t="s">
        <v>1659</v>
      </c>
      <c r="U3533" s="93" t="s">
        <v>116</v>
      </c>
      <c r="V3533" s="94">
        <v>44628.520833333336</v>
      </c>
      <c r="W3533" s="93" t="s">
        <v>1207</v>
      </c>
      <c r="X3533" s="93" t="s">
        <v>24</v>
      </c>
    </row>
    <row r="3534" spans="1:24" hidden="1" x14ac:dyDescent="0.15">
      <c r="A3534" s="93" t="s">
        <v>5406</v>
      </c>
      <c r="B3534" s="93" t="s">
        <v>5407</v>
      </c>
      <c r="C3534" s="410">
        <v>4888.8</v>
      </c>
      <c r="D3534" s="93" t="s">
        <v>24</v>
      </c>
      <c r="E3534" s="93" t="s">
        <v>24</v>
      </c>
      <c r="F3534" s="93" t="s">
        <v>7070</v>
      </c>
      <c r="G3534" s="93" t="s">
        <v>8237</v>
      </c>
      <c r="H3534" s="93" t="s">
        <v>1198</v>
      </c>
      <c r="I3534" s="93" t="s">
        <v>111</v>
      </c>
      <c r="J3534" s="93" t="s">
        <v>963</v>
      </c>
      <c r="K3534" s="93">
        <v>60</v>
      </c>
      <c r="L3534" s="93" t="s">
        <v>111</v>
      </c>
      <c r="M3534" s="93">
        <v>182</v>
      </c>
      <c r="N3534" s="93" t="s">
        <v>113</v>
      </c>
      <c r="O3534" s="93">
        <v>89</v>
      </c>
      <c r="P3534" s="93">
        <v>195</v>
      </c>
      <c r="Q3534" s="93">
        <v>203</v>
      </c>
      <c r="R3534" s="93" t="s">
        <v>117</v>
      </c>
      <c r="S3534" s="93" t="s">
        <v>2</v>
      </c>
      <c r="T3534" s="93" t="s">
        <v>1659</v>
      </c>
      <c r="U3534" s="93" t="s">
        <v>116</v>
      </c>
      <c r="V3534" s="94">
        <v>44628.643055555556</v>
      </c>
      <c r="W3534" s="93" t="s">
        <v>1207</v>
      </c>
      <c r="X3534" s="93" t="s">
        <v>24</v>
      </c>
    </row>
    <row r="3535" spans="1:24" hidden="1" x14ac:dyDescent="0.15">
      <c r="A3535" s="93" t="s">
        <v>5408</v>
      </c>
      <c r="B3535" s="93" t="s">
        <v>5409</v>
      </c>
      <c r="C3535" s="410">
        <v>487.2</v>
      </c>
      <c r="D3535" s="93" t="s">
        <v>24</v>
      </c>
      <c r="E3535" s="93" t="s">
        <v>24</v>
      </c>
      <c r="F3535" s="93" t="s">
        <v>7070</v>
      </c>
      <c r="G3535" s="93" t="s">
        <v>8237</v>
      </c>
      <c r="H3535" s="93" t="s">
        <v>11</v>
      </c>
      <c r="I3535" s="93" t="s">
        <v>111</v>
      </c>
      <c r="J3535" s="93" t="s">
        <v>963</v>
      </c>
      <c r="K3535" s="93">
        <v>60</v>
      </c>
      <c r="L3535" s="93" t="s">
        <v>111</v>
      </c>
      <c r="M3535" s="93">
        <v>2.5</v>
      </c>
      <c r="N3535" s="93" t="s">
        <v>113</v>
      </c>
      <c r="O3535" s="93">
        <v>28</v>
      </c>
      <c r="P3535" s="93">
        <v>28</v>
      </c>
      <c r="Q3535" s="93">
        <v>18</v>
      </c>
      <c r="R3535" s="93" t="s">
        <v>4205</v>
      </c>
      <c r="S3535" s="93" t="s">
        <v>20</v>
      </c>
      <c r="T3535" s="93" t="s">
        <v>1659</v>
      </c>
      <c r="U3535" s="93" t="s">
        <v>116</v>
      </c>
      <c r="V3535" s="94">
        <v>44628.517361111109</v>
      </c>
      <c r="W3535" s="93" t="s">
        <v>1170</v>
      </c>
      <c r="X3535" s="93" t="s">
        <v>24</v>
      </c>
    </row>
    <row r="3536" spans="1:24" hidden="1" x14ac:dyDescent="0.15">
      <c r="A3536" s="93" t="s">
        <v>5410</v>
      </c>
      <c r="B3536" s="93" t="s">
        <v>5411</v>
      </c>
      <c r="C3536" s="410">
        <v>834.75</v>
      </c>
      <c r="D3536" s="93" t="s">
        <v>24</v>
      </c>
      <c r="E3536" s="93" t="s">
        <v>24</v>
      </c>
      <c r="F3536" s="93" t="s">
        <v>7070</v>
      </c>
      <c r="G3536" s="93" t="s">
        <v>8237</v>
      </c>
      <c r="H3536" s="93" t="s">
        <v>11</v>
      </c>
      <c r="I3536" s="93" t="s">
        <v>111</v>
      </c>
      <c r="J3536" s="93" t="s">
        <v>963</v>
      </c>
      <c r="K3536" s="93">
        <v>60</v>
      </c>
      <c r="L3536" s="93" t="s">
        <v>111</v>
      </c>
      <c r="M3536" s="93">
        <v>3</v>
      </c>
      <c r="N3536" s="93" t="s">
        <v>113</v>
      </c>
      <c r="O3536" s="93">
        <v>11</v>
      </c>
      <c r="P3536" s="93">
        <v>26.5</v>
      </c>
      <c r="Q3536" s="93">
        <v>26.5</v>
      </c>
      <c r="R3536" s="93" t="s">
        <v>117</v>
      </c>
      <c r="S3536" s="93" t="s">
        <v>20</v>
      </c>
      <c r="T3536" s="93" t="s">
        <v>115</v>
      </c>
      <c r="U3536" s="93" t="s">
        <v>116</v>
      </c>
      <c r="V3536" s="94">
        <v>44628.539583333331</v>
      </c>
      <c r="W3536" s="93" t="s">
        <v>1170</v>
      </c>
      <c r="X3536" s="93" t="s">
        <v>24</v>
      </c>
    </row>
    <row r="3537" spans="1:24" hidden="1" x14ac:dyDescent="0.15">
      <c r="A3537" s="93" t="s">
        <v>5412</v>
      </c>
      <c r="B3537" s="93" t="s">
        <v>5413</v>
      </c>
      <c r="C3537" s="410">
        <v>1368.15</v>
      </c>
      <c r="D3537" s="93" t="s">
        <v>24</v>
      </c>
      <c r="E3537" s="93" t="s">
        <v>24</v>
      </c>
      <c r="F3537" s="93" t="s">
        <v>7070</v>
      </c>
      <c r="G3537" s="93" t="s">
        <v>8237</v>
      </c>
      <c r="H3537" s="93" t="s">
        <v>11</v>
      </c>
      <c r="I3537" s="93" t="s">
        <v>111</v>
      </c>
      <c r="J3537" s="93" t="s">
        <v>963</v>
      </c>
      <c r="K3537" s="93">
        <v>60</v>
      </c>
      <c r="L3537" s="93" t="s">
        <v>111</v>
      </c>
      <c r="M3537" s="93">
        <v>5.8</v>
      </c>
      <c r="N3537" s="93" t="s">
        <v>113</v>
      </c>
      <c r="O3537" s="93">
        <v>32</v>
      </c>
      <c r="P3537" s="93">
        <v>32</v>
      </c>
      <c r="Q3537" s="93">
        <v>38</v>
      </c>
      <c r="R3537" s="93" t="s">
        <v>117</v>
      </c>
      <c r="S3537" s="93" t="s">
        <v>111</v>
      </c>
      <c r="T3537" s="93" t="s">
        <v>1659</v>
      </c>
      <c r="U3537" s="93" t="s">
        <v>119</v>
      </c>
      <c r="V3537" s="94">
        <v>44628.477777777778</v>
      </c>
      <c r="W3537" s="93" t="s">
        <v>1170</v>
      </c>
      <c r="X3537" s="93" t="s">
        <v>24</v>
      </c>
    </row>
    <row r="3538" spans="1:24" hidden="1" x14ac:dyDescent="0.15">
      <c r="A3538" s="93" t="s">
        <v>5414</v>
      </c>
      <c r="B3538" s="93" t="s">
        <v>5415</v>
      </c>
      <c r="C3538" s="410">
        <v>1368.15</v>
      </c>
      <c r="D3538" s="93" t="s">
        <v>24</v>
      </c>
      <c r="E3538" s="93" t="s">
        <v>24</v>
      </c>
      <c r="F3538" s="93" t="s">
        <v>7070</v>
      </c>
      <c r="G3538" s="93" t="s">
        <v>8237</v>
      </c>
      <c r="H3538" s="93" t="s">
        <v>11</v>
      </c>
      <c r="I3538" s="93" t="s">
        <v>111</v>
      </c>
      <c r="J3538" s="93" t="s">
        <v>963</v>
      </c>
      <c r="K3538" s="93">
        <v>60</v>
      </c>
      <c r="L3538" s="93" t="s">
        <v>111</v>
      </c>
      <c r="M3538" s="93">
        <v>2</v>
      </c>
      <c r="N3538" s="93" t="s">
        <v>113</v>
      </c>
      <c r="O3538" s="93">
        <v>31</v>
      </c>
      <c r="P3538" s="93">
        <v>31</v>
      </c>
      <c r="Q3538" s="93">
        <v>34.200000000000003</v>
      </c>
      <c r="R3538" s="93" t="s">
        <v>117</v>
      </c>
      <c r="S3538" s="93" t="s">
        <v>111</v>
      </c>
      <c r="T3538" s="93" t="s">
        <v>1659</v>
      </c>
      <c r="U3538" s="93" t="s">
        <v>116</v>
      </c>
      <c r="V3538" s="94">
        <v>44628.642361111109</v>
      </c>
      <c r="W3538" s="93" t="s">
        <v>1170</v>
      </c>
      <c r="X3538" s="93" t="s">
        <v>24</v>
      </c>
    </row>
    <row r="3539" spans="1:24" hidden="1" x14ac:dyDescent="0.15">
      <c r="A3539" s="93" t="s">
        <v>5416</v>
      </c>
      <c r="B3539" s="93" t="s">
        <v>5417</v>
      </c>
      <c r="C3539" s="410">
        <v>472.5</v>
      </c>
      <c r="D3539" s="93" t="s">
        <v>24</v>
      </c>
      <c r="E3539" s="93" t="s">
        <v>24</v>
      </c>
      <c r="F3539" s="93" t="s">
        <v>7070</v>
      </c>
      <c r="G3539" s="93" t="s">
        <v>8237</v>
      </c>
      <c r="H3539" s="93" t="s">
        <v>11</v>
      </c>
      <c r="I3539" s="93" t="s">
        <v>111</v>
      </c>
      <c r="J3539" s="93" t="s">
        <v>2086</v>
      </c>
      <c r="K3539" s="93">
        <v>50</v>
      </c>
      <c r="L3539" s="93" t="s">
        <v>111</v>
      </c>
      <c r="M3539" s="93">
        <v>3</v>
      </c>
      <c r="N3539" s="93" t="s">
        <v>113</v>
      </c>
      <c r="O3539" s="93">
        <v>18</v>
      </c>
      <c r="P3539" s="93">
        <v>29</v>
      </c>
      <c r="Q3539" s="93">
        <v>30</v>
      </c>
      <c r="R3539" s="93" t="s">
        <v>117</v>
      </c>
      <c r="S3539" s="93" t="s">
        <v>16</v>
      </c>
      <c r="T3539" s="93" t="s">
        <v>1659</v>
      </c>
      <c r="U3539" s="93" t="s">
        <v>116</v>
      </c>
      <c r="V3539" s="94">
        <v>44628.498611111114</v>
      </c>
      <c r="W3539" s="93" t="s">
        <v>1170</v>
      </c>
      <c r="X3539" s="93" t="s">
        <v>24</v>
      </c>
    </row>
    <row r="3540" spans="1:24" hidden="1" x14ac:dyDescent="0.15">
      <c r="A3540" s="93" t="s">
        <v>5418</v>
      </c>
      <c r="B3540" s="93" t="s">
        <v>5419</v>
      </c>
      <c r="C3540" s="410">
        <v>803.25</v>
      </c>
      <c r="D3540" s="93" t="s">
        <v>24</v>
      </c>
      <c r="E3540" s="93" t="s">
        <v>24</v>
      </c>
      <c r="F3540" s="93" t="s">
        <v>7070</v>
      </c>
      <c r="G3540" s="93" t="s">
        <v>8237</v>
      </c>
      <c r="H3540" s="93" t="s">
        <v>11</v>
      </c>
      <c r="I3540" s="93" t="s">
        <v>111</v>
      </c>
      <c r="J3540" s="93" t="s">
        <v>963</v>
      </c>
      <c r="K3540" s="93">
        <v>60</v>
      </c>
      <c r="L3540" s="93" t="s">
        <v>111</v>
      </c>
      <c r="M3540" s="93">
        <v>3.5</v>
      </c>
      <c r="N3540" s="93" t="s">
        <v>113</v>
      </c>
      <c r="O3540" s="93">
        <v>29</v>
      </c>
      <c r="P3540" s="93">
        <v>30</v>
      </c>
      <c r="Q3540" s="93">
        <v>18</v>
      </c>
      <c r="R3540" s="93" t="s">
        <v>117</v>
      </c>
      <c r="S3540" s="93" t="s">
        <v>16</v>
      </c>
      <c r="T3540" s="93" t="s">
        <v>1659</v>
      </c>
      <c r="U3540" s="93" t="s">
        <v>116</v>
      </c>
      <c r="V3540" s="94">
        <v>44628.563888888886</v>
      </c>
      <c r="W3540" s="93" t="s">
        <v>1170</v>
      </c>
      <c r="X3540" s="93" t="s">
        <v>24</v>
      </c>
    </row>
    <row r="3541" spans="1:24" hidden="1" x14ac:dyDescent="0.15">
      <c r="A3541" s="93" t="s">
        <v>5420</v>
      </c>
      <c r="B3541" s="93" t="s">
        <v>5421</v>
      </c>
      <c r="C3541" s="410">
        <v>93.45</v>
      </c>
      <c r="D3541" s="93" t="s">
        <v>24</v>
      </c>
      <c r="E3541" s="93" t="s">
        <v>24</v>
      </c>
      <c r="F3541" s="93" t="s">
        <v>7070</v>
      </c>
      <c r="G3541" s="93" t="s">
        <v>8237</v>
      </c>
      <c r="H3541" s="93" t="s">
        <v>11</v>
      </c>
      <c r="I3541" s="93" t="s">
        <v>111</v>
      </c>
      <c r="J3541" s="93" t="s">
        <v>963</v>
      </c>
      <c r="K3541" s="93">
        <v>60</v>
      </c>
      <c r="L3541" s="93" t="s">
        <v>111</v>
      </c>
      <c r="M3541" s="93">
        <v>0.25</v>
      </c>
      <c r="N3541" s="93" t="s">
        <v>113</v>
      </c>
      <c r="O3541" s="93">
        <v>5</v>
      </c>
      <c r="P3541" s="93">
        <v>11</v>
      </c>
      <c r="Q3541" s="93">
        <v>12</v>
      </c>
      <c r="R3541" s="93" t="s">
        <v>4205</v>
      </c>
      <c r="S3541" s="93" t="s">
        <v>16</v>
      </c>
      <c r="T3541" s="93" t="s">
        <v>1659</v>
      </c>
      <c r="U3541" s="93" t="s">
        <v>116</v>
      </c>
      <c r="V3541" s="94">
        <v>44628.498611111114</v>
      </c>
      <c r="W3541" s="93" t="s">
        <v>1170</v>
      </c>
      <c r="X3541" s="93" t="s">
        <v>24</v>
      </c>
    </row>
    <row r="3542" spans="1:24" hidden="1" x14ac:dyDescent="0.15">
      <c r="A3542" s="93" t="s">
        <v>5422</v>
      </c>
      <c r="B3542" s="93" t="s">
        <v>5423</v>
      </c>
      <c r="C3542" s="410">
        <v>571.20000000000005</v>
      </c>
      <c r="D3542" s="93" t="s">
        <v>24</v>
      </c>
      <c r="E3542" s="93" t="s">
        <v>24</v>
      </c>
      <c r="F3542" s="93" t="s">
        <v>7070</v>
      </c>
      <c r="G3542" s="93" t="s">
        <v>8237</v>
      </c>
      <c r="H3542" s="93" t="s">
        <v>11</v>
      </c>
      <c r="I3542" s="93" t="s">
        <v>111</v>
      </c>
      <c r="J3542" s="93" t="s">
        <v>963</v>
      </c>
      <c r="K3542" s="93">
        <v>60</v>
      </c>
      <c r="L3542" s="93" t="s">
        <v>111</v>
      </c>
      <c r="M3542" s="93">
        <v>2.8</v>
      </c>
      <c r="N3542" s="93" t="s">
        <v>113</v>
      </c>
      <c r="O3542" s="93">
        <v>18</v>
      </c>
      <c r="P3542" s="93">
        <v>29</v>
      </c>
      <c r="Q3542" s="93">
        <v>29</v>
      </c>
      <c r="R3542" s="93" t="s">
        <v>117</v>
      </c>
      <c r="S3542" s="93" t="s">
        <v>16</v>
      </c>
      <c r="T3542" s="93" t="s">
        <v>1659</v>
      </c>
      <c r="U3542" s="93" t="s">
        <v>116</v>
      </c>
      <c r="V3542" s="94">
        <v>44628.477777777778</v>
      </c>
      <c r="W3542" s="93" t="s">
        <v>1170</v>
      </c>
      <c r="X3542" s="93" t="s">
        <v>24</v>
      </c>
    </row>
    <row r="3543" spans="1:24" hidden="1" x14ac:dyDescent="0.15">
      <c r="A3543" s="93" t="s">
        <v>5424</v>
      </c>
      <c r="B3543" s="93" t="s">
        <v>5425</v>
      </c>
      <c r="C3543" s="410">
        <v>1129.8</v>
      </c>
      <c r="D3543" s="93" t="s">
        <v>24</v>
      </c>
      <c r="E3543" s="93" t="s">
        <v>24</v>
      </c>
      <c r="F3543" s="93" t="s">
        <v>7070</v>
      </c>
      <c r="G3543" s="93" t="s">
        <v>8237</v>
      </c>
      <c r="H3543" s="93" t="s">
        <v>11</v>
      </c>
      <c r="I3543" s="93" t="s">
        <v>111</v>
      </c>
      <c r="J3543" s="93" t="s">
        <v>2086</v>
      </c>
      <c r="K3543" s="93">
        <v>50</v>
      </c>
      <c r="L3543" s="93" t="s">
        <v>111</v>
      </c>
      <c r="M3543" s="93">
        <v>4</v>
      </c>
      <c r="N3543" s="93" t="s">
        <v>113</v>
      </c>
      <c r="O3543" s="93">
        <v>17</v>
      </c>
      <c r="P3543" s="93">
        <v>32</v>
      </c>
      <c r="Q3543" s="93">
        <v>27</v>
      </c>
      <c r="R3543" s="93" t="s">
        <v>117</v>
      </c>
      <c r="S3543" s="93" t="s">
        <v>16</v>
      </c>
      <c r="T3543" s="93" t="s">
        <v>1659</v>
      </c>
      <c r="U3543" s="93" t="s">
        <v>116</v>
      </c>
      <c r="V3543" s="94">
        <v>44628.563888888886</v>
      </c>
      <c r="W3543" s="93" t="s">
        <v>1170</v>
      </c>
      <c r="X3543" s="93" t="s">
        <v>24</v>
      </c>
    </row>
    <row r="3544" spans="1:24" hidden="1" x14ac:dyDescent="0.15">
      <c r="A3544" s="93" t="s">
        <v>5426</v>
      </c>
      <c r="B3544" s="93" t="s">
        <v>5427</v>
      </c>
      <c r="C3544" s="410">
        <v>116.55</v>
      </c>
      <c r="D3544" s="93" t="s">
        <v>24</v>
      </c>
      <c r="E3544" s="93" t="s">
        <v>24</v>
      </c>
      <c r="F3544" s="93" t="s">
        <v>7070</v>
      </c>
      <c r="G3544" s="93" t="s">
        <v>8237</v>
      </c>
      <c r="H3544" s="93" t="s">
        <v>11</v>
      </c>
      <c r="I3544" s="93" t="s">
        <v>111</v>
      </c>
      <c r="J3544" s="93" t="s">
        <v>963</v>
      </c>
      <c r="K3544" s="93">
        <v>60</v>
      </c>
      <c r="L3544" s="93" t="s">
        <v>111</v>
      </c>
      <c r="M3544" s="93">
        <v>2.5</v>
      </c>
      <c r="N3544" s="93" t="s">
        <v>113</v>
      </c>
      <c r="O3544" s="93">
        <v>28</v>
      </c>
      <c r="P3544" s="93">
        <v>28</v>
      </c>
      <c r="Q3544" s="93">
        <v>18</v>
      </c>
      <c r="R3544" s="93" t="s">
        <v>117</v>
      </c>
      <c r="S3544" s="93" t="s">
        <v>659</v>
      </c>
      <c r="T3544" s="93" t="s">
        <v>1659</v>
      </c>
      <c r="U3544" s="93" t="s">
        <v>116</v>
      </c>
      <c r="V3544" s="94">
        <v>44628.520833333336</v>
      </c>
      <c r="W3544" s="93" t="s">
        <v>1170</v>
      </c>
      <c r="X3544" s="93" t="s">
        <v>24</v>
      </c>
    </row>
    <row r="3545" spans="1:24" hidden="1" x14ac:dyDescent="0.15">
      <c r="A3545" s="93" t="s">
        <v>5428</v>
      </c>
      <c r="B3545" s="93" t="s">
        <v>5429</v>
      </c>
      <c r="C3545" s="410">
        <v>717.15</v>
      </c>
      <c r="D3545" s="93" t="s">
        <v>24</v>
      </c>
      <c r="E3545" s="93" t="s">
        <v>24</v>
      </c>
      <c r="F3545" s="93" t="s">
        <v>7070</v>
      </c>
      <c r="G3545" s="93" t="s">
        <v>8237</v>
      </c>
      <c r="H3545" s="93" t="s">
        <v>11</v>
      </c>
      <c r="I3545" s="93" t="s">
        <v>111</v>
      </c>
      <c r="J3545" s="93" t="s">
        <v>963</v>
      </c>
      <c r="K3545" s="93">
        <v>60</v>
      </c>
      <c r="L3545" s="93" t="s">
        <v>111</v>
      </c>
      <c r="M3545" s="93">
        <v>2.5</v>
      </c>
      <c r="N3545" s="93" t="s">
        <v>113</v>
      </c>
      <c r="O3545" s="93">
        <v>29</v>
      </c>
      <c r="P3545" s="93">
        <v>27</v>
      </c>
      <c r="Q3545" s="93">
        <v>18</v>
      </c>
      <c r="R3545" s="93" t="s">
        <v>117</v>
      </c>
      <c r="S3545" s="93" t="s">
        <v>16</v>
      </c>
      <c r="T3545" s="93" t="s">
        <v>1659</v>
      </c>
      <c r="U3545" s="93" t="s">
        <v>116</v>
      </c>
      <c r="V3545" s="94">
        <v>44628.520833333336</v>
      </c>
      <c r="W3545" s="93" t="s">
        <v>1170</v>
      </c>
      <c r="X3545" s="93" t="s">
        <v>24</v>
      </c>
    </row>
    <row r="3546" spans="1:24" hidden="1" x14ac:dyDescent="0.15">
      <c r="A3546" s="93" t="s">
        <v>5430</v>
      </c>
      <c r="B3546" s="93" t="s">
        <v>5431</v>
      </c>
      <c r="C3546" s="410">
        <v>371.7</v>
      </c>
      <c r="D3546" s="93" t="s">
        <v>24</v>
      </c>
      <c r="E3546" s="93" t="s">
        <v>24</v>
      </c>
      <c r="F3546" s="93" t="s">
        <v>7070</v>
      </c>
      <c r="G3546" s="93" t="s">
        <v>8237</v>
      </c>
      <c r="H3546" s="93" t="s">
        <v>11</v>
      </c>
      <c r="I3546" s="93" t="s">
        <v>111</v>
      </c>
      <c r="J3546" s="93" t="s">
        <v>2086</v>
      </c>
      <c r="K3546" s="93">
        <v>50</v>
      </c>
      <c r="L3546" s="93" t="s">
        <v>111</v>
      </c>
      <c r="M3546" s="93">
        <v>2.5</v>
      </c>
      <c r="N3546" s="93" t="s">
        <v>113</v>
      </c>
      <c r="O3546" s="93">
        <v>18</v>
      </c>
      <c r="P3546" s="93">
        <v>28</v>
      </c>
      <c r="Q3546" s="93">
        <v>28</v>
      </c>
      <c r="R3546" s="93" t="s">
        <v>117</v>
      </c>
      <c r="S3546" s="93" t="s">
        <v>2</v>
      </c>
      <c r="T3546" s="93" t="s">
        <v>1659</v>
      </c>
      <c r="U3546" s="93" t="s">
        <v>116</v>
      </c>
      <c r="V3546" s="94">
        <v>44628.606944444444</v>
      </c>
      <c r="W3546" s="93" t="s">
        <v>1170</v>
      </c>
      <c r="X3546" s="93" t="s">
        <v>24</v>
      </c>
    </row>
    <row r="3547" spans="1:24" hidden="1" x14ac:dyDescent="0.15">
      <c r="A3547" s="93" t="s">
        <v>5432</v>
      </c>
      <c r="B3547" s="93" t="s">
        <v>5433</v>
      </c>
      <c r="C3547" s="410">
        <v>509.25</v>
      </c>
      <c r="D3547" s="93" t="s">
        <v>24</v>
      </c>
      <c r="E3547" s="93" t="s">
        <v>24</v>
      </c>
      <c r="F3547" s="93" t="s">
        <v>7070</v>
      </c>
      <c r="G3547" s="93" t="s">
        <v>8237</v>
      </c>
      <c r="H3547" s="93" t="s">
        <v>11</v>
      </c>
      <c r="I3547" s="93" t="s">
        <v>111</v>
      </c>
      <c r="J3547" s="93" t="s">
        <v>2013</v>
      </c>
      <c r="K3547" s="93">
        <v>50</v>
      </c>
      <c r="L3547" s="93" t="s">
        <v>111</v>
      </c>
      <c r="M3547" s="93">
        <v>2.5</v>
      </c>
      <c r="N3547" s="93" t="s">
        <v>113</v>
      </c>
      <c r="O3547" s="93">
        <v>12.7</v>
      </c>
      <c r="P3547" s="93">
        <v>28</v>
      </c>
      <c r="Q3547" s="93">
        <v>28</v>
      </c>
      <c r="R3547" s="93" t="s">
        <v>117</v>
      </c>
      <c r="S3547" s="93" t="s">
        <v>659</v>
      </c>
      <c r="T3547" s="93" t="s">
        <v>115</v>
      </c>
      <c r="U3547" s="93" t="s">
        <v>116</v>
      </c>
      <c r="V3547" s="94">
        <v>44628.492361111108</v>
      </c>
      <c r="W3547" s="93" t="s">
        <v>1170</v>
      </c>
      <c r="X3547" s="93" t="s">
        <v>24</v>
      </c>
    </row>
    <row r="3548" spans="1:24" hidden="1" x14ac:dyDescent="0.15">
      <c r="A3548" s="93" t="s">
        <v>5434</v>
      </c>
      <c r="B3548" s="93" t="s">
        <v>5435</v>
      </c>
      <c r="C3548" s="410">
        <v>478.8</v>
      </c>
      <c r="D3548" s="93" t="s">
        <v>24</v>
      </c>
      <c r="E3548" s="93" t="s">
        <v>24</v>
      </c>
      <c r="F3548" s="93" t="s">
        <v>7070</v>
      </c>
      <c r="G3548" s="93" t="s">
        <v>8237</v>
      </c>
      <c r="H3548" s="93" t="s">
        <v>1198</v>
      </c>
      <c r="I3548" s="93" t="s">
        <v>111</v>
      </c>
      <c r="J3548" s="93" t="s">
        <v>963</v>
      </c>
      <c r="K3548" s="93">
        <v>60</v>
      </c>
      <c r="L3548" s="93" t="s">
        <v>111</v>
      </c>
      <c r="M3548" s="93">
        <v>8.9499999999999993</v>
      </c>
      <c r="N3548" s="93" t="s">
        <v>113</v>
      </c>
      <c r="O3548" s="93">
        <v>33</v>
      </c>
      <c r="P3548" s="93">
        <v>46</v>
      </c>
      <c r="Q3548" s="93">
        <v>64</v>
      </c>
      <c r="R3548" s="93" t="s">
        <v>117</v>
      </c>
      <c r="S3548" s="93" t="s">
        <v>18</v>
      </c>
      <c r="T3548" s="93" t="s">
        <v>1659</v>
      </c>
      <c r="U3548" s="93" t="s">
        <v>116</v>
      </c>
      <c r="V3548" s="94">
        <v>44628.606249999997</v>
      </c>
      <c r="W3548" s="93" t="s">
        <v>1170</v>
      </c>
      <c r="X3548" s="93" t="s">
        <v>24</v>
      </c>
    </row>
    <row r="3549" spans="1:24" hidden="1" x14ac:dyDescent="0.15">
      <c r="A3549" s="93" t="s">
        <v>5436</v>
      </c>
      <c r="B3549" s="93" t="s">
        <v>5437</v>
      </c>
      <c r="C3549" s="410">
        <v>603.75</v>
      </c>
      <c r="D3549" s="93" t="s">
        <v>24</v>
      </c>
      <c r="E3549" s="93" t="s">
        <v>24</v>
      </c>
      <c r="F3549" s="93" t="s">
        <v>7070</v>
      </c>
      <c r="G3549" s="93" t="s">
        <v>8237</v>
      </c>
      <c r="H3549" s="93" t="s">
        <v>1198</v>
      </c>
      <c r="I3549" s="93" t="s">
        <v>111</v>
      </c>
      <c r="J3549" s="93" t="s">
        <v>963</v>
      </c>
      <c r="K3549" s="93">
        <v>60</v>
      </c>
      <c r="L3549" s="93" t="s">
        <v>111</v>
      </c>
      <c r="M3549" s="93">
        <v>19.420000000000002</v>
      </c>
      <c r="N3549" s="93" t="s">
        <v>113</v>
      </c>
      <c r="O3549" s="93">
        <v>70</v>
      </c>
      <c r="P3549" s="93">
        <v>70</v>
      </c>
      <c r="Q3549" s="93">
        <v>56</v>
      </c>
      <c r="R3549" s="93" t="s">
        <v>117</v>
      </c>
      <c r="S3549" s="93" t="s">
        <v>18</v>
      </c>
      <c r="T3549" s="93" t="s">
        <v>1659</v>
      </c>
      <c r="U3549" s="93" t="s">
        <v>116</v>
      </c>
      <c r="V3549" s="94">
        <v>44628.606249999997</v>
      </c>
      <c r="W3549" s="93" t="s">
        <v>1170</v>
      </c>
      <c r="X3549" s="93" t="s">
        <v>24</v>
      </c>
    </row>
    <row r="3550" spans="1:24" hidden="1" x14ac:dyDescent="0.15">
      <c r="A3550" s="93" t="s">
        <v>5438</v>
      </c>
      <c r="B3550" s="93" t="s">
        <v>5439</v>
      </c>
      <c r="C3550" s="410">
        <v>1365</v>
      </c>
      <c r="D3550" s="93" t="s">
        <v>24</v>
      </c>
      <c r="E3550" s="93" t="s">
        <v>24</v>
      </c>
      <c r="F3550" s="93" t="s">
        <v>7070</v>
      </c>
      <c r="G3550" s="93" t="s">
        <v>8237</v>
      </c>
      <c r="H3550" s="93" t="s">
        <v>1198</v>
      </c>
      <c r="I3550" s="93" t="s">
        <v>111</v>
      </c>
      <c r="J3550" s="93" t="s">
        <v>963</v>
      </c>
      <c r="K3550" s="93">
        <v>60</v>
      </c>
      <c r="L3550" s="93" t="s">
        <v>111</v>
      </c>
      <c r="M3550" s="93">
        <v>30.8</v>
      </c>
      <c r="N3550" s="93" t="s">
        <v>113</v>
      </c>
      <c r="O3550" s="93">
        <v>82</v>
      </c>
      <c r="P3550" s="93">
        <v>37</v>
      </c>
      <c r="Q3550" s="93">
        <v>120</v>
      </c>
      <c r="R3550" s="93" t="s">
        <v>117</v>
      </c>
      <c r="S3550" s="93" t="s">
        <v>18</v>
      </c>
      <c r="T3550" s="93" t="s">
        <v>1659</v>
      </c>
      <c r="U3550" s="93" t="s">
        <v>116</v>
      </c>
      <c r="V3550" s="94">
        <v>44628.5625</v>
      </c>
      <c r="W3550" s="93" t="s">
        <v>1170</v>
      </c>
      <c r="X3550" s="93" t="s">
        <v>24</v>
      </c>
    </row>
    <row r="3551" spans="1:24" hidden="1" x14ac:dyDescent="0.15">
      <c r="A3551" s="93" t="s">
        <v>5440</v>
      </c>
      <c r="B3551" s="93" t="s">
        <v>5441</v>
      </c>
      <c r="C3551" s="410">
        <v>1869</v>
      </c>
      <c r="D3551" s="93" t="s">
        <v>24</v>
      </c>
      <c r="E3551" s="93" t="s">
        <v>24</v>
      </c>
      <c r="F3551" s="93" t="s">
        <v>7070</v>
      </c>
      <c r="G3551" s="93" t="s">
        <v>8237</v>
      </c>
      <c r="H3551" s="93" t="s">
        <v>1198</v>
      </c>
      <c r="I3551" s="93" t="s">
        <v>111</v>
      </c>
      <c r="J3551" s="93" t="s">
        <v>963</v>
      </c>
      <c r="K3551" s="93">
        <v>60</v>
      </c>
      <c r="L3551" s="93" t="s">
        <v>111</v>
      </c>
      <c r="M3551" s="93">
        <v>102</v>
      </c>
      <c r="N3551" s="93" t="s">
        <v>113</v>
      </c>
      <c r="O3551" s="93">
        <v>82</v>
      </c>
      <c r="P3551" s="93">
        <v>137</v>
      </c>
      <c r="Q3551" s="93">
        <v>137</v>
      </c>
      <c r="R3551" s="93" t="s">
        <v>117</v>
      </c>
      <c r="S3551" s="93" t="s">
        <v>18</v>
      </c>
      <c r="T3551" s="93" t="s">
        <v>1659</v>
      </c>
      <c r="U3551" s="93" t="s">
        <v>116</v>
      </c>
      <c r="V3551" s="94">
        <v>44628.540972222225</v>
      </c>
      <c r="W3551" s="93" t="s">
        <v>1170</v>
      </c>
      <c r="X3551" s="93" t="s">
        <v>24</v>
      </c>
    </row>
    <row r="3552" spans="1:24" hidden="1" x14ac:dyDescent="0.15">
      <c r="A3552" s="93" t="s">
        <v>5442</v>
      </c>
      <c r="B3552" s="93" t="s">
        <v>5443</v>
      </c>
      <c r="C3552" s="410">
        <v>693</v>
      </c>
      <c r="D3552" s="93" t="s">
        <v>24</v>
      </c>
      <c r="E3552" s="93" t="s">
        <v>24</v>
      </c>
      <c r="F3552" s="93" t="s">
        <v>7070</v>
      </c>
      <c r="G3552" s="93" t="s">
        <v>8237</v>
      </c>
      <c r="H3552" s="93" t="s">
        <v>1198</v>
      </c>
      <c r="I3552" s="93" t="s">
        <v>111</v>
      </c>
      <c r="J3552" s="93" t="s">
        <v>963</v>
      </c>
      <c r="K3552" s="93">
        <v>60</v>
      </c>
      <c r="L3552" s="93" t="s">
        <v>111</v>
      </c>
      <c r="M3552" s="93">
        <v>10.8</v>
      </c>
      <c r="N3552" s="93" t="s">
        <v>113</v>
      </c>
      <c r="O3552" s="93" t="s">
        <v>111</v>
      </c>
      <c r="P3552" s="93" t="s">
        <v>111</v>
      </c>
      <c r="Q3552" s="93" t="s">
        <v>111</v>
      </c>
      <c r="R3552" s="93" t="s">
        <v>117</v>
      </c>
      <c r="S3552" s="93" t="s">
        <v>20</v>
      </c>
      <c r="T3552" s="93" t="s">
        <v>1659</v>
      </c>
      <c r="U3552" s="93" t="s">
        <v>116</v>
      </c>
      <c r="V3552" s="94">
        <v>44628.497916666667</v>
      </c>
      <c r="W3552" s="93" t="s">
        <v>1207</v>
      </c>
      <c r="X3552" s="93" t="s">
        <v>24</v>
      </c>
    </row>
    <row r="3553" spans="1:24" hidden="1" x14ac:dyDescent="0.15">
      <c r="A3553" s="93" t="s">
        <v>5444</v>
      </c>
      <c r="B3553" s="93" t="s">
        <v>5445</v>
      </c>
      <c r="C3553" s="410">
        <v>745.5</v>
      </c>
      <c r="D3553" s="93" t="s">
        <v>24</v>
      </c>
      <c r="E3553" s="93" t="s">
        <v>24</v>
      </c>
      <c r="F3553" s="93" t="s">
        <v>7070</v>
      </c>
      <c r="G3553" s="93" t="s">
        <v>8237</v>
      </c>
      <c r="H3553" s="93" t="s">
        <v>1198</v>
      </c>
      <c r="I3553" s="93" t="s">
        <v>111</v>
      </c>
      <c r="J3553" s="93" t="s">
        <v>963</v>
      </c>
      <c r="K3553" s="93">
        <v>60</v>
      </c>
      <c r="L3553" s="93" t="s">
        <v>111</v>
      </c>
      <c r="M3553" s="93">
        <v>21.7</v>
      </c>
      <c r="N3553" s="93" t="s">
        <v>113</v>
      </c>
      <c r="O3553" s="93" t="s">
        <v>111</v>
      </c>
      <c r="P3553" s="93" t="s">
        <v>111</v>
      </c>
      <c r="Q3553" s="93" t="s">
        <v>111</v>
      </c>
      <c r="R3553" s="93" t="s">
        <v>117</v>
      </c>
      <c r="S3553" s="93" t="s">
        <v>20</v>
      </c>
      <c r="T3553" s="93" t="s">
        <v>1659</v>
      </c>
      <c r="U3553" s="93" t="s">
        <v>116</v>
      </c>
      <c r="V3553" s="94">
        <v>44628.477083333331</v>
      </c>
      <c r="W3553" s="93" t="s">
        <v>1207</v>
      </c>
      <c r="X3553" s="93" t="s">
        <v>24</v>
      </c>
    </row>
    <row r="3554" spans="1:24" hidden="1" x14ac:dyDescent="0.15">
      <c r="A3554" s="93" t="s">
        <v>5446</v>
      </c>
      <c r="B3554" s="93" t="s">
        <v>5447</v>
      </c>
      <c r="C3554" s="410">
        <v>1748.25</v>
      </c>
      <c r="D3554" s="93" t="s">
        <v>24</v>
      </c>
      <c r="E3554" s="93" t="s">
        <v>24</v>
      </c>
      <c r="F3554" s="93" t="s">
        <v>7070</v>
      </c>
      <c r="G3554" s="93" t="s">
        <v>8237</v>
      </c>
      <c r="H3554" s="93" t="s">
        <v>1198</v>
      </c>
      <c r="I3554" s="93" t="s">
        <v>111</v>
      </c>
      <c r="J3554" s="93" t="s">
        <v>963</v>
      </c>
      <c r="K3554" s="93">
        <v>60</v>
      </c>
      <c r="L3554" s="93" t="s">
        <v>111</v>
      </c>
      <c r="M3554" s="93">
        <v>36</v>
      </c>
      <c r="N3554" s="93" t="s">
        <v>113</v>
      </c>
      <c r="O3554" s="93" t="s">
        <v>111</v>
      </c>
      <c r="P3554" s="93" t="s">
        <v>111</v>
      </c>
      <c r="Q3554" s="93" t="s">
        <v>111</v>
      </c>
      <c r="R3554" s="93" t="s">
        <v>117</v>
      </c>
      <c r="S3554" s="93" t="s">
        <v>20</v>
      </c>
      <c r="T3554" s="93" t="s">
        <v>1659</v>
      </c>
      <c r="U3554" s="93" t="s">
        <v>116</v>
      </c>
      <c r="V3554" s="94">
        <v>44628.542361111111</v>
      </c>
      <c r="W3554" s="93" t="s">
        <v>1207</v>
      </c>
      <c r="X3554" s="93" t="s">
        <v>24</v>
      </c>
    </row>
    <row r="3555" spans="1:24" hidden="1" x14ac:dyDescent="0.15">
      <c r="A3555" s="93" t="s">
        <v>5448</v>
      </c>
      <c r="B3555" s="93" t="s">
        <v>5449</v>
      </c>
      <c r="C3555" s="410">
        <v>2346.75</v>
      </c>
      <c r="D3555" s="93" t="s">
        <v>24</v>
      </c>
      <c r="E3555" s="93" t="s">
        <v>24</v>
      </c>
      <c r="F3555" s="93" t="s">
        <v>7070</v>
      </c>
      <c r="G3555" s="93" t="s">
        <v>8237</v>
      </c>
      <c r="H3555" s="93" t="s">
        <v>1198</v>
      </c>
      <c r="I3555" s="93" t="s">
        <v>111</v>
      </c>
      <c r="J3555" s="93" t="s">
        <v>963</v>
      </c>
      <c r="K3555" s="93">
        <v>60</v>
      </c>
      <c r="L3555" s="93" t="s">
        <v>111</v>
      </c>
      <c r="M3555" s="93">
        <v>92.3</v>
      </c>
      <c r="N3555" s="93" t="s">
        <v>113</v>
      </c>
      <c r="O3555" s="93" t="s">
        <v>111</v>
      </c>
      <c r="P3555" s="93" t="s">
        <v>111</v>
      </c>
      <c r="Q3555" s="93" t="s">
        <v>111</v>
      </c>
      <c r="R3555" s="93" t="s">
        <v>117</v>
      </c>
      <c r="S3555" s="93" t="s">
        <v>2</v>
      </c>
      <c r="T3555" s="93" t="s">
        <v>1659</v>
      </c>
      <c r="U3555" s="93" t="s">
        <v>116</v>
      </c>
      <c r="V3555" s="94">
        <v>44628.563194444447</v>
      </c>
      <c r="W3555" s="93" t="s">
        <v>1207</v>
      </c>
      <c r="X3555" s="93" t="s">
        <v>24</v>
      </c>
    </row>
    <row r="3556" spans="1:24" hidden="1" x14ac:dyDescent="0.15">
      <c r="A3556" s="93" t="s">
        <v>5450</v>
      </c>
      <c r="B3556" s="93" t="s">
        <v>5451</v>
      </c>
      <c r="C3556" s="410">
        <v>487.2</v>
      </c>
      <c r="D3556" s="93" t="s">
        <v>24</v>
      </c>
      <c r="E3556" s="93" t="s">
        <v>24</v>
      </c>
      <c r="F3556" s="93" t="s">
        <v>7070</v>
      </c>
      <c r="G3556" s="93" t="s">
        <v>8237</v>
      </c>
      <c r="H3556" s="93" t="s">
        <v>11</v>
      </c>
      <c r="I3556" s="93" t="s">
        <v>111</v>
      </c>
      <c r="J3556" s="93" t="s">
        <v>963</v>
      </c>
      <c r="K3556" s="93">
        <v>60</v>
      </c>
      <c r="L3556" s="93" t="s">
        <v>111</v>
      </c>
      <c r="M3556" s="93">
        <v>2.5</v>
      </c>
      <c r="N3556" s="93" t="s">
        <v>113</v>
      </c>
      <c r="O3556" s="93">
        <v>28</v>
      </c>
      <c r="P3556" s="93">
        <v>28</v>
      </c>
      <c r="Q3556" s="93">
        <v>18</v>
      </c>
      <c r="R3556" s="93" t="s">
        <v>4205</v>
      </c>
      <c r="S3556" s="93" t="s">
        <v>20</v>
      </c>
      <c r="T3556" s="93" t="s">
        <v>1659</v>
      </c>
      <c r="U3556" s="93" t="s">
        <v>116</v>
      </c>
      <c r="V3556" s="94">
        <v>44628.539583333331</v>
      </c>
      <c r="W3556" s="93" t="s">
        <v>1170</v>
      </c>
      <c r="X3556" s="93" t="s">
        <v>24</v>
      </c>
    </row>
    <row r="3557" spans="1:24" hidden="1" x14ac:dyDescent="0.15">
      <c r="A3557" s="93" t="s">
        <v>5452</v>
      </c>
      <c r="B3557" s="93" t="s">
        <v>5453</v>
      </c>
      <c r="C3557" s="410">
        <v>1368.15</v>
      </c>
      <c r="D3557" s="93" t="s">
        <v>24</v>
      </c>
      <c r="E3557" s="93" t="s">
        <v>24</v>
      </c>
      <c r="F3557" s="93" t="s">
        <v>7070</v>
      </c>
      <c r="G3557" s="93" t="s">
        <v>8237</v>
      </c>
      <c r="H3557" s="93" t="s">
        <v>11</v>
      </c>
      <c r="I3557" s="93" t="s">
        <v>111</v>
      </c>
      <c r="J3557" s="93" t="s">
        <v>963</v>
      </c>
      <c r="K3557" s="93">
        <v>60</v>
      </c>
      <c r="L3557" s="93" t="s">
        <v>111</v>
      </c>
      <c r="M3557" s="93">
        <v>2</v>
      </c>
      <c r="N3557" s="93" t="s">
        <v>113</v>
      </c>
      <c r="O3557" s="93">
        <v>31</v>
      </c>
      <c r="P3557" s="93">
        <v>30.8</v>
      </c>
      <c r="Q3557" s="93">
        <v>34.200000000000003</v>
      </c>
      <c r="R3557" s="93" t="s">
        <v>117</v>
      </c>
      <c r="S3557" s="93" t="s">
        <v>659</v>
      </c>
      <c r="T3557" s="93" t="s">
        <v>1659</v>
      </c>
      <c r="U3557" s="93" t="s">
        <v>116</v>
      </c>
      <c r="V3557" s="94">
        <v>44628.476388888892</v>
      </c>
      <c r="W3557" s="93" t="s">
        <v>1170</v>
      </c>
      <c r="X3557" s="93" t="s">
        <v>24</v>
      </c>
    </row>
    <row r="3558" spans="1:24" hidden="1" x14ac:dyDescent="0.15">
      <c r="A3558" s="93" t="s">
        <v>5454</v>
      </c>
      <c r="B3558" s="93" t="s">
        <v>5455</v>
      </c>
      <c r="C3558" s="410">
        <v>1368.15</v>
      </c>
      <c r="D3558" s="93" t="s">
        <v>24</v>
      </c>
      <c r="E3558" s="93" t="s">
        <v>24</v>
      </c>
      <c r="F3558" s="93" t="s">
        <v>7070</v>
      </c>
      <c r="G3558" s="93" t="s">
        <v>8237</v>
      </c>
      <c r="H3558" s="93" t="s">
        <v>11</v>
      </c>
      <c r="I3558" s="93" t="s">
        <v>111</v>
      </c>
      <c r="J3558" s="93" t="s">
        <v>963</v>
      </c>
      <c r="K3558" s="93">
        <v>60</v>
      </c>
      <c r="L3558" s="93" t="s">
        <v>111</v>
      </c>
      <c r="M3558" s="93">
        <v>2</v>
      </c>
      <c r="N3558" s="93" t="s">
        <v>113</v>
      </c>
      <c r="O3558" s="93">
        <v>31</v>
      </c>
      <c r="P3558" s="93">
        <v>30.8</v>
      </c>
      <c r="Q3558" s="93">
        <v>34.200000000000003</v>
      </c>
      <c r="R3558" s="93" t="s">
        <v>117</v>
      </c>
      <c r="S3558" s="93" t="s">
        <v>659</v>
      </c>
      <c r="T3558" s="93" t="s">
        <v>1659</v>
      </c>
      <c r="U3558" s="93" t="s">
        <v>116</v>
      </c>
      <c r="V3558" s="94">
        <v>44628.584722222222</v>
      </c>
      <c r="W3558" s="93" t="s">
        <v>1170</v>
      </c>
      <c r="X3558" s="93" t="s">
        <v>24</v>
      </c>
    </row>
    <row r="3559" spans="1:24" hidden="1" x14ac:dyDescent="0.15">
      <c r="A3559" s="93" t="s">
        <v>5456</v>
      </c>
      <c r="B3559" s="93" t="s">
        <v>5457</v>
      </c>
      <c r="C3559" s="410">
        <v>472.5</v>
      </c>
      <c r="D3559" s="93" t="s">
        <v>24</v>
      </c>
      <c r="E3559" s="93" t="s">
        <v>24</v>
      </c>
      <c r="F3559" s="93" t="s">
        <v>7070</v>
      </c>
      <c r="G3559" s="93" t="s">
        <v>8237</v>
      </c>
      <c r="H3559" s="93" t="s">
        <v>11</v>
      </c>
      <c r="I3559" s="93" t="s">
        <v>111</v>
      </c>
      <c r="J3559" s="93" t="s">
        <v>963</v>
      </c>
      <c r="K3559" s="93">
        <v>60</v>
      </c>
      <c r="L3559" s="93" t="s">
        <v>111</v>
      </c>
      <c r="M3559" s="93">
        <v>3</v>
      </c>
      <c r="N3559" s="93" t="s">
        <v>113</v>
      </c>
      <c r="O3559" s="93">
        <v>18</v>
      </c>
      <c r="P3559" s="93">
        <v>29</v>
      </c>
      <c r="Q3559" s="93">
        <v>30</v>
      </c>
      <c r="R3559" s="93" t="s">
        <v>117</v>
      </c>
      <c r="S3559" s="93" t="s">
        <v>659</v>
      </c>
      <c r="T3559" s="93" t="s">
        <v>1659</v>
      </c>
      <c r="U3559" s="93" t="s">
        <v>116</v>
      </c>
      <c r="V3559" s="94">
        <v>44628.49722222222</v>
      </c>
      <c r="W3559" s="93" t="s">
        <v>1170</v>
      </c>
      <c r="X3559" s="93" t="s">
        <v>24</v>
      </c>
    </row>
    <row r="3560" spans="1:24" hidden="1" x14ac:dyDescent="0.15">
      <c r="A3560" s="93" t="s">
        <v>5458</v>
      </c>
      <c r="B3560" s="93" t="s">
        <v>5459</v>
      </c>
      <c r="C3560" s="410">
        <v>803.25</v>
      </c>
      <c r="D3560" s="93" t="s">
        <v>24</v>
      </c>
      <c r="E3560" s="93" t="s">
        <v>24</v>
      </c>
      <c r="F3560" s="93" t="s">
        <v>7070</v>
      </c>
      <c r="G3560" s="93" t="s">
        <v>8237</v>
      </c>
      <c r="H3560" s="93" t="s">
        <v>11</v>
      </c>
      <c r="I3560" s="93" t="s">
        <v>111</v>
      </c>
      <c r="J3560" s="93" t="s">
        <v>963</v>
      </c>
      <c r="K3560" s="93">
        <v>60</v>
      </c>
      <c r="L3560" s="93" t="s">
        <v>111</v>
      </c>
      <c r="M3560" s="93">
        <v>2.5</v>
      </c>
      <c r="N3560" s="93" t="s">
        <v>113</v>
      </c>
      <c r="O3560" s="93">
        <v>18</v>
      </c>
      <c r="P3560" s="93">
        <v>29</v>
      </c>
      <c r="Q3560" s="93">
        <v>30</v>
      </c>
      <c r="R3560" s="93" t="s">
        <v>117</v>
      </c>
      <c r="S3560" s="93" t="s">
        <v>659</v>
      </c>
      <c r="T3560" s="93" t="s">
        <v>1659</v>
      </c>
      <c r="U3560" s="93" t="s">
        <v>116</v>
      </c>
      <c r="V3560" s="94">
        <v>44628.584722222222</v>
      </c>
      <c r="W3560" s="93" t="s">
        <v>1170</v>
      </c>
      <c r="X3560" s="93" t="s">
        <v>24</v>
      </c>
    </row>
    <row r="3561" spans="1:24" hidden="1" x14ac:dyDescent="0.15">
      <c r="A3561" s="93" t="s">
        <v>5460</v>
      </c>
      <c r="B3561" s="93" t="s">
        <v>5461</v>
      </c>
      <c r="C3561" s="410">
        <v>1129.8</v>
      </c>
      <c r="D3561" s="93" t="s">
        <v>24</v>
      </c>
      <c r="E3561" s="93" t="s">
        <v>24</v>
      </c>
      <c r="F3561" s="93" t="s">
        <v>7070</v>
      </c>
      <c r="G3561" s="93" t="s">
        <v>8237</v>
      </c>
      <c r="H3561" s="93" t="s">
        <v>11</v>
      </c>
      <c r="I3561" s="93" t="s">
        <v>111</v>
      </c>
      <c r="J3561" s="93" t="s">
        <v>963</v>
      </c>
      <c r="K3561" s="93">
        <v>60</v>
      </c>
      <c r="L3561" s="93" t="s">
        <v>111</v>
      </c>
      <c r="M3561" s="93">
        <v>4</v>
      </c>
      <c r="N3561" s="93" t="s">
        <v>113</v>
      </c>
      <c r="O3561" s="93">
        <v>27</v>
      </c>
      <c r="P3561" s="93">
        <v>17</v>
      </c>
      <c r="Q3561" s="93">
        <v>32</v>
      </c>
      <c r="R3561" s="93" t="s">
        <v>117</v>
      </c>
      <c r="S3561" s="93" t="s">
        <v>659</v>
      </c>
      <c r="T3561" s="93" t="s">
        <v>1659</v>
      </c>
      <c r="U3561" s="93" t="s">
        <v>119</v>
      </c>
      <c r="V3561" s="94">
        <v>44628.476388888892</v>
      </c>
      <c r="W3561" s="93" t="s">
        <v>1170</v>
      </c>
      <c r="X3561" s="93" t="s">
        <v>24</v>
      </c>
    </row>
    <row r="3562" spans="1:24" hidden="1" x14ac:dyDescent="0.15">
      <c r="A3562" s="93" t="s">
        <v>5462</v>
      </c>
      <c r="B3562" s="93" t="s">
        <v>5463</v>
      </c>
      <c r="C3562" s="410">
        <v>116.55</v>
      </c>
      <c r="D3562" s="93" t="s">
        <v>24</v>
      </c>
      <c r="E3562" s="93" t="s">
        <v>24</v>
      </c>
      <c r="F3562" s="93" t="s">
        <v>7070</v>
      </c>
      <c r="G3562" s="93" t="s">
        <v>8237</v>
      </c>
      <c r="H3562" s="93" t="s">
        <v>11</v>
      </c>
      <c r="I3562" s="93" t="s">
        <v>111</v>
      </c>
      <c r="J3562" s="93" t="s">
        <v>963</v>
      </c>
      <c r="K3562" s="93">
        <v>60</v>
      </c>
      <c r="L3562" s="93" t="s">
        <v>111</v>
      </c>
      <c r="M3562" s="93">
        <v>2.5</v>
      </c>
      <c r="N3562" s="93" t="s">
        <v>113</v>
      </c>
      <c r="O3562" s="93">
        <v>18</v>
      </c>
      <c r="P3562" s="93">
        <v>28</v>
      </c>
      <c r="Q3562" s="93">
        <v>28</v>
      </c>
      <c r="R3562" s="93" t="s">
        <v>117</v>
      </c>
      <c r="S3562" s="93" t="s">
        <v>659</v>
      </c>
      <c r="T3562" s="93" t="s">
        <v>1659</v>
      </c>
      <c r="U3562" s="93" t="s">
        <v>116</v>
      </c>
      <c r="V3562" s="94">
        <v>44628.64166666667</v>
      </c>
      <c r="W3562" s="93" t="s">
        <v>1170</v>
      </c>
      <c r="X3562" s="93" t="s">
        <v>24</v>
      </c>
    </row>
    <row r="3563" spans="1:24" hidden="1" x14ac:dyDescent="0.15">
      <c r="A3563" s="93" t="s">
        <v>9489</v>
      </c>
      <c r="B3563" s="93" t="s">
        <v>9490</v>
      </c>
      <c r="C3563" s="410">
        <v>892.5</v>
      </c>
      <c r="D3563" s="93" t="s">
        <v>9</v>
      </c>
      <c r="E3563" s="93" t="s">
        <v>24</v>
      </c>
      <c r="F3563" s="93" t="s">
        <v>1648</v>
      </c>
      <c r="G3563" s="93" t="s">
        <v>8237</v>
      </c>
      <c r="H3563" s="93" t="s">
        <v>11</v>
      </c>
      <c r="I3563" s="93" t="s">
        <v>111</v>
      </c>
      <c r="J3563" s="93" t="s">
        <v>963</v>
      </c>
      <c r="K3563" s="93">
        <v>60</v>
      </c>
      <c r="L3563" s="93" t="s">
        <v>111</v>
      </c>
      <c r="M3563" s="93">
        <v>2.5</v>
      </c>
      <c r="N3563" s="93" t="s">
        <v>113</v>
      </c>
      <c r="O3563" s="93">
        <v>29</v>
      </c>
      <c r="P3563" s="93">
        <v>27</v>
      </c>
      <c r="Q3563" s="93">
        <v>18</v>
      </c>
      <c r="R3563" s="93" t="s">
        <v>117</v>
      </c>
      <c r="S3563" s="93" t="s">
        <v>659</v>
      </c>
      <c r="T3563" s="93" t="s">
        <v>1659</v>
      </c>
      <c r="U3563" s="93" t="s">
        <v>116</v>
      </c>
      <c r="V3563" s="94">
        <v>44628.583333333336</v>
      </c>
      <c r="W3563" s="93" t="s">
        <v>1170</v>
      </c>
      <c r="X3563" s="93" t="s">
        <v>24</v>
      </c>
    </row>
    <row r="3564" spans="1:24" hidden="1" x14ac:dyDescent="0.15">
      <c r="A3564" s="93" t="s">
        <v>5464</v>
      </c>
      <c r="B3564" s="93" t="s">
        <v>5465</v>
      </c>
      <c r="C3564" s="410">
        <v>371.7</v>
      </c>
      <c r="D3564" s="93" t="s">
        <v>24</v>
      </c>
      <c r="E3564" s="93" t="s">
        <v>24</v>
      </c>
      <c r="F3564" s="93" t="s">
        <v>7070</v>
      </c>
      <c r="G3564" s="93" t="s">
        <v>8237</v>
      </c>
      <c r="H3564" s="93" t="s">
        <v>11</v>
      </c>
      <c r="I3564" s="93" t="s">
        <v>111</v>
      </c>
      <c r="J3564" s="93" t="s">
        <v>963</v>
      </c>
      <c r="K3564" s="93">
        <v>60</v>
      </c>
      <c r="L3564" s="93" t="s">
        <v>111</v>
      </c>
      <c r="M3564" s="93">
        <v>2.5</v>
      </c>
      <c r="N3564" s="93" t="s">
        <v>113</v>
      </c>
      <c r="O3564" s="93">
        <v>18</v>
      </c>
      <c r="P3564" s="93">
        <v>28</v>
      </c>
      <c r="Q3564" s="93">
        <v>28</v>
      </c>
      <c r="R3564" s="93" t="s">
        <v>117</v>
      </c>
      <c r="S3564" s="93" t="s">
        <v>659</v>
      </c>
      <c r="T3564" s="93" t="s">
        <v>1659</v>
      </c>
      <c r="U3564" s="93" t="s">
        <v>116</v>
      </c>
      <c r="V3564" s="94">
        <v>44628.540277777778</v>
      </c>
      <c r="W3564" s="93" t="s">
        <v>1170</v>
      </c>
      <c r="X3564" s="93" t="s">
        <v>24</v>
      </c>
    </row>
    <row r="3565" spans="1:24" hidden="1" x14ac:dyDescent="0.15">
      <c r="A3565" s="93" t="s">
        <v>5466</v>
      </c>
      <c r="B3565" s="93" t="s">
        <v>5467</v>
      </c>
      <c r="C3565" s="410">
        <v>478.8</v>
      </c>
      <c r="D3565" s="93" t="s">
        <v>24</v>
      </c>
      <c r="E3565" s="93" t="s">
        <v>24</v>
      </c>
      <c r="F3565" s="93" t="s">
        <v>7070</v>
      </c>
      <c r="G3565" s="93" t="s">
        <v>8237</v>
      </c>
      <c r="H3565" s="93" t="s">
        <v>1198</v>
      </c>
      <c r="I3565" s="93" t="s">
        <v>111</v>
      </c>
      <c r="J3565" s="93" t="s">
        <v>963</v>
      </c>
      <c r="K3565" s="93">
        <v>60</v>
      </c>
      <c r="L3565" s="93" t="s">
        <v>111</v>
      </c>
      <c r="M3565" s="93">
        <v>8.9499999999999993</v>
      </c>
      <c r="N3565" s="93" t="s">
        <v>113</v>
      </c>
      <c r="O3565" s="93">
        <v>33</v>
      </c>
      <c r="P3565" s="93">
        <v>46</v>
      </c>
      <c r="Q3565" s="93">
        <v>64</v>
      </c>
      <c r="R3565" s="93" t="s">
        <v>117</v>
      </c>
      <c r="S3565" s="93" t="s">
        <v>18</v>
      </c>
      <c r="T3565" s="93" t="s">
        <v>1659</v>
      </c>
      <c r="U3565" s="93" t="s">
        <v>116</v>
      </c>
      <c r="V3565" s="94">
        <v>44628.5625</v>
      </c>
      <c r="W3565" s="93" t="s">
        <v>1170</v>
      </c>
      <c r="X3565" s="93" t="s">
        <v>24</v>
      </c>
    </row>
    <row r="3566" spans="1:24" hidden="1" x14ac:dyDescent="0.15">
      <c r="A3566" s="93" t="s">
        <v>5468</v>
      </c>
      <c r="B3566" s="93" t="s">
        <v>5469</v>
      </c>
      <c r="C3566" s="410">
        <v>603.75</v>
      </c>
      <c r="D3566" s="93" t="s">
        <v>24</v>
      </c>
      <c r="E3566" s="93" t="s">
        <v>24</v>
      </c>
      <c r="F3566" s="93" t="s">
        <v>7070</v>
      </c>
      <c r="G3566" s="93" t="s">
        <v>8237</v>
      </c>
      <c r="H3566" s="93" t="s">
        <v>1198</v>
      </c>
      <c r="I3566" s="93" t="s">
        <v>111</v>
      </c>
      <c r="J3566" s="93" t="s">
        <v>963</v>
      </c>
      <c r="K3566" s="93">
        <v>60</v>
      </c>
      <c r="L3566" s="93" t="s">
        <v>111</v>
      </c>
      <c r="M3566" s="93">
        <v>19.420000000000002</v>
      </c>
      <c r="N3566" s="93" t="s">
        <v>113</v>
      </c>
      <c r="O3566" s="93">
        <v>70</v>
      </c>
      <c r="P3566" s="93">
        <v>70</v>
      </c>
      <c r="Q3566" s="93">
        <v>56</v>
      </c>
      <c r="R3566" s="93" t="s">
        <v>117</v>
      </c>
      <c r="S3566" s="93" t="s">
        <v>18</v>
      </c>
      <c r="T3566" s="93" t="s">
        <v>1659</v>
      </c>
      <c r="U3566" s="93" t="s">
        <v>116</v>
      </c>
      <c r="V3566" s="94">
        <v>44628.606249999997</v>
      </c>
      <c r="W3566" s="93" t="s">
        <v>1170</v>
      </c>
      <c r="X3566" s="93" t="s">
        <v>24</v>
      </c>
    </row>
    <row r="3567" spans="1:24" hidden="1" x14ac:dyDescent="0.15">
      <c r="A3567" s="93" t="s">
        <v>5470</v>
      </c>
      <c r="B3567" s="93" t="s">
        <v>5471</v>
      </c>
      <c r="C3567" s="410">
        <v>693</v>
      </c>
      <c r="D3567" s="93" t="s">
        <v>24</v>
      </c>
      <c r="E3567" s="93" t="s">
        <v>24</v>
      </c>
      <c r="F3567" s="93" t="s">
        <v>7070</v>
      </c>
      <c r="G3567" s="93" t="s">
        <v>8237</v>
      </c>
      <c r="H3567" s="93" t="s">
        <v>1198</v>
      </c>
      <c r="I3567" s="93" t="s">
        <v>111</v>
      </c>
      <c r="J3567" s="93" t="s">
        <v>963</v>
      </c>
      <c r="K3567" s="93">
        <v>60</v>
      </c>
      <c r="L3567" s="93" t="s">
        <v>111</v>
      </c>
      <c r="M3567" s="93">
        <v>10.8</v>
      </c>
      <c r="N3567" s="93" t="s">
        <v>113</v>
      </c>
      <c r="O3567" s="93" t="s">
        <v>111</v>
      </c>
      <c r="P3567" s="93" t="s">
        <v>111</v>
      </c>
      <c r="Q3567" s="93" t="s">
        <v>111</v>
      </c>
      <c r="R3567" s="93" t="s">
        <v>117</v>
      </c>
      <c r="S3567" s="93" t="s">
        <v>20</v>
      </c>
      <c r="T3567" s="93" t="s">
        <v>1659</v>
      </c>
      <c r="U3567" s="93" t="s">
        <v>116</v>
      </c>
      <c r="V3567" s="94">
        <v>44628.563194444447</v>
      </c>
      <c r="W3567" s="93" t="s">
        <v>1207</v>
      </c>
      <c r="X3567" s="93" t="s">
        <v>24</v>
      </c>
    </row>
    <row r="3568" spans="1:24" hidden="1" x14ac:dyDescent="0.15">
      <c r="A3568" s="93" t="s">
        <v>5472</v>
      </c>
      <c r="B3568" s="93" t="s">
        <v>5473</v>
      </c>
      <c r="C3568" s="410">
        <v>487.2</v>
      </c>
      <c r="D3568" s="93" t="s">
        <v>24</v>
      </c>
      <c r="E3568" s="93" t="s">
        <v>24</v>
      </c>
      <c r="F3568" s="93" t="s">
        <v>7070</v>
      </c>
      <c r="G3568" s="93" t="s">
        <v>8237</v>
      </c>
      <c r="H3568" s="93" t="s">
        <v>11</v>
      </c>
      <c r="I3568" s="93" t="s">
        <v>111</v>
      </c>
      <c r="J3568" s="93" t="s">
        <v>963</v>
      </c>
      <c r="K3568" s="93">
        <v>60</v>
      </c>
      <c r="L3568" s="93" t="s">
        <v>111</v>
      </c>
      <c r="M3568" s="93">
        <v>2.5</v>
      </c>
      <c r="N3568" s="93" t="s">
        <v>113</v>
      </c>
      <c r="O3568" s="93">
        <v>28</v>
      </c>
      <c r="P3568" s="93">
        <v>28</v>
      </c>
      <c r="Q3568" s="93">
        <v>18</v>
      </c>
      <c r="R3568" s="93" t="s">
        <v>4205</v>
      </c>
      <c r="S3568" s="93" t="s">
        <v>20</v>
      </c>
      <c r="T3568" s="93" t="s">
        <v>1659</v>
      </c>
      <c r="U3568" s="93" t="s">
        <v>116</v>
      </c>
      <c r="V3568" s="94">
        <v>44628.517361111109</v>
      </c>
      <c r="W3568" s="93" t="s">
        <v>1170</v>
      </c>
      <c r="X3568" s="93" t="s">
        <v>24</v>
      </c>
    </row>
    <row r="3569" spans="1:24" hidden="1" x14ac:dyDescent="0.15">
      <c r="A3569" s="93" t="s">
        <v>5474</v>
      </c>
      <c r="B3569" s="93" t="s">
        <v>5475</v>
      </c>
      <c r="C3569" s="410">
        <v>1368.15</v>
      </c>
      <c r="D3569" s="93" t="s">
        <v>24</v>
      </c>
      <c r="E3569" s="93" t="s">
        <v>24</v>
      </c>
      <c r="F3569" s="93" t="s">
        <v>7070</v>
      </c>
      <c r="G3569" s="93" t="s">
        <v>8237</v>
      </c>
      <c r="H3569" s="93" t="s">
        <v>11</v>
      </c>
      <c r="I3569" s="93" t="s">
        <v>111</v>
      </c>
      <c r="J3569" s="93" t="s">
        <v>963</v>
      </c>
      <c r="K3569" s="93">
        <v>60</v>
      </c>
      <c r="L3569" s="93" t="s">
        <v>111</v>
      </c>
      <c r="M3569" s="93">
        <v>4.5</v>
      </c>
      <c r="N3569" s="93" t="s">
        <v>113</v>
      </c>
      <c r="O3569" s="93" t="s">
        <v>111</v>
      </c>
      <c r="P3569" s="93" t="s">
        <v>111</v>
      </c>
      <c r="Q3569" s="93" t="s">
        <v>111</v>
      </c>
      <c r="R3569" s="93" t="s">
        <v>117</v>
      </c>
      <c r="S3569" s="93" t="s">
        <v>659</v>
      </c>
      <c r="T3569" s="93" t="s">
        <v>1659</v>
      </c>
      <c r="U3569" s="93" t="s">
        <v>116</v>
      </c>
      <c r="V3569" s="94">
        <v>44628.541666666664</v>
      </c>
      <c r="W3569" s="93" t="s">
        <v>1170</v>
      </c>
      <c r="X3569" s="93" t="s">
        <v>24</v>
      </c>
    </row>
    <row r="3570" spans="1:24" hidden="1" x14ac:dyDescent="0.15">
      <c r="A3570" s="93" t="s">
        <v>5476</v>
      </c>
      <c r="B3570" s="93" t="s">
        <v>5477</v>
      </c>
      <c r="C3570" s="410">
        <v>1368.15</v>
      </c>
      <c r="D3570" s="93" t="s">
        <v>24</v>
      </c>
      <c r="E3570" s="93" t="s">
        <v>24</v>
      </c>
      <c r="F3570" s="93" t="s">
        <v>7070</v>
      </c>
      <c r="G3570" s="93" t="s">
        <v>8237</v>
      </c>
      <c r="H3570" s="93" t="s">
        <v>11</v>
      </c>
      <c r="I3570" s="93" t="s">
        <v>111</v>
      </c>
      <c r="J3570" s="93" t="s">
        <v>963</v>
      </c>
      <c r="K3570" s="93">
        <v>60</v>
      </c>
      <c r="L3570" s="93" t="s">
        <v>111</v>
      </c>
      <c r="M3570" s="93">
        <v>2</v>
      </c>
      <c r="N3570" s="93" t="s">
        <v>113</v>
      </c>
      <c r="O3570" s="93" t="s">
        <v>111</v>
      </c>
      <c r="P3570" s="93" t="s">
        <v>111</v>
      </c>
      <c r="Q3570" s="93" t="s">
        <v>111</v>
      </c>
      <c r="R3570" s="93" t="s">
        <v>117</v>
      </c>
      <c r="S3570" s="93" t="s">
        <v>659</v>
      </c>
      <c r="T3570" s="93" t="s">
        <v>1659</v>
      </c>
      <c r="U3570" s="93" t="s">
        <v>116</v>
      </c>
      <c r="V3570" s="94">
        <v>44628.519444444442</v>
      </c>
      <c r="W3570" s="93" t="s">
        <v>1170</v>
      </c>
      <c r="X3570" s="93" t="s">
        <v>24</v>
      </c>
    </row>
    <row r="3571" spans="1:24" hidden="1" x14ac:dyDescent="0.15">
      <c r="A3571" s="93" t="s">
        <v>5478</v>
      </c>
      <c r="B3571" s="93" t="s">
        <v>5479</v>
      </c>
      <c r="C3571" s="410">
        <v>472.5</v>
      </c>
      <c r="D3571" s="93" t="s">
        <v>24</v>
      </c>
      <c r="E3571" s="93" t="s">
        <v>24</v>
      </c>
      <c r="F3571" s="93" t="s">
        <v>7070</v>
      </c>
      <c r="G3571" s="93" t="s">
        <v>8237</v>
      </c>
      <c r="H3571" s="93" t="s">
        <v>11</v>
      </c>
      <c r="I3571" s="93" t="s">
        <v>111</v>
      </c>
      <c r="J3571" s="93" t="s">
        <v>963</v>
      </c>
      <c r="K3571" s="93">
        <v>60</v>
      </c>
      <c r="L3571" s="93" t="s">
        <v>111</v>
      </c>
      <c r="M3571" s="93">
        <v>2.5</v>
      </c>
      <c r="N3571" s="93" t="s">
        <v>113</v>
      </c>
      <c r="O3571" s="93" t="s">
        <v>111</v>
      </c>
      <c r="P3571" s="93" t="s">
        <v>111</v>
      </c>
      <c r="Q3571" s="93" t="s">
        <v>111</v>
      </c>
      <c r="R3571" s="93" t="s">
        <v>117</v>
      </c>
      <c r="S3571" s="93" t="s">
        <v>659</v>
      </c>
      <c r="T3571" s="93" t="s">
        <v>1659</v>
      </c>
      <c r="U3571" s="93" t="s">
        <v>116</v>
      </c>
      <c r="V3571" s="94">
        <v>44628.476388888892</v>
      </c>
      <c r="W3571" s="93" t="s">
        <v>1170</v>
      </c>
      <c r="X3571" s="93" t="s">
        <v>24</v>
      </c>
    </row>
    <row r="3572" spans="1:24" hidden="1" x14ac:dyDescent="0.15">
      <c r="A3572" s="93" t="s">
        <v>5480</v>
      </c>
      <c r="B3572" s="93" t="s">
        <v>5481</v>
      </c>
      <c r="C3572" s="410">
        <v>803.25</v>
      </c>
      <c r="D3572" s="93" t="s">
        <v>24</v>
      </c>
      <c r="E3572" s="93" t="s">
        <v>24</v>
      </c>
      <c r="F3572" s="93" t="s">
        <v>7070</v>
      </c>
      <c r="G3572" s="93" t="s">
        <v>8237</v>
      </c>
      <c r="H3572" s="93" t="s">
        <v>11</v>
      </c>
      <c r="I3572" s="93" t="s">
        <v>111</v>
      </c>
      <c r="J3572" s="93" t="s">
        <v>963</v>
      </c>
      <c r="K3572" s="93">
        <v>60</v>
      </c>
      <c r="L3572" s="93" t="s">
        <v>111</v>
      </c>
      <c r="M3572" s="93">
        <v>2.5</v>
      </c>
      <c r="N3572" s="93" t="s">
        <v>113</v>
      </c>
      <c r="O3572" s="93">
        <v>18</v>
      </c>
      <c r="P3572" s="93">
        <v>29</v>
      </c>
      <c r="Q3572" s="93">
        <v>30</v>
      </c>
      <c r="R3572" s="93" t="s">
        <v>117</v>
      </c>
      <c r="S3572" s="93" t="s">
        <v>659</v>
      </c>
      <c r="T3572" s="93" t="s">
        <v>1659</v>
      </c>
      <c r="U3572" s="93" t="s">
        <v>116</v>
      </c>
      <c r="V3572" s="94">
        <v>44628.541666666664</v>
      </c>
      <c r="W3572" s="93" t="s">
        <v>1170</v>
      </c>
      <c r="X3572" s="93" t="s">
        <v>24</v>
      </c>
    </row>
    <row r="3573" spans="1:24" hidden="1" x14ac:dyDescent="0.15">
      <c r="A3573" s="93" t="s">
        <v>5482</v>
      </c>
      <c r="B3573" s="93" t="s">
        <v>5483</v>
      </c>
      <c r="C3573" s="410">
        <v>93.45</v>
      </c>
      <c r="D3573" s="93" t="s">
        <v>24</v>
      </c>
      <c r="E3573" s="93" t="s">
        <v>24</v>
      </c>
      <c r="F3573" s="93" t="s">
        <v>7070</v>
      </c>
      <c r="G3573" s="93" t="s">
        <v>8237</v>
      </c>
      <c r="H3573" s="93" t="s">
        <v>11</v>
      </c>
      <c r="I3573" s="93" t="s">
        <v>111</v>
      </c>
      <c r="J3573" s="93" t="s">
        <v>963</v>
      </c>
      <c r="K3573" s="93">
        <v>60</v>
      </c>
      <c r="L3573" s="93" t="s">
        <v>111</v>
      </c>
      <c r="M3573" s="93">
        <v>0.1</v>
      </c>
      <c r="N3573" s="93" t="s">
        <v>113</v>
      </c>
      <c r="O3573" s="93">
        <v>4</v>
      </c>
      <c r="P3573" s="93">
        <v>10</v>
      </c>
      <c r="Q3573" s="93">
        <v>12.5</v>
      </c>
      <c r="R3573" s="93" t="s">
        <v>4205</v>
      </c>
      <c r="S3573" s="93" t="s">
        <v>659</v>
      </c>
      <c r="T3573" s="93" t="s">
        <v>1659</v>
      </c>
      <c r="U3573" s="93" t="s">
        <v>116</v>
      </c>
      <c r="V3573" s="94">
        <v>44628.584722222222</v>
      </c>
      <c r="W3573" s="93" t="s">
        <v>1170</v>
      </c>
      <c r="X3573" s="93" t="s">
        <v>24</v>
      </c>
    </row>
    <row r="3574" spans="1:24" hidden="1" x14ac:dyDescent="0.15">
      <c r="A3574" s="93" t="s">
        <v>5484</v>
      </c>
      <c r="B3574" s="93" t="s">
        <v>5485</v>
      </c>
      <c r="C3574" s="410">
        <v>571.20000000000005</v>
      </c>
      <c r="D3574" s="93" t="s">
        <v>24</v>
      </c>
      <c r="E3574" s="93" t="s">
        <v>24</v>
      </c>
      <c r="F3574" s="93" t="s">
        <v>7070</v>
      </c>
      <c r="G3574" s="93" t="s">
        <v>8237</v>
      </c>
      <c r="H3574" s="93" t="s">
        <v>11</v>
      </c>
      <c r="I3574" s="93" t="s">
        <v>111</v>
      </c>
      <c r="J3574" s="93" t="s">
        <v>963</v>
      </c>
      <c r="K3574" s="93">
        <v>60</v>
      </c>
      <c r="L3574" s="93" t="s">
        <v>111</v>
      </c>
      <c r="M3574" s="93">
        <v>2.8</v>
      </c>
      <c r="N3574" s="93" t="s">
        <v>113</v>
      </c>
      <c r="O3574" s="93">
        <v>18</v>
      </c>
      <c r="P3574" s="93">
        <v>29</v>
      </c>
      <c r="Q3574" s="93">
        <v>29</v>
      </c>
      <c r="R3574" s="93" t="s">
        <v>117</v>
      </c>
      <c r="S3574" s="93" t="s">
        <v>659</v>
      </c>
      <c r="T3574" s="93" t="s">
        <v>1659</v>
      </c>
      <c r="U3574" s="93" t="s">
        <v>116</v>
      </c>
      <c r="V3574" s="94">
        <v>44628.584722222222</v>
      </c>
      <c r="W3574" s="93" t="s">
        <v>1170</v>
      </c>
      <c r="X3574" s="93" t="s">
        <v>24</v>
      </c>
    </row>
    <row r="3575" spans="1:24" hidden="1" x14ac:dyDescent="0.15">
      <c r="A3575" s="93" t="s">
        <v>5486</v>
      </c>
      <c r="B3575" s="93" t="s">
        <v>5487</v>
      </c>
      <c r="C3575" s="410">
        <v>1129.8</v>
      </c>
      <c r="D3575" s="93" t="s">
        <v>24</v>
      </c>
      <c r="E3575" s="93" t="s">
        <v>24</v>
      </c>
      <c r="F3575" s="93" t="s">
        <v>7070</v>
      </c>
      <c r="G3575" s="93" t="s">
        <v>8237</v>
      </c>
      <c r="H3575" s="93" t="s">
        <v>11</v>
      </c>
      <c r="I3575" s="93" t="s">
        <v>111</v>
      </c>
      <c r="J3575" s="93" t="s">
        <v>963</v>
      </c>
      <c r="K3575" s="93">
        <v>60</v>
      </c>
      <c r="L3575" s="93" t="s">
        <v>111</v>
      </c>
      <c r="M3575" s="93">
        <v>4</v>
      </c>
      <c r="N3575" s="93" t="s">
        <v>113</v>
      </c>
      <c r="O3575" s="93">
        <v>27</v>
      </c>
      <c r="P3575" s="93">
        <v>17</v>
      </c>
      <c r="Q3575" s="93">
        <v>32</v>
      </c>
      <c r="R3575" s="93" t="s">
        <v>117</v>
      </c>
      <c r="S3575" s="93" t="s">
        <v>659</v>
      </c>
      <c r="T3575" s="93" t="s">
        <v>1659</v>
      </c>
      <c r="U3575" s="93" t="s">
        <v>116</v>
      </c>
      <c r="V3575" s="94">
        <v>44628.519444444442</v>
      </c>
      <c r="W3575" s="93" t="s">
        <v>1170</v>
      </c>
      <c r="X3575" s="93" t="s">
        <v>24</v>
      </c>
    </row>
    <row r="3576" spans="1:24" hidden="1" x14ac:dyDescent="0.15">
      <c r="A3576" s="93" t="s">
        <v>5488</v>
      </c>
      <c r="B3576" s="93" t="s">
        <v>5489</v>
      </c>
      <c r="C3576" s="410">
        <v>116.55</v>
      </c>
      <c r="D3576" s="93" t="s">
        <v>24</v>
      </c>
      <c r="E3576" s="93" t="s">
        <v>24</v>
      </c>
      <c r="F3576" s="93" t="s">
        <v>7070</v>
      </c>
      <c r="G3576" s="93" t="s">
        <v>8237</v>
      </c>
      <c r="H3576" s="93" t="s">
        <v>11</v>
      </c>
      <c r="I3576" s="93" t="s">
        <v>111</v>
      </c>
      <c r="J3576" s="93" t="s">
        <v>963</v>
      </c>
      <c r="K3576" s="93">
        <v>60</v>
      </c>
      <c r="L3576" s="93" t="s">
        <v>111</v>
      </c>
      <c r="M3576" s="93">
        <v>2.5</v>
      </c>
      <c r="N3576" s="93" t="s">
        <v>113</v>
      </c>
      <c r="O3576" s="93">
        <v>18</v>
      </c>
      <c r="P3576" s="93">
        <v>28</v>
      </c>
      <c r="Q3576" s="93">
        <v>28</v>
      </c>
      <c r="R3576" s="93" t="s">
        <v>117</v>
      </c>
      <c r="S3576" s="93" t="s">
        <v>659</v>
      </c>
      <c r="T3576" s="93" t="s">
        <v>1659</v>
      </c>
      <c r="U3576" s="93" t="s">
        <v>116</v>
      </c>
      <c r="V3576" s="94">
        <v>44628.49722222222</v>
      </c>
      <c r="W3576" s="93" t="s">
        <v>1170</v>
      </c>
      <c r="X3576" s="93" t="s">
        <v>24</v>
      </c>
    </row>
    <row r="3577" spans="1:24" hidden="1" x14ac:dyDescent="0.15">
      <c r="A3577" s="93" t="s">
        <v>9491</v>
      </c>
      <c r="B3577" s="93" t="s">
        <v>9492</v>
      </c>
      <c r="C3577" s="410">
        <v>945</v>
      </c>
      <c r="D3577" s="93" t="s">
        <v>9</v>
      </c>
      <c r="E3577" s="93" t="s">
        <v>24</v>
      </c>
      <c r="F3577" s="93" t="s">
        <v>1648</v>
      </c>
      <c r="G3577" s="93" t="s">
        <v>8237</v>
      </c>
      <c r="H3577" s="93" t="s">
        <v>11</v>
      </c>
      <c r="I3577" s="93" t="s">
        <v>111</v>
      </c>
      <c r="J3577" s="93" t="s">
        <v>963</v>
      </c>
      <c r="K3577" s="93">
        <v>60</v>
      </c>
      <c r="L3577" s="93" t="s">
        <v>111</v>
      </c>
      <c r="M3577" s="93" t="s">
        <v>111</v>
      </c>
      <c r="N3577" s="93" t="s">
        <v>111</v>
      </c>
      <c r="O3577" s="93" t="s">
        <v>111</v>
      </c>
      <c r="P3577" s="93" t="s">
        <v>111</v>
      </c>
      <c r="Q3577" s="93" t="s">
        <v>111</v>
      </c>
      <c r="R3577" s="93" t="s">
        <v>117</v>
      </c>
      <c r="S3577" s="93" t="s">
        <v>16</v>
      </c>
      <c r="T3577" s="93" t="s">
        <v>1659</v>
      </c>
      <c r="U3577" s="93" t="s">
        <v>395</v>
      </c>
      <c r="V3577" s="94">
        <v>44628.49722222222</v>
      </c>
      <c r="W3577" s="93" t="s">
        <v>1170</v>
      </c>
      <c r="X3577" s="93" t="s">
        <v>24</v>
      </c>
    </row>
    <row r="3578" spans="1:24" hidden="1" x14ac:dyDescent="0.15">
      <c r="A3578" s="93" t="s">
        <v>5490</v>
      </c>
      <c r="B3578" s="93" t="s">
        <v>5491</v>
      </c>
      <c r="C3578" s="410">
        <v>371.7</v>
      </c>
      <c r="D3578" s="93" t="s">
        <v>24</v>
      </c>
      <c r="E3578" s="93" t="s">
        <v>24</v>
      </c>
      <c r="F3578" s="93" t="s">
        <v>7070</v>
      </c>
      <c r="G3578" s="93" t="s">
        <v>8237</v>
      </c>
      <c r="H3578" s="93" t="s">
        <v>11</v>
      </c>
      <c r="I3578" s="93" t="s">
        <v>111</v>
      </c>
      <c r="J3578" s="93" t="s">
        <v>963</v>
      </c>
      <c r="K3578" s="93">
        <v>60</v>
      </c>
      <c r="L3578" s="93" t="s">
        <v>111</v>
      </c>
      <c r="M3578" s="93">
        <v>2.5</v>
      </c>
      <c r="N3578" s="93" t="s">
        <v>113</v>
      </c>
      <c r="O3578" s="93">
        <v>18</v>
      </c>
      <c r="P3578" s="93">
        <v>28</v>
      </c>
      <c r="Q3578" s="93">
        <v>28</v>
      </c>
      <c r="R3578" s="93" t="s">
        <v>117</v>
      </c>
      <c r="S3578" s="93" t="s">
        <v>659</v>
      </c>
      <c r="T3578" s="93" t="s">
        <v>1659</v>
      </c>
      <c r="U3578" s="93" t="s">
        <v>116</v>
      </c>
      <c r="V3578" s="94">
        <v>44628.582638888889</v>
      </c>
      <c r="W3578" s="93" t="s">
        <v>1170</v>
      </c>
      <c r="X3578" s="93" t="s">
        <v>24</v>
      </c>
    </row>
    <row r="3579" spans="1:24" hidden="1" x14ac:dyDescent="0.15">
      <c r="A3579" s="93" t="s">
        <v>5492</v>
      </c>
      <c r="B3579" s="93" t="s">
        <v>5493</v>
      </c>
      <c r="C3579" s="410">
        <v>389.55</v>
      </c>
      <c r="D3579" s="93" t="s">
        <v>24</v>
      </c>
      <c r="E3579" s="93" t="s">
        <v>24</v>
      </c>
      <c r="F3579" s="93" t="s">
        <v>7070</v>
      </c>
      <c r="G3579" s="93" t="s">
        <v>8237</v>
      </c>
      <c r="H3579" s="93" t="s">
        <v>11</v>
      </c>
      <c r="I3579" s="93" t="s">
        <v>111</v>
      </c>
      <c r="J3579" s="93" t="s">
        <v>963</v>
      </c>
      <c r="K3579" s="93">
        <v>60</v>
      </c>
      <c r="L3579" s="93" t="s">
        <v>111</v>
      </c>
      <c r="M3579" s="93">
        <v>0.5</v>
      </c>
      <c r="N3579" s="93" t="s">
        <v>113</v>
      </c>
      <c r="O3579" s="93">
        <v>7</v>
      </c>
      <c r="P3579" s="93">
        <v>7</v>
      </c>
      <c r="Q3579" s="93">
        <v>10</v>
      </c>
      <c r="R3579" s="93" t="s">
        <v>1230</v>
      </c>
      <c r="S3579" s="93" t="s">
        <v>16</v>
      </c>
      <c r="T3579" s="93" t="s">
        <v>1659</v>
      </c>
      <c r="U3579" s="93" t="s">
        <v>116</v>
      </c>
      <c r="V3579" s="94">
        <v>44628.603472222225</v>
      </c>
      <c r="W3579" s="93" t="s">
        <v>1170</v>
      </c>
      <c r="X3579" s="93" t="s">
        <v>24</v>
      </c>
    </row>
    <row r="3580" spans="1:24" hidden="1" x14ac:dyDescent="0.15">
      <c r="A3580" s="93" t="s">
        <v>5494</v>
      </c>
      <c r="B3580" s="93" t="s">
        <v>5495</v>
      </c>
      <c r="C3580" s="410">
        <v>93.45</v>
      </c>
      <c r="D3580" s="93" t="s">
        <v>24</v>
      </c>
      <c r="E3580" s="93" t="s">
        <v>24</v>
      </c>
      <c r="F3580" s="93" t="s">
        <v>7070</v>
      </c>
      <c r="G3580" s="93" t="s">
        <v>8237</v>
      </c>
      <c r="H3580" s="93" t="s">
        <v>11</v>
      </c>
      <c r="I3580" s="93" t="s">
        <v>111</v>
      </c>
      <c r="J3580" s="93" t="s">
        <v>963</v>
      </c>
      <c r="K3580" s="93">
        <v>60</v>
      </c>
      <c r="L3580" s="93" t="s">
        <v>111</v>
      </c>
      <c r="M3580" s="93">
        <v>0.4</v>
      </c>
      <c r="N3580" s="93" t="s">
        <v>113</v>
      </c>
      <c r="O3580" s="93">
        <v>5</v>
      </c>
      <c r="P3580" s="93">
        <v>8.1999999999999993</v>
      </c>
      <c r="Q3580" s="93">
        <v>51.5</v>
      </c>
      <c r="R3580" s="93" t="s">
        <v>122</v>
      </c>
      <c r="S3580" s="93" t="s">
        <v>2</v>
      </c>
      <c r="T3580" s="93" t="s">
        <v>1659</v>
      </c>
      <c r="U3580" s="93" t="s">
        <v>116</v>
      </c>
      <c r="V3580" s="94">
        <v>44628.494444444441</v>
      </c>
      <c r="W3580" s="93" t="s">
        <v>1170</v>
      </c>
      <c r="X3580" s="93" t="s">
        <v>24</v>
      </c>
    </row>
    <row r="3581" spans="1:24" hidden="1" x14ac:dyDescent="0.15">
      <c r="A3581" s="93" t="s">
        <v>5496</v>
      </c>
      <c r="B3581" s="93" t="s">
        <v>5497</v>
      </c>
      <c r="C3581" s="410">
        <v>478.8</v>
      </c>
      <c r="D3581" s="93" t="s">
        <v>24</v>
      </c>
      <c r="E3581" s="93" t="s">
        <v>24</v>
      </c>
      <c r="F3581" s="93" t="s">
        <v>7070</v>
      </c>
      <c r="G3581" s="93" t="s">
        <v>8237</v>
      </c>
      <c r="H3581" s="93" t="s">
        <v>1198</v>
      </c>
      <c r="I3581" s="93" t="s">
        <v>111</v>
      </c>
      <c r="J3581" s="93" t="s">
        <v>963</v>
      </c>
      <c r="K3581" s="93">
        <v>60</v>
      </c>
      <c r="L3581" s="93" t="s">
        <v>111</v>
      </c>
      <c r="M3581" s="93">
        <v>8.9499999999999993</v>
      </c>
      <c r="N3581" s="93" t="s">
        <v>113</v>
      </c>
      <c r="O3581" s="93">
        <v>33</v>
      </c>
      <c r="P3581" s="93">
        <v>46</v>
      </c>
      <c r="Q3581" s="93">
        <v>64</v>
      </c>
      <c r="R3581" s="93" t="s">
        <v>117</v>
      </c>
      <c r="S3581" s="93" t="s">
        <v>18</v>
      </c>
      <c r="T3581" s="93" t="s">
        <v>1659</v>
      </c>
      <c r="U3581" s="93" t="s">
        <v>119</v>
      </c>
      <c r="V3581" s="94">
        <v>44628.606249999997</v>
      </c>
      <c r="W3581" s="93" t="s">
        <v>1170</v>
      </c>
      <c r="X3581" s="93" t="s">
        <v>24</v>
      </c>
    </row>
    <row r="3582" spans="1:24" hidden="1" x14ac:dyDescent="0.15">
      <c r="A3582" s="93" t="s">
        <v>5498</v>
      </c>
      <c r="B3582" s="93" t="s">
        <v>5499</v>
      </c>
      <c r="C3582" s="410">
        <v>603.75</v>
      </c>
      <c r="D3582" s="93" t="s">
        <v>24</v>
      </c>
      <c r="E3582" s="93" t="s">
        <v>24</v>
      </c>
      <c r="F3582" s="93" t="s">
        <v>7070</v>
      </c>
      <c r="G3582" s="93" t="s">
        <v>8237</v>
      </c>
      <c r="H3582" s="93" t="s">
        <v>1198</v>
      </c>
      <c r="I3582" s="93" t="s">
        <v>111</v>
      </c>
      <c r="J3582" s="93" t="s">
        <v>963</v>
      </c>
      <c r="K3582" s="93">
        <v>60</v>
      </c>
      <c r="L3582" s="93" t="s">
        <v>111</v>
      </c>
      <c r="M3582" s="93">
        <v>19.420000000000002</v>
      </c>
      <c r="N3582" s="93" t="s">
        <v>113</v>
      </c>
      <c r="O3582" s="93">
        <v>70</v>
      </c>
      <c r="P3582" s="93">
        <v>70</v>
      </c>
      <c r="Q3582" s="93">
        <v>56</v>
      </c>
      <c r="R3582" s="93" t="s">
        <v>117</v>
      </c>
      <c r="S3582" s="93" t="s">
        <v>18</v>
      </c>
      <c r="T3582" s="93" t="s">
        <v>1659</v>
      </c>
      <c r="U3582" s="93" t="s">
        <v>116</v>
      </c>
      <c r="V3582" s="94">
        <v>44628.64166666667</v>
      </c>
      <c r="W3582" s="93" t="s">
        <v>1170</v>
      </c>
      <c r="X3582" s="93" t="s">
        <v>24</v>
      </c>
    </row>
    <row r="3583" spans="1:24" hidden="1" x14ac:dyDescent="0.15">
      <c r="A3583" s="93" t="s">
        <v>5500</v>
      </c>
      <c r="B3583" s="93" t="s">
        <v>5501</v>
      </c>
      <c r="C3583" s="410">
        <v>693</v>
      </c>
      <c r="D3583" s="93" t="s">
        <v>24</v>
      </c>
      <c r="E3583" s="93" t="s">
        <v>24</v>
      </c>
      <c r="F3583" s="93" t="s">
        <v>7070</v>
      </c>
      <c r="G3583" s="93" t="s">
        <v>8237</v>
      </c>
      <c r="H3583" s="93" t="s">
        <v>1198</v>
      </c>
      <c r="I3583" s="93" t="s">
        <v>111</v>
      </c>
      <c r="J3583" s="93" t="s">
        <v>963</v>
      </c>
      <c r="K3583" s="93">
        <v>60</v>
      </c>
      <c r="L3583" s="93" t="s">
        <v>111</v>
      </c>
      <c r="M3583" s="93">
        <v>10.8</v>
      </c>
      <c r="N3583" s="93" t="s">
        <v>113</v>
      </c>
      <c r="O3583" s="93" t="s">
        <v>111</v>
      </c>
      <c r="P3583" s="93" t="s">
        <v>111</v>
      </c>
      <c r="Q3583" s="93" t="s">
        <v>111</v>
      </c>
      <c r="R3583" s="93" t="s">
        <v>117</v>
      </c>
      <c r="S3583" s="93" t="s">
        <v>20</v>
      </c>
      <c r="T3583" s="93" t="s">
        <v>1659</v>
      </c>
      <c r="U3583" s="93" t="s">
        <v>116</v>
      </c>
      <c r="V3583" s="94">
        <v>44628.585416666669</v>
      </c>
      <c r="W3583" s="93" t="s">
        <v>1207</v>
      </c>
      <c r="X3583" s="93" t="s">
        <v>24</v>
      </c>
    </row>
    <row r="3584" spans="1:24" hidden="1" x14ac:dyDescent="0.15">
      <c r="A3584" s="93" t="s">
        <v>5502</v>
      </c>
      <c r="B3584" s="93" t="s">
        <v>5503</v>
      </c>
      <c r="C3584" s="410">
        <v>745.5</v>
      </c>
      <c r="D3584" s="93" t="s">
        <v>24</v>
      </c>
      <c r="E3584" s="93" t="s">
        <v>24</v>
      </c>
      <c r="F3584" s="93" t="s">
        <v>7070</v>
      </c>
      <c r="G3584" s="93" t="s">
        <v>8237</v>
      </c>
      <c r="H3584" s="93" t="s">
        <v>1198</v>
      </c>
      <c r="I3584" s="93" t="s">
        <v>111</v>
      </c>
      <c r="J3584" s="93" t="s">
        <v>963</v>
      </c>
      <c r="K3584" s="93">
        <v>60</v>
      </c>
      <c r="L3584" s="93" t="s">
        <v>111</v>
      </c>
      <c r="M3584" s="93">
        <v>21.7</v>
      </c>
      <c r="N3584" s="93" t="s">
        <v>113</v>
      </c>
      <c r="O3584" s="93" t="s">
        <v>111</v>
      </c>
      <c r="P3584" s="93" t="s">
        <v>111</v>
      </c>
      <c r="Q3584" s="93" t="s">
        <v>111</v>
      </c>
      <c r="R3584" s="93" t="s">
        <v>117</v>
      </c>
      <c r="S3584" s="93" t="s">
        <v>20</v>
      </c>
      <c r="T3584" s="93" t="s">
        <v>1659</v>
      </c>
      <c r="U3584" s="93" t="s">
        <v>116</v>
      </c>
      <c r="V3584" s="94">
        <v>44628.520138888889</v>
      </c>
      <c r="W3584" s="93" t="s">
        <v>1207</v>
      </c>
      <c r="X3584" s="93" t="s">
        <v>24</v>
      </c>
    </row>
    <row r="3585" spans="1:24" hidden="1" x14ac:dyDescent="0.15">
      <c r="A3585" s="93" t="s">
        <v>5504</v>
      </c>
      <c r="B3585" s="93" t="s">
        <v>5505</v>
      </c>
      <c r="C3585" s="410">
        <v>487.2</v>
      </c>
      <c r="D3585" s="93" t="s">
        <v>24</v>
      </c>
      <c r="E3585" s="93" t="s">
        <v>24</v>
      </c>
      <c r="F3585" s="93" t="s">
        <v>7070</v>
      </c>
      <c r="G3585" s="93" t="s">
        <v>8237</v>
      </c>
      <c r="H3585" s="93" t="s">
        <v>11</v>
      </c>
      <c r="I3585" s="93" t="s">
        <v>111</v>
      </c>
      <c r="J3585" s="93" t="s">
        <v>963</v>
      </c>
      <c r="K3585" s="93">
        <v>60</v>
      </c>
      <c r="L3585" s="93" t="s">
        <v>111</v>
      </c>
      <c r="M3585" s="93">
        <v>2.5</v>
      </c>
      <c r="N3585" s="93" t="s">
        <v>113</v>
      </c>
      <c r="O3585" s="93">
        <v>28</v>
      </c>
      <c r="P3585" s="93">
        <v>28</v>
      </c>
      <c r="Q3585" s="93">
        <v>18</v>
      </c>
      <c r="R3585" s="93" t="s">
        <v>4205</v>
      </c>
      <c r="S3585" s="93" t="s">
        <v>20</v>
      </c>
      <c r="T3585" s="93" t="s">
        <v>1659</v>
      </c>
      <c r="U3585" s="93" t="s">
        <v>116</v>
      </c>
      <c r="V3585" s="94">
        <v>44628.581944444442</v>
      </c>
      <c r="W3585" s="93" t="s">
        <v>1170</v>
      </c>
      <c r="X3585" s="93" t="s">
        <v>24</v>
      </c>
    </row>
    <row r="3586" spans="1:24" hidden="1" x14ac:dyDescent="0.15">
      <c r="A3586" s="93" t="s">
        <v>9493</v>
      </c>
      <c r="B3586" s="93" t="s">
        <v>9494</v>
      </c>
      <c r="C3586" s="410">
        <v>1548.75</v>
      </c>
      <c r="D3586" s="93" t="s">
        <v>9</v>
      </c>
      <c r="E3586" s="93" t="s">
        <v>24</v>
      </c>
      <c r="F3586" s="93" t="s">
        <v>1648</v>
      </c>
      <c r="G3586" s="93" t="s">
        <v>8237</v>
      </c>
      <c r="H3586" s="93" t="s">
        <v>11</v>
      </c>
      <c r="I3586" s="93" t="s">
        <v>111</v>
      </c>
      <c r="J3586" s="93" t="s">
        <v>963</v>
      </c>
      <c r="K3586" s="93">
        <v>60</v>
      </c>
      <c r="L3586" s="93" t="s">
        <v>111</v>
      </c>
      <c r="M3586" s="93">
        <v>4.5</v>
      </c>
      <c r="N3586" s="93" t="s">
        <v>113</v>
      </c>
      <c r="O3586" s="93">
        <v>32</v>
      </c>
      <c r="P3586" s="93">
        <v>31</v>
      </c>
      <c r="Q3586" s="93">
        <v>35</v>
      </c>
      <c r="R3586" s="93" t="s">
        <v>117</v>
      </c>
      <c r="S3586" s="93" t="s">
        <v>659</v>
      </c>
      <c r="T3586" s="93" t="s">
        <v>1659</v>
      </c>
      <c r="U3586" s="93" t="s">
        <v>395</v>
      </c>
      <c r="V3586" s="94">
        <v>44628.49722222222</v>
      </c>
      <c r="W3586" s="93" t="s">
        <v>1170</v>
      </c>
      <c r="X3586" s="93" t="s">
        <v>24</v>
      </c>
    </row>
    <row r="3587" spans="1:24" hidden="1" x14ac:dyDescent="0.15">
      <c r="A3587" s="93" t="s">
        <v>9495</v>
      </c>
      <c r="B3587" s="93" t="s">
        <v>9496</v>
      </c>
      <c r="C3587" s="410">
        <v>1548.75</v>
      </c>
      <c r="D3587" s="93" t="s">
        <v>9</v>
      </c>
      <c r="E3587" s="93" t="s">
        <v>24</v>
      </c>
      <c r="F3587" s="93" t="s">
        <v>1648</v>
      </c>
      <c r="G3587" s="93" t="s">
        <v>8237</v>
      </c>
      <c r="H3587" s="93" t="s">
        <v>11</v>
      </c>
      <c r="I3587" s="93" t="s">
        <v>111</v>
      </c>
      <c r="J3587" s="93" t="s">
        <v>963</v>
      </c>
      <c r="K3587" s="93">
        <v>60</v>
      </c>
      <c r="L3587" s="93" t="s">
        <v>111</v>
      </c>
      <c r="M3587" s="93">
        <v>2.5</v>
      </c>
      <c r="N3587" s="93" t="s">
        <v>113</v>
      </c>
      <c r="O3587" s="93">
        <v>30.8</v>
      </c>
      <c r="P3587" s="93">
        <v>34.200000000000003</v>
      </c>
      <c r="Q3587" s="93">
        <v>31</v>
      </c>
      <c r="R3587" s="93" t="s">
        <v>117</v>
      </c>
      <c r="S3587" s="93" t="s">
        <v>659</v>
      </c>
      <c r="T3587" s="93" t="s">
        <v>1659</v>
      </c>
      <c r="U3587" s="93" t="s">
        <v>395</v>
      </c>
      <c r="V3587" s="94">
        <v>44628.606249999997</v>
      </c>
      <c r="W3587" s="93" t="s">
        <v>1170</v>
      </c>
      <c r="X3587" s="93" t="s">
        <v>24</v>
      </c>
    </row>
    <row r="3588" spans="1:24" hidden="1" x14ac:dyDescent="0.15">
      <c r="A3588" s="93" t="s">
        <v>9497</v>
      </c>
      <c r="B3588" s="93" t="s">
        <v>9498</v>
      </c>
      <c r="C3588" s="410">
        <v>1039.5</v>
      </c>
      <c r="D3588" s="93" t="s">
        <v>9</v>
      </c>
      <c r="E3588" s="93" t="s">
        <v>24</v>
      </c>
      <c r="F3588" s="93" t="s">
        <v>1648</v>
      </c>
      <c r="G3588" s="93" t="s">
        <v>8237</v>
      </c>
      <c r="H3588" s="93" t="s">
        <v>11</v>
      </c>
      <c r="I3588" s="93" t="s">
        <v>111</v>
      </c>
      <c r="J3588" s="93" t="s">
        <v>963</v>
      </c>
      <c r="K3588" s="93">
        <v>60</v>
      </c>
      <c r="L3588" s="93" t="s">
        <v>111</v>
      </c>
      <c r="M3588" s="93">
        <v>3</v>
      </c>
      <c r="N3588" s="93" t="s">
        <v>113</v>
      </c>
      <c r="O3588" s="93" t="s">
        <v>111</v>
      </c>
      <c r="P3588" s="93" t="s">
        <v>111</v>
      </c>
      <c r="Q3588" s="93" t="s">
        <v>111</v>
      </c>
      <c r="R3588" s="93" t="s">
        <v>117</v>
      </c>
      <c r="S3588" s="93" t="s">
        <v>659</v>
      </c>
      <c r="T3588" s="93" t="s">
        <v>1659</v>
      </c>
      <c r="U3588" s="93" t="s">
        <v>395</v>
      </c>
      <c r="V3588" s="94">
        <v>44628.49722222222</v>
      </c>
      <c r="W3588" s="93" t="s">
        <v>1170</v>
      </c>
      <c r="X3588" s="93" t="s">
        <v>24</v>
      </c>
    </row>
    <row r="3589" spans="1:24" hidden="1" x14ac:dyDescent="0.15">
      <c r="A3589" s="93" t="s">
        <v>9499</v>
      </c>
      <c r="B3589" s="93" t="s">
        <v>9500</v>
      </c>
      <c r="C3589" s="410">
        <v>908.25</v>
      </c>
      <c r="D3589" s="93" t="s">
        <v>9</v>
      </c>
      <c r="E3589" s="93" t="s">
        <v>24</v>
      </c>
      <c r="F3589" s="93" t="s">
        <v>1648</v>
      </c>
      <c r="G3589" s="93" t="s">
        <v>8237</v>
      </c>
      <c r="H3589" s="93" t="s">
        <v>11</v>
      </c>
      <c r="I3589" s="93" t="s">
        <v>111</v>
      </c>
      <c r="J3589" s="93" t="s">
        <v>963</v>
      </c>
      <c r="K3589" s="93">
        <v>60</v>
      </c>
      <c r="L3589" s="93" t="s">
        <v>111</v>
      </c>
      <c r="M3589" s="93">
        <v>3.5</v>
      </c>
      <c r="N3589" s="93" t="s">
        <v>113</v>
      </c>
      <c r="O3589" s="93">
        <v>29</v>
      </c>
      <c r="P3589" s="93">
        <v>30</v>
      </c>
      <c r="Q3589" s="93">
        <v>18</v>
      </c>
      <c r="R3589" s="93" t="s">
        <v>117</v>
      </c>
      <c r="S3589" s="93" t="s">
        <v>659</v>
      </c>
      <c r="T3589" s="93" t="s">
        <v>1659</v>
      </c>
      <c r="U3589" s="93" t="s">
        <v>395</v>
      </c>
      <c r="V3589" s="94">
        <v>44628.64166666667</v>
      </c>
      <c r="W3589" s="93" t="s">
        <v>1170</v>
      </c>
      <c r="X3589" s="93" t="s">
        <v>24</v>
      </c>
    </row>
    <row r="3590" spans="1:24" hidden="1" x14ac:dyDescent="0.15">
      <c r="A3590" s="93" t="s">
        <v>5506</v>
      </c>
      <c r="B3590" s="93" t="s">
        <v>5507</v>
      </c>
      <c r="C3590" s="410">
        <v>571.20000000000005</v>
      </c>
      <c r="D3590" s="93" t="s">
        <v>24</v>
      </c>
      <c r="E3590" s="93" t="s">
        <v>24</v>
      </c>
      <c r="F3590" s="93" t="s">
        <v>7070</v>
      </c>
      <c r="G3590" s="93" t="s">
        <v>8237</v>
      </c>
      <c r="H3590" s="93" t="s">
        <v>11</v>
      </c>
      <c r="I3590" s="93" t="s">
        <v>111</v>
      </c>
      <c r="J3590" s="93" t="s">
        <v>963</v>
      </c>
      <c r="K3590" s="93">
        <v>60</v>
      </c>
      <c r="L3590" s="93" t="s">
        <v>111</v>
      </c>
      <c r="M3590" s="93">
        <v>2.8</v>
      </c>
      <c r="N3590" s="93" t="s">
        <v>113</v>
      </c>
      <c r="O3590" s="93">
        <v>18</v>
      </c>
      <c r="P3590" s="93">
        <v>29</v>
      </c>
      <c r="Q3590" s="93">
        <v>29</v>
      </c>
      <c r="R3590" s="93" t="s">
        <v>117</v>
      </c>
      <c r="S3590" s="93" t="s">
        <v>659</v>
      </c>
      <c r="T3590" s="93" t="s">
        <v>1659</v>
      </c>
      <c r="U3590" s="93" t="s">
        <v>116</v>
      </c>
      <c r="V3590" s="94">
        <v>44628.5625</v>
      </c>
      <c r="W3590" s="93" t="s">
        <v>1170</v>
      </c>
      <c r="X3590" s="93" t="s">
        <v>24</v>
      </c>
    </row>
    <row r="3591" spans="1:24" hidden="1" x14ac:dyDescent="0.15">
      <c r="A3591" s="93" t="s">
        <v>5508</v>
      </c>
      <c r="B3591" s="93" t="s">
        <v>5509</v>
      </c>
      <c r="C3591" s="410">
        <v>1129.8</v>
      </c>
      <c r="D3591" s="93" t="s">
        <v>24</v>
      </c>
      <c r="E3591" s="93" t="s">
        <v>24</v>
      </c>
      <c r="F3591" s="93" t="s">
        <v>7070</v>
      </c>
      <c r="G3591" s="93" t="s">
        <v>8237</v>
      </c>
      <c r="H3591" s="93" t="s">
        <v>11</v>
      </c>
      <c r="I3591" s="93" t="s">
        <v>111</v>
      </c>
      <c r="J3591" s="93" t="s">
        <v>963</v>
      </c>
      <c r="K3591" s="93">
        <v>60</v>
      </c>
      <c r="L3591" s="93" t="s">
        <v>111</v>
      </c>
      <c r="M3591" s="93">
        <v>4</v>
      </c>
      <c r="N3591" s="93" t="s">
        <v>113</v>
      </c>
      <c r="O3591" s="93">
        <v>15.5</v>
      </c>
      <c r="P3591" s="93">
        <v>27</v>
      </c>
      <c r="Q3591" s="93">
        <v>28</v>
      </c>
      <c r="R3591" s="93" t="s">
        <v>117</v>
      </c>
      <c r="S3591" s="93" t="s">
        <v>659</v>
      </c>
      <c r="T3591" s="93" t="s">
        <v>1659</v>
      </c>
      <c r="U3591" s="93" t="s">
        <v>119</v>
      </c>
      <c r="V3591" s="94">
        <v>44628.585416666669</v>
      </c>
      <c r="W3591" s="93" t="s">
        <v>1170</v>
      </c>
      <c r="X3591" s="93" t="s">
        <v>24</v>
      </c>
    </row>
    <row r="3592" spans="1:24" hidden="1" x14ac:dyDescent="0.15">
      <c r="A3592" s="93" t="s">
        <v>5510</v>
      </c>
      <c r="B3592" s="93" t="s">
        <v>5511</v>
      </c>
      <c r="C3592" s="410">
        <v>116.55</v>
      </c>
      <c r="D3592" s="93" t="s">
        <v>24</v>
      </c>
      <c r="E3592" s="93" t="s">
        <v>24</v>
      </c>
      <c r="F3592" s="93" t="s">
        <v>7070</v>
      </c>
      <c r="G3592" s="93" t="s">
        <v>8237</v>
      </c>
      <c r="H3592" s="93" t="s">
        <v>11</v>
      </c>
      <c r="I3592" s="93" t="s">
        <v>111</v>
      </c>
      <c r="J3592" s="93" t="s">
        <v>963</v>
      </c>
      <c r="K3592" s="93">
        <v>60</v>
      </c>
      <c r="L3592" s="93" t="s">
        <v>111</v>
      </c>
      <c r="M3592" s="93">
        <v>2.5</v>
      </c>
      <c r="N3592" s="93" t="s">
        <v>113</v>
      </c>
      <c r="O3592" s="93">
        <v>18</v>
      </c>
      <c r="P3592" s="93">
        <v>28</v>
      </c>
      <c r="Q3592" s="93">
        <v>28</v>
      </c>
      <c r="R3592" s="93" t="s">
        <v>117</v>
      </c>
      <c r="S3592" s="93" t="s">
        <v>659</v>
      </c>
      <c r="T3592" s="93" t="s">
        <v>1659</v>
      </c>
      <c r="U3592" s="93" t="s">
        <v>119</v>
      </c>
      <c r="V3592" s="94">
        <v>44628.63958333333</v>
      </c>
      <c r="W3592" s="93" t="s">
        <v>1170</v>
      </c>
      <c r="X3592" s="93" t="s">
        <v>24</v>
      </c>
    </row>
    <row r="3593" spans="1:24" hidden="1" x14ac:dyDescent="0.15">
      <c r="A3593" s="93" t="s">
        <v>9501</v>
      </c>
      <c r="B3593" s="93" t="s">
        <v>9502</v>
      </c>
      <c r="C3593" s="410">
        <v>945</v>
      </c>
      <c r="D3593" s="93" t="s">
        <v>9</v>
      </c>
      <c r="E3593" s="93" t="s">
        <v>24</v>
      </c>
      <c r="F3593" s="93" t="s">
        <v>1648</v>
      </c>
      <c r="G3593" s="93" t="s">
        <v>8237</v>
      </c>
      <c r="H3593" s="93" t="s">
        <v>11</v>
      </c>
      <c r="I3593" s="93" t="s">
        <v>111</v>
      </c>
      <c r="J3593" s="93" t="s">
        <v>963</v>
      </c>
      <c r="K3593" s="93">
        <v>60</v>
      </c>
      <c r="L3593" s="93" t="s">
        <v>111</v>
      </c>
      <c r="M3593" s="93">
        <v>2.5</v>
      </c>
      <c r="N3593" s="93" t="s">
        <v>113</v>
      </c>
      <c r="O3593" s="93">
        <v>29</v>
      </c>
      <c r="P3593" s="93">
        <v>27</v>
      </c>
      <c r="Q3593" s="93">
        <v>18</v>
      </c>
      <c r="R3593" s="93" t="s">
        <v>117</v>
      </c>
      <c r="S3593" s="93" t="s">
        <v>659</v>
      </c>
      <c r="T3593" s="93" t="s">
        <v>1659</v>
      </c>
      <c r="U3593" s="93" t="s">
        <v>116</v>
      </c>
      <c r="V3593" s="94">
        <v>44628.495138888888</v>
      </c>
      <c r="W3593" s="93" t="s">
        <v>1170</v>
      </c>
      <c r="X3593" s="93" t="s">
        <v>24</v>
      </c>
    </row>
    <row r="3594" spans="1:24" hidden="1" x14ac:dyDescent="0.15">
      <c r="A3594" s="93" t="s">
        <v>9503</v>
      </c>
      <c r="B3594" s="93" t="s">
        <v>9504</v>
      </c>
      <c r="C3594" s="410">
        <v>420</v>
      </c>
      <c r="D3594" s="93" t="s">
        <v>9</v>
      </c>
      <c r="E3594" s="93" t="s">
        <v>24</v>
      </c>
      <c r="F3594" s="93" t="s">
        <v>1648</v>
      </c>
      <c r="G3594" s="93" t="s">
        <v>8237</v>
      </c>
      <c r="H3594" s="93" t="s">
        <v>11</v>
      </c>
      <c r="I3594" s="93" t="s">
        <v>111</v>
      </c>
      <c r="J3594" s="93" t="s">
        <v>963</v>
      </c>
      <c r="K3594" s="93">
        <v>60</v>
      </c>
      <c r="L3594" s="93" t="s">
        <v>111</v>
      </c>
      <c r="M3594" s="93" t="s">
        <v>111</v>
      </c>
      <c r="N3594" s="93" t="s">
        <v>111</v>
      </c>
      <c r="O3594" s="93" t="s">
        <v>111</v>
      </c>
      <c r="P3594" s="93" t="s">
        <v>111</v>
      </c>
      <c r="Q3594" s="93" t="s">
        <v>111</v>
      </c>
      <c r="R3594" s="93" t="s">
        <v>117</v>
      </c>
      <c r="S3594" s="93" t="s">
        <v>111</v>
      </c>
      <c r="T3594" s="93" t="s">
        <v>1659</v>
      </c>
      <c r="U3594" s="93" t="s">
        <v>395</v>
      </c>
      <c r="V3594" s="94">
        <v>44628.63958333333</v>
      </c>
      <c r="W3594" s="93" t="s">
        <v>1170</v>
      </c>
      <c r="X3594" s="93" t="s">
        <v>24</v>
      </c>
    </row>
    <row r="3595" spans="1:24" hidden="1" x14ac:dyDescent="0.15">
      <c r="A3595" s="93" t="s">
        <v>5512</v>
      </c>
      <c r="B3595" s="93" t="s">
        <v>5513</v>
      </c>
      <c r="C3595" s="410">
        <v>478.8</v>
      </c>
      <c r="D3595" s="93" t="s">
        <v>24</v>
      </c>
      <c r="E3595" s="93" t="s">
        <v>24</v>
      </c>
      <c r="F3595" s="93" t="s">
        <v>7070</v>
      </c>
      <c r="G3595" s="93" t="s">
        <v>8237</v>
      </c>
      <c r="H3595" s="93" t="s">
        <v>1198</v>
      </c>
      <c r="I3595" s="93" t="s">
        <v>111</v>
      </c>
      <c r="J3595" s="93" t="s">
        <v>963</v>
      </c>
      <c r="K3595" s="93">
        <v>60</v>
      </c>
      <c r="L3595" s="93" t="s">
        <v>111</v>
      </c>
      <c r="M3595" s="93">
        <v>8.9499999999999993</v>
      </c>
      <c r="N3595" s="93" t="s">
        <v>113</v>
      </c>
      <c r="O3595" s="93">
        <v>33</v>
      </c>
      <c r="P3595" s="93">
        <v>46</v>
      </c>
      <c r="Q3595" s="93">
        <v>64</v>
      </c>
      <c r="R3595" s="93" t="s">
        <v>117</v>
      </c>
      <c r="S3595" s="93" t="s">
        <v>18</v>
      </c>
      <c r="T3595" s="93" t="s">
        <v>1659</v>
      </c>
      <c r="U3595" s="93" t="s">
        <v>116</v>
      </c>
      <c r="V3595" s="94">
        <v>44628.477083333331</v>
      </c>
      <c r="W3595" s="93" t="s">
        <v>1170</v>
      </c>
      <c r="X3595" s="93" t="s">
        <v>24</v>
      </c>
    </row>
    <row r="3596" spans="1:24" hidden="1" x14ac:dyDescent="0.15">
      <c r="A3596" s="93" t="s">
        <v>5514</v>
      </c>
      <c r="B3596" s="93" t="s">
        <v>5515</v>
      </c>
      <c r="C3596" s="410">
        <v>603.75</v>
      </c>
      <c r="D3596" s="93" t="s">
        <v>24</v>
      </c>
      <c r="E3596" s="93" t="s">
        <v>24</v>
      </c>
      <c r="F3596" s="93" t="s">
        <v>7070</v>
      </c>
      <c r="G3596" s="93" t="s">
        <v>8237</v>
      </c>
      <c r="H3596" s="93" t="s">
        <v>1198</v>
      </c>
      <c r="I3596" s="93" t="s">
        <v>111</v>
      </c>
      <c r="J3596" s="93" t="s">
        <v>963</v>
      </c>
      <c r="K3596" s="93">
        <v>60</v>
      </c>
      <c r="L3596" s="93" t="s">
        <v>111</v>
      </c>
      <c r="M3596" s="93">
        <v>19.420000000000002</v>
      </c>
      <c r="N3596" s="93" t="s">
        <v>113</v>
      </c>
      <c r="O3596" s="93">
        <v>70</v>
      </c>
      <c r="P3596" s="93">
        <v>70</v>
      </c>
      <c r="Q3596" s="93">
        <v>56</v>
      </c>
      <c r="R3596" s="93" t="s">
        <v>117</v>
      </c>
      <c r="S3596" s="93" t="s">
        <v>18</v>
      </c>
      <c r="T3596" s="93" t="s">
        <v>1659</v>
      </c>
      <c r="U3596" s="93" t="s">
        <v>119</v>
      </c>
      <c r="V3596" s="94">
        <v>44628.497916666667</v>
      </c>
      <c r="W3596" s="93" t="s">
        <v>1170</v>
      </c>
      <c r="X3596" s="93" t="s">
        <v>24</v>
      </c>
    </row>
    <row r="3597" spans="1:24" hidden="1" x14ac:dyDescent="0.15">
      <c r="A3597" s="93" t="s">
        <v>5516</v>
      </c>
      <c r="B3597" s="93" t="s">
        <v>5517</v>
      </c>
      <c r="C3597" s="410">
        <v>693</v>
      </c>
      <c r="D3597" s="93" t="s">
        <v>24</v>
      </c>
      <c r="E3597" s="93" t="s">
        <v>24</v>
      </c>
      <c r="F3597" s="93" t="s">
        <v>7070</v>
      </c>
      <c r="G3597" s="93" t="s">
        <v>8237</v>
      </c>
      <c r="H3597" s="93" t="s">
        <v>1198</v>
      </c>
      <c r="I3597" s="93" t="s">
        <v>111</v>
      </c>
      <c r="J3597" s="93" t="s">
        <v>963</v>
      </c>
      <c r="K3597" s="93">
        <v>60</v>
      </c>
      <c r="L3597" s="93" t="s">
        <v>111</v>
      </c>
      <c r="M3597" s="93">
        <v>10.8</v>
      </c>
      <c r="N3597" s="93" t="s">
        <v>113</v>
      </c>
      <c r="O3597" s="93" t="s">
        <v>111</v>
      </c>
      <c r="P3597" s="93" t="s">
        <v>111</v>
      </c>
      <c r="Q3597" s="93" t="s">
        <v>111</v>
      </c>
      <c r="R3597" s="93" t="s">
        <v>117</v>
      </c>
      <c r="S3597" s="93" t="s">
        <v>20</v>
      </c>
      <c r="T3597" s="93" t="s">
        <v>1659</v>
      </c>
      <c r="U3597" s="93" t="s">
        <v>116</v>
      </c>
      <c r="V3597" s="94">
        <v>44628.542361111111</v>
      </c>
      <c r="W3597" s="93" t="s">
        <v>1207</v>
      </c>
      <c r="X3597" s="93" t="s">
        <v>24</v>
      </c>
    </row>
    <row r="3598" spans="1:24" hidden="1" x14ac:dyDescent="0.15">
      <c r="A3598" s="93" t="s">
        <v>5518</v>
      </c>
      <c r="B3598" s="93" t="s">
        <v>5519</v>
      </c>
      <c r="C3598" s="410">
        <v>745.5</v>
      </c>
      <c r="D3598" s="93" t="s">
        <v>24</v>
      </c>
      <c r="E3598" s="93" t="s">
        <v>24</v>
      </c>
      <c r="F3598" s="93" t="s">
        <v>7070</v>
      </c>
      <c r="G3598" s="93" t="s">
        <v>8237</v>
      </c>
      <c r="H3598" s="93" t="s">
        <v>1198</v>
      </c>
      <c r="I3598" s="93" t="s">
        <v>111</v>
      </c>
      <c r="J3598" s="93" t="s">
        <v>963</v>
      </c>
      <c r="K3598" s="93">
        <v>60</v>
      </c>
      <c r="L3598" s="93" t="s">
        <v>111</v>
      </c>
      <c r="M3598" s="93">
        <v>21.7</v>
      </c>
      <c r="N3598" s="93" t="s">
        <v>113</v>
      </c>
      <c r="O3598" s="93" t="s">
        <v>111</v>
      </c>
      <c r="P3598" s="93" t="s">
        <v>111</v>
      </c>
      <c r="Q3598" s="93" t="s">
        <v>111</v>
      </c>
      <c r="R3598" s="93" t="s">
        <v>117</v>
      </c>
      <c r="S3598" s="93" t="s">
        <v>20</v>
      </c>
      <c r="T3598" s="93" t="s">
        <v>1659</v>
      </c>
      <c r="U3598" s="93" t="s">
        <v>116</v>
      </c>
      <c r="V3598" s="94">
        <v>44628.585416666669</v>
      </c>
      <c r="W3598" s="93" t="s">
        <v>1207</v>
      </c>
      <c r="X3598" s="93" t="s">
        <v>24</v>
      </c>
    </row>
    <row r="3599" spans="1:24" hidden="1" x14ac:dyDescent="0.15">
      <c r="A3599" s="93" t="s">
        <v>5520</v>
      </c>
      <c r="B3599" s="93" t="s">
        <v>5521</v>
      </c>
      <c r="C3599" s="410">
        <v>487.2</v>
      </c>
      <c r="D3599" s="93" t="s">
        <v>24</v>
      </c>
      <c r="E3599" s="93" t="s">
        <v>24</v>
      </c>
      <c r="F3599" s="93" t="s">
        <v>7070</v>
      </c>
      <c r="G3599" s="93" t="s">
        <v>8237</v>
      </c>
      <c r="H3599" s="93" t="s">
        <v>11</v>
      </c>
      <c r="I3599" s="93" t="s">
        <v>111</v>
      </c>
      <c r="J3599" s="93" t="s">
        <v>963</v>
      </c>
      <c r="K3599" s="93">
        <v>60</v>
      </c>
      <c r="L3599" s="93" t="s">
        <v>111</v>
      </c>
      <c r="M3599" s="93">
        <v>2.5</v>
      </c>
      <c r="N3599" s="93" t="s">
        <v>113</v>
      </c>
      <c r="O3599" s="93">
        <v>28</v>
      </c>
      <c r="P3599" s="93">
        <v>28</v>
      </c>
      <c r="Q3599" s="93">
        <v>18</v>
      </c>
      <c r="R3599" s="93" t="s">
        <v>4205</v>
      </c>
      <c r="S3599" s="93" t="s">
        <v>20</v>
      </c>
      <c r="T3599" s="93" t="s">
        <v>1659</v>
      </c>
      <c r="U3599" s="93" t="s">
        <v>116</v>
      </c>
      <c r="V3599" s="94">
        <v>44628.604166666664</v>
      </c>
      <c r="W3599" s="93" t="s">
        <v>1170</v>
      </c>
      <c r="X3599" s="93" t="s">
        <v>24</v>
      </c>
    </row>
    <row r="3600" spans="1:24" hidden="1" x14ac:dyDescent="0.15">
      <c r="A3600" s="93" t="s">
        <v>5522</v>
      </c>
      <c r="B3600" s="93" t="s">
        <v>5523</v>
      </c>
      <c r="C3600" s="410">
        <v>1484.7</v>
      </c>
      <c r="D3600" s="93" t="s">
        <v>24</v>
      </c>
      <c r="E3600" s="93" t="s">
        <v>24</v>
      </c>
      <c r="F3600" s="93" t="s">
        <v>7070</v>
      </c>
      <c r="G3600" s="93" t="s">
        <v>8237</v>
      </c>
      <c r="H3600" s="93" t="s">
        <v>11</v>
      </c>
      <c r="I3600" s="93" t="s">
        <v>111</v>
      </c>
      <c r="J3600" s="93" t="s">
        <v>963</v>
      </c>
      <c r="K3600" s="93">
        <v>60</v>
      </c>
      <c r="L3600" s="93" t="s">
        <v>111</v>
      </c>
      <c r="M3600" s="93">
        <v>5</v>
      </c>
      <c r="N3600" s="93" t="s">
        <v>113</v>
      </c>
      <c r="O3600" s="93" t="s">
        <v>111</v>
      </c>
      <c r="P3600" s="93" t="s">
        <v>111</v>
      </c>
      <c r="Q3600" s="93" t="s">
        <v>111</v>
      </c>
      <c r="R3600" s="93" t="s">
        <v>117</v>
      </c>
      <c r="S3600" s="93" t="s">
        <v>659</v>
      </c>
      <c r="T3600" s="93" t="s">
        <v>1659</v>
      </c>
      <c r="U3600" s="93" t="s">
        <v>116</v>
      </c>
      <c r="V3600" s="94">
        <v>44628.563194444447</v>
      </c>
      <c r="W3600" s="93" t="s">
        <v>1170</v>
      </c>
      <c r="X3600" s="93" t="s">
        <v>24</v>
      </c>
    </row>
    <row r="3601" spans="1:24" hidden="1" x14ac:dyDescent="0.15">
      <c r="A3601" s="93" t="s">
        <v>5524</v>
      </c>
      <c r="B3601" s="93" t="s">
        <v>5525</v>
      </c>
      <c r="C3601" s="410">
        <v>1484.7</v>
      </c>
      <c r="D3601" s="93" t="s">
        <v>24</v>
      </c>
      <c r="E3601" s="93" t="s">
        <v>24</v>
      </c>
      <c r="F3601" s="93" t="s">
        <v>7070</v>
      </c>
      <c r="G3601" s="93" t="s">
        <v>8237</v>
      </c>
      <c r="H3601" s="93" t="s">
        <v>11</v>
      </c>
      <c r="I3601" s="93" t="s">
        <v>111</v>
      </c>
      <c r="J3601" s="93" t="s">
        <v>963</v>
      </c>
      <c r="K3601" s="93">
        <v>60</v>
      </c>
      <c r="L3601" s="93" t="s">
        <v>111</v>
      </c>
      <c r="M3601" s="93">
        <v>2</v>
      </c>
      <c r="N3601" s="93" t="s">
        <v>113</v>
      </c>
      <c r="O3601" s="93" t="s">
        <v>111</v>
      </c>
      <c r="P3601" s="93" t="s">
        <v>111</v>
      </c>
      <c r="Q3601" s="93" t="s">
        <v>111</v>
      </c>
      <c r="R3601" s="93" t="s">
        <v>117</v>
      </c>
      <c r="S3601" s="93" t="s">
        <v>659</v>
      </c>
      <c r="T3601" s="93" t="s">
        <v>1659</v>
      </c>
      <c r="U3601" s="93" t="s">
        <v>116</v>
      </c>
      <c r="V3601" s="94">
        <v>44628.497916666667</v>
      </c>
      <c r="W3601" s="93" t="s">
        <v>1170</v>
      </c>
      <c r="X3601" s="93" t="s">
        <v>24</v>
      </c>
    </row>
    <row r="3602" spans="1:24" hidden="1" x14ac:dyDescent="0.15">
      <c r="A3602" s="93" t="s">
        <v>5526</v>
      </c>
      <c r="B3602" s="93" t="s">
        <v>5527</v>
      </c>
      <c r="C3602" s="410">
        <v>472.5</v>
      </c>
      <c r="D3602" s="93" t="s">
        <v>24</v>
      </c>
      <c r="E3602" s="93" t="s">
        <v>24</v>
      </c>
      <c r="F3602" s="93" t="s">
        <v>7070</v>
      </c>
      <c r="G3602" s="93" t="s">
        <v>8237</v>
      </c>
      <c r="H3602" s="93" t="s">
        <v>11</v>
      </c>
      <c r="I3602" s="93" t="s">
        <v>111</v>
      </c>
      <c r="J3602" s="93" t="s">
        <v>963</v>
      </c>
      <c r="K3602" s="93">
        <v>60</v>
      </c>
      <c r="L3602" s="93" t="s">
        <v>111</v>
      </c>
      <c r="M3602" s="93">
        <v>3</v>
      </c>
      <c r="N3602" s="93" t="s">
        <v>113</v>
      </c>
      <c r="O3602" s="93">
        <v>18</v>
      </c>
      <c r="P3602" s="93">
        <v>29</v>
      </c>
      <c r="Q3602" s="93">
        <v>30</v>
      </c>
      <c r="R3602" s="93" t="s">
        <v>117</v>
      </c>
      <c r="S3602" s="93" t="s">
        <v>659</v>
      </c>
      <c r="T3602" s="93" t="s">
        <v>1659</v>
      </c>
      <c r="U3602" s="93" t="s">
        <v>119</v>
      </c>
      <c r="V3602" s="94">
        <v>44628.585416666669</v>
      </c>
      <c r="W3602" s="93" t="s">
        <v>1170</v>
      </c>
      <c r="X3602" s="93" t="s">
        <v>24</v>
      </c>
    </row>
    <row r="3603" spans="1:24" hidden="1" x14ac:dyDescent="0.15">
      <c r="A3603" s="93" t="s">
        <v>5528</v>
      </c>
      <c r="B3603" s="93" t="s">
        <v>5529</v>
      </c>
      <c r="C3603" s="410">
        <v>803.25</v>
      </c>
      <c r="D3603" s="93" t="s">
        <v>24</v>
      </c>
      <c r="E3603" s="93" t="s">
        <v>24</v>
      </c>
      <c r="F3603" s="93" t="s">
        <v>7070</v>
      </c>
      <c r="G3603" s="93" t="s">
        <v>8237</v>
      </c>
      <c r="H3603" s="93" t="s">
        <v>11</v>
      </c>
      <c r="I3603" s="93" t="s">
        <v>111</v>
      </c>
      <c r="J3603" s="93" t="s">
        <v>963</v>
      </c>
      <c r="K3603" s="93">
        <v>60</v>
      </c>
      <c r="L3603" s="93" t="s">
        <v>111</v>
      </c>
      <c r="M3603" s="93">
        <v>2.5</v>
      </c>
      <c r="N3603" s="93" t="s">
        <v>113</v>
      </c>
      <c r="O3603" s="93">
        <v>17</v>
      </c>
      <c r="P3603" s="93">
        <v>27</v>
      </c>
      <c r="Q3603" s="93">
        <v>32</v>
      </c>
      <c r="R3603" s="93" t="s">
        <v>117</v>
      </c>
      <c r="S3603" s="93" t="s">
        <v>659</v>
      </c>
      <c r="T3603" s="93" t="s">
        <v>1659</v>
      </c>
      <c r="U3603" s="93" t="s">
        <v>116</v>
      </c>
      <c r="V3603" s="94">
        <v>44628.497916666667</v>
      </c>
      <c r="W3603" s="93" t="s">
        <v>1170</v>
      </c>
      <c r="X3603" s="93" t="s">
        <v>24</v>
      </c>
    </row>
    <row r="3604" spans="1:24" hidden="1" x14ac:dyDescent="0.15">
      <c r="A3604" s="93" t="s">
        <v>5530</v>
      </c>
      <c r="B3604" s="93" t="s">
        <v>5531</v>
      </c>
      <c r="C3604" s="410">
        <v>571.20000000000005</v>
      </c>
      <c r="D3604" s="93" t="s">
        <v>24</v>
      </c>
      <c r="E3604" s="93" t="s">
        <v>24</v>
      </c>
      <c r="F3604" s="93" t="s">
        <v>7070</v>
      </c>
      <c r="G3604" s="93" t="s">
        <v>8237</v>
      </c>
      <c r="H3604" s="93" t="s">
        <v>11</v>
      </c>
      <c r="I3604" s="93" t="s">
        <v>111</v>
      </c>
      <c r="J3604" s="93" t="s">
        <v>963</v>
      </c>
      <c r="K3604" s="93">
        <v>60</v>
      </c>
      <c r="L3604" s="93" t="s">
        <v>111</v>
      </c>
      <c r="M3604" s="93">
        <v>2.8</v>
      </c>
      <c r="N3604" s="93" t="s">
        <v>113</v>
      </c>
      <c r="O3604" s="93">
        <v>18</v>
      </c>
      <c r="P3604" s="93">
        <v>29</v>
      </c>
      <c r="Q3604" s="93">
        <v>29</v>
      </c>
      <c r="R3604" s="93" t="s">
        <v>117</v>
      </c>
      <c r="S3604" s="93" t="s">
        <v>659</v>
      </c>
      <c r="T3604" s="93" t="s">
        <v>1659</v>
      </c>
      <c r="U3604" s="93" t="s">
        <v>116</v>
      </c>
      <c r="V3604" s="94">
        <v>44628.563194444447</v>
      </c>
      <c r="W3604" s="93" t="s">
        <v>1170</v>
      </c>
      <c r="X3604" s="93" t="s">
        <v>24</v>
      </c>
    </row>
    <row r="3605" spans="1:24" hidden="1" x14ac:dyDescent="0.15">
      <c r="A3605" s="93" t="s">
        <v>5532</v>
      </c>
      <c r="B3605" s="93" t="s">
        <v>5533</v>
      </c>
      <c r="C3605" s="410">
        <v>1129.8</v>
      </c>
      <c r="D3605" s="93" t="s">
        <v>24</v>
      </c>
      <c r="E3605" s="93" t="s">
        <v>24</v>
      </c>
      <c r="F3605" s="93" t="s">
        <v>7070</v>
      </c>
      <c r="G3605" s="93" t="s">
        <v>8237</v>
      </c>
      <c r="H3605" s="93" t="s">
        <v>11</v>
      </c>
      <c r="I3605" s="93" t="s">
        <v>111</v>
      </c>
      <c r="J3605" s="93" t="s">
        <v>963</v>
      </c>
      <c r="K3605" s="93">
        <v>60</v>
      </c>
      <c r="L3605" s="93" t="s">
        <v>111</v>
      </c>
      <c r="M3605" s="93">
        <v>4</v>
      </c>
      <c r="N3605" s="93" t="s">
        <v>113</v>
      </c>
      <c r="O3605" s="93">
        <v>27</v>
      </c>
      <c r="P3605" s="93">
        <v>17</v>
      </c>
      <c r="Q3605" s="93">
        <v>32</v>
      </c>
      <c r="R3605" s="93" t="s">
        <v>117</v>
      </c>
      <c r="S3605" s="93" t="s">
        <v>659</v>
      </c>
      <c r="T3605" s="93" t="s">
        <v>1659</v>
      </c>
      <c r="U3605" s="93" t="s">
        <v>116</v>
      </c>
      <c r="V3605" s="94">
        <v>44628.520138888889</v>
      </c>
      <c r="W3605" s="93" t="s">
        <v>1170</v>
      </c>
      <c r="X3605" s="93" t="s">
        <v>24</v>
      </c>
    </row>
    <row r="3606" spans="1:24" hidden="1" x14ac:dyDescent="0.15">
      <c r="A3606" s="93" t="s">
        <v>5534</v>
      </c>
      <c r="B3606" s="93" t="s">
        <v>5535</v>
      </c>
      <c r="C3606" s="410">
        <v>116.55</v>
      </c>
      <c r="D3606" s="93" t="s">
        <v>24</v>
      </c>
      <c r="E3606" s="93" t="s">
        <v>24</v>
      </c>
      <c r="F3606" s="93" t="s">
        <v>7070</v>
      </c>
      <c r="G3606" s="93" t="s">
        <v>8237</v>
      </c>
      <c r="H3606" s="93" t="s">
        <v>11</v>
      </c>
      <c r="I3606" s="93" t="s">
        <v>111</v>
      </c>
      <c r="J3606" s="93" t="s">
        <v>963</v>
      </c>
      <c r="K3606" s="93">
        <v>60</v>
      </c>
      <c r="L3606" s="93" t="s">
        <v>111</v>
      </c>
      <c r="M3606" s="93">
        <v>2.5</v>
      </c>
      <c r="N3606" s="93" t="s">
        <v>113</v>
      </c>
      <c r="O3606" s="93">
        <v>18</v>
      </c>
      <c r="P3606" s="93">
        <v>28</v>
      </c>
      <c r="Q3606" s="93">
        <v>28</v>
      </c>
      <c r="R3606" s="93" t="s">
        <v>117</v>
      </c>
      <c r="S3606" s="93" t="s">
        <v>659</v>
      </c>
      <c r="T3606" s="93" t="s">
        <v>1659</v>
      </c>
      <c r="U3606" s="93" t="s">
        <v>119</v>
      </c>
      <c r="V3606" s="94">
        <v>44628.520138888889</v>
      </c>
      <c r="W3606" s="93" t="s">
        <v>1170</v>
      </c>
      <c r="X3606" s="93" t="s">
        <v>24</v>
      </c>
    </row>
    <row r="3607" spans="1:24" hidden="1" x14ac:dyDescent="0.15">
      <c r="A3607" s="93" t="s">
        <v>5536</v>
      </c>
      <c r="B3607" s="93" t="s">
        <v>5537</v>
      </c>
      <c r="C3607" s="410">
        <v>93.45</v>
      </c>
      <c r="D3607" s="93" t="s">
        <v>24</v>
      </c>
      <c r="E3607" s="93" t="s">
        <v>24</v>
      </c>
      <c r="F3607" s="93" t="s">
        <v>7070</v>
      </c>
      <c r="G3607" s="93" t="s">
        <v>8237</v>
      </c>
      <c r="H3607" s="93" t="s">
        <v>11</v>
      </c>
      <c r="I3607" s="93" t="s">
        <v>111</v>
      </c>
      <c r="J3607" s="93" t="s">
        <v>963</v>
      </c>
      <c r="K3607" s="93">
        <v>60</v>
      </c>
      <c r="L3607" s="93" t="s">
        <v>111</v>
      </c>
      <c r="M3607" s="93">
        <v>0.2</v>
      </c>
      <c r="N3607" s="93" t="s">
        <v>113</v>
      </c>
      <c r="O3607" s="93" t="s">
        <v>111</v>
      </c>
      <c r="P3607" s="93" t="s">
        <v>111</v>
      </c>
      <c r="Q3607" s="93" t="s">
        <v>111</v>
      </c>
      <c r="R3607" s="93" t="s">
        <v>4205</v>
      </c>
      <c r="S3607" s="93" t="s">
        <v>659</v>
      </c>
      <c r="T3607" s="93" t="s">
        <v>1659</v>
      </c>
      <c r="U3607" s="93" t="s">
        <v>116</v>
      </c>
      <c r="V3607" s="94">
        <v>44628.497916666667</v>
      </c>
      <c r="W3607" s="93" t="s">
        <v>1170</v>
      </c>
      <c r="X3607" s="93" t="s">
        <v>24</v>
      </c>
    </row>
    <row r="3608" spans="1:24" hidden="1" x14ac:dyDescent="0.15">
      <c r="A3608" s="93" t="s">
        <v>5538</v>
      </c>
      <c r="B3608" s="93" t="s">
        <v>5539</v>
      </c>
      <c r="C3608" s="410">
        <v>892.5</v>
      </c>
      <c r="D3608" s="93" t="s">
        <v>9</v>
      </c>
      <c r="E3608" s="93" t="s">
        <v>24</v>
      </c>
      <c r="F3608" s="93" t="s">
        <v>7070</v>
      </c>
      <c r="G3608" s="93" t="s">
        <v>8237</v>
      </c>
      <c r="H3608" s="93" t="s">
        <v>11</v>
      </c>
      <c r="I3608" s="93" t="s">
        <v>111</v>
      </c>
      <c r="J3608" s="93" t="s">
        <v>963</v>
      </c>
      <c r="K3608" s="93">
        <v>60</v>
      </c>
      <c r="L3608" s="93">
        <v>1</v>
      </c>
      <c r="M3608" s="93">
        <v>4.5</v>
      </c>
      <c r="N3608" s="93" t="s">
        <v>111</v>
      </c>
      <c r="O3608" s="93">
        <v>16.3</v>
      </c>
      <c r="P3608" s="93">
        <v>26.6</v>
      </c>
      <c r="Q3608" s="93">
        <v>31.1</v>
      </c>
      <c r="R3608" s="93" t="s">
        <v>117</v>
      </c>
      <c r="S3608" s="93" t="s">
        <v>16</v>
      </c>
      <c r="T3608" s="93" t="s">
        <v>1659</v>
      </c>
      <c r="U3608" s="93" t="s">
        <v>116</v>
      </c>
      <c r="V3608" s="94">
        <v>44628.5625</v>
      </c>
      <c r="W3608" s="93" t="s">
        <v>1170</v>
      </c>
      <c r="X3608" s="93" t="s">
        <v>24</v>
      </c>
    </row>
    <row r="3609" spans="1:24" hidden="1" x14ac:dyDescent="0.15">
      <c r="A3609" s="93" t="s">
        <v>5540</v>
      </c>
      <c r="B3609" s="93" t="s">
        <v>5541</v>
      </c>
      <c r="C3609" s="410">
        <v>371.7</v>
      </c>
      <c r="D3609" s="93" t="s">
        <v>24</v>
      </c>
      <c r="E3609" s="93" t="s">
        <v>24</v>
      </c>
      <c r="F3609" s="93" t="s">
        <v>7070</v>
      </c>
      <c r="G3609" s="93" t="s">
        <v>8237</v>
      </c>
      <c r="H3609" s="93" t="s">
        <v>11</v>
      </c>
      <c r="I3609" s="93" t="s">
        <v>111</v>
      </c>
      <c r="J3609" s="93" t="s">
        <v>963</v>
      </c>
      <c r="K3609" s="93">
        <v>60</v>
      </c>
      <c r="L3609" s="93" t="s">
        <v>111</v>
      </c>
      <c r="M3609" s="93">
        <v>2.5</v>
      </c>
      <c r="N3609" s="93" t="s">
        <v>113</v>
      </c>
      <c r="O3609" s="93">
        <v>18</v>
      </c>
      <c r="P3609" s="93">
        <v>28</v>
      </c>
      <c r="Q3609" s="93">
        <v>28</v>
      </c>
      <c r="R3609" s="93" t="s">
        <v>117</v>
      </c>
      <c r="S3609" s="93" t="s">
        <v>659</v>
      </c>
      <c r="T3609" s="93" t="s">
        <v>1659</v>
      </c>
      <c r="U3609" s="93" t="s">
        <v>116</v>
      </c>
      <c r="V3609" s="94">
        <v>44628.517361111109</v>
      </c>
      <c r="W3609" s="93" t="s">
        <v>1170</v>
      </c>
      <c r="X3609" s="93" t="s">
        <v>24</v>
      </c>
    </row>
    <row r="3610" spans="1:24" hidden="1" x14ac:dyDescent="0.15">
      <c r="A3610" s="93" t="s">
        <v>5542</v>
      </c>
      <c r="B3610" s="93" t="s">
        <v>5543</v>
      </c>
      <c r="C3610" s="410">
        <v>787.5</v>
      </c>
      <c r="D3610" s="93" t="s">
        <v>24</v>
      </c>
      <c r="E3610" s="93" t="s">
        <v>24</v>
      </c>
      <c r="F3610" s="93" t="s">
        <v>7070</v>
      </c>
      <c r="G3610" s="93" t="s">
        <v>8237</v>
      </c>
      <c r="H3610" s="93" t="s">
        <v>1198</v>
      </c>
      <c r="I3610" s="93" t="s">
        <v>111</v>
      </c>
      <c r="J3610" s="93" t="s">
        <v>963</v>
      </c>
      <c r="K3610" s="93">
        <v>60</v>
      </c>
      <c r="L3610" s="93" t="s">
        <v>111</v>
      </c>
      <c r="M3610" s="93">
        <v>7.8</v>
      </c>
      <c r="N3610" s="93" t="s">
        <v>113</v>
      </c>
      <c r="O3610" s="93">
        <v>30</v>
      </c>
      <c r="P3610" s="93">
        <v>45</v>
      </c>
      <c r="Q3610" s="93">
        <v>66</v>
      </c>
      <c r="R3610" s="93" t="s">
        <v>117</v>
      </c>
      <c r="S3610" s="93" t="s">
        <v>1174</v>
      </c>
      <c r="T3610" s="93" t="s">
        <v>115</v>
      </c>
      <c r="U3610" s="93" t="s">
        <v>116</v>
      </c>
      <c r="V3610" s="94">
        <v>44628.634027777778</v>
      </c>
      <c r="W3610" s="93" t="s">
        <v>1170</v>
      </c>
      <c r="X3610" s="93" t="s">
        <v>24</v>
      </c>
    </row>
    <row r="3611" spans="1:24" hidden="1" x14ac:dyDescent="0.15">
      <c r="A3611" s="93" t="s">
        <v>5544</v>
      </c>
      <c r="B3611" s="93" t="s">
        <v>5545</v>
      </c>
      <c r="C3611" s="410">
        <v>2100</v>
      </c>
      <c r="D3611" s="93" t="s">
        <v>24</v>
      </c>
      <c r="E3611" s="93" t="s">
        <v>24</v>
      </c>
      <c r="F3611" s="93" t="s">
        <v>7070</v>
      </c>
      <c r="G3611" s="93" t="s">
        <v>8237</v>
      </c>
      <c r="H3611" s="93" t="s">
        <v>1198</v>
      </c>
      <c r="I3611" s="93" t="s">
        <v>111</v>
      </c>
      <c r="J3611" s="93" t="s">
        <v>963</v>
      </c>
      <c r="K3611" s="93">
        <v>60</v>
      </c>
      <c r="L3611" s="93" t="s">
        <v>111</v>
      </c>
      <c r="M3611" s="93">
        <v>18</v>
      </c>
      <c r="N3611" s="93" t="s">
        <v>113</v>
      </c>
      <c r="O3611" s="93">
        <v>44</v>
      </c>
      <c r="P3611" s="93">
        <v>75</v>
      </c>
      <c r="Q3611" s="93">
        <v>75</v>
      </c>
      <c r="R3611" s="93" t="s">
        <v>117</v>
      </c>
      <c r="S3611" s="93" t="s">
        <v>659</v>
      </c>
      <c r="T3611" s="93" t="s">
        <v>115</v>
      </c>
      <c r="U3611" s="93" t="s">
        <v>116</v>
      </c>
      <c r="V3611" s="94">
        <v>44628.554861111108</v>
      </c>
      <c r="W3611" s="93" t="s">
        <v>1170</v>
      </c>
      <c r="X3611" s="93" t="s">
        <v>24</v>
      </c>
    </row>
    <row r="3612" spans="1:24" hidden="1" x14ac:dyDescent="0.15">
      <c r="A3612" s="93" t="s">
        <v>5546</v>
      </c>
      <c r="B3612" s="93" t="s">
        <v>5547</v>
      </c>
      <c r="C3612" s="410">
        <v>2100</v>
      </c>
      <c r="D3612" s="93" t="s">
        <v>24</v>
      </c>
      <c r="E3612" s="93" t="s">
        <v>24</v>
      </c>
      <c r="F3612" s="93" t="s">
        <v>7070</v>
      </c>
      <c r="G3612" s="93" t="s">
        <v>8237</v>
      </c>
      <c r="H3612" s="93" t="s">
        <v>1198</v>
      </c>
      <c r="I3612" s="93" t="s">
        <v>111</v>
      </c>
      <c r="J3612" s="93" t="s">
        <v>963</v>
      </c>
      <c r="K3612" s="93">
        <v>60</v>
      </c>
      <c r="L3612" s="93" t="s">
        <v>111</v>
      </c>
      <c r="M3612" s="93">
        <v>18</v>
      </c>
      <c r="N3612" s="93" t="s">
        <v>113</v>
      </c>
      <c r="O3612" s="93">
        <v>44</v>
      </c>
      <c r="P3612" s="93">
        <v>75</v>
      </c>
      <c r="Q3612" s="93">
        <v>75</v>
      </c>
      <c r="R3612" s="93" t="s">
        <v>117</v>
      </c>
      <c r="S3612" s="93" t="s">
        <v>659</v>
      </c>
      <c r="T3612" s="93" t="s">
        <v>115</v>
      </c>
      <c r="U3612" s="93" t="s">
        <v>116</v>
      </c>
      <c r="V3612" s="94">
        <v>44628.511805555558</v>
      </c>
      <c r="W3612" s="93" t="s">
        <v>1170</v>
      </c>
      <c r="X3612" s="93" t="s">
        <v>24</v>
      </c>
    </row>
    <row r="3613" spans="1:24" hidden="1" x14ac:dyDescent="0.15">
      <c r="A3613" s="93" t="s">
        <v>5548</v>
      </c>
      <c r="B3613" s="93" t="s">
        <v>5549</v>
      </c>
      <c r="C3613" s="410">
        <v>945</v>
      </c>
      <c r="D3613" s="93" t="s">
        <v>24</v>
      </c>
      <c r="E3613" s="93" t="s">
        <v>24</v>
      </c>
      <c r="F3613" s="93" t="s">
        <v>7070</v>
      </c>
      <c r="G3613" s="93" t="s">
        <v>8237</v>
      </c>
      <c r="H3613" s="93" t="s">
        <v>1198</v>
      </c>
      <c r="I3613" s="93" t="s">
        <v>111</v>
      </c>
      <c r="J3613" s="93" t="s">
        <v>963</v>
      </c>
      <c r="K3613" s="93">
        <v>60</v>
      </c>
      <c r="L3613" s="93" t="s">
        <v>111</v>
      </c>
      <c r="M3613" s="93">
        <v>12</v>
      </c>
      <c r="N3613" s="93" t="s">
        <v>113</v>
      </c>
      <c r="O3613" s="93">
        <v>51</v>
      </c>
      <c r="P3613" s="93">
        <v>70</v>
      </c>
      <c r="Q3613" s="93">
        <v>70</v>
      </c>
      <c r="R3613" s="93" t="s">
        <v>117</v>
      </c>
      <c r="S3613" s="93" t="s">
        <v>1174</v>
      </c>
      <c r="T3613" s="93" t="s">
        <v>115</v>
      </c>
      <c r="U3613" s="93" t="s">
        <v>116</v>
      </c>
      <c r="V3613" s="94">
        <v>44628.532638888886</v>
      </c>
      <c r="W3613" s="93" t="s">
        <v>1555</v>
      </c>
      <c r="X3613" s="93" t="s">
        <v>24</v>
      </c>
    </row>
    <row r="3614" spans="1:24" hidden="1" x14ac:dyDescent="0.15">
      <c r="A3614" s="93" t="s">
        <v>5550</v>
      </c>
      <c r="B3614" s="93" t="s">
        <v>5551</v>
      </c>
      <c r="C3614" s="410">
        <v>2625</v>
      </c>
      <c r="D3614" s="93" t="s">
        <v>24</v>
      </c>
      <c r="E3614" s="93" t="s">
        <v>24</v>
      </c>
      <c r="F3614" s="93" t="s">
        <v>7070</v>
      </c>
      <c r="G3614" s="93" t="s">
        <v>8237</v>
      </c>
      <c r="H3614" s="93" t="s">
        <v>1198</v>
      </c>
      <c r="I3614" s="93" t="s">
        <v>111</v>
      </c>
      <c r="J3614" s="93" t="s">
        <v>963</v>
      </c>
      <c r="K3614" s="93">
        <v>60</v>
      </c>
      <c r="L3614" s="93" t="s">
        <v>111</v>
      </c>
      <c r="M3614" s="93">
        <v>16</v>
      </c>
      <c r="N3614" s="93" t="s">
        <v>111</v>
      </c>
      <c r="O3614" s="93">
        <v>46</v>
      </c>
      <c r="P3614" s="93">
        <v>76.5</v>
      </c>
      <c r="Q3614" s="93">
        <v>75</v>
      </c>
      <c r="R3614" s="93" t="s">
        <v>117</v>
      </c>
      <c r="S3614" s="93" t="s">
        <v>659</v>
      </c>
      <c r="T3614" s="93" t="s">
        <v>115</v>
      </c>
      <c r="U3614" s="93" t="s">
        <v>116</v>
      </c>
      <c r="V3614" s="94">
        <v>44628.487500000003</v>
      </c>
      <c r="W3614" s="93" t="s">
        <v>1170</v>
      </c>
      <c r="X3614" s="93" t="s">
        <v>24</v>
      </c>
    </row>
    <row r="3615" spans="1:24" hidden="1" x14ac:dyDescent="0.15">
      <c r="A3615" s="93" t="s">
        <v>5552</v>
      </c>
      <c r="B3615" s="93" t="s">
        <v>5553</v>
      </c>
      <c r="C3615" s="410">
        <v>2625</v>
      </c>
      <c r="D3615" s="93" t="s">
        <v>24</v>
      </c>
      <c r="E3615" s="93" t="s">
        <v>24</v>
      </c>
      <c r="F3615" s="93" t="s">
        <v>7070</v>
      </c>
      <c r="G3615" s="93" t="s">
        <v>8237</v>
      </c>
      <c r="H3615" s="93" t="s">
        <v>1198</v>
      </c>
      <c r="I3615" s="93" t="s">
        <v>111</v>
      </c>
      <c r="J3615" s="93" t="s">
        <v>963</v>
      </c>
      <c r="K3615" s="93">
        <v>60</v>
      </c>
      <c r="L3615" s="93" t="s">
        <v>111</v>
      </c>
      <c r="M3615" s="93">
        <v>16</v>
      </c>
      <c r="N3615" s="93" t="s">
        <v>111</v>
      </c>
      <c r="O3615" s="93">
        <v>46</v>
      </c>
      <c r="P3615" s="93">
        <v>76.5</v>
      </c>
      <c r="Q3615" s="93">
        <v>75</v>
      </c>
      <c r="R3615" s="93" t="s">
        <v>117</v>
      </c>
      <c r="S3615" s="93" t="s">
        <v>659</v>
      </c>
      <c r="T3615" s="93" t="s">
        <v>115</v>
      </c>
      <c r="U3615" s="93" t="s">
        <v>116</v>
      </c>
      <c r="V3615" s="94">
        <v>44628.465277777781</v>
      </c>
      <c r="W3615" s="93" t="s">
        <v>1170</v>
      </c>
      <c r="X3615" s="93" t="s">
        <v>24</v>
      </c>
    </row>
    <row r="3616" spans="1:24" hidden="1" x14ac:dyDescent="0.15">
      <c r="A3616" s="93" t="s">
        <v>5554</v>
      </c>
      <c r="B3616" s="93" t="s">
        <v>5555</v>
      </c>
      <c r="C3616" s="410">
        <v>9450</v>
      </c>
      <c r="D3616" s="93" t="s">
        <v>24</v>
      </c>
      <c r="E3616" s="93" t="s">
        <v>24</v>
      </c>
      <c r="F3616" s="93" t="s">
        <v>7070</v>
      </c>
      <c r="G3616" s="93" t="s">
        <v>8237</v>
      </c>
      <c r="H3616" s="93" t="s">
        <v>11</v>
      </c>
      <c r="I3616" s="93" t="s">
        <v>111</v>
      </c>
      <c r="J3616" s="93" t="s">
        <v>963</v>
      </c>
      <c r="K3616" s="93">
        <v>60</v>
      </c>
      <c r="L3616" s="93">
        <v>1</v>
      </c>
      <c r="M3616" s="93">
        <v>1.36</v>
      </c>
      <c r="N3616" s="93" t="s">
        <v>113</v>
      </c>
      <c r="O3616" s="93">
        <v>10.199999999999999</v>
      </c>
      <c r="P3616" s="93">
        <v>20.3</v>
      </c>
      <c r="Q3616" s="93">
        <v>25.4</v>
      </c>
      <c r="R3616" s="93" t="s">
        <v>117</v>
      </c>
      <c r="S3616" s="93" t="s">
        <v>659</v>
      </c>
      <c r="T3616" s="93" t="s">
        <v>115</v>
      </c>
      <c r="U3616" s="93" t="s">
        <v>116</v>
      </c>
      <c r="V3616" s="94">
        <v>44628.575694444444</v>
      </c>
      <c r="W3616" s="93" t="s">
        <v>1555</v>
      </c>
      <c r="X3616" s="93" t="s">
        <v>24</v>
      </c>
    </row>
    <row r="3617" spans="1:24" hidden="1" x14ac:dyDescent="0.15">
      <c r="A3617" s="93" t="s">
        <v>5556</v>
      </c>
      <c r="B3617" s="93" t="s">
        <v>5557</v>
      </c>
      <c r="C3617" s="410">
        <v>2625</v>
      </c>
      <c r="D3617" s="93" t="s">
        <v>24</v>
      </c>
      <c r="E3617" s="93" t="s">
        <v>24</v>
      </c>
      <c r="F3617" s="93" t="s">
        <v>7070</v>
      </c>
      <c r="G3617" s="93" t="s">
        <v>8237</v>
      </c>
      <c r="H3617" s="93" t="s">
        <v>11</v>
      </c>
      <c r="I3617" s="93" t="s">
        <v>111</v>
      </c>
      <c r="J3617" s="93" t="s">
        <v>963</v>
      </c>
      <c r="K3617" s="93">
        <v>60</v>
      </c>
      <c r="L3617" s="93" t="s">
        <v>111</v>
      </c>
      <c r="M3617" s="93">
        <v>2</v>
      </c>
      <c r="N3617" s="93" t="s">
        <v>113</v>
      </c>
      <c r="O3617" s="93">
        <v>31</v>
      </c>
      <c r="P3617" s="93">
        <v>31</v>
      </c>
      <c r="Q3617" s="93">
        <v>34.200000000000003</v>
      </c>
      <c r="R3617" s="93" t="s">
        <v>117</v>
      </c>
      <c r="S3617" s="93" t="s">
        <v>16</v>
      </c>
      <c r="T3617" s="93" t="s">
        <v>115</v>
      </c>
      <c r="U3617" s="93" t="s">
        <v>116</v>
      </c>
      <c r="V3617" s="94">
        <v>44628.634027777778</v>
      </c>
      <c r="W3617" s="93" t="s">
        <v>1170</v>
      </c>
      <c r="X3617" s="93" t="s">
        <v>24</v>
      </c>
    </row>
    <row r="3618" spans="1:24" hidden="1" x14ac:dyDescent="0.15">
      <c r="A3618" s="93" t="s">
        <v>5558</v>
      </c>
      <c r="B3618" s="93" t="s">
        <v>5559</v>
      </c>
      <c r="C3618" s="410">
        <v>3675</v>
      </c>
      <c r="D3618" s="93" t="s">
        <v>24</v>
      </c>
      <c r="E3618" s="93" t="s">
        <v>24</v>
      </c>
      <c r="F3618" s="93" t="s">
        <v>7070</v>
      </c>
      <c r="G3618" s="93" t="s">
        <v>8237</v>
      </c>
      <c r="H3618" s="93" t="s">
        <v>11</v>
      </c>
      <c r="I3618" s="93" t="s">
        <v>111</v>
      </c>
      <c r="J3618" s="93" t="s">
        <v>963</v>
      </c>
      <c r="K3618" s="93">
        <v>60</v>
      </c>
      <c r="L3618" s="93" t="s">
        <v>111</v>
      </c>
      <c r="M3618" s="93">
        <v>2</v>
      </c>
      <c r="N3618" s="93" t="s">
        <v>113</v>
      </c>
      <c r="O3618" s="93">
        <v>31</v>
      </c>
      <c r="P3618" s="93">
        <v>31</v>
      </c>
      <c r="Q3618" s="93">
        <v>34.200000000000003</v>
      </c>
      <c r="R3618" s="93" t="s">
        <v>117</v>
      </c>
      <c r="S3618" s="93" t="s">
        <v>16</v>
      </c>
      <c r="T3618" s="93" t="s">
        <v>115</v>
      </c>
      <c r="U3618" s="93" t="s">
        <v>116</v>
      </c>
      <c r="V3618" s="94">
        <v>44628.490277777775</v>
      </c>
      <c r="W3618" s="93" t="s">
        <v>1170</v>
      </c>
      <c r="X3618" s="93" t="s">
        <v>24</v>
      </c>
    </row>
    <row r="3619" spans="1:24" hidden="1" x14ac:dyDescent="0.15">
      <c r="A3619" s="93" t="s">
        <v>5560</v>
      </c>
      <c r="B3619" s="93" t="s">
        <v>5561</v>
      </c>
      <c r="C3619" s="410">
        <v>3675</v>
      </c>
      <c r="D3619" s="93" t="s">
        <v>24</v>
      </c>
      <c r="E3619" s="93" t="s">
        <v>24</v>
      </c>
      <c r="F3619" s="93" t="s">
        <v>7070</v>
      </c>
      <c r="G3619" s="93" t="s">
        <v>8237</v>
      </c>
      <c r="H3619" s="93" t="s">
        <v>11</v>
      </c>
      <c r="I3619" s="93" t="s">
        <v>111</v>
      </c>
      <c r="J3619" s="93" t="s">
        <v>963</v>
      </c>
      <c r="K3619" s="93">
        <v>60</v>
      </c>
      <c r="L3619" s="93" t="s">
        <v>111</v>
      </c>
      <c r="M3619" s="93">
        <v>2</v>
      </c>
      <c r="N3619" s="93" t="s">
        <v>113</v>
      </c>
      <c r="O3619" s="93">
        <v>31</v>
      </c>
      <c r="P3619" s="93">
        <v>31</v>
      </c>
      <c r="Q3619" s="93">
        <v>34.200000000000003</v>
      </c>
      <c r="R3619" s="93" t="s">
        <v>117</v>
      </c>
      <c r="S3619" s="93" t="s">
        <v>16</v>
      </c>
      <c r="T3619" s="93" t="s">
        <v>115</v>
      </c>
      <c r="U3619" s="93" t="s">
        <v>116</v>
      </c>
      <c r="V3619" s="94">
        <v>44628.46875</v>
      </c>
      <c r="W3619" s="93" t="s">
        <v>1170</v>
      </c>
      <c r="X3619" s="93" t="s">
        <v>24</v>
      </c>
    </row>
    <row r="3620" spans="1:24" hidden="1" x14ac:dyDescent="0.15">
      <c r="A3620" s="93" t="s">
        <v>5562</v>
      </c>
      <c r="B3620" s="93" t="s">
        <v>5563</v>
      </c>
      <c r="C3620" s="410">
        <v>420</v>
      </c>
      <c r="D3620" s="93" t="s">
        <v>24</v>
      </c>
      <c r="E3620" s="93" t="s">
        <v>24</v>
      </c>
      <c r="F3620" s="93" t="s">
        <v>7070</v>
      </c>
      <c r="G3620" s="93" t="s">
        <v>8237</v>
      </c>
      <c r="H3620" s="93" t="s">
        <v>11</v>
      </c>
      <c r="I3620" s="93" t="s">
        <v>111</v>
      </c>
      <c r="J3620" s="93" t="s">
        <v>963</v>
      </c>
      <c r="K3620" s="93">
        <v>60</v>
      </c>
      <c r="L3620" s="93" t="s">
        <v>111</v>
      </c>
      <c r="M3620" s="93">
        <v>1.36</v>
      </c>
      <c r="N3620" s="93" t="s">
        <v>113</v>
      </c>
      <c r="O3620" s="93">
        <v>10.199999999999999</v>
      </c>
      <c r="P3620" s="93">
        <v>20.3</v>
      </c>
      <c r="Q3620" s="93">
        <v>25.4</v>
      </c>
      <c r="R3620" s="93" t="s">
        <v>117</v>
      </c>
      <c r="S3620" s="93" t="s">
        <v>19</v>
      </c>
      <c r="T3620" s="93" t="s">
        <v>115</v>
      </c>
      <c r="U3620" s="93" t="s">
        <v>116</v>
      </c>
      <c r="V3620" s="94">
        <v>44628.634027777778</v>
      </c>
      <c r="W3620" s="93" t="s">
        <v>1170</v>
      </c>
      <c r="X3620" s="93" t="s">
        <v>24</v>
      </c>
    </row>
    <row r="3621" spans="1:24" hidden="1" x14ac:dyDescent="0.15">
      <c r="A3621" s="93" t="s">
        <v>5564</v>
      </c>
      <c r="B3621" s="93" t="s">
        <v>5565</v>
      </c>
      <c r="C3621" s="410">
        <v>31.5</v>
      </c>
      <c r="D3621" s="93" t="s">
        <v>24</v>
      </c>
      <c r="E3621" s="93" t="s">
        <v>24</v>
      </c>
      <c r="F3621" s="93" t="s">
        <v>7070</v>
      </c>
      <c r="G3621" s="93" t="s">
        <v>8237</v>
      </c>
      <c r="H3621" s="93" t="s">
        <v>11</v>
      </c>
      <c r="I3621" s="93" t="s">
        <v>111</v>
      </c>
      <c r="J3621" s="93" t="s">
        <v>963</v>
      </c>
      <c r="K3621" s="93">
        <v>60</v>
      </c>
      <c r="L3621" s="93" t="s">
        <v>111</v>
      </c>
      <c r="M3621" s="93">
        <v>0.2</v>
      </c>
      <c r="N3621" s="93" t="s">
        <v>113</v>
      </c>
      <c r="O3621" s="93">
        <v>11</v>
      </c>
      <c r="P3621" s="93">
        <v>7</v>
      </c>
      <c r="Q3621" s="93">
        <v>7.5</v>
      </c>
      <c r="R3621" s="93" t="s">
        <v>117</v>
      </c>
      <c r="S3621" s="93" t="s">
        <v>20</v>
      </c>
      <c r="T3621" s="93" t="s">
        <v>115</v>
      </c>
      <c r="U3621" s="93" t="s">
        <v>116</v>
      </c>
      <c r="V3621" s="94">
        <v>44628.53402777778</v>
      </c>
      <c r="W3621" s="93" t="s">
        <v>1170</v>
      </c>
      <c r="X3621" s="93" t="s">
        <v>24</v>
      </c>
    </row>
    <row r="3622" spans="1:24" hidden="1" x14ac:dyDescent="0.15">
      <c r="A3622" s="93" t="s">
        <v>5566</v>
      </c>
      <c r="B3622" s="93" t="s">
        <v>5567</v>
      </c>
      <c r="C3622" s="410">
        <v>252</v>
      </c>
      <c r="D3622" s="93" t="s">
        <v>24</v>
      </c>
      <c r="E3622" s="93" t="s">
        <v>24</v>
      </c>
      <c r="F3622" s="93" t="s">
        <v>7070</v>
      </c>
      <c r="G3622" s="93" t="s">
        <v>8237</v>
      </c>
      <c r="H3622" s="93" t="s">
        <v>11</v>
      </c>
      <c r="I3622" s="93" t="s">
        <v>111</v>
      </c>
      <c r="J3622" s="93" t="s">
        <v>963</v>
      </c>
      <c r="K3622" s="93">
        <v>60</v>
      </c>
      <c r="L3622" s="93" t="s">
        <v>111</v>
      </c>
      <c r="M3622" s="93">
        <v>0.1</v>
      </c>
      <c r="N3622" s="93" t="s">
        <v>113</v>
      </c>
      <c r="O3622" s="93">
        <v>3.2</v>
      </c>
      <c r="P3622" s="93">
        <v>7.4</v>
      </c>
      <c r="Q3622" s="93">
        <v>12.2</v>
      </c>
      <c r="R3622" s="93" t="s">
        <v>117</v>
      </c>
      <c r="S3622" s="93" t="s">
        <v>20</v>
      </c>
      <c r="T3622" s="93" t="s">
        <v>115</v>
      </c>
      <c r="U3622" s="93" t="s">
        <v>116</v>
      </c>
      <c r="V3622" s="94">
        <v>44628.46875</v>
      </c>
      <c r="W3622" s="93" t="s">
        <v>1170</v>
      </c>
      <c r="X3622" s="93" t="s">
        <v>24</v>
      </c>
    </row>
    <row r="3623" spans="1:24" hidden="1" x14ac:dyDescent="0.15">
      <c r="A3623" s="93" t="s">
        <v>5568</v>
      </c>
      <c r="B3623" s="93" t="s">
        <v>5569</v>
      </c>
      <c r="C3623" s="410">
        <v>283.5</v>
      </c>
      <c r="D3623" s="93" t="s">
        <v>24</v>
      </c>
      <c r="E3623" s="93" t="s">
        <v>24</v>
      </c>
      <c r="F3623" s="93" t="s">
        <v>7070</v>
      </c>
      <c r="G3623" s="93" t="s">
        <v>8237</v>
      </c>
      <c r="H3623" s="93" t="s">
        <v>11</v>
      </c>
      <c r="I3623" s="93" t="s">
        <v>111</v>
      </c>
      <c r="J3623" s="93" t="s">
        <v>963</v>
      </c>
      <c r="K3623" s="93">
        <v>60</v>
      </c>
      <c r="L3623" s="93" t="s">
        <v>111</v>
      </c>
      <c r="M3623" s="93">
        <v>0.1</v>
      </c>
      <c r="N3623" s="93" t="s">
        <v>113</v>
      </c>
      <c r="O3623" s="93">
        <v>3.2</v>
      </c>
      <c r="P3623" s="93">
        <v>7.4</v>
      </c>
      <c r="Q3623" s="93">
        <v>12.2</v>
      </c>
      <c r="R3623" s="93" t="s">
        <v>117</v>
      </c>
      <c r="S3623" s="93" t="s">
        <v>20</v>
      </c>
      <c r="T3623" s="93" t="s">
        <v>115</v>
      </c>
      <c r="U3623" s="93" t="s">
        <v>116</v>
      </c>
      <c r="V3623" s="94">
        <v>44628.53402777778</v>
      </c>
      <c r="W3623" s="93" t="s">
        <v>1170</v>
      </c>
      <c r="X3623" s="93" t="s">
        <v>24</v>
      </c>
    </row>
    <row r="3624" spans="1:24" hidden="1" x14ac:dyDescent="0.15">
      <c r="A3624" s="93" t="s">
        <v>5570</v>
      </c>
      <c r="B3624" s="93" t="s">
        <v>5571</v>
      </c>
      <c r="C3624" s="410">
        <v>236.25</v>
      </c>
      <c r="D3624" s="93" t="s">
        <v>24</v>
      </c>
      <c r="E3624" s="93" t="s">
        <v>24</v>
      </c>
      <c r="F3624" s="93" t="s">
        <v>7070</v>
      </c>
      <c r="G3624" s="93" t="s">
        <v>8237</v>
      </c>
      <c r="H3624" s="93" t="s">
        <v>11</v>
      </c>
      <c r="I3624" s="93" t="s">
        <v>111</v>
      </c>
      <c r="J3624" s="93" t="s">
        <v>963</v>
      </c>
      <c r="K3624" s="93">
        <v>60</v>
      </c>
      <c r="L3624" s="93" t="s">
        <v>111</v>
      </c>
      <c r="M3624" s="93">
        <v>0.1</v>
      </c>
      <c r="N3624" s="93" t="s">
        <v>113</v>
      </c>
      <c r="O3624" s="93">
        <v>3.2</v>
      </c>
      <c r="P3624" s="93">
        <v>7.4</v>
      </c>
      <c r="Q3624" s="93">
        <v>12.2</v>
      </c>
      <c r="R3624" s="93" t="s">
        <v>117</v>
      </c>
      <c r="S3624" s="93" t="s">
        <v>659</v>
      </c>
      <c r="T3624" s="93" t="s">
        <v>115</v>
      </c>
      <c r="U3624" s="93" t="s">
        <v>116</v>
      </c>
      <c r="V3624" s="94">
        <v>44628.511805555558</v>
      </c>
      <c r="W3624" s="93" t="s">
        <v>1170</v>
      </c>
      <c r="X3624" s="93" t="s">
        <v>24</v>
      </c>
    </row>
    <row r="3625" spans="1:24" hidden="1" x14ac:dyDescent="0.15">
      <c r="A3625" s="93" t="s">
        <v>5572</v>
      </c>
      <c r="B3625" s="93" t="s">
        <v>9505</v>
      </c>
      <c r="C3625" s="410">
        <v>168</v>
      </c>
      <c r="D3625" s="93" t="s">
        <v>24</v>
      </c>
      <c r="E3625" s="93" t="s">
        <v>24</v>
      </c>
      <c r="F3625" s="93" t="s">
        <v>7070</v>
      </c>
      <c r="G3625" s="93" t="s">
        <v>8237</v>
      </c>
      <c r="H3625" s="93" t="s">
        <v>11</v>
      </c>
      <c r="I3625" s="93" t="s">
        <v>111</v>
      </c>
      <c r="J3625" s="93" t="s">
        <v>963</v>
      </c>
      <c r="K3625" s="93">
        <v>60</v>
      </c>
      <c r="L3625" s="93" t="s">
        <v>111</v>
      </c>
      <c r="M3625" s="93">
        <v>0.1</v>
      </c>
      <c r="N3625" s="93" t="s">
        <v>113</v>
      </c>
      <c r="O3625" s="93">
        <v>3.2</v>
      </c>
      <c r="P3625" s="93">
        <v>7.4</v>
      </c>
      <c r="Q3625" s="93">
        <v>12.2</v>
      </c>
      <c r="R3625" s="93" t="s">
        <v>117</v>
      </c>
      <c r="S3625" s="93" t="s">
        <v>20</v>
      </c>
      <c r="T3625" s="93" t="s">
        <v>115</v>
      </c>
      <c r="U3625" s="93" t="s">
        <v>116</v>
      </c>
      <c r="V3625" s="94">
        <v>44628.53402777778</v>
      </c>
      <c r="W3625" s="93" t="s">
        <v>1170</v>
      </c>
      <c r="X3625" s="93" t="s">
        <v>24</v>
      </c>
    </row>
    <row r="3626" spans="1:24" hidden="1" x14ac:dyDescent="0.15">
      <c r="A3626" s="93" t="s">
        <v>5573</v>
      </c>
      <c r="B3626" s="93" t="s">
        <v>9506</v>
      </c>
      <c r="C3626" s="410">
        <v>157.5</v>
      </c>
      <c r="D3626" s="93" t="s">
        <v>24</v>
      </c>
      <c r="E3626" s="93" t="s">
        <v>24</v>
      </c>
      <c r="F3626" s="93" t="s">
        <v>7070</v>
      </c>
      <c r="G3626" s="93" t="s">
        <v>8237</v>
      </c>
      <c r="H3626" s="93" t="s">
        <v>11</v>
      </c>
      <c r="I3626" s="93" t="s">
        <v>111</v>
      </c>
      <c r="J3626" s="93" t="s">
        <v>963</v>
      </c>
      <c r="K3626" s="93">
        <v>60</v>
      </c>
      <c r="L3626" s="93" t="s">
        <v>111</v>
      </c>
      <c r="M3626" s="93">
        <v>0.1</v>
      </c>
      <c r="N3626" s="93" t="s">
        <v>113</v>
      </c>
      <c r="O3626" s="93">
        <v>10</v>
      </c>
      <c r="P3626" s="93">
        <v>10</v>
      </c>
      <c r="Q3626" s="93">
        <v>10</v>
      </c>
      <c r="R3626" s="93" t="s">
        <v>117</v>
      </c>
      <c r="S3626" s="93" t="s">
        <v>20</v>
      </c>
      <c r="T3626" s="93" t="s">
        <v>115</v>
      </c>
      <c r="U3626" s="93" t="s">
        <v>116</v>
      </c>
      <c r="V3626" s="94">
        <v>44628.46875</v>
      </c>
      <c r="W3626" s="93" t="s">
        <v>1170</v>
      </c>
      <c r="X3626" s="93" t="s">
        <v>24</v>
      </c>
    </row>
    <row r="3627" spans="1:24" hidden="1" x14ac:dyDescent="0.15">
      <c r="A3627" s="93" t="s">
        <v>5576</v>
      </c>
      <c r="B3627" s="93" t="s">
        <v>5577</v>
      </c>
      <c r="C3627" s="410">
        <v>4.2</v>
      </c>
      <c r="D3627" s="93" t="s">
        <v>24</v>
      </c>
      <c r="E3627" s="93" t="s">
        <v>24</v>
      </c>
      <c r="F3627" s="93" t="s">
        <v>7070</v>
      </c>
      <c r="G3627" s="93" t="s">
        <v>9507</v>
      </c>
      <c r="H3627" s="93" t="s">
        <v>11</v>
      </c>
      <c r="I3627" s="93" t="s">
        <v>111</v>
      </c>
      <c r="J3627" s="93" t="s">
        <v>5574</v>
      </c>
      <c r="K3627" s="93">
        <v>75</v>
      </c>
      <c r="L3627" s="93" t="s">
        <v>111</v>
      </c>
      <c r="M3627" s="93">
        <v>5.3E-3</v>
      </c>
      <c r="N3627" s="93" t="s">
        <v>113</v>
      </c>
      <c r="O3627" s="93">
        <v>14</v>
      </c>
      <c r="P3627" s="93">
        <v>1.5</v>
      </c>
      <c r="Q3627" s="93">
        <v>8</v>
      </c>
      <c r="R3627" s="93" t="s">
        <v>1548</v>
      </c>
      <c r="S3627" s="93" t="s">
        <v>2</v>
      </c>
      <c r="T3627" s="93" t="s">
        <v>115</v>
      </c>
      <c r="U3627" s="93" t="s">
        <v>116</v>
      </c>
      <c r="V3627" s="94">
        <v>44628.602777777778</v>
      </c>
      <c r="W3627" s="93" t="s">
        <v>1170</v>
      </c>
      <c r="X3627" s="93" t="s">
        <v>24</v>
      </c>
    </row>
    <row r="3628" spans="1:24" hidden="1" x14ac:dyDescent="0.15">
      <c r="A3628" s="93" t="s">
        <v>5578</v>
      </c>
      <c r="B3628" s="93" t="s">
        <v>5579</v>
      </c>
      <c r="C3628" s="410">
        <v>21</v>
      </c>
      <c r="D3628" s="93" t="s">
        <v>24</v>
      </c>
      <c r="E3628" s="93" t="s">
        <v>24</v>
      </c>
      <c r="F3628" s="93" t="s">
        <v>7070</v>
      </c>
      <c r="G3628" s="93" t="s">
        <v>9507</v>
      </c>
      <c r="H3628" s="93" t="s">
        <v>11</v>
      </c>
      <c r="I3628" s="93" t="s">
        <v>111</v>
      </c>
      <c r="J3628" s="93" t="s">
        <v>5574</v>
      </c>
      <c r="K3628" s="93">
        <v>75</v>
      </c>
      <c r="L3628" s="93" t="s">
        <v>111</v>
      </c>
      <c r="M3628" s="93">
        <v>9.3500000000000007E-3</v>
      </c>
      <c r="N3628" s="93" t="s">
        <v>113</v>
      </c>
      <c r="O3628" s="93">
        <v>14</v>
      </c>
      <c r="P3628" s="93">
        <v>1</v>
      </c>
      <c r="Q3628" s="93">
        <v>8</v>
      </c>
      <c r="R3628" s="93" t="s">
        <v>1548</v>
      </c>
      <c r="S3628" s="93" t="s">
        <v>2</v>
      </c>
      <c r="T3628" s="93" t="s">
        <v>115</v>
      </c>
      <c r="U3628" s="93" t="s">
        <v>116</v>
      </c>
      <c r="V3628" s="94">
        <v>44628.472916666666</v>
      </c>
      <c r="W3628" s="93" t="s">
        <v>1170</v>
      </c>
      <c r="X3628" s="93" t="s">
        <v>24</v>
      </c>
    </row>
    <row r="3629" spans="1:24" hidden="1" x14ac:dyDescent="0.15">
      <c r="A3629" s="93" t="s">
        <v>5580</v>
      </c>
      <c r="B3629" s="93" t="s">
        <v>5581</v>
      </c>
      <c r="C3629" s="410">
        <v>12.6</v>
      </c>
      <c r="D3629" s="93" t="s">
        <v>24</v>
      </c>
      <c r="E3629" s="93" t="s">
        <v>24</v>
      </c>
      <c r="F3629" s="93" t="s">
        <v>7070</v>
      </c>
      <c r="G3629" s="93" t="s">
        <v>9507</v>
      </c>
      <c r="H3629" s="93" t="s">
        <v>11</v>
      </c>
      <c r="I3629" s="93" t="s">
        <v>111</v>
      </c>
      <c r="J3629" s="93" t="s">
        <v>5574</v>
      </c>
      <c r="K3629" s="93">
        <v>75</v>
      </c>
      <c r="L3629" s="93" t="s">
        <v>111</v>
      </c>
      <c r="M3629" s="93">
        <v>1.38E-2</v>
      </c>
      <c r="N3629" s="93" t="s">
        <v>113</v>
      </c>
      <c r="O3629" s="93">
        <v>14</v>
      </c>
      <c r="P3629" s="93">
        <v>0.7</v>
      </c>
      <c r="Q3629" s="93">
        <v>8</v>
      </c>
      <c r="R3629" s="93" t="s">
        <v>1756</v>
      </c>
      <c r="S3629" s="93" t="s">
        <v>20</v>
      </c>
      <c r="T3629" s="93" t="s">
        <v>115</v>
      </c>
      <c r="U3629" s="93" t="s">
        <v>116</v>
      </c>
      <c r="V3629" s="94">
        <v>44628.538194444445</v>
      </c>
      <c r="W3629" s="93" t="s">
        <v>1170</v>
      </c>
      <c r="X3629" s="93" t="s">
        <v>24</v>
      </c>
    </row>
    <row r="3630" spans="1:24" hidden="1" x14ac:dyDescent="0.15">
      <c r="A3630" s="93" t="s">
        <v>5582</v>
      </c>
      <c r="B3630" s="93" t="s">
        <v>5583</v>
      </c>
      <c r="C3630" s="410">
        <v>15.75</v>
      </c>
      <c r="D3630" s="93" t="s">
        <v>24</v>
      </c>
      <c r="E3630" s="93" t="s">
        <v>24</v>
      </c>
      <c r="F3630" s="93" t="s">
        <v>7070</v>
      </c>
      <c r="G3630" s="93" t="s">
        <v>9507</v>
      </c>
      <c r="H3630" s="93" t="s">
        <v>11</v>
      </c>
      <c r="I3630" s="93" t="s">
        <v>111</v>
      </c>
      <c r="J3630" s="93" t="s">
        <v>5574</v>
      </c>
      <c r="K3630" s="93">
        <v>75</v>
      </c>
      <c r="L3630" s="93" t="s">
        <v>111</v>
      </c>
      <c r="M3630" s="93">
        <v>1.9599999999999999E-2</v>
      </c>
      <c r="N3630" s="93" t="s">
        <v>113</v>
      </c>
      <c r="O3630" s="93">
        <v>14</v>
      </c>
      <c r="P3630" s="93">
        <v>1</v>
      </c>
      <c r="Q3630" s="93">
        <v>8</v>
      </c>
      <c r="R3630" s="93" t="s">
        <v>1548</v>
      </c>
      <c r="S3630" s="93" t="s">
        <v>2</v>
      </c>
      <c r="T3630" s="93" t="s">
        <v>115</v>
      </c>
      <c r="U3630" s="93" t="s">
        <v>116</v>
      </c>
      <c r="V3630" s="94">
        <v>44628.602777777778</v>
      </c>
      <c r="W3630" s="93" t="s">
        <v>1170</v>
      </c>
      <c r="X3630" s="93" t="s">
        <v>24</v>
      </c>
    </row>
    <row r="3631" spans="1:24" hidden="1" x14ac:dyDescent="0.15">
      <c r="A3631" s="93" t="s">
        <v>5584</v>
      </c>
      <c r="B3631" s="93" t="s">
        <v>5585</v>
      </c>
      <c r="C3631" s="410">
        <v>68.25</v>
      </c>
      <c r="D3631" s="93" t="s">
        <v>9</v>
      </c>
      <c r="E3631" s="93" t="s">
        <v>24</v>
      </c>
      <c r="F3631" s="93" t="s">
        <v>7070</v>
      </c>
      <c r="G3631" s="93" t="s">
        <v>9507</v>
      </c>
      <c r="H3631" s="93" t="s">
        <v>11</v>
      </c>
      <c r="I3631" s="93" t="s">
        <v>111</v>
      </c>
      <c r="J3631" s="93" t="s">
        <v>5574</v>
      </c>
      <c r="K3631" s="93">
        <v>75</v>
      </c>
      <c r="L3631" s="93" t="s">
        <v>111</v>
      </c>
      <c r="M3631" s="93">
        <v>0.54400000000000004</v>
      </c>
      <c r="N3631" s="93" t="s">
        <v>113</v>
      </c>
      <c r="O3631" s="93">
        <v>7.62</v>
      </c>
      <c r="P3631" s="93">
        <v>13.97</v>
      </c>
      <c r="Q3631" s="93">
        <v>26.67</v>
      </c>
      <c r="R3631" s="93" t="s">
        <v>121</v>
      </c>
      <c r="S3631" s="93" t="s">
        <v>2</v>
      </c>
      <c r="T3631" s="93" t="s">
        <v>115</v>
      </c>
      <c r="U3631" s="93" t="s">
        <v>119</v>
      </c>
      <c r="V3631" s="94">
        <v>44628.559027777781</v>
      </c>
      <c r="W3631" s="93" t="s">
        <v>1170</v>
      </c>
      <c r="X3631" s="93" t="s">
        <v>24</v>
      </c>
    </row>
    <row r="3632" spans="1:24" hidden="1" x14ac:dyDescent="0.15">
      <c r="A3632" s="93" t="s">
        <v>5586</v>
      </c>
      <c r="B3632" s="93" t="s">
        <v>5587</v>
      </c>
      <c r="C3632" s="410">
        <v>105</v>
      </c>
      <c r="D3632" s="93" t="s">
        <v>24</v>
      </c>
      <c r="E3632" s="93" t="s">
        <v>24</v>
      </c>
      <c r="F3632" s="93" t="s">
        <v>7070</v>
      </c>
      <c r="G3632" s="93" t="s">
        <v>9507</v>
      </c>
      <c r="H3632" s="93" t="s">
        <v>11</v>
      </c>
      <c r="I3632" s="93" t="s">
        <v>111</v>
      </c>
      <c r="J3632" s="93" t="s">
        <v>5574</v>
      </c>
      <c r="K3632" s="93">
        <v>75</v>
      </c>
      <c r="L3632" s="93" t="s">
        <v>111</v>
      </c>
      <c r="M3632" s="93">
        <v>0.81</v>
      </c>
      <c r="N3632" s="93" t="s">
        <v>113</v>
      </c>
      <c r="O3632" s="93">
        <v>7.62</v>
      </c>
      <c r="P3632" s="93">
        <v>13.97</v>
      </c>
      <c r="Q3632" s="93">
        <v>26.67</v>
      </c>
      <c r="R3632" s="93" t="s">
        <v>121</v>
      </c>
      <c r="S3632" s="93" t="s">
        <v>2</v>
      </c>
      <c r="T3632" s="93" t="s">
        <v>115</v>
      </c>
      <c r="U3632" s="93" t="s">
        <v>116</v>
      </c>
      <c r="V3632" s="94">
        <v>44628.579861111109</v>
      </c>
      <c r="W3632" s="93" t="s">
        <v>1170</v>
      </c>
      <c r="X3632" s="93" t="s">
        <v>24</v>
      </c>
    </row>
    <row r="3633" spans="1:24" hidden="1" x14ac:dyDescent="0.15">
      <c r="A3633" s="93" t="s">
        <v>5588</v>
      </c>
      <c r="B3633" s="93" t="s">
        <v>5589</v>
      </c>
      <c r="C3633" s="410">
        <v>84</v>
      </c>
      <c r="D3633" s="93" t="s">
        <v>24</v>
      </c>
      <c r="E3633" s="93" t="s">
        <v>24</v>
      </c>
      <c r="F3633" s="93" t="s">
        <v>7070</v>
      </c>
      <c r="G3633" s="93" t="s">
        <v>9507</v>
      </c>
      <c r="H3633" s="93" t="s">
        <v>1198</v>
      </c>
      <c r="I3633" s="93" t="s">
        <v>111</v>
      </c>
      <c r="J3633" s="93" t="s">
        <v>5574</v>
      </c>
      <c r="K3633" s="93">
        <v>75</v>
      </c>
      <c r="L3633" s="93" t="s">
        <v>111</v>
      </c>
      <c r="M3633" s="93">
        <v>3.4200000000000001E-2</v>
      </c>
      <c r="N3633" s="93" t="s">
        <v>113</v>
      </c>
      <c r="O3633" s="93">
        <v>17.5</v>
      </c>
      <c r="P3633" s="93">
        <v>1.5</v>
      </c>
      <c r="Q3633" s="93">
        <v>18.5</v>
      </c>
      <c r="R3633" s="93" t="s">
        <v>117</v>
      </c>
      <c r="S3633" s="93" t="s">
        <v>2</v>
      </c>
      <c r="T3633" s="93" t="s">
        <v>115</v>
      </c>
      <c r="U3633" s="93" t="s">
        <v>116</v>
      </c>
      <c r="V3633" s="94">
        <v>44628.538194444445</v>
      </c>
      <c r="W3633" s="93" t="s">
        <v>1207</v>
      </c>
      <c r="X3633" s="93" t="s">
        <v>24</v>
      </c>
    </row>
    <row r="3634" spans="1:24" hidden="1" x14ac:dyDescent="0.15">
      <c r="A3634" s="93" t="s">
        <v>5590</v>
      </c>
      <c r="B3634" s="93" t="s">
        <v>5591</v>
      </c>
      <c r="C3634" s="410">
        <v>84</v>
      </c>
      <c r="D3634" s="93" t="s">
        <v>24</v>
      </c>
      <c r="E3634" s="93" t="s">
        <v>24</v>
      </c>
      <c r="F3634" s="93" t="s">
        <v>7070</v>
      </c>
      <c r="G3634" s="93" t="s">
        <v>9507</v>
      </c>
      <c r="H3634" s="93" t="s">
        <v>1198</v>
      </c>
      <c r="I3634" s="93" t="s">
        <v>111</v>
      </c>
      <c r="J3634" s="93" t="s">
        <v>5574</v>
      </c>
      <c r="K3634" s="93">
        <v>75</v>
      </c>
      <c r="L3634" s="93" t="s">
        <v>111</v>
      </c>
      <c r="M3634" s="93">
        <v>6.3950000000000007E-2</v>
      </c>
      <c r="N3634" s="93" t="s">
        <v>113</v>
      </c>
      <c r="O3634" s="93">
        <v>17.5</v>
      </c>
      <c r="P3634" s="93">
        <v>2</v>
      </c>
      <c r="Q3634" s="93">
        <v>18.5</v>
      </c>
      <c r="R3634" s="93" t="s">
        <v>117</v>
      </c>
      <c r="S3634" s="93" t="s">
        <v>2</v>
      </c>
      <c r="T3634" s="93" t="s">
        <v>115</v>
      </c>
      <c r="U3634" s="93" t="s">
        <v>116</v>
      </c>
      <c r="V3634" s="94">
        <v>44628.493750000001</v>
      </c>
      <c r="W3634" s="93" t="s">
        <v>1207</v>
      </c>
      <c r="X3634" s="93" t="s">
        <v>24</v>
      </c>
    </row>
    <row r="3635" spans="1:24" hidden="1" x14ac:dyDescent="0.15">
      <c r="A3635" s="93" t="s">
        <v>5592</v>
      </c>
      <c r="B3635" s="93" t="s">
        <v>5593</v>
      </c>
      <c r="C3635" s="410">
        <v>84</v>
      </c>
      <c r="D3635" s="93" t="s">
        <v>24</v>
      </c>
      <c r="E3635" s="93" t="s">
        <v>24</v>
      </c>
      <c r="F3635" s="93" t="s">
        <v>7070</v>
      </c>
      <c r="G3635" s="93" t="s">
        <v>9507</v>
      </c>
      <c r="H3635" s="93" t="s">
        <v>1198</v>
      </c>
      <c r="I3635" s="93" t="s">
        <v>111</v>
      </c>
      <c r="J3635" s="93" t="s">
        <v>5574</v>
      </c>
      <c r="K3635" s="93">
        <v>75</v>
      </c>
      <c r="L3635" s="93" t="s">
        <v>111</v>
      </c>
      <c r="M3635" s="93">
        <v>8.8999999999999996E-2</v>
      </c>
      <c r="N3635" s="93" t="s">
        <v>113</v>
      </c>
      <c r="O3635" s="93">
        <v>1.7</v>
      </c>
      <c r="P3635" s="93">
        <v>1.7</v>
      </c>
      <c r="Q3635" s="93">
        <v>20</v>
      </c>
      <c r="R3635" s="93" t="s">
        <v>117</v>
      </c>
      <c r="S3635" s="93" t="s">
        <v>2</v>
      </c>
      <c r="T3635" s="93" t="s">
        <v>115</v>
      </c>
      <c r="U3635" s="93" t="s">
        <v>116</v>
      </c>
      <c r="V3635" s="94">
        <v>44628.602083333331</v>
      </c>
      <c r="W3635" s="93" t="s">
        <v>1170</v>
      </c>
      <c r="X3635" s="93" t="s">
        <v>24</v>
      </c>
    </row>
    <row r="3636" spans="1:24" hidden="1" x14ac:dyDescent="0.15">
      <c r="A3636" s="93" t="s">
        <v>5594</v>
      </c>
      <c r="B3636" s="93" t="s">
        <v>5595</v>
      </c>
      <c r="C3636" s="410">
        <v>105</v>
      </c>
      <c r="D3636" s="93" t="s">
        <v>24</v>
      </c>
      <c r="E3636" s="93" t="s">
        <v>24</v>
      </c>
      <c r="F3636" s="93" t="s">
        <v>7070</v>
      </c>
      <c r="G3636" s="93" t="s">
        <v>9507</v>
      </c>
      <c r="H3636" s="93" t="s">
        <v>11</v>
      </c>
      <c r="I3636" s="93" t="s">
        <v>111</v>
      </c>
      <c r="J3636" s="93" t="s">
        <v>5574</v>
      </c>
      <c r="K3636" s="93">
        <v>75</v>
      </c>
      <c r="L3636" s="93" t="s">
        <v>111</v>
      </c>
      <c r="M3636" s="93">
        <v>0.27</v>
      </c>
      <c r="N3636" s="93" t="s">
        <v>113</v>
      </c>
      <c r="O3636" s="93">
        <v>4.3</v>
      </c>
      <c r="P3636" s="93">
        <v>16.5</v>
      </c>
      <c r="Q3636" s="93">
        <v>7.7</v>
      </c>
      <c r="R3636" s="93" t="s">
        <v>121</v>
      </c>
      <c r="S3636" s="93" t="s">
        <v>2</v>
      </c>
      <c r="T3636" s="93" t="s">
        <v>115</v>
      </c>
      <c r="U3636" s="93" t="s">
        <v>116</v>
      </c>
      <c r="V3636" s="94">
        <v>44628.515277777777</v>
      </c>
      <c r="W3636" s="93" t="s">
        <v>1170</v>
      </c>
      <c r="X3636" s="93" t="s">
        <v>24</v>
      </c>
    </row>
    <row r="3637" spans="1:24" hidden="1" x14ac:dyDescent="0.15">
      <c r="A3637" s="93" t="s">
        <v>5596</v>
      </c>
      <c r="B3637" s="93" t="s">
        <v>5597</v>
      </c>
      <c r="C3637" s="410">
        <v>84</v>
      </c>
      <c r="D3637" s="93" t="s">
        <v>24</v>
      </c>
      <c r="E3637" s="93" t="s">
        <v>24</v>
      </c>
      <c r="F3637" s="93" t="s">
        <v>7070</v>
      </c>
      <c r="G3637" s="93" t="s">
        <v>9507</v>
      </c>
      <c r="H3637" s="93" t="s">
        <v>1198</v>
      </c>
      <c r="I3637" s="93" t="s">
        <v>111</v>
      </c>
      <c r="J3637" s="93" t="s">
        <v>5574</v>
      </c>
      <c r="K3637" s="93">
        <v>75</v>
      </c>
      <c r="L3637" s="93">
        <v>1</v>
      </c>
      <c r="M3637" s="93">
        <v>3.4200000000000001E-2</v>
      </c>
      <c r="N3637" s="93" t="s">
        <v>113</v>
      </c>
      <c r="O3637" s="93">
        <v>17.5</v>
      </c>
      <c r="P3637" s="93">
        <v>1.5</v>
      </c>
      <c r="Q3637" s="93">
        <v>18.5</v>
      </c>
      <c r="R3637" s="93" t="s">
        <v>117</v>
      </c>
      <c r="S3637" s="93" t="s">
        <v>2</v>
      </c>
      <c r="T3637" s="93" t="s">
        <v>115</v>
      </c>
      <c r="U3637" s="93" t="s">
        <v>116</v>
      </c>
      <c r="V3637" s="94">
        <v>44628.57916666667</v>
      </c>
      <c r="W3637" s="93" t="s">
        <v>1207</v>
      </c>
      <c r="X3637" s="93" t="s">
        <v>24</v>
      </c>
    </row>
    <row r="3638" spans="1:24" hidden="1" x14ac:dyDescent="0.15">
      <c r="A3638" s="93" t="s">
        <v>5598</v>
      </c>
      <c r="B3638" s="93" t="s">
        <v>5599</v>
      </c>
      <c r="C3638" s="410">
        <v>105</v>
      </c>
      <c r="D3638" s="93" t="s">
        <v>24</v>
      </c>
      <c r="E3638" s="93" t="s">
        <v>24</v>
      </c>
      <c r="F3638" s="93" t="s">
        <v>7070</v>
      </c>
      <c r="G3638" s="93" t="s">
        <v>9507</v>
      </c>
      <c r="H3638" s="93" t="s">
        <v>11</v>
      </c>
      <c r="I3638" s="93" t="s">
        <v>111</v>
      </c>
      <c r="J3638" s="93" t="s">
        <v>5574</v>
      </c>
      <c r="K3638" s="93">
        <v>75</v>
      </c>
      <c r="L3638" s="93" t="s">
        <v>111</v>
      </c>
      <c r="M3638" s="93">
        <v>0.5</v>
      </c>
      <c r="N3638" s="93" t="s">
        <v>113</v>
      </c>
      <c r="O3638" s="93">
        <v>14.5</v>
      </c>
      <c r="P3638" s="93">
        <v>5.4</v>
      </c>
      <c r="Q3638" s="93">
        <v>13.4</v>
      </c>
      <c r="R3638" s="93" t="s">
        <v>121</v>
      </c>
      <c r="S3638" s="93" t="s">
        <v>20</v>
      </c>
      <c r="T3638" s="93" t="s">
        <v>115</v>
      </c>
      <c r="U3638" s="93" t="s">
        <v>116</v>
      </c>
      <c r="V3638" s="94">
        <v>44628.537499999999</v>
      </c>
      <c r="W3638" s="93" t="s">
        <v>1170</v>
      </c>
      <c r="X3638" s="93" t="s">
        <v>24</v>
      </c>
    </row>
    <row r="3639" spans="1:24" hidden="1" x14ac:dyDescent="0.15">
      <c r="A3639" s="93" t="s">
        <v>5600</v>
      </c>
      <c r="B3639" s="93" t="s">
        <v>5601</v>
      </c>
      <c r="C3639" s="410">
        <v>52.5</v>
      </c>
      <c r="D3639" s="93" t="s">
        <v>24</v>
      </c>
      <c r="E3639" s="93" t="s">
        <v>24</v>
      </c>
      <c r="F3639" s="93" t="s">
        <v>7070</v>
      </c>
      <c r="G3639" s="93" t="s">
        <v>9507</v>
      </c>
      <c r="H3639" s="93" t="s">
        <v>11</v>
      </c>
      <c r="I3639" s="93" t="s">
        <v>111</v>
      </c>
      <c r="J3639" s="93" t="s">
        <v>5574</v>
      </c>
      <c r="K3639" s="93">
        <v>75</v>
      </c>
      <c r="L3639" s="93" t="s">
        <v>111</v>
      </c>
      <c r="M3639" s="93">
        <v>0.18</v>
      </c>
      <c r="N3639" s="93" t="s">
        <v>113</v>
      </c>
      <c r="O3639" s="93">
        <v>7</v>
      </c>
      <c r="P3639" s="93">
        <v>2</v>
      </c>
      <c r="Q3639" s="93">
        <v>14</v>
      </c>
      <c r="R3639" s="93" t="s">
        <v>122</v>
      </c>
      <c r="S3639" s="93" t="s">
        <v>2</v>
      </c>
      <c r="T3639" s="93" t="s">
        <v>115</v>
      </c>
      <c r="U3639" s="93" t="s">
        <v>116</v>
      </c>
      <c r="V3639" s="94">
        <v>44628.579861111109</v>
      </c>
      <c r="W3639" s="93" t="s">
        <v>1207</v>
      </c>
      <c r="X3639" s="93" t="s">
        <v>24</v>
      </c>
    </row>
    <row r="3640" spans="1:24" hidden="1" x14ac:dyDescent="0.15">
      <c r="A3640" s="93" t="s">
        <v>5602</v>
      </c>
      <c r="B3640" s="93" t="s">
        <v>5603</v>
      </c>
      <c r="C3640" s="410">
        <v>187.95</v>
      </c>
      <c r="D3640" s="93" t="s">
        <v>24</v>
      </c>
      <c r="E3640" s="93" t="s">
        <v>24</v>
      </c>
      <c r="F3640" s="93" t="s">
        <v>7070</v>
      </c>
      <c r="G3640" s="93" t="s">
        <v>9507</v>
      </c>
      <c r="H3640" s="93" t="s">
        <v>1198</v>
      </c>
      <c r="I3640" s="93" t="s">
        <v>111</v>
      </c>
      <c r="J3640" s="93" t="s">
        <v>5574</v>
      </c>
      <c r="K3640" s="93">
        <v>75</v>
      </c>
      <c r="L3640" s="93" t="s">
        <v>111</v>
      </c>
      <c r="M3640" s="93">
        <v>1.7</v>
      </c>
      <c r="N3640" s="93" t="s">
        <v>113</v>
      </c>
      <c r="O3640" s="93">
        <v>10</v>
      </c>
      <c r="P3640" s="93">
        <v>21</v>
      </c>
      <c r="Q3640" s="93">
        <v>44.2</v>
      </c>
      <c r="R3640" s="93" t="s">
        <v>117</v>
      </c>
      <c r="S3640" s="93" t="s">
        <v>20</v>
      </c>
      <c r="T3640" s="93" t="s">
        <v>115</v>
      </c>
      <c r="U3640" s="93" t="s">
        <v>116</v>
      </c>
      <c r="V3640" s="94">
        <v>44628.602083333331</v>
      </c>
      <c r="W3640" s="93" t="s">
        <v>1170</v>
      </c>
      <c r="X3640" s="93" t="s">
        <v>24</v>
      </c>
    </row>
    <row r="3641" spans="1:24" hidden="1" x14ac:dyDescent="0.15">
      <c r="A3641" s="93" t="s">
        <v>5604</v>
      </c>
      <c r="B3641" s="93" t="s">
        <v>5605</v>
      </c>
      <c r="C3641" s="410">
        <v>271.95</v>
      </c>
      <c r="D3641" s="93" t="s">
        <v>24</v>
      </c>
      <c r="E3641" s="93" t="s">
        <v>24</v>
      </c>
      <c r="F3641" s="93" t="s">
        <v>7070</v>
      </c>
      <c r="G3641" s="93" t="s">
        <v>9507</v>
      </c>
      <c r="H3641" s="93" t="s">
        <v>1198</v>
      </c>
      <c r="I3641" s="93" t="s">
        <v>111</v>
      </c>
      <c r="J3641" s="93" t="s">
        <v>5574</v>
      </c>
      <c r="K3641" s="93">
        <v>75</v>
      </c>
      <c r="L3641" s="93" t="s">
        <v>111</v>
      </c>
      <c r="M3641" s="93">
        <v>2.2000000000000002</v>
      </c>
      <c r="N3641" s="93" t="s">
        <v>113</v>
      </c>
      <c r="O3641" s="93">
        <v>10</v>
      </c>
      <c r="P3641" s="93">
        <v>21</v>
      </c>
      <c r="Q3641" s="93">
        <v>64</v>
      </c>
      <c r="R3641" s="93" t="s">
        <v>117</v>
      </c>
      <c r="S3641" s="93" t="s">
        <v>2</v>
      </c>
      <c r="T3641" s="93" t="s">
        <v>115</v>
      </c>
      <c r="U3641" s="93" t="s">
        <v>116</v>
      </c>
      <c r="V3641" s="94">
        <v>44628.579861111109</v>
      </c>
      <c r="W3641" s="93" t="s">
        <v>1170</v>
      </c>
      <c r="X3641" s="93" t="s">
        <v>24</v>
      </c>
    </row>
    <row r="3642" spans="1:24" hidden="1" x14ac:dyDescent="0.15">
      <c r="A3642" s="93" t="s">
        <v>5606</v>
      </c>
      <c r="B3642" s="93" t="s">
        <v>5607</v>
      </c>
      <c r="C3642" s="410">
        <v>324.45</v>
      </c>
      <c r="D3642" s="93" t="s">
        <v>24</v>
      </c>
      <c r="E3642" s="93" t="s">
        <v>24</v>
      </c>
      <c r="F3642" s="93" t="s">
        <v>7070</v>
      </c>
      <c r="G3642" s="93" t="s">
        <v>9507</v>
      </c>
      <c r="H3642" s="93" t="s">
        <v>1198</v>
      </c>
      <c r="I3642" s="93" t="s">
        <v>111</v>
      </c>
      <c r="J3642" s="93" t="s">
        <v>5574</v>
      </c>
      <c r="K3642" s="93">
        <v>75</v>
      </c>
      <c r="L3642" s="93" t="s">
        <v>111</v>
      </c>
      <c r="M3642" s="93">
        <v>2.9</v>
      </c>
      <c r="N3642" s="93" t="s">
        <v>113</v>
      </c>
      <c r="O3642" s="93">
        <v>13</v>
      </c>
      <c r="P3642" s="93">
        <v>30</v>
      </c>
      <c r="Q3642" s="93">
        <v>81.2</v>
      </c>
      <c r="R3642" s="93" t="s">
        <v>117</v>
      </c>
      <c r="S3642" s="93" t="s">
        <v>2</v>
      </c>
      <c r="T3642" s="93" t="s">
        <v>115</v>
      </c>
      <c r="U3642" s="93" t="s">
        <v>116</v>
      </c>
      <c r="V3642" s="94">
        <v>44628.537499999999</v>
      </c>
      <c r="W3642" s="93" t="s">
        <v>1170</v>
      </c>
      <c r="X3642" s="93" t="s">
        <v>24</v>
      </c>
    </row>
    <row r="3643" spans="1:24" hidden="1" x14ac:dyDescent="0.15">
      <c r="A3643" s="93" t="s">
        <v>5608</v>
      </c>
      <c r="B3643" s="93" t="s">
        <v>5609</v>
      </c>
      <c r="C3643" s="410">
        <v>240.45</v>
      </c>
      <c r="D3643" s="93" t="s">
        <v>24</v>
      </c>
      <c r="E3643" s="93" t="s">
        <v>24</v>
      </c>
      <c r="F3643" s="93" t="s">
        <v>7070</v>
      </c>
      <c r="G3643" s="93" t="s">
        <v>9507</v>
      </c>
      <c r="H3643" s="93" t="s">
        <v>1198</v>
      </c>
      <c r="I3643" s="93" t="s">
        <v>111</v>
      </c>
      <c r="J3643" s="93" t="s">
        <v>5574</v>
      </c>
      <c r="K3643" s="93">
        <v>75</v>
      </c>
      <c r="L3643" s="93" t="s">
        <v>111</v>
      </c>
      <c r="M3643" s="93">
        <v>2.7</v>
      </c>
      <c r="N3643" s="93" t="s">
        <v>113</v>
      </c>
      <c r="O3643" s="93">
        <v>15</v>
      </c>
      <c r="P3643" s="93">
        <v>41</v>
      </c>
      <c r="Q3643" s="93">
        <v>56</v>
      </c>
      <c r="R3643" s="93" t="s">
        <v>117</v>
      </c>
      <c r="S3643" s="93" t="s">
        <v>2</v>
      </c>
      <c r="T3643" s="93" t="s">
        <v>115</v>
      </c>
      <c r="U3643" s="93" t="s">
        <v>116</v>
      </c>
      <c r="V3643" s="94">
        <v>44628.558333333334</v>
      </c>
      <c r="W3643" s="93" t="s">
        <v>1170</v>
      </c>
      <c r="X3643" s="93" t="s">
        <v>24</v>
      </c>
    </row>
    <row r="3644" spans="1:24" hidden="1" x14ac:dyDescent="0.15">
      <c r="A3644" s="93" t="s">
        <v>5610</v>
      </c>
      <c r="B3644" s="93" t="s">
        <v>5611</v>
      </c>
      <c r="C3644" s="410">
        <v>292.95</v>
      </c>
      <c r="D3644" s="93" t="s">
        <v>24</v>
      </c>
      <c r="E3644" s="93" t="s">
        <v>24</v>
      </c>
      <c r="F3644" s="93" t="s">
        <v>7070</v>
      </c>
      <c r="G3644" s="93" t="s">
        <v>9507</v>
      </c>
      <c r="H3644" s="93" t="s">
        <v>1198</v>
      </c>
      <c r="I3644" s="93" t="s">
        <v>111</v>
      </c>
      <c r="J3644" s="93" t="s">
        <v>5574</v>
      </c>
      <c r="K3644" s="93">
        <v>75</v>
      </c>
      <c r="L3644" s="93" t="s">
        <v>111</v>
      </c>
      <c r="M3644" s="93">
        <v>3.6</v>
      </c>
      <c r="N3644" s="93" t="s">
        <v>113</v>
      </c>
      <c r="O3644" s="93">
        <v>15</v>
      </c>
      <c r="P3644" s="93">
        <v>41</v>
      </c>
      <c r="Q3644" s="93">
        <v>117</v>
      </c>
      <c r="R3644" s="93" t="s">
        <v>117</v>
      </c>
      <c r="S3644" s="93" t="s">
        <v>2</v>
      </c>
      <c r="T3644" s="93" t="s">
        <v>115</v>
      </c>
      <c r="U3644" s="93" t="s">
        <v>116</v>
      </c>
      <c r="V3644" s="94">
        <v>44628.558333333334</v>
      </c>
      <c r="W3644" s="93" t="s">
        <v>1170</v>
      </c>
      <c r="X3644" s="93" t="s">
        <v>24</v>
      </c>
    </row>
    <row r="3645" spans="1:24" hidden="1" x14ac:dyDescent="0.15">
      <c r="A3645" s="93" t="s">
        <v>5612</v>
      </c>
      <c r="B3645" s="93" t="s">
        <v>5613</v>
      </c>
      <c r="C3645" s="410">
        <v>240.45</v>
      </c>
      <c r="D3645" s="93" t="s">
        <v>24</v>
      </c>
      <c r="E3645" s="93" t="s">
        <v>24</v>
      </c>
      <c r="F3645" s="93" t="s">
        <v>7070</v>
      </c>
      <c r="G3645" s="93" t="s">
        <v>9507</v>
      </c>
      <c r="H3645" s="93" t="s">
        <v>1198</v>
      </c>
      <c r="I3645" s="93" t="s">
        <v>111</v>
      </c>
      <c r="J3645" s="93" t="s">
        <v>5574</v>
      </c>
      <c r="K3645" s="93">
        <v>75</v>
      </c>
      <c r="L3645" s="93" t="s">
        <v>111</v>
      </c>
      <c r="M3645" s="93">
        <v>2.7</v>
      </c>
      <c r="N3645" s="93" t="s">
        <v>113</v>
      </c>
      <c r="O3645" s="93">
        <v>15</v>
      </c>
      <c r="P3645" s="93">
        <v>41</v>
      </c>
      <c r="Q3645" s="93">
        <v>56</v>
      </c>
      <c r="R3645" s="93" t="s">
        <v>117</v>
      </c>
      <c r="S3645" s="93" t="s">
        <v>2</v>
      </c>
      <c r="T3645" s="93" t="s">
        <v>115</v>
      </c>
      <c r="U3645" s="93" t="s">
        <v>116</v>
      </c>
      <c r="V3645" s="94">
        <v>44628.493055555555</v>
      </c>
      <c r="W3645" s="93" t="s">
        <v>1170</v>
      </c>
      <c r="X3645" s="93" t="s">
        <v>24</v>
      </c>
    </row>
    <row r="3646" spans="1:24" hidden="1" x14ac:dyDescent="0.15">
      <c r="A3646" s="93" t="s">
        <v>5614</v>
      </c>
      <c r="B3646" s="93" t="s">
        <v>5615</v>
      </c>
      <c r="C3646" s="410">
        <v>292.95</v>
      </c>
      <c r="D3646" s="93" t="s">
        <v>24</v>
      </c>
      <c r="E3646" s="93" t="s">
        <v>24</v>
      </c>
      <c r="F3646" s="93" t="s">
        <v>7070</v>
      </c>
      <c r="G3646" s="93" t="s">
        <v>9507</v>
      </c>
      <c r="H3646" s="93" t="s">
        <v>1198</v>
      </c>
      <c r="I3646" s="93" t="s">
        <v>111</v>
      </c>
      <c r="J3646" s="93" t="s">
        <v>5574</v>
      </c>
      <c r="K3646" s="93">
        <v>75</v>
      </c>
      <c r="L3646" s="93" t="s">
        <v>111</v>
      </c>
      <c r="M3646" s="93">
        <v>3.6</v>
      </c>
      <c r="N3646" s="93" t="s">
        <v>113</v>
      </c>
      <c r="O3646" s="93">
        <v>15</v>
      </c>
      <c r="P3646" s="93">
        <v>41</v>
      </c>
      <c r="Q3646" s="93">
        <v>117</v>
      </c>
      <c r="R3646" s="93" t="s">
        <v>117</v>
      </c>
      <c r="S3646" s="93" t="s">
        <v>2</v>
      </c>
      <c r="T3646" s="93" t="s">
        <v>115</v>
      </c>
      <c r="U3646" s="93" t="s">
        <v>116</v>
      </c>
      <c r="V3646" s="94">
        <v>44628.51458333333</v>
      </c>
      <c r="W3646" s="93" t="s">
        <v>1170</v>
      </c>
      <c r="X3646" s="93" t="s">
        <v>24</v>
      </c>
    </row>
    <row r="3647" spans="1:24" hidden="1" x14ac:dyDescent="0.15">
      <c r="A3647" s="93" t="s">
        <v>5616</v>
      </c>
      <c r="B3647" s="93" t="s">
        <v>5617</v>
      </c>
      <c r="C3647" s="410">
        <v>681.45</v>
      </c>
      <c r="D3647" s="93" t="s">
        <v>24</v>
      </c>
      <c r="E3647" s="93" t="s">
        <v>24</v>
      </c>
      <c r="F3647" s="93" t="s">
        <v>7070</v>
      </c>
      <c r="G3647" s="93" t="s">
        <v>9507</v>
      </c>
      <c r="H3647" s="93" t="s">
        <v>1198</v>
      </c>
      <c r="I3647" s="93" t="s">
        <v>111</v>
      </c>
      <c r="J3647" s="93" t="s">
        <v>5574</v>
      </c>
      <c r="K3647" s="93">
        <v>75</v>
      </c>
      <c r="L3647" s="93" t="s">
        <v>111</v>
      </c>
      <c r="M3647" s="93">
        <v>7.71</v>
      </c>
      <c r="N3647" s="93" t="s">
        <v>113</v>
      </c>
      <c r="O3647" s="93">
        <v>10.16</v>
      </c>
      <c r="P3647" s="93">
        <v>10.16</v>
      </c>
      <c r="Q3647" s="93">
        <v>147.32</v>
      </c>
      <c r="R3647" s="93" t="s">
        <v>5618</v>
      </c>
      <c r="S3647" s="93" t="s">
        <v>2</v>
      </c>
      <c r="T3647" s="93" t="s">
        <v>115</v>
      </c>
      <c r="U3647" s="93" t="s">
        <v>116</v>
      </c>
      <c r="V3647" s="94">
        <v>44628.602083333331</v>
      </c>
      <c r="W3647" s="93" t="s">
        <v>1555</v>
      </c>
      <c r="X3647" s="93" t="s">
        <v>24</v>
      </c>
    </row>
    <row r="3648" spans="1:24" hidden="1" x14ac:dyDescent="0.15">
      <c r="A3648" s="93" t="s">
        <v>5619</v>
      </c>
      <c r="B3648" s="93" t="s">
        <v>5620</v>
      </c>
      <c r="C3648" s="410">
        <v>471.45</v>
      </c>
      <c r="D3648" s="93" t="s">
        <v>24</v>
      </c>
      <c r="E3648" s="93" t="s">
        <v>24</v>
      </c>
      <c r="F3648" s="93" t="s">
        <v>7070</v>
      </c>
      <c r="G3648" s="93" t="s">
        <v>9507</v>
      </c>
      <c r="H3648" s="93" t="s">
        <v>1198</v>
      </c>
      <c r="I3648" s="93" t="s">
        <v>111</v>
      </c>
      <c r="J3648" s="93" t="s">
        <v>5574</v>
      </c>
      <c r="K3648" s="93">
        <v>75</v>
      </c>
      <c r="L3648" s="93" t="s">
        <v>111</v>
      </c>
      <c r="M3648" s="93">
        <v>5.5</v>
      </c>
      <c r="N3648" s="93" t="s">
        <v>113</v>
      </c>
      <c r="O3648" s="93">
        <v>19</v>
      </c>
      <c r="P3648" s="93">
        <v>38</v>
      </c>
      <c r="Q3648" s="93">
        <v>58</v>
      </c>
      <c r="R3648" s="93" t="s">
        <v>117</v>
      </c>
      <c r="S3648" s="93" t="s">
        <v>2</v>
      </c>
      <c r="T3648" s="93" t="s">
        <v>115</v>
      </c>
      <c r="U3648" s="93" t="s">
        <v>116</v>
      </c>
      <c r="V3648" s="94">
        <v>44628.51458333333</v>
      </c>
      <c r="W3648" s="93" t="s">
        <v>1170</v>
      </c>
      <c r="X3648" s="93" t="s">
        <v>24</v>
      </c>
    </row>
    <row r="3649" spans="1:24" hidden="1" x14ac:dyDescent="0.15">
      <c r="A3649" s="93" t="s">
        <v>5621</v>
      </c>
      <c r="B3649" s="93" t="s">
        <v>5622</v>
      </c>
      <c r="C3649" s="410">
        <v>555.45000000000005</v>
      </c>
      <c r="D3649" s="93" t="s">
        <v>24</v>
      </c>
      <c r="E3649" s="93" t="s">
        <v>24</v>
      </c>
      <c r="F3649" s="93" t="s">
        <v>7070</v>
      </c>
      <c r="G3649" s="93" t="s">
        <v>9507</v>
      </c>
      <c r="H3649" s="93" t="s">
        <v>1198</v>
      </c>
      <c r="I3649" s="93" t="s">
        <v>111</v>
      </c>
      <c r="J3649" s="93" t="s">
        <v>5574</v>
      </c>
      <c r="K3649" s="93">
        <v>75</v>
      </c>
      <c r="L3649" s="93" t="s">
        <v>111</v>
      </c>
      <c r="M3649" s="93">
        <v>6.4</v>
      </c>
      <c r="N3649" s="93" t="s">
        <v>113</v>
      </c>
      <c r="O3649" s="93">
        <v>19</v>
      </c>
      <c r="P3649" s="93">
        <v>38</v>
      </c>
      <c r="Q3649" s="93">
        <v>79</v>
      </c>
      <c r="R3649" s="93" t="s">
        <v>117</v>
      </c>
      <c r="S3649" s="93" t="s">
        <v>20</v>
      </c>
      <c r="T3649" s="93" t="s">
        <v>115</v>
      </c>
      <c r="U3649" s="93" t="s">
        <v>116</v>
      </c>
      <c r="V3649" s="94">
        <v>44628.558333333334</v>
      </c>
      <c r="W3649" s="93" t="s">
        <v>1170</v>
      </c>
      <c r="X3649" s="93" t="s">
        <v>24</v>
      </c>
    </row>
    <row r="3650" spans="1:24" hidden="1" x14ac:dyDescent="0.15">
      <c r="A3650" s="93" t="s">
        <v>5623</v>
      </c>
      <c r="B3650" s="93" t="s">
        <v>5624</v>
      </c>
      <c r="C3650" s="410">
        <v>607.95000000000005</v>
      </c>
      <c r="D3650" s="93" t="s">
        <v>24</v>
      </c>
      <c r="E3650" s="93" t="s">
        <v>24</v>
      </c>
      <c r="F3650" s="93" t="s">
        <v>7070</v>
      </c>
      <c r="G3650" s="93" t="s">
        <v>9507</v>
      </c>
      <c r="H3650" s="93" t="s">
        <v>1198</v>
      </c>
      <c r="I3650" s="93" t="s">
        <v>111</v>
      </c>
      <c r="J3650" s="93" t="s">
        <v>5574</v>
      </c>
      <c r="K3650" s="93">
        <v>75</v>
      </c>
      <c r="L3650" s="93" t="s">
        <v>111</v>
      </c>
      <c r="M3650" s="93">
        <v>7</v>
      </c>
      <c r="N3650" s="93" t="s">
        <v>113</v>
      </c>
      <c r="O3650" s="93">
        <v>23</v>
      </c>
      <c r="P3650" s="93">
        <v>61</v>
      </c>
      <c r="Q3650" s="93">
        <v>97</v>
      </c>
      <c r="R3650" s="93" t="s">
        <v>117</v>
      </c>
      <c r="S3650" s="93" t="s">
        <v>2</v>
      </c>
      <c r="T3650" s="93" t="s">
        <v>115</v>
      </c>
      <c r="U3650" s="93" t="s">
        <v>116</v>
      </c>
      <c r="V3650" s="94">
        <v>44628.579861111109</v>
      </c>
      <c r="W3650" s="93" t="s">
        <v>1170</v>
      </c>
      <c r="X3650" s="93" t="s">
        <v>24</v>
      </c>
    </row>
    <row r="3651" spans="1:24" hidden="1" x14ac:dyDescent="0.15">
      <c r="A3651" s="93" t="s">
        <v>5625</v>
      </c>
      <c r="B3651" s="93" t="s">
        <v>5626</v>
      </c>
      <c r="C3651" s="410">
        <v>523.95000000000005</v>
      </c>
      <c r="D3651" s="93" t="s">
        <v>24</v>
      </c>
      <c r="E3651" s="93" t="s">
        <v>24</v>
      </c>
      <c r="F3651" s="93" t="s">
        <v>7070</v>
      </c>
      <c r="G3651" s="93" t="s">
        <v>9507</v>
      </c>
      <c r="H3651" s="93" t="s">
        <v>1198</v>
      </c>
      <c r="I3651" s="93" t="s">
        <v>111</v>
      </c>
      <c r="J3651" s="93" t="s">
        <v>5574</v>
      </c>
      <c r="K3651" s="93">
        <v>75</v>
      </c>
      <c r="L3651" s="93" t="s">
        <v>111</v>
      </c>
      <c r="M3651" s="93">
        <v>7</v>
      </c>
      <c r="N3651" s="93" t="s">
        <v>113</v>
      </c>
      <c r="O3651" s="93">
        <v>25</v>
      </c>
      <c r="P3651" s="93">
        <v>76</v>
      </c>
      <c r="Q3651" s="93">
        <v>71</v>
      </c>
      <c r="R3651" s="93" t="s">
        <v>117</v>
      </c>
      <c r="S3651" s="93" t="s">
        <v>2</v>
      </c>
      <c r="T3651" s="93" t="s">
        <v>115</v>
      </c>
      <c r="U3651" s="93" t="s">
        <v>116</v>
      </c>
      <c r="V3651" s="94">
        <v>44628.636805555558</v>
      </c>
      <c r="W3651" s="93" t="s">
        <v>1170</v>
      </c>
      <c r="X3651" s="93" t="s">
        <v>24</v>
      </c>
    </row>
    <row r="3652" spans="1:24" hidden="1" x14ac:dyDescent="0.15">
      <c r="A3652" s="93" t="s">
        <v>5627</v>
      </c>
      <c r="B3652" s="93" t="s">
        <v>5628</v>
      </c>
      <c r="C3652" s="410">
        <v>576.45000000000005</v>
      </c>
      <c r="D3652" s="93" t="s">
        <v>24</v>
      </c>
      <c r="E3652" s="93" t="s">
        <v>24</v>
      </c>
      <c r="F3652" s="93" t="s">
        <v>7070</v>
      </c>
      <c r="G3652" s="93" t="s">
        <v>9507</v>
      </c>
      <c r="H3652" s="93" t="s">
        <v>1198</v>
      </c>
      <c r="I3652" s="93" t="s">
        <v>111</v>
      </c>
      <c r="J3652" s="93" t="s">
        <v>5574</v>
      </c>
      <c r="K3652" s="93">
        <v>75</v>
      </c>
      <c r="L3652" s="93" t="s">
        <v>111</v>
      </c>
      <c r="M3652" s="93">
        <v>7.7</v>
      </c>
      <c r="N3652" s="93" t="s">
        <v>113</v>
      </c>
      <c r="O3652" s="93">
        <v>25</v>
      </c>
      <c r="P3652" s="93">
        <v>76</v>
      </c>
      <c r="Q3652" s="93">
        <v>132</v>
      </c>
      <c r="R3652" s="93" t="s">
        <v>117</v>
      </c>
      <c r="S3652" s="93" t="s">
        <v>2</v>
      </c>
      <c r="T3652" s="93" t="s">
        <v>115</v>
      </c>
      <c r="U3652" s="93" t="s">
        <v>116</v>
      </c>
      <c r="V3652" s="94">
        <v>44628.537499999999</v>
      </c>
      <c r="W3652" s="93" t="s">
        <v>1170</v>
      </c>
      <c r="X3652" s="93" t="s">
        <v>24</v>
      </c>
    </row>
    <row r="3653" spans="1:24" hidden="1" x14ac:dyDescent="0.15">
      <c r="A3653" s="93" t="s">
        <v>5629</v>
      </c>
      <c r="B3653" s="93" t="s">
        <v>5630</v>
      </c>
      <c r="C3653" s="410">
        <v>523.95000000000005</v>
      </c>
      <c r="D3653" s="93" t="s">
        <v>24</v>
      </c>
      <c r="E3653" s="93" t="s">
        <v>24</v>
      </c>
      <c r="F3653" s="93" t="s">
        <v>7070</v>
      </c>
      <c r="G3653" s="93" t="s">
        <v>9507</v>
      </c>
      <c r="H3653" s="93" t="s">
        <v>1198</v>
      </c>
      <c r="I3653" s="93" t="s">
        <v>111</v>
      </c>
      <c r="J3653" s="93" t="s">
        <v>5574</v>
      </c>
      <c r="K3653" s="93">
        <v>75</v>
      </c>
      <c r="L3653" s="93" t="s">
        <v>111</v>
      </c>
      <c r="M3653" s="93">
        <v>7</v>
      </c>
      <c r="N3653" s="93" t="s">
        <v>113</v>
      </c>
      <c r="O3653" s="93">
        <v>25</v>
      </c>
      <c r="P3653" s="93">
        <v>76</v>
      </c>
      <c r="Q3653" s="93">
        <v>71</v>
      </c>
      <c r="R3653" s="93" t="s">
        <v>117</v>
      </c>
      <c r="S3653" s="93" t="s">
        <v>2</v>
      </c>
      <c r="T3653" s="93" t="s">
        <v>115</v>
      </c>
      <c r="U3653" s="93" t="s">
        <v>116</v>
      </c>
      <c r="V3653" s="94">
        <v>44628.579861111109</v>
      </c>
      <c r="W3653" s="93" t="s">
        <v>1170</v>
      </c>
      <c r="X3653" s="93" t="s">
        <v>24</v>
      </c>
    </row>
    <row r="3654" spans="1:24" hidden="1" x14ac:dyDescent="0.15">
      <c r="A3654" s="93" t="s">
        <v>5631</v>
      </c>
      <c r="B3654" s="93" t="s">
        <v>5632</v>
      </c>
      <c r="C3654" s="410">
        <v>576.45000000000005</v>
      </c>
      <c r="D3654" s="93" t="s">
        <v>24</v>
      </c>
      <c r="E3654" s="93" t="s">
        <v>24</v>
      </c>
      <c r="F3654" s="93" t="s">
        <v>7070</v>
      </c>
      <c r="G3654" s="93" t="s">
        <v>9507</v>
      </c>
      <c r="H3654" s="93" t="s">
        <v>1198</v>
      </c>
      <c r="I3654" s="93" t="s">
        <v>111</v>
      </c>
      <c r="J3654" s="93" t="s">
        <v>5574</v>
      </c>
      <c r="K3654" s="93">
        <v>75</v>
      </c>
      <c r="L3654" s="93" t="s">
        <v>111</v>
      </c>
      <c r="M3654" s="93">
        <v>7.7</v>
      </c>
      <c r="N3654" s="93" t="s">
        <v>113</v>
      </c>
      <c r="O3654" s="93">
        <v>25</v>
      </c>
      <c r="P3654" s="93">
        <v>76</v>
      </c>
      <c r="Q3654" s="93">
        <v>132</v>
      </c>
      <c r="R3654" s="93" t="s">
        <v>117</v>
      </c>
      <c r="S3654" s="93" t="s">
        <v>2</v>
      </c>
      <c r="T3654" s="93" t="s">
        <v>115</v>
      </c>
      <c r="U3654" s="93" t="s">
        <v>116</v>
      </c>
      <c r="V3654" s="94">
        <v>44628.579861111109</v>
      </c>
      <c r="W3654" s="93" t="s">
        <v>1170</v>
      </c>
      <c r="X3654" s="93" t="s">
        <v>24</v>
      </c>
    </row>
    <row r="3655" spans="1:24" hidden="1" x14ac:dyDescent="0.15">
      <c r="A3655" s="93" t="s">
        <v>5633</v>
      </c>
      <c r="B3655" s="93" t="s">
        <v>5634</v>
      </c>
      <c r="C3655" s="410">
        <v>366.45</v>
      </c>
      <c r="D3655" s="93" t="s">
        <v>24</v>
      </c>
      <c r="E3655" s="93" t="s">
        <v>24</v>
      </c>
      <c r="F3655" s="93" t="s">
        <v>7070</v>
      </c>
      <c r="G3655" s="93" t="s">
        <v>9507</v>
      </c>
      <c r="H3655" s="93" t="s">
        <v>1198</v>
      </c>
      <c r="I3655" s="93" t="s">
        <v>111</v>
      </c>
      <c r="J3655" s="93" t="s">
        <v>5574</v>
      </c>
      <c r="K3655" s="93">
        <v>75</v>
      </c>
      <c r="L3655" s="93" t="s">
        <v>111</v>
      </c>
      <c r="M3655" s="93">
        <v>4.3</v>
      </c>
      <c r="N3655" s="93" t="s">
        <v>113</v>
      </c>
      <c r="O3655" s="93">
        <v>11</v>
      </c>
      <c r="P3655" s="93">
        <v>41</v>
      </c>
      <c r="Q3655" s="93">
        <v>51</v>
      </c>
      <c r="R3655" s="93" t="s">
        <v>1210</v>
      </c>
      <c r="S3655" s="93" t="s">
        <v>2</v>
      </c>
      <c r="T3655" s="93" t="s">
        <v>115</v>
      </c>
      <c r="U3655" s="93" t="s">
        <v>116</v>
      </c>
      <c r="V3655" s="94">
        <v>44628.558333333334</v>
      </c>
      <c r="W3655" s="93" t="s">
        <v>1170</v>
      </c>
      <c r="X3655" s="93" t="s">
        <v>24</v>
      </c>
    </row>
    <row r="3656" spans="1:24" hidden="1" x14ac:dyDescent="0.15">
      <c r="A3656" s="93" t="s">
        <v>5635</v>
      </c>
      <c r="B3656" s="93" t="s">
        <v>5636</v>
      </c>
      <c r="C3656" s="410">
        <v>387.45</v>
      </c>
      <c r="D3656" s="93" t="s">
        <v>24</v>
      </c>
      <c r="E3656" s="93" t="s">
        <v>24</v>
      </c>
      <c r="F3656" s="93" t="s">
        <v>7070</v>
      </c>
      <c r="G3656" s="93" t="s">
        <v>9507</v>
      </c>
      <c r="H3656" s="93" t="s">
        <v>1198</v>
      </c>
      <c r="I3656" s="93" t="s">
        <v>111</v>
      </c>
      <c r="J3656" s="93" t="s">
        <v>5574</v>
      </c>
      <c r="K3656" s="93">
        <v>75</v>
      </c>
      <c r="L3656" s="93">
        <v>1</v>
      </c>
      <c r="M3656" s="93">
        <v>7.3</v>
      </c>
      <c r="N3656" s="93" t="s">
        <v>113</v>
      </c>
      <c r="O3656" s="93">
        <v>114</v>
      </c>
      <c r="P3656" s="93">
        <v>23</v>
      </c>
      <c r="Q3656" s="93">
        <v>81</v>
      </c>
      <c r="R3656" s="93" t="s">
        <v>117</v>
      </c>
      <c r="S3656" s="93" t="s">
        <v>2</v>
      </c>
      <c r="T3656" s="93" t="s">
        <v>115</v>
      </c>
      <c r="U3656" s="93" t="s">
        <v>116</v>
      </c>
      <c r="V3656" s="94">
        <v>44628.601388888892</v>
      </c>
      <c r="W3656" s="93" t="s">
        <v>1207</v>
      </c>
      <c r="X3656" s="93" t="s">
        <v>24</v>
      </c>
    </row>
    <row r="3657" spans="1:24" hidden="1" x14ac:dyDescent="0.15">
      <c r="A3657" s="93" t="s">
        <v>5637</v>
      </c>
      <c r="B3657" s="93" t="s">
        <v>5638</v>
      </c>
      <c r="C3657" s="410">
        <v>712.95</v>
      </c>
      <c r="D3657" s="93" t="s">
        <v>24</v>
      </c>
      <c r="E3657" s="93" t="s">
        <v>24</v>
      </c>
      <c r="F3657" s="93" t="s">
        <v>7070</v>
      </c>
      <c r="G3657" s="93" t="s">
        <v>9507</v>
      </c>
      <c r="H3657" s="93" t="s">
        <v>1198</v>
      </c>
      <c r="I3657" s="93" t="s">
        <v>111</v>
      </c>
      <c r="J3657" s="93" t="s">
        <v>5574</v>
      </c>
      <c r="K3657" s="93">
        <v>75</v>
      </c>
      <c r="L3657" s="93" t="s">
        <v>111</v>
      </c>
      <c r="M3657" s="93">
        <v>7.71</v>
      </c>
      <c r="N3657" s="93" t="s">
        <v>113</v>
      </c>
      <c r="O3657" s="93">
        <v>10.16</v>
      </c>
      <c r="P3657" s="93">
        <v>10.16</v>
      </c>
      <c r="Q3657" s="93">
        <v>147.32</v>
      </c>
      <c r="R3657" s="93" t="s">
        <v>5618</v>
      </c>
      <c r="S3657" s="93" t="s">
        <v>2</v>
      </c>
      <c r="T3657" s="93" t="s">
        <v>115</v>
      </c>
      <c r="U3657" s="93" t="s">
        <v>116</v>
      </c>
      <c r="V3657" s="94">
        <v>44628.577777777777</v>
      </c>
      <c r="W3657" s="93" t="s">
        <v>1555</v>
      </c>
      <c r="X3657" s="93" t="s">
        <v>24</v>
      </c>
    </row>
    <row r="3658" spans="1:24" hidden="1" x14ac:dyDescent="0.15">
      <c r="A3658" s="93" t="s">
        <v>5639</v>
      </c>
      <c r="B3658" s="93" t="s">
        <v>5640</v>
      </c>
      <c r="C3658" s="410">
        <v>870.45</v>
      </c>
      <c r="D3658" s="93" t="s">
        <v>24</v>
      </c>
      <c r="E3658" s="93" t="s">
        <v>24</v>
      </c>
      <c r="F3658" s="93" t="s">
        <v>7070</v>
      </c>
      <c r="G3658" s="93" t="s">
        <v>9507</v>
      </c>
      <c r="H3658" s="93" t="s">
        <v>1198</v>
      </c>
      <c r="I3658" s="93" t="s">
        <v>111</v>
      </c>
      <c r="J3658" s="93" t="s">
        <v>5574</v>
      </c>
      <c r="K3658" s="93">
        <v>75</v>
      </c>
      <c r="L3658" s="93" t="s">
        <v>111</v>
      </c>
      <c r="M3658" s="93">
        <v>11.33</v>
      </c>
      <c r="N3658" s="93" t="s">
        <v>113</v>
      </c>
      <c r="O3658" s="93">
        <v>10.16</v>
      </c>
      <c r="P3658" s="93">
        <v>10.16</v>
      </c>
      <c r="Q3658" s="93">
        <v>237.49</v>
      </c>
      <c r="R3658" s="93" t="s">
        <v>5618</v>
      </c>
      <c r="S3658" s="93" t="s">
        <v>2</v>
      </c>
      <c r="T3658" s="93" t="s">
        <v>115</v>
      </c>
      <c r="U3658" s="93" t="s">
        <v>116</v>
      </c>
      <c r="V3658" s="94">
        <v>44628.469444444447</v>
      </c>
      <c r="W3658" s="93" t="s">
        <v>1555</v>
      </c>
      <c r="X3658" s="93" t="s">
        <v>24</v>
      </c>
    </row>
    <row r="3659" spans="1:24" hidden="1" x14ac:dyDescent="0.15">
      <c r="A3659" s="93" t="s">
        <v>5641</v>
      </c>
      <c r="B3659" s="93" t="s">
        <v>5642</v>
      </c>
      <c r="C3659" s="410">
        <v>471.45</v>
      </c>
      <c r="D3659" s="93" t="s">
        <v>24</v>
      </c>
      <c r="E3659" s="93" t="s">
        <v>24</v>
      </c>
      <c r="F3659" s="93" t="s">
        <v>7070</v>
      </c>
      <c r="G3659" s="93" t="s">
        <v>9507</v>
      </c>
      <c r="H3659" s="93" t="s">
        <v>1198</v>
      </c>
      <c r="I3659" s="93" t="s">
        <v>111</v>
      </c>
      <c r="J3659" s="93" t="s">
        <v>5574</v>
      </c>
      <c r="K3659" s="93">
        <v>75</v>
      </c>
      <c r="L3659" s="93" t="s">
        <v>111</v>
      </c>
      <c r="M3659" s="93">
        <v>1.81</v>
      </c>
      <c r="N3659" s="93" t="s">
        <v>113</v>
      </c>
      <c r="O3659" s="93">
        <v>10.16</v>
      </c>
      <c r="P3659" s="93">
        <v>10.16</v>
      </c>
      <c r="Q3659" s="93">
        <v>147.32</v>
      </c>
      <c r="R3659" s="93" t="s">
        <v>5618</v>
      </c>
      <c r="S3659" s="93" t="s">
        <v>2</v>
      </c>
      <c r="T3659" s="93" t="s">
        <v>115</v>
      </c>
      <c r="U3659" s="93" t="s">
        <v>116</v>
      </c>
      <c r="V3659" s="94">
        <v>44628.469444444447</v>
      </c>
      <c r="W3659" s="93" t="s">
        <v>1555</v>
      </c>
      <c r="X3659" s="93" t="s">
        <v>24</v>
      </c>
    </row>
    <row r="3660" spans="1:24" hidden="1" x14ac:dyDescent="0.15">
      <c r="A3660" s="93" t="s">
        <v>5643</v>
      </c>
      <c r="B3660" s="93" t="s">
        <v>5644</v>
      </c>
      <c r="C3660" s="410">
        <v>670.95</v>
      </c>
      <c r="D3660" s="93" t="s">
        <v>24</v>
      </c>
      <c r="E3660" s="93" t="s">
        <v>24</v>
      </c>
      <c r="F3660" s="93" t="s">
        <v>7070</v>
      </c>
      <c r="G3660" s="93" t="s">
        <v>9507</v>
      </c>
      <c r="H3660" s="93" t="s">
        <v>1198</v>
      </c>
      <c r="I3660" s="93" t="s">
        <v>111</v>
      </c>
      <c r="J3660" s="93" t="s">
        <v>5574</v>
      </c>
      <c r="K3660" s="93">
        <v>75</v>
      </c>
      <c r="L3660" s="93">
        <v>1</v>
      </c>
      <c r="M3660" s="93">
        <v>11.3</v>
      </c>
      <c r="N3660" s="93" t="s">
        <v>113</v>
      </c>
      <c r="O3660" s="93">
        <v>130</v>
      </c>
      <c r="P3660" s="93">
        <v>36</v>
      </c>
      <c r="Q3660" s="93">
        <v>102</v>
      </c>
      <c r="R3660" s="93" t="s">
        <v>117</v>
      </c>
      <c r="S3660" s="93" t="s">
        <v>2</v>
      </c>
      <c r="T3660" s="93" t="s">
        <v>115</v>
      </c>
      <c r="U3660" s="93" t="s">
        <v>116</v>
      </c>
      <c r="V3660" s="94">
        <v>44628.557638888888</v>
      </c>
      <c r="W3660" s="93" t="s">
        <v>1207</v>
      </c>
      <c r="X3660" s="93" t="s">
        <v>24</v>
      </c>
    </row>
    <row r="3661" spans="1:24" hidden="1" x14ac:dyDescent="0.15">
      <c r="A3661" s="93" t="s">
        <v>5645</v>
      </c>
      <c r="B3661" s="93" t="s">
        <v>5646</v>
      </c>
      <c r="C3661" s="410">
        <v>943.95</v>
      </c>
      <c r="D3661" s="93" t="s">
        <v>24</v>
      </c>
      <c r="E3661" s="93" t="s">
        <v>24</v>
      </c>
      <c r="F3661" s="93" t="s">
        <v>7070</v>
      </c>
      <c r="G3661" s="93" t="s">
        <v>9507</v>
      </c>
      <c r="H3661" s="93" t="s">
        <v>1198</v>
      </c>
      <c r="I3661" s="93" t="s">
        <v>111</v>
      </c>
      <c r="J3661" s="93" t="s">
        <v>5574</v>
      </c>
      <c r="K3661" s="93">
        <v>75</v>
      </c>
      <c r="L3661" s="93" t="s">
        <v>111</v>
      </c>
      <c r="M3661" s="93">
        <v>9.9700000000000006</v>
      </c>
      <c r="N3661" s="93" t="s">
        <v>113</v>
      </c>
      <c r="O3661" s="93">
        <v>10.16</v>
      </c>
      <c r="P3661" s="93">
        <v>10.16</v>
      </c>
      <c r="Q3661" s="93">
        <v>147.32</v>
      </c>
      <c r="R3661" s="93" t="s">
        <v>5618</v>
      </c>
      <c r="S3661" s="93" t="s">
        <v>2</v>
      </c>
      <c r="T3661" s="93" t="s">
        <v>115</v>
      </c>
      <c r="U3661" s="93" t="s">
        <v>116</v>
      </c>
      <c r="V3661" s="94">
        <v>44628.577777777777</v>
      </c>
      <c r="W3661" s="93" t="s">
        <v>1555</v>
      </c>
      <c r="X3661" s="93" t="s">
        <v>24</v>
      </c>
    </row>
    <row r="3662" spans="1:24" hidden="1" x14ac:dyDescent="0.15">
      <c r="A3662" s="93" t="s">
        <v>5647</v>
      </c>
      <c r="B3662" s="93" t="s">
        <v>5648</v>
      </c>
      <c r="C3662" s="410">
        <v>408.45</v>
      </c>
      <c r="D3662" s="93" t="s">
        <v>9</v>
      </c>
      <c r="E3662" s="93" t="s">
        <v>9</v>
      </c>
      <c r="F3662" s="93" t="s">
        <v>5574</v>
      </c>
      <c r="G3662" s="93" t="s">
        <v>9507</v>
      </c>
      <c r="H3662" s="93" t="s">
        <v>1205</v>
      </c>
      <c r="I3662" s="93" t="s">
        <v>111</v>
      </c>
      <c r="J3662" s="93" t="s">
        <v>5574</v>
      </c>
      <c r="K3662" s="93">
        <v>75</v>
      </c>
      <c r="L3662" s="93">
        <v>1</v>
      </c>
      <c r="M3662" s="93" t="s">
        <v>111</v>
      </c>
      <c r="N3662" s="93" t="s">
        <v>111</v>
      </c>
      <c r="O3662" s="93" t="s">
        <v>111</v>
      </c>
      <c r="P3662" s="93" t="s">
        <v>111</v>
      </c>
      <c r="Q3662" s="93" t="s">
        <v>111</v>
      </c>
      <c r="R3662" s="93" t="s">
        <v>117</v>
      </c>
      <c r="S3662" s="93" t="s">
        <v>2</v>
      </c>
      <c r="T3662" s="93" t="s">
        <v>397</v>
      </c>
      <c r="U3662" s="93" t="s">
        <v>116</v>
      </c>
      <c r="V3662" s="94">
        <v>44628.509027777778</v>
      </c>
      <c r="W3662" s="93" t="s">
        <v>1170</v>
      </c>
      <c r="X3662" s="93" t="s">
        <v>9</v>
      </c>
    </row>
    <row r="3663" spans="1:24" hidden="1" x14ac:dyDescent="0.15">
      <c r="A3663" s="93" t="s">
        <v>5649</v>
      </c>
      <c r="B3663" s="93" t="s">
        <v>5650</v>
      </c>
      <c r="C3663" s="410">
        <v>2304.75</v>
      </c>
      <c r="D3663" s="93" t="s">
        <v>9</v>
      </c>
      <c r="E3663" s="93" t="s">
        <v>9</v>
      </c>
      <c r="F3663" s="93" t="s">
        <v>5574</v>
      </c>
      <c r="G3663" s="93" t="s">
        <v>9508</v>
      </c>
      <c r="H3663" s="93" t="s">
        <v>1943</v>
      </c>
      <c r="I3663" s="93" t="s">
        <v>111</v>
      </c>
      <c r="J3663" s="93" t="s">
        <v>5574</v>
      </c>
      <c r="K3663" s="93">
        <v>75</v>
      </c>
      <c r="L3663" s="93" t="s">
        <v>111</v>
      </c>
      <c r="M3663" s="93">
        <v>0.90720000000000001</v>
      </c>
      <c r="N3663" s="93" t="s">
        <v>113</v>
      </c>
      <c r="O3663" s="93">
        <v>7.62</v>
      </c>
      <c r="P3663" s="93">
        <v>13.97</v>
      </c>
      <c r="Q3663" s="93">
        <v>26.67</v>
      </c>
      <c r="R3663" s="93" t="s">
        <v>123</v>
      </c>
      <c r="S3663" s="93" t="s">
        <v>2</v>
      </c>
      <c r="T3663" s="93" t="s">
        <v>5575</v>
      </c>
      <c r="U3663" s="93" t="s">
        <v>116</v>
      </c>
      <c r="V3663" s="94">
        <v>44628.538194444445</v>
      </c>
      <c r="W3663" s="93" t="s">
        <v>1207</v>
      </c>
      <c r="X3663" s="93" t="s">
        <v>24</v>
      </c>
    </row>
    <row r="3664" spans="1:24" hidden="1" x14ac:dyDescent="0.15">
      <c r="A3664" s="93" t="s">
        <v>5651</v>
      </c>
      <c r="B3664" s="93" t="s">
        <v>5652</v>
      </c>
      <c r="C3664" s="410">
        <v>1464.75</v>
      </c>
      <c r="D3664" s="93" t="s">
        <v>9</v>
      </c>
      <c r="E3664" s="93" t="s">
        <v>9</v>
      </c>
      <c r="F3664" s="93" t="s">
        <v>5574</v>
      </c>
      <c r="G3664" s="93" t="s">
        <v>9509</v>
      </c>
      <c r="H3664" s="93" t="s">
        <v>1943</v>
      </c>
      <c r="I3664" s="93" t="s">
        <v>111</v>
      </c>
      <c r="J3664" s="93" t="s">
        <v>5574</v>
      </c>
      <c r="K3664" s="93">
        <v>75</v>
      </c>
      <c r="L3664" s="93" t="s">
        <v>111</v>
      </c>
      <c r="M3664" s="93">
        <v>0.81640000000000001</v>
      </c>
      <c r="N3664" s="93" t="s">
        <v>113</v>
      </c>
      <c r="O3664" s="93">
        <v>7.62</v>
      </c>
      <c r="P3664" s="93">
        <v>13.97</v>
      </c>
      <c r="Q3664" s="93">
        <v>26.67</v>
      </c>
      <c r="R3664" s="93" t="s">
        <v>123</v>
      </c>
      <c r="S3664" s="93" t="s">
        <v>2</v>
      </c>
      <c r="T3664" s="93" t="s">
        <v>383</v>
      </c>
      <c r="U3664" s="93" t="s">
        <v>119</v>
      </c>
      <c r="V3664" s="94">
        <v>44628.469444444447</v>
      </c>
      <c r="W3664" s="93" t="s">
        <v>1817</v>
      </c>
      <c r="X3664" s="93" t="s">
        <v>24</v>
      </c>
    </row>
    <row r="3665" spans="1:24" hidden="1" x14ac:dyDescent="0.15">
      <c r="A3665" s="93" t="s">
        <v>5653</v>
      </c>
      <c r="B3665" s="93" t="s">
        <v>5654</v>
      </c>
      <c r="C3665" s="410">
        <v>1569.75</v>
      </c>
      <c r="D3665" s="93" t="s">
        <v>9</v>
      </c>
      <c r="E3665" s="93" t="s">
        <v>9</v>
      </c>
      <c r="F3665" s="93" t="s">
        <v>5574</v>
      </c>
      <c r="G3665" s="93" t="s">
        <v>9509</v>
      </c>
      <c r="H3665" s="93" t="s">
        <v>1943</v>
      </c>
      <c r="I3665" s="93" t="s">
        <v>111</v>
      </c>
      <c r="J3665" s="93" t="s">
        <v>5574</v>
      </c>
      <c r="K3665" s="93">
        <v>75</v>
      </c>
      <c r="L3665" s="93" t="s">
        <v>111</v>
      </c>
      <c r="M3665" s="93">
        <v>0.81640000000000001</v>
      </c>
      <c r="N3665" s="93" t="s">
        <v>113</v>
      </c>
      <c r="O3665" s="93">
        <v>7.62</v>
      </c>
      <c r="P3665" s="93">
        <v>13.97</v>
      </c>
      <c r="Q3665" s="93">
        <v>26.67</v>
      </c>
      <c r="R3665" s="93" t="s">
        <v>123</v>
      </c>
      <c r="S3665" s="93" t="s">
        <v>2</v>
      </c>
      <c r="T3665" s="93" t="s">
        <v>383</v>
      </c>
      <c r="U3665" s="93" t="s">
        <v>119</v>
      </c>
      <c r="V3665" s="94">
        <v>44628.599305555559</v>
      </c>
      <c r="W3665" s="93" t="s">
        <v>1207</v>
      </c>
      <c r="X3665" s="93" t="s">
        <v>24</v>
      </c>
    </row>
    <row r="3666" spans="1:24" hidden="1" x14ac:dyDescent="0.15">
      <c r="A3666" s="93" t="s">
        <v>5655</v>
      </c>
      <c r="B3666" s="93" t="s">
        <v>5656</v>
      </c>
      <c r="C3666" s="410">
        <v>2199.75</v>
      </c>
      <c r="D3666" s="93" t="s">
        <v>9</v>
      </c>
      <c r="E3666" s="93" t="s">
        <v>24</v>
      </c>
      <c r="F3666" s="93" t="s">
        <v>5574</v>
      </c>
      <c r="G3666" s="93" t="s">
        <v>9509</v>
      </c>
      <c r="H3666" s="93" t="s">
        <v>1943</v>
      </c>
      <c r="I3666" s="93" t="s">
        <v>111</v>
      </c>
      <c r="J3666" s="93" t="s">
        <v>5574</v>
      </c>
      <c r="K3666" s="93">
        <v>75</v>
      </c>
      <c r="L3666" s="93" t="s">
        <v>111</v>
      </c>
      <c r="M3666" s="93">
        <v>0.90720000000000001</v>
      </c>
      <c r="N3666" s="93" t="s">
        <v>113</v>
      </c>
      <c r="O3666" s="93">
        <v>7.62</v>
      </c>
      <c r="P3666" s="93">
        <v>13.97</v>
      </c>
      <c r="Q3666" s="93">
        <v>26.67</v>
      </c>
      <c r="R3666" s="93" t="s">
        <v>123</v>
      </c>
      <c r="S3666" s="93" t="s">
        <v>2</v>
      </c>
      <c r="T3666" s="93" t="s">
        <v>5575</v>
      </c>
      <c r="U3666" s="93" t="s">
        <v>116</v>
      </c>
      <c r="V3666" s="94">
        <v>44628.637499999997</v>
      </c>
      <c r="W3666" s="93" t="s">
        <v>1170</v>
      </c>
      <c r="X3666" s="93" t="s">
        <v>24</v>
      </c>
    </row>
    <row r="3667" spans="1:24" hidden="1" x14ac:dyDescent="0.15">
      <c r="A3667" s="93" t="s">
        <v>5657</v>
      </c>
      <c r="B3667" s="93" t="s">
        <v>5656</v>
      </c>
      <c r="C3667" s="410">
        <v>2199.75</v>
      </c>
      <c r="D3667" s="93" t="s">
        <v>9</v>
      </c>
      <c r="E3667" s="93" t="s">
        <v>9</v>
      </c>
      <c r="F3667" s="93" t="s">
        <v>5574</v>
      </c>
      <c r="G3667" s="93" t="s">
        <v>9509</v>
      </c>
      <c r="H3667" s="93" t="s">
        <v>1943</v>
      </c>
      <c r="I3667" s="93" t="s">
        <v>111</v>
      </c>
      <c r="J3667" s="93" t="s">
        <v>5574</v>
      </c>
      <c r="K3667" s="93">
        <v>75</v>
      </c>
      <c r="L3667" s="93" t="s">
        <v>111</v>
      </c>
      <c r="M3667" s="93">
        <v>0.90720000000000001</v>
      </c>
      <c r="N3667" s="93" t="s">
        <v>113</v>
      </c>
      <c r="O3667" s="93">
        <v>7.62</v>
      </c>
      <c r="P3667" s="93">
        <v>13.97</v>
      </c>
      <c r="Q3667" s="93">
        <v>26.67</v>
      </c>
      <c r="R3667" s="93" t="s">
        <v>123</v>
      </c>
      <c r="S3667" s="93" t="s">
        <v>2</v>
      </c>
      <c r="T3667" s="93" t="s">
        <v>383</v>
      </c>
      <c r="U3667" s="93" t="s">
        <v>116</v>
      </c>
      <c r="V3667" s="94">
        <v>44628.599305555559</v>
      </c>
      <c r="W3667" s="93" t="s">
        <v>1170</v>
      </c>
      <c r="X3667" s="93" t="s">
        <v>9</v>
      </c>
    </row>
    <row r="3668" spans="1:24" hidden="1" x14ac:dyDescent="0.15">
      <c r="A3668" s="93" t="s">
        <v>5658</v>
      </c>
      <c r="B3668" s="93" t="s">
        <v>5659</v>
      </c>
      <c r="C3668" s="410">
        <v>866.25</v>
      </c>
      <c r="D3668" s="93" t="s">
        <v>9</v>
      </c>
      <c r="E3668" s="93" t="s">
        <v>9</v>
      </c>
      <c r="F3668" s="93" t="s">
        <v>5574</v>
      </c>
      <c r="G3668" s="93" t="s">
        <v>9509</v>
      </c>
      <c r="H3668" s="93" t="s">
        <v>1943</v>
      </c>
      <c r="I3668" s="93" t="s">
        <v>111</v>
      </c>
      <c r="J3668" s="93" t="s">
        <v>5574</v>
      </c>
      <c r="K3668" s="93">
        <v>75</v>
      </c>
      <c r="L3668" s="93" t="s">
        <v>111</v>
      </c>
      <c r="M3668" s="93">
        <v>9.0709999999999999E-2</v>
      </c>
      <c r="N3668" s="93" t="s">
        <v>113</v>
      </c>
      <c r="O3668" s="93">
        <v>2.54</v>
      </c>
      <c r="P3668" s="93">
        <v>8.6999999999999993</v>
      </c>
      <c r="Q3668" s="93">
        <v>19.5</v>
      </c>
      <c r="R3668" s="93" t="s">
        <v>123</v>
      </c>
      <c r="S3668" s="93" t="s">
        <v>111</v>
      </c>
      <c r="T3668" s="93" t="s">
        <v>5575</v>
      </c>
      <c r="U3668" s="93" t="s">
        <v>119</v>
      </c>
      <c r="V3668" s="94">
        <v>44628.488888888889</v>
      </c>
      <c r="W3668" s="93" t="s">
        <v>1207</v>
      </c>
      <c r="X3668" s="93" t="s">
        <v>24</v>
      </c>
    </row>
    <row r="3669" spans="1:24" hidden="1" x14ac:dyDescent="0.15">
      <c r="A3669" s="93" t="s">
        <v>9510</v>
      </c>
      <c r="B3669" s="93" t="s">
        <v>9511</v>
      </c>
      <c r="C3669" s="410">
        <v>1149.75</v>
      </c>
      <c r="D3669" s="93" t="s">
        <v>9</v>
      </c>
      <c r="E3669" s="93" t="s">
        <v>9</v>
      </c>
      <c r="F3669" s="93" t="s">
        <v>7070</v>
      </c>
      <c r="G3669" s="93" t="s">
        <v>9507</v>
      </c>
      <c r="H3669" s="93" t="s">
        <v>1943</v>
      </c>
      <c r="I3669" s="93" t="s">
        <v>111</v>
      </c>
      <c r="J3669" s="93" t="s">
        <v>5574</v>
      </c>
      <c r="K3669" s="93">
        <v>75</v>
      </c>
      <c r="L3669" s="93" t="s">
        <v>111</v>
      </c>
      <c r="M3669" s="93">
        <v>0.79400000000000004</v>
      </c>
      <c r="N3669" s="93" t="s">
        <v>113</v>
      </c>
      <c r="O3669" s="93">
        <v>7.62</v>
      </c>
      <c r="P3669" s="93">
        <v>13.97</v>
      </c>
      <c r="Q3669" s="93">
        <v>26.67</v>
      </c>
      <c r="R3669" s="93" t="s">
        <v>123</v>
      </c>
      <c r="S3669" s="93" t="s">
        <v>2</v>
      </c>
      <c r="T3669" s="93" t="s">
        <v>397</v>
      </c>
      <c r="U3669" s="93" t="s">
        <v>116</v>
      </c>
      <c r="V3669" s="94">
        <v>44628.59375</v>
      </c>
      <c r="W3669" s="93" t="s">
        <v>1817</v>
      </c>
      <c r="X3669" s="93" t="s">
        <v>9</v>
      </c>
    </row>
    <row r="3670" spans="1:24" hidden="1" x14ac:dyDescent="0.15">
      <c r="A3670" s="93" t="s">
        <v>9512</v>
      </c>
      <c r="B3670" s="93" t="s">
        <v>9513</v>
      </c>
      <c r="C3670" s="410">
        <v>624.75</v>
      </c>
      <c r="D3670" s="93" t="s">
        <v>24</v>
      </c>
      <c r="E3670" s="93" t="s">
        <v>9</v>
      </c>
      <c r="F3670" s="93" t="s">
        <v>7070</v>
      </c>
      <c r="G3670" s="93" t="s">
        <v>9507</v>
      </c>
      <c r="H3670" s="93" t="s">
        <v>1943</v>
      </c>
      <c r="I3670" s="93" t="s">
        <v>111</v>
      </c>
      <c r="J3670" s="93" t="s">
        <v>5574</v>
      </c>
      <c r="K3670" s="93">
        <v>75</v>
      </c>
      <c r="L3670" s="93" t="s">
        <v>111</v>
      </c>
      <c r="M3670" s="93" t="s">
        <v>111</v>
      </c>
      <c r="N3670" s="93" t="s">
        <v>111</v>
      </c>
      <c r="O3670" s="93" t="s">
        <v>111</v>
      </c>
      <c r="P3670" s="93" t="s">
        <v>111</v>
      </c>
      <c r="Q3670" s="93" t="s">
        <v>111</v>
      </c>
      <c r="R3670" s="93" t="s">
        <v>123</v>
      </c>
      <c r="S3670" s="93" t="s">
        <v>2</v>
      </c>
      <c r="T3670" s="93" t="s">
        <v>397</v>
      </c>
      <c r="U3670" s="93" t="s">
        <v>116</v>
      </c>
      <c r="V3670" s="94">
        <v>44628.52847222222</v>
      </c>
      <c r="W3670" s="93" t="s">
        <v>1170</v>
      </c>
      <c r="X3670" s="93" t="s">
        <v>9</v>
      </c>
    </row>
    <row r="3671" spans="1:24" hidden="1" x14ac:dyDescent="0.15">
      <c r="A3671" s="93" t="s">
        <v>9514</v>
      </c>
      <c r="B3671" s="93" t="s">
        <v>9515</v>
      </c>
      <c r="C3671" s="410">
        <v>1989.75</v>
      </c>
      <c r="D3671" s="93" t="s">
        <v>9</v>
      </c>
      <c r="E3671" s="93" t="s">
        <v>9</v>
      </c>
      <c r="F3671" s="93" t="s">
        <v>7070</v>
      </c>
      <c r="G3671" s="93" t="s">
        <v>9516</v>
      </c>
      <c r="H3671" s="93" t="s">
        <v>1943</v>
      </c>
      <c r="I3671" s="93" t="s">
        <v>111</v>
      </c>
      <c r="J3671" s="93" t="s">
        <v>5574</v>
      </c>
      <c r="K3671" s="93">
        <v>75</v>
      </c>
      <c r="L3671" s="93" t="s">
        <v>111</v>
      </c>
      <c r="M3671" s="93">
        <v>0.81599999999999995</v>
      </c>
      <c r="N3671" s="93" t="s">
        <v>113</v>
      </c>
      <c r="O3671" s="93">
        <v>7.62</v>
      </c>
      <c r="P3671" s="93">
        <v>13.97</v>
      </c>
      <c r="Q3671" s="93">
        <v>26.67</v>
      </c>
      <c r="R3671" s="93" t="s">
        <v>123</v>
      </c>
      <c r="S3671" s="93" t="s">
        <v>2</v>
      </c>
      <c r="T3671" s="93" t="s">
        <v>5575</v>
      </c>
      <c r="U3671" s="93" t="s">
        <v>116</v>
      </c>
      <c r="V3671" s="94">
        <v>44628.628472222219</v>
      </c>
      <c r="W3671" s="93" t="s">
        <v>1817</v>
      </c>
      <c r="X3671" s="93" t="s">
        <v>9</v>
      </c>
    </row>
    <row r="3672" spans="1:24" hidden="1" x14ac:dyDescent="0.15">
      <c r="A3672" s="93" t="s">
        <v>9517</v>
      </c>
      <c r="B3672" s="93" t="s">
        <v>9518</v>
      </c>
      <c r="C3672" s="410">
        <v>2199.75</v>
      </c>
      <c r="D3672" s="93" t="s">
        <v>9</v>
      </c>
      <c r="E3672" s="93" t="s">
        <v>9</v>
      </c>
      <c r="F3672" s="93" t="s">
        <v>7070</v>
      </c>
      <c r="G3672" s="93" t="s">
        <v>9516</v>
      </c>
      <c r="H3672" s="93" t="s">
        <v>1943</v>
      </c>
      <c r="I3672" s="93" t="s">
        <v>111</v>
      </c>
      <c r="J3672" s="93" t="s">
        <v>5574</v>
      </c>
      <c r="K3672" s="93">
        <v>75</v>
      </c>
      <c r="L3672" s="93" t="s">
        <v>111</v>
      </c>
      <c r="M3672" s="93">
        <v>0.81599999999999995</v>
      </c>
      <c r="N3672" s="93" t="s">
        <v>113</v>
      </c>
      <c r="O3672" s="93">
        <v>7.62</v>
      </c>
      <c r="P3672" s="93">
        <v>13.97</v>
      </c>
      <c r="Q3672" s="93">
        <v>26.67</v>
      </c>
      <c r="R3672" s="93" t="s">
        <v>123</v>
      </c>
      <c r="S3672" s="93" t="s">
        <v>2</v>
      </c>
      <c r="T3672" s="93" t="s">
        <v>5575</v>
      </c>
      <c r="U3672" s="93" t="s">
        <v>116</v>
      </c>
      <c r="V3672" s="94">
        <v>44628.59375</v>
      </c>
      <c r="W3672" s="93" t="s">
        <v>1817</v>
      </c>
      <c r="X3672" s="93" t="s">
        <v>9</v>
      </c>
    </row>
    <row r="3673" spans="1:24" hidden="1" x14ac:dyDescent="0.15">
      <c r="A3673" s="93" t="s">
        <v>9519</v>
      </c>
      <c r="B3673" s="93" t="s">
        <v>9520</v>
      </c>
      <c r="C3673" s="410">
        <v>3039.75</v>
      </c>
      <c r="D3673" s="93" t="s">
        <v>9</v>
      </c>
      <c r="E3673" s="93" t="s">
        <v>9</v>
      </c>
      <c r="F3673" s="93" t="s">
        <v>7070</v>
      </c>
      <c r="G3673" s="93" t="s">
        <v>9516</v>
      </c>
      <c r="H3673" s="93" t="s">
        <v>1943</v>
      </c>
      <c r="I3673" s="93" t="s">
        <v>111</v>
      </c>
      <c r="J3673" s="93" t="s">
        <v>5574</v>
      </c>
      <c r="K3673" s="93">
        <v>75</v>
      </c>
      <c r="L3673" s="93" t="s">
        <v>111</v>
      </c>
      <c r="M3673" s="93">
        <v>0.90700000000000003</v>
      </c>
      <c r="N3673" s="93" t="s">
        <v>113</v>
      </c>
      <c r="O3673" s="93">
        <v>7.62</v>
      </c>
      <c r="P3673" s="93">
        <v>13.97</v>
      </c>
      <c r="Q3673" s="93">
        <v>26.7</v>
      </c>
      <c r="R3673" s="93" t="s">
        <v>123</v>
      </c>
      <c r="S3673" s="93" t="s">
        <v>2</v>
      </c>
      <c r="T3673" s="93" t="s">
        <v>5575</v>
      </c>
      <c r="U3673" s="93" t="s">
        <v>116</v>
      </c>
      <c r="V3673" s="94">
        <v>44628.506944444445</v>
      </c>
      <c r="W3673" s="93" t="s">
        <v>1817</v>
      </c>
      <c r="X3673" s="93" t="s">
        <v>9</v>
      </c>
    </row>
    <row r="3674" spans="1:24" hidden="1" x14ac:dyDescent="0.15">
      <c r="A3674" s="93" t="s">
        <v>9521</v>
      </c>
      <c r="B3674" s="93" t="s">
        <v>9522</v>
      </c>
      <c r="C3674" s="410">
        <v>2199.75</v>
      </c>
      <c r="D3674" s="93" t="s">
        <v>9</v>
      </c>
      <c r="E3674" s="93" t="s">
        <v>9</v>
      </c>
      <c r="F3674" s="93" t="s">
        <v>7070</v>
      </c>
      <c r="G3674" s="93" t="s">
        <v>9523</v>
      </c>
      <c r="H3674" s="93" t="s">
        <v>1943</v>
      </c>
      <c r="I3674" s="93" t="s">
        <v>111</v>
      </c>
      <c r="J3674" s="93" t="s">
        <v>5574</v>
      </c>
      <c r="K3674" s="93">
        <v>75</v>
      </c>
      <c r="L3674" s="93" t="s">
        <v>111</v>
      </c>
      <c r="M3674" s="93">
        <v>0.81599999999999995</v>
      </c>
      <c r="N3674" s="93" t="s">
        <v>113</v>
      </c>
      <c r="O3674" s="93">
        <v>7.62</v>
      </c>
      <c r="P3674" s="93">
        <v>13.97</v>
      </c>
      <c r="Q3674" s="93">
        <v>26.67</v>
      </c>
      <c r="R3674" s="93" t="s">
        <v>123</v>
      </c>
      <c r="S3674" s="93" t="s">
        <v>2</v>
      </c>
      <c r="T3674" s="93" t="s">
        <v>5575</v>
      </c>
      <c r="U3674" s="93" t="s">
        <v>116</v>
      </c>
      <c r="V3674" s="94">
        <v>44628.463888888888</v>
      </c>
      <c r="W3674" s="93" t="s">
        <v>1817</v>
      </c>
      <c r="X3674" s="93" t="s">
        <v>9</v>
      </c>
    </row>
    <row r="3675" spans="1:24" hidden="1" x14ac:dyDescent="0.15">
      <c r="A3675" s="93" t="s">
        <v>9524</v>
      </c>
      <c r="B3675" s="93" t="s">
        <v>9525</v>
      </c>
      <c r="C3675" s="410">
        <v>2409.75</v>
      </c>
      <c r="D3675" s="93" t="s">
        <v>9</v>
      </c>
      <c r="E3675" s="93" t="s">
        <v>9</v>
      </c>
      <c r="F3675" s="93" t="s">
        <v>7070</v>
      </c>
      <c r="G3675" s="93" t="s">
        <v>9523</v>
      </c>
      <c r="H3675" s="93" t="s">
        <v>1943</v>
      </c>
      <c r="I3675" s="93" t="s">
        <v>111</v>
      </c>
      <c r="J3675" s="93" t="s">
        <v>5574</v>
      </c>
      <c r="K3675" s="93">
        <v>75</v>
      </c>
      <c r="L3675" s="93" t="s">
        <v>111</v>
      </c>
      <c r="M3675" s="93">
        <v>0.90700000000000003</v>
      </c>
      <c r="N3675" s="93" t="s">
        <v>113</v>
      </c>
      <c r="O3675" s="93">
        <v>7.62</v>
      </c>
      <c r="P3675" s="93">
        <v>13.97</v>
      </c>
      <c r="Q3675" s="93">
        <v>26.67</v>
      </c>
      <c r="R3675" s="93" t="s">
        <v>123</v>
      </c>
      <c r="S3675" s="93" t="s">
        <v>2</v>
      </c>
      <c r="T3675" s="93" t="s">
        <v>5575</v>
      </c>
      <c r="U3675" s="93" t="s">
        <v>116</v>
      </c>
      <c r="V3675" s="94">
        <v>44628.506944444445</v>
      </c>
      <c r="W3675" s="93" t="s">
        <v>1817</v>
      </c>
      <c r="X3675" s="93" t="s">
        <v>9</v>
      </c>
    </row>
    <row r="3676" spans="1:24" hidden="1" x14ac:dyDescent="0.15">
      <c r="A3676" s="93" t="s">
        <v>9526</v>
      </c>
      <c r="B3676" s="93" t="s">
        <v>9527</v>
      </c>
      <c r="C3676" s="410">
        <v>3249.75</v>
      </c>
      <c r="D3676" s="93" t="s">
        <v>9</v>
      </c>
      <c r="E3676" s="93" t="s">
        <v>9</v>
      </c>
      <c r="F3676" s="93" t="s">
        <v>7070</v>
      </c>
      <c r="G3676" s="93" t="s">
        <v>9523</v>
      </c>
      <c r="H3676" s="93" t="s">
        <v>1943</v>
      </c>
      <c r="I3676" s="93" t="s">
        <v>111</v>
      </c>
      <c r="J3676" s="93" t="s">
        <v>5574</v>
      </c>
      <c r="K3676" s="93">
        <v>75</v>
      </c>
      <c r="L3676" s="93" t="s">
        <v>111</v>
      </c>
      <c r="M3676" s="93">
        <v>0.90700000000000003</v>
      </c>
      <c r="N3676" s="93" t="s">
        <v>113</v>
      </c>
      <c r="O3676" s="93">
        <v>7.62</v>
      </c>
      <c r="P3676" s="93">
        <v>13.97</v>
      </c>
      <c r="Q3676" s="93">
        <v>26.7</v>
      </c>
      <c r="R3676" s="93" t="s">
        <v>123</v>
      </c>
      <c r="S3676" s="93" t="s">
        <v>2</v>
      </c>
      <c r="T3676" s="93" t="s">
        <v>5575</v>
      </c>
      <c r="U3676" s="93" t="s">
        <v>116</v>
      </c>
      <c r="V3676" s="94">
        <v>44628.506944444445</v>
      </c>
      <c r="W3676" s="93" t="s">
        <v>1817</v>
      </c>
      <c r="X3676" s="93" t="s">
        <v>9</v>
      </c>
    </row>
    <row r="3677" spans="1:24" hidden="1" x14ac:dyDescent="0.15">
      <c r="A3677" s="93" t="s">
        <v>9528</v>
      </c>
      <c r="B3677" s="93" t="s">
        <v>9529</v>
      </c>
      <c r="C3677" s="410">
        <v>3354.75</v>
      </c>
      <c r="D3677" s="93" t="s">
        <v>9</v>
      </c>
      <c r="E3677" s="93" t="s">
        <v>9</v>
      </c>
      <c r="F3677" s="93" t="s">
        <v>7070</v>
      </c>
      <c r="G3677" s="93" t="s">
        <v>9523</v>
      </c>
      <c r="H3677" s="93" t="s">
        <v>1943</v>
      </c>
      <c r="I3677" s="93" t="s">
        <v>111</v>
      </c>
      <c r="J3677" s="93" t="s">
        <v>5574</v>
      </c>
      <c r="K3677" s="93">
        <v>75</v>
      </c>
      <c r="L3677" s="93" t="s">
        <v>111</v>
      </c>
      <c r="M3677" s="93">
        <v>0.81599999999999995</v>
      </c>
      <c r="N3677" s="93" t="s">
        <v>113</v>
      </c>
      <c r="O3677" s="93">
        <v>7.62</v>
      </c>
      <c r="P3677" s="93">
        <v>13.97</v>
      </c>
      <c r="Q3677" s="93">
        <v>26.67</v>
      </c>
      <c r="R3677" s="93" t="s">
        <v>123</v>
      </c>
      <c r="S3677" s="93" t="s">
        <v>2</v>
      </c>
      <c r="T3677" s="93" t="s">
        <v>5575</v>
      </c>
      <c r="U3677" s="93" t="s">
        <v>116</v>
      </c>
      <c r="V3677" s="94">
        <v>44628.571527777778</v>
      </c>
      <c r="W3677" s="93" t="s">
        <v>1817</v>
      </c>
      <c r="X3677" s="93" t="s">
        <v>9</v>
      </c>
    </row>
    <row r="3678" spans="1:24" hidden="1" x14ac:dyDescent="0.15">
      <c r="A3678" s="93" t="s">
        <v>9530</v>
      </c>
      <c r="B3678" s="93" t="s">
        <v>9531</v>
      </c>
      <c r="C3678" s="410">
        <v>2199.75</v>
      </c>
      <c r="D3678" s="93" t="s">
        <v>9</v>
      </c>
      <c r="E3678" s="93" t="s">
        <v>9</v>
      </c>
      <c r="F3678" s="93" t="s">
        <v>7070</v>
      </c>
      <c r="G3678" s="93" t="s">
        <v>9523</v>
      </c>
      <c r="H3678" s="93" t="s">
        <v>1943</v>
      </c>
      <c r="I3678" s="93" t="s">
        <v>111</v>
      </c>
      <c r="J3678" s="93" t="s">
        <v>5574</v>
      </c>
      <c r="K3678" s="93">
        <v>75</v>
      </c>
      <c r="L3678" s="93" t="s">
        <v>111</v>
      </c>
      <c r="M3678" s="93">
        <v>0.81599999999999995</v>
      </c>
      <c r="N3678" s="93" t="s">
        <v>113</v>
      </c>
      <c r="O3678" s="93">
        <v>7.62</v>
      </c>
      <c r="P3678" s="93">
        <v>13.97</v>
      </c>
      <c r="Q3678" s="93">
        <v>26.67</v>
      </c>
      <c r="R3678" s="93" t="s">
        <v>123</v>
      </c>
      <c r="S3678" s="93" t="s">
        <v>2</v>
      </c>
      <c r="T3678" s="93" t="s">
        <v>5575</v>
      </c>
      <c r="U3678" s="93" t="s">
        <v>116</v>
      </c>
      <c r="V3678" s="94">
        <v>44628.628472222219</v>
      </c>
      <c r="W3678" s="93" t="s">
        <v>1817</v>
      </c>
      <c r="X3678" s="93" t="s">
        <v>9</v>
      </c>
    </row>
    <row r="3679" spans="1:24" hidden="1" x14ac:dyDescent="0.15">
      <c r="A3679" s="93" t="s">
        <v>9532</v>
      </c>
      <c r="B3679" s="93" t="s">
        <v>9533</v>
      </c>
      <c r="C3679" s="410">
        <v>2409.75</v>
      </c>
      <c r="D3679" s="93" t="s">
        <v>9</v>
      </c>
      <c r="E3679" s="93" t="s">
        <v>9</v>
      </c>
      <c r="F3679" s="93" t="s">
        <v>7070</v>
      </c>
      <c r="G3679" s="93" t="s">
        <v>9523</v>
      </c>
      <c r="H3679" s="93" t="s">
        <v>1943</v>
      </c>
      <c r="I3679" s="93" t="s">
        <v>111</v>
      </c>
      <c r="J3679" s="93" t="s">
        <v>5574</v>
      </c>
      <c r="K3679" s="93">
        <v>75</v>
      </c>
      <c r="L3679" s="93" t="s">
        <v>111</v>
      </c>
      <c r="M3679" s="93">
        <v>0.81599999999999995</v>
      </c>
      <c r="N3679" s="93" t="s">
        <v>113</v>
      </c>
      <c r="O3679" s="93">
        <v>7.62</v>
      </c>
      <c r="P3679" s="93">
        <v>13.97</v>
      </c>
      <c r="Q3679" s="93">
        <v>26.67</v>
      </c>
      <c r="R3679" s="93" t="s">
        <v>123</v>
      </c>
      <c r="S3679" s="93" t="s">
        <v>2</v>
      </c>
      <c r="T3679" s="93" t="s">
        <v>5575</v>
      </c>
      <c r="U3679" s="93" t="s">
        <v>116</v>
      </c>
      <c r="V3679" s="94">
        <v>44628.486111111109</v>
      </c>
      <c r="W3679" s="93" t="s">
        <v>1817</v>
      </c>
      <c r="X3679" s="93" t="s">
        <v>9</v>
      </c>
    </row>
    <row r="3680" spans="1:24" hidden="1" x14ac:dyDescent="0.15">
      <c r="A3680" s="93" t="s">
        <v>9534</v>
      </c>
      <c r="B3680" s="93" t="s">
        <v>9535</v>
      </c>
      <c r="C3680" s="410">
        <v>3249.75</v>
      </c>
      <c r="D3680" s="93" t="s">
        <v>9</v>
      </c>
      <c r="E3680" s="93" t="s">
        <v>9</v>
      </c>
      <c r="F3680" s="93" t="s">
        <v>7070</v>
      </c>
      <c r="G3680" s="93" t="s">
        <v>9523</v>
      </c>
      <c r="H3680" s="93" t="s">
        <v>1943</v>
      </c>
      <c r="I3680" s="93" t="s">
        <v>111</v>
      </c>
      <c r="J3680" s="93" t="s">
        <v>5574</v>
      </c>
      <c r="K3680" s="93">
        <v>75</v>
      </c>
      <c r="L3680" s="93" t="s">
        <v>111</v>
      </c>
      <c r="M3680" s="93">
        <v>0.90700000000000003</v>
      </c>
      <c r="N3680" s="93" t="s">
        <v>113</v>
      </c>
      <c r="O3680" s="93">
        <v>7.62</v>
      </c>
      <c r="P3680" s="93">
        <v>13.97</v>
      </c>
      <c r="Q3680" s="93">
        <v>26.67</v>
      </c>
      <c r="R3680" s="93" t="s">
        <v>123</v>
      </c>
      <c r="S3680" s="93" t="s">
        <v>2</v>
      </c>
      <c r="T3680" s="93" t="s">
        <v>5575</v>
      </c>
      <c r="U3680" s="93" t="s">
        <v>116</v>
      </c>
      <c r="V3680" s="94">
        <v>44628.59375</v>
      </c>
      <c r="W3680" s="93" t="s">
        <v>1817</v>
      </c>
      <c r="X3680" s="93" t="s">
        <v>9</v>
      </c>
    </row>
    <row r="3681" spans="1:24" hidden="1" x14ac:dyDescent="0.15">
      <c r="A3681" s="93" t="s">
        <v>9536</v>
      </c>
      <c r="B3681" s="93" t="s">
        <v>9537</v>
      </c>
      <c r="C3681" s="410">
        <v>3354.75</v>
      </c>
      <c r="D3681" s="93" t="s">
        <v>9</v>
      </c>
      <c r="E3681" s="93" t="s">
        <v>9</v>
      </c>
      <c r="F3681" s="93" t="s">
        <v>7070</v>
      </c>
      <c r="G3681" s="93" t="s">
        <v>9523</v>
      </c>
      <c r="H3681" s="93" t="s">
        <v>1943</v>
      </c>
      <c r="I3681" s="93" t="s">
        <v>111</v>
      </c>
      <c r="J3681" s="93" t="s">
        <v>5574</v>
      </c>
      <c r="K3681" s="93">
        <v>75</v>
      </c>
      <c r="L3681" s="93" t="s">
        <v>111</v>
      </c>
      <c r="M3681" s="93">
        <v>0.90700000000000003</v>
      </c>
      <c r="N3681" s="93" t="s">
        <v>113</v>
      </c>
      <c r="O3681" s="93">
        <v>7.62</v>
      </c>
      <c r="P3681" s="93">
        <v>13.97</v>
      </c>
      <c r="Q3681" s="93">
        <v>26.67</v>
      </c>
      <c r="R3681" s="93" t="s">
        <v>123</v>
      </c>
      <c r="S3681" s="93" t="s">
        <v>2</v>
      </c>
      <c r="T3681" s="93" t="s">
        <v>5575</v>
      </c>
      <c r="U3681" s="93" t="s">
        <v>116</v>
      </c>
      <c r="V3681" s="94">
        <v>44628.59375</v>
      </c>
      <c r="W3681" s="93" t="s">
        <v>1817</v>
      </c>
      <c r="X3681" s="93" t="s">
        <v>9</v>
      </c>
    </row>
    <row r="3682" spans="1:24" hidden="1" x14ac:dyDescent="0.15">
      <c r="A3682" s="93" t="s">
        <v>9538</v>
      </c>
      <c r="B3682" s="93" t="s">
        <v>9539</v>
      </c>
      <c r="C3682" s="410">
        <v>2199.75</v>
      </c>
      <c r="D3682" s="93" t="s">
        <v>9</v>
      </c>
      <c r="E3682" s="93" t="s">
        <v>9</v>
      </c>
      <c r="F3682" s="93" t="s">
        <v>7070</v>
      </c>
      <c r="G3682" s="93" t="s">
        <v>9508</v>
      </c>
      <c r="H3682" s="93" t="s">
        <v>1943</v>
      </c>
      <c r="I3682" s="93" t="s">
        <v>111</v>
      </c>
      <c r="J3682" s="93" t="s">
        <v>5574</v>
      </c>
      <c r="K3682" s="93">
        <v>75</v>
      </c>
      <c r="L3682" s="93" t="s">
        <v>111</v>
      </c>
      <c r="M3682" s="93">
        <v>0.81599999999999995</v>
      </c>
      <c r="N3682" s="93" t="s">
        <v>113</v>
      </c>
      <c r="O3682" s="93">
        <v>7.62</v>
      </c>
      <c r="P3682" s="93">
        <v>13.97</v>
      </c>
      <c r="Q3682" s="93">
        <v>26.67</v>
      </c>
      <c r="R3682" s="93" t="s">
        <v>123</v>
      </c>
      <c r="S3682" s="93" t="s">
        <v>2</v>
      </c>
      <c r="T3682" s="93" t="s">
        <v>5575</v>
      </c>
      <c r="U3682" s="93" t="s">
        <v>116</v>
      </c>
      <c r="V3682" s="94">
        <v>44628.550694444442</v>
      </c>
      <c r="W3682" s="93" t="s">
        <v>1207</v>
      </c>
      <c r="X3682" s="93" t="s">
        <v>9</v>
      </c>
    </row>
    <row r="3683" spans="1:24" hidden="1" x14ac:dyDescent="0.15">
      <c r="A3683" s="93" t="s">
        <v>9540</v>
      </c>
      <c r="B3683" s="93" t="s">
        <v>9541</v>
      </c>
      <c r="C3683" s="410">
        <v>2409.75</v>
      </c>
      <c r="D3683" s="93" t="s">
        <v>9</v>
      </c>
      <c r="E3683" s="93" t="s">
        <v>9</v>
      </c>
      <c r="F3683" s="93" t="s">
        <v>7070</v>
      </c>
      <c r="G3683" s="93" t="s">
        <v>9508</v>
      </c>
      <c r="H3683" s="93" t="s">
        <v>1943</v>
      </c>
      <c r="I3683" s="93" t="s">
        <v>111</v>
      </c>
      <c r="J3683" s="93" t="s">
        <v>5574</v>
      </c>
      <c r="K3683" s="93">
        <v>75</v>
      </c>
      <c r="L3683" s="93" t="s">
        <v>111</v>
      </c>
      <c r="M3683" s="93">
        <v>0.81599999999999995</v>
      </c>
      <c r="N3683" s="93" t="s">
        <v>113</v>
      </c>
      <c r="O3683" s="93">
        <v>7.62</v>
      </c>
      <c r="P3683" s="93">
        <v>13.97</v>
      </c>
      <c r="Q3683" s="93">
        <v>26.67</v>
      </c>
      <c r="R3683" s="93" t="s">
        <v>123</v>
      </c>
      <c r="S3683" s="93" t="s">
        <v>2</v>
      </c>
      <c r="T3683" s="93" t="s">
        <v>5575</v>
      </c>
      <c r="U3683" s="93" t="s">
        <v>116</v>
      </c>
      <c r="V3683" s="94">
        <v>44628.52847222222</v>
      </c>
      <c r="W3683" s="93" t="s">
        <v>1207</v>
      </c>
      <c r="X3683" s="93" t="s">
        <v>9</v>
      </c>
    </row>
    <row r="3684" spans="1:24" hidden="1" x14ac:dyDescent="0.15">
      <c r="A3684" s="93" t="s">
        <v>9542</v>
      </c>
      <c r="B3684" s="93" t="s">
        <v>9543</v>
      </c>
      <c r="C3684" s="410">
        <v>3039.75</v>
      </c>
      <c r="D3684" s="93" t="s">
        <v>9</v>
      </c>
      <c r="E3684" s="93" t="s">
        <v>9</v>
      </c>
      <c r="F3684" s="93" t="s">
        <v>7070</v>
      </c>
      <c r="G3684" s="93" t="s">
        <v>9508</v>
      </c>
      <c r="H3684" s="93" t="s">
        <v>1943</v>
      </c>
      <c r="I3684" s="93" t="s">
        <v>111</v>
      </c>
      <c r="J3684" s="93" t="s">
        <v>5574</v>
      </c>
      <c r="K3684" s="93">
        <v>75</v>
      </c>
      <c r="L3684" s="93" t="s">
        <v>111</v>
      </c>
      <c r="M3684" s="93">
        <v>5.5</v>
      </c>
      <c r="N3684" s="93" t="s">
        <v>113</v>
      </c>
      <c r="O3684" s="93">
        <v>7.62</v>
      </c>
      <c r="P3684" s="93">
        <v>13.97</v>
      </c>
      <c r="Q3684" s="93">
        <v>26.67</v>
      </c>
      <c r="R3684" s="93" t="s">
        <v>123</v>
      </c>
      <c r="S3684" s="93" t="s">
        <v>2</v>
      </c>
      <c r="T3684" s="93" t="s">
        <v>5575</v>
      </c>
      <c r="U3684" s="93" t="s">
        <v>116</v>
      </c>
      <c r="V3684" s="94">
        <v>44628.550694444442</v>
      </c>
      <c r="W3684" s="93" t="s">
        <v>1207</v>
      </c>
      <c r="X3684" s="93" t="s">
        <v>9</v>
      </c>
    </row>
    <row r="3685" spans="1:24" hidden="1" x14ac:dyDescent="0.15">
      <c r="A3685" s="93" t="s">
        <v>9544</v>
      </c>
      <c r="B3685" s="93" t="s">
        <v>9545</v>
      </c>
      <c r="C3685" s="410">
        <v>3354.75</v>
      </c>
      <c r="D3685" s="93" t="s">
        <v>9</v>
      </c>
      <c r="E3685" s="93" t="s">
        <v>9</v>
      </c>
      <c r="F3685" s="93" t="s">
        <v>7070</v>
      </c>
      <c r="G3685" s="93" t="s">
        <v>9508</v>
      </c>
      <c r="H3685" s="93" t="s">
        <v>1943</v>
      </c>
      <c r="I3685" s="93" t="s">
        <v>111</v>
      </c>
      <c r="J3685" s="93" t="s">
        <v>5574</v>
      </c>
      <c r="K3685" s="93">
        <v>75</v>
      </c>
      <c r="L3685" s="93" t="s">
        <v>111</v>
      </c>
      <c r="M3685" s="93">
        <v>0.90700000000000003</v>
      </c>
      <c r="N3685" s="93" t="s">
        <v>113</v>
      </c>
      <c r="O3685" s="93">
        <v>7.62</v>
      </c>
      <c r="P3685" s="93">
        <v>13.97</v>
      </c>
      <c r="Q3685" s="93">
        <v>26.67</v>
      </c>
      <c r="R3685" s="93" t="s">
        <v>123</v>
      </c>
      <c r="S3685" s="93" t="s">
        <v>2</v>
      </c>
      <c r="T3685" s="93" t="s">
        <v>5575</v>
      </c>
      <c r="U3685" s="93" t="s">
        <v>116</v>
      </c>
      <c r="V3685" s="94">
        <v>44628.628472222219</v>
      </c>
      <c r="W3685" s="93" t="s">
        <v>1207</v>
      </c>
      <c r="X3685" s="93" t="s">
        <v>9</v>
      </c>
    </row>
    <row r="3686" spans="1:24" hidden="1" x14ac:dyDescent="0.15">
      <c r="A3686" s="93" t="s">
        <v>9546</v>
      </c>
      <c r="B3686" s="93" t="s">
        <v>9547</v>
      </c>
      <c r="C3686" s="410">
        <v>1989.75</v>
      </c>
      <c r="D3686" s="93" t="s">
        <v>9</v>
      </c>
      <c r="E3686" s="93" t="s">
        <v>9</v>
      </c>
      <c r="F3686" s="93" t="s">
        <v>7070</v>
      </c>
      <c r="G3686" s="93" t="s">
        <v>9509</v>
      </c>
      <c r="H3686" s="93" t="s">
        <v>1943</v>
      </c>
      <c r="I3686" s="93" t="s">
        <v>111</v>
      </c>
      <c r="J3686" s="93" t="s">
        <v>5574</v>
      </c>
      <c r="K3686" s="93">
        <v>75</v>
      </c>
      <c r="L3686" s="93" t="s">
        <v>111</v>
      </c>
      <c r="M3686" s="93">
        <v>0.81599999999999995</v>
      </c>
      <c r="N3686" s="93" t="s">
        <v>113</v>
      </c>
      <c r="O3686" s="93">
        <v>7.62</v>
      </c>
      <c r="P3686" s="93">
        <v>13.97</v>
      </c>
      <c r="Q3686" s="93">
        <v>26.67</v>
      </c>
      <c r="R3686" s="93" t="s">
        <v>123</v>
      </c>
      <c r="S3686" s="93" t="s">
        <v>2</v>
      </c>
      <c r="T3686" s="93" t="s">
        <v>5575</v>
      </c>
      <c r="U3686" s="93" t="s">
        <v>116</v>
      </c>
      <c r="V3686" s="94">
        <v>44628.52847222222</v>
      </c>
      <c r="W3686" s="93" t="s">
        <v>1167</v>
      </c>
      <c r="X3686" s="93" t="s">
        <v>9</v>
      </c>
    </row>
    <row r="3687" spans="1:24" hidden="1" x14ac:dyDescent="0.15">
      <c r="A3687" s="93" t="s">
        <v>9548</v>
      </c>
      <c r="B3687" s="93" t="s">
        <v>9549</v>
      </c>
      <c r="C3687" s="410">
        <v>2199.75</v>
      </c>
      <c r="D3687" s="93" t="s">
        <v>9</v>
      </c>
      <c r="E3687" s="93" t="s">
        <v>9</v>
      </c>
      <c r="F3687" s="93" t="s">
        <v>7070</v>
      </c>
      <c r="G3687" s="93" t="s">
        <v>9509</v>
      </c>
      <c r="H3687" s="93" t="s">
        <v>1943</v>
      </c>
      <c r="I3687" s="93" t="s">
        <v>111</v>
      </c>
      <c r="J3687" s="93" t="s">
        <v>5574</v>
      </c>
      <c r="K3687" s="93">
        <v>75</v>
      </c>
      <c r="L3687" s="93" t="s">
        <v>111</v>
      </c>
      <c r="M3687" s="93">
        <v>0.81599999999999995</v>
      </c>
      <c r="N3687" s="93" t="s">
        <v>113</v>
      </c>
      <c r="O3687" s="93">
        <v>7.62</v>
      </c>
      <c r="P3687" s="93">
        <v>13.97</v>
      </c>
      <c r="Q3687" s="93">
        <v>26.67</v>
      </c>
      <c r="R3687" s="93" t="s">
        <v>123</v>
      </c>
      <c r="S3687" s="93" t="s">
        <v>2</v>
      </c>
      <c r="T3687" s="93" t="s">
        <v>5575</v>
      </c>
      <c r="U3687" s="93" t="s">
        <v>116</v>
      </c>
      <c r="V3687" s="94">
        <v>44628.571527777778</v>
      </c>
      <c r="W3687" s="93" t="s">
        <v>1817</v>
      </c>
      <c r="X3687" s="93" t="s">
        <v>9</v>
      </c>
    </row>
    <row r="3688" spans="1:24" hidden="1" x14ac:dyDescent="0.15">
      <c r="A3688" s="93" t="s">
        <v>9550</v>
      </c>
      <c r="B3688" s="93" t="s">
        <v>9551</v>
      </c>
      <c r="C3688" s="410">
        <v>2829.75</v>
      </c>
      <c r="D3688" s="93" t="s">
        <v>9</v>
      </c>
      <c r="E3688" s="93" t="s">
        <v>9</v>
      </c>
      <c r="F3688" s="93" t="s">
        <v>7070</v>
      </c>
      <c r="G3688" s="93" t="s">
        <v>9509</v>
      </c>
      <c r="H3688" s="93" t="s">
        <v>1943</v>
      </c>
      <c r="I3688" s="93" t="s">
        <v>111</v>
      </c>
      <c r="J3688" s="93" t="s">
        <v>5574</v>
      </c>
      <c r="K3688" s="93">
        <v>75</v>
      </c>
      <c r="L3688" s="93" t="s">
        <v>111</v>
      </c>
      <c r="M3688" s="93">
        <v>0.90700000000000003</v>
      </c>
      <c r="N3688" s="93" t="s">
        <v>113</v>
      </c>
      <c r="O3688" s="93">
        <v>7.62</v>
      </c>
      <c r="P3688" s="93">
        <v>23</v>
      </c>
      <c r="Q3688" s="93">
        <v>30</v>
      </c>
      <c r="R3688" s="93" t="s">
        <v>123</v>
      </c>
      <c r="S3688" s="93" t="s">
        <v>2</v>
      </c>
      <c r="T3688" s="93" t="s">
        <v>5575</v>
      </c>
      <c r="U3688" s="93" t="s">
        <v>116</v>
      </c>
      <c r="V3688" s="94">
        <v>44628.486111111109</v>
      </c>
      <c r="W3688" s="93" t="s">
        <v>1817</v>
      </c>
      <c r="X3688" s="93" t="s">
        <v>9</v>
      </c>
    </row>
    <row r="3689" spans="1:24" hidden="1" x14ac:dyDescent="0.15">
      <c r="A3689" s="93" t="s">
        <v>9552</v>
      </c>
      <c r="B3689" s="93" t="s">
        <v>9553</v>
      </c>
      <c r="C3689" s="410">
        <v>3039.75</v>
      </c>
      <c r="D3689" s="93" t="s">
        <v>9</v>
      </c>
      <c r="E3689" s="93" t="s">
        <v>9</v>
      </c>
      <c r="F3689" s="93" t="s">
        <v>7070</v>
      </c>
      <c r="G3689" s="93" t="s">
        <v>9509</v>
      </c>
      <c r="H3689" s="93" t="s">
        <v>1943</v>
      </c>
      <c r="I3689" s="93" t="s">
        <v>111</v>
      </c>
      <c r="J3689" s="93" t="s">
        <v>5574</v>
      </c>
      <c r="K3689" s="93">
        <v>75</v>
      </c>
      <c r="L3689" s="93" t="s">
        <v>111</v>
      </c>
      <c r="M3689" s="93">
        <v>0.90700000000000003</v>
      </c>
      <c r="N3689" s="93" t="s">
        <v>113</v>
      </c>
      <c r="O3689" s="93">
        <v>7.62</v>
      </c>
      <c r="P3689" s="93">
        <v>13.97</v>
      </c>
      <c r="Q3689" s="93">
        <v>26.67</v>
      </c>
      <c r="R3689" s="93" t="s">
        <v>123</v>
      </c>
      <c r="S3689" s="93" t="s">
        <v>2</v>
      </c>
      <c r="T3689" s="93" t="s">
        <v>5575</v>
      </c>
      <c r="U3689" s="93" t="s">
        <v>116</v>
      </c>
      <c r="V3689" s="94">
        <v>44628.571527777778</v>
      </c>
      <c r="W3689" s="93" t="s">
        <v>1817</v>
      </c>
      <c r="X3689" s="93" t="s">
        <v>9</v>
      </c>
    </row>
    <row r="3690" spans="1:24" hidden="1" x14ac:dyDescent="0.15">
      <c r="A3690" s="93" t="s">
        <v>9554</v>
      </c>
      <c r="B3690" s="93" t="s">
        <v>9555</v>
      </c>
      <c r="C3690" s="410">
        <v>1359.75</v>
      </c>
      <c r="D3690" s="93" t="s">
        <v>9</v>
      </c>
      <c r="E3690" s="93" t="s">
        <v>9</v>
      </c>
      <c r="F3690" s="93" t="s">
        <v>7070</v>
      </c>
      <c r="G3690" s="93" t="s">
        <v>9509</v>
      </c>
      <c r="H3690" s="93" t="s">
        <v>1943</v>
      </c>
      <c r="I3690" s="93" t="s">
        <v>111</v>
      </c>
      <c r="J3690" s="93" t="s">
        <v>5574</v>
      </c>
      <c r="K3690" s="93">
        <v>75</v>
      </c>
      <c r="L3690" s="93" t="s">
        <v>111</v>
      </c>
      <c r="M3690" s="93">
        <v>9.0999999999999998E-2</v>
      </c>
      <c r="N3690" s="93" t="s">
        <v>113</v>
      </c>
      <c r="O3690" s="93">
        <v>2.54</v>
      </c>
      <c r="P3690" s="93">
        <v>8.6999999999999993</v>
      </c>
      <c r="Q3690" s="93">
        <v>19.5</v>
      </c>
      <c r="R3690" s="93" t="s">
        <v>123</v>
      </c>
      <c r="S3690" s="93" t="s">
        <v>2</v>
      </c>
      <c r="T3690" s="93" t="s">
        <v>5575</v>
      </c>
      <c r="U3690" s="93" t="s">
        <v>116</v>
      </c>
      <c r="V3690" s="94">
        <v>44628.52847222222</v>
      </c>
      <c r="W3690" s="93" t="s">
        <v>1817</v>
      </c>
      <c r="X3690" s="93" t="s">
        <v>9</v>
      </c>
    </row>
    <row r="3691" spans="1:24" hidden="1" x14ac:dyDescent="0.15">
      <c r="A3691" s="93" t="s">
        <v>9556</v>
      </c>
      <c r="B3691" s="93" t="s">
        <v>9557</v>
      </c>
      <c r="C3691" s="410">
        <v>1674.75</v>
      </c>
      <c r="D3691" s="93" t="s">
        <v>9</v>
      </c>
      <c r="E3691" s="93" t="s">
        <v>9</v>
      </c>
      <c r="F3691" s="93" t="s">
        <v>7070</v>
      </c>
      <c r="G3691" s="93" t="s">
        <v>9509</v>
      </c>
      <c r="H3691" s="93" t="s">
        <v>1943</v>
      </c>
      <c r="I3691" s="93" t="s">
        <v>111</v>
      </c>
      <c r="J3691" s="93" t="s">
        <v>5574</v>
      </c>
      <c r="K3691" s="93">
        <v>75</v>
      </c>
      <c r="L3691" s="93" t="s">
        <v>111</v>
      </c>
      <c r="M3691" s="93">
        <v>0.81599999999999995</v>
      </c>
      <c r="N3691" s="93" t="s">
        <v>113</v>
      </c>
      <c r="O3691" s="93">
        <v>7.62</v>
      </c>
      <c r="P3691" s="93">
        <v>13.97</v>
      </c>
      <c r="Q3691" s="93">
        <v>26.67</v>
      </c>
      <c r="R3691" s="93" t="s">
        <v>123</v>
      </c>
      <c r="S3691" s="93" t="s">
        <v>2</v>
      </c>
      <c r="T3691" s="93" t="s">
        <v>5575</v>
      </c>
      <c r="U3691" s="93" t="s">
        <v>116</v>
      </c>
      <c r="V3691" s="94">
        <v>44628.571527777778</v>
      </c>
      <c r="W3691" s="93" t="s">
        <v>1817</v>
      </c>
      <c r="X3691" s="93" t="s">
        <v>9</v>
      </c>
    </row>
    <row r="3692" spans="1:24" hidden="1" x14ac:dyDescent="0.15">
      <c r="A3692" s="93" t="s">
        <v>9558</v>
      </c>
      <c r="B3692" s="93" t="s">
        <v>9559</v>
      </c>
      <c r="C3692" s="410">
        <v>2199.75</v>
      </c>
      <c r="D3692" s="93" t="s">
        <v>9</v>
      </c>
      <c r="E3692" s="93" t="s">
        <v>9</v>
      </c>
      <c r="F3692" s="93" t="s">
        <v>7070</v>
      </c>
      <c r="G3692" s="93" t="s">
        <v>9560</v>
      </c>
      <c r="H3692" s="93" t="s">
        <v>1943</v>
      </c>
      <c r="I3692" s="93" t="s">
        <v>111</v>
      </c>
      <c r="J3692" s="93" t="s">
        <v>5574</v>
      </c>
      <c r="K3692" s="93">
        <v>75</v>
      </c>
      <c r="L3692" s="93" t="s">
        <v>111</v>
      </c>
      <c r="M3692" s="93" t="s">
        <v>111</v>
      </c>
      <c r="N3692" s="93" t="s">
        <v>111</v>
      </c>
      <c r="O3692" s="93" t="s">
        <v>111</v>
      </c>
      <c r="P3692" s="93" t="s">
        <v>111</v>
      </c>
      <c r="Q3692" s="93" t="s">
        <v>111</v>
      </c>
      <c r="R3692" s="93" t="s">
        <v>123</v>
      </c>
      <c r="S3692" s="93" t="s">
        <v>2</v>
      </c>
      <c r="T3692" s="93" t="s">
        <v>5575</v>
      </c>
      <c r="U3692" s="93" t="s">
        <v>116</v>
      </c>
      <c r="V3692" s="94">
        <v>44628.550694444442</v>
      </c>
      <c r="W3692" s="93" t="s">
        <v>1817</v>
      </c>
      <c r="X3692" s="93" t="s">
        <v>9</v>
      </c>
    </row>
    <row r="3693" spans="1:24" hidden="1" x14ac:dyDescent="0.15">
      <c r="A3693" s="93" t="s">
        <v>9561</v>
      </c>
      <c r="B3693" s="93" t="s">
        <v>9562</v>
      </c>
      <c r="C3693" s="410">
        <v>2409.75</v>
      </c>
      <c r="D3693" s="93" t="s">
        <v>9</v>
      </c>
      <c r="E3693" s="93" t="s">
        <v>9</v>
      </c>
      <c r="F3693" s="93" t="s">
        <v>7070</v>
      </c>
      <c r="G3693" s="93" t="s">
        <v>9560</v>
      </c>
      <c r="H3693" s="93" t="s">
        <v>1943</v>
      </c>
      <c r="I3693" s="93" t="s">
        <v>111</v>
      </c>
      <c r="J3693" s="93" t="s">
        <v>5574</v>
      </c>
      <c r="K3693" s="93">
        <v>75</v>
      </c>
      <c r="L3693" s="93">
        <v>1</v>
      </c>
      <c r="M3693" s="93">
        <v>9.0709999999999999E-2</v>
      </c>
      <c r="N3693" s="93" t="s">
        <v>113</v>
      </c>
      <c r="O3693" s="93">
        <v>7.62</v>
      </c>
      <c r="P3693" s="93">
        <v>13.97</v>
      </c>
      <c r="Q3693" s="93">
        <v>26.67</v>
      </c>
      <c r="R3693" s="93" t="s">
        <v>123</v>
      </c>
      <c r="S3693" s="93" t="s">
        <v>2</v>
      </c>
      <c r="T3693" s="93" t="s">
        <v>5575</v>
      </c>
      <c r="U3693" s="93" t="s">
        <v>116</v>
      </c>
      <c r="V3693" s="94">
        <v>44628.628472222219</v>
      </c>
      <c r="W3693" s="93" t="s">
        <v>1817</v>
      </c>
      <c r="X3693" s="93" t="s">
        <v>9</v>
      </c>
    </row>
    <row r="3694" spans="1:24" hidden="1" x14ac:dyDescent="0.15">
      <c r="A3694" s="93" t="s">
        <v>9563</v>
      </c>
      <c r="B3694" s="93" t="s">
        <v>9564</v>
      </c>
      <c r="C3694" s="410">
        <v>3039.75</v>
      </c>
      <c r="D3694" s="93" t="s">
        <v>9</v>
      </c>
      <c r="E3694" s="93" t="s">
        <v>9</v>
      </c>
      <c r="F3694" s="93" t="s">
        <v>7070</v>
      </c>
      <c r="G3694" s="93" t="s">
        <v>9560</v>
      </c>
      <c r="H3694" s="93" t="s">
        <v>1943</v>
      </c>
      <c r="I3694" s="93" t="s">
        <v>111</v>
      </c>
      <c r="J3694" s="93" t="s">
        <v>5574</v>
      </c>
      <c r="K3694" s="93">
        <v>75</v>
      </c>
      <c r="L3694" s="93" t="s">
        <v>111</v>
      </c>
      <c r="M3694" s="93" t="s">
        <v>111</v>
      </c>
      <c r="N3694" s="93" t="s">
        <v>111</v>
      </c>
      <c r="O3694" s="93" t="s">
        <v>111</v>
      </c>
      <c r="P3694" s="93" t="s">
        <v>111</v>
      </c>
      <c r="Q3694" s="93" t="s">
        <v>111</v>
      </c>
      <c r="R3694" s="93" t="s">
        <v>123</v>
      </c>
      <c r="S3694" s="93" t="s">
        <v>2</v>
      </c>
      <c r="T3694" s="93" t="s">
        <v>5575</v>
      </c>
      <c r="U3694" s="93" t="s">
        <v>116</v>
      </c>
      <c r="V3694" s="94">
        <v>44628.52847222222</v>
      </c>
      <c r="W3694" s="93" t="s">
        <v>1817</v>
      </c>
      <c r="X3694" s="93" t="s">
        <v>9</v>
      </c>
    </row>
    <row r="3695" spans="1:24" hidden="1" x14ac:dyDescent="0.15">
      <c r="A3695" s="93" t="s">
        <v>9565</v>
      </c>
      <c r="B3695" s="93" t="s">
        <v>9566</v>
      </c>
      <c r="C3695" s="410">
        <v>3354.75</v>
      </c>
      <c r="D3695" s="93" t="s">
        <v>9</v>
      </c>
      <c r="E3695" s="93" t="s">
        <v>9</v>
      </c>
      <c r="F3695" s="93" t="s">
        <v>7070</v>
      </c>
      <c r="G3695" s="93" t="s">
        <v>9560</v>
      </c>
      <c r="H3695" s="93" t="s">
        <v>1943</v>
      </c>
      <c r="I3695" s="93" t="s">
        <v>111</v>
      </c>
      <c r="J3695" s="93" t="s">
        <v>5574</v>
      </c>
      <c r="K3695" s="93">
        <v>75</v>
      </c>
      <c r="L3695" s="93" t="s">
        <v>111</v>
      </c>
      <c r="M3695" s="93">
        <v>0.81599999999999995</v>
      </c>
      <c r="N3695" s="93" t="s">
        <v>113</v>
      </c>
      <c r="O3695" s="93">
        <v>7.62</v>
      </c>
      <c r="P3695" s="93">
        <v>13.97</v>
      </c>
      <c r="Q3695" s="93">
        <v>26.67</v>
      </c>
      <c r="R3695" s="93" t="s">
        <v>123</v>
      </c>
      <c r="S3695" s="93" t="s">
        <v>2</v>
      </c>
      <c r="T3695" s="93" t="s">
        <v>5575</v>
      </c>
      <c r="U3695" s="93" t="s">
        <v>116</v>
      </c>
      <c r="V3695" s="94">
        <v>44628.463888888888</v>
      </c>
      <c r="W3695" s="93" t="s">
        <v>1817</v>
      </c>
      <c r="X3695" s="93" t="s">
        <v>9</v>
      </c>
    </row>
    <row r="3696" spans="1:24" hidden="1" x14ac:dyDescent="0.15">
      <c r="A3696" s="93" t="s">
        <v>8278</v>
      </c>
      <c r="B3696" s="93" t="s">
        <v>8279</v>
      </c>
      <c r="C3696" s="410">
        <v>660</v>
      </c>
      <c r="D3696" s="93" t="s">
        <v>9</v>
      </c>
      <c r="E3696" s="93" t="s">
        <v>9</v>
      </c>
      <c r="F3696" s="93" t="s">
        <v>70</v>
      </c>
      <c r="G3696" s="93" t="s">
        <v>8280</v>
      </c>
      <c r="H3696" s="93" t="s">
        <v>6</v>
      </c>
      <c r="I3696" s="93" t="s">
        <v>111</v>
      </c>
      <c r="J3696" s="93" t="s">
        <v>72</v>
      </c>
      <c r="K3696" s="93">
        <v>180</v>
      </c>
      <c r="L3696" s="93">
        <v>6</v>
      </c>
      <c r="M3696" s="93">
        <v>2.0129999999999999</v>
      </c>
      <c r="N3696" s="93" t="s">
        <v>113</v>
      </c>
      <c r="O3696" s="93">
        <v>14.1</v>
      </c>
      <c r="P3696" s="93">
        <v>25.7</v>
      </c>
      <c r="Q3696" s="93">
        <v>32.799999999999997</v>
      </c>
      <c r="R3696" s="93" t="s">
        <v>123</v>
      </c>
      <c r="S3696" s="93" t="s">
        <v>20</v>
      </c>
      <c r="T3696" s="93" t="s">
        <v>124</v>
      </c>
      <c r="U3696" s="93" t="s">
        <v>116</v>
      </c>
      <c r="V3696" s="94">
        <v>44628.580555555556</v>
      </c>
      <c r="W3696" s="93" t="s">
        <v>10</v>
      </c>
      <c r="X3696" s="93" t="s">
        <v>9</v>
      </c>
    </row>
    <row r="3697" spans="1:24" hidden="1" x14ac:dyDescent="0.15">
      <c r="A3697" s="93" t="s">
        <v>8281</v>
      </c>
      <c r="B3697" s="93" t="s">
        <v>8282</v>
      </c>
      <c r="C3697" s="410">
        <v>660</v>
      </c>
      <c r="D3697" s="93" t="s">
        <v>9</v>
      </c>
      <c r="E3697" s="93" t="s">
        <v>9</v>
      </c>
      <c r="F3697" s="93" t="s">
        <v>70</v>
      </c>
      <c r="G3697" s="93" t="s">
        <v>8280</v>
      </c>
      <c r="H3697" s="93" t="s">
        <v>6</v>
      </c>
      <c r="I3697" s="93" t="s">
        <v>111</v>
      </c>
      <c r="J3697" s="93" t="s">
        <v>72</v>
      </c>
      <c r="K3697" s="93">
        <v>180</v>
      </c>
      <c r="L3697" s="93">
        <v>6</v>
      </c>
      <c r="M3697" s="93">
        <v>2.0129999999999999</v>
      </c>
      <c r="N3697" s="93" t="s">
        <v>113</v>
      </c>
      <c r="O3697" s="93">
        <v>14.1</v>
      </c>
      <c r="P3697" s="93">
        <v>25.7</v>
      </c>
      <c r="Q3697" s="93">
        <v>32.799999999999997</v>
      </c>
      <c r="R3697" s="93" t="s">
        <v>123</v>
      </c>
      <c r="S3697" s="93" t="s">
        <v>20</v>
      </c>
      <c r="T3697" s="93" t="s">
        <v>124</v>
      </c>
      <c r="U3697" s="93" t="s">
        <v>116</v>
      </c>
      <c r="V3697" s="94">
        <v>44628.559027777781</v>
      </c>
      <c r="W3697" s="93" t="s">
        <v>10</v>
      </c>
      <c r="X3697" s="93" t="s">
        <v>9</v>
      </c>
    </row>
    <row r="3698" spans="1:24" hidden="1" x14ac:dyDescent="0.15">
      <c r="A3698" s="93" t="s">
        <v>8283</v>
      </c>
      <c r="B3698" s="93" t="s">
        <v>8284</v>
      </c>
      <c r="C3698" s="410">
        <v>699.6</v>
      </c>
      <c r="D3698" s="93" t="s">
        <v>9</v>
      </c>
      <c r="E3698" s="93" t="s">
        <v>9</v>
      </c>
      <c r="F3698" s="93" t="s">
        <v>70</v>
      </c>
      <c r="G3698" s="93" t="s">
        <v>8280</v>
      </c>
      <c r="H3698" s="93" t="s">
        <v>6</v>
      </c>
      <c r="I3698" s="93" t="s">
        <v>111</v>
      </c>
      <c r="J3698" s="93" t="s">
        <v>72</v>
      </c>
      <c r="K3698" s="93">
        <v>180</v>
      </c>
      <c r="L3698" s="93">
        <v>6</v>
      </c>
      <c r="M3698" s="93">
        <v>2.0129999999999999</v>
      </c>
      <c r="N3698" s="93" t="s">
        <v>113</v>
      </c>
      <c r="O3698" s="93">
        <v>14.1</v>
      </c>
      <c r="P3698" s="93">
        <v>25.7</v>
      </c>
      <c r="Q3698" s="93">
        <v>32.799999999999997</v>
      </c>
      <c r="R3698" s="93" t="s">
        <v>123</v>
      </c>
      <c r="S3698" s="93" t="s">
        <v>20</v>
      </c>
      <c r="T3698" s="93" t="s">
        <v>124</v>
      </c>
      <c r="U3698" s="93" t="s">
        <v>116</v>
      </c>
      <c r="V3698" s="94">
        <v>44628.580555555556</v>
      </c>
      <c r="W3698" s="93" t="s">
        <v>10</v>
      </c>
      <c r="X3698" s="93" t="s">
        <v>9</v>
      </c>
    </row>
    <row r="3699" spans="1:24" hidden="1" x14ac:dyDescent="0.15">
      <c r="A3699" s="93" t="s">
        <v>8285</v>
      </c>
      <c r="B3699" s="93" t="s">
        <v>8286</v>
      </c>
      <c r="C3699" s="410">
        <v>660</v>
      </c>
      <c r="D3699" s="93" t="s">
        <v>9</v>
      </c>
      <c r="E3699" s="93" t="s">
        <v>9</v>
      </c>
      <c r="F3699" s="93" t="s">
        <v>70</v>
      </c>
      <c r="G3699" s="93" t="s">
        <v>8287</v>
      </c>
      <c r="H3699" s="93" t="s">
        <v>6</v>
      </c>
      <c r="I3699" s="93" t="s">
        <v>111</v>
      </c>
      <c r="J3699" s="93" t="s">
        <v>72</v>
      </c>
      <c r="K3699" s="93">
        <v>180</v>
      </c>
      <c r="L3699" s="93">
        <v>6</v>
      </c>
      <c r="M3699" s="93">
        <v>2.3334999999999999</v>
      </c>
      <c r="N3699" s="93" t="s">
        <v>113</v>
      </c>
      <c r="O3699" s="93">
        <v>14.1</v>
      </c>
      <c r="P3699" s="93">
        <v>25.7</v>
      </c>
      <c r="Q3699" s="93">
        <v>32.799999999999997</v>
      </c>
      <c r="R3699" s="93" t="s">
        <v>123</v>
      </c>
      <c r="S3699" s="93" t="s">
        <v>20</v>
      </c>
      <c r="T3699" s="93" t="s">
        <v>124</v>
      </c>
      <c r="U3699" s="93" t="s">
        <v>116</v>
      </c>
      <c r="V3699" s="94">
        <v>44628.537499999999</v>
      </c>
      <c r="W3699" s="93" t="s">
        <v>10</v>
      </c>
      <c r="X3699" s="93" t="s">
        <v>9</v>
      </c>
    </row>
    <row r="3700" spans="1:24" hidden="1" x14ac:dyDescent="0.15">
      <c r="A3700" s="93" t="s">
        <v>8288</v>
      </c>
      <c r="B3700" s="93" t="s">
        <v>8289</v>
      </c>
      <c r="C3700" s="410">
        <v>660</v>
      </c>
      <c r="D3700" s="93" t="s">
        <v>9</v>
      </c>
      <c r="E3700" s="93" t="s">
        <v>9</v>
      </c>
      <c r="F3700" s="93" t="s">
        <v>70</v>
      </c>
      <c r="G3700" s="93" t="s">
        <v>8287</v>
      </c>
      <c r="H3700" s="93" t="s">
        <v>6</v>
      </c>
      <c r="I3700" s="93" t="s">
        <v>111</v>
      </c>
      <c r="J3700" s="93" t="s">
        <v>72</v>
      </c>
      <c r="K3700" s="93">
        <v>180</v>
      </c>
      <c r="L3700" s="93">
        <v>6</v>
      </c>
      <c r="M3700" s="93">
        <v>2.3334999999999999</v>
      </c>
      <c r="N3700" s="93" t="s">
        <v>113</v>
      </c>
      <c r="O3700" s="93">
        <v>14.1</v>
      </c>
      <c r="P3700" s="93">
        <v>25.7</v>
      </c>
      <c r="Q3700" s="93">
        <v>32.799999999999997</v>
      </c>
      <c r="R3700" s="93" t="s">
        <v>123</v>
      </c>
      <c r="S3700" s="93" t="s">
        <v>20</v>
      </c>
      <c r="T3700" s="93" t="s">
        <v>124</v>
      </c>
      <c r="U3700" s="93" t="s">
        <v>116</v>
      </c>
      <c r="V3700" s="94">
        <v>44628.493055555555</v>
      </c>
      <c r="W3700" s="93" t="s">
        <v>10</v>
      </c>
      <c r="X3700" s="93" t="s">
        <v>9</v>
      </c>
    </row>
    <row r="3701" spans="1:24" hidden="1" x14ac:dyDescent="0.15">
      <c r="A3701" s="93" t="s">
        <v>8290</v>
      </c>
      <c r="B3701" s="93" t="s">
        <v>8291</v>
      </c>
      <c r="C3701" s="410">
        <v>699.6</v>
      </c>
      <c r="D3701" s="93" t="s">
        <v>9</v>
      </c>
      <c r="E3701" s="93" t="s">
        <v>9</v>
      </c>
      <c r="F3701" s="93" t="s">
        <v>70</v>
      </c>
      <c r="G3701" s="93" t="s">
        <v>8287</v>
      </c>
      <c r="H3701" s="93" t="s">
        <v>6</v>
      </c>
      <c r="I3701" s="93" t="s">
        <v>111</v>
      </c>
      <c r="J3701" s="93" t="s">
        <v>72</v>
      </c>
      <c r="K3701" s="93">
        <v>180</v>
      </c>
      <c r="L3701" s="93">
        <v>6</v>
      </c>
      <c r="M3701" s="93">
        <v>2.0129999999999999</v>
      </c>
      <c r="N3701" s="93" t="s">
        <v>113</v>
      </c>
      <c r="O3701" s="93">
        <v>14.1</v>
      </c>
      <c r="P3701" s="93">
        <v>25.7</v>
      </c>
      <c r="Q3701" s="93">
        <v>32.799999999999997</v>
      </c>
      <c r="R3701" s="93" t="s">
        <v>123</v>
      </c>
      <c r="S3701" s="93" t="s">
        <v>20</v>
      </c>
      <c r="T3701" s="93" t="s">
        <v>124</v>
      </c>
      <c r="U3701" s="93" t="s">
        <v>116</v>
      </c>
      <c r="V3701" s="94">
        <v>44628.579861111109</v>
      </c>
      <c r="W3701" s="93" t="s">
        <v>10</v>
      </c>
      <c r="X3701" s="93" t="s">
        <v>9</v>
      </c>
    </row>
    <row r="3702" spans="1:24" hidden="1" x14ac:dyDescent="0.15">
      <c r="A3702" s="93" t="s">
        <v>8292</v>
      </c>
      <c r="B3702" s="93" t="s">
        <v>8293</v>
      </c>
      <c r="C3702" s="410">
        <v>24</v>
      </c>
      <c r="D3702" s="93" t="s">
        <v>9</v>
      </c>
      <c r="E3702" s="93" t="s">
        <v>24</v>
      </c>
      <c r="F3702" s="93" t="s">
        <v>7070</v>
      </c>
      <c r="G3702" s="93" t="s">
        <v>7071</v>
      </c>
      <c r="H3702" s="93" t="s">
        <v>11</v>
      </c>
      <c r="I3702" s="93" t="s">
        <v>111</v>
      </c>
      <c r="J3702" s="93" t="s">
        <v>71</v>
      </c>
      <c r="K3702" s="93">
        <v>180</v>
      </c>
      <c r="L3702" s="93">
        <v>10</v>
      </c>
      <c r="M3702" s="93">
        <v>0.23</v>
      </c>
      <c r="N3702" s="93" t="s">
        <v>113</v>
      </c>
      <c r="O3702" s="93">
        <v>19</v>
      </c>
      <c r="P3702" s="93">
        <v>10.3</v>
      </c>
      <c r="Q3702" s="93">
        <v>12.6</v>
      </c>
      <c r="R3702" s="93" t="s">
        <v>122</v>
      </c>
      <c r="S3702" s="93" t="s">
        <v>20</v>
      </c>
      <c r="T3702" s="93" t="s">
        <v>115</v>
      </c>
      <c r="U3702" s="93" t="s">
        <v>116</v>
      </c>
      <c r="V3702" s="94">
        <v>44628.556250000001</v>
      </c>
      <c r="W3702" s="93" t="s">
        <v>7156</v>
      </c>
      <c r="X3702" s="93" t="s">
        <v>9</v>
      </c>
    </row>
    <row r="3703" spans="1:24" hidden="1" x14ac:dyDescent="0.15">
      <c r="A3703" s="93" t="s">
        <v>8296</v>
      </c>
      <c r="B3703" s="93" t="s">
        <v>8297</v>
      </c>
      <c r="C3703" s="410">
        <v>9.6</v>
      </c>
      <c r="D3703" s="93" t="s">
        <v>9</v>
      </c>
      <c r="E3703" s="93" t="s">
        <v>24</v>
      </c>
      <c r="F3703" s="93" t="s">
        <v>7070</v>
      </c>
      <c r="G3703" s="93" t="s">
        <v>7071</v>
      </c>
      <c r="H3703" s="93" t="s">
        <v>11</v>
      </c>
      <c r="I3703" s="93" t="s">
        <v>111</v>
      </c>
      <c r="J3703" s="93" t="s">
        <v>71</v>
      </c>
      <c r="K3703" s="93">
        <v>180</v>
      </c>
      <c r="L3703" s="93">
        <v>10</v>
      </c>
      <c r="M3703" s="93">
        <v>0.16500000000000001</v>
      </c>
      <c r="N3703" s="93" t="s">
        <v>113</v>
      </c>
      <c r="O3703" s="93">
        <v>17.5</v>
      </c>
      <c r="P3703" s="93">
        <v>4.9000000000000004</v>
      </c>
      <c r="Q3703" s="93">
        <v>14.8</v>
      </c>
      <c r="R3703" s="93" t="s">
        <v>122</v>
      </c>
      <c r="S3703" s="93" t="s">
        <v>20</v>
      </c>
      <c r="T3703" s="93" t="s">
        <v>115</v>
      </c>
      <c r="U3703" s="93" t="s">
        <v>116</v>
      </c>
      <c r="V3703" s="94">
        <v>44628.577777777777</v>
      </c>
      <c r="W3703" s="93" t="s">
        <v>10</v>
      </c>
      <c r="X3703" s="93" t="s">
        <v>9</v>
      </c>
    </row>
    <row r="3704" spans="1:24" hidden="1" x14ac:dyDescent="0.15">
      <c r="A3704" s="93" t="s">
        <v>8301</v>
      </c>
      <c r="B3704" s="93" t="s">
        <v>8302</v>
      </c>
      <c r="C3704" s="410">
        <v>270</v>
      </c>
      <c r="D3704" s="93" t="s">
        <v>9</v>
      </c>
      <c r="E3704" s="93" t="s">
        <v>9</v>
      </c>
      <c r="F3704" s="93" t="s">
        <v>70</v>
      </c>
      <c r="G3704" s="93" t="s">
        <v>8300</v>
      </c>
      <c r="H3704" s="93" t="s">
        <v>6</v>
      </c>
      <c r="I3704" s="93" t="s">
        <v>111</v>
      </c>
      <c r="J3704" s="93" t="s">
        <v>71</v>
      </c>
      <c r="K3704" s="93">
        <v>180</v>
      </c>
      <c r="L3704" s="93">
        <v>10</v>
      </c>
      <c r="M3704" s="93">
        <v>0.76</v>
      </c>
      <c r="N3704" s="93" t="s">
        <v>113</v>
      </c>
      <c r="O3704" s="93">
        <v>6.8</v>
      </c>
      <c r="P3704" s="93">
        <v>20</v>
      </c>
      <c r="Q3704" s="93">
        <v>22.9</v>
      </c>
      <c r="R3704" s="93" t="s">
        <v>123</v>
      </c>
      <c r="S3704" s="93" t="s">
        <v>20</v>
      </c>
      <c r="T3704" s="93" t="s">
        <v>124</v>
      </c>
      <c r="U3704" s="93" t="s">
        <v>116</v>
      </c>
      <c r="V3704" s="94">
        <v>44628.572222222225</v>
      </c>
      <c r="W3704" s="93" t="s">
        <v>10</v>
      </c>
      <c r="X3704" s="93" t="s">
        <v>24</v>
      </c>
    </row>
    <row r="3705" spans="1:24" hidden="1" x14ac:dyDescent="0.15">
      <c r="A3705" s="93" t="s">
        <v>8303</v>
      </c>
      <c r="B3705" s="93" t="s">
        <v>8304</v>
      </c>
      <c r="C3705" s="410">
        <v>270</v>
      </c>
      <c r="D3705" s="93" t="s">
        <v>9</v>
      </c>
      <c r="E3705" s="93" t="s">
        <v>9</v>
      </c>
      <c r="F3705" s="93" t="s">
        <v>70</v>
      </c>
      <c r="G3705" s="93" t="s">
        <v>8300</v>
      </c>
      <c r="H3705" s="93" t="s">
        <v>6</v>
      </c>
      <c r="I3705" s="93" t="s">
        <v>111</v>
      </c>
      <c r="J3705" s="93" t="s">
        <v>71</v>
      </c>
      <c r="K3705" s="93">
        <v>180</v>
      </c>
      <c r="L3705" s="93">
        <v>10</v>
      </c>
      <c r="M3705" s="93">
        <v>0.76</v>
      </c>
      <c r="N3705" s="93" t="s">
        <v>113</v>
      </c>
      <c r="O3705" s="93">
        <v>6.8</v>
      </c>
      <c r="P3705" s="93">
        <v>20</v>
      </c>
      <c r="Q3705" s="93">
        <v>22.9</v>
      </c>
      <c r="R3705" s="93" t="s">
        <v>123</v>
      </c>
      <c r="S3705" s="93" t="s">
        <v>20</v>
      </c>
      <c r="T3705" s="93" t="s">
        <v>124</v>
      </c>
      <c r="U3705" s="93" t="s">
        <v>116</v>
      </c>
      <c r="V3705" s="94">
        <v>44628.486805555556</v>
      </c>
      <c r="W3705" s="93" t="s">
        <v>10</v>
      </c>
      <c r="X3705" s="93" t="s">
        <v>24</v>
      </c>
    </row>
    <row r="3706" spans="1:24" hidden="1" x14ac:dyDescent="0.15">
      <c r="A3706" s="93" t="s">
        <v>8305</v>
      </c>
      <c r="B3706" s="93" t="s">
        <v>8306</v>
      </c>
      <c r="C3706" s="410">
        <v>270</v>
      </c>
      <c r="D3706" s="93" t="s">
        <v>9</v>
      </c>
      <c r="E3706" s="93" t="s">
        <v>9</v>
      </c>
      <c r="F3706" s="93" t="s">
        <v>70</v>
      </c>
      <c r="G3706" s="93" t="s">
        <v>8300</v>
      </c>
      <c r="H3706" s="93" t="s">
        <v>6</v>
      </c>
      <c r="I3706" s="93" t="s">
        <v>111</v>
      </c>
      <c r="J3706" s="93" t="s">
        <v>71</v>
      </c>
      <c r="K3706" s="93">
        <v>180</v>
      </c>
      <c r="L3706" s="93">
        <v>10</v>
      </c>
      <c r="M3706" s="93">
        <v>0.76</v>
      </c>
      <c r="N3706" s="93" t="s">
        <v>113</v>
      </c>
      <c r="O3706" s="93">
        <v>6.8</v>
      </c>
      <c r="P3706" s="93">
        <v>20</v>
      </c>
      <c r="Q3706" s="93">
        <v>22.9</v>
      </c>
      <c r="R3706" s="93" t="s">
        <v>123</v>
      </c>
      <c r="S3706" s="93" t="s">
        <v>20</v>
      </c>
      <c r="T3706" s="93" t="s">
        <v>124</v>
      </c>
      <c r="U3706" s="93" t="s">
        <v>116</v>
      </c>
      <c r="V3706" s="94">
        <v>44628.572222222225</v>
      </c>
      <c r="W3706" s="93" t="s">
        <v>10</v>
      </c>
      <c r="X3706" s="93" t="s">
        <v>24</v>
      </c>
    </row>
    <row r="3707" spans="1:24" hidden="1" x14ac:dyDescent="0.15">
      <c r="A3707" s="93" t="s">
        <v>8307</v>
      </c>
      <c r="B3707" s="93" t="s">
        <v>8308</v>
      </c>
      <c r="C3707" s="410">
        <v>288.89999999999998</v>
      </c>
      <c r="D3707" s="93" t="s">
        <v>9</v>
      </c>
      <c r="E3707" s="93" t="s">
        <v>9</v>
      </c>
      <c r="F3707" s="93" t="s">
        <v>70</v>
      </c>
      <c r="G3707" s="93" t="s">
        <v>8300</v>
      </c>
      <c r="H3707" s="93" t="s">
        <v>6</v>
      </c>
      <c r="I3707" s="93" t="s">
        <v>111</v>
      </c>
      <c r="J3707" s="93" t="s">
        <v>71</v>
      </c>
      <c r="K3707" s="93">
        <v>180</v>
      </c>
      <c r="L3707" s="93">
        <v>10</v>
      </c>
      <c r="M3707" s="93">
        <v>0.76</v>
      </c>
      <c r="N3707" s="93" t="s">
        <v>113</v>
      </c>
      <c r="O3707" s="93">
        <v>6.8</v>
      </c>
      <c r="P3707" s="93">
        <v>20</v>
      </c>
      <c r="Q3707" s="93">
        <v>22.9</v>
      </c>
      <c r="R3707" s="93" t="s">
        <v>123</v>
      </c>
      <c r="S3707" s="93" t="s">
        <v>20</v>
      </c>
      <c r="T3707" s="93" t="s">
        <v>124</v>
      </c>
      <c r="U3707" s="93" t="s">
        <v>116</v>
      </c>
      <c r="V3707" s="94">
        <v>44628.551388888889</v>
      </c>
      <c r="W3707" s="93" t="s">
        <v>10</v>
      </c>
      <c r="X3707" s="93" t="s">
        <v>24</v>
      </c>
    </row>
    <row r="3708" spans="1:24" hidden="1" x14ac:dyDescent="0.15">
      <c r="A3708" s="93" t="s">
        <v>8309</v>
      </c>
      <c r="B3708" s="93" t="s">
        <v>8310</v>
      </c>
      <c r="C3708" s="410">
        <v>234</v>
      </c>
      <c r="D3708" s="93" t="s">
        <v>9</v>
      </c>
      <c r="E3708" s="93" t="s">
        <v>9</v>
      </c>
      <c r="F3708" s="93" t="s">
        <v>70</v>
      </c>
      <c r="G3708" s="93" t="s">
        <v>8311</v>
      </c>
      <c r="H3708" s="93" t="s">
        <v>6</v>
      </c>
      <c r="I3708" s="93" t="s">
        <v>111</v>
      </c>
      <c r="J3708" s="93" t="s">
        <v>71</v>
      </c>
      <c r="K3708" s="93">
        <v>180</v>
      </c>
      <c r="L3708" s="93">
        <v>10</v>
      </c>
      <c r="M3708" s="93">
        <v>0.46800000000000003</v>
      </c>
      <c r="N3708" s="93" t="s">
        <v>113</v>
      </c>
      <c r="O3708" s="93">
        <v>6</v>
      </c>
      <c r="P3708" s="93">
        <v>12.6</v>
      </c>
      <c r="Q3708" s="93">
        <v>18.5</v>
      </c>
      <c r="R3708" s="93" t="s">
        <v>396</v>
      </c>
      <c r="S3708" s="93" t="s">
        <v>20</v>
      </c>
      <c r="T3708" s="93" t="s">
        <v>397</v>
      </c>
      <c r="U3708" s="93" t="s">
        <v>116</v>
      </c>
      <c r="V3708" s="94">
        <v>44628.555555555555</v>
      </c>
      <c r="W3708" s="93" t="s">
        <v>10</v>
      </c>
      <c r="X3708" s="93" t="s">
        <v>9</v>
      </c>
    </row>
    <row r="3709" spans="1:24" hidden="1" x14ac:dyDescent="0.15">
      <c r="A3709" s="93" t="s">
        <v>8312</v>
      </c>
      <c r="B3709" s="93" t="s">
        <v>8313</v>
      </c>
      <c r="C3709" s="410">
        <v>234</v>
      </c>
      <c r="D3709" s="93" t="s">
        <v>9</v>
      </c>
      <c r="E3709" s="93" t="s">
        <v>9</v>
      </c>
      <c r="F3709" s="93" t="s">
        <v>70</v>
      </c>
      <c r="G3709" s="93" t="s">
        <v>8311</v>
      </c>
      <c r="H3709" s="93" t="s">
        <v>6</v>
      </c>
      <c r="I3709" s="93" t="s">
        <v>111</v>
      </c>
      <c r="J3709" s="93" t="s">
        <v>71</v>
      </c>
      <c r="K3709" s="93">
        <v>180</v>
      </c>
      <c r="L3709" s="93">
        <v>10</v>
      </c>
      <c r="M3709" s="93">
        <v>0.46800000000000003</v>
      </c>
      <c r="N3709" s="93" t="s">
        <v>113</v>
      </c>
      <c r="O3709" s="93">
        <v>6</v>
      </c>
      <c r="P3709" s="93">
        <v>12.6</v>
      </c>
      <c r="Q3709" s="93">
        <v>18.5</v>
      </c>
      <c r="R3709" s="93" t="s">
        <v>396</v>
      </c>
      <c r="S3709" s="93" t="s">
        <v>20</v>
      </c>
      <c r="T3709" s="93" t="s">
        <v>397</v>
      </c>
      <c r="U3709" s="93" t="s">
        <v>116</v>
      </c>
      <c r="V3709" s="94">
        <v>44628.555555555555</v>
      </c>
      <c r="W3709" s="93" t="s">
        <v>10</v>
      </c>
      <c r="X3709" s="93" t="s">
        <v>9</v>
      </c>
    </row>
    <row r="3710" spans="1:24" hidden="1" x14ac:dyDescent="0.15">
      <c r="A3710" s="93" t="s">
        <v>8314</v>
      </c>
      <c r="B3710" s="93" t="s">
        <v>8315</v>
      </c>
      <c r="C3710" s="410">
        <v>234</v>
      </c>
      <c r="D3710" s="93" t="s">
        <v>9</v>
      </c>
      <c r="E3710" s="93" t="s">
        <v>9</v>
      </c>
      <c r="F3710" s="93" t="s">
        <v>70</v>
      </c>
      <c r="G3710" s="93" t="s">
        <v>8311</v>
      </c>
      <c r="H3710" s="93" t="s">
        <v>6</v>
      </c>
      <c r="I3710" s="93" t="s">
        <v>111</v>
      </c>
      <c r="J3710" s="93" t="s">
        <v>71</v>
      </c>
      <c r="K3710" s="93">
        <v>180</v>
      </c>
      <c r="L3710" s="93">
        <v>10</v>
      </c>
      <c r="M3710" s="93">
        <v>0.46800000000000003</v>
      </c>
      <c r="N3710" s="93" t="s">
        <v>113</v>
      </c>
      <c r="O3710" s="93">
        <v>6</v>
      </c>
      <c r="P3710" s="93">
        <v>12.6</v>
      </c>
      <c r="Q3710" s="93">
        <v>18.5</v>
      </c>
      <c r="R3710" s="93" t="s">
        <v>396</v>
      </c>
      <c r="S3710" s="93" t="s">
        <v>20</v>
      </c>
      <c r="T3710" s="93" t="s">
        <v>397</v>
      </c>
      <c r="U3710" s="93" t="s">
        <v>116</v>
      </c>
      <c r="V3710" s="94">
        <v>44628.512499999997</v>
      </c>
      <c r="W3710" s="93" t="s">
        <v>10</v>
      </c>
      <c r="X3710" s="93" t="s">
        <v>9</v>
      </c>
    </row>
    <row r="3711" spans="1:24" hidden="1" x14ac:dyDescent="0.15">
      <c r="A3711" s="93" t="s">
        <v>8316</v>
      </c>
      <c r="B3711" s="93" t="s">
        <v>8317</v>
      </c>
      <c r="C3711" s="410">
        <v>234</v>
      </c>
      <c r="D3711" s="93" t="s">
        <v>9</v>
      </c>
      <c r="E3711" s="93" t="s">
        <v>9</v>
      </c>
      <c r="F3711" s="93" t="s">
        <v>70</v>
      </c>
      <c r="G3711" s="93" t="s">
        <v>8311</v>
      </c>
      <c r="H3711" s="93" t="s">
        <v>6</v>
      </c>
      <c r="I3711" s="93" t="s">
        <v>111</v>
      </c>
      <c r="J3711" s="93" t="s">
        <v>71</v>
      </c>
      <c r="K3711" s="93">
        <v>180</v>
      </c>
      <c r="L3711" s="93">
        <v>10</v>
      </c>
      <c r="M3711" s="93">
        <v>0.46800000000000003</v>
      </c>
      <c r="N3711" s="93" t="s">
        <v>113</v>
      </c>
      <c r="O3711" s="93">
        <v>6</v>
      </c>
      <c r="P3711" s="93">
        <v>12.6</v>
      </c>
      <c r="Q3711" s="93">
        <v>18.5</v>
      </c>
      <c r="R3711" s="93" t="s">
        <v>123</v>
      </c>
      <c r="S3711" s="93" t="s">
        <v>20</v>
      </c>
      <c r="T3711" s="93" t="s">
        <v>124</v>
      </c>
      <c r="U3711" s="93" t="s">
        <v>116</v>
      </c>
      <c r="V3711" s="94">
        <v>44628.577777777777</v>
      </c>
      <c r="W3711" s="93" t="s">
        <v>10</v>
      </c>
      <c r="X3711" s="93" t="s">
        <v>9</v>
      </c>
    </row>
    <row r="3712" spans="1:24" hidden="1" x14ac:dyDescent="0.15">
      <c r="A3712" s="93" t="s">
        <v>8318</v>
      </c>
      <c r="B3712" s="93" t="s">
        <v>8319</v>
      </c>
      <c r="C3712" s="410">
        <v>248.4</v>
      </c>
      <c r="D3712" s="93" t="s">
        <v>9</v>
      </c>
      <c r="E3712" s="93" t="s">
        <v>9</v>
      </c>
      <c r="F3712" s="93" t="s">
        <v>70</v>
      </c>
      <c r="G3712" s="93" t="s">
        <v>8311</v>
      </c>
      <c r="H3712" s="93" t="s">
        <v>6</v>
      </c>
      <c r="I3712" s="93" t="s">
        <v>111</v>
      </c>
      <c r="J3712" s="93" t="s">
        <v>71</v>
      </c>
      <c r="K3712" s="93">
        <v>180</v>
      </c>
      <c r="L3712" s="93">
        <v>10</v>
      </c>
      <c r="M3712" s="93">
        <v>0.46800000000000003</v>
      </c>
      <c r="N3712" s="93" t="s">
        <v>113</v>
      </c>
      <c r="O3712" s="93">
        <v>6</v>
      </c>
      <c r="P3712" s="93">
        <v>12.6</v>
      </c>
      <c r="Q3712" s="93">
        <v>18.5</v>
      </c>
      <c r="R3712" s="93" t="s">
        <v>396</v>
      </c>
      <c r="S3712" s="93" t="s">
        <v>20</v>
      </c>
      <c r="T3712" s="93" t="s">
        <v>397</v>
      </c>
      <c r="U3712" s="93" t="s">
        <v>116</v>
      </c>
      <c r="V3712" s="94">
        <v>44628.555555555555</v>
      </c>
      <c r="W3712" s="93" t="s">
        <v>10</v>
      </c>
      <c r="X3712" s="93" t="s">
        <v>9</v>
      </c>
    </row>
    <row r="3713" spans="1:24" hidden="1" x14ac:dyDescent="0.15">
      <c r="A3713" s="93" t="s">
        <v>8320</v>
      </c>
      <c r="B3713" s="93" t="s">
        <v>8321</v>
      </c>
      <c r="C3713" s="410">
        <v>354</v>
      </c>
      <c r="D3713" s="93" t="s">
        <v>9</v>
      </c>
      <c r="E3713" s="93" t="s">
        <v>9</v>
      </c>
      <c r="F3713" s="93" t="s">
        <v>70</v>
      </c>
      <c r="G3713" s="93" t="s">
        <v>8322</v>
      </c>
      <c r="H3713" s="93" t="s">
        <v>6</v>
      </c>
      <c r="I3713" s="93" t="s">
        <v>111</v>
      </c>
      <c r="J3713" s="93" t="s">
        <v>71</v>
      </c>
      <c r="K3713" s="93">
        <v>180</v>
      </c>
      <c r="L3713" s="93">
        <v>10</v>
      </c>
      <c r="M3713" s="93">
        <v>0.57999999999999996</v>
      </c>
      <c r="N3713" s="93" t="s">
        <v>113</v>
      </c>
      <c r="O3713" s="93">
        <v>6</v>
      </c>
      <c r="P3713" s="93">
        <v>12.6</v>
      </c>
      <c r="Q3713" s="93">
        <v>18.5</v>
      </c>
      <c r="R3713" s="93" t="s">
        <v>123</v>
      </c>
      <c r="S3713" s="93" t="s">
        <v>20</v>
      </c>
      <c r="T3713" s="93" t="s">
        <v>124</v>
      </c>
      <c r="U3713" s="93" t="s">
        <v>116</v>
      </c>
      <c r="V3713" s="94">
        <v>44628.532638888886</v>
      </c>
      <c r="W3713" s="93" t="s">
        <v>10</v>
      </c>
      <c r="X3713" s="93" t="s">
        <v>9</v>
      </c>
    </row>
    <row r="3714" spans="1:24" hidden="1" x14ac:dyDescent="0.15">
      <c r="A3714" s="93" t="s">
        <v>8323</v>
      </c>
      <c r="B3714" s="93" t="s">
        <v>8324</v>
      </c>
      <c r="C3714" s="410">
        <v>354</v>
      </c>
      <c r="D3714" s="93" t="s">
        <v>9</v>
      </c>
      <c r="E3714" s="93" t="s">
        <v>9</v>
      </c>
      <c r="F3714" s="93" t="s">
        <v>70</v>
      </c>
      <c r="G3714" s="93" t="s">
        <v>8322</v>
      </c>
      <c r="H3714" s="93" t="s">
        <v>6</v>
      </c>
      <c r="I3714" s="93" t="s">
        <v>111</v>
      </c>
      <c r="J3714" s="93" t="s">
        <v>71</v>
      </c>
      <c r="K3714" s="93">
        <v>180</v>
      </c>
      <c r="L3714" s="93">
        <v>10</v>
      </c>
      <c r="M3714" s="93">
        <v>0.57999999999999996</v>
      </c>
      <c r="N3714" s="93" t="s">
        <v>113</v>
      </c>
      <c r="O3714" s="93">
        <v>6</v>
      </c>
      <c r="P3714" s="93">
        <v>12.6</v>
      </c>
      <c r="Q3714" s="93">
        <v>18.5</v>
      </c>
      <c r="R3714" s="93" t="s">
        <v>123</v>
      </c>
      <c r="S3714" s="93" t="s">
        <v>20</v>
      </c>
      <c r="T3714" s="93" t="s">
        <v>124</v>
      </c>
      <c r="U3714" s="93" t="s">
        <v>116</v>
      </c>
      <c r="V3714" s="94">
        <v>44628.6</v>
      </c>
      <c r="W3714" s="93" t="s">
        <v>10</v>
      </c>
      <c r="X3714" s="93" t="s">
        <v>9</v>
      </c>
    </row>
    <row r="3715" spans="1:24" hidden="1" x14ac:dyDescent="0.15">
      <c r="A3715" s="93" t="s">
        <v>8325</v>
      </c>
      <c r="B3715" s="93" t="s">
        <v>8326</v>
      </c>
      <c r="C3715" s="410">
        <v>354</v>
      </c>
      <c r="D3715" s="93" t="s">
        <v>9</v>
      </c>
      <c r="E3715" s="93" t="s">
        <v>9</v>
      </c>
      <c r="F3715" s="93" t="s">
        <v>70</v>
      </c>
      <c r="G3715" s="93" t="s">
        <v>8322</v>
      </c>
      <c r="H3715" s="93" t="s">
        <v>6</v>
      </c>
      <c r="I3715" s="93" t="s">
        <v>111</v>
      </c>
      <c r="J3715" s="93" t="s">
        <v>71</v>
      </c>
      <c r="K3715" s="93">
        <v>180</v>
      </c>
      <c r="L3715" s="93">
        <v>10</v>
      </c>
      <c r="M3715" s="93">
        <v>0.57999999999999996</v>
      </c>
      <c r="N3715" s="93" t="s">
        <v>113</v>
      </c>
      <c r="O3715" s="93">
        <v>6</v>
      </c>
      <c r="P3715" s="93">
        <v>12.6</v>
      </c>
      <c r="Q3715" s="93">
        <v>18.5</v>
      </c>
      <c r="R3715" s="93" t="s">
        <v>123</v>
      </c>
      <c r="S3715" s="93" t="s">
        <v>20</v>
      </c>
      <c r="T3715" s="93" t="s">
        <v>124</v>
      </c>
      <c r="U3715" s="93" t="s">
        <v>116</v>
      </c>
      <c r="V3715" s="94">
        <v>44628.490972222222</v>
      </c>
      <c r="W3715" s="93" t="s">
        <v>10</v>
      </c>
      <c r="X3715" s="93" t="s">
        <v>9</v>
      </c>
    </row>
    <row r="3716" spans="1:24" hidden="1" x14ac:dyDescent="0.15">
      <c r="A3716" s="93" t="s">
        <v>8327</v>
      </c>
      <c r="B3716" s="93" t="s">
        <v>8328</v>
      </c>
      <c r="C3716" s="410">
        <v>354</v>
      </c>
      <c r="D3716" s="93" t="s">
        <v>9</v>
      </c>
      <c r="E3716" s="93" t="s">
        <v>9</v>
      </c>
      <c r="F3716" s="93" t="s">
        <v>70</v>
      </c>
      <c r="G3716" s="93" t="s">
        <v>8322</v>
      </c>
      <c r="H3716" s="93" t="s">
        <v>6</v>
      </c>
      <c r="I3716" s="93" t="s">
        <v>111</v>
      </c>
      <c r="J3716" s="93" t="s">
        <v>71</v>
      </c>
      <c r="K3716" s="93">
        <v>180</v>
      </c>
      <c r="L3716" s="93">
        <v>10</v>
      </c>
      <c r="M3716" s="93">
        <v>0.57999999999999996</v>
      </c>
      <c r="N3716" s="93" t="s">
        <v>113</v>
      </c>
      <c r="O3716" s="93">
        <v>6</v>
      </c>
      <c r="P3716" s="93">
        <v>12.6</v>
      </c>
      <c r="Q3716" s="93">
        <v>18.5</v>
      </c>
      <c r="R3716" s="93" t="s">
        <v>123</v>
      </c>
      <c r="S3716" s="93" t="s">
        <v>20</v>
      </c>
      <c r="T3716" s="93" t="s">
        <v>124</v>
      </c>
      <c r="U3716" s="93" t="s">
        <v>116</v>
      </c>
      <c r="V3716" s="94">
        <v>44628.490972222222</v>
      </c>
      <c r="W3716" s="93" t="s">
        <v>10</v>
      </c>
      <c r="X3716" s="93" t="s">
        <v>9</v>
      </c>
    </row>
    <row r="3717" spans="1:24" hidden="1" x14ac:dyDescent="0.15">
      <c r="A3717" s="93" t="s">
        <v>8329</v>
      </c>
      <c r="B3717" s="93" t="s">
        <v>8330</v>
      </c>
      <c r="C3717" s="410">
        <v>378.78</v>
      </c>
      <c r="D3717" s="93" t="s">
        <v>9</v>
      </c>
      <c r="E3717" s="93" t="s">
        <v>9</v>
      </c>
      <c r="F3717" s="93" t="s">
        <v>70</v>
      </c>
      <c r="G3717" s="93" t="s">
        <v>8322</v>
      </c>
      <c r="H3717" s="93" t="s">
        <v>6</v>
      </c>
      <c r="I3717" s="93" t="s">
        <v>111</v>
      </c>
      <c r="J3717" s="93" t="s">
        <v>71</v>
      </c>
      <c r="K3717" s="93">
        <v>180</v>
      </c>
      <c r="L3717" s="93">
        <v>10</v>
      </c>
      <c r="M3717" s="93">
        <v>0.57999999999999996</v>
      </c>
      <c r="N3717" s="93" t="s">
        <v>113</v>
      </c>
      <c r="O3717" s="93">
        <v>6</v>
      </c>
      <c r="P3717" s="93">
        <v>12.6</v>
      </c>
      <c r="Q3717" s="93">
        <v>18.5</v>
      </c>
      <c r="R3717" s="93" t="s">
        <v>123</v>
      </c>
      <c r="S3717" s="93" t="s">
        <v>20</v>
      </c>
      <c r="T3717" s="93" t="s">
        <v>124</v>
      </c>
      <c r="U3717" s="93" t="s">
        <v>116</v>
      </c>
      <c r="V3717" s="94">
        <v>44628.490972222222</v>
      </c>
      <c r="W3717" s="93" t="s">
        <v>10</v>
      </c>
      <c r="X3717" s="93" t="s">
        <v>9</v>
      </c>
    </row>
    <row r="3718" spans="1:24" hidden="1" x14ac:dyDescent="0.15">
      <c r="A3718" s="93" t="s">
        <v>8331</v>
      </c>
      <c r="B3718" s="93" t="s">
        <v>8332</v>
      </c>
      <c r="C3718" s="410">
        <v>576</v>
      </c>
      <c r="D3718" s="93" t="s">
        <v>9</v>
      </c>
      <c r="E3718" s="93" t="s">
        <v>9</v>
      </c>
      <c r="F3718" s="93" t="s">
        <v>70</v>
      </c>
      <c r="G3718" s="93" t="s">
        <v>8333</v>
      </c>
      <c r="H3718" s="93" t="s">
        <v>6</v>
      </c>
      <c r="I3718" s="93" t="s">
        <v>111</v>
      </c>
      <c r="J3718" s="93" t="s">
        <v>72</v>
      </c>
      <c r="K3718" s="93">
        <v>180</v>
      </c>
      <c r="L3718" s="93">
        <v>6</v>
      </c>
      <c r="M3718" s="93">
        <v>2.0099999999999998</v>
      </c>
      <c r="N3718" s="93" t="s">
        <v>113</v>
      </c>
      <c r="O3718" s="93">
        <v>14.1</v>
      </c>
      <c r="P3718" s="93">
        <v>25.7</v>
      </c>
      <c r="Q3718" s="93">
        <v>32.799999999999997</v>
      </c>
      <c r="R3718" s="93" t="s">
        <v>123</v>
      </c>
      <c r="S3718" s="93" t="s">
        <v>20</v>
      </c>
      <c r="T3718" s="93" t="s">
        <v>124</v>
      </c>
      <c r="U3718" s="93" t="s">
        <v>119</v>
      </c>
      <c r="V3718" s="94">
        <v>44628.508333333331</v>
      </c>
      <c r="W3718" s="93" t="s">
        <v>10</v>
      </c>
      <c r="X3718" s="93" t="s">
        <v>9</v>
      </c>
    </row>
    <row r="3719" spans="1:24" hidden="1" x14ac:dyDescent="0.15">
      <c r="A3719" s="93" t="s">
        <v>8334</v>
      </c>
      <c r="B3719" s="93" t="s">
        <v>8335</v>
      </c>
      <c r="C3719" s="410">
        <v>576</v>
      </c>
      <c r="D3719" s="93" t="s">
        <v>9</v>
      </c>
      <c r="E3719" s="93" t="s">
        <v>9</v>
      </c>
      <c r="F3719" s="93" t="s">
        <v>70</v>
      </c>
      <c r="G3719" s="93" t="s">
        <v>8333</v>
      </c>
      <c r="H3719" s="93" t="s">
        <v>6</v>
      </c>
      <c r="I3719" s="93" t="s">
        <v>111</v>
      </c>
      <c r="J3719" s="93" t="s">
        <v>72</v>
      </c>
      <c r="K3719" s="93">
        <v>180</v>
      </c>
      <c r="L3719" s="93">
        <v>6</v>
      </c>
      <c r="M3719" s="93">
        <v>1.85</v>
      </c>
      <c r="N3719" s="93" t="s">
        <v>113</v>
      </c>
      <c r="O3719" s="93">
        <v>14.1</v>
      </c>
      <c r="P3719" s="93">
        <v>25.7</v>
      </c>
      <c r="Q3719" s="93">
        <v>32.799999999999997</v>
      </c>
      <c r="R3719" s="93" t="s">
        <v>123</v>
      </c>
      <c r="S3719" s="93" t="s">
        <v>20</v>
      </c>
      <c r="T3719" s="93" t="s">
        <v>124</v>
      </c>
      <c r="U3719" s="93" t="s">
        <v>119</v>
      </c>
      <c r="V3719" s="94">
        <v>44628.537499999999</v>
      </c>
      <c r="W3719" s="93" t="s">
        <v>10</v>
      </c>
      <c r="X3719" s="93" t="s">
        <v>9</v>
      </c>
    </row>
    <row r="3720" spans="1:24" hidden="1" x14ac:dyDescent="0.15">
      <c r="A3720" s="93" t="s">
        <v>8336</v>
      </c>
      <c r="B3720" s="93" t="s">
        <v>8337</v>
      </c>
      <c r="C3720" s="410">
        <v>616.32000000000005</v>
      </c>
      <c r="D3720" s="93" t="s">
        <v>9</v>
      </c>
      <c r="E3720" s="93" t="s">
        <v>9</v>
      </c>
      <c r="F3720" s="93" t="s">
        <v>70</v>
      </c>
      <c r="G3720" s="93" t="s">
        <v>8333</v>
      </c>
      <c r="H3720" s="93" t="s">
        <v>6</v>
      </c>
      <c r="I3720" s="93" t="s">
        <v>111</v>
      </c>
      <c r="J3720" s="93" t="s">
        <v>72</v>
      </c>
      <c r="K3720" s="93">
        <v>180</v>
      </c>
      <c r="L3720" s="93">
        <v>6</v>
      </c>
      <c r="M3720" s="93">
        <v>2.0099999999999998</v>
      </c>
      <c r="N3720" s="93" t="s">
        <v>113</v>
      </c>
      <c r="O3720" s="93">
        <v>14.1</v>
      </c>
      <c r="P3720" s="93">
        <v>25.7</v>
      </c>
      <c r="Q3720" s="93">
        <v>32.799999999999997</v>
      </c>
      <c r="R3720" s="93" t="s">
        <v>123</v>
      </c>
      <c r="S3720" s="93" t="s">
        <v>20</v>
      </c>
      <c r="T3720" s="93" t="s">
        <v>124</v>
      </c>
      <c r="U3720" s="93" t="s">
        <v>119</v>
      </c>
      <c r="V3720" s="94">
        <v>44628.530555555553</v>
      </c>
      <c r="W3720" s="93" t="s">
        <v>10</v>
      </c>
      <c r="X3720" s="93" t="s">
        <v>9</v>
      </c>
    </row>
    <row r="3721" spans="1:24" hidden="1" x14ac:dyDescent="0.15">
      <c r="A3721" s="93" t="s">
        <v>8338</v>
      </c>
      <c r="B3721" s="93" t="s">
        <v>8339</v>
      </c>
      <c r="C3721" s="410">
        <v>390</v>
      </c>
      <c r="D3721" s="93" t="s">
        <v>9</v>
      </c>
      <c r="E3721" s="93" t="s">
        <v>9</v>
      </c>
      <c r="F3721" s="93" t="s">
        <v>70</v>
      </c>
      <c r="G3721" s="93" t="s">
        <v>8340</v>
      </c>
      <c r="H3721" s="93" t="s">
        <v>6</v>
      </c>
      <c r="I3721" s="93" t="s">
        <v>111</v>
      </c>
      <c r="J3721" s="93" t="s">
        <v>72</v>
      </c>
      <c r="K3721" s="93">
        <v>180</v>
      </c>
      <c r="L3721" s="93">
        <v>10</v>
      </c>
      <c r="M3721" s="93">
        <v>0.85599999999999998</v>
      </c>
      <c r="N3721" s="93" t="s">
        <v>113</v>
      </c>
      <c r="O3721" s="93">
        <v>11</v>
      </c>
      <c r="P3721" s="93">
        <v>14</v>
      </c>
      <c r="Q3721" s="93">
        <v>25</v>
      </c>
      <c r="R3721" s="93" t="s">
        <v>123</v>
      </c>
      <c r="S3721" s="93" t="s">
        <v>20</v>
      </c>
      <c r="T3721" s="93" t="s">
        <v>124</v>
      </c>
      <c r="U3721" s="93" t="s">
        <v>116</v>
      </c>
      <c r="V3721" s="94">
        <v>44628.631944444445</v>
      </c>
      <c r="W3721" s="93" t="s">
        <v>10</v>
      </c>
      <c r="X3721" s="93" t="s">
        <v>9</v>
      </c>
    </row>
    <row r="3722" spans="1:24" hidden="1" x14ac:dyDescent="0.15">
      <c r="A3722" s="93" t="s">
        <v>73</v>
      </c>
      <c r="B3722" s="93" t="s">
        <v>5660</v>
      </c>
      <c r="C3722" s="410">
        <v>390</v>
      </c>
      <c r="D3722" s="93" t="s">
        <v>9</v>
      </c>
      <c r="E3722" s="93" t="s">
        <v>9</v>
      </c>
      <c r="F3722" s="93" t="s">
        <v>70</v>
      </c>
      <c r="G3722" s="93" t="s">
        <v>8340</v>
      </c>
      <c r="H3722" s="93" t="s">
        <v>6</v>
      </c>
      <c r="I3722" s="93" t="s">
        <v>111</v>
      </c>
      <c r="J3722" s="93" t="s">
        <v>72</v>
      </c>
      <c r="K3722" s="93">
        <v>180</v>
      </c>
      <c r="L3722" s="93">
        <v>10</v>
      </c>
      <c r="M3722" s="93">
        <v>0.85599999999999998</v>
      </c>
      <c r="N3722" s="93" t="s">
        <v>113</v>
      </c>
      <c r="O3722" s="93">
        <v>11</v>
      </c>
      <c r="P3722" s="93">
        <v>14</v>
      </c>
      <c r="Q3722" s="93">
        <v>25</v>
      </c>
      <c r="R3722" s="93" t="s">
        <v>123</v>
      </c>
      <c r="S3722" s="93" t="s">
        <v>20</v>
      </c>
      <c r="T3722" s="93" t="s">
        <v>124</v>
      </c>
      <c r="U3722" s="93" t="s">
        <v>116</v>
      </c>
      <c r="V3722" s="94">
        <v>44628.468055555553</v>
      </c>
      <c r="W3722" s="93" t="s">
        <v>120</v>
      </c>
      <c r="X3722" s="93" t="s">
        <v>9</v>
      </c>
    </row>
    <row r="3723" spans="1:24" hidden="1" x14ac:dyDescent="0.15">
      <c r="A3723" s="93" t="s">
        <v>8341</v>
      </c>
      <c r="B3723" s="93" t="s">
        <v>8342</v>
      </c>
      <c r="C3723" s="410">
        <v>417.3</v>
      </c>
      <c r="D3723" s="93" t="s">
        <v>9</v>
      </c>
      <c r="E3723" s="93" t="s">
        <v>9</v>
      </c>
      <c r="F3723" s="93" t="s">
        <v>70</v>
      </c>
      <c r="G3723" s="93" t="s">
        <v>8340</v>
      </c>
      <c r="H3723" s="93" t="s">
        <v>6</v>
      </c>
      <c r="I3723" s="93" t="s">
        <v>111</v>
      </c>
      <c r="J3723" s="93" t="s">
        <v>72</v>
      </c>
      <c r="K3723" s="93">
        <v>180</v>
      </c>
      <c r="L3723" s="93">
        <v>10</v>
      </c>
      <c r="M3723" s="93">
        <v>0.85599999999999998</v>
      </c>
      <c r="N3723" s="93" t="s">
        <v>113</v>
      </c>
      <c r="O3723" s="93">
        <v>11</v>
      </c>
      <c r="P3723" s="93">
        <v>14</v>
      </c>
      <c r="Q3723" s="93">
        <v>25</v>
      </c>
      <c r="R3723" s="93" t="s">
        <v>123</v>
      </c>
      <c r="S3723" s="93" t="s">
        <v>20</v>
      </c>
      <c r="T3723" s="93" t="s">
        <v>124</v>
      </c>
      <c r="U3723" s="93" t="s">
        <v>116</v>
      </c>
      <c r="V3723" s="94">
        <v>44628.531944444447</v>
      </c>
      <c r="W3723" s="93" t="s">
        <v>10</v>
      </c>
      <c r="X3723" s="93" t="s">
        <v>9</v>
      </c>
    </row>
    <row r="3724" spans="1:24" hidden="1" x14ac:dyDescent="0.15">
      <c r="A3724" s="93" t="s">
        <v>8347</v>
      </c>
      <c r="B3724" s="93" t="s">
        <v>8348</v>
      </c>
      <c r="C3724" s="410">
        <v>576</v>
      </c>
      <c r="D3724" s="93" t="s">
        <v>9</v>
      </c>
      <c r="E3724" s="93" t="s">
        <v>9</v>
      </c>
      <c r="F3724" s="93" t="s">
        <v>70</v>
      </c>
      <c r="G3724" s="93" t="s">
        <v>8349</v>
      </c>
      <c r="H3724" s="93" t="s">
        <v>6</v>
      </c>
      <c r="I3724" s="93" t="s">
        <v>111</v>
      </c>
      <c r="J3724" s="93" t="s">
        <v>72</v>
      </c>
      <c r="K3724" s="93">
        <v>180</v>
      </c>
      <c r="L3724" s="93">
        <v>8</v>
      </c>
      <c r="M3724" s="93">
        <v>1.61</v>
      </c>
      <c r="N3724" s="93" t="s">
        <v>113</v>
      </c>
      <c r="O3724" s="93">
        <v>32.1</v>
      </c>
      <c r="P3724" s="93">
        <v>11.8</v>
      </c>
      <c r="Q3724" s="93">
        <v>26.4</v>
      </c>
      <c r="R3724" s="93" t="s">
        <v>398</v>
      </c>
      <c r="S3724" s="93" t="s">
        <v>20</v>
      </c>
      <c r="T3724" s="93" t="s">
        <v>124</v>
      </c>
      <c r="U3724" s="93" t="s">
        <v>116</v>
      </c>
      <c r="V3724" s="94">
        <v>44628.510416666664</v>
      </c>
      <c r="W3724" s="93" t="s">
        <v>10</v>
      </c>
      <c r="X3724" s="93" t="s">
        <v>9</v>
      </c>
    </row>
    <row r="3725" spans="1:24" hidden="1" x14ac:dyDescent="0.15">
      <c r="A3725" s="93" t="s">
        <v>8350</v>
      </c>
      <c r="B3725" s="93" t="s">
        <v>8351</v>
      </c>
      <c r="C3725" s="410">
        <v>576</v>
      </c>
      <c r="D3725" s="93" t="s">
        <v>9</v>
      </c>
      <c r="E3725" s="93" t="s">
        <v>9</v>
      </c>
      <c r="F3725" s="93" t="s">
        <v>70</v>
      </c>
      <c r="G3725" s="93" t="s">
        <v>8349</v>
      </c>
      <c r="H3725" s="93" t="s">
        <v>6</v>
      </c>
      <c r="I3725" s="93" t="s">
        <v>111</v>
      </c>
      <c r="J3725" s="93" t="s">
        <v>72</v>
      </c>
      <c r="K3725" s="93">
        <v>180</v>
      </c>
      <c r="L3725" s="93">
        <v>8</v>
      </c>
      <c r="M3725" s="93">
        <v>1.61</v>
      </c>
      <c r="N3725" s="93" t="s">
        <v>113</v>
      </c>
      <c r="O3725" s="93">
        <v>32.1</v>
      </c>
      <c r="P3725" s="93">
        <v>11.8</v>
      </c>
      <c r="Q3725" s="93">
        <v>26.4</v>
      </c>
      <c r="R3725" s="93" t="s">
        <v>123</v>
      </c>
      <c r="S3725" s="93" t="s">
        <v>20</v>
      </c>
      <c r="T3725" s="93" t="s">
        <v>124</v>
      </c>
      <c r="U3725" s="93" t="s">
        <v>116</v>
      </c>
      <c r="V3725" s="94">
        <v>44628.490972222222</v>
      </c>
      <c r="W3725" s="93" t="s">
        <v>10</v>
      </c>
      <c r="X3725" s="93" t="s">
        <v>9</v>
      </c>
    </row>
    <row r="3726" spans="1:24" hidden="1" x14ac:dyDescent="0.15">
      <c r="A3726" s="93" t="s">
        <v>8352</v>
      </c>
      <c r="B3726" s="93" t="s">
        <v>8353</v>
      </c>
      <c r="C3726" s="410">
        <v>576</v>
      </c>
      <c r="D3726" s="93" t="s">
        <v>9</v>
      </c>
      <c r="E3726" s="93" t="s">
        <v>9</v>
      </c>
      <c r="F3726" s="93" t="s">
        <v>70</v>
      </c>
      <c r="G3726" s="93" t="s">
        <v>8349</v>
      </c>
      <c r="H3726" s="93" t="s">
        <v>6</v>
      </c>
      <c r="I3726" s="93" t="s">
        <v>111</v>
      </c>
      <c r="J3726" s="93" t="s">
        <v>72</v>
      </c>
      <c r="K3726" s="93">
        <v>180</v>
      </c>
      <c r="L3726" s="93">
        <v>8</v>
      </c>
      <c r="M3726" s="93">
        <v>1.61</v>
      </c>
      <c r="N3726" s="93" t="s">
        <v>113</v>
      </c>
      <c r="O3726" s="93">
        <v>32.1</v>
      </c>
      <c r="P3726" s="93">
        <v>11.8</v>
      </c>
      <c r="Q3726" s="93">
        <v>26.4</v>
      </c>
      <c r="R3726" s="93" t="s">
        <v>398</v>
      </c>
      <c r="S3726" s="93" t="s">
        <v>20</v>
      </c>
      <c r="T3726" s="93" t="s">
        <v>124</v>
      </c>
      <c r="U3726" s="93" t="s">
        <v>116</v>
      </c>
      <c r="V3726" s="94">
        <v>44628.556250000001</v>
      </c>
      <c r="W3726" s="93" t="s">
        <v>10</v>
      </c>
      <c r="X3726" s="93" t="s">
        <v>9</v>
      </c>
    </row>
    <row r="3727" spans="1:24" hidden="1" x14ac:dyDescent="0.15">
      <c r="A3727" s="93" t="s">
        <v>8354</v>
      </c>
      <c r="B3727" s="93" t="s">
        <v>8355</v>
      </c>
      <c r="C3727" s="410">
        <v>616.32000000000005</v>
      </c>
      <c r="D3727" s="93" t="s">
        <v>9</v>
      </c>
      <c r="E3727" s="93" t="s">
        <v>9</v>
      </c>
      <c r="F3727" s="93" t="s">
        <v>70</v>
      </c>
      <c r="G3727" s="93" t="s">
        <v>8349</v>
      </c>
      <c r="H3727" s="93" t="s">
        <v>6</v>
      </c>
      <c r="I3727" s="93" t="s">
        <v>111</v>
      </c>
      <c r="J3727" s="93" t="s">
        <v>72</v>
      </c>
      <c r="K3727" s="93">
        <v>180</v>
      </c>
      <c r="L3727" s="93">
        <v>8</v>
      </c>
      <c r="M3727" s="93">
        <v>1.61</v>
      </c>
      <c r="N3727" s="93" t="s">
        <v>113</v>
      </c>
      <c r="O3727" s="93">
        <v>32.1</v>
      </c>
      <c r="P3727" s="93">
        <v>11.8</v>
      </c>
      <c r="Q3727" s="93">
        <v>26.4</v>
      </c>
      <c r="R3727" s="93" t="s">
        <v>396</v>
      </c>
      <c r="S3727" s="93" t="s">
        <v>20</v>
      </c>
      <c r="T3727" s="93" t="s">
        <v>124</v>
      </c>
      <c r="U3727" s="93" t="s">
        <v>116</v>
      </c>
      <c r="V3727" s="94">
        <v>44628.535416666666</v>
      </c>
      <c r="W3727" s="93" t="s">
        <v>10</v>
      </c>
      <c r="X3727" s="93" t="s">
        <v>9</v>
      </c>
    </row>
    <row r="3728" spans="1:24" hidden="1" x14ac:dyDescent="0.15">
      <c r="A3728" s="93" t="s">
        <v>8356</v>
      </c>
      <c r="B3728" s="93" t="s">
        <v>8357</v>
      </c>
      <c r="C3728" s="410">
        <v>450</v>
      </c>
      <c r="D3728" s="93" t="s">
        <v>9</v>
      </c>
      <c r="E3728" s="93" t="s">
        <v>9</v>
      </c>
      <c r="F3728" s="93" t="s">
        <v>70</v>
      </c>
      <c r="G3728" s="93" t="s">
        <v>8358</v>
      </c>
      <c r="H3728" s="93" t="s">
        <v>6</v>
      </c>
      <c r="I3728" s="93" t="s">
        <v>111</v>
      </c>
      <c r="J3728" s="93" t="s">
        <v>71</v>
      </c>
      <c r="K3728" s="93">
        <v>180</v>
      </c>
      <c r="L3728" s="93">
        <v>10</v>
      </c>
      <c r="M3728" s="93">
        <v>0.96199999999999997</v>
      </c>
      <c r="N3728" s="93" t="s">
        <v>113</v>
      </c>
      <c r="O3728" s="93">
        <v>6.8</v>
      </c>
      <c r="P3728" s="93">
        <v>21.9</v>
      </c>
      <c r="Q3728" s="93">
        <v>29.8</v>
      </c>
      <c r="R3728" s="93" t="s">
        <v>123</v>
      </c>
      <c r="S3728" s="93" t="s">
        <v>20</v>
      </c>
      <c r="T3728" s="93" t="s">
        <v>124</v>
      </c>
      <c r="U3728" s="93" t="s">
        <v>116</v>
      </c>
      <c r="V3728" s="94">
        <v>44628.490972222222</v>
      </c>
      <c r="W3728" s="93" t="s">
        <v>10</v>
      </c>
      <c r="X3728" s="93" t="s">
        <v>9</v>
      </c>
    </row>
    <row r="3729" spans="1:24" hidden="1" x14ac:dyDescent="0.15">
      <c r="A3729" s="93" t="s">
        <v>8359</v>
      </c>
      <c r="B3729" s="93" t="s">
        <v>8360</v>
      </c>
      <c r="C3729" s="410">
        <v>474</v>
      </c>
      <c r="D3729" s="93" t="s">
        <v>9</v>
      </c>
      <c r="E3729" s="93" t="s">
        <v>9</v>
      </c>
      <c r="F3729" s="93" t="s">
        <v>70</v>
      </c>
      <c r="G3729" s="93" t="s">
        <v>8358</v>
      </c>
      <c r="H3729" s="93" t="s">
        <v>6</v>
      </c>
      <c r="I3729" s="93" t="s">
        <v>111</v>
      </c>
      <c r="J3729" s="93" t="s">
        <v>71</v>
      </c>
      <c r="K3729" s="93">
        <v>180</v>
      </c>
      <c r="L3729" s="93">
        <v>10</v>
      </c>
      <c r="M3729" s="93">
        <v>0.96199999999999997</v>
      </c>
      <c r="N3729" s="93" t="s">
        <v>113</v>
      </c>
      <c r="O3729" s="93">
        <v>6.8</v>
      </c>
      <c r="P3729" s="93">
        <v>21.9</v>
      </c>
      <c r="Q3729" s="93">
        <v>29.8</v>
      </c>
      <c r="R3729" s="93" t="s">
        <v>123</v>
      </c>
      <c r="S3729" s="93" t="s">
        <v>20</v>
      </c>
      <c r="T3729" s="93" t="s">
        <v>124</v>
      </c>
      <c r="U3729" s="93" t="s">
        <v>116</v>
      </c>
      <c r="V3729" s="94">
        <v>44628.515277777777</v>
      </c>
      <c r="W3729" s="93" t="s">
        <v>10</v>
      </c>
      <c r="X3729" s="93" t="s">
        <v>9</v>
      </c>
    </row>
    <row r="3730" spans="1:24" hidden="1" x14ac:dyDescent="0.15">
      <c r="A3730" s="93" t="s">
        <v>8361</v>
      </c>
      <c r="B3730" s="93" t="s">
        <v>8362</v>
      </c>
      <c r="C3730" s="410">
        <v>474</v>
      </c>
      <c r="D3730" s="93" t="s">
        <v>9</v>
      </c>
      <c r="E3730" s="93" t="s">
        <v>9</v>
      </c>
      <c r="F3730" s="93" t="s">
        <v>70</v>
      </c>
      <c r="G3730" s="93" t="s">
        <v>8358</v>
      </c>
      <c r="H3730" s="93" t="s">
        <v>6</v>
      </c>
      <c r="I3730" s="93" t="s">
        <v>111</v>
      </c>
      <c r="J3730" s="93" t="s">
        <v>71</v>
      </c>
      <c r="K3730" s="93">
        <v>180</v>
      </c>
      <c r="L3730" s="93">
        <v>10</v>
      </c>
      <c r="M3730" s="93">
        <v>0.96199999999999997</v>
      </c>
      <c r="N3730" s="93" t="s">
        <v>113</v>
      </c>
      <c r="O3730" s="93">
        <v>6.8</v>
      </c>
      <c r="P3730" s="93">
        <v>21.9</v>
      </c>
      <c r="Q3730" s="93">
        <v>29.8</v>
      </c>
      <c r="R3730" s="93" t="s">
        <v>123</v>
      </c>
      <c r="S3730" s="93" t="s">
        <v>20</v>
      </c>
      <c r="T3730" s="93" t="s">
        <v>124</v>
      </c>
      <c r="U3730" s="93" t="s">
        <v>116</v>
      </c>
      <c r="V3730" s="94">
        <v>44628.636805555558</v>
      </c>
      <c r="W3730" s="93" t="s">
        <v>10</v>
      </c>
      <c r="X3730" s="93" t="s">
        <v>9</v>
      </c>
    </row>
    <row r="3731" spans="1:24" hidden="1" x14ac:dyDescent="0.15">
      <c r="A3731" s="93" t="s">
        <v>8363</v>
      </c>
      <c r="B3731" s="93" t="s">
        <v>8364</v>
      </c>
      <c r="C3731" s="410">
        <v>502.8</v>
      </c>
      <c r="D3731" s="93" t="s">
        <v>9</v>
      </c>
      <c r="E3731" s="93" t="s">
        <v>9</v>
      </c>
      <c r="F3731" s="93" t="s">
        <v>70</v>
      </c>
      <c r="G3731" s="93" t="s">
        <v>8358</v>
      </c>
      <c r="H3731" s="93" t="s">
        <v>6</v>
      </c>
      <c r="I3731" s="93" t="s">
        <v>111</v>
      </c>
      <c r="J3731" s="93" t="s">
        <v>71</v>
      </c>
      <c r="K3731" s="93">
        <v>180</v>
      </c>
      <c r="L3731" s="93">
        <v>10</v>
      </c>
      <c r="M3731" s="93">
        <v>0.96199999999999997</v>
      </c>
      <c r="N3731" s="93" t="s">
        <v>113</v>
      </c>
      <c r="O3731" s="93">
        <v>6.8</v>
      </c>
      <c r="P3731" s="93">
        <v>21.9</v>
      </c>
      <c r="Q3731" s="93">
        <v>29.8</v>
      </c>
      <c r="R3731" s="93" t="s">
        <v>123</v>
      </c>
      <c r="S3731" s="93" t="s">
        <v>20</v>
      </c>
      <c r="T3731" s="93" t="s">
        <v>124</v>
      </c>
      <c r="U3731" s="93" t="s">
        <v>116</v>
      </c>
      <c r="V3731" s="94">
        <v>44628.602083333331</v>
      </c>
      <c r="W3731" s="93" t="s">
        <v>10</v>
      </c>
      <c r="X3731" s="93" t="s">
        <v>9</v>
      </c>
    </row>
    <row r="3732" spans="1:24" hidden="1" x14ac:dyDescent="0.15">
      <c r="A3732" s="93" t="s">
        <v>8365</v>
      </c>
      <c r="B3732" s="93" t="s">
        <v>8366</v>
      </c>
      <c r="C3732" s="410">
        <v>900</v>
      </c>
      <c r="D3732" s="93" t="s">
        <v>9</v>
      </c>
      <c r="E3732" s="93" t="s">
        <v>9</v>
      </c>
      <c r="F3732" s="93" t="s">
        <v>70</v>
      </c>
      <c r="G3732" s="93" t="s">
        <v>8367</v>
      </c>
      <c r="H3732" s="93" t="s">
        <v>6</v>
      </c>
      <c r="I3732" s="93" t="s">
        <v>111</v>
      </c>
      <c r="J3732" s="93" t="s">
        <v>72</v>
      </c>
      <c r="K3732" s="93">
        <v>180</v>
      </c>
      <c r="L3732" s="93">
        <v>6</v>
      </c>
      <c r="M3732" s="93">
        <v>2.4500000000000002</v>
      </c>
      <c r="N3732" s="93" t="s">
        <v>113</v>
      </c>
      <c r="O3732" s="93">
        <v>15.2</v>
      </c>
      <c r="P3732" s="93">
        <v>26.7</v>
      </c>
      <c r="Q3732" s="93">
        <v>34.5</v>
      </c>
      <c r="R3732" s="93" t="s">
        <v>396</v>
      </c>
      <c r="S3732" s="93" t="s">
        <v>20</v>
      </c>
      <c r="T3732" s="93" t="s">
        <v>124</v>
      </c>
      <c r="U3732" s="93" t="s">
        <v>116</v>
      </c>
      <c r="V3732" s="94">
        <v>44628.512499999997</v>
      </c>
      <c r="W3732" s="93" t="s">
        <v>10</v>
      </c>
      <c r="X3732" s="93" t="s">
        <v>9</v>
      </c>
    </row>
    <row r="3733" spans="1:24" hidden="1" x14ac:dyDescent="0.15">
      <c r="A3733" s="93" t="s">
        <v>8368</v>
      </c>
      <c r="B3733" s="93" t="s">
        <v>8369</v>
      </c>
      <c r="C3733" s="410">
        <v>900</v>
      </c>
      <c r="D3733" s="93" t="s">
        <v>9</v>
      </c>
      <c r="E3733" s="93" t="s">
        <v>9</v>
      </c>
      <c r="F3733" s="93" t="s">
        <v>70</v>
      </c>
      <c r="G3733" s="93" t="s">
        <v>8367</v>
      </c>
      <c r="H3733" s="93" t="s">
        <v>6</v>
      </c>
      <c r="I3733" s="93" t="s">
        <v>111</v>
      </c>
      <c r="J3733" s="93" t="s">
        <v>72</v>
      </c>
      <c r="K3733" s="93">
        <v>180</v>
      </c>
      <c r="L3733" s="93">
        <v>6</v>
      </c>
      <c r="M3733" s="93">
        <v>2.4500000000000002</v>
      </c>
      <c r="N3733" s="93" t="s">
        <v>113</v>
      </c>
      <c r="O3733" s="93">
        <v>15.2</v>
      </c>
      <c r="P3733" s="93">
        <v>26.7</v>
      </c>
      <c r="Q3733" s="93">
        <v>34.5</v>
      </c>
      <c r="R3733" s="93" t="s">
        <v>123</v>
      </c>
      <c r="S3733" s="93" t="s">
        <v>20</v>
      </c>
      <c r="T3733" s="93" t="s">
        <v>124</v>
      </c>
      <c r="U3733" s="93" t="s">
        <v>116</v>
      </c>
      <c r="V3733" s="94">
        <v>44628.556944444441</v>
      </c>
      <c r="W3733" s="93" t="s">
        <v>10</v>
      </c>
      <c r="X3733" s="93" t="s">
        <v>9</v>
      </c>
    </row>
    <row r="3734" spans="1:24" hidden="1" x14ac:dyDescent="0.15">
      <c r="A3734" s="93" t="s">
        <v>8370</v>
      </c>
      <c r="B3734" s="93" t="s">
        <v>8371</v>
      </c>
      <c r="C3734" s="410">
        <v>900</v>
      </c>
      <c r="D3734" s="93" t="s">
        <v>9</v>
      </c>
      <c r="E3734" s="93" t="s">
        <v>9</v>
      </c>
      <c r="F3734" s="93" t="s">
        <v>70</v>
      </c>
      <c r="G3734" s="93" t="s">
        <v>8367</v>
      </c>
      <c r="H3734" s="93" t="s">
        <v>6</v>
      </c>
      <c r="I3734" s="93" t="s">
        <v>111</v>
      </c>
      <c r="J3734" s="93" t="s">
        <v>72</v>
      </c>
      <c r="K3734" s="93">
        <v>180</v>
      </c>
      <c r="L3734" s="93">
        <v>6</v>
      </c>
      <c r="M3734" s="93">
        <v>2.4500000000000002</v>
      </c>
      <c r="N3734" s="93" t="s">
        <v>113</v>
      </c>
      <c r="O3734" s="93">
        <v>15.2</v>
      </c>
      <c r="P3734" s="93">
        <v>26.7</v>
      </c>
      <c r="Q3734" s="93">
        <v>34.5</v>
      </c>
      <c r="R3734" s="93" t="s">
        <v>398</v>
      </c>
      <c r="S3734" s="93" t="s">
        <v>20</v>
      </c>
      <c r="T3734" s="93" t="s">
        <v>124</v>
      </c>
      <c r="U3734" s="93" t="s">
        <v>116</v>
      </c>
      <c r="V3734" s="94">
        <v>44628.601388888892</v>
      </c>
      <c r="W3734" s="93" t="s">
        <v>10</v>
      </c>
      <c r="X3734" s="93" t="s">
        <v>9</v>
      </c>
    </row>
    <row r="3735" spans="1:24" hidden="1" x14ac:dyDescent="0.15">
      <c r="A3735" s="93" t="s">
        <v>8372</v>
      </c>
      <c r="B3735" s="93" t="s">
        <v>8373</v>
      </c>
      <c r="C3735" s="410">
        <v>963</v>
      </c>
      <c r="D3735" s="93" t="s">
        <v>9</v>
      </c>
      <c r="E3735" s="93" t="s">
        <v>9</v>
      </c>
      <c r="F3735" s="93" t="s">
        <v>70</v>
      </c>
      <c r="G3735" s="93" t="s">
        <v>8367</v>
      </c>
      <c r="H3735" s="93" t="s">
        <v>6</v>
      </c>
      <c r="I3735" s="93" t="s">
        <v>111</v>
      </c>
      <c r="J3735" s="93" t="s">
        <v>72</v>
      </c>
      <c r="K3735" s="93">
        <v>180</v>
      </c>
      <c r="L3735" s="93">
        <v>6</v>
      </c>
      <c r="M3735" s="93">
        <v>2.4500000000000002</v>
      </c>
      <c r="N3735" s="93" t="s">
        <v>113</v>
      </c>
      <c r="O3735" s="93">
        <v>15.2</v>
      </c>
      <c r="P3735" s="93">
        <v>26.7</v>
      </c>
      <c r="Q3735" s="93">
        <v>34.5</v>
      </c>
      <c r="R3735" s="93" t="s">
        <v>396</v>
      </c>
      <c r="S3735" s="93" t="s">
        <v>20</v>
      </c>
      <c r="T3735" s="93" t="s">
        <v>124</v>
      </c>
      <c r="U3735" s="93" t="s">
        <v>116</v>
      </c>
      <c r="V3735" s="94">
        <v>44628.556944444441</v>
      </c>
      <c r="W3735" s="93" t="s">
        <v>10</v>
      </c>
      <c r="X3735" s="93" t="s">
        <v>9</v>
      </c>
    </row>
    <row r="3736" spans="1:24" hidden="1" x14ac:dyDescent="0.15">
      <c r="A3736" s="93" t="s">
        <v>8374</v>
      </c>
      <c r="B3736" s="93" t="s">
        <v>8375</v>
      </c>
      <c r="C3736" s="410">
        <v>30</v>
      </c>
      <c r="D3736" s="93" t="s">
        <v>9</v>
      </c>
      <c r="E3736" s="93" t="s">
        <v>24</v>
      </c>
      <c r="F3736" s="93" t="s">
        <v>7070</v>
      </c>
      <c r="G3736" s="93" t="s">
        <v>7159</v>
      </c>
      <c r="H3736" s="93" t="s">
        <v>11</v>
      </c>
      <c r="I3736" s="93" t="s">
        <v>111</v>
      </c>
      <c r="J3736" s="93" t="s">
        <v>72</v>
      </c>
      <c r="K3736" s="93">
        <v>180</v>
      </c>
      <c r="L3736" s="93">
        <v>1</v>
      </c>
      <c r="M3736" s="93">
        <v>0.28000000000000003</v>
      </c>
      <c r="N3736" s="93" t="s">
        <v>113</v>
      </c>
      <c r="O3736" s="93">
        <v>9.5</v>
      </c>
      <c r="P3736" s="93">
        <v>13.46</v>
      </c>
      <c r="Q3736" s="93">
        <v>13.8</v>
      </c>
      <c r="R3736" s="93" t="s">
        <v>122</v>
      </c>
      <c r="S3736" s="93" t="s">
        <v>20</v>
      </c>
      <c r="T3736" s="93" t="s">
        <v>115</v>
      </c>
      <c r="U3736" s="93" t="s">
        <v>116</v>
      </c>
      <c r="V3736" s="94">
        <v>44628.491666666669</v>
      </c>
      <c r="W3736" s="93" t="s">
        <v>7156</v>
      </c>
      <c r="X3736" s="93" t="s">
        <v>9</v>
      </c>
    </row>
    <row r="3737" spans="1:24" hidden="1" x14ac:dyDescent="0.15">
      <c r="A3737" s="93" t="s">
        <v>8376</v>
      </c>
      <c r="B3737" s="93" t="s">
        <v>8377</v>
      </c>
      <c r="C3737" s="410">
        <v>72</v>
      </c>
      <c r="D3737" s="93" t="s">
        <v>9</v>
      </c>
      <c r="E3737" s="93" t="s">
        <v>24</v>
      </c>
      <c r="F3737" s="93" t="s">
        <v>70</v>
      </c>
      <c r="G3737" s="93" t="s">
        <v>8378</v>
      </c>
      <c r="H3737" s="93" t="s">
        <v>6</v>
      </c>
      <c r="I3737" s="93" t="s">
        <v>111</v>
      </c>
      <c r="J3737" s="93" t="s">
        <v>7165</v>
      </c>
      <c r="K3737" s="93">
        <v>90</v>
      </c>
      <c r="L3737" s="93">
        <v>10</v>
      </c>
      <c r="M3737" s="93">
        <v>0.55000000000000004</v>
      </c>
      <c r="N3737" s="93" t="s">
        <v>113</v>
      </c>
      <c r="O3737" s="93">
        <v>7.5</v>
      </c>
      <c r="P3737" s="93">
        <v>19.5</v>
      </c>
      <c r="Q3737" s="93">
        <v>23.5</v>
      </c>
      <c r="R3737" s="93" t="s">
        <v>123</v>
      </c>
      <c r="S3737" s="93" t="s">
        <v>20</v>
      </c>
      <c r="T3737" s="93" t="s">
        <v>124</v>
      </c>
      <c r="U3737" s="93" t="s">
        <v>119</v>
      </c>
      <c r="V3737" s="94">
        <v>44628.558333333334</v>
      </c>
      <c r="W3737" s="93" t="s">
        <v>10</v>
      </c>
      <c r="X3737" s="93" t="s">
        <v>9</v>
      </c>
    </row>
    <row r="3738" spans="1:24" hidden="1" x14ac:dyDescent="0.15">
      <c r="A3738" s="93" t="s">
        <v>8379</v>
      </c>
      <c r="B3738" s="93" t="s">
        <v>8380</v>
      </c>
      <c r="C3738" s="410">
        <v>60</v>
      </c>
      <c r="D3738" s="93" t="s">
        <v>9</v>
      </c>
      <c r="E3738" s="93" t="s">
        <v>24</v>
      </c>
      <c r="F3738" s="93" t="s">
        <v>70</v>
      </c>
      <c r="G3738" s="93" t="s">
        <v>8378</v>
      </c>
      <c r="H3738" s="93" t="s">
        <v>6</v>
      </c>
      <c r="I3738" s="93" t="s">
        <v>111</v>
      </c>
      <c r="J3738" s="93" t="s">
        <v>7165</v>
      </c>
      <c r="K3738" s="93">
        <v>90</v>
      </c>
      <c r="L3738" s="93">
        <v>10</v>
      </c>
      <c r="M3738" s="93">
        <v>0.54</v>
      </c>
      <c r="N3738" s="93" t="s">
        <v>113</v>
      </c>
      <c r="O3738" s="93">
        <v>7.5</v>
      </c>
      <c r="P3738" s="93">
        <v>19.5</v>
      </c>
      <c r="Q3738" s="93">
        <v>23.5</v>
      </c>
      <c r="R3738" s="93" t="s">
        <v>123</v>
      </c>
      <c r="S3738" s="93" t="s">
        <v>20</v>
      </c>
      <c r="T3738" s="93" t="s">
        <v>124</v>
      </c>
      <c r="U3738" s="93" t="s">
        <v>119</v>
      </c>
      <c r="V3738" s="94">
        <v>44628.493055555555</v>
      </c>
      <c r="W3738" s="93" t="s">
        <v>10</v>
      </c>
      <c r="X3738" s="93" t="s">
        <v>9</v>
      </c>
    </row>
    <row r="3739" spans="1:24" hidden="1" x14ac:dyDescent="0.15">
      <c r="A3739" s="93" t="s">
        <v>8381</v>
      </c>
      <c r="B3739" s="93" t="s">
        <v>8382</v>
      </c>
      <c r="C3739" s="410">
        <v>60</v>
      </c>
      <c r="D3739" s="93" t="s">
        <v>9</v>
      </c>
      <c r="E3739" s="93" t="s">
        <v>24</v>
      </c>
      <c r="F3739" s="93" t="s">
        <v>70</v>
      </c>
      <c r="G3739" s="93" t="s">
        <v>8378</v>
      </c>
      <c r="H3739" s="93" t="s">
        <v>6</v>
      </c>
      <c r="I3739" s="93" t="s">
        <v>111</v>
      </c>
      <c r="J3739" s="93" t="s">
        <v>7165</v>
      </c>
      <c r="K3739" s="93">
        <v>90</v>
      </c>
      <c r="L3739" s="93">
        <v>10</v>
      </c>
      <c r="M3739" s="93">
        <v>0.55000000000000004</v>
      </c>
      <c r="N3739" s="93" t="s">
        <v>113</v>
      </c>
      <c r="O3739" s="93">
        <v>7.5</v>
      </c>
      <c r="P3739" s="93">
        <v>19.5</v>
      </c>
      <c r="Q3739" s="93">
        <v>23.5</v>
      </c>
      <c r="R3739" s="93" t="s">
        <v>123</v>
      </c>
      <c r="S3739" s="93" t="s">
        <v>20</v>
      </c>
      <c r="T3739" s="93" t="s">
        <v>124</v>
      </c>
      <c r="U3739" s="93" t="s">
        <v>119</v>
      </c>
      <c r="V3739" s="94">
        <v>44628.47152777778</v>
      </c>
      <c r="W3739" s="93" t="s">
        <v>10</v>
      </c>
      <c r="X3739" s="93" t="s">
        <v>9</v>
      </c>
    </row>
    <row r="3740" spans="1:24" hidden="1" x14ac:dyDescent="0.15">
      <c r="A3740" s="93" t="s">
        <v>8383</v>
      </c>
      <c r="B3740" s="93" t="s">
        <v>8384</v>
      </c>
      <c r="C3740" s="410">
        <v>60</v>
      </c>
      <c r="D3740" s="93" t="s">
        <v>9</v>
      </c>
      <c r="E3740" s="93" t="s">
        <v>24</v>
      </c>
      <c r="F3740" s="93" t="s">
        <v>70</v>
      </c>
      <c r="G3740" s="93" t="s">
        <v>8378</v>
      </c>
      <c r="H3740" s="93" t="s">
        <v>6</v>
      </c>
      <c r="I3740" s="93" t="s">
        <v>111</v>
      </c>
      <c r="J3740" s="93" t="s">
        <v>7165</v>
      </c>
      <c r="K3740" s="93">
        <v>90</v>
      </c>
      <c r="L3740" s="93">
        <v>10</v>
      </c>
      <c r="M3740" s="93">
        <v>0.54</v>
      </c>
      <c r="N3740" s="93" t="s">
        <v>113</v>
      </c>
      <c r="O3740" s="93">
        <v>7.5</v>
      </c>
      <c r="P3740" s="93">
        <v>19.5</v>
      </c>
      <c r="Q3740" s="93">
        <v>23.5</v>
      </c>
      <c r="R3740" s="93" t="s">
        <v>123</v>
      </c>
      <c r="S3740" s="93" t="s">
        <v>20</v>
      </c>
      <c r="T3740" s="93" t="s">
        <v>124</v>
      </c>
      <c r="U3740" s="93" t="s">
        <v>119</v>
      </c>
      <c r="V3740" s="94">
        <v>44628.602083333331</v>
      </c>
      <c r="W3740" s="93" t="s">
        <v>10</v>
      </c>
      <c r="X3740" s="93" t="s">
        <v>9</v>
      </c>
    </row>
    <row r="3741" spans="1:24" hidden="1" x14ac:dyDescent="0.15">
      <c r="A3741" s="93" t="s">
        <v>8385</v>
      </c>
      <c r="B3741" s="93" t="s">
        <v>8386</v>
      </c>
      <c r="C3741" s="410">
        <v>76.319999999999993</v>
      </c>
      <c r="D3741" s="93" t="s">
        <v>9</v>
      </c>
      <c r="E3741" s="93" t="s">
        <v>24</v>
      </c>
      <c r="F3741" s="93" t="s">
        <v>70</v>
      </c>
      <c r="G3741" s="93" t="s">
        <v>8378</v>
      </c>
      <c r="H3741" s="93" t="s">
        <v>6</v>
      </c>
      <c r="I3741" s="93" t="s">
        <v>111</v>
      </c>
      <c r="J3741" s="93" t="s">
        <v>7165</v>
      </c>
      <c r="K3741" s="93">
        <v>90</v>
      </c>
      <c r="L3741" s="93">
        <v>10</v>
      </c>
      <c r="M3741" s="93">
        <v>0.55000000000000004</v>
      </c>
      <c r="N3741" s="93" t="s">
        <v>113</v>
      </c>
      <c r="O3741" s="93">
        <v>7.5</v>
      </c>
      <c r="P3741" s="93">
        <v>19.5</v>
      </c>
      <c r="Q3741" s="93">
        <v>23.5</v>
      </c>
      <c r="R3741" s="93" t="s">
        <v>123</v>
      </c>
      <c r="S3741" s="93" t="s">
        <v>20</v>
      </c>
      <c r="T3741" s="93" t="s">
        <v>124</v>
      </c>
      <c r="U3741" s="93" t="s">
        <v>119</v>
      </c>
      <c r="V3741" s="94">
        <v>44628.558333333334</v>
      </c>
      <c r="W3741" s="93" t="s">
        <v>10</v>
      </c>
      <c r="X3741" s="93" t="s">
        <v>9</v>
      </c>
    </row>
    <row r="3742" spans="1:24" hidden="1" x14ac:dyDescent="0.15">
      <c r="A3742" s="93" t="s">
        <v>8387</v>
      </c>
      <c r="B3742" s="93" t="s">
        <v>8388</v>
      </c>
      <c r="C3742" s="410">
        <v>48</v>
      </c>
      <c r="D3742" s="93" t="s">
        <v>9</v>
      </c>
      <c r="E3742" s="93" t="s">
        <v>24</v>
      </c>
      <c r="F3742" s="93" t="s">
        <v>70</v>
      </c>
      <c r="G3742" s="93" t="s">
        <v>8378</v>
      </c>
      <c r="H3742" s="93" t="s">
        <v>6</v>
      </c>
      <c r="I3742" s="93" t="s">
        <v>111</v>
      </c>
      <c r="J3742" s="93" t="s">
        <v>7165</v>
      </c>
      <c r="K3742" s="93">
        <v>90</v>
      </c>
      <c r="L3742" s="93">
        <v>10</v>
      </c>
      <c r="M3742" s="93">
        <v>0.45</v>
      </c>
      <c r="N3742" s="93" t="s">
        <v>113</v>
      </c>
      <c r="O3742" s="93">
        <v>7.5</v>
      </c>
      <c r="P3742" s="93">
        <v>19.5</v>
      </c>
      <c r="Q3742" s="93">
        <v>23.5</v>
      </c>
      <c r="R3742" s="93" t="s">
        <v>123</v>
      </c>
      <c r="S3742" s="93" t="s">
        <v>20</v>
      </c>
      <c r="T3742" s="93" t="s">
        <v>124</v>
      </c>
      <c r="U3742" s="93" t="s">
        <v>119</v>
      </c>
      <c r="V3742" s="94">
        <v>44628.515277777777</v>
      </c>
      <c r="W3742" s="93" t="s">
        <v>10</v>
      </c>
      <c r="X3742" s="93" t="s">
        <v>9</v>
      </c>
    </row>
    <row r="3743" spans="1:24" hidden="1" x14ac:dyDescent="0.15">
      <c r="A3743" s="93" t="s">
        <v>8389</v>
      </c>
      <c r="B3743" s="93" t="s">
        <v>8390</v>
      </c>
      <c r="C3743" s="410">
        <v>48</v>
      </c>
      <c r="D3743" s="93" t="s">
        <v>9</v>
      </c>
      <c r="E3743" s="93" t="s">
        <v>24</v>
      </c>
      <c r="F3743" s="93" t="s">
        <v>70</v>
      </c>
      <c r="G3743" s="93" t="s">
        <v>8378</v>
      </c>
      <c r="H3743" s="93" t="s">
        <v>6</v>
      </c>
      <c r="I3743" s="93" t="s">
        <v>111</v>
      </c>
      <c r="J3743" s="93" t="s">
        <v>7165</v>
      </c>
      <c r="K3743" s="93">
        <v>90</v>
      </c>
      <c r="L3743" s="93">
        <v>10</v>
      </c>
      <c r="M3743" s="93">
        <v>0.45</v>
      </c>
      <c r="N3743" s="93" t="s">
        <v>113</v>
      </c>
      <c r="O3743" s="93">
        <v>7.5</v>
      </c>
      <c r="P3743" s="93">
        <v>19.5</v>
      </c>
      <c r="Q3743" s="93">
        <v>23.5</v>
      </c>
      <c r="R3743" s="93" t="s">
        <v>123</v>
      </c>
      <c r="S3743" s="93" t="s">
        <v>20</v>
      </c>
      <c r="T3743" s="93" t="s">
        <v>124</v>
      </c>
      <c r="U3743" s="93" t="s">
        <v>119</v>
      </c>
      <c r="V3743" s="94">
        <v>44628.515277777777</v>
      </c>
      <c r="W3743" s="93" t="s">
        <v>10</v>
      </c>
      <c r="X3743" s="93" t="s">
        <v>9</v>
      </c>
    </row>
    <row r="3744" spans="1:24" hidden="1" x14ac:dyDescent="0.15">
      <c r="A3744" s="93" t="s">
        <v>8391</v>
      </c>
      <c r="B3744" s="93" t="s">
        <v>8392</v>
      </c>
      <c r="C3744" s="410">
        <v>48</v>
      </c>
      <c r="D3744" s="93" t="s">
        <v>9</v>
      </c>
      <c r="E3744" s="93" t="s">
        <v>24</v>
      </c>
      <c r="F3744" s="93" t="s">
        <v>70</v>
      </c>
      <c r="G3744" s="93" t="s">
        <v>8378</v>
      </c>
      <c r="H3744" s="93" t="s">
        <v>6</v>
      </c>
      <c r="I3744" s="93" t="s">
        <v>111</v>
      </c>
      <c r="J3744" s="93" t="s">
        <v>7165</v>
      </c>
      <c r="K3744" s="93">
        <v>90</v>
      </c>
      <c r="L3744" s="93">
        <v>10</v>
      </c>
      <c r="M3744" s="93">
        <v>0.44</v>
      </c>
      <c r="N3744" s="93" t="s">
        <v>113</v>
      </c>
      <c r="O3744" s="93">
        <v>7.5</v>
      </c>
      <c r="P3744" s="93">
        <v>19.5</v>
      </c>
      <c r="Q3744" s="93">
        <v>23.5</v>
      </c>
      <c r="R3744" s="93" t="s">
        <v>123</v>
      </c>
      <c r="S3744" s="93" t="s">
        <v>20</v>
      </c>
      <c r="T3744" s="93" t="s">
        <v>124</v>
      </c>
      <c r="U3744" s="93" t="s">
        <v>119</v>
      </c>
      <c r="V3744" s="94">
        <v>44628.472222222219</v>
      </c>
      <c r="W3744" s="93" t="s">
        <v>10</v>
      </c>
      <c r="X3744" s="93" t="s">
        <v>9</v>
      </c>
    </row>
    <row r="3745" spans="1:24" hidden="1" x14ac:dyDescent="0.15">
      <c r="A3745" s="93" t="s">
        <v>8393</v>
      </c>
      <c r="B3745" s="93" t="s">
        <v>8394</v>
      </c>
      <c r="C3745" s="410">
        <v>48</v>
      </c>
      <c r="D3745" s="93" t="s">
        <v>9</v>
      </c>
      <c r="E3745" s="93" t="s">
        <v>24</v>
      </c>
      <c r="F3745" s="93" t="s">
        <v>70</v>
      </c>
      <c r="G3745" s="93" t="s">
        <v>8378</v>
      </c>
      <c r="H3745" s="93" t="s">
        <v>6</v>
      </c>
      <c r="I3745" s="93" t="s">
        <v>111</v>
      </c>
      <c r="J3745" s="93" t="s">
        <v>7165</v>
      </c>
      <c r="K3745" s="93">
        <v>90</v>
      </c>
      <c r="L3745" s="93">
        <v>10</v>
      </c>
      <c r="M3745" s="93">
        <v>0.39</v>
      </c>
      <c r="N3745" s="93" t="s">
        <v>113</v>
      </c>
      <c r="O3745" s="93">
        <v>7.5</v>
      </c>
      <c r="P3745" s="93">
        <v>19.5</v>
      </c>
      <c r="Q3745" s="93">
        <v>23.5</v>
      </c>
      <c r="R3745" s="93" t="s">
        <v>123</v>
      </c>
      <c r="S3745" s="93" t="s">
        <v>20</v>
      </c>
      <c r="T3745" s="93" t="s">
        <v>124</v>
      </c>
      <c r="U3745" s="93" t="s">
        <v>119</v>
      </c>
      <c r="V3745" s="94">
        <v>44628.637499999997</v>
      </c>
      <c r="W3745" s="93" t="s">
        <v>10</v>
      </c>
      <c r="X3745" s="93" t="s">
        <v>9</v>
      </c>
    </row>
    <row r="3746" spans="1:24" hidden="1" x14ac:dyDescent="0.15">
      <c r="A3746" s="93" t="s">
        <v>8395</v>
      </c>
      <c r="B3746" s="93" t="s">
        <v>8396</v>
      </c>
      <c r="C3746" s="410">
        <v>48</v>
      </c>
      <c r="D3746" s="93" t="s">
        <v>9</v>
      </c>
      <c r="E3746" s="93" t="s">
        <v>24</v>
      </c>
      <c r="F3746" s="93" t="s">
        <v>70</v>
      </c>
      <c r="G3746" s="93" t="s">
        <v>8378</v>
      </c>
      <c r="H3746" s="93" t="s">
        <v>6</v>
      </c>
      <c r="I3746" s="93" t="s">
        <v>111</v>
      </c>
      <c r="J3746" s="93" t="s">
        <v>7165</v>
      </c>
      <c r="K3746" s="93">
        <v>90</v>
      </c>
      <c r="L3746" s="93">
        <v>10</v>
      </c>
      <c r="M3746" s="93">
        <v>0.45</v>
      </c>
      <c r="N3746" s="93" t="s">
        <v>113</v>
      </c>
      <c r="O3746" s="93">
        <v>7.5</v>
      </c>
      <c r="P3746" s="93">
        <v>19.5</v>
      </c>
      <c r="Q3746" s="93">
        <v>23.5</v>
      </c>
      <c r="R3746" s="93" t="s">
        <v>123</v>
      </c>
      <c r="S3746" s="93" t="s">
        <v>20</v>
      </c>
      <c r="T3746" s="93" t="s">
        <v>124</v>
      </c>
      <c r="U3746" s="93" t="s">
        <v>119</v>
      </c>
      <c r="V3746" s="94">
        <v>44628.579861111109</v>
      </c>
      <c r="W3746" s="93" t="s">
        <v>10</v>
      </c>
      <c r="X3746" s="93" t="s">
        <v>9</v>
      </c>
    </row>
    <row r="3747" spans="1:24" hidden="1" x14ac:dyDescent="0.15">
      <c r="A3747" s="93" t="s">
        <v>8397</v>
      </c>
      <c r="B3747" s="93" t="s">
        <v>8398</v>
      </c>
      <c r="C3747" s="410">
        <v>48</v>
      </c>
      <c r="D3747" s="93" t="s">
        <v>9</v>
      </c>
      <c r="E3747" s="93" t="s">
        <v>24</v>
      </c>
      <c r="F3747" s="93" t="s">
        <v>70</v>
      </c>
      <c r="G3747" s="93" t="s">
        <v>8378</v>
      </c>
      <c r="H3747" s="93" t="s">
        <v>6</v>
      </c>
      <c r="I3747" s="93" t="s">
        <v>111</v>
      </c>
      <c r="J3747" s="93" t="s">
        <v>7165</v>
      </c>
      <c r="K3747" s="93">
        <v>90</v>
      </c>
      <c r="L3747" s="93">
        <v>10</v>
      </c>
      <c r="M3747" s="93">
        <v>0.45</v>
      </c>
      <c r="N3747" s="93" t="s">
        <v>113</v>
      </c>
      <c r="O3747" s="93">
        <v>7.5</v>
      </c>
      <c r="P3747" s="93">
        <v>19.5</v>
      </c>
      <c r="Q3747" s="93">
        <v>23.5</v>
      </c>
      <c r="R3747" s="93" t="s">
        <v>123</v>
      </c>
      <c r="S3747" s="93" t="s">
        <v>20</v>
      </c>
      <c r="T3747" s="93" t="s">
        <v>124</v>
      </c>
      <c r="U3747" s="93" t="s">
        <v>119</v>
      </c>
      <c r="V3747" s="94">
        <v>44628.537499999999</v>
      </c>
      <c r="W3747" s="93" t="s">
        <v>10</v>
      </c>
      <c r="X3747" s="93" t="s">
        <v>9</v>
      </c>
    </row>
    <row r="3748" spans="1:24" hidden="1" x14ac:dyDescent="0.15">
      <c r="A3748" s="93" t="s">
        <v>8399</v>
      </c>
      <c r="B3748" s="93" t="s">
        <v>8400</v>
      </c>
      <c r="C3748" s="410">
        <v>50.88</v>
      </c>
      <c r="D3748" s="93" t="s">
        <v>9</v>
      </c>
      <c r="E3748" s="93" t="s">
        <v>24</v>
      </c>
      <c r="F3748" s="93" t="s">
        <v>70</v>
      </c>
      <c r="G3748" s="93" t="s">
        <v>8378</v>
      </c>
      <c r="H3748" s="93" t="s">
        <v>6</v>
      </c>
      <c r="I3748" s="93" t="s">
        <v>111</v>
      </c>
      <c r="J3748" s="93" t="s">
        <v>7165</v>
      </c>
      <c r="K3748" s="93">
        <v>90</v>
      </c>
      <c r="L3748" s="93">
        <v>10</v>
      </c>
      <c r="M3748" s="93">
        <v>0.44</v>
      </c>
      <c r="N3748" s="93" t="s">
        <v>113</v>
      </c>
      <c r="O3748" s="93">
        <v>7.5</v>
      </c>
      <c r="P3748" s="93">
        <v>19.5</v>
      </c>
      <c r="Q3748" s="93">
        <v>23.5</v>
      </c>
      <c r="R3748" s="93" t="s">
        <v>123</v>
      </c>
      <c r="S3748" s="93" t="s">
        <v>20</v>
      </c>
      <c r="T3748" s="93" t="s">
        <v>124</v>
      </c>
      <c r="U3748" s="93" t="s">
        <v>119</v>
      </c>
      <c r="V3748" s="94">
        <v>44628.636805555558</v>
      </c>
      <c r="W3748" s="93" t="s">
        <v>10</v>
      </c>
      <c r="X3748" s="93" t="s">
        <v>9</v>
      </c>
    </row>
    <row r="3749" spans="1:24" hidden="1" x14ac:dyDescent="0.15">
      <c r="A3749" s="93" t="s">
        <v>8401</v>
      </c>
      <c r="B3749" s="93" t="s">
        <v>8402</v>
      </c>
      <c r="C3749" s="410">
        <v>48</v>
      </c>
      <c r="D3749" s="93" t="s">
        <v>9</v>
      </c>
      <c r="E3749" s="93" t="s">
        <v>24</v>
      </c>
      <c r="F3749" s="93" t="s">
        <v>70</v>
      </c>
      <c r="G3749" s="93" t="s">
        <v>8378</v>
      </c>
      <c r="H3749" s="93" t="s">
        <v>6</v>
      </c>
      <c r="I3749" s="93" t="s">
        <v>111</v>
      </c>
      <c r="J3749" s="93" t="s">
        <v>7165</v>
      </c>
      <c r="K3749" s="93">
        <v>90</v>
      </c>
      <c r="L3749" s="93">
        <v>10</v>
      </c>
      <c r="M3749" s="93">
        <v>0.85899999999999999</v>
      </c>
      <c r="N3749" s="93" t="s">
        <v>113</v>
      </c>
      <c r="O3749" s="93">
        <v>7.5</v>
      </c>
      <c r="P3749" s="93">
        <v>19.5</v>
      </c>
      <c r="Q3749" s="93">
        <v>23.5</v>
      </c>
      <c r="R3749" s="93" t="s">
        <v>123</v>
      </c>
      <c r="S3749" s="93" t="s">
        <v>20</v>
      </c>
      <c r="T3749" s="93" t="s">
        <v>124</v>
      </c>
      <c r="U3749" s="93" t="s">
        <v>119</v>
      </c>
      <c r="V3749" s="94">
        <v>44628.536805555559</v>
      </c>
      <c r="W3749" s="93" t="s">
        <v>10</v>
      </c>
      <c r="X3749" s="93" t="s">
        <v>9</v>
      </c>
    </row>
    <row r="3750" spans="1:24" hidden="1" x14ac:dyDescent="0.15">
      <c r="A3750" s="93" t="s">
        <v>8403</v>
      </c>
      <c r="B3750" s="93" t="s">
        <v>8404</v>
      </c>
      <c r="C3750" s="410">
        <v>186</v>
      </c>
      <c r="D3750" s="93" t="s">
        <v>9</v>
      </c>
      <c r="E3750" s="93" t="s">
        <v>24</v>
      </c>
      <c r="F3750" s="93" t="s">
        <v>70</v>
      </c>
      <c r="G3750" s="93" t="s">
        <v>8405</v>
      </c>
      <c r="H3750" s="93" t="s">
        <v>6</v>
      </c>
      <c r="I3750" s="93" t="s">
        <v>111</v>
      </c>
      <c r="J3750" s="93" t="s">
        <v>7165</v>
      </c>
      <c r="K3750" s="93">
        <v>90</v>
      </c>
      <c r="L3750" s="93">
        <v>10</v>
      </c>
      <c r="M3750" s="93">
        <v>0.96</v>
      </c>
      <c r="N3750" s="93" t="s">
        <v>113</v>
      </c>
      <c r="O3750" s="93">
        <v>4</v>
      </c>
      <c r="P3750" s="93">
        <v>17</v>
      </c>
      <c r="Q3750" s="93">
        <v>20</v>
      </c>
      <c r="R3750" s="93" t="s">
        <v>123</v>
      </c>
      <c r="S3750" s="93" t="s">
        <v>20</v>
      </c>
      <c r="T3750" s="93" t="s">
        <v>124</v>
      </c>
      <c r="U3750" s="93" t="s">
        <v>116</v>
      </c>
      <c r="V3750" s="94">
        <v>44628.488194444442</v>
      </c>
      <c r="W3750" s="93" t="s">
        <v>10</v>
      </c>
      <c r="X3750" s="93" t="s">
        <v>9</v>
      </c>
    </row>
    <row r="3751" spans="1:24" hidden="1" x14ac:dyDescent="0.15">
      <c r="A3751" s="93" t="s">
        <v>8406</v>
      </c>
      <c r="B3751" s="93" t="s">
        <v>8407</v>
      </c>
      <c r="C3751" s="410">
        <v>186</v>
      </c>
      <c r="D3751" s="93" t="s">
        <v>9</v>
      </c>
      <c r="E3751" s="93" t="s">
        <v>24</v>
      </c>
      <c r="F3751" s="93" t="s">
        <v>70</v>
      </c>
      <c r="G3751" s="93" t="s">
        <v>8405</v>
      </c>
      <c r="H3751" s="93" t="s">
        <v>6</v>
      </c>
      <c r="I3751" s="93" t="s">
        <v>111</v>
      </c>
      <c r="J3751" s="93" t="s">
        <v>7165</v>
      </c>
      <c r="K3751" s="93">
        <v>90</v>
      </c>
      <c r="L3751" s="93">
        <v>10</v>
      </c>
      <c r="M3751" s="93">
        <v>0.96</v>
      </c>
      <c r="N3751" s="93" t="s">
        <v>113</v>
      </c>
      <c r="O3751" s="93">
        <v>4</v>
      </c>
      <c r="P3751" s="93">
        <v>17</v>
      </c>
      <c r="Q3751" s="93">
        <v>20</v>
      </c>
      <c r="R3751" s="93" t="s">
        <v>123</v>
      </c>
      <c r="S3751" s="93" t="s">
        <v>20</v>
      </c>
      <c r="T3751" s="93" t="s">
        <v>124</v>
      </c>
      <c r="U3751" s="93" t="s">
        <v>116</v>
      </c>
      <c r="V3751" s="94">
        <v>44628.46597222222</v>
      </c>
      <c r="W3751" s="93" t="s">
        <v>10</v>
      </c>
      <c r="X3751" s="93" t="s">
        <v>9</v>
      </c>
    </row>
    <row r="3752" spans="1:24" hidden="1" x14ac:dyDescent="0.15">
      <c r="A3752" s="93" t="s">
        <v>8408</v>
      </c>
      <c r="B3752" s="93" t="s">
        <v>8409</v>
      </c>
      <c r="C3752" s="410">
        <v>186</v>
      </c>
      <c r="D3752" s="93" t="s">
        <v>9</v>
      </c>
      <c r="E3752" s="93" t="s">
        <v>24</v>
      </c>
      <c r="F3752" s="93" t="s">
        <v>70</v>
      </c>
      <c r="G3752" s="93" t="s">
        <v>8405</v>
      </c>
      <c r="H3752" s="93" t="s">
        <v>6</v>
      </c>
      <c r="I3752" s="93" t="s">
        <v>111</v>
      </c>
      <c r="J3752" s="93" t="s">
        <v>7165</v>
      </c>
      <c r="K3752" s="93">
        <v>90</v>
      </c>
      <c r="L3752" s="93">
        <v>10</v>
      </c>
      <c r="M3752" s="93">
        <v>0.96</v>
      </c>
      <c r="N3752" s="93" t="s">
        <v>113</v>
      </c>
      <c r="O3752" s="93">
        <v>4</v>
      </c>
      <c r="P3752" s="93">
        <v>17</v>
      </c>
      <c r="Q3752" s="93">
        <v>20</v>
      </c>
      <c r="R3752" s="93" t="s">
        <v>123</v>
      </c>
      <c r="S3752" s="93" t="s">
        <v>20</v>
      </c>
      <c r="T3752" s="93" t="s">
        <v>124</v>
      </c>
      <c r="U3752" s="93" t="s">
        <v>116</v>
      </c>
      <c r="V3752" s="94">
        <v>44628.59652777778</v>
      </c>
      <c r="W3752" s="93" t="s">
        <v>10</v>
      </c>
      <c r="X3752" s="93" t="s">
        <v>9</v>
      </c>
    </row>
    <row r="3753" spans="1:24" hidden="1" x14ac:dyDescent="0.15">
      <c r="A3753" s="93" t="s">
        <v>8410</v>
      </c>
      <c r="B3753" s="93" t="s">
        <v>8411</v>
      </c>
      <c r="C3753" s="410">
        <v>186</v>
      </c>
      <c r="D3753" s="93" t="s">
        <v>9</v>
      </c>
      <c r="E3753" s="93" t="s">
        <v>24</v>
      </c>
      <c r="F3753" s="93" t="s">
        <v>70</v>
      </c>
      <c r="G3753" s="93" t="s">
        <v>8405</v>
      </c>
      <c r="H3753" s="93" t="s">
        <v>6</v>
      </c>
      <c r="I3753" s="93" t="s">
        <v>111</v>
      </c>
      <c r="J3753" s="93" t="s">
        <v>7165</v>
      </c>
      <c r="K3753" s="93">
        <v>90</v>
      </c>
      <c r="L3753" s="93">
        <v>10</v>
      </c>
      <c r="M3753" s="93">
        <v>0.96</v>
      </c>
      <c r="N3753" s="93" t="s">
        <v>113</v>
      </c>
      <c r="O3753" s="93">
        <v>4</v>
      </c>
      <c r="P3753" s="93">
        <v>17</v>
      </c>
      <c r="Q3753" s="93">
        <v>20</v>
      </c>
      <c r="R3753" s="93" t="s">
        <v>123</v>
      </c>
      <c r="S3753" s="93" t="s">
        <v>20</v>
      </c>
      <c r="T3753" s="93" t="s">
        <v>124</v>
      </c>
      <c r="U3753" s="93" t="s">
        <v>116</v>
      </c>
      <c r="V3753" s="94">
        <v>44628.59652777778</v>
      </c>
      <c r="W3753" s="93" t="s">
        <v>10</v>
      </c>
      <c r="X3753" s="93" t="s">
        <v>9</v>
      </c>
    </row>
    <row r="3754" spans="1:24" hidden="1" x14ac:dyDescent="0.15">
      <c r="A3754" s="93" t="s">
        <v>8412</v>
      </c>
      <c r="B3754" s="93" t="s">
        <v>8413</v>
      </c>
      <c r="C3754" s="410">
        <v>186</v>
      </c>
      <c r="D3754" s="93" t="s">
        <v>9</v>
      </c>
      <c r="E3754" s="93" t="s">
        <v>24</v>
      </c>
      <c r="F3754" s="93" t="s">
        <v>70</v>
      </c>
      <c r="G3754" s="93" t="s">
        <v>8405</v>
      </c>
      <c r="H3754" s="93" t="s">
        <v>6</v>
      </c>
      <c r="I3754" s="93" t="s">
        <v>111</v>
      </c>
      <c r="J3754" s="93" t="s">
        <v>7165</v>
      </c>
      <c r="K3754" s="93">
        <v>90</v>
      </c>
      <c r="L3754" s="93">
        <v>1</v>
      </c>
      <c r="M3754" s="93">
        <v>0.96</v>
      </c>
      <c r="N3754" s="93" t="s">
        <v>113</v>
      </c>
      <c r="O3754" s="93">
        <v>4</v>
      </c>
      <c r="P3754" s="93">
        <v>17</v>
      </c>
      <c r="Q3754" s="93">
        <v>20</v>
      </c>
      <c r="R3754" s="93" t="s">
        <v>123</v>
      </c>
      <c r="S3754" s="93" t="s">
        <v>20</v>
      </c>
      <c r="T3754" s="93" t="s">
        <v>124</v>
      </c>
      <c r="U3754" s="93" t="s">
        <v>116</v>
      </c>
      <c r="V3754" s="94">
        <v>44628.531944444447</v>
      </c>
      <c r="W3754" s="93" t="s">
        <v>10</v>
      </c>
      <c r="X3754" s="93" t="s">
        <v>9</v>
      </c>
    </row>
    <row r="3755" spans="1:24" hidden="1" x14ac:dyDescent="0.15">
      <c r="A3755" s="93" t="s">
        <v>8414</v>
      </c>
      <c r="B3755" s="93" t="s">
        <v>8415</v>
      </c>
      <c r="C3755" s="410">
        <v>186</v>
      </c>
      <c r="D3755" s="93" t="s">
        <v>9</v>
      </c>
      <c r="E3755" s="93" t="s">
        <v>24</v>
      </c>
      <c r="F3755" s="93" t="s">
        <v>70</v>
      </c>
      <c r="G3755" s="93" t="s">
        <v>8405</v>
      </c>
      <c r="H3755" s="93" t="s">
        <v>6</v>
      </c>
      <c r="I3755" s="93" t="s">
        <v>111</v>
      </c>
      <c r="J3755" s="93" t="s">
        <v>7165</v>
      </c>
      <c r="K3755" s="93">
        <v>90</v>
      </c>
      <c r="L3755" s="93">
        <v>10</v>
      </c>
      <c r="M3755" s="93">
        <v>0.96</v>
      </c>
      <c r="N3755" s="93" t="s">
        <v>113</v>
      </c>
      <c r="O3755" s="93">
        <v>4</v>
      </c>
      <c r="P3755" s="93">
        <v>17</v>
      </c>
      <c r="Q3755" s="93">
        <v>20</v>
      </c>
      <c r="R3755" s="93" t="s">
        <v>123</v>
      </c>
      <c r="S3755" s="93" t="s">
        <v>20</v>
      </c>
      <c r="T3755" s="93" t="s">
        <v>124</v>
      </c>
      <c r="U3755" s="93" t="s">
        <v>116</v>
      </c>
      <c r="V3755" s="94">
        <v>44628.509722222225</v>
      </c>
      <c r="W3755" s="93" t="s">
        <v>10</v>
      </c>
      <c r="X3755" s="93" t="s">
        <v>9</v>
      </c>
    </row>
    <row r="3756" spans="1:24" hidden="1" x14ac:dyDescent="0.15">
      <c r="A3756" s="93" t="s">
        <v>8416</v>
      </c>
      <c r="B3756" s="93" t="s">
        <v>8417</v>
      </c>
      <c r="C3756" s="410">
        <v>186</v>
      </c>
      <c r="D3756" s="93" t="s">
        <v>9</v>
      </c>
      <c r="E3756" s="93" t="s">
        <v>24</v>
      </c>
      <c r="F3756" s="93" t="s">
        <v>70</v>
      </c>
      <c r="G3756" s="93" t="s">
        <v>8405</v>
      </c>
      <c r="H3756" s="93" t="s">
        <v>6</v>
      </c>
      <c r="I3756" s="93" t="s">
        <v>111</v>
      </c>
      <c r="J3756" s="93" t="s">
        <v>7165</v>
      </c>
      <c r="K3756" s="93">
        <v>90</v>
      </c>
      <c r="L3756" s="93">
        <v>10</v>
      </c>
      <c r="M3756" s="93">
        <v>0.96</v>
      </c>
      <c r="N3756" s="93" t="s">
        <v>113</v>
      </c>
      <c r="O3756" s="93">
        <v>4</v>
      </c>
      <c r="P3756" s="93">
        <v>17</v>
      </c>
      <c r="Q3756" s="93">
        <v>20</v>
      </c>
      <c r="R3756" s="93" t="s">
        <v>123</v>
      </c>
      <c r="S3756" s="93" t="s">
        <v>20</v>
      </c>
      <c r="T3756" s="93" t="s">
        <v>124</v>
      </c>
      <c r="U3756" s="93" t="s">
        <v>116</v>
      </c>
      <c r="V3756" s="94">
        <v>44628.466666666667</v>
      </c>
      <c r="W3756" s="93" t="s">
        <v>10</v>
      </c>
      <c r="X3756" s="93" t="s">
        <v>9</v>
      </c>
    </row>
    <row r="3757" spans="1:24" hidden="1" x14ac:dyDescent="0.15">
      <c r="A3757" s="93" t="s">
        <v>8418</v>
      </c>
      <c r="B3757" s="93" t="s">
        <v>8419</v>
      </c>
      <c r="C3757" s="410">
        <v>186</v>
      </c>
      <c r="D3757" s="93" t="s">
        <v>9</v>
      </c>
      <c r="E3757" s="93" t="s">
        <v>24</v>
      </c>
      <c r="F3757" s="93" t="s">
        <v>70</v>
      </c>
      <c r="G3757" s="93" t="s">
        <v>8405</v>
      </c>
      <c r="H3757" s="93" t="s">
        <v>6</v>
      </c>
      <c r="I3757" s="93" t="s">
        <v>111</v>
      </c>
      <c r="J3757" s="93" t="s">
        <v>7165</v>
      </c>
      <c r="K3757" s="93">
        <v>90</v>
      </c>
      <c r="L3757" s="93">
        <v>10</v>
      </c>
      <c r="M3757" s="93">
        <v>0.96</v>
      </c>
      <c r="N3757" s="93" t="s">
        <v>113</v>
      </c>
      <c r="O3757" s="93">
        <v>4</v>
      </c>
      <c r="P3757" s="93">
        <v>17</v>
      </c>
      <c r="Q3757" s="93">
        <v>20</v>
      </c>
      <c r="R3757" s="93" t="s">
        <v>123</v>
      </c>
      <c r="S3757" s="93" t="s">
        <v>20</v>
      </c>
      <c r="T3757" s="93" t="s">
        <v>124</v>
      </c>
      <c r="U3757" s="93" t="s">
        <v>116</v>
      </c>
      <c r="V3757" s="94">
        <v>44628.486805555556</v>
      </c>
      <c r="W3757" s="93" t="s">
        <v>10</v>
      </c>
      <c r="X3757" s="93" t="s">
        <v>9</v>
      </c>
    </row>
    <row r="3758" spans="1:24" hidden="1" x14ac:dyDescent="0.15">
      <c r="A3758" s="93" t="s">
        <v>8420</v>
      </c>
      <c r="B3758" s="93" t="s">
        <v>8421</v>
      </c>
      <c r="C3758" s="410">
        <v>186</v>
      </c>
      <c r="D3758" s="93" t="s">
        <v>9</v>
      </c>
      <c r="E3758" s="93" t="s">
        <v>24</v>
      </c>
      <c r="F3758" s="93" t="s">
        <v>70</v>
      </c>
      <c r="G3758" s="93" t="s">
        <v>8405</v>
      </c>
      <c r="H3758" s="93" t="s">
        <v>6</v>
      </c>
      <c r="I3758" s="93" t="s">
        <v>111</v>
      </c>
      <c r="J3758" s="93" t="s">
        <v>7165</v>
      </c>
      <c r="K3758" s="93">
        <v>90</v>
      </c>
      <c r="L3758" s="93">
        <v>10</v>
      </c>
      <c r="M3758" s="93">
        <v>0.96</v>
      </c>
      <c r="N3758" s="93" t="s">
        <v>113</v>
      </c>
      <c r="O3758" s="93">
        <v>4</v>
      </c>
      <c r="P3758" s="93">
        <v>17</v>
      </c>
      <c r="Q3758" s="93">
        <v>20</v>
      </c>
      <c r="R3758" s="93" t="s">
        <v>123</v>
      </c>
      <c r="S3758" s="93" t="s">
        <v>20</v>
      </c>
      <c r="T3758" s="93" t="s">
        <v>124</v>
      </c>
      <c r="U3758" s="93" t="s">
        <v>116</v>
      </c>
      <c r="V3758" s="94">
        <v>44628.572222222225</v>
      </c>
      <c r="W3758" s="93" t="s">
        <v>10</v>
      </c>
      <c r="X3758" s="93" t="s">
        <v>9</v>
      </c>
    </row>
    <row r="3759" spans="1:24" hidden="1" x14ac:dyDescent="0.15">
      <c r="A3759" s="93" t="s">
        <v>8422</v>
      </c>
      <c r="B3759" s="93" t="s">
        <v>8423</v>
      </c>
      <c r="C3759" s="410">
        <v>196.8</v>
      </c>
      <c r="D3759" s="93" t="s">
        <v>9</v>
      </c>
      <c r="E3759" s="93" t="s">
        <v>24</v>
      </c>
      <c r="F3759" s="93" t="s">
        <v>70</v>
      </c>
      <c r="G3759" s="93" t="s">
        <v>8405</v>
      </c>
      <c r="H3759" s="93" t="s">
        <v>6</v>
      </c>
      <c r="I3759" s="93" t="s">
        <v>111</v>
      </c>
      <c r="J3759" s="93" t="s">
        <v>7165</v>
      </c>
      <c r="K3759" s="93">
        <v>90</v>
      </c>
      <c r="L3759" s="93">
        <v>10</v>
      </c>
      <c r="M3759" s="93">
        <v>0.96</v>
      </c>
      <c r="N3759" s="93" t="s">
        <v>113</v>
      </c>
      <c r="O3759" s="93">
        <v>4</v>
      </c>
      <c r="P3759" s="93">
        <v>17</v>
      </c>
      <c r="Q3759" s="93">
        <v>20</v>
      </c>
      <c r="R3759" s="93" t="s">
        <v>123</v>
      </c>
      <c r="S3759" s="93" t="s">
        <v>20</v>
      </c>
      <c r="T3759" s="93" t="s">
        <v>124</v>
      </c>
      <c r="U3759" s="93" t="s">
        <v>116</v>
      </c>
      <c r="V3759" s="94">
        <v>44628.59652777778</v>
      </c>
      <c r="W3759" s="93" t="s">
        <v>10</v>
      </c>
      <c r="X3759" s="93" t="s">
        <v>9</v>
      </c>
    </row>
    <row r="3760" spans="1:24" hidden="1" x14ac:dyDescent="0.15">
      <c r="A3760" s="93" t="s">
        <v>8424</v>
      </c>
      <c r="B3760" s="93" t="s">
        <v>8425</v>
      </c>
      <c r="C3760" s="410">
        <v>84</v>
      </c>
      <c r="D3760" s="93" t="s">
        <v>9</v>
      </c>
      <c r="E3760" s="93" t="s">
        <v>24</v>
      </c>
      <c r="F3760" s="93" t="s">
        <v>70</v>
      </c>
      <c r="G3760" s="93" t="s">
        <v>8426</v>
      </c>
      <c r="H3760" s="93" t="s">
        <v>6</v>
      </c>
      <c r="I3760" s="93" t="s">
        <v>111</v>
      </c>
      <c r="J3760" s="93" t="s">
        <v>7165</v>
      </c>
      <c r="K3760" s="93">
        <v>90</v>
      </c>
      <c r="L3760" s="93">
        <v>10</v>
      </c>
      <c r="M3760" s="93">
        <v>0.32</v>
      </c>
      <c r="N3760" s="93" t="s">
        <v>113</v>
      </c>
      <c r="O3760" s="93">
        <v>2.95</v>
      </c>
      <c r="P3760" s="93">
        <v>17.5</v>
      </c>
      <c r="Q3760" s="93">
        <v>11.8</v>
      </c>
      <c r="R3760" s="93" t="s">
        <v>396</v>
      </c>
      <c r="S3760" s="93" t="s">
        <v>20</v>
      </c>
      <c r="T3760" s="93" t="s">
        <v>124</v>
      </c>
      <c r="U3760" s="93" t="s">
        <v>116</v>
      </c>
      <c r="V3760" s="94">
        <v>44628.532638888886</v>
      </c>
      <c r="W3760" s="93" t="s">
        <v>10</v>
      </c>
      <c r="X3760" s="93" t="s">
        <v>9</v>
      </c>
    </row>
    <row r="3761" spans="1:24" hidden="1" x14ac:dyDescent="0.15">
      <c r="A3761" s="93" t="s">
        <v>8427</v>
      </c>
      <c r="B3761" s="93" t="s">
        <v>8428</v>
      </c>
      <c r="C3761" s="410">
        <v>84</v>
      </c>
      <c r="D3761" s="93" t="s">
        <v>9</v>
      </c>
      <c r="E3761" s="93" t="s">
        <v>24</v>
      </c>
      <c r="F3761" s="93" t="s">
        <v>70</v>
      </c>
      <c r="G3761" s="93" t="s">
        <v>8426</v>
      </c>
      <c r="H3761" s="93" t="s">
        <v>6</v>
      </c>
      <c r="I3761" s="93" t="s">
        <v>111</v>
      </c>
      <c r="J3761" s="93" t="s">
        <v>7165</v>
      </c>
      <c r="K3761" s="93">
        <v>90</v>
      </c>
      <c r="L3761" s="93">
        <v>10</v>
      </c>
      <c r="M3761" s="93">
        <v>0.24</v>
      </c>
      <c r="N3761" s="93" t="s">
        <v>113</v>
      </c>
      <c r="O3761" s="93">
        <v>2.95</v>
      </c>
      <c r="P3761" s="93">
        <v>17.5</v>
      </c>
      <c r="Q3761" s="93">
        <v>11.8</v>
      </c>
      <c r="R3761" s="93" t="s">
        <v>396</v>
      </c>
      <c r="S3761" s="93" t="s">
        <v>20</v>
      </c>
      <c r="T3761" s="93" t="s">
        <v>124</v>
      </c>
      <c r="U3761" s="93" t="s">
        <v>116</v>
      </c>
      <c r="V3761" s="94">
        <v>44628.532638888886</v>
      </c>
      <c r="W3761" s="93" t="s">
        <v>10</v>
      </c>
      <c r="X3761" s="93" t="s">
        <v>9</v>
      </c>
    </row>
    <row r="3762" spans="1:24" hidden="1" x14ac:dyDescent="0.15">
      <c r="A3762" s="93" t="s">
        <v>8429</v>
      </c>
      <c r="B3762" s="93" t="s">
        <v>8430</v>
      </c>
      <c r="C3762" s="410">
        <v>84</v>
      </c>
      <c r="D3762" s="93" t="s">
        <v>9</v>
      </c>
      <c r="E3762" s="93" t="s">
        <v>24</v>
      </c>
      <c r="F3762" s="93" t="s">
        <v>70</v>
      </c>
      <c r="G3762" s="93" t="s">
        <v>8426</v>
      </c>
      <c r="H3762" s="93" t="s">
        <v>6</v>
      </c>
      <c r="I3762" s="93" t="s">
        <v>111</v>
      </c>
      <c r="J3762" s="93" t="s">
        <v>7165</v>
      </c>
      <c r="K3762" s="93">
        <v>90</v>
      </c>
      <c r="L3762" s="93">
        <v>10</v>
      </c>
      <c r="M3762" s="93">
        <v>0.33</v>
      </c>
      <c r="N3762" s="93" t="s">
        <v>113</v>
      </c>
      <c r="O3762" s="93">
        <v>2.95</v>
      </c>
      <c r="P3762" s="93">
        <v>17.5</v>
      </c>
      <c r="Q3762" s="93">
        <v>11.8</v>
      </c>
      <c r="R3762" s="93" t="s">
        <v>396</v>
      </c>
      <c r="S3762" s="93" t="s">
        <v>20</v>
      </c>
      <c r="T3762" s="93" t="s">
        <v>124</v>
      </c>
      <c r="U3762" s="93" t="s">
        <v>116</v>
      </c>
      <c r="V3762" s="94">
        <v>44628.632638888892</v>
      </c>
      <c r="W3762" s="93" t="s">
        <v>10</v>
      </c>
      <c r="X3762" s="93" t="s">
        <v>9</v>
      </c>
    </row>
    <row r="3763" spans="1:24" hidden="1" x14ac:dyDescent="0.15">
      <c r="A3763" s="93" t="s">
        <v>8431</v>
      </c>
      <c r="B3763" s="93" t="s">
        <v>8432</v>
      </c>
      <c r="C3763" s="410">
        <v>84</v>
      </c>
      <c r="D3763" s="93" t="s">
        <v>9</v>
      </c>
      <c r="E3763" s="93" t="s">
        <v>24</v>
      </c>
      <c r="F3763" s="93" t="s">
        <v>70</v>
      </c>
      <c r="G3763" s="93" t="s">
        <v>8426</v>
      </c>
      <c r="H3763" s="93" t="s">
        <v>6</v>
      </c>
      <c r="I3763" s="93" t="s">
        <v>111</v>
      </c>
      <c r="J3763" s="93" t="s">
        <v>7165</v>
      </c>
      <c r="K3763" s="93">
        <v>90</v>
      </c>
      <c r="L3763" s="93">
        <v>10</v>
      </c>
      <c r="M3763" s="93">
        <v>0.33</v>
      </c>
      <c r="N3763" s="93" t="s">
        <v>113</v>
      </c>
      <c r="O3763" s="93">
        <v>2.95</v>
      </c>
      <c r="P3763" s="93">
        <v>17.5</v>
      </c>
      <c r="Q3763" s="93">
        <v>11.8</v>
      </c>
      <c r="R3763" s="93" t="s">
        <v>123</v>
      </c>
      <c r="S3763" s="93" t="s">
        <v>20</v>
      </c>
      <c r="T3763" s="93" t="s">
        <v>124</v>
      </c>
      <c r="U3763" s="93" t="s">
        <v>116</v>
      </c>
      <c r="V3763" s="94">
        <v>44628.466666666667</v>
      </c>
      <c r="W3763" s="93" t="s">
        <v>10</v>
      </c>
      <c r="X3763" s="93" t="s">
        <v>9</v>
      </c>
    </row>
    <row r="3764" spans="1:24" hidden="1" x14ac:dyDescent="0.15">
      <c r="A3764" s="93" t="s">
        <v>8433</v>
      </c>
      <c r="B3764" s="93" t="s">
        <v>8434</v>
      </c>
      <c r="C3764" s="410">
        <v>84</v>
      </c>
      <c r="D3764" s="93" t="s">
        <v>9</v>
      </c>
      <c r="E3764" s="93" t="s">
        <v>24</v>
      </c>
      <c r="F3764" s="93" t="s">
        <v>70</v>
      </c>
      <c r="G3764" s="93" t="s">
        <v>8426</v>
      </c>
      <c r="H3764" s="93" t="s">
        <v>6</v>
      </c>
      <c r="I3764" s="93" t="s">
        <v>111</v>
      </c>
      <c r="J3764" s="93" t="s">
        <v>7165</v>
      </c>
      <c r="K3764" s="93">
        <v>90</v>
      </c>
      <c r="L3764" s="93">
        <v>10</v>
      </c>
      <c r="M3764" s="93">
        <v>0.32</v>
      </c>
      <c r="N3764" s="93" t="s">
        <v>113</v>
      </c>
      <c r="O3764" s="93">
        <v>2.95</v>
      </c>
      <c r="P3764" s="93">
        <v>17.5</v>
      </c>
      <c r="Q3764" s="93">
        <v>11.8</v>
      </c>
      <c r="R3764" s="93" t="s">
        <v>396</v>
      </c>
      <c r="S3764" s="93" t="s">
        <v>20</v>
      </c>
      <c r="T3764" s="93" t="s">
        <v>124</v>
      </c>
      <c r="U3764" s="93" t="s">
        <v>116</v>
      </c>
      <c r="V3764" s="94">
        <v>44628.632638888892</v>
      </c>
      <c r="W3764" s="93" t="s">
        <v>10</v>
      </c>
      <c r="X3764" s="93" t="s">
        <v>9</v>
      </c>
    </row>
    <row r="3765" spans="1:24" hidden="1" x14ac:dyDescent="0.15">
      <c r="A3765" s="93" t="s">
        <v>8435</v>
      </c>
      <c r="B3765" s="93" t="s">
        <v>8436</v>
      </c>
      <c r="C3765" s="410">
        <v>84</v>
      </c>
      <c r="D3765" s="93" t="s">
        <v>9</v>
      </c>
      <c r="E3765" s="93" t="s">
        <v>24</v>
      </c>
      <c r="F3765" s="93" t="s">
        <v>70</v>
      </c>
      <c r="G3765" s="93" t="s">
        <v>8426</v>
      </c>
      <c r="H3765" s="93" t="s">
        <v>6</v>
      </c>
      <c r="I3765" s="93" t="s">
        <v>111</v>
      </c>
      <c r="J3765" s="93" t="s">
        <v>7165</v>
      </c>
      <c r="K3765" s="93">
        <v>90</v>
      </c>
      <c r="L3765" s="93">
        <v>10</v>
      </c>
      <c r="M3765" s="93">
        <v>0.24</v>
      </c>
      <c r="N3765" s="93" t="s">
        <v>113</v>
      </c>
      <c r="O3765" s="93">
        <v>2.95</v>
      </c>
      <c r="P3765" s="93">
        <v>17.5</v>
      </c>
      <c r="Q3765" s="93">
        <v>11.8</v>
      </c>
      <c r="R3765" s="93" t="s">
        <v>396</v>
      </c>
      <c r="S3765" s="93" t="s">
        <v>20</v>
      </c>
      <c r="T3765" s="93" t="s">
        <v>124</v>
      </c>
      <c r="U3765" s="93" t="s">
        <v>116</v>
      </c>
      <c r="V3765" s="94">
        <v>44628.575694444444</v>
      </c>
      <c r="W3765" s="93" t="s">
        <v>10</v>
      </c>
      <c r="X3765" s="93" t="s">
        <v>9</v>
      </c>
    </row>
    <row r="3766" spans="1:24" hidden="1" x14ac:dyDescent="0.15">
      <c r="A3766" s="93" t="s">
        <v>8437</v>
      </c>
      <c r="B3766" s="93" t="s">
        <v>8438</v>
      </c>
      <c r="C3766" s="410">
        <v>84</v>
      </c>
      <c r="D3766" s="93" t="s">
        <v>9</v>
      </c>
      <c r="E3766" s="93" t="s">
        <v>24</v>
      </c>
      <c r="F3766" s="93" t="s">
        <v>70</v>
      </c>
      <c r="G3766" s="93" t="s">
        <v>8426</v>
      </c>
      <c r="H3766" s="93" t="s">
        <v>6</v>
      </c>
      <c r="I3766" s="93" t="s">
        <v>111</v>
      </c>
      <c r="J3766" s="93" t="s">
        <v>7165</v>
      </c>
      <c r="K3766" s="93">
        <v>90</v>
      </c>
      <c r="L3766" s="93">
        <v>10</v>
      </c>
      <c r="M3766" s="93">
        <v>0.24</v>
      </c>
      <c r="N3766" s="93" t="s">
        <v>113</v>
      </c>
      <c r="O3766" s="93">
        <v>2.95</v>
      </c>
      <c r="P3766" s="93">
        <v>17.5</v>
      </c>
      <c r="Q3766" s="93">
        <v>11.8</v>
      </c>
      <c r="R3766" s="93" t="s">
        <v>396</v>
      </c>
      <c r="S3766" s="93" t="s">
        <v>20</v>
      </c>
      <c r="T3766" s="93" t="s">
        <v>124</v>
      </c>
      <c r="U3766" s="93" t="s">
        <v>395</v>
      </c>
      <c r="V3766" s="94">
        <v>44628.597916666666</v>
      </c>
      <c r="W3766" s="93" t="s">
        <v>10</v>
      </c>
      <c r="X3766" s="93" t="s">
        <v>9</v>
      </c>
    </row>
    <row r="3767" spans="1:24" hidden="1" x14ac:dyDescent="0.15">
      <c r="A3767" s="93" t="s">
        <v>8439</v>
      </c>
      <c r="B3767" s="93" t="s">
        <v>8440</v>
      </c>
      <c r="C3767" s="410">
        <v>84</v>
      </c>
      <c r="D3767" s="93" t="s">
        <v>9</v>
      </c>
      <c r="E3767" s="93" t="s">
        <v>24</v>
      </c>
      <c r="F3767" s="93" t="s">
        <v>70</v>
      </c>
      <c r="G3767" s="93" t="s">
        <v>8426</v>
      </c>
      <c r="H3767" s="93" t="s">
        <v>6</v>
      </c>
      <c r="I3767" s="93" t="s">
        <v>111</v>
      </c>
      <c r="J3767" s="93" t="s">
        <v>7165</v>
      </c>
      <c r="K3767" s="93">
        <v>90</v>
      </c>
      <c r="L3767" s="93">
        <v>10</v>
      </c>
      <c r="M3767" s="93">
        <v>0.32</v>
      </c>
      <c r="N3767" s="93" t="s">
        <v>113</v>
      </c>
      <c r="O3767" s="93">
        <v>2.95</v>
      </c>
      <c r="P3767" s="93">
        <v>17.5</v>
      </c>
      <c r="Q3767" s="93">
        <v>11.8</v>
      </c>
      <c r="R3767" s="93" t="s">
        <v>396</v>
      </c>
      <c r="S3767" s="93" t="s">
        <v>20</v>
      </c>
      <c r="T3767" s="93" t="s">
        <v>124</v>
      </c>
      <c r="U3767" s="93" t="s">
        <v>116</v>
      </c>
      <c r="V3767" s="94">
        <v>44628.468055555553</v>
      </c>
      <c r="W3767" s="93" t="s">
        <v>10</v>
      </c>
      <c r="X3767" s="93" t="s">
        <v>9</v>
      </c>
    </row>
    <row r="3768" spans="1:24" hidden="1" x14ac:dyDescent="0.15">
      <c r="A3768" s="93" t="s">
        <v>8441</v>
      </c>
      <c r="B3768" s="93" t="s">
        <v>8442</v>
      </c>
      <c r="C3768" s="410">
        <v>84</v>
      </c>
      <c r="D3768" s="93" t="s">
        <v>9</v>
      </c>
      <c r="E3768" s="93" t="s">
        <v>24</v>
      </c>
      <c r="F3768" s="93" t="s">
        <v>70</v>
      </c>
      <c r="G3768" s="93" t="s">
        <v>8426</v>
      </c>
      <c r="H3768" s="93" t="s">
        <v>6</v>
      </c>
      <c r="I3768" s="93" t="s">
        <v>111</v>
      </c>
      <c r="J3768" s="93" t="s">
        <v>7165</v>
      </c>
      <c r="K3768" s="93">
        <v>90</v>
      </c>
      <c r="L3768" s="93">
        <v>10</v>
      </c>
      <c r="M3768" s="93">
        <v>0.33</v>
      </c>
      <c r="N3768" s="93" t="s">
        <v>113</v>
      </c>
      <c r="O3768" s="93">
        <v>2.95</v>
      </c>
      <c r="P3768" s="93">
        <v>17.5</v>
      </c>
      <c r="Q3768" s="93">
        <v>11.8</v>
      </c>
      <c r="R3768" s="93" t="s">
        <v>123</v>
      </c>
      <c r="S3768" s="93" t="s">
        <v>20</v>
      </c>
      <c r="T3768" s="93" t="s">
        <v>124</v>
      </c>
      <c r="U3768" s="93" t="s">
        <v>116</v>
      </c>
      <c r="V3768" s="94">
        <v>44628.574999999997</v>
      </c>
      <c r="W3768" s="93" t="s">
        <v>10</v>
      </c>
      <c r="X3768" s="93" t="s">
        <v>9</v>
      </c>
    </row>
    <row r="3769" spans="1:24" hidden="1" x14ac:dyDescent="0.15">
      <c r="A3769" s="93" t="s">
        <v>8443</v>
      </c>
      <c r="B3769" s="93" t="s">
        <v>8444</v>
      </c>
      <c r="C3769" s="410">
        <v>88.8</v>
      </c>
      <c r="D3769" s="93" t="s">
        <v>9</v>
      </c>
      <c r="E3769" s="93" t="s">
        <v>24</v>
      </c>
      <c r="F3769" s="93" t="s">
        <v>70</v>
      </c>
      <c r="G3769" s="93" t="s">
        <v>8426</v>
      </c>
      <c r="H3769" s="93" t="s">
        <v>6</v>
      </c>
      <c r="I3769" s="93" t="s">
        <v>111</v>
      </c>
      <c r="J3769" s="93" t="s">
        <v>7165</v>
      </c>
      <c r="K3769" s="93">
        <v>90</v>
      </c>
      <c r="L3769" s="93">
        <v>10</v>
      </c>
      <c r="M3769" s="93">
        <v>0.33</v>
      </c>
      <c r="N3769" s="93" t="s">
        <v>113</v>
      </c>
      <c r="O3769" s="93">
        <v>2.95</v>
      </c>
      <c r="P3769" s="93">
        <v>17.5</v>
      </c>
      <c r="Q3769" s="93">
        <v>11.8</v>
      </c>
      <c r="R3769" s="93" t="s">
        <v>7166</v>
      </c>
      <c r="S3769" s="93" t="s">
        <v>20</v>
      </c>
      <c r="T3769" s="93" t="s">
        <v>124</v>
      </c>
      <c r="U3769" s="93" t="s">
        <v>116</v>
      </c>
      <c r="V3769" s="94">
        <v>44628.468055555553</v>
      </c>
      <c r="W3769" s="93" t="s">
        <v>10</v>
      </c>
      <c r="X3769" s="93" t="s">
        <v>9</v>
      </c>
    </row>
    <row r="3770" spans="1:24" hidden="1" x14ac:dyDescent="0.15">
      <c r="A3770" s="93" t="s">
        <v>8445</v>
      </c>
      <c r="B3770" s="93" t="s">
        <v>8446</v>
      </c>
      <c r="C3770" s="410">
        <v>114</v>
      </c>
      <c r="D3770" s="93" t="s">
        <v>9</v>
      </c>
      <c r="E3770" s="93" t="s">
        <v>24</v>
      </c>
      <c r="F3770" s="93" t="s">
        <v>70</v>
      </c>
      <c r="G3770" s="93" t="s">
        <v>7171</v>
      </c>
      <c r="H3770" s="93" t="s">
        <v>6</v>
      </c>
      <c r="I3770" s="93" t="s">
        <v>111</v>
      </c>
      <c r="J3770" s="93" t="s">
        <v>7165</v>
      </c>
      <c r="K3770" s="93">
        <v>90</v>
      </c>
      <c r="L3770" s="93">
        <v>10</v>
      </c>
      <c r="M3770" s="93">
        <v>0.92</v>
      </c>
      <c r="N3770" s="93" t="s">
        <v>113</v>
      </c>
      <c r="O3770" s="93">
        <v>7.5</v>
      </c>
      <c r="P3770" s="93">
        <v>19.5</v>
      </c>
      <c r="Q3770" s="93">
        <v>23.5</v>
      </c>
      <c r="R3770" s="93" t="s">
        <v>7166</v>
      </c>
      <c r="S3770" s="93" t="s">
        <v>20</v>
      </c>
      <c r="T3770" s="93" t="s">
        <v>124</v>
      </c>
      <c r="U3770" s="93" t="s">
        <v>119</v>
      </c>
      <c r="V3770" s="94">
        <v>44628.580555555556</v>
      </c>
      <c r="W3770" s="93" t="s">
        <v>10</v>
      </c>
      <c r="X3770" s="93" t="s">
        <v>9</v>
      </c>
    </row>
    <row r="3771" spans="1:24" hidden="1" x14ac:dyDescent="0.15">
      <c r="A3771" s="93" t="s">
        <v>8447</v>
      </c>
      <c r="B3771" s="93" t="s">
        <v>8448</v>
      </c>
      <c r="C3771" s="410">
        <v>90</v>
      </c>
      <c r="D3771" s="93" t="s">
        <v>9</v>
      </c>
      <c r="E3771" s="93" t="s">
        <v>24</v>
      </c>
      <c r="F3771" s="93" t="s">
        <v>70</v>
      </c>
      <c r="G3771" s="93" t="s">
        <v>7171</v>
      </c>
      <c r="H3771" s="93" t="s">
        <v>6</v>
      </c>
      <c r="I3771" s="93" t="s">
        <v>111</v>
      </c>
      <c r="J3771" s="93" t="s">
        <v>7165</v>
      </c>
      <c r="K3771" s="93">
        <v>90</v>
      </c>
      <c r="L3771" s="93">
        <v>10</v>
      </c>
      <c r="M3771" s="93">
        <v>0.92</v>
      </c>
      <c r="N3771" s="93" t="s">
        <v>113</v>
      </c>
      <c r="O3771" s="93">
        <v>7.5</v>
      </c>
      <c r="P3771" s="93">
        <v>19.5</v>
      </c>
      <c r="Q3771" s="93">
        <v>23.5</v>
      </c>
      <c r="R3771" s="93" t="s">
        <v>7166</v>
      </c>
      <c r="S3771" s="93" t="s">
        <v>20</v>
      </c>
      <c r="T3771" s="93" t="s">
        <v>124</v>
      </c>
      <c r="U3771" s="93" t="s">
        <v>119</v>
      </c>
      <c r="V3771" s="94">
        <v>44628.602777777778</v>
      </c>
      <c r="W3771" s="93" t="s">
        <v>10</v>
      </c>
      <c r="X3771" s="93" t="s">
        <v>9</v>
      </c>
    </row>
    <row r="3772" spans="1:24" hidden="1" x14ac:dyDescent="0.15">
      <c r="A3772" s="93" t="s">
        <v>8449</v>
      </c>
      <c r="B3772" s="93" t="s">
        <v>8450</v>
      </c>
      <c r="C3772" s="410">
        <v>144</v>
      </c>
      <c r="D3772" s="93" t="s">
        <v>9</v>
      </c>
      <c r="E3772" s="93" t="s">
        <v>24</v>
      </c>
      <c r="F3772" s="93" t="s">
        <v>70</v>
      </c>
      <c r="G3772" s="93" t="s">
        <v>7164</v>
      </c>
      <c r="H3772" s="93" t="s">
        <v>6</v>
      </c>
      <c r="I3772" s="93" t="s">
        <v>111</v>
      </c>
      <c r="J3772" s="93" t="s">
        <v>7165</v>
      </c>
      <c r="K3772" s="93">
        <v>90</v>
      </c>
      <c r="L3772" s="93">
        <v>10</v>
      </c>
      <c r="M3772" s="93">
        <v>0.93</v>
      </c>
      <c r="N3772" s="93" t="s">
        <v>113</v>
      </c>
      <c r="O3772" s="93">
        <v>7.5</v>
      </c>
      <c r="P3772" s="93">
        <v>19.5</v>
      </c>
      <c r="Q3772" s="93">
        <v>25.9</v>
      </c>
      <c r="R3772" s="93" t="s">
        <v>7166</v>
      </c>
      <c r="S3772" s="93" t="s">
        <v>20</v>
      </c>
      <c r="T3772" s="93" t="s">
        <v>124</v>
      </c>
      <c r="U3772" s="93" t="s">
        <v>119</v>
      </c>
      <c r="V3772" s="94">
        <v>44628.602777777778</v>
      </c>
      <c r="W3772" s="93" t="s">
        <v>10</v>
      </c>
      <c r="X3772" s="93" t="s">
        <v>24</v>
      </c>
    </row>
    <row r="3773" spans="1:24" hidden="1" x14ac:dyDescent="0.15">
      <c r="A3773" s="93" t="s">
        <v>8453</v>
      </c>
      <c r="B3773" s="93" t="s">
        <v>8454</v>
      </c>
      <c r="C3773" s="410">
        <v>6</v>
      </c>
      <c r="D3773" s="93" t="s">
        <v>9</v>
      </c>
      <c r="E3773" s="93" t="s">
        <v>24</v>
      </c>
      <c r="F3773" s="93" t="s">
        <v>7070</v>
      </c>
      <c r="G3773" s="93" t="s">
        <v>7071</v>
      </c>
      <c r="H3773" s="93" t="s">
        <v>11</v>
      </c>
      <c r="I3773" s="93" t="s">
        <v>111</v>
      </c>
      <c r="J3773" s="93" t="s">
        <v>71</v>
      </c>
      <c r="K3773" s="93">
        <v>180</v>
      </c>
      <c r="L3773" s="93">
        <v>10</v>
      </c>
      <c r="M3773" s="93">
        <v>0.108</v>
      </c>
      <c r="N3773" s="93" t="s">
        <v>113</v>
      </c>
      <c r="O3773" s="93">
        <v>4.9000000000000004</v>
      </c>
      <c r="P3773" s="93">
        <v>10</v>
      </c>
      <c r="Q3773" s="93">
        <v>18.5</v>
      </c>
      <c r="R3773" s="93" t="s">
        <v>122</v>
      </c>
      <c r="S3773" s="93" t="s">
        <v>20</v>
      </c>
      <c r="T3773" s="93" t="s">
        <v>115</v>
      </c>
      <c r="U3773" s="93" t="s">
        <v>116</v>
      </c>
      <c r="V3773" s="94">
        <v>44628.513194444444</v>
      </c>
      <c r="W3773" s="93" t="s">
        <v>10</v>
      </c>
      <c r="X3773" s="93" t="s">
        <v>9</v>
      </c>
    </row>
    <row r="3774" spans="1:24" hidden="1" x14ac:dyDescent="0.15">
      <c r="A3774" s="93" t="s">
        <v>8457</v>
      </c>
      <c r="B3774" s="93" t="s">
        <v>8458</v>
      </c>
      <c r="C3774" s="410">
        <v>8.4</v>
      </c>
      <c r="D3774" s="93" t="s">
        <v>9</v>
      </c>
      <c r="E3774" s="93" t="s">
        <v>24</v>
      </c>
      <c r="F3774" s="93" t="s">
        <v>7070</v>
      </c>
      <c r="G3774" s="93" t="s">
        <v>7071</v>
      </c>
      <c r="H3774" s="93" t="s">
        <v>11</v>
      </c>
      <c r="I3774" s="93" t="s">
        <v>111</v>
      </c>
      <c r="J3774" s="93" t="s">
        <v>71</v>
      </c>
      <c r="K3774" s="93">
        <v>180</v>
      </c>
      <c r="L3774" s="93">
        <v>10</v>
      </c>
      <c r="M3774" s="93">
        <v>0.11799999999999999</v>
      </c>
      <c r="N3774" s="93" t="s">
        <v>113</v>
      </c>
      <c r="O3774" s="93">
        <v>4.9000000000000004</v>
      </c>
      <c r="P3774" s="93">
        <v>10</v>
      </c>
      <c r="Q3774" s="93">
        <v>18.5</v>
      </c>
      <c r="R3774" s="93" t="s">
        <v>122</v>
      </c>
      <c r="S3774" s="93" t="s">
        <v>20</v>
      </c>
      <c r="T3774" s="93" t="s">
        <v>115</v>
      </c>
      <c r="U3774" s="93" t="s">
        <v>116</v>
      </c>
      <c r="V3774" s="94">
        <v>44628.556250000001</v>
      </c>
      <c r="W3774" s="93" t="s">
        <v>10</v>
      </c>
      <c r="X3774" s="93" t="s">
        <v>9</v>
      </c>
    </row>
    <row r="3775" spans="1:24" hidden="1" x14ac:dyDescent="0.15">
      <c r="A3775" s="93" t="s">
        <v>5662</v>
      </c>
      <c r="B3775" s="93" t="s">
        <v>5663</v>
      </c>
      <c r="C3775" s="410">
        <v>1200</v>
      </c>
      <c r="D3775" s="93" t="s">
        <v>24</v>
      </c>
      <c r="E3775" s="93" t="s">
        <v>24</v>
      </c>
      <c r="F3775" s="93" t="s">
        <v>399</v>
      </c>
      <c r="G3775" s="93" t="s">
        <v>8461</v>
      </c>
      <c r="H3775" s="93" t="s">
        <v>400</v>
      </c>
      <c r="I3775" s="93" t="s">
        <v>111</v>
      </c>
      <c r="J3775" s="93" t="s">
        <v>7105</v>
      </c>
      <c r="K3775" s="93" t="s">
        <v>111</v>
      </c>
      <c r="L3775" s="93" t="s">
        <v>111</v>
      </c>
      <c r="M3775" s="93" t="s">
        <v>111</v>
      </c>
      <c r="N3775" s="93" t="s">
        <v>111</v>
      </c>
      <c r="O3775" s="93" t="s">
        <v>111</v>
      </c>
      <c r="P3775" s="93" t="s">
        <v>111</v>
      </c>
      <c r="Q3775" s="93" t="s">
        <v>111</v>
      </c>
      <c r="R3775" s="93" t="s">
        <v>111</v>
      </c>
      <c r="S3775" s="93" t="s">
        <v>111</v>
      </c>
      <c r="T3775" s="93" t="s">
        <v>115</v>
      </c>
      <c r="U3775" s="93" t="s">
        <v>116</v>
      </c>
      <c r="V3775" s="94">
        <v>44588.258333333331</v>
      </c>
      <c r="W3775" s="93" t="s">
        <v>1207</v>
      </c>
      <c r="X3775" s="93" t="s">
        <v>24</v>
      </c>
    </row>
    <row r="3776" spans="1:24" hidden="1" x14ac:dyDescent="0.15">
      <c r="A3776" s="93" t="s">
        <v>5664</v>
      </c>
      <c r="B3776" s="93" t="s">
        <v>9567</v>
      </c>
      <c r="C3776" s="410">
        <v>10</v>
      </c>
      <c r="D3776" s="93" t="s">
        <v>24</v>
      </c>
      <c r="E3776" s="93" t="s">
        <v>24</v>
      </c>
      <c r="F3776" s="93" t="s">
        <v>5661</v>
      </c>
      <c r="G3776" s="93" t="s">
        <v>9568</v>
      </c>
      <c r="H3776" s="93" t="s">
        <v>400</v>
      </c>
      <c r="I3776" s="93" t="s">
        <v>111</v>
      </c>
      <c r="J3776" s="93" t="s">
        <v>118</v>
      </c>
      <c r="K3776" s="93">
        <v>3</v>
      </c>
      <c r="L3776" s="93" t="s">
        <v>111</v>
      </c>
      <c r="M3776" s="93" t="s">
        <v>111</v>
      </c>
      <c r="N3776" s="93" t="s">
        <v>111</v>
      </c>
      <c r="O3776" s="93" t="s">
        <v>111</v>
      </c>
      <c r="P3776" s="93" t="s">
        <v>111</v>
      </c>
      <c r="Q3776" s="93" t="s">
        <v>111</v>
      </c>
      <c r="R3776" s="93" t="s">
        <v>228</v>
      </c>
      <c r="S3776" s="93" t="s">
        <v>2</v>
      </c>
      <c r="T3776" s="93" t="s">
        <v>115</v>
      </c>
      <c r="U3776" s="93" t="s">
        <v>116</v>
      </c>
      <c r="V3776" s="94">
        <v>44588.224999999999</v>
      </c>
      <c r="W3776" s="93" t="s">
        <v>1170</v>
      </c>
      <c r="X3776" s="93" t="s">
        <v>24</v>
      </c>
    </row>
    <row r="3777" spans="1:24" hidden="1" x14ac:dyDescent="0.15">
      <c r="A3777" s="93" t="s">
        <v>5665</v>
      </c>
      <c r="B3777" s="93" t="s">
        <v>9569</v>
      </c>
      <c r="C3777" s="410">
        <v>30</v>
      </c>
      <c r="D3777" s="93" t="s">
        <v>24</v>
      </c>
      <c r="E3777" s="93" t="s">
        <v>24</v>
      </c>
      <c r="F3777" s="93" t="s">
        <v>5661</v>
      </c>
      <c r="G3777" s="93" t="s">
        <v>9568</v>
      </c>
      <c r="H3777" s="93" t="s">
        <v>400</v>
      </c>
      <c r="I3777" s="93" t="s">
        <v>111</v>
      </c>
      <c r="J3777" s="93" t="s">
        <v>118</v>
      </c>
      <c r="K3777" s="93">
        <v>3</v>
      </c>
      <c r="L3777" s="93" t="s">
        <v>111</v>
      </c>
      <c r="M3777" s="93" t="s">
        <v>111</v>
      </c>
      <c r="N3777" s="93" t="s">
        <v>111</v>
      </c>
      <c r="O3777" s="93" t="s">
        <v>111</v>
      </c>
      <c r="P3777" s="93" t="s">
        <v>111</v>
      </c>
      <c r="Q3777" s="93" t="s">
        <v>111</v>
      </c>
      <c r="R3777" s="93" t="s">
        <v>228</v>
      </c>
      <c r="S3777" s="93" t="s">
        <v>2</v>
      </c>
      <c r="T3777" s="93" t="s">
        <v>115</v>
      </c>
      <c r="U3777" s="93" t="s">
        <v>116</v>
      </c>
      <c r="V3777" s="94">
        <v>44588.224999999999</v>
      </c>
      <c r="W3777" s="93" t="s">
        <v>1170</v>
      </c>
      <c r="X3777" s="93" t="s">
        <v>24</v>
      </c>
    </row>
    <row r="3778" spans="1:24" hidden="1" x14ac:dyDescent="0.15">
      <c r="A3778" s="93" t="s">
        <v>9570</v>
      </c>
      <c r="B3778" s="93" t="s">
        <v>9571</v>
      </c>
      <c r="C3778" s="410">
        <v>40</v>
      </c>
      <c r="D3778" s="93" t="s">
        <v>24</v>
      </c>
      <c r="E3778" s="93" t="s">
        <v>24</v>
      </c>
      <c r="F3778" s="93" t="s">
        <v>5661</v>
      </c>
      <c r="G3778" s="93" t="s">
        <v>9568</v>
      </c>
      <c r="H3778" s="93" t="s">
        <v>400</v>
      </c>
      <c r="I3778" s="93" t="s">
        <v>111</v>
      </c>
      <c r="J3778" s="93" t="s">
        <v>118</v>
      </c>
      <c r="K3778" s="93">
        <v>3</v>
      </c>
      <c r="L3778" s="93" t="s">
        <v>111</v>
      </c>
      <c r="M3778" s="93" t="s">
        <v>111</v>
      </c>
      <c r="N3778" s="93" t="s">
        <v>111</v>
      </c>
      <c r="O3778" s="93" t="s">
        <v>111</v>
      </c>
      <c r="P3778" s="93" t="s">
        <v>111</v>
      </c>
      <c r="Q3778" s="93" t="s">
        <v>111</v>
      </c>
      <c r="R3778" s="93" t="s">
        <v>228</v>
      </c>
      <c r="S3778" s="93" t="s">
        <v>2</v>
      </c>
      <c r="T3778" s="93" t="s">
        <v>115</v>
      </c>
      <c r="U3778" s="93" t="s">
        <v>116</v>
      </c>
      <c r="V3778" s="94">
        <v>44602.492361111108</v>
      </c>
      <c r="W3778" s="93" t="s">
        <v>1207</v>
      </c>
      <c r="X3778" s="93" t="s">
        <v>24</v>
      </c>
    </row>
    <row r="3779" spans="1:24" hidden="1" x14ac:dyDescent="0.15">
      <c r="A3779" s="93" t="s">
        <v>5666</v>
      </c>
      <c r="B3779" s="93" t="s">
        <v>5667</v>
      </c>
      <c r="C3779" s="410">
        <v>1600</v>
      </c>
      <c r="D3779" s="93" t="s">
        <v>24</v>
      </c>
      <c r="E3779" s="93" t="s">
        <v>24</v>
      </c>
      <c r="F3779" s="93" t="s">
        <v>399</v>
      </c>
      <c r="G3779" s="93" t="s">
        <v>8461</v>
      </c>
      <c r="H3779" s="93" t="s">
        <v>400</v>
      </c>
      <c r="I3779" s="93" t="s">
        <v>111</v>
      </c>
      <c r="J3779" s="93" t="s">
        <v>7105</v>
      </c>
      <c r="K3779" s="93" t="s">
        <v>111</v>
      </c>
      <c r="L3779" s="93" t="s">
        <v>111</v>
      </c>
      <c r="M3779" s="93" t="s">
        <v>111</v>
      </c>
      <c r="N3779" s="93" t="s">
        <v>111</v>
      </c>
      <c r="O3779" s="93" t="s">
        <v>111</v>
      </c>
      <c r="P3779" s="93" t="s">
        <v>111</v>
      </c>
      <c r="Q3779" s="93" t="s">
        <v>111</v>
      </c>
      <c r="R3779" s="93" t="s">
        <v>111</v>
      </c>
      <c r="S3779" s="93" t="s">
        <v>111</v>
      </c>
      <c r="T3779" s="93" t="s">
        <v>115</v>
      </c>
      <c r="U3779" s="93" t="s">
        <v>116</v>
      </c>
      <c r="V3779" s="94">
        <v>44588.216666666667</v>
      </c>
      <c r="W3779" s="93" t="s">
        <v>5668</v>
      </c>
      <c r="X3779" s="93" t="s">
        <v>24</v>
      </c>
    </row>
    <row r="3780" spans="1:24" hidden="1" x14ac:dyDescent="0.15">
      <c r="A3780" s="93" t="s">
        <v>5669</v>
      </c>
      <c r="B3780" s="93" t="s">
        <v>5670</v>
      </c>
      <c r="C3780" s="410">
        <v>2400</v>
      </c>
      <c r="D3780" s="93" t="s">
        <v>24</v>
      </c>
      <c r="E3780" s="93" t="s">
        <v>24</v>
      </c>
      <c r="F3780" s="93" t="s">
        <v>399</v>
      </c>
      <c r="G3780" s="93" t="s">
        <v>8461</v>
      </c>
      <c r="H3780" s="93" t="s">
        <v>400</v>
      </c>
      <c r="I3780" s="93" t="s">
        <v>111</v>
      </c>
      <c r="J3780" s="93" t="s">
        <v>7105</v>
      </c>
      <c r="K3780" s="93" t="s">
        <v>111</v>
      </c>
      <c r="L3780" s="93" t="s">
        <v>111</v>
      </c>
      <c r="M3780" s="93" t="s">
        <v>111</v>
      </c>
      <c r="N3780" s="93" t="s">
        <v>111</v>
      </c>
      <c r="O3780" s="93" t="s">
        <v>111</v>
      </c>
      <c r="P3780" s="93" t="s">
        <v>111</v>
      </c>
      <c r="Q3780" s="93" t="s">
        <v>111</v>
      </c>
      <c r="R3780" s="93" t="s">
        <v>111</v>
      </c>
      <c r="S3780" s="93" t="s">
        <v>111</v>
      </c>
      <c r="T3780" s="93" t="s">
        <v>115</v>
      </c>
      <c r="U3780" s="93" t="s">
        <v>116</v>
      </c>
      <c r="V3780" s="94">
        <v>44588.216666666667</v>
      </c>
      <c r="W3780" s="93" t="s">
        <v>5668</v>
      </c>
      <c r="X3780" s="93" t="s">
        <v>24</v>
      </c>
    </row>
    <row r="3781" spans="1:24" hidden="1" x14ac:dyDescent="0.15">
      <c r="A3781" s="93" t="s">
        <v>5671</v>
      </c>
      <c r="B3781" s="93" t="s">
        <v>5672</v>
      </c>
      <c r="C3781" s="410">
        <v>3200</v>
      </c>
      <c r="D3781" s="93" t="s">
        <v>24</v>
      </c>
      <c r="E3781" s="93" t="s">
        <v>24</v>
      </c>
      <c r="F3781" s="93" t="s">
        <v>399</v>
      </c>
      <c r="G3781" s="93" t="s">
        <v>8461</v>
      </c>
      <c r="H3781" s="93" t="s">
        <v>400</v>
      </c>
      <c r="I3781" s="93" t="s">
        <v>111</v>
      </c>
      <c r="J3781" s="93" t="s">
        <v>7105</v>
      </c>
      <c r="K3781" s="93" t="s">
        <v>111</v>
      </c>
      <c r="L3781" s="93" t="s">
        <v>111</v>
      </c>
      <c r="M3781" s="93" t="s">
        <v>111</v>
      </c>
      <c r="N3781" s="93" t="s">
        <v>111</v>
      </c>
      <c r="O3781" s="93" t="s">
        <v>111</v>
      </c>
      <c r="P3781" s="93" t="s">
        <v>111</v>
      </c>
      <c r="Q3781" s="93" t="s">
        <v>111</v>
      </c>
      <c r="R3781" s="93" t="s">
        <v>111</v>
      </c>
      <c r="S3781" s="93" t="s">
        <v>111</v>
      </c>
      <c r="T3781" s="93" t="s">
        <v>115</v>
      </c>
      <c r="U3781" s="93" t="s">
        <v>116</v>
      </c>
      <c r="V3781" s="94">
        <v>44588.216666666667</v>
      </c>
      <c r="W3781" s="93" t="s">
        <v>5668</v>
      </c>
      <c r="X3781" s="93" t="s">
        <v>24</v>
      </c>
    </row>
    <row r="3782" spans="1:24" hidden="1" x14ac:dyDescent="0.15">
      <c r="A3782" s="93" t="s">
        <v>5673</v>
      </c>
      <c r="B3782" s="93" t="s">
        <v>5674</v>
      </c>
      <c r="C3782" s="410">
        <v>4000</v>
      </c>
      <c r="D3782" s="93" t="s">
        <v>24</v>
      </c>
      <c r="E3782" s="93" t="s">
        <v>24</v>
      </c>
      <c r="F3782" s="93" t="s">
        <v>399</v>
      </c>
      <c r="G3782" s="93" t="s">
        <v>8461</v>
      </c>
      <c r="H3782" s="93" t="s">
        <v>400</v>
      </c>
      <c r="I3782" s="93" t="s">
        <v>111</v>
      </c>
      <c r="J3782" s="93" t="s">
        <v>7105</v>
      </c>
      <c r="K3782" s="93" t="s">
        <v>111</v>
      </c>
      <c r="L3782" s="93" t="s">
        <v>111</v>
      </c>
      <c r="M3782" s="93" t="s">
        <v>111</v>
      </c>
      <c r="N3782" s="93" t="s">
        <v>111</v>
      </c>
      <c r="O3782" s="93" t="s">
        <v>111</v>
      </c>
      <c r="P3782" s="93" t="s">
        <v>111</v>
      </c>
      <c r="Q3782" s="93" t="s">
        <v>111</v>
      </c>
      <c r="R3782" s="93" t="s">
        <v>111</v>
      </c>
      <c r="S3782" s="93" t="s">
        <v>111</v>
      </c>
      <c r="T3782" s="93" t="s">
        <v>115</v>
      </c>
      <c r="U3782" s="93" t="s">
        <v>116</v>
      </c>
      <c r="V3782" s="94">
        <v>44588.216666666667</v>
      </c>
      <c r="W3782" s="93" t="s">
        <v>5668</v>
      </c>
      <c r="X3782" s="93" t="s">
        <v>24</v>
      </c>
    </row>
    <row r="3783" spans="1:24" hidden="1" x14ac:dyDescent="0.15">
      <c r="A3783" s="93" t="s">
        <v>5675</v>
      </c>
      <c r="B3783" s="93" t="s">
        <v>5676</v>
      </c>
      <c r="C3783" s="410">
        <v>495</v>
      </c>
      <c r="D3783" s="93" t="s">
        <v>24</v>
      </c>
      <c r="E3783" s="93" t="s">
        <v>24</v>
      </c>
      <c r="F3783" s="93" t="s">
        <v>399</v>
      </c>
      <c r="G3783" s="93" t="s">
        <v>8461</v>
      </c>
      <c r="H3783" s="93" t="s">
        <v>400</v>
      </c>
      <c r="I3783" s="93" t="s">
        <v>111</v>
      </c>
      <c r="J3783" s="93" t="s">
        <v>7105</v>
      </c>
      <c r="K3783" s="93" t="s">
        <v>111</v>
      </c>
      <c r="L3783" s="93" t="s">
        <v>111</v>
      </c>
      <c r="M3783" s="93" t="s">
        <v>111</v>
      </c>
      <c r="N3783" s="93" t="s">
        <v>111</v>
      </c>
      <c r="O3783" s="93" t="s">
        <v>111</v>
      </c>
      <c r="P3783" s="93" t="s">
        <v>111</v>
      </c>
      <c r="Q3783" s="93" t="s">
        <v>111</v>
      </c>
      <c r="R3783" s="93" t="s">
        <v>111</v>
      </c>
      <c r="S3783" s="93" t="s">
        <v>111</v>
      </c>
      <c r="T3783" s="93" t="s">
        <v>115</v>
      </c>
      <c r="U3783" s="93" t="s">
        <v>116</v>
      </c>
      <c r="V3783" s="94">
        <v>44588.216666666667</v>
      </c>
      <c r="W3783" s="93" t="s">
        <v>1207</v>
      </c>
      <c r="X3783" s="93" t="s">
        <v>24</v>
      </c>
    </row>
    <row r="3784" spans="1:24" hidden="1" x14ac:dyDescent="0.15">
      <c r="A3784" s="93" t="s">
        <v>5677</v>
      </c>
      <c r="B3784" s="93" t="s">
        <v>5678</v>
      </c>
      <c r="C3784" s="410">
        <v>425</v>
      </c>
      <c r="D3784" s="93" t="s">
        <v>24</v>
      </c>
      <c r="E3784" s="93" t="s">
        <v>24</v>
      </c>
      <c r="F3784" s="93" t="s">
        <v>399</v>
      </c>
      <c r="G3784" s="93" t="s">
        <v>8461</v>
      </c>
      <c r="H3784" s="93" t="s">
        <v>400</v>
      </c>
      <c r="I3784" s="93" t="s">
        <v>111</v>
      </c>
      <c r="J3784" s="93" t="s">
        <v>7105</v>
      </c>
      <c r="K3784" s="93" t="s">
        <v>111</v>
      </c>
      <c r="L3784" s="93" t="s">
        <v>111</v>
      </c>
      <c r="M3784" s="93" t="s">
        <v>111</v>
      </c>
      <c r="N3784" s="93" t="s">
        <v>111</v>
      </c>
      <c r="O3784" s="93" t="s">
        <v>111</v>
      </c>
      <c r="P3784" s="93" t="s">
        <v>111</v>
      </c>
      <c r="Q3784" s="93" t="s">
        <v>111</v>
      </c>
      <c r="R3784" s="93" t="s">
        <v>111</v>
      </c>
      <c r="S3784" s="93" t="s">
        <v>111</v>
      </c>
      <c r="T3784" s="93" t="s">
        <v>115</v>
      </c>
      <c r="U3784" s="93" t="s">
        <v>116</v>
      </c>
      <c r="V3784" s="94">
        <v>44588.216666666667</v>
      </c>
      <c r="W3784" s="93" t="s">
        <v>1207</v>
      </c>
      <c r="X3784" s="93" t="s">
        <v>24</v>
      </c>
    </row>
    <row r="3785" spans="1:24" hidden="1" x14ac:dyDescent="0.15">
      <c r="A3785" s="93" t="s">
        <v>5679</v>
      </c>
      <c r="B3785" s="93" t="s">
        <v>5680</v>
      </c>
      <c r="C3785" s="410">
        <v>400</v>
      </c>
      <c r="D3785" s="93" t="s">
        <v>24</v>
      </c>
      <c r="E3785" s="93" t="s">
        <v>24</v>
      </c>
      <c r="F3785" s="93" t="s">
        <v>399</v>
      </c>
      <c r="G3785" s="93" t="s">
        <v>8461</v>
      </c>
      <c r="H3785" s="93" t="s">
        <v>400</v>
      </c>
      <c r="I3785" s="93" t="s">
        <v>111</v>
      </c>
      <c r="J3785" s="93" t="s">
        <v>7105</v>
      </c>
      <c r="K3785" s="93" t="s">
        <v>111</v>
      </c>
      <c r="L3785" s="93" t="s">
        <v>111</v>
      </c>
      <c r="M3785" s="93" t="s">
        <v>111</v>
      </c>
      <c r="N3785" s="93" t="s">
        <v>111</v>
      </c>
      <c r="O3785" s="93" t="s">
        <v>111</v>
      </c>
      <c r="P3785" s="93" t="s">
        <v>111</v>
      </c>
      <c r="Q3785" s="93" t="s">
        <v>111</v>
      </c>
      <c r="R3785" s="93" t="s">
        <v>111</v>
      </c>
      <c r="S3785" s="93" t="s">
        <v>111</v>
      </c>
      <c r="T3785" s="93" t="s">
        <v>115</v>
      </c>
      <c r="U3785" s="93" t="s">
        <v>116</v>
      </c>
      <c r="V3785" s="94">
        <v>44588.216666666667</v>
      </c>
      <c r="W3785" s="93" t="s">
        <v>1207</v>
      </c>
      <c r="X3785" s="93" t="s">
        <v>24</v>
      </c>
    </row>
    <row r="3786" spans="1:24" hidden="1" x14ac:dyDescent="0.15">
      <c r="A3786" s="93" t="s">
        <v>5681</v>
      </c>
      <c r="B3786" s="93" t="s">
        <v>5682</v>
      </c>
      <c r="C3786" s="410">
        <v>375</v>
      </c>
      <c r="D3786" s="93" t="s">
        <v>24</v>
      </c>
      <c r="E3786" s="93" t="s">
        <v>24</v>
      </c>
      <c r="F3786" s="93" t="s">
        <v>399</v>
      </c>
      <c r="G3786" s="93" t="s">
        <v>8461</v>
      </c>
      <c r="H3786" s="93" t="s">
        <v>400</v>
      </c>
      <c r="I3786" s="93" t="s">
        <v>111</v>
      </c>
      <c r="J3786" s="93" t="s">
        <v>7105</v>
      </c>
      <c r="K3786" s="93" t="s">
        <v>111</v>
      </c>
      <c r="L3786" s="93" t="s">
        <v>111</v>
      </c>
      <c r="M3786" s="93" t="s">
        <v>111</v>
      </c>
      <c r="N3786" s="93" t="s">
        <v>111</v>
      </c>
      <c r="O3786" s="93" t="s">
        <v>111</v>
      </c>
      <c r="P3786" s="93" t="s">
        <v>111</v>
      </c>
      <c r="Q3786" s="93" t="s">
        <v>111</v>
      </c>
      <c r="R3786" s="93" t="s">
        <v>111</v>
      </c>
      <c r="S3786" s="93" t="s">
        <v>111</v>
      </c>
      <c r="T3786" s="93" t="s">
        <v>115</v>
      </c>
      <c r="U3786" s="93" t="s">
        <v>116</v>
      </c>
      <c r="V3786" s="94">
        <v>44588.216666666667</v>
      </c>
      <c r="W3786" s="93" t="s">
        <v>1207</v>
      </c>
      <c r="X3786" s="93" t="s">
        <v>24</v>
      </c>
    </row>
    <row r="3787" spans="1:24" hidden="1" x14ac:dyDescent="0.15">
      <c r="A3787" s="93" t="s">
        <v>5683</v>
      </c>
      <c r="B3787" s="93" t="s">
        <v>5684</v>
      </c>
      <c r="C3787" s="410">
        <v>350</v>
      </c>
      <c r="D3787" s="93" t="s">
        <v>24</v>
      </c>
      <c r="E3787" s="93" t="s">
        <v>24</v>
      </c>
      <c r="F3787" s="93" t="s">
        <v>399</v>
      </c>
      <c r="G3787" s="93" t="s">
        <v>8461</v>
      </c>
      <c r="H3787" s="93" t="s">
        <v>400</v>
      </c>
      <c r="I3787" s="93" t="s">
        <v>111</v>
      </c>
      <c r="J3787" s="93" t="s">
        <v>7105</v>
      </c>
      <c r="K3787" s="93" t="s">
        <v>111</v>
      </c>
      <c r="L3787" s="93" t="s">
        <v>111</v>
      </c>
      <c r="M3787" s="93" t="s">
        <v>111</v>
      </c>
      <c r="N3787" s="93" t="s">
        <v>111</v>
      </c>
      <c r="O3787" s="93" t="s">
        <v>111</v>
      </c>
      <c r="P3787" s="93" t="s">
        <v>111</v>
      </c>
      <c r="Q3787" s="93" t="s">
        <v>111</v>
      </c>
      <c r="R3787" s="93" t="s">
        <v>111</v>
      </c>
      <c r="S3787" s="93" t="s">
        <v>111</v>
      </c>
      <c r="T3787" s="93" t="s">
        <v>115</v>
      </c>
      <c r="U3787" s="93" t="s">
        <v>116</v>
      </c>
      <c r="V3787" s="94">
        <v>44588.216666666667</v>
      </c>
      <c r="W3787" s="93" t="s">
        <v>1207</v>
      </c>
      <c r="X3787" s="93" t="s">
        <v>24</v>
      </c>
    </row>
    <row r="3788" spans="1:24" hidden="1" x14ac:dyDescent="0.15">
      <c r="A3788" s="93" t="s">
        <v>5685</v>
      </c>
      <c r="B3788" s="93" t="s">
        <v>5686</v>
      </c>
      <c r="C3788" s="410">
        <v>100</v>
      </c>
      <c r="D3788" s="93" t="s">
        <v>24</v>
      </c>
      <c r="E3788" s="93" t="s">
        <v>24</v>
      </c>
      <c r="F3788" s="93" t="s">
        <v>5661</v>
      </c>
      <c r="G3788" s="93" t="s">
        <v>9568</v>
      </c>
      <c r="H3788" s="93" t="s">
        <v>400</v>
      </c>
      <c r="I3788" s="93" t="s">
        <v>111</v>
      </c>
      <c r="J3788" s="93" t="s">
        <v>7105</v>
      </c>
      <c r="K3788" s="93" t="s">
        <v>111</v>
      </c>
      <c r="L3788" s="93" t="s">
        <v>111</v>
      </c>
      <c r="M3788" s="93" t="s">
        <v>111</v>
      </c>
      <c r="N3788" s="93" t="s">
        <v>111</v>
      </c>
      <c r="O3788" s="93" t="s">
        <v>111</v>
      </c>
      <c r="P3788" s="93" t="s">
        <v>111</v>
      </c>
      <c r="Q3788" s="93" t="s">
        <v>111</v>
      </c>
      <c r="R3788" s="93" t="s">
        <v>111</v>
      </c>
      <c r="S3788" s="93" t="s">
        <v>111</v>
      </c>
      <c r="T3788" s="93" t="s">
        <v>115</v>
      </c>
      <c r="U3788" s="93" t="s">
        <v>116</v>
      </c>
      <c r="V3788" s="94">
        <v>44588.217361111114</v>
      </c>
      <c r="W3788" s="93" t="s">
        <v>1170</v>
      </c>
      <c r="X3788" s="93" t="s">
        <v>24</v>
      </c>
    </row>
    <row r="3789" spans="1:24" hidden="1" x14ac:dyDescent="0.15">
      <c r="A3789" s="93" t="s">
        <v>5687</v>
      </c>
      <c r="B3789" s="93" t="s">
        <v>5688</v>
      </c>
      <c r="C3789" s="410">
        <v>100</v>
      </c>
      <c r="D3789" s="93" t="s">
        <v>24</v>
      </c>
      <c r="E3789" s="93" t="s">
        <v>24</v>
      </c>
      <c r="F3789" s="93" t="s">
        <v>5661</v>
      </c>
      <c r="G3789" s="93" t="s">
        <v>9568</v>
      </c>
      <c r="H3789" s="93" t="s">
        <v>400</v>
      </c>
      <c r="I3789" s="93" t="s">
        <v>111</v>
      </c>
      <c r="J3789" s="93" t="s">
        <v>7105</v>
      </c>
      <c r="K3789" s="93" t="s">
        <v>111</v>
      </c>
      <c r="L3789" s="93" t="s">
        <v>111</v>
      </c>
      <c r="M3789" s="93" t="s">
        <v>111</v>
      </c>
      <c r="N3789" s="93" t="s">
        <v>111</v>
      </c>
      <c r="O3789" s="93" t="s">
        <v>111</v>
      </c>
      <c r="P3789" s="93" t="s">
        <v>111</v>
      </c>
      <c r="Q3789" s="93" t="s">
        <v>111</v>
      </c>
      <c r="R3789" s="93" t="s">
        <v>111</v>
      </c>
      <c r="S3789" s="93" t="s">
        <v>111</v>
      </c>
      <c r="T3789" s="93" t="s">
        <v>115</v>
      </c>
      <c r="U3789" s="93" t="s">
        <v>116</v>
      </c>
      <c r="V3789" s="94">
        <v>44588.217361111114</v>
      </c>
      <c r="W3789" s="93" t="s">
        <v>1170</v>
      </c>
      <c r="X3789" s="93" t="s">
        <v>24</v>
      </c>
    </row>
    <row r="3790" spans="1:24" hidden="1" x14ac:dyDescent="0.15">
      <c r="A3790" s="93" t="s">
        <v>8459</v>
      </c>
      <c r="B3790" s="93" t="s">
        <v>8460</v>
      </c>
      <c r="C3790" s="410">
        <v>500</v>
      </c>
      <c r="D3790" s="93" t="s">
        <v>24</v>
      </c>
      <c r="E3790" s="93" t="s">
        <v>24</v>
      </c>
      <c r="F3790" s="93" t="s">
        <v>5978</v>
      </c>
      <c r="G3790" s="93" t="s">
        <v>8461</v>
      </c>
      <c r="H3790" s="93" t="s">
        <v>400</v>
      </c>
      <c r="I3790" s="93" t="s">
        <v>111</v>
      </c>
      <c r="J3790" s="93" t="s">
        <v>118</v>
      </c>
      <c r="K3790" s="93">
        <v>3</v>
      </c>
      <c r="L3790" s="93" t="s">
        <v>111</v>
      </c>
      <c r="M3790" s="93" t="s">
        <v>111</v>
      </c>
      <c r="N3790" s="93" t="s">
        <v>111</v>
      </c>
      <c r="O3790" s="93" t="s">
        <v>111</v>
      </c>
      <c r="P3790" s="93" t="s">
        <v>111</v>
      </c>
      <c r="Q3790" s="93" t="s">
        <v>111</v>
      </c>
      <c r="R3790" s="93" t="s">
        <v>228</v>
      </c>
      <c r="S3790" s="93" t="s">
        <v>2</v>
      </c>
      <c r="T3790" s="93" t="s">
        <v>115</v>
      </c>
      <c r="U3790" s="93" t="s">
        <v>116</v>
      </c>
      <c r="V3790" s="94">
        <v>44600.140972222223</v>
      </c>
      <c r="W3790" s="93" t="s">
        <v>402</v>
      </c>
      <c r="X3790" s="93" t="s">
        <v>24</v>
      </c>
    </row>
    <row r="3791" spans="1:24" hidden="1" x14ac:dyDescent="0.15">
      <c r="A3791" s="93" t="s">
        <v>5689</v>
      </c>
      <c r="B3791" s="93" t="s">
        <v>5690</v>
      </c>
      <c r="C3791" s="410">
        <v>200</v>
      </c>
      <c r="D3791" s="93" t="s">
        <v>24</v>
      </c>
      <c r="E3791" s="93" t="s">
        <v>24</v>
      </c>
      <c r="F3791" s="93" t="s">
        <v>399</v>
      </c>
      <c r="G3791" s="93" t="s">
        <v>8461</v>
      </c>
      <c r="H3791" s="93" t="s">
        <v>400</v>
      </c>
      <c r="I3791" s="93" t="s">
        <v>111</v>
      </c>
      <c r="J3791" s="93" t="s">
        <v>7105</v>
      </c>
      <c r="K3791" s="93" t="s">
        <v>111</v>
      </c>
      <c r="L3791" s="93" t="s">
        <v>111</v>
      </c>
      <c r="M3791" s="93" t="s">
        <v>111</v>
      </c>
      <c r="N3791" s="93" t="s">
        <v>111</v>
      </c>
      <c r="O3791" s="93" t="s">
        <v>111</v>
      </c>
      <c r="P3791" s="93" t="s">
        <v>111</v>
      </c>
      <c r="Q3791" s="93" t="s">
        <v>111</v>
      </c>
      <c r="R3791" s="93" t="s">
        <v>111</v>
      </c>
      <c r="S3791" s="93" t="s">
        <v>111</v>
      </c>
      <c r="T3791" s="93" t="s">
        <v>115</v>
      </c>
      <c r="U3791" s="93" t="s">
        <v>116</v>
      </c>
      <c r="V3791" s="94">
        <v>44588.217361111114</v>
      </c>
      <c r="W3791" s="93" t="s">
        <v>1207</v>
      </c>
      <c r="X3791" s="93" t="s">
        <v>24</v>
      </c>
    </row>
    <row r="3792" spans="1:24" hidden="1" x14ac:dyDescent="0.15">
      <c r="A3792" s="93" t="s">
        <v>5691</v>
      </c>
      <c r="B3792" s="93" t="s">
        <v>5692</v>
      </c>
      <c r="C3792" s="410">
        <v>250</v>
      </c>
      <c r="D3792" s="93" t="s">
        <v>24</v>
      </c>
      <c r="E3792" s="93" t="s">
        <v>24</v>
      </c>
      <c r="F3792" s="93" t="s">
        <v>5661</v>
      </c>
      <c r="G3792" s="93" t="s">
        <v>9568</v>
      </c>
      <c r="H3792" s="93" t="s">
        <v>400</v>
      </c>
      <c r="I3792" s="93" t="s">
        <v>111</v>
      </c>
      <c r="J3792" s="93" t="s">
        <v>7105</v>
      </c>
      <c r="K3792" s="93" t="s">
        <v>111</v>
      </c>
      <c r="L3792" s="93" t="s">
        <v>111</v>
      </c>
      <c r="M3792" s="93" t="s">
        <v>111</v>
      </c>
      <c r="N3792" s="93" t="s">
        <v>111</v>
      </c>
      <c r="O3792" s="93" t="s">
        <v>111</v>
      </c>
      <c r="P3792" s="93" t="s">
        <v>111</v>
      </c>
      <c r="Q3792" s="93" t="s">
        <v>111</v>
      </c>
      <c r="R3792" s="93" t="s">
        <v>228</v>
      </c>
      <c r="S3792" s="93" t="s">
        <v>2</v>
      </c>
      <c r="T3792" s="93" t="s">
        <v>115</v>
      </c>
      <c r="U3792" s="93" t="s">
        <v>116</v>
      </c>
      <c r="V3792" s="94">
        <v>44588.192361111112</v>
      </c>
      <c r="W3792" s="93" t="s">
        <v>1170</v>
      </c>
      <c r="X3792" s="93" t="s">
        <v>24</v>
      </c>
    </row>
    <row r="3793" spans="1:24" hidden="1" x14ac:dyDescent="0.15">
      <c r="A3793" s="93" t="s">
        <v>5693</v>
      </c>
      <c r="B3793" s="93" t="s">
        <v>5694</v>
      </c>
      <c r="C3793" s="410">
        <v>80</v>
      </c>
      <c r="D3793" s="93" t="s">
        <v>24</v>
      </c>
      <c r="E3793" s="93" t="s">
        <v>24</v>
      </c>
      <c r="F3793" s="93" t="s">
        <v>5661</v>
      </c>
      <c r="G3793" s="93" t="s">
        <v>9568</v>
      </c>
      <c r="H3793" s="93" t="s">
        <v>400</v>
      </c>
      <c r="I3793" s="93" t="s">
        <v>111</v>
      </c>
      <c r="J3793" s="93" t="s">
        <v>7105</v>
      </c>
      <c r="K3793" s="93" t="s">
        <v>111</v>
      </c>
      <c r="L3793" s="93" t="s">
        <v>111</v>
      </c>
      <c r="M3793" s="93" t="s">
        <v>111</v>
      </c>
      <c r="N3793" s="93" t="s">
        <v>111</v>
      </c>
      <c r="O3793" s="93" t="s">
        <v>111</v>
      </c>
      <c r="P3793" s="93" t="s">
        <v>111</v>
      </c>
      <c r="Q3793" s="93" t="s">
        <v>111</v>
      </c>
      <c r="R3793" s="93" t="s">
        <v>228</v>
      </c>
      <c r="S3793" s="93" t="s">
        <v>2</v>
      </c>
      <c r="T3793" s="93" t="s">
        <v>115</v>
      </c>
      <c r="U3793" s="93" t="s">
        <v>116</v>
      </c>
      <c r="V3793" s="94">
        <v>44588.192361111112</v>
      </c>
      <c r="W3793" s="93" t="s">
        <v>1170</v>
      </c>
      <c r="X3793" s="93" t="s">
        <v>24</v>
      </c>
    </row>
    <row r="3794" spans="1:24" hidden="1" x14ac:dyDescent="0.15">
      <c r="A3794" s="93" t="s">
        <v>5695</v>
      </c>
      <c r="B3794" s="93" t="s">
        <v>5696</v>
      </c>
      <c r="C3794" s="410">
        <v>375</v>
      </c>
      <c r="D3794" s="93" t="s">
        <v>24</v>
      </c>
      <c r="E3794" s="93" t="s">
        <v>24</v>
      </c>
      <c r="F3794" s="93" t="s">
        <v>399</v>
      </c>
      <c r="G3794" s="93" t="s">
        <v>9568</v>
      </c>
      <c r="H3794" s="93" t="s">
        <v>400</v>
      </c>
      <c r="I3794" s="93" t="s">
        <v>111</v>
      </c>
      <c r="J3794" s="93" t="s">
        <v>7105</v>
      </c>
      <c r="K3794" s="93" t="s">
        <v>111</v>
      </c>
      <c r="L3794" s="93" t="s">
        <v>111</v>
      </c>
      <c r="M3794" s="93" t="s">
        <v>111</v>
      </c>
      <c r="N3794" s="93" t="s">
        <v>111</v>
      </c>
      <c r="O3794" s="93" t="s">
        <v>111</v>
      </c>
      <c r="P3794" s="93" t="s">
        <v>111</v>
      </c>
      <c r="Q3794" s="93" t="s">
        <v>111</v>
      </c>
      <c r="R3794" s="93" t="s">
        <v>111</v>
      </c>
      <c r="S3794" s="93" t="s">
        <v>111</v>
      </c>
      <c r="T3794" s="93" t="s">
        <v>115</v>
      </c>
      <c r="U3794" s="93" t="s">
        <v>116</v>
      </c>
      <c r="V3794" s="94">
        <v>44588.218055555553</v>
      </c>
      <c r="W3794" s="93" t="s">
        <v>1170</v>
      </c>
      <c r="X3794" s="93" t="s">
        <v>24</v>
      </c>
    </row>
    <row r="3795" spans="1:24" hidden="1" x14ac:dyDescent="0.15">
      <c r="A3795" s="93" t="s">
        <v>5697</v>
      </c>
      <c r="B3795" s="93" t="s">
        <v>5698</v>
      </c>
      <c r="C3795" s="410">
        <v>125</v>
      </c>
      <c r="D3795" s="93" t="s">
        <v>24</v>
      </c>
      <c r="E3795" s="93" t="s">
        <v>24</v>
      </c>
      <c r="F3795" s="93" t="s">
        <v>399</v>
      </c>
      <c r="G3795" s="93" t="s">
        <v>9568</v>
      </c>
      <c r="H3795" s="93" t="s">
        <v>400</v>
      </c>
      <c r="I3795" s="93" t="s">
        <v>111</v>
      </c>
      <c r="J3795" s="93" t="s">
        <v>7105</v>
      </c>
      <c r="K3795" s="93" t="s">
        <v>111</v>
      </c>
      <c r="L3795" s="93" t="s">
        <v>111</v>
      </c>
      <c r="M3795" s="93" t="s">
        <v>111</v>
      </c>
      <c r="N3795" s="93" t="s">
        <v>111</v>
      </c>
      <c r="O3795" s="93" t="s">
        <v>111</v>
      </c>
      <c r="P3795" s="93" t="s">
        <v>111</v>
      </c>
      <c r="Q3795" s="93" t="s">
        <v>111</v>
      </c>
      <c r="R3795" s="93" t="s">
        <v>111</v>
      </c>
      <c r="S3795" s="93" t="s">
        <v>111</v>
      </c>
      <c r="T3795" s="93" t="s">
        <v>115</v>
      </c>
      <c r="U3795" s="93" t="s">
        <v>116</v>
      </c>
      <c r="V3795" s="94">
        <v>44588.218055555553</v>
      </c>
      <c r="W3795" s="93" t="s">
        <v>1170</v>
      </c>
      <c r="X3795" s="93" t="s">
        <v>24</v>
      </c>
    </row>
    <row r="3796" spans="1:24" hidden="1" x14ac:dyDescent="0.15">
      <c r="A3796" s="93" t="s">
        <v>5699</v>
      </c>
      <c r="B3796" s="93" t="s">
        <v>5700</v>
      </c>
      <c r="C3796" s="410">
        <v>250</v>
      </c>
      <c r="D3796" s="93" t="s">
        <v>24</v>
      </c>
      <c r="E3796" s="93" t="s">
        <v>24</v>
      </c>
      <c r="F3796" s="93" t="s">
        <v>399</v>
      </c>
      <c r="G3796" s="93" t="s">
        <v>9568</v>
      </c>
      <c r="H3796" s="93" t="s">
        <v>400</v>
      </c>
      <c r="I3796" s="93" t="s">
        <v>111</v>
      </c>
      <c r="J3796" s="93" t="s">
        <v>7105</v>
      </c>
      <c r="K3796" s="93" t="s">
        <v>111</v>
      </c>
      <c r="L3796" s="93" t="s">
        <v>111</v>
      </c>
      <c r="M3796" s="93" t="s">
        <v>111</v>
      </c>
      <c r="N3796" s="93" t="s">
        <v>111</v>
      </c>
      <c r="O3796" s="93" t="s">
        <v>111</v>
      </c>
      <c r="P3796" s="93" t="s">
        <v>111</v>
      </c>
      <c r="Q3796" s="93" t="s">
        <v>111</v>
      </c>
      <c r="R3796" s="93" t="s">
        <v>111</v>
      </c>
      <c r="S3796" s="93" t="s">
        <v>111</v>
      </c>
      <c r="T3796" s="93" t="s">
        <v>115</v>
      </c>
      <c r="U3796" s="93" t="s">
        <v>116</v>
      </c>
      <c r="V3796" s="94">
        <v>44588.218055555553</v>
      </c>
      <c r="W3796" s="93" t="s">
        <v>1170</v>
      </c>
      <c r="X3796" s="93" t="s">
        <v>24</v>
      </c>
    </row>
    <row r="3797" spans="1:24" hidden="1" x14ac:dyDescent="0.15">
      <c r="A3797" s="93" t="s">
        <v>5701</v>
      </c>
      <c r="B3797" s="93" t="s">
        <v>5702</v>
      </c>
      <c r="C3797" s="410">
        <v>560</v>
      </c>
      <c r="D3797" s="93" t="s">
        <v>24</v>
      </c>
      <c r="E3797" s="93" t="s">
        <v>24</v>
      </c>
      <c r="F3797" s="93" t="s">
        <v>399</v>
      </c>
      <c r="G3797" s="93" t="s">
        <v>9568</v>
      </c>
      <c r="H3797" s="93" t="s">
        <v>400</v>
      </c>
      <c r="I3797" s="93" t="s">
        <v>111</v>
      </c>
      <c r="J3797" s="93" t="s">
        <v>7105</v>
      </c>
      <c r="K3797" s="93" t="s">
        <v>111</v>
      </c>
      <c r="L3797" s="93" t="s">
        <v>111</v>
      </c>
      <c r="M3797" s="93" t="s">
        <v>111</v>
      </c>
      <c r="N3797" s="93" t="s">
        <v>111</v>
      </c>
      <c r="O3797" s="93" t="s">
        <v>111</v>
      </c>
      <c r="P3797" s="93" t="s">
        <v>111</v>
      </c>
      <c r="Q3797" s="93" t="s">
        <v>111</v>
      </c>
      <c r="R3797" s="93" t="s">
        <v>111</v>
      </c>
      <c r="S3797" s="93" t="s">
        <v>111</v>
      </c>
      <c r="T3797" s="93" t="s">
        <v>115</v>
      </c>
      <c r="U3797" s="93" t="s">
        <v>116</v>
      </c>
      <c r="V3797" s="94">
        <v>44588.218055555553</v>
      </c>
      <c r="W3797" s="93" t="s">
        <v>1170</v>
      </c>
      <c r="X3797" s="93" t="s">
        <v>24</v>
      </c>
    </row>
    <row r="3798" spans="1:24" hidden="1" x14ac:dyDescent="0.15">
      <c r="A3798" s="93" t="s">
        <v>5703</v>
      </c>
      <c r="B3798" s="93" t="s">
        <v>5704</v>
      </c>
      <c r="C3798" s="410">
        <v>1</v>
      </c>
      <c r="D3798" s="93" t="s">
        <v>24</v>
      </c>
      <c r="E3798" s="93" t="s">
        <v>24</v>
      </c>
      <c r="F3798" s="93" t="s">
        <v>399</v>
      </c>
      <c r="G3798" s="93" t="s">
        <v>8461</v>
      </c>
      <c r="H3798" s="93" t="s">
        <v>400</v>
      </c>
      <c r="I3798" s="93" t="s">
        <v>111</v>
      </c>
      <c r="J3798" s="93" t="s">
        <v>7105</v>
      </c>
      <c r="K3798" s="93" t="s">
        <v>111</v>
      </c>
      <c r="L3798" s="93" t="s">
        <v>111</v>
      </c>
      <c r="M3798" s="93" t="s">
        <v>111</v>
      </c>
      <c r="N3798" s="93" t="s">
        <v>111</v>
      </c>
      <c r="O3798" s="93" t="s">
        <v>111</v>
      </c>
      <c r="P3798" s="93" t="s">
        <v>111</v>
      </c>
      <c r="Q3798" s="93" t="s">
        <v>111</v>
      </c>
      <c r="R3798" s="93" t="s">
        <v>111</v>
      </c>
      <c r="S3798" s="93" t="s">
        <v>111</v>
      </c>
      <c r="T3798" s="93" t="s">
        <v>115</v>
      </c>
      <c r="U3798" s="93" t="s">
        <v>116</v>
      </c>
      <c r="V3798" s="94">
        <v>44588.218055555553</v>
      </c>
      <c r="W3798" s="93" t="s">
        <v>5668</v>
      </c>
      <c r="X3798" s="93" t="s">
        <v>24</v>
      </c>
    </row>
    <row r="3799" spans="1:24" hidden="1" x14ac:dyDescent="0.15">
      <c r="A3799" s="93" t="s">
        <v>5705</v>
      </c>
      <c r="B3799" s="93" t="s">
        <v>5706</v>
      </c>
      <c r="C3799" s="410">
        <v>3990</v>
      </c>
      <c r="D3799" s="93" t="s">
        <v>24</v>
      </c>
      <c r="E3799" s="93" t="s">
        <v>24</v>
      </c>
      <c r="F3799" s="93" t="s">
        <v>399</v>
      </c>
      <c r="G3799" s="93" t="s">
        <v>8461</v>
      </c>
      <c r="H3799" s="93" t="s">
        <v>400</v>
      </c>
      <c r="I3799" s="93" t="s">
        <v>111</v>
      </c>
      <c r="J3799" s="93" t="s">
        <v>7105</v>
      </c>
      <c r="K3799" s="93" t="s">
        <v>111</v>
      </c>
      <c r="L3799" s="93" t="s">
        <v>111</v>
      </c>
      <c r="M3799" s="93" t="s">
        <v>111</v>
      </c>
      <c r="N3799" s="93" t="s">
        <v>111</v>
      </c>
      <c r="O3799" s="93" t="s">
        <v>111</v>
      </c>
      <c r="P3799" s="93" t="s">
        <v>111</v>
      </c>
      <c r="Q3799" s="93" t="s">
        <v>111</v>
      </c>
      <c r="R3799" s="93" t="s">
        <v>111</v>
      </c>
      <c r="S3799" s="93" t="s">
        <v>111</v>
      </c>
      <c r="T3799" s="93" t="s">
        <v>115</v>
      </c>
      <c r="U3799" s="93" t="s">
        <v>116</v>
      </c>
      <c r="V3799" s="94">
        <v>44588.218055555553</v>
      </c>
      <c r="W3799" s="93" t="s">
        <v>5668</v>
      </c>
      <c r="X3799" s="93" t="s">
        <v>24</v>
      </c>
    </row>
    <row r="3800" spans="1:24" hidden="1" x14ac:dyDescent="0.15">
      <c r="A3800" s="93" t="s">
        <v>5707</v>
      </c>
      <c r="B3800" s="93" t="s">
        <v>5708</v>
      </c>
      <c r="C3800" s="410">
        <v>2490</v>
      </c>
      <c r="D3800" s="93" t="s">
        <v>24</v>
      </c>
      <c r="E3800" s="93" t="s">
        <v>24</v>
      </c>
      <c r="F3800" s="93" t="s">
        <v>399</v>
      </c>
      <c r="G3800" s="93" t="s">
        <v>8461</v>
      </c>
      <c r="H3800" s="93" t="s">
        <v>400</v>
      </c>
      <c r="I3800" s="93" t="s">
        <v>111</v>
      </c>
      <c r="J3800" s="93" t="s">
        <v>7105</v>
      </c>
      <c r="K3800" s="93" t="s">
        <v>111</v>
      </c>
      <c r="L3800" s="93" t="s">
        <v>111</v>
      </c>
      <c r="M3800" s="93" t="s">
        <v>111</v>
      </c>
      <c r="N3800" s="93" t="s">
        <v>111</v>
      </c>
      <c r="O3800" s="93" t="s">
        <v>111</v>
      </c>
      <c r="P3800" s="93" t="s">
        <v>111</v>
      </c>
      <c r="Q3800" s="93" t="s">
        <v>111</v>
      </c>
      <c r="R3800" s="93" t="s">
        <v>111</v>
      </c>
      <c r="S3800" s="93" t="s">
        <v>111</v>
      </c>
      <c r="T3800" s="93" t="s">
        <v>115</v>
      </c>
      <c r="U3800" s="93" t="s">
        <v>116</v>
      </c>
      <c r="V3800" s="94">
        <v>44588.21875</v>
      </c>
      <c r="W3800" s="93" t="s">
        <v>5668</v>
      </c>
      <c r="X3800" s="93" t="s">
        <v>24</v>
      </c>
    </row>
    <row r="3801" spans="1:24" hidden="1" x14ac:dyDescent="0.15">
      <c r="A3801" s="93" t="s">
        <v>5709</v>
      </c>
      <c r="B3801" s="93" t="s">
        <v>5710</v>
      </c>
      <c r="C3801" s="410">
        <v>1190</v>
      </c>
      <c r="D3801" s="93" t="s">
        <v>24</v>
      </c>
      <c r="E3801" s="93" t="s">
        <v>24</v>
      </c>
      <c r="F3801" s="93" t="s">
        <v>399</v>
      </c>
      <c r="G3801" s="93" t="s">
        <v>8461</v>
      </c>
      <c r="H3801" s="93" t="s">
        <v>400</v>
      </c>
      <c r="I3801" s="93" t="s">
        <v>111</v>
      </c>
      <c r="J3801" s="93" t="s">
        <v>7105</v>
      </c>
      <c r="K3801" s="93" t="s">
        <v>111</v>
      </c>
      <c r="L3801" s="93" t="s">
        <v>111</v>
      </c>
      <c r="M3801" s="93" t="s">
        <v>111</v>
      </c>
      <c r="N3801" s="93" t="s">
        <v>111</v>
      </c>
      <c r="O3801" s="93" t="s">
        <v>111</v>
      </c>
      <c r="P3801" s="93" t="s">
        <v>111</v>
      </c>
      <c r="Q3801" s="93" t="s">
        <v>111</v>
      </c>
      <c r="R3801" s="93" t="s">
        <v>111</v>
      </c>
      <c r="S3801" s="93" t="s">
        <v>111</v>
      </c>
      <c r="T3801" s="93" t="s">
        <v>115</v>
      </c>
      <c r="U3801" s="93" t="s">
        <v>116</v>
      </c>
      <c r="V3801" s="94">
        <v>44588.21875</v>
      </c>
      <c r="W3801" s="93" t="s">
        <v>5668</v>
      </c>
      <c r="X3801" s="93" t="s">
        <v>24</v>
      </c>
    </row>
    <row r="3802" spans="1:24" hidden="1" x14ac:dyDescent="0.15">
      <c r="A3802" s="93" t="s">
        <v>5711</v>
      </c>
      <c r="B3802" s="93" t="s">
        <v>9572</v>
      </c>
      <c r="C3802" s="410">
        <v>100</v>
      </c>
      <c r="D3802" s="93" t="s">
        <v>24</v>
      </c>
      <c r="E3802" s="93" t="s">
        <v>24</v>
      </c>
      <c r="F3802" s="93" t="s">
        <v>5661</v>
      </c>
      <c r="G3802" s="93" t="s">
        <v>9568</v>
      </c>
      <c r="H3802" s="93" t="s">
        <v>400</v>
      </c>
      <c r="I3802" s="93" t="s">
        <v>111</v>
      </c>
      <c r="J3802" s="93" t="s">
        <v>118</v>
      </c>
      <c r="K3802" s="93">
        <v>3</v>
      </c>
      <c r="L3802" s="93" t="s">
        <v>111</v>
      </c>
      <c r="M3802" s="93" t="s">
        <v>111</v>
      </c>
      <c r="N3802" s="93" t="s">
        <v>111</v>
      </c>
      <c r="O3802" s="93" t="s">
        <v>111</v>
      </c>
      <c r="P3802" s="93" t="s">
        <v>111</v>
      </c>
      <c r="Q3802" s="93" t="s">
        <v>111</v>
      </c>
      <c r="R3802" s="93" t="s">
        <v>228</v>
      </c>
      <c r="S3802" s="93" t="s">
        <v>2</v>
      </c>
      <c r="T3802" s="93" t="s">
        <v>115</v>
      </c>
      <c r="U3802" s="93" t="s">
        <v>395</v>
      </c>
      <c r="V3802" s="94">
        <v>44600.13958333333</v>
      </c>
      <c r="W3802" s="93" t="s">
        <v>1170</v>
      </c>
      <c r="X3802" s="93" t="s">
        <v>24</v>
      </c>
    </row>
    <row r="3803" spans="1:24" hidden="1" x14ac:dyDescent="0.15">
      <c r="A3803" s="93" t="s">
        <v>5712</v>
      </c>
      <c r="B3803" s="93" t="s">
        <v>5713</v>
      </c>
      <c r="C3803" s="410">
        <v>600</v>
      </c>
      <c r="D3803" s="93" t="s">
        <v>24</v>
      </c>
      <c r="E3803" s="93" t="s">
        <v>24</v>
      </c>
      <c r="F3803" s="93" t="s">
        <v>399</v>
      </c>
      <c r="G3803" s="93" t="s">
        <v>8461</v>
      </c>
      <c r="H3803" s="93" t="s">
        <v>400</v>
      </c>
      <c r="I3803" s="93" t="s">
        <v>111</v>
      </c>
      <c r="J3803" s="93" t="s">
        <v>7105</v>
      </c>
      <c r="K3803" s="93" t="s">
        <v>111</v>
      </c>
      <c r="L3803" s="93" t="s">
        <v>111</v>
      </c>
      <c r="M3803" s="93" t="s">
        <v>111</v>
      </c>
      <c r="N3803" s="93" t="s">
        <v>111</v>
      </c>
      <c r="O3803" s="93" t="s">
        <v>111</v>
      </c>
      <c r="P3803" s="93" t="s">
        <v>111</v>
      </c>
      <c r="Q3803" s="93" t="s">
        <v>111</v>
      </c>
      <c r="R3803" s="93" t="s">
        <v>111</v>
      </c>
      <c r="S3803" s="93" t="s">
        <v>111</v>
      </c>
      <c r="T3803" s="93" t="s">
        <v>115</v>
      </c>
      <c r="U3803" s="93" t="s">
        <v>116</v>
      </c>
      <c r="V3803" s="94">
        <v>44588.21875</v>
      </c>
      <c r="W3803" s="93" t="s">
        <v>5668</v>
      </c>
      <c r="X3803" s="93" t="s">
        <v>24</v>
      </c>
    </row>
    <row r="3804" spans="1:24" hidden="1" x14ac:dyDescent="0.15">
      <c r="A3804" s="93" t="s">
        <v>5714</v>
      </c>
      <c r="B3804" s="93" t="s">
        <v>5715</v>
      </c>
      <c r="C3804" s="410">
        <v>212.5</v>
      </c>
      <c r="D3804" s="93" t="s">
        <v>24</v>
      </c>
      <c r="E3804" s="93" t="s">
        <v>24</v>
      </c>
      <c r="F3804" s="93" t="s">
        <v>5661</v>
      </c>
      <c r="G3804" s="93" t="s">
        <v>9568</v>
      </c>
      <c r="H3804" s="93" t="s">
        <v>400</v>
      </c>
      <c r="I3804" s="93" t="s">
        <v>111</v>
      </c>
      <c r="J3804" s="93" t="s">
        <v>118</v>
      </c>
      <c r="K3804" s="93">
        <v>3</v>
      </c>
      <c r="L3804" s="93" t="s">
        <v>111</v>
      </c>
      <c r="M3804" s="93" t="s">
        <v>111</v>
      </c>
      <c r="N3804" s="93" t="s">
        <v>111</v>
      </c>
      <c r="O3804" s="93" t="s">
        <v>111</v>
      </c>
      <c r="P3804" s="93" t="s">
        <v>111</v>
      </c>
      <c r="Q3804" s="93" t="s">
        <v>111</v>
      </c>
      <c r="R3804" s="93" t="s">
        <v>111</v>
      </c>
      <c r="S3804" s="93" t="s">
        <v>111</v>
      </c>
      <c r="T3804" s="93" t="s">
        <v>115</v>
      </c>
      <c r="U3804" s="93" t="s">
        <v>116</v>
      </c>
      <c r="V3804" s="94">
        <v>44628.636111111111</v>
      </c>
      <c r="W3804" s="93" t="s">
        <v>1170</v>
      </c>
      <c r="X3804" s="93" t="s">
        <v>24</v>
      </c>
    </row>
    <row r="3805" spans="1:24" hidden="1" x14ac:dyDescent="0.15">
      <c r="A3805" s="93" t="s">
        <v>9573</v>
      </c>
      <c r="B3805" s="93" t="s">
        <v>9574</v>
      </c>
      <c r="C3805" s="410">
        <v>50</v>
      </c>
      <c r="D3805" s="93" t="s">
        <v>24</v>
      </c>
      <c r="E3805" s="93" t="s">
        <v>24</v>
      </c>
      <c r="F3805" s="93" t="s">
        <v>5661</v>
      </c>
      <c r="G3805" s="93" t="s">
        <v>9568</v>
      </c>
      <c r="H3805" s="93" t="s">
        <v>400</v>
      </c>
      <c r="I3805" s="93" t="s">
        <v>111</v>
      </c>
      <c r="J3805" s="93" t="s">
        <v>118</v>
      </c>
      <c r="K3805" s="93">
        <v>3</v>
      </c>
      <c r="L3805" s="93" t="s">
        <v>111</v>
      </c>
      <c r="M3805" s="93" t="s">
        <v>111</v>
      </c>
      <c r="N3805" s="93" t="s">
        <v>111</v>
      </c>
      <c r="O3805" s="93" t="s">
        <v>111</v>
      </c>
      <c r="P3805" s="93" t="s">
        <v>111</v>
      </c>
      <c r="Q3805" s="93" t="s">
        <v>111</v>
      </c>
      <c r="R3805" s="93" t="s">
        <v>228</v>
      </c>
      <c r="S3805" s="93" t="s">
        <v>2</v>
      </c>
      <c r="T3805" s="93" t="s">
        <v>115</v>
      </c>
      <c r="U3805" s="93" t="s">
        <v>116</v>
      </c>
      <c r="V3805" s="94">
        <v>44627.390277777777</v>
      </c>
      <c r="W3805" s="93" t="s">
        <v>1170</v>
      </c>
      <c r="X3805" s="93" t="s">
        <v>24</v>
      </c>
    </row>
    <row r="3806" spans="1:24" hidden="1" x14ac:dyDescent="0.15">
      <c r="A3806" s="93" t="s">
        <v>5716</v>
      </c>
      <c r="B3806" s="93" t="s">
        <v>5717</v>
      </c>
      <c r="C3806" s="410">
        <v>56.25</v>
      </c>
      <c r="D3806" s="93" t="s">
        <v>24</v>
      </c>
      <c r="E3806" s="93" t="s">
        <v>24</v>
      </c>
      <c r="F3806" s="93" t="s">
        <v>5661</v>
      </c>
      <c r="G3806" s="93" t="s">
        <v>9568</v>
      </c>
      <c r="H3806" s="93" t="s">
        <v>400</v>
      </c>
      <c r="I3806" s="93" t="s">
        <v>111</v>
      </c>
      <c r="J3806" s="93" t="s">
        <v>7105</v>
      </c>
      <c r="K3806" s="93" t="s">
        <v>111</v>
      </c>
      <c r="L3806" s="93" t="s">
        <v>111</v>
      </c>
      <c r="M3806" s="93" t="s">
        <v>111</v>
      </c>
      <c r="N3806" s="93" t="s">
        <v>111</v>
      </c>
      <c r="O3806" s="93" t="s">
        <v>111</v>
      </c>
      <c r="P3806" s="93" t="s">
        <v>111</v>
      </c>
      <c r="Q3806" s="93" t="s">
        <v>111</v>
      </c>
      <c r="R3806" s="93" t="s">
        <v>111</v>
      </c>
      <c r="S3806" s="93" t="s">
        <v>111</v>
      </c>
      <c r="T3806" s="93" t="s">
        <v>115</v>
      </c>
      <c r="U3806" s="93" t="s">
        <v>116</v>
      </c>
      <c r="V3806" s="94">
        <v>44627.390277777777</v>
      </c>
      <c r="W3806" s="93" t="s">
        <v>1170</v>
      </c>
      <c r="X3806" s="93" t="s">
        <v>24</v>
      </c>
    </row>
    <row r="3807" spans="1:24" hidden="1" x14ac:dyDescent="0.15">
      <c r="A3807" s="93" t="s">
        <v>9575</v>
      </c>
      <c r="B3807" s="93" t="s">
        <v>9576</v>
      </c>
      <c r="C3807" s="410">
        <v>13.25</v>
      </c>
      <c r="D3807" s="93" t="s">
        <v>24</v>
      </c>
      <c r="E3807" s="93" t="s">
        <v>24</v>
      </c>
      <c r="F3807" s="93" t="s">
        <v>5661</v>
      </c>
      <c r="G3807" s="93" t="s">
        <v>9568</v>
      </c>
      <c r="H3807" s="93" t="s">
        <v>400</v>
      </c>
      <c r="I3807" s="93" t="s">
        <v>111</v>
      </c>
      <c r="J3807" s="93" t="s">
        <v>118</v>
      </c>
      <c r="K3807" s="93">
        <v>3</v>
      </c>
      <c r="L3807" s="93" t="s">
        <v>111</v>
      </c>
      <c r="M3807" s="93" t="s">
        <v>111</v>
      </c>
      <c r="N3807" s="93" t="s">
        <v>111</v>
      </c>
      <c r="O3807" s="93" t="s">
        <v>111</v>
      </c>
      <c r="P3807" s="93" t="s">
        <v>111</v>
      </c>
      <c r="Q3807" s="93" t="s">
        <v>111</v>
      </c>
      <c r="R3807" s="93" t="s">
        <v>228</v>
      </c>
      <c r="S3807" s="93" t="s">
        <v>2</v>
      </c>
      <c r="T3807" s="93" t="s">
        <v>115</v>
      </c>
      <c r="U3807" s="93" t="s">
        <v>116</v>
      </c>
      <c r="V3807" s="94">
        <v>44627.390277777777</v>
      </c>
      <c r="W3807" s="93" t="s">
        <v>1170</v>
      </c>
      <c r="X3807" s="93" t="s">
        <v>24</v>
      </c>
    </row>
    <row r="3808" spans="1:24" hidden="1" x14ac:dyDescent="0.15">
      <c r="A3808" s="93" t="s">
        <v>5718</v>
      </c>
      <c r="B3808" s="93" t="s">
        <v>5719</v>
      </c>
      <c r="C3808" s="410">
        <v>37.5</v>
      </c>
      <c r="D3808" s="93" t="s">
        <v>24</v>
      </c>
      <c r="E3808" s="93" t="s">
        <v>24</v>
      </c>
      <c r="F3808" s="93" t="s">
        <v>5661</v>
      </c>
      <c r="G3808" s="93" t="s">
        <v>9568</v>
      </c>
      <c r="H3808" s="93" t="s">
        <v>400</v>
      </c>
      <c r="I3808" s="93" t="s">
        <v>111</v>
      </c>
      <c r="J3808" s="93" t="s">
        <v>118</v>
      </c>
      <c r="K3808" s="93">
        <v>3</v>
      </c>
      <c r="L3808" s="93" t="s">
        <v>111</v>
      </c>
      <c r="M3808" s="93" t="s">
        <v>111</v>
      </c>
      <c r="N3808" s="93" t="s">
        <v>111</v>
      </c>
      <c r="O3808" s="93" t="s">
        <v>111</v>
      </c>
      <c r="P3808" s="93" t="s">
        <v>111</v>
      </c>
      <c r="Q3808" s="93" t="s">
        <v>111</v>
      </c>
      <c r="R3808" s="93" t="s">
        <v>111</v>
      </c>
      <c r="S3808" s="93" t="s">
        <v>2</v>
      </c>
      <c r="T3808" s="93" t="s">
        <v>115</v>
      </c>
      <c r="U3808" s="93" t="s">
        <v>116</v>
      </c>
      <c r="V3808" s="94">
        <v>44627.390277777777</v>
      </c>
      <c r="W3808" s="93" t="s">
        <v>1170</v>
      </c>
      <c r="X3808" s="93" t="s">
        <v>24</v>
      </c>
    </row>
    <row r="3809" spans="1:24" hidden="1" x14ac:dyDescent="0.15">
      <c r="A3809" s="93" t="s">
        <v>9577</v>
      </c>
      <c r="B3809" s="93" t="s">
        <v>9578</v>
      </c>
      <c r="C3809" s="410">
        <v>8.75</v>
      </c>
      <c r="D3809" s="93" t="s">
        <v>24</v>
      </c>
      <c r="E3809" s="93" t="s">
        <v>24</v>
      </c>
      <c r="F3809" s="93" t="s">
        <v>5661</v>
      </c>
      <c r="G3809" s="93" t="s">
        <v>9568</v>
      </c>
      <c r="H3809" s="93" t="s">
        <v>400</v>
      </c>
      <c r="I3809" s="93" t="s">
        <v>111</v>
      </c>
      <c r="J3809" s="93" t="s">
        <v>118</v>
      </c>
      <c r="K3809" s="93">
        <v>3</v>
      </c>
      <c r="L3809" s="93" t="s">
        <v>111</v>
      </c>
      <c r="M3809" s="93" t="s">
        <v>111</v>
      </c>
      <c r="N3809" s="93" t="s">
        <v>111</v>
      </c>
      <c r="O3809" s="93" t="s">
        <v>111</v>
      </c>
      <c r="P3809" s="93" t="s">
        <v>111</v>
      </c>
      <c r="Q3809" s="93" t="s">
        <v>111</v>
      </c>
      <c r="R3809" s="93" t="s">
        <v>228</v>
      </c>
      <c r="S3809" s="93" t="s">
        <v>2</v>
      </c>
      <c r="T3809" s="93" t="s">
        <v>115</v>
      </c>
      <c r="U3809" s="93" t="s">
        <v>116</v>
      </c>
      <c r="V3809" s="94">
        <v>44627.390277777777</v>
      </c>
      <c r="W3809" s="93" t="s">
        <v>1170</v>
      </c>
      <c r="X3809" s="93" t="s">
        <v>24</v>
      </c>
    </row>
    <row r="3810" spans="1:24" hidden="1" x14ac:dyDescent="0.15">
      <c r="A3810" s="93" t="s">
        <v>5720</v>
      </c>
      <c r="B3810" s="93" t="s">
        <v>5721</v>
      </c>
      <c r="C3810" s="410">
        <v>425</v>
      </c>
      <c r="D3810" s="93" t="s">
        <v>24</v>
      </c>
      <c r="E3810" s="93" t="s">
        <v>24</v>
      </c>
      <c r="F3810" s="93" t="s">
        <v>5661</v>
      </c>
      <c r="G3810" s="93" t="s">
        <v>9568</v>
      </c>
      <c r="H3810" s="93" t="s">
        <v>400</v>
      </c>
      <c r="I3810" s="93" t="s">
        <v>111</v>
      </c>
      <c r="J3810" s="93" t="s">
        <v>118</v>
      </c>
      <c r="K3810" s="93">
        <v>3</v>
      </c>
      <c r="L3810" s="93" t="s">
        <v>111</v>
      </c>
      <c r="M3810" s="93" t="s">
        <v>111</v>
      </c>
      <c r="N3810" s="93" t="s">
        <v>111</v>
      </c>
      <c r="O3810" s="93" t="s">
        <v>111</v>
      </c>
      <c r="P3810" s="93" t="s">
        <v>111</v>
      </c>
      <c r="Q3810" s="93" t="s">
        <v>111</v>
      </c>
      <c r="R3810" s="93" t="s">
        <v>111</v>
      </c>
      <c r="S3810" s="93" t="s">
        <v>2</v>
      </c>
      <c r="T3810" s="93" t="s">
        <v>115</v>
      </c>
      <c r="U3810" s="93" t="s">
        <v>116</v>
      </c>
      <c r="V3810" s="94">
        <v>44627.390277777777</v>
      </c>
      <c r="W3810" s="93" t="s">
        <v>1170</v>
      </c>
      <c r="X3810" s="93" t="s">
        <v>24</v>
      </c>
    </row>
    <row r="3811" spans="1:24" hidden="1" x14ac:dyDescent="0.15">
      <c r="A3811" s="93" t="s">
        <v>9579</v>
      </c>
      <c r="B3811" s="93" t="s">
        <v>9580</v>
      </c>
      <c r="C3811" s="410">
        <v>100</v>
      </c>
      <c r="D3811" s="93" t="s">
        <v>24</v>
      </c>
      <c r="E3811" s="93" t="s">
        <v>24</v>
      </c>
      <c r="F3811" s="93" t="s">
        <v>5661</v>
      </c>
      <c r="G3811" s="93" t="s">
        <v>9568</v>
      </c>
      <c r="H3811" s="93" t="s">
        <v>400</v>
      </c>
      <c r="I3811" s="93" t="s">
        <v>111</v>
      </c>
      <c r="J3811" s="93" t="s">
        <v>118</v>
      </c>
      <c r="K3811" s="93">
        <v>3</v>
      </c>
      <c r="L3811" s="93" t="s">
        <v>111</v>
      </c>
      <c r="M3811" s="93" t="s">
        <v>111</v>
      </c>
      <c r="N3811" s="93" t="s">
        <v>111</v>
      </c>
      <c r="O3811" s="93" t="s">
        <v>111</v>
      </c>
      <c r="P3811" s="93" t="s">
        <v>111</v>
      </c>
      <c r="Q3811" s="93" t="s">
        <v>111</v>
      </c>
      <c r="R3811" s="93" t="s">
        <v>228</v>
      </c>
      <c r="S3811" s="93" t="s">
        <v>2</v>
      </c>
      <c r="T3811" s="93" t="s">
        <v>115</v>
      </c>
      <c r="U3811" s="93" t="s">
        <v>116</v>
      </c>
      <c r="V3811" s="94">
        <v>44627.390277777777</v>
      </c>
      <c r="W3811" s="93" t="s">
        <v>1170</v>
      </c>
      <c r="X3811" s="93" t="s">
        <v>24</v>
      </c>
    </row>
    <row r="3812" spans="1:24" hidden="1" x14ac:dyDescent="0.15">
      <c r="A3812" s="93" t="s">
        <v>9581</v>
      </c>
      <c r="B3812" s="93" t="s">
        <v>9582</v>
      </c>
      <c r="C3812" s="410">
        <v>50</v>
      </c>
      <c r="D3812" s="93" t="s">
        <v>24</v>
      </c>
      <c r="E3812" s="93" t="s">
        <v>24</v>
      </c>
      <c r="F3812" s="93" t="s">
        <v>5661</v>
      </c>
      <c r="G3812" s="93" t="s">
        <v>9568</v>
      </c>
      <c r="H3812" s="93" t="s">
        <v>400</v>
      </c>
      <c r="I3812" s="93" t="s">
        <v>111</v>
      </c>
      <c r="J3812" s="93" t="s">
        <v>118</v>
      </c>
      <c r="K3812" s="93">
        <v>3</v>
      </c>
      <c r="L3812" s="93" t="s">
        <v>111</v>
      </c>
      <c r="M3812" s="93" t="s">
        <v>111</v>
      </c>
      <c r="N3812" s="93" t="s">
        <v>111</v>
      </c>
      <c r="O3812" s="93" t="s">
        <v>111</v>
      </c>
      <c r="P3812" s="93" t="s">
        <v>111</v>
      </c>
      <c r="Q3812" s="93" t="s">
        <v>111</v>
      </c>
      <c r="R3812" s="93" t="s">
        <v>228</v>
      </c>
      <c r="S3812" s="93" t="s">
        <v>2</v>
      </c>
      <c r="T3812" s="93" t="s">
        <v>115</v>
      </c>
      <c r="U3812" s="93" t="s">
        <v>116</v>
      </c>
      <c r="V3812" s="94">
        <v>44600.140277777777</v>
      </c>
      <c r="W3812" s="93" t="s">
        <v>1170</v>
      </c>
      <c r="X3812" s="93" t="s">
        <v>24</v>
      </c>
    </row>
    <row r="3813" spans="1:24" hidden="1" x14ac:dyDescent="0.15">
      <c r="A3813" s="93" t="s">
        <v>5722</v>
      </c>
      <c r="B3813" s="93" t="s">
        <v>5723</v>
      </c>
      <c r="C3813" s="410">
        <v>105</v>
      </c>
      <c r="D3813" s="93" t="s">
        <v>24</v>
      </c>
      <c r="E3813" s="93" t="s">
        <v>24</v>
      </c>
      <c r="F3813" s="93" t="s">
        <v>5661</v>
      </c>
      <c r="G3813" s="93" t="s">
        <v>8461</v>
      </c>
      <c r="H3813" s="93" t="s">
        <v>400</v>
      </c>
      <c r="I3813" s="93" t="s">
        <v>111</v>
      </c>
      <c r="J3813" s="93" t="s">
        <v>7105</v>
      </c>
      <c r="K3813" s="93" t="s">
        <v>111</v>
      </c>
      <c r="L3813" s="93" t="s">
        <v>111</v>
      </c>
      <c r="M3813" s="93" t="s">
        <v>111</v>
      </c>
      <c r="N3813" s="93" t="s">
        <v>111</v>
      </c>
      <c r="O3813" s="93" t="s">
        <v>111</v>
      </c>
      <c r="P3813" s="93" t="s">
        <v>111</v>
      </c>
      <c r="Q3813" s="93" t="s">
        <v>111</v>
      </c>
      <c r="R3813" s="93" t="s">
        <v>111</v>
      </c>
      <c r="S3813" s="93" t="s">
        <v>111</v>
      </c>
      <c r="T3813" s="93" t="s">
        <v>115</v>
      </c>
      <c r="U3813" s="93" t="s">
        <v>116</v>
      </c>
      <c r="V3813" s="94">
        <v>44588.21875</v>
      </c>
      <c r="W3813" s="93" t="s">
        <v>1170</v>
      </c>
      <c r="X3813" s="93" t="s">
        <v>24</v>
      </c>
    </row>
    <row r="3814" spans="1:24" hidden="1" x14ac:dyDescent="0.15">
      <c r="A3814" s="93" t="s">
        <v>5724</v>
      </c>
      <c r="B3814" s="93" t="s">
        <v>9583</v>
      </c>
      <c r="C3814" s="410">
        <v>100</v>
      </c>
      <c r="D3814" s="93" t="s">
        <v>24</v>
      </c>
      <c r="E3814" s="93" t="s">
        <v>24</v>
      </c>
      <c r="F3814" s="93" t="s">
        <v>5661</v>
      </c>
      <c r="G3814" s="93" t="s">
        <v>9568</v>
      </c>
      <c r="H3814" s="93" t="s">
        <v>400</v>
      </c>
      <c r="I3814" s="93" t="s">
        <v>111</v>
      </c>
      <c r="J3814" s="93" t="s">
        <v>118</v>
      </c>
      <c r="K3814" s="93">
        <v>3</v>
      </c>
      <c r="L3814" s="93" t="s">
        <v>111</v>
      </c>
      <c r="M3814" s="93" t="s">
        <v>111</v>
      </c>
      <c r="N3814" s="93" t="s">
        <v>111</v>
      </c>
      <c r="O3814" s="93" t="s">
        <v>111</v>
      </c>
      <c r="P3814" s="93" t="s">
        <v>111</v>
      </c>
      <c r="Q3814" s="93" t="s">
        <v>111</v>
      </c>
      <c r="R3814" s="93" t="s">
        <v>111</v>
      </c>
      <c r="S3814" s="93" t="s">
        <v>2</v>
      </c>
      <c r="T3814" s="93" t="s">
        <v>115</v>
      </c>
      <c r="U3814" s="93" t="s">
        <v>116</v>
      </c>
      <c r="V3814" s="94">
        <v>44627.390277777777</v>
      </c>
      <c r="W3814" s="93" t="s">
        <v>1170</v>
      </c>
      <c r="X3814" s="93" t="s">
        <v>24</v>
      </c>
    </row>
    <row r="3815" spans="1:24" hidden="1" x14ac:dyDescent="0.15">
      <c r="A3815" s="93" t="s">
        <v>5725</v>
      </c>
      <c r="B3815" s="93" t="s">
        <v>5726</v>
      </c>
      <c r="C3815" s="410">
        <v>690</v>
      </c>
      <c r="D3815" s="93" t="s">
        <v>24</v>
      </c>
      <c r="E3815" s="93" t="s">
        <v>24</v>
      </c>
      <c r="F3815" s="93" t="s">
        <v>399</v>
      </c>
      <c r="G3815" s="93" t="s">
        <v>8461</v>
      </c>
      <c r="H3815" s="93" t="s">
        <v>400</v>
      </c>
      <c r="I3815" s="93" t="s">
        <v>111</v>
      </c>
      <c r="J3815" s="93" t="s">
        <v>7105</v>
      </c>
      <c r="K3815" s="93" t="s">
        <v>111</v>
      </c>
      <c r="L3815" s="93" t="s">
        <v>111</v>
      </c>
      <c r="M3815" s="93" t="s">
        <v>111</v>
      </c>
      <c r="N3815" s="93" t="s">
        <v>111</v>
      </c>
      <c r="O3815" s="93" t="s">
        <v>111</v>
      </c>
      <c r="P3815" s="93" t="s">
        <v>111</v>
      </c>
      <c r="Q3815" s="93" t="s">
        <v>111</v>
      </c>
      <c r="R3815" s="93" t="s">
        <v>111</v>
      </c>
      <c r="S3815" s="93" t="s">
        <v>111</v>
      </c>
      <c r="T3815" s="93" t="s">
        <v>115</v>
      </c>
      <c r="U3815" s="93" t="s">
        <v>116</v>
      </c>
      <c r="V3815" s="94">
        <v>44588.154861111114</v>
      </c>
      <c r="W3815" s="93" t="s">
        <v>1207</v>
      </c>
      <c r="X3815" s="93" t="s">
        <v>24</v>
      </c>
    </row>
    <row r="3816" spans="1:24" hidden="1" x14ac:dyDescent="0.15">
      <c r="A3816" s="93" t="s">
        <v>5727</v>
      </c>
      <c r="B3816" s="93" t="s">
        <v>5728</v>
      </c>
      <c r="C3816" s="410">
        <v>590</v>
      </c>
      <c r="D3816" s="93" t="s">
        <v>24</v>
      </c>
      <c r="E3816" s="93" t="s">
        <v>24</v>
      </c>
      <c r="F3816" s="93" t="s">
        <v>399</v>
      </c>
      <c r="G3816" s="93" t="s">
        <v>8461</v>
      </c>
      <c r="H3816" s="93" t="s">
        <v>400</v>
      </c>
      <c r="I3816" s="93" t="s">
        <v>111</v>
      </c>
      <c r="J3816" s="93" t="s">
        <v>7105</v>
      </c>
      <c r="K3816" s="93" t="s">
        <v>111</v>
      </c>
      <c r="L3816" s="93" t="s">
        <v>111</v>
      </c>
      <c r="M3816" s="93" t="s">
        <v>111</v>
      </c>
      <c r="N3816" s="93" t="s">
        <v>111</v>
      </c>
      <c r="O3816" s="93" t="s">
        <v>111</v>
      </c>
      <c r="P3816" s="93" t="s">
        <v>111</v>
      </c>
      <c r="Q3816" s="93" t="s">
        <v>111</v>
      </c>
      <c r="R3816" s="93" t="s">
        <v>111</v>
      </c>
      <c r="S3816" s="93" t="s">
        <v>111</v>
      </c>
      <c r="T3816" s="93" t="s">
        <v>115</v>
      </c>
      <c r="U3816" s="93" t="s">
        <v>116</v>
      </c>
      <c r="V3816" s="94">
        <v>44588.154861111114</v>
      </c>
      <c r="W3816" s="93" t="s">
        <v>1207</v>
      </c>
      <c r="X3816" s="93" t="s">
        <v>24</v>
      </c>
    </row>
    <row r="3817" spans="1:24" hidden="1" x14ac:dyDescent="0.15">
      <c r="A3817" s="93" t="s">
        <v>5729</v>
      </c>
      <c r="B3817" s="93" t="s">
        <v>5730</v>
      </c>
      <c r="C3817" s="410">
        <v>550</v>
      </c>
      <c r="D3817" s="93" t="s">
        <v>24</v>
      </c>
      <c r="E3817" s="93" t="s">
        <v>24</v>
      </c>
      <c r="F3817" s="93" t="s">
        <v>399</v>
      </c>
      <c r="G3817" s="93" t="s">
        <v>8461</v>
      </c>
      <c r="H3817" s="93" t="s">
        <v>400</v>
      </c>
      <c r="I3817" s="93" t="s">
        <v>111</v>
      </c>
      <c r="J3817" s="93" t="s">
        <v>7105</v>
      </c>
      <c r="K3817" s="93" t="s">
        <v>111</v>
      </c>
      <c r="L3817" s="93" t="s">
        <v>111</v>
      </c>
      <c r="M3817" s="93" t="s">
        <v>111</v>
      </c>
      <c r="N3817" s="93" t="s">
        <v>111</v>
      </c>
      <c r="O3817" s="93" t="s">
        <v>111</v>
      </c>
      <c r="P3817" s="93" t="s">
        <v>111</v>
      </c>
      <c r="Q3817" s="93" t="s">
        <v>111</v>
      </c>
      <c r="R3817" s="93" t="s">
        <v>111</v>
      </c>
      <c r="S3817" s="93" t="s">
        <v>111</v>
      </c>
      <c r="T3817" s="93" t="s">
        <v>115</v>
      </c>
      <c r="U3817" s="93" t="s">
        <v>116</v>
      </c>
      <c r="V3817" s="94">
        <v>44588.154861111114</v>
      </c>
      <c r="W3817" s="93" t="s">
        <v>1207</v>
      </c>
      <c r="X3817" s="93" t="s">
        <v>24</v>
      </c>
    </row>
    <row r="3818" spans="1:24" hidden="1" x14ac:dyDescent="0.15">
      <c r="A3818" s="93" t="s">
        <v>5731</v>
      </c>
      <c r="B3818" s="93" t="s">
        <v>5732</v>
      </c>
      <c r="C3818" s="410">
        <v>520</v>
      </c>
      <c r="D3818" s="93" t="s">
        <v>24</v>
      </c>
      <c r="E3818" s="93" t="s">
        <v>24</v>
      </c>
      <c r="F3818" s="93" t="s">
        <v>399</v>
      </c>
      <c r="G3818" s="93" t="s">
        <v>8461</v>
      </c>
      <c r="H3818" s="93" t="s">
        <v>400</v>
      </c>
      <c r="I3818" s="93" t="s">
        <v>111</v>
      </c>
      <c r="J3818" s="93" t="s">
        <v>7105</v>
      </c>
      <c r="K3818" s="93" t="s">
        <v>111</v>
      </c>
      <c r="L3818" s="93" t="s">
        <v>111</v>
      </c>
      <c r="M3818" s="93" t="s">
        <v>111</v>
      </c>
      <c r="N3818" s="93" t="s">
        <v>111</v>
      </c>
      <c r="O3818" s="93" t="s">
        <v>111</v>
      </c>
      <c r="P3818" s="93" t="s">
        <v>111</v>
      </c>
      <c r="Q3818" s="93" t="s">
        <v>111</v>
      </c>
      <c r="R3818" s="93" t="s">
        <v>111</v>
      </c>
      <c r="S3818" s="93" t="s">
        <v>111</v>
      </c>
      <c r="T3818" s="93" t="s">
        <v>115</v>
      </c>
      <c r="U3818" s="93" t="s">
        <v>116</v>
      </c>
      <c r="V3818" s="94">
        <v>44588.154861111114</v>
      </c>
      <c r="W3818" s="93" t="s">
        <v>1207</v>
      </c>
      <c r="X3818" s="93" t="s">
        <v>24</v>
      </c>
    </row>
    <row r="3819" spans="1:24" hidden="1" x14ac:dyDescent="0.15">
      <c r="A3819" s="93" t="s">
        <v>5733</v>
      </c>
      <c r="B3819" s="93" t="s">
        <v>5734</v>
      </c>
      <c r="C3819" s="410">
        <v>490</v>
      </c>
      <c r="D3819" s="93" t="s">
        <v>24</v>
      </c>
      <c r="E3819" s="93" t="s">
        <v>24</v>
      </c>
      <c r="F3819" s="93" t="s">
        <v>399</v>
      </c>
      <c r="G3819" s="93" t="s">
        <v>8461</v>
      </c>
      <c r="H3819" s="93" t="s">
        <v>400</v>
      </c>
      <c r="I3819" s="93" t="s">
        <v>111</v>
      </c>
      <c r="J3819" s="93" t="s">
        <v>7105</v>
      </c>
      <c r="K3819" s="93" t="s">
        <v>111</v>
      </c>
      <c r="L3819" s="93" t="s">
        <v>111</v>
      </c>
      <c r="M3819" s="93" t="s">
        <v>111</v>
      </c>
      <c r="N3819" s="93" t="s">
        <v>111</v>
      </c>
      <c r="O3819" s="93" t="s">
        <v>111</v>
      </c>
      <c r="P3819" s="93" t="s">
        <v>111</v>
      </c>
      <c r="Q3819" s="93" t="s">
        <v>111</v>
      </c>
      <c r="R3819" s="93" t="s">
        <v>111</v>
      </c>
      <c r="S3819" s="93" t="s">
        <v>111</v>
      </c>
      <c r="T3819" s="93" t="s">
        <v>115</v>
      </c>
      <c r="U3819" s="93" t="s">
        <v>116</v>
      </c>
      <c r="V3819" s="94">
        <v>44588.154861111114</v>
      </c>
      <c r="W3819" s="93" t="s">
        <v>1207</v>
      </c>
      <c r="X3819" s="93" t="s">
        <v>24</v>
      </c>
    </row>
    <row r="3820" spans="1:24" hidden="1" x14ac:dyDescent="0.15">
      <c r="A3820" s="93" t="s">
        <v>5735</v>
      </c>
      <c r="B3820" s="93" t="s">
        <v>5736</v>
      </c>
      <c r="C3820" s="410">
        <v>495</v>
      </c>
      <c r="D3820" s="93" t="s">
        <v>24</v>
      </c>
      <c r="E3820" s="93" t="s">
        <v>24</v>
      </c>
      <c r="F3820" s="93" t="s">
        <v>399</v>
      </c>
      <c r="G3820" s="93" t="s">
        <v>8461</v>
      </c>
      <c r="H3820" s="93" t="s">
        <v>400</v>
      </c>
      <c r="I3820" s="93" t="s">
        <v>111</v>
      </c>
      <c r="J3820" s="93" t="s">
        <v>7105</v>
      </c>
      <c r="K3820" s="93" t="s">
        <v>111</v>
      </c>
      <c r="L3820" s="93" t="s">
        <v>111</v>
      </c>
      <c r="M3820" s="93" t="s">
        <v>111</v>
      </c>
      <c r="N3820" s="93" t="s">
        <v>111</v>
      </c>
      <c r="O3820" s="93" t="s">
        <v>111</v>
      </c>
      <c r="P3820" s="93" t="s">
        <v>111</v>
      </c>
      <c r="Q3820" s="93" t="s">
        <v>111</v>
      </c>
      <c r="R3820" s="93" t="s">
        <v>111</v>
      </c>
      <c r="S3820" s="93" t="s">
        <v>111</v>
      </c>
      <c r="T3820" s="93" t="s">
        <v>115</v>
      </c>
      <c r="U3820" s="93" t="s">
        <v>116</v>
      </c>
      <c r="V3820" s="94">
        <v>44588.154861111114</v>
      </c>
      <c r="W3820" s="93" t="s">
        <v>5668</v>
      </c>
      <c r="X3820" s="93" t="s">
        <v>24</v>
      </c>
    </row>
    <row r="3821" spans="1:24" hidden="1" x14ac:dyDescent="0.15">
      <c r="A3821" s="93" t="s">
        <v>5737</v>
      </c>
      <c r="B3821" s="93" t="s">
        <v>5738</v>
      </c>
      <c r="C3821" s="410">
        <v>425</v>
      </c>
      <c r="D3821" s="93" t="s">
        <v>24</v>
      </c>
      <c r="E3821" s="93" t="s">
        <v>24</v>
      </c>
      <c r="F3821" s="93" t="s">
        <v>399</v>
      </c>
      <c r="G3821" s="93" t="s">
        <v>8461</v>
      </c>
      <c r="H3821" s="93" t="s">
        <v>400</v>
      </c>
      <c r="I3821" s="93" t="s">
        <v>111</v>
      </c>
      <c r="J3821" s="93" t="s">
        <v>7105</v>
      </c>
      <c r="K3821" s="93" t="s">
        <v>111</v>
      </c>
      <c r="L3821" s="93" t="s">
        <v>111</v>
      </c>
      <c r="M3821" s="93" t="s">
        <v>111</v>
      </c>
      <c r="N3821" s="93" t="s">
        <v>111</v>
      </c>
      <c r="O3821" s="93" t="s">
        <v>111</v>
      </c>
      <c r="P3821" s="93" t="s">
        <v>111</v>
      </c>
      <c r="Q3821" s="93" t="s">
        <v>111</v>
      </c>
      <c r="R3821" s="93" t="s">
        <v>111</v>
      </c>
      <c r="S3821" s="93" t="s">
        <v>111</v>
      </c>
      <c r="T3821" s="93" t="s">
        <v>115</v>
      </c>
      <c r="U3821" s="93" t="s">
        <v>116</v>
      </c>
      <c r="V3821" s="94">
        <v>44588.154861111114</v>
      </c>
      <c r="W3821" s="93" t="s">
        <v>5668</v>
      </c>
      <c r="X3821" s="93" t="s">
        <v>24</v>
      </c>
    </row>
    <row r="3822" spans="1:24" hidden="1" x14ac:dyDescent="0.15">
      <c r="A3822" s="93" t="s">
        <v>5739</v>
      </c>
      <c r="B3822" s="93" t="s">
        <v>5740</v>
      </c>
      <c r="C3822" s="410">
        <v>400</v>
      </c>
      <c r="D3822" s="93" t="s">
        <v>24</v>
      </c>
      <c r="E3822" s="93" t="s">
        <v>24</v>
      </c>
      <c r="F3822" s="93" t="s">
        <v>399</v>
      </c>
      <c r="G3822" s="93" t="s">
        <v>8461</v>
      </c>
      <c r="H3822" s="93" t="s">
        <v>400</v>
      </c>
      <c r="I3822" s="93" t="s">
        <v>111</v>
      </c>
      <c r="J3822" s="93" t="s">
        <v>7105</v>
      </c>
      <c r="K3822" s="93" t="s">
        <v>111</v>
      </c>
      <c r="L3822" s="93" t="s">
        <v>111</v>
      </c>
      <c r="M3822" s="93" t="s">
        <v>111</v>
      </c>
      <c r="N3822" s="93" t="s">
        <v>111</v>
      </c>
      <c r="O3822" s="93" t="s">
        <v>111</v>
      </c>
      <c r="P3822" s="93" t="s">
        <v>111</v>
      </c>
      <c r="Q3822" s="93" t="s">
        <v>111</v>
      </c>
      <c r="R3822" s="93" t="s">
        <v>111</v>
      </c>
      <c r="S3822" s="93" t="s">
        <v>111</v>
      </c>
      <c r="T3822" s="93" t="s">
        <v>115</v>
      </c>
      <c r="U3822" s="93" t="s">
        <v>116</v>
      </c>
      <c r="V3822" s="94">
        <v>44588.154861111114</v>
      </c>
      <c r="W3822" s="93" t="s">
        <v>5668</v>
      </c>
      <c r="X3822" s="93" t="s">
        <v>24</v>
      </c>
    </row>
    <row r="3823" spans="1:24" hidden="1" x14ac:dyDescent="0.15">
      <c r="A3823" s="93" t="s">
        <v>5741</v>
      </c>
      <c r="B3823" s="93" t="s">
        <v>5742</v>
      </c>
      <c r="C3823" s="410">
        <v>375</v>
      </c>
      <c r="D3823" s="93" t="s">
        <v>24</v>
      </c>
      <c r="E3823" s="93" t="s">
        <v>24</v>
      </c>
      <c r="F3823" s="93" t="s">
        <v>399</v>
      </c>
      <c r="G3823" s="93" t="s">
        <v>8461</v>
      </c>
      <c r="H3823" s="93" t="s">
        <v>400</v>
      </c>
      <c r="I3823" s="93" t="s">
        <v>111</v>
      </c>
      <c r="J3823" s="93" t="s">
        <v>7105</v>
      </c>
      <c r="K3823" s="93" t="s">
        <v>111</v>
      </c>
      <c r="L3823" s="93" t="s">
        <v>111</v>
      </c>
      <c r="M3823" s="93" t="s">
        <v>111</v>
      </c>
      <c r="N3823" s="93" t="s">
        <v>111</v>
      </c>
      <c r="O3823" s="93" t="s">
        <v>111</v>
      </c>
      <c r="P3823" s="93" t="s">
        <v>111</v>
      </c>
      <c r="Q3823" s="93" t="s">
        <v>111</v>
      </c>
      <c r="R3823" s="93" t="s">
        <v>111</v>
      </c>
      <c r="S3823" s="93" t="s">
        <v>111</v>
      </c>
      <c r="T3823" s="93" t="s">
        <v>115</v>
      </c>
      <c r="U3823" s="93" t="s">
        <v>116</v>
      </c>
      <c r="V3823" s="94">
        <v>44588.154861111114</v>
      </c>
      <c r="W3823" s="93" t="s">
        <v>5668</v>
      </c>
      <c r="X3823" s="93" t="s">
        <v>24</v>
      </c>
    </row>
    <row r="3824" spans="1:24" hidden="1" x14ac:dyDescent="0.15">
      <c r="A3824" s="93" t="s">
        <v>5743</v>
      </c>
      <c r="B3824" s="93" t="s">
        <v>5744</v>
      </c>
      <c r="C3824" s="410">
        <v>350</v>
      </c>
      <c r="D3824" s="93" t="s">
        <v>24</v>
      </c>
      <c r="E3824" s="93" t="s">
        <v>24</v>
      </c>
      <c r="F3824" s="93" t="s">
        <v>399</v>
      </c>
      <c r="G3824" s="93" t="s">
        <v>8461</v>
      </c>
      <c r="H3824" s="93" t="s">
        <v>400</v>
      </c>
      <c r="I3824" s="93" t="s">
        <v>111</v>
      </c>
      <c r="J3824" s="93" t="s">
        <v>7105</v>
      </c>
      <c r="K3824" s="93" t="s">
        <v>111</v>
      </c>
      <c r="L3824" s="93" t="s">
        <v>111</v>
      </c>
      <c r="M3824" s="93" t="s">
        <v>111</v>
      </c>
      <c r="N3824" s="93" t="s">
        <v>111</v>
      </c>
      <c r="O3824" s="93" t="s">
        <v>111</v>
      </c>
      <c r="P3824" s="93" t="s">
        <v>111</v>
      </c>
      <c r="Q3824" s="93" t="s">
        <v>111</v>
      </c>
      <c r="R3824" s="93" t="s">
        <v>111</v>
      </c>
      <c r="S3824" s="93" t="s">
        <v>111</v>
      </c>
      <c r="T3824" s="93" t="s">
        <v>115</v>
      </c>
      <c r="U3824" s="93" t="s">
        <v>116</v>
      </c>
      <c r="V3824" s="94">
        <v>44588.263194444444</v>
      </c>
      <c r="W3824" s="93" t="s">
        <v>5668</v>
      </c>
      <c r="X3824" s="93" t="s">
        <v>24</v>
      </c>
    </row>
    <row r="3825" spans="1:24" hidden="1" x14ac:dyDescent="0.15">
      <c r="A3825" s="93" t="s">
        <v>5745</v>
      </c>
      <c r="B3825" s="93" t="s">
        <v>5746</v>
      </c>
      <c r="C3825" s="410">
        <v>550</v>
      </c>
      <c r="D3825" s="93" t="s">
        <v>24</v>
      </c>
      <c r="E3825" s="93" t="s">
        <v>24</v>
      </c>
      <c r="F3825" s="93" t="s">
        <v>399</v>
      </c>
      <c r="G3825" s="93" t="s">
        <v>8461</v>
      </c>
      <c r="H3825" s="93" t="s">
        <v>400</v>
      </c>
      <c r="I3825" s="93" t="s">
        <v>111</v>
      </c>
      <c r="J3825" s="93" t="s">
        <v>7105</v>
      </c>
      <c r="K3825" s="93" t="s">
        <v>111</v>
      </c>
      <c r="L3825" s="93" t="s">
        <v>111</v>
      </c>
      <c r="M3825" s="93" t="s">
        <v>111</v>
      </c>
      <c r="N3825" s="93" t="s">
        <v>111</v>
      </c>
      <c r="O3825" s="93" t="s">
        <v>111</v>
      </c>
      <c r="P3825" s="93" t="s">
        <v>111</v>
      </c>
      <c r="Q3825" s="93" t="s">
        <v>111</v>
      </c>
      <c r="R3825" s="93" t="s">
        <v>111</v>
      </c>
      <c r="S3825" s="93" t="s">
        <v>111</v>
      </c>
      <c r="T3825" s="93" t="s">
        <v>115</v>
      </c>
      <c r="U3825" s="93" t="s">
        <v>116</v>
      </c>
      <c r="V3825" s="94">
        <v>44588.263194444444</v>
      </c>
      <c r="W3825" s="93" t="s">
        <v>1207</v>
      </c>
      <c r="X3825" s="93" t="s">
        <v>24</v>
      </c>
    </row>
    <row r="3826" spans="1:24" hidden="1" x14ac:dyDescent="0.15">
      <c r="A3826" s="93" t="s">
        <v>5747</v>
      </c>
      <c r="B3826" s="93" t="s">
        <v>5748</v>
      </c>
      <c r="C3826" s="410">
        <v>790</v>
      </c>
      <c r="D3826" s="93" t="s">
        <v>24</v>
      </c>
      <c r="E3826" s="93" t="s">
        <v>24</v>
      </c>
      <c r="F3826" s="93" t="s">
        <v>399</v>
      </c>
      <c r="G3826" s="93" t="s">
        <v>8461</v>
      </c>
      <c r="H3826" s="93" t="s">
        <v>400</v>
      </c>
      <c r="I3826" s="93" t="s">
        <v>111</v>
      </c>
      <c r="J3826" s="93" t="s">
        <v>7105</v>
      </c>
      <c r="K3826" s="93" t="s">
        <v>111</v>
      </c>
      <c r="L3826" s="93" t="s">
        <v>111</v>
      </c>
      <c r="M3826" s="93" t="s">
        <v>111</v>
      </c>
      <c r="N3826" s="93" t="s">
        <v>111</v>
      </c>
      <c r="O3826" s="93" t="s">
        <v>111</v>
      </c>
      <c r="P3826" s="93" t="s">
        <v>111</v>
      </c>
      <c r="Q3826" s="93" t="s">
        <v>111</v>
      </c>
      <c r="R3826" s="93" t="s">
        <v>111</v>
      </c>
      <c r="S3826" s="93" t="s">
        <v>111</v>
      </c>
      <c r="T3826" s="93" t="s">
        <v>115</v>
      </c>
      <c r="U3826" s="93" t="s">
        <v>116</v>
      </c>
      <c r="V3826" s="94">
        <v>44588.263194444444</v>
      </c>
      <c r="W3826" s="93" t="s">
        <v>1170</v>
      </c>
      <c r="X3826" s="93" t="s">
        <v>24</v>
      </c>
    </row>
    <row r="3827" spans="1:24" hidden="1" x14ac:dyDescent="0.15">
      <c r="A3827" s="93" t="s">
        <v>5749</v>
      </c>
      <c r="B3827" s="93" t="s">
        <v>5750</v>
      </c>
      <c r="C3827" s="410">
        <v>1190</v>
      </c>
      <c r="D3827" s="93" t="s">
        <v>24</v>
      </c>
      <c r="E3827" s="93" t="s">
        <v>24</v>
      </c>
      <c r="F3827" s="93" t="s">
        <v>399</v>
      </c>
      <c r="G3827" s="93" t="s">
        <v>8461</v>
      </c>
      <c r="H3827" s="93" t="s">
        <v>400</v>
      </c>
      <c r="I3827" s="93" t="s">
        <v>111</v>
      </c>
      <c r="J3827" s="93" t="s">
        <v>7105</v>
      </c>
      <c r="K3827" s="93" t="s">
        <v>111</v>
      </c>
      <c r="L3827" s="93" t="s">
        <v>111</v>
      </c>
      <c r="M3827" s="93" t="s">
        <v>111</v>
      </c>
      <c r="N3827" s="93" t="s">
        <v>111</v>
      </c>
      <c r="O3827" s="93" t="s">
        <v>111</v>
      </c>
      <c r="P3827" s="93" t="s">
        <v>111</v>
      </c>
      <c r="Q3827" s="93" t="s">
        <v>111</v>
      </c>
      <c r="R3827" s="93" t="s">
        <v>111</v>
      </c>
      <c r="S3827" s="93" t="s">
        <v>111</v>
      </c>
      <c r="T3827" s="93" t="s">
        <v>115</v>
      </c>
      <c r="U3827" s="93" t="s">
        <v>116</v>
      </c>
      <c r="V3827" s="94">
        <v>44588.263194444444</v>
      </c>
      <c r="W3827" s="93" t="s">
        <v>1170</v>
      </c>
      <c r="X3827" s="93" t="s">
        <v>24</v>
      </c>
    </row>
    <row r="3828" spans="1:24" hidden="1" x14ac:dyDescent="0.15">
      <c r="A3828" s="93" t="s">
        <v>5751</v>
      </c>
      <c r="B3828" s="93" t="s">
        <v>5752</v>
      </c>
      <c r="C3828" s="410">
        <v>1590</v>
      </c>
      <c r="D3828" s="93" t="s">
        <v>24</v>
      </c>
      <c r="E3828" s="93" t="s">
        <v>24</v>
      </c>
      <c r="F3828" s="93" t="s">
        <v>399</v>
      </c>
      <c r="G3828" s="93" t="s">
        <v>8461</v>
      </c>
      <c r="H3828" s="93" t="s">
        <v>400</v>
      </c>
      <c r="I3828" s="93" t="s">
        <v>111</v>
      </c>
      <c r="J3828" s="93" t="s">
        <v>7105</v>
      </c>
      <c r="K3828" s="93" t="s">
        <v>111</v>
      </c>
      <c r="L3828" s="93" t="s">
        <v>111</v>
      </c>
      <c r="M3828" s="93" t="s">
        <v>111</v>
      </c>
      <c r="N3828" s="93" t="s">
        <v>111</v>
      </c>
      <c r="O3828" s="93" t="s">
        <v>111</v>
      </c>
      <c r="P3828" s="93" t="s">
        <v>111</v>
      </c>
      <c r="Q3828" s="93" t="s">
        <v>111</v>
      </c>
      <c r="R3828" s="93" t="s">
        <v>111</v>
      </c>
      <c r="S3828" s="93" t="s">
        <v>111</v>
      </c>
      <c r="T3828" s="93" t="s">
        <v>115</v>
      </c>
      <c r="U3828" s="93" t="s">
        <v>116</v>
      </c>
      <c r="V3828" s="94">
        <v>44588.263888888891</v>
      </c>
      <c r="W3828" s="93" t="s">
        <v>1170</v>
      </c>
      <c r="X3828" s="93" t="s">
        <v>24</v>
      </c>
    </row>
    <row r="3829" spans="1:24" hidden="1" x14ac:dyDescent="0.15">
      <c r="A3829" s="93" t="s">
        <v>5753</v>
      </c>
      <c r="B3829" s="93" t="s">
        <v>5754</v>
      </c>
      <c r="C3829" s="410">
        <v>1990</v>
      </c>
      <c r="D3829" s="93" t="s">
        <v>24</v>
      </c>
      <c r="E3829" s="93" t="s">
        <v>24</v>
      </c>
      <c r="F3829" s="93" t="s">
        <v>399</v>
      </c>
      <c r="G3829" s="93" t="s">
        <v>8461</v>
      </c>
      <c r="H3829" s="93" t="s">
        <v>400</v>
      </c>
      <c r="I3829" s="93" t="s">
        <v>111</v>
      </c>
      <c r="J3829" s="93" t="s">
        <v>7105</v>
      </c>
      <c r="K3829" s="93" t="s">
        <v>111</v>
      </c>
      <c r="L3829" s="93" t="s">
        <v>111</v>
      </c>
      <c r="M3829" s="93" t="s">
        <v>111</v>
      </c>
      <c r="N3829" s="93" t="s">
        <v>111</v>
      </c>
      <c r="O3829" s="93" t="s">
        <v>111</v>
      </c>
      <c r="P3829" s="93" t="s">
        <v>111</v>
      </c>
      <c r="Q3829" s="93" t="s">
        <v>111</v>
      </c>
      <c r="R3829" s="93" t="s">
        <v>111</v>
      </c>
      <c r="S3829" s="93" t="s">
        <v>111</v>
      </c>
      <c r="T3829" s="93" t="s">
        <v>115</v>
      </c>
      <c r="U3829" s="93" t="s">
        <v>116</v>
      </c>
      <c r="V3829" s="94">
        <v>44588.263888888891</v>
      </c>
      <c r="W3829" s="93" t="s">
        <v>1170</v>
      </c>
      <c r="X3829" s="93" t="s">
        <v>24</v>
      </c>
    </row>
    <row r="3830" spans="1:24" hidden="1" x14ac:dyDescent="0.15">
      <c r="A3830" s="93" t="s">
        <v>5755</v>
      </c>
      <c r="B3830" s="93" t="s">
        <v>5756</v>
      </c>
      <c r="C3830" s="410">
        <v>250</v>
      </c>
      <c r="D3830" s="93" t="s">
        <v>24</v>
      </c>
      <c r="E3830" s="93" t="s">
        <v>24</v>
      </c>
      <c r="F3830" s="93" t="s">
        <v>399</v>
      </c>
      <c r="G3830" s="93" t="s">
        <v>8461</v>
      </c>
      <c r="H3830" s="93" t="s">
        <v>400</v>
      </c>
      <c r="I3830" s="93" t="s">
        <v>111</v>
      </c>
      <c r="J3830" s="93" t="s">
        <v>7105</v>
      </c>
      <c r="K3830" s="93" t="s">
        <v>111</v>
      </c>
      <c r="L3830" s="93" t="s">
        <v>111</v>
      </c>
      <c r="M3830" s="93" t="s">
        <v>111</v>
      </c>
      <c r="N3830" s="93" t="s">
        <v>111</v>
      </c>
      <c r="O3830" s="93" t="s">
        <v>111</v>
      </c>
      <c r="P3830" s="93" t="s">
        <v>111</v>
      </c>
      <c r="Q3830" s="93" t="s">
        <v>111</v>
      </c>
      <c r="R3830" s="93" t="s">
        <v>111</v>
      </c>
      <c r="S3830" s="93" t="s">
        <v>111</v>
      </c>
      <c r="T3830" s="93" t="s">
        <v>115</v>
      </c>
      <c r="U3830" s="93" t="s">
        <v>116</v>
      </c>
      <c r="V3830" s="94">
        <v>44588.263888888891</v>
      </c>
      <c r="W3830" s="93" t="s">
        <v>1207</v>
      </c>
      <c r="X3830" s="93" t="s">
        <v>24</v>
      </c>
    </row>
    <row r="3831" spans="1:24" hidden="1" x14ac:dyDescent="0.15">
      <c r="A3831" s="93" t="s">
        <v>5757</v>
      </c>
      <c r="B3831" s="93" t="s">
        <v>5758</v>
      </c>
      <c r="C3831" s="410">
        <v>100</v>
      </c>
      <c r="D3831" s="93" t="s">
        <v>24</v>
      </c>
      <c r="E3831" s="93" t="s">
        <v>24</v>
      </c>
      <c r="F3831" s="93" t="s">
        <v>399</v>
      </c>
      <c r="G3831" s="93" t="s">
        <v>8461</v>
      </c>
      <c r="H3831" s="93" t="s">
        <v>400</v>
      </c>
      <c r="I3831" s="93" t="s">
        <v>111</v>
      </c>
      <c r="J3831" s="93" t="s">
        <v>7105</v>
      </c>
      <c r="K3831" s="93" t="s">
        <v>111</v>
      </c>
      <c r="L3831" s="93" t="s">
        <v>111</v>
      </c>
      <c r="M3831" s="93" t="s">
        <v>111</v>
      </c>
      <c r="N3831" s="93" t="s">
        <v>111</v>
      </c>
      <c r="O3831" s="93" t="s">
        <v>111</v>
      </c>
      <c r="P3831" s="93" t="s">
        <v>111</v>
      </c>
      <c r="Q3831" s="93" t="s">
        <v>111</v>
      </c>
      <c r="R3831" s="93" t="s">
        <v>111</v>
      </c>
      <c r="S3831" s="93" t="s">
        <v>111</v>
      </c>
      <c r="T3831" s="93" t="s">
        <v>115</v>
      </c>
      <c r="U3831" s="93" t="s">
        <v>116</v>
      </c>
      <c r="V3831" s="94">
        <v>44588.263888888891</v>
      </c>
      <c r="W3831" s="93" t="s">
        <v>5668</v>
      </c>
      <c r="X3831" s="93" t="s">
        <v>24</v>
      </c>
    </row>
    <row r="3832" spans="1:24" hidden="1" x14ac:dyDescent="0.15">
      <c r="A3832" s="93" t="s">
        <v>5759</v>
      </c>
      <c r="B3832" s="93" t="s">
        <v>5760</v>
      </c>
      <c r="C3832" s="410">
        <v>1</v>
      </c>
      <c r="D3832" s="93" t="s">
        <v>24</v>
      </c>
      <c r="E3832" s="93" t="s">
        <v>24</v>
      </c>
      <c r="F3832" s="93" t="s">
        <v>399</v>
      </c>
      <c r="G3832" s="93" t="s">
        <v>9584</v>
      </c>
      <c r="H3832" s="93" t="s">
        <v>400</v>
      </c>
      <c r="I3832" s="93" t="s">
        <v>111</v>
      </c>
      <c r="J3832" s="93" t="s">
        <v>7105</v>
      </c>
      <c r="K3832" s="93" t="s">
        <v>111</v>
      </c>
      <c r="L3832" s="93" t="s">
        <v>111</v>
      </c>
      <c r="M3832" s="93" t="s">
        <v>111</v>
      </c>
      <c r="N3832" s="93" t="s">
        <v>111</v>
      </c>
      <c r="O3832" s="93" t="s">
        <v>111</v>
      </c>
      <c r="P3832" s="93" t="s">
        <v>111</v>
      </c>
      <c r="Q3832" s="93" t="s">
        <v>111</v>
      </c>
      <c r="R3832" s="93" t="s">
        <v>111</v>
      </c>
      <c r="S3832" s="93" t="s">
        <v>111</v>
      </c>
      <c r="T3832" s="93" t="s">
        <v>115</v>
      </c>
      <c r="U3832" s="93" t="s">
        <v>116</v>
      </c>
      <c r="V3832" s="94">
        <v>44588.263888888891</v>
      </c>
      <c r="W3832" s="93" t="s">
        <v>1216</v>
      </c>
      <c r="X3832" s="93" t="s">
        <v>24</v>
      </c>
    </row>
    <row r="3833" spans="1:24" hidden="1" x14ac:dyDescent="0.15">
      <c r="A3833" s="93" t="s">
        <v>8462</v>
      </c>
      <c r="B3833" s="93" t="s">
        <v>8463</v>
      </c>
      <c r="C3833" s="410">
        <v>2580</v>
      </c>
      <c r="D3833" s="93" t="s">
        <v>24</v>
      </c>
      <c r="E3833" s="93" t="s">
        <v>24</v>
      </c>
      <c r="F3833" s="93" t="s">
        <v>399</v>
      </c>
      <c r="G3833" s="93" t="s">
        <v>8461</v>
      </c>
      <c r="H3833" s="93" t="s">
        <v>400</v>
      </c>
      <c r="I3833" s="93" t="s">
        <v>111</v>
      </c>
      <c r="J3833" s="93" t="s">
        <v>7105</v>
      </c>
      <c r="K3833" s="93" t="s">
        <v>111</v>
      </c>
      <c r="L3833" s="93" t="s">
        <v>111</v>
      </c>
      <c r="M3833" s="93" t="s">
        <v>111</v>
      </c>
      <c r="N3833" s="93" t="s">
        <v>111</v>
      </c>
      <c r="O3833" s="93" t="s">
        <v>111</v>
      </c>
      <c r="P3833" s="93" t="s">
        <v>111</v>
      </c>
      <c r="Q3833" s="93" t="s">
        <v>111</v>
      </c>
      <c r="R3833" s="93" t="s">
        <v>111</v>
      </c>
      <c r="S3833" s="93" t="s">
        <v>2</v>
      </c>
      <c r="T3833" s="93" t="s">
        <v>115</v>
      </c>
      <c r="U3833" s="93" t="s">
        <v>116</v>
      </c>
      <c r="V3833" s="94">
        <v>44596.640972222223</v>
      </c>
      <c r="W3833" s="93" t="s">
        <v>7913</v>
      </c>
      <c r="X3833" s="93" t="s">
        <v>24</v>
      </c>
    </row>
    <row r="3834" spans="1:24" hidden="1" x14ac:dyDescent="0.15">
      <c r="A3834" s="93" t="s">
        <v>8464</v>
      </c>
      <c r="B3834" s="93" t="s">
        <v>8465</v>
      </c>
      <c r="C3834" s="410">
        <v>2000</v>
      </c>
      <c r="D3834" s="93" t="s">
        <v>24</v>
      </c>
      <c r="E3834" s="93" t="s">
        <v>24</v>
      </c>
      <c r="F3834" s="93" t="s">
        <v>399</v>
      </c>
      <c r="G3834" s="93" t="s">
        <v>8461</v>
      </c>
      <c r="H3834" s="93" t="s">
        <v>400</v>
      </c>
      <c r="I3834" s="93" t="s">
        <v>111</v>
      </c>
      <c r="J3834" s="93" t="s">
        <v>118</v>
      </c>
      <c r="K3834" s="93">
        <v>3</v>
      </c>
      <c r="L3834" s="93" t="s">
        <v>111</v>
      </c>
      <c r="M3834" s="93" t="s">
        <v>111</v>
      </c>
      <c r="N3834" s="93" t="s">
        <v>111</v>
      </c>
      <c r="O3834" s="93" t="s">
        <v>111</v>
      </c>
      <c r="P3834" s="93" t="s">
        <v>111</v>
      </c>
      <c r="Q3834" s="93" t="s">
        <v>111</v>
      </c>
      <c r="R3834" s="93" t="s">
        <v>228</v>
      </c>
      <c r="S3834" s="93" t="s">
        <v>2</v>
      </c>
      <c r="T3834" s="93" t="s">
        <v>115</v>
      </c>
      <c r="U3834" s="93" t="s">
        <v>116</v>
      </c>
      <c r="V3834" s="94">
        <v>44588.140972222223</v>
      </c>
      <c r="W3834" s="93" t="s">
        <v>7913</v>
      </c>
      <c r="X3834" s="93" t="s">
        <v>24</v>
      </c>
    </row>
    <row r="3835" spans="1:24" hidden="1" x14ac:dyDescent="0.15">
      <c r="A3835" s="93" t="s">
        <v>5761</v>
      </c>
      <c r="B3835" s="93" t="s">
        <v>5762</v>
      </c>
      <c r="C3835" s="410">
        <v>120</v>
      </c>
      <c r="D3835" s="93" t="s">
        <v>24</v>
      </c>
      <c r="E3835" s="93" t="s">
        <v>24</v>
      </c>
      <c r="F3835" s="93" t="s">
        <v>399</v>
      </c>
      <c r="G3835" s="93" t="s">
        <v>8461</v>
      </c>
      <c r="H3835" s="93" t="s">
        <v>400</v>
      </c>
      <c r="I3835" s="93" t="s">
        <v>111</v>
      </c>
      <c r="J3835" s="93" t="s">
        <v>7105</v>
      </c>
      <c r="K3835" s="93" t="s">
        <v>111</v>
      </c>
      <c r="L3835" s="93" t="s">
        <v>111</v>
      </c>
      <c r="M3835" s="93" t="s">
        <v>111</v>
      </c>
      <c r="N3835" s="93" t="s">
        <v>111</v>
      </c>
      <c r="O3835" s="93" t="s">
        <v>111</v>
      </c>
      <c r="P3835" s="93" t="s">
        <v>111</v>
      </c>
      <c r="Q3835" s="93" t="s">
        <v>111</v>
      </c>
      <c r="R3835" s="93" t="s">
        <v>228</v>
      </c>
      <c r="S3835" s="93" t="s">
        <v>659</v>
      </c>
      <c r="T3835" s="93" t="s">
        <v>115</v>
      </c>
      <c r="U3835" s="93" t="s">
        <v>116</v>
      </c>
      <c r="V3835" s="94">
        <v>44588.204861111109</v>
      </c>
      <c r="W3835" s="93" t="s">
        <v>1170</v>
      </c>
      <c r="X3835" s="93" t="s">
        <v>24</v>
      </c>
    </row>
    <row r="3836" spans="1:24" hidden="1" x14ac:dyDescent="0.15">
      <c r="A3836" s="93" t="s">
        <v>9585</v>
      </c>
      <c r="B3836" s="93" t="s">
        <v>9586</v>
      </c>
      <c r="C3836" s="410">
        <v>3440</v>
      </c>
      <c r="D3836" s="93" t="s">
        <v>24</v>
      </c>
      <c r="E3836" s="93" t="s">
        <v>24</v>
      </c>
      <c r="F3836" s="93" t="s">
        <v>4128</v>
      </c>
      <c r="G3836" s="93" t="s">
        <v>9587</v>
      </c>
      <c r="H3836" s="93" t="s">
        <v>118</v>
      </c>
      <c r="I3836" s="93" t="s">
        <v>111</v>
      </c>
      <c r="J3836" s="93" t="s">
        <v>118</v>
      </c>
      <c r="K3836" s="93">
        <v>3</v>
      </c>
      <c r="L3836" s="93" t="s">
        <v>111</v>
      </c>
      <c r="M3836" s="93" t="s">
        <v>111</v>
      </c>
      <c r="N3836" s="93" t="s">
        <v>111</v>
      </c>
      <c r="O3836" s="93" t="s">
        <v>111</v>
      </c>
      <c r="P3836" s="93" t="s">
        <v>111</v>
      </c>
      <c r="Q3836" s="93" t="s">
        <v>111</v>
      </c>
      <c r="R3836" s="93" t="s">
        <v>228</v>
      </c>
      <c r="S3836" s="93" t="s">
        <v>2</v>
      </c>
      <c r="T3836" s="93" t="s">
        <v>115</v>
      </c>
      <c r="U3836" s="93" t="s">
        <v>116</v>
      </c>
      <c r="V3836" s="94">
        <v>44622.98333333333</v>
      </c>
      <c r="W3836" s="93" t="s">
        <v>1170</v>
      </c>
      <c r="X3836" s="93" t="s">
        <v>24</v>
      </c>
    </row>
    <row r="3837" spans="1:24" hidden="1" x14ac:dyDescent="0.15">
      <c r="A3837" s="93" t="s">
        <v>9588</v>
      </c>
      <c r="B3837" s="93" t="s">
        <v>9589</v>
      </c>
      <c r="C3837" s="410">
        <v>3660</v>
      </c>
      <c r="D3837" s="93" t="s">
        <v>24</v>
      </c>
      <c r="E3837" s="93" t="s">
        <v>24</v>
      </c>
      <c r="F3837" s="93" t="s">
        <v>4128</v>
      </c>
      <c r="G3837" s="93" t="s">
        <v>9587</v>
      </c>
      <c r="H3837" s="93" t="s">
        <v>118</v>
      </c>
      <c r="I3837" s="93" t="s">
        <v>111</v>
      </c>
      <c r="J3837" s="93" t="s">
        <v>118</v>
      </c>
      <c r="K3837" s="93">
        <v>3</v>
      </c>
      <c r="L3837" s="93" t="s">
        <v>111</v>
      </c>
      <c r="M3837" s="93" t="s">
        <v>111</v>
      </c>
      <c r="N3837" s="93" t="s">
        <v>111</v>
      </c>
      <c r="O3837" s="93" t="s">
        <v>111</v>
      </c>
      <c r="P3837" s="93" t="s">
        <v>111</v>
      </c>
      <c r="Q3837" s="93" t="s">
        <v>111</v>
      </c>
      <c r="R3837" s="93" t="s">
        <v>228</v>
      </c>
      <c r="S3837" s="93" t="s">
        <v>2</v>
      </c>
      <c r="T3837" s="93" t="s">
        <v>115</v>
      </c>
      <c r="U3837" s="93" t="s">
        <v>116</v>
      </c>
      <c r="V3837" s="94">
        <v>44622.988888888889</v>
      </c>
      <c r="W3837" s="93" t="s">
        <v>1170</v>
      </c>
      <c r="X3837" s="93" t="s">
        <v>24</v>
      </c>
    </row>
    <row r="3838" spans="1:24" hidden="1" x14ac:dyDescent="0.15">
      <c r="A3838" s="93" t="s">
        <v>9590</v>
      </c>
      <c r="B3838" s="93" t="s">
        <v>9591</v>
      </c>
      <c r="C3838" s="410">
        <v>6368</v>
      </c>
      <c r="D3838" s="93" t="s">
        <v>24</v>
      </c>
      <c r="E3838" s="93" t="s">
        <v>24</v>
      </c>
      <c r="F3838" s="93" t="s">
        <v>4128</v>
      </c>
      <c r="G3838" s="93" t="s">
        <v>9587</v>
      </c>
      <c r="H3838" s="93" t="s">
        <v>118</v>
      </c>
      <c r="I3838" s="93" t="s">
        <v>111</v>
      </c>
      <c r="J3838" s="93" t="s">
        <v>118</v>
      </c>
      <c r="K3838" s="93">
        <v>3</v>
      </c>
      <c r="L3838" s="93" t="s">
        <v>111</v>
      </c>
      <c r="M3838" s="93" t="s">
        <v>111</v>
      </c>
      <c r="N3838" s="93" t="s">
        <v>111</v>
      </c>
      <c r="O3838" s="93" t="s">
        <v>111</v>
      </c>
      <c r="P3838" s="93" t="s">
        <v>111</v>
      </c>
      <c r="Q3838" s="93" t="s">
        <v>111</v>
      </c>
      <c r="R3838" s="93" t="s">
        <v>228</v>
      </c>
      <c r="S3838" s="93" t="s">
        <v>2</v>
      </c>
      <c r="T3838" s="93" t="s">
        <v>115</v>
      </c>
      <c r="U3838" s="93" t="s">
        <v>116</v>
      </c>
      <c r="V3838" s="94">
        <v>44622.984722222223</v>
      </c>
      <c r="W3838" s="93" t="s">
        <v>1170</v>
      </c>
      <c r="X3838" s="93" t="s">
        <v>24</v>
      </c>
    </row>
    <row r="3839" spans="1:24" hidden="1" x14ac:dyDescent="0.15">
      <c r="A3839" s="93" t="s">
        <v>9592</v>
      </c>
      <c r="B3839" s="93" t="s">
        <v>9593</v>
      </c>
      <c r="C3839" s="410">
        <v>7320</v>
      </c>
      <c r="D3839" s="93" t="s">
        <v>24</v>
      </c>
      <c r="E3839" s="93" t="s">
        <v>24</v>
      </c>
      <c r="F3839" s="93" t="s">
        <v>4128</v>
      </c>
      <c r="G3839" s="93" t="s">
        <v>9587</v>
      </c>
      <c r="H3839" s="93" t="s">
        <v>118</v>
      </c>
      <c r="I3839" s="93" t="s">
        <v>111</v>
      </c>
      <c r="J3839" s="93" t="s">
        <v>118</v>
      </c>
      <c r="K3839" s="93">
        <v>3</v>
      </c>
      <c r="L3839" s="93" t="s">
        <v>111</v>
      </c>
      <c r="M3839" s="93" t="s">
        <v>111</v>
      </c>
      <c r="N3839" s="93" t="s">
        <v>111</v>
      </c>
      <c r="O3839" s="93" t="s">
        <v>111</v>
      </c>
      <c r="P3839" s="93" t="s">
        <v>111</v>
      </c>
      <c r="Q3839" s="93" t="s">
        <v>111</v>
      </c>
      <c r="R3839" s="93" t="s">
        <v>228</v>
      </c>
      <c r="S3839" s="93" t="s">
        <v>2</v>
      </c>
      <c r="T3839" s="93" t="s">
        <v>115</v>
      </c>
      <c r="U3839" s="93" t="s">
        <v>116</v>
      </c>
      <c r="V3839" s="94">
        <v>44622.984027777777</v>
      </c>
      <c r="W3839" s="93" t="s">
        <v>1170</v>
      </c>
      <c r="X3839" s="93" t="s">
        <v>24</v>
      </c>
    </row>
    <row r="3840" spans="1:24" hidden="1" x14ac:dyDescent="0.15">
      <c r="A3840" s="93" t="s">
        <v>9594</v>
      </c>
      <c r="B3840" s="93" t="s">
        <v>9595</v>
      </c>
      <c r="C3840" s="410">
        <v>8674</v>
      </c>
      <c r="D3840" s="93" t="s">
        <v>24</v>
      </c>
      <c r="E3840" s="93" t="s">
        <v>24</v>
      </c>
      <c r="F3840" s="93" t="s">
        <v>4128</v>
      </c>
      <c r="G3840" s="93" t="s">
        <v>9587</v>
      </c>
      <c r="H3840" s="93" t="s">
        <v>118</v>
      </c>
      <c r="I3840" s="93" t="s">
        <v>111</v>
      </c>
      <c r="J3840" s="93" t="s">
        <v>118</v>
      </c>
      <c r="K3840" s="93">
        <v>3</v>
      </c>
      <c r="L3840" s="93" t="s">
        <v>111</v>
      </c>
      <c r="M3840" s="93" t="s">
        <v>111</v>
      </c>
      <c r="N3840" s="93" t="s">
        <v>111</v>
      </c>
      <c r="O3840" s="93" t="s">
        <v>111</v>
      </c>
      <c r="P3840" s="93" t="s">
        <v>111</v>
      </c>
      <c r="Q3840" s="93" t="s">
        <v>111</v>
      </c>
      <c r="R3840" s="93" t="s">
        <v>228</v>
      </c>
      <c r="S3840" s="93" t="s">
        <v>2</v>
      </c>
      <c r="T3840" s="93" t="s">
        <v>115</v>
      </c>
      <c r="U3840" s="93" t="s">
        <v>116</v>
      </c>
      <c r="V3840" s="94">
        <v>44622.984722222223</v>
      </c>
      <c r="W3840" s="93" t="s">
        <v>1170</v>
      </c>
      <c r="X3840" s="93" t="s">
        <v>24</v>
      </c>
    </row>
    <row r="3841" spans="1:24" hidden="1" x14ac:dyDescent="0.15">
      <c r="A3841" s="93" t="s">
        <v>9596</v>
      </c>
      <c r="B3841" s="93" t="s">
        <v>9597</v>
      </c>
      <c r="C3841" s="410">
        <v>10980</v>
      </c>
      <c r="D3841" s="93" t="s">
        <v>24</v>
      </c>
      <c r="E3841" s="93" t="s">
        <v>24</v>
      </c>
      <c r="F3841" s="93" t="s">
        <v>4128</v>
      </c>
      <c r="G3841" s="93" t="s">
        <v>9587</v>
      </c>
      <c r="H3841" s="93" t="s">
        <v>118</v>
      </c>
      <c r="I3841" s="93" t="s">
        <v>111</v>
      </c>
      <c r="J3841" s="93" t="s">
        <v>118</v>
      </c>
      <c r="K3841" s="93">
        <v>3</v>
      </c>
      <c r="L3841" s="93" t="s">
        <v>111</v>
      </c>
      <c r="M3841" s="93" t="s">
        <v>111</v>
      </c>
      <c r="N3841" s="93" t="s">
        <v>111</v>
      </c>
      <c r="O3841" s="93" t="s">
        <v>111</v>
      </c>
      <c r="P3841" s="93" t="s">
        <v>111</v>
      </c>
      <c r="Q3841" s="93" t="s">
        <v>111</v>
      </c>
      <c r="R3841" s="93" t="s">
        <v>228</v>
      </c>
      <c r="S3841" s="93" t="s">
        <v>2</v>
      </c>
      <c r="T3841" s="93" t="s">
        <v>115</v>
      </c>
      <c r="U3841" s="93" t="s">
        <v>116</v>
      </c>
      <c r="V3841" s="94">
        <v>44622.984027777777</v>
      </c>
      <c r="W3841" s="93" t="s">
        <v>1170</v>
      </c>
      <c r="X3841" s="93" t="s">
        <v>24</v>
      </c>
    </row>
    <row r="3842" spans="1:24" hidden="1" x14ac:dyDescent="0.15">
      <c r="A3842" s="93" t="s">
        <v>9598</v>
      </c>
      <c r="B3842" s="93" t="s">
        <v>9597</v>
      </c>
      <c r="C3842" s="410">
        <v>12746</v>
      </c>
      <c r="D3842" s="93" t="s">
        <v>24</v>
      </c>
      <c r="E3842" s="93" t="s">
        <v>24</v>
      </c>
      <c r="F3842" s="93" t="s">
        <v>4128</v>
      </c>
      <c r="G3842" s="93" t="s">
        <v>9587</v>
      </c>
      <c r="H3842" s="93" t="s">
        <v>118</v>
      </c>
      <c r="I3842" s="93" t="s">
        <v>111</v>
      </c>
      <c r="J3842" s="93" t="s">
        <v>118</v>
      </c>
      <c r="K3842" s="93">
        <v>3</v>
      </c>
      <c r="L3842" s="93" t="s">
        <v>111</v>
      </c>
      <c r="M3842" s="93" t="s">
        <v>111</v>
      </c>
      <c r="N3842" s="93" t="s">
        <v>111</v>
      </c>
      <c r="O3842" s="93" t="s">
        <v>111</v>
      </c>
      <c r="P3842" s="93" t="s">
        <v>111</v>
      </c>
      <c r="Q3842" s="93" t="s">
        <v>111</v>
      </c>
      <c r="R3842" s="93" t="s">
        <v>228</v>
      </c>
      <c r="S3842" s="93" t="s">
        <v>2</v>
      </c>
      <c r="T3842" s="93" t="s">
        <v>115</v>
      </c>
      <c r="U3842" s="93" t="s">
        <v>116</v>
      </c>
      <c r="V3842" s="94">
        <v>44622.986111111109</v>
      </c>
      <c r="W3842" s="93" t="s">
        <v>1170</v>
      </c>
      <c r="X3842" s="93" t="s">
        <v>24</v>
      </c>
    </row>
    <row r="3843" spans="1:24" hidden="1" x14ac:dyDescent="0.15">
      <c r="A3843" s="93" t="s">
        <v>9599</v>
      </c>
      <c r="B3843" s="93" t="s">
        <v>9600</v>
      </c>
      <c r="C3843" s="410">
        <v>13560</v>
      </c>
      <c r="D3843" s="93" t="s">
        <v>24</v>
      </c>
      <c r="E3843" s="93" t="s">
        <v>24</v>
      </c>
      <c r="F3843" s="93" t="s">
        <v>4128</v>
      </c>
      <c r="G3843" s="93" t="s">
        <v>9587</v>
      </c>
      <c r="H3843" s="93" t="s">
        <v>118</v>
      </c>
      <c r="I3843" s="93" t="s">
        <v>111</v>
      </c>
      <c r="J3843" s="93" t="s">
        <v>118</v>
      </c>
      <c r="K3843" s="93">
        <v>3</v>
      </c>
      <c r="L3843" s="93" t="s">
        <v>111</v>
      </c>
      <c r="M3843" s="93" t="s">
        <v>111</v>
      </c>
      <c r="N3843" s="93" t="s">
        <v>111</v>
      </c>
      <c r="O3843" s="93" t="s">
        <v>111</v>
      </c>
      <c r="P3843" s="93" t="s">
        <v>111</v>
      </c>
      <c r="Q3843" s="93" t="s">
        <v>111</v>
      </c>
      <c r="R3843" s="93" t="s">
        <v>228</v>
      </c>
      <c r="S3843" s="93" t="s">
        <v>2</v>
      </c>
      <c r="T3843" s="93" t="s">
        <v>115</v>
      </c>
      <c r="U3843" s="93" t="s">
        <v>116</v>
      </c>
      <c r="V3843" s="94">
        <v>44622.987500000003</v>
      </c>
      <c r="W3843" s="93" t="s">
        <v>1170</v>
      </c>
      <c r="X3843" s="93" t="s">
        <v>24</v>
      </c>
    </row>
    <row r="3844" spans="1:24" hidden="1" x14ac:dyDescent="0.15">
      <c r="A3844" s="93" t="s">
        <v>9601</v>
      </c>
      <c r="B3844" s="93" t="s">
        <v>9602</v>
      </c>
      <c r="C3844" s="410">
        <v>23594</v>
      </c>
      <c r="D3844" s="93" t="s">
        <v>24</v>
      </c>
      <c r="E3844" s="93" t="s">
        <v>24</v>
      </c>
      <c r="F3844" s="93" t="s">
        <v>4128</v>
      </c>
      <c r="G3844" s="93" t="s">
        <v>9587</v>
      </c>
      <c r="H3844" s="93" t="s">
        <v>118</v>
      </c>
      <c r="I3844" s="93" t="s">
        <v>111</v>
      </c>
      <c r="J3844" s="93" t="s">
        <v>118</v>
      </c>
      <c r="K3844" s="93">
        <v>3</v>
      </c>
      <c r="L3844" s="93" t="s">
        <v>111</v>
      </c>
      <c r="M3844" s="93" t="s">
        <v>111</v>
      </c>
      <c r="N3844" s="93" t="s">
        <v>111</v>
      </c>
      <c r="O3844" s="93" t="s">
        <v>111</v>
      </c>
      <c r="P3844" s="93" t="s">
        <v>111</v>
      </c>
      <c r="Q3844" s="93" t="s">
        <v>111</v>
      </c>
      <c r="R3844" s="93" t="s">
        <v>228</v>
      </c>
      <c r="S3844" s="93" t="s">
        <v>2</v>
      </c>
      <c r="T3844" s="93" t="s">
        <v>115</v>
      </c>
      <c r="U3844" s="93" t="s">
        <v>116</v>
      </c>
      <c r="V3844" s="94">
        <v>44622.988888888889</v>
      </c>
      <c r="W3844" s="93" t="s">
        <v>1170</v>
      </c>
      <c r="X3844" s="93" t="s">
        <v>24</v>
      </c>
    </row>
    <row r="3845" spans="1:24" hidden="1" x14ac:dyDescent="0.15">
      <c r="A3845" s="93" t="s">
        <v>9603</v>
      </c>
      <c r="B3845" s="93" t="s">
        <v>9602</v>
      </c>
      <c r="C3845" s="410">
        <v>27120</v>
      </c>
      <c r="D3845" s="93" t="s">
        <v>24</v>
      </c>
      <c r="E3845" s="93" t="s">
        <v>24</v>
      </c>
      <c r="F3845" s="93" t="s">
        <v>4128</v>
      </c>
      <c r="G3845" s="93" t="s">
        <v>9587</v>
      </c>
      <c r="H3845" s="93" t="s">
        <v>118</v>
      </c>
      <c r="I3845" s="93" t="s">
        <v>111</v>
      </c>
      <c r="J3845" s="93" t="s">
        <v>118</v>
      </c>
      <c r="K3845" s="93">
        <v>3</v>
      </c>
      <c r="L3845" s="93" t="s">
        <v>111</v>
      </c>
      <c r="M3845" s="93" t="s">
        <v>111</v>
      </c>
      <c r="N3845" s="93" t="s">
        <v>111</v>
      </c>
      <c r="O3845" s="93" t="s">
        <v>111</v>
      </c>
      <c r="P3845" s="93" t="s">
        <v>111</v>
      </c>
      <c r="Q3845" s="93" t="s">
        <v>111</v>
      </c>
      <c r="R3845" s="93" t="s">
        <v>228</v>
      </c>
      <c r="S3845" s="93" t="s">
        <v>2</v>
      </c>
      <c r="T3845" s="93" t="s">
        <v>115</v>
      </c>
      <c r="U3845" s="93" t="s">
        <v>116</v>
      </c>
      <c r="V3845" s="94">
        <v>44622.988888888889</v>
      </c>
      <c r="W3845" s="93" t="s">
        <v>1170</v>
      </c>
      <c r="X3845" s="93" t="s">
        <v>24</v>
      </c>
    </row>
    <row r="3846" spans="1:24" hidden="1" x14ac:dyDescent="0.15">
      <c r="A3846" s="93" t="s">
        <v>9604</v>
      </c>
      <c r="B3846" s="93" t="s">
        <v>9605</v>
      </c>
      <c r="C3846" s="410">
        <v>32137</v>
      </c>
      <c r="D3846" s="93" t="s">
        <v>24</v>
      </c>
      <c r="E3846" s="93" t="s">
        <v>24</v>
      </c>
      <c r="F3846" s="93" t="s">
        <v>4128</v>
      </c>
      <c r="G3846" s="93" t="s">
        <v>9587</v>
      </c>
      <c r="H3846" s="93" t="s">
        <v>118</v>
      </c>
      <c r="I3846" s="93" t="s">
        <v>111</v>
      </c>
      <c r="J3846" s="93" t="s">
        <v>118</v>
      </c>
      <c r="K3846" s="93">
        <v>3</v>
      </c>
      <c r="L3846" s="93" t="s">
        <v>111</v>
      </c>
      <c r="M3846" s="93" t="s">
        <v>111</v>
      </c>
      <c r="N3846" s="93" t="s">
        <v>111</v>
      </c>
      <c r="O3846" s="93" t="s">
        <v>111</v>
      </c>
      <c r="P3846" s="93" t="s">
        <v>111</v>
      </c>
      <c r="Q3846" s="93" t="s">
        <v>111</v>
      </c>
      <c r="R3846" s="93" t="s">
        <v>228</v>
      </c>
      <c r="S3846" s="93" t="s">
        <v>2</v>
      </c>
      <c r="T3846" s="93" t="s">
        <v>115</v>
      </c>
      <c r="U3846" s="93" t="s">
        <v>116</v>
      </c>
      <c r="V3846" s="94">
        <v>44622.988888888889</v>
      </c>
      <c r="W3846" s="93" t="s">
        <v>1170</v>
      </c>
      <c r="X3846" s="93" t="s">
        <v>24</v>
      </c>
    </row>
    <row r="3847" spans="1:24" hidden="1" x14ac:dyDescent="0.15">
      <c r="A3847" s="93" t="s">
        <v>9606</v>
      </c>
      <c r="B3847" s="93" t="s">
        <v>9607</v>
      </c>
      <c r="C3847" s="410">
        <v>40680</v>
      </c>
      <c r="D3847" s="93" t="s">
        <v>24</v>
      </c>
      <c r="E3847" s="93" t="s">
        <v>24</v>
      </c>
      <c r="F3847" s="93" t="s">
        <v>4128</v>
      </c>
      <c r="G3847" s="93" t="s">
        <v>9587</v>
      </c>
      <c r="H3847" s="93" t="s">
        <v>118</v>
      </c>
      <c r="I3847" s="93" t="s">
        <v>111</v>
      </c>
      <c r="J3847" s="93" t="s">
        <v>118</v>
      </c>
      <c r="K3847" s="93">
        <v>3</v>
      </c>
      <c r="L3847" s="93" t="s">
        <v>111</v>
      </c>
      <c r="M3847" s="93" t="s">
        <v>111</v>
      </c>
      <c r="N3847" s="93" t="s">
        <v>111</v>
      </c>
      <c r="O3847" s="93" t="s">
        <v>111</v>
      </c>
      <c r="P3847" s="93" t="s">
        <v>111</v>
      </c>
      <c r="Q3847" s="93" t="s">
        <v>111</v>
      </c>
      <c r="R3847" s="93" t="s">
        <v>228</v>
      </c>
      <c r="S3847" s="93" t="s">
        <v>2</v>
      </c>
      <c r="T3847" s="93" t="s">
        <v>115</v>
      </c>
      <c r="U3847" s="93" t="s">
        <v>116</v>
      </c>
      <c r="V3847" s="94">
        <v>44622.984722222223</v>
      </c>
      <c r="W3847" s="93" t="s">
        <v>1170</v>
      </c>
      <c r="X3847" s="93" t="s">
        <v>24</v>
      </c>
    </row>
    <row r="3848" spans="1:24" hidden="1" x14ac:dyDescent="0.15">
      <c r="A3848" s="93" t="s">
        <v>9608</v>
      </c>
      <c r="B3848" s="93" t="s">
        <v>9609</v>
      </c>
      <c r="C3848" s="410">
        <v>23011</v>
      </c>
      <c r="D3848" s="93" t="s">
        <v>24</v>
      </c>
      <c r="E3848" s="93" t="s">
        <v>24</v>
      </c>
      <c r="F3848" s="93" t="s">
        <v>4128</v>
      </c>
      <c r="G3848" s="93" t="s">
        <v>9587</v>
      </c>
      <c r="H3848" s="93" t="s">
        <v>118</v>
      </c>
      <c r="I3848" s="93" t="s">
        <v>111</v>
      </c>
      <c r="J3848" s="93" t="s">
        <v>118</v>
      </c>
      <c r="K3848" s="93">
        <v>3</v>
      </c>
      <c r="L3848" s="93" t="s">
        <v>111</v>
      </c>
      <c r="M3848" s="93" t="s">
        <v>111</v>
      </c>
      <c r="N3848" s="93" t="s">
        <v>111</v>
      </c>
      <c r="O3848" s="93" t="s">
        <v>111</v>
      </c>
      <c r="P3848" s="93" t="s">
        <v>111</v>
      </c>
      <c r="Q3848" s="93" t="s">
        <v>111</v>
      </c>
      <c r="R3848" s="93" t="s">
        <v>228</v>
      </c>
      <c r="S3848" s="93" t="s">
        <v>2</v>
      </c>
      <c r="T3848" s="93" t="s">
        <v>115</v>
      </c>
      <c r="U3848" s="93" t="s">
        <v>116</v>
      </c>
      <c r="V3848" s="94">
        <v>44622.984027777777</v>
      </c>
      <c r="W3848" s="93" t="s">
        <v>1170</v>
      </c>
      <c r="X3848" s="93" t="s">
        <v>24</v>
      </c>
    </row>
    <row r="3849" spans="1:24" hidden="1" x14ac:dyDescent="0.15">
      <c r="A3849" s="93" t="s">
        <v>9610</v>
      </c>
      <c r="B3849" s="93" t="s">
        <v>9611</v>
      </c>
      <c r="C3849" s="410">
        <v>24480</v>
      </c>
      <c r="D3849" s="93" t="s">
        <v>24</v>
      </c>
      <c r="E3849" s="93" t="s">
        <v>24</v>
      </c>
      <c r="F3849" s="93" t="s">
        <v>4128</v>
      </c>
      <c r="G3849" s="93" t="s">
        <v>9587</v>
      </c>
      <c r="H3849" s="93" t="s">
        <v>118</v>
      </c>
      <c r="I3849" s="93" t="s">
        <v>111</v>
      </c>
      <c r="J3849" s="93" t="s">
        <v>118</v>
      </c>
      <c r="K3849" s="93">
        <v>3</v>
      </c>
      <c r="L3849" s="93" t="s">
        <v>111</v>
      </c>
      <c r="M3849" s="93" t="s">
        <v>111</v>
      </c>
      <c r="N3849" s="93" t="s">
        <v>111</v>
      </c>
      <c r="O3849" s="93" t="s">
        <v>111</v>
      </c>
      <c r="P3849" s="93" t="s">
        <v>111</v>
      </c>
      <c r="Q3849" s="93" t="s">
        <v>111</v>
      </c>
      <c r="R3849" s="93" t="s">
        <v>228</v>
      </c>
      <c r="S3849" s="93" t="s">
        <v>2</v>
      </c>
      <c r="T3849" s="93" t="s">
        <v>115</v>
      </c>
      <c r="U3849" s="93" t="s">
        <v>116</v>
      </c>
      <c r="V3849" s="94">
        <v>44622.988888888889</v>
      </c>
      <c r="W3849" s="93" t="s">
        <v>1170</v>
      </c>
      <c r="X3849" s="93" t="s">
        <v>24</v>
      </c>
    </row>
    <row r="3850" spans="1:24" hidden="1" x14ac:dyDescent="0.15">
      <c r="A3850" s="93" t="s">
        <v>9612</v>
      </c>
      <c r="B3850" s="93" t="s">
        <v>9613</v>
      </c>
      <c r="C3850" s="410">
        <v>42595</v>
      </c>
      <c r="D3850" s="93" t="s">
        <v>24</v>
      </c>
      <c r="E3850" s="93" t="s">
        <v>24</v>
      </c>
      <c r="F3850" s="93" t="s">
        <v>4128</v>
      </c>
      <c r="G3850" s="93" t="s">
        <v>9587</v>
      </c>
      <c r="H3850" s="93" t="s">
        <v>118</v>
      </c>
      <c r="I3850" s="93" t="s">
        <v>111</v>
      </c>
      <c r="J3850" s="93" t="s">
        <v>118</v>
      </c>
      <c r="K3850" s="93">
        <v>3</v>
      </c>
      <c r="L3850" s="93" t="s">
        <v>111</v>
      </c>
      <c r="M3850" s="93" t="s">
        <v>111</v>
      </c>
      <c r="N3850" s="93" t="s">
        <v>111</v>
      </c>
      <c r="O3850" s="93" t="s">
        <v>111</v>
      </c>
      <c r="P3850" s="93" t="s">
        <v>111</v>
      </c>
      <c r="Q3850" s="93" t="s">
        <v>111</v>
      </c>
      <c r="R3850" s="93" t="s">
        <v>228</v>
      </c>
      <c r="S3850" s="93" t="s">
        <v>2</v>
      </c>
      <c r="T3850" s="93" t="s">
        <v>115</v>
      </c>
      <c r="U3850" s="93" t="s">
        <v>116</v>
      </c>
      <c r="V3850" s="94">
        <v>44622.986111111109</v>
      </c>
      <c r="W3850" s="93" t="s">
        <v>1170</v>
      </c>
      <c r="X3850" s="93" t="s">
        <v>24</v>
      </c>
    </row>
    <row r="3851" spans="1:24" hidden="1" x14ac:dyDescent="0.15">
      <c r="A3851" s="93" t="s">
        <v>9614</v>
      </c>
      <c r="B3851" s="93" t="s">
        <v>9615</v>
      </c>
      <c r="C3851" s="410">
        <v>48960</v>
      </c>
      <c r="D3851" s="93" t="s">
        <v>24</v>
      </c>
      <c r="E3851" s="93" t="s">
        <v>24</v>
      </c>
      <c r="F3851" s="93" t="s">
        <v>4128</v>
      </c>
      <c r="G3851" s="93" t="s">
        <v>9587</v>
      </c>
      <c r="H3851" s="93" t="s">
        <v>118</v>
      </c>
      <c r="I3851" s="93" t="s">
        <v>111</v>
      </c>
      <c r="J3851" s="93" t="s">
        <v>118</v>
      </c>
      <c r="K3851" s="93">
        <v>3</v>
      </c>
      <c r="L3851" s="93" t="s">
        <v>111</v>
      </c>
      <c r="M3851" s="93" t="s">
        <v>111</v>
      </c>
      <c r="N3851" s="93" t="s">
        <v>111</v>
      </c>
      <c r="O3851" s="93" t="s">
        <v>111</v>
      </c>
      <c r="P3851" s="93" t="s">
        <v>111</v>
      </c>
      <c r="Q3851" s="93" t="s">
        <v>111</v>
      </c>
      <c r="R3851" s="93" t="s">
        <v>228</v>
      </c>
      <c r="S3851" s="93" t="s">
        <v>2</v>
      </c>
      <c r="T3851" s="93" t="s">
        <v>115</v>
      </c>
      <c r="U3851" s="93" t="s">
        <v>116</v>
      </c>
      <c r="V3851" s="94">
        <v>44622.986111111109</v>
      </c>
      <c r="W3851" s="93" t="s">
        <v>1170</v>
      </c>
      <c r="X3851" s="93" t="s">
        <v>24</v>
      </c>
    </row>
    <row r="3852" spans="1:24" hidden="1" x14ac:dyDescent="0.15">
      <c r="A3852" s="93" t="s">
        <v>9616</v>
      </c>
      <c r="B3852" s="93" t="s">
        <v>9617</v>
      </c>
      <c r="C3852" s="410">
        <v>58018</v>
      </c>
      <c r="D3852" s="93" t="s">
        <v>24</v>
      </c>
      <c r="E3852" s="93" t="s">
        <v>24</v>
      </c>
      <c r="F3852" s="93" t="s">
        <v>4128</v>
      </c>
      <c r="G3852" s="93" t="s">
        <v>9587</v>
      </c>
      <c r="H3852" s="93" t="s">
        <v>118</v>
      </c>
      <c r="I3852" s="93" t="s">
        <v>111</v>
      </c>
      <c r="J3852" s="93" t="s">
        <v>118</v>
      </c>
      <c r="K3852" s="93">
        <v>3</v>
      </c>
      <c r="L3852" s="93" t="s">
        <v>111</v>
      </c>
      <c r="M3852" s="93" t="s">
        <v>111</v>
      </c>
      <c r="N3852" s="93" t="s">
        <v>111</v>
      </c>
      <c r="O3852" s="93" t="s">
        <v>111</v>
      </c>
      <c r="P3852" s="93" t="s">
        <v>111</v>
      </c>
      <c r="Q3852" s="93" t="s">
        <v>111</v>
      </c>
      <c r="R3852" s="93" t="s">
        <v>228</v>
      </c>
      <c r="S3852" s="93" t="s">
        <v>2</v>
      </c>
      <c r="T3852" s="93" t="s">
        <v>115</v>
      </c>
      <c r="U3852" s="93" t="s">
        <v>116</v>
      </c>
      <c r="V3852" s="94">
        <v>44622.986805555556</v>
      </c>
      <c r="W3852" s="93" t="s">
        <v>1170</v>
      </c>
      <c r="X3852" s="93" t="s">
        <v>24</v>
      </c>
    </row>
    <row r="3853" spans="1:24" hidden="1" x14ac:dyDescent="0.15">
      <c r="A3853" s="93" t="s">
        <v>9618</v>
      </c>
      <c r="B3853" s="93" t="s">
        <v>9619</v>
      </c>
      <c r="C3853" s="410">
        <v>73440</v>
      </c>
      <c r="D3853" s="93" t="s">
        <v>24</v>
      </c>
      <c r="E3853" s="93" t="s">
        <v>24</v>
      </c>
      <c r="F3853" s="93" t="s">
        <v>4128</v>
      </c>
      <c r="G3853" s="93" t="s">
        <v>9587</v>
      </c>
      <c r="H3853" s="93" t="s">
        <v>118</v>
      </c>
      <c r="I3853" s="93" t="s">
        <v>111</v>
      </c>
      <c r="J3853" s="93" t="s">
        <v>118</v>
      </c>
      <c r="K3853" s="93">
        <v>3</v>
      </c>
      <c r="L3853" s="93" t="s">
        <v>111</v>
      </c>
      <c r="M3853" s="93" t="s">
        <v>111</v>
      </c>
      <c r="N3853" s="93" t="s">
        <v>111</v>
      </c>
      <c r="O3853" s="93" t="s">
        <v>111</v>
      </c>
      <c r="P3853" s="93" t="s">
        <v>111</v>
      </c>
      <c r="Q3853" s="93" t="s">
        <v>111</v>
      </c>
      <c r="R3853" s="93" t="s">
        <v>228</v>
      </c>
      <c r="S3853" s="93" t="s">
        <v>2</v>
      </c>
      <c r="T3853" s="93" t="s">
        <v>115</v>
      </c>
      <c r="U3853" s="93" t="s">
        <v>116</v>
      </c>
      <c r="V3853" s="94">
        <v>44622.987500000003</v>
      </c>
      <c r="W3853" s="93" t="s">
        <v>1170</v>
      </c>
      <c r="X3853" s="93" t="s">
        <v>24</v>
      </c>
    </row>
    <row r="3854" spans="1:24" hidden="1" x14ac:dyDescent="0.15">
      <c r="A3854" s="93" t="s">
        <v>9620</v>
      </c>
      <c r="B3854" s="93" t="s">
        <v>9621</v>
      </c>
      <c r="C3854" s="410">
        <v>43541</v>
      </c>
      <c r="D3854" s="93" t="s">
        <v>24</v>
      </c>
      <c r="E3854" s="93" t="s">
        <v>24</v>
      </c>
      <c r="F3854" s="93" t="s">
        <v>4128</v>
      </c>
      <c r="G3854" s="93" t="s">
        <v>9587</v>
      </c>
      <c r="H3854" s="93" t="s">
        <v>118</v>
      </c>
      <c r="I3854" s="93" t="s">
        <v>111</v>
      </c>
      <c r="J3854" s="93" t="s">
        <v>118</v>
      </c>
      <c r="K3854" s="93">
        <v>3</v>
      </c>
      <c r="L3854" s="93" t="s">
        <v>111</v>
      </c>
      <c r="M3854" s="93" t="s">
        <v>111</v>
      </c>
      <c r="N3854" s="93" t="s">
        <v>111</v>
      </c>
      <c r="O3854" s="93" t="s">
        <v>111</v>
      </c>
      <c r="P3854" s="93" t="s">
        <v>111</v>
      </c>
      <c r="Q3854" s="93" t="s">
        <v>111</v>
      </c>
      <c r="R3854" s="93" t="s">
        <v>228</v>
      </c>
      <c r="S3854" s="93" t="s">
        <v>2</v>
      </c>
      <c r="T3854" s="93" t="s">
        <v>115</v>
      </c>
      <c r="U3854" s="93" t="s">
        <v>116</v>
      </c>
      <c r="V3854" s="94">
        <v>44622.984027777777</v>
      </c>
      <c r="W3854" s="93" t="s">
        <v>1170</v>
      </c>
      <c r="X3854" s="93" t="s">
        <v>24</v>
      </c>
    </row>
    <row r="3855" spans="1:24" hidden="1" x14ac:dyDescent="0.15">
      <c r="A3855" s="93" t="s">
        <v>9622</v>
      </c>
      <c r="B3855" s="93" t="s">
        <v>9623</v>
      </c>
      <c r="C3855" s="410">
        <v>46320</v>
      </c>
      <c r="D3855" s="93" t="s">
        <v>24</v>
      </c>
      <c r="E3855" s="93" t="s">
        <v>24</v>
      </c>
      <c r="F3855" s="93" t="s">
        <v>4128</v>
      </c>
      <c r="G3855" s="93" t="s">
        <v>9587</v>
      </c>
      <c r="H3855" s="93" t="s">
        <v>118</v>
      </c>
      <c r="I3855" s="93" t="s">
        <v>111</v>
      </c>
      <c r="J3855" s="93" t="s">
        <v>118</v>
      </c>
      <c r="K3855" s="93">
        <v>3</v>
      </c>
      <c r="L3855" s="93" t="s">
        <v>111</v>
      </c>
      <c r="M3855" s="93" t="s">
        <v>111</v>
      </c>
      <c r="N3855" s="93" t="s">
        <v>111</v>
      </c>
      <c r="O3855" s="93" t="s">
        <v>111</v>
      </c>
      <c r="P3855" s="93" t="s">
        <v>111</v>
      </c>
      <c r="Q3855" s="93" t="s">
        <v>111</v>
      </c>
      <c r="R3855" s="93" t="s">
        <v>228</v>
      </c>
      <c r="S3855" s="93" t="s">
        <v>2</v>
      </c>
      <c r="T3855" s="93" t="s">
        <v>115</v>
      </c>
      <c r="U3855" s="93" t="s">
        <v>116</v>
      </c>
      <c r="V3855" s="94">
        <v>44622.988888888889</v>
      </c>
      <c r="W3855" s="93" t="s">
        <v>1170</v>
      </c>
      <c r="X3855" s="93" t="s">
        <v>24</v>
      </c>
    </row>
    <row r="3856" spans="1:24" hidden="1" x14ac:dyDescent="0.15">
      <c r="A3856" s="93" t="s">
        <v>9624</v>
      </c>
      <c r="B3856" s="93" t="s">
        <v>9625</v>
      </c>
      <c r="C3856" s="410">
        <v>80597</v>
      </c>
      <c r="D3856" s="93" t="s">
        <v>24</v>
      </c>
      <c r="E3856" s="93" t="s">
        <v>24</v>
      </c>
      <c r="F3856" s="93" t="s">
        <v>4128</v>
      </c>
      <c r="G3856" s="93" t="s">
        <v>9587</v>
      </c>
      <c r="H3856" s="93" t="s">
        <v>118</v>
      </c>
      <c r="I3856" s="93" t="s">
        <v>111</v>
      </c>
      <c r="J3856" s="93" t="s">
        <v>118</v>
      </c>
      <c r="K3856" s="93">
        <v>3</v>
      </c>
      <c r="L3856" s="93" t="s">
        <v>111</v>
      </c>
      <c r="M3856" s="93" t="s">
        <v>111</v>
      </c>
      <c r="N3856" s="93" t="s">
        <v>111</v>
      </c>
      <c r="O3856" s="93" t="s">
        <v>111</v>
      </c>
      <c r="P3856" s="93" t="s">
        <v>111</v>
      </c>
      <c r="Q3856" s="93" t="s">
        <v>111</v>
      </c>
      <c r="R3856" s="93" t="s">
        <v>228</v>
      </c>
      <c r="S3856" s="93" t="s">
        <v>2</v>
      </c>
      <c r="T3856" s="93" t="s">
        <v>115</v>
      </c>
      <c r="U3856" s="93" t="s">
        <v>116</v>
      </c>
      <c r="V3856" s="94">
        <v>44622.988888888889</v>
      </c>
      <c r="W3856" s="93" t="s">
        <v>1170</v>
      </c>
      <c r="X3856" s="93" t="s">
        <v>24</v>
      </c>
    </row>
    <row r="3857" spans="1:24" hidden="1" x14ac:dyDescent="0.15">
      <c r="A3857" s="93" t="s">
        <v>9626</v>
      </c>
      <c r="B3857" s="93" t="s">
        <v>9627</v>
      </c>
      <c r="C3857" s="410">
        <v>92640</v>
      </c>
      <c r="D3857" s="93" t="s">
        <v>24</v>
      </c>
      <c r="E3857" s="93" t="s">
        <v>24</v>
      </c>
      <c r="F3857" s="93" t="s">
        <v>4128</v>
      </c>
      <c r="G3857" s="93" t="s">
        <v>9587</v>
      </c>
      <c r="H3857" s="93" t="s">
        <v>118</v>
      </c>
      <c r="I3857" s="93" t="s">
        <v>111</v>
      </c>
      <c r="J3857" s="93" t="s">
        <v>118</v>
      </c>
      <c r="K3857" s="93">
        <v>3</v>
      </c>
      <c r="L3857" s="93" t="s">
        <v>111</v>
      </c>
      <c r="M3857" s="93" t="s">
        <v>111</v>
      </c>
      <c r="N3857" s="93" t="s">
        <v>111</v>
      </c>
      <c r="O3857" s="93" t="s">
        <v>111</v>
      </c>
      <c r="P3857" s="93" t="s">
        <v>111</v>
      </c>
      <c r="Q3857" s="93" t="s">
        <v>111</v>
      </c>
      <c r="R3857" s="93" t="s">
        <v>228</v>
      </c>
      <c r="S3857" s="93" t="s">
        <v>2</v>
      </c>
      <c r="T3857" s="93" t="s">
        <v>115</v>
      </c>
      <c r="U3857" s="93" t="s">
        <v>116</v>
      </c>
      <c r="V3857" s="94">
        <v>44622.986805555556</v>
      </c>
      <c r="W3857" s="93" t="s">
        <v>1170</v>
      </c>
      <c r="X3857" s="93" t="s">
        <v>24</v>
      </c>
    </row>
    <row r="3858" spans="1:24" hidden="1" x14ac:dyDescent="0.15">
      <c r="A3858" s="93" t="s">
        <v>9628</v>
      </c>
      <c r="B3858" s="93" t="s">
        <v>9629</v>
      </c>
      <c r="C3858" s="410">
        <v>109778</v>
      </c>
      <c r="D3858" s="93" t="s">
        <v>24</v>
      </c>
      <c r="E3858" s="93" t="s">
        <v>24</v>
      </c>
      <c r="F3858" s="93" t="s">
        <v>4128</v>
      </c>
      <c r="G3858" s="93" t="s">
        <v>9587</v>
      </c>
      <c r="H3858" s="93" t="s">
        <v>118</v>
      </c>
      <c r="I3858" s="93" t="s">
        <v>111</v>
      </c>
      <c r="J3858" s="93" t="s">
        <v>118</v>
      </c>
      <c r="K3858" s="93">
        <v>3</v>
      </c>
      <c r="L3858" s="93" t="s">
        <v>111</v>
      </c>
      <c r="M3858" s="93" t="s">
        <v>111</v>
      </c>
      <c r="N3858" s="93" t="s">
        <v>111</v>
      </c>
      <c r="O3858" s="93" t="s">
        <v>111</v>
      </c>
      <c r="P3858" s="93" t="s">
        <v>111</v>
      </c>
      <c r="Q3858" s="93" t="s">
        <v>111</v>
      </c>
      <c r="R3858" s="93" t="s">
        <v>228</v>
      </c>
      <c r="S3858" s="93" t="s">
        <v>2</v>
      </c>
      <c r="T3858" s="93" t="s">
        <v>115</v>
      </c>
      <c r="U3858" s="93" t="s">
        <v>116</v>
      </c>
      <c r="V3858" s="94">
        <v>44622.986805555556</v>
      </c>
      <c r="W3858" s="93" t="s">
        <v>1170</v>
      </c>
      <c r="X3858" s="93" t="s">
        <v>24</v>
      </c>
    </row>
    <row r="3859" spans="1:24" hidden="1" x14ac:dyDescent="0.15">
      <c r="A3859" s="93" t="s">
        <v>9630</v>
      </c>
      <c r="B3859" s="93" t="s">
        <v>9631</v>
      </c>
      <c r="C3859" s="410">
        <v>138960</v>
      </c>
      <c r="D3859" s="93" t="s">
        <v>24</v>
      </c>
      <c r="E3859" s="93" t="s">
        <v>24</v>
      </c>
      <c r="F3859" s="93" t="s">
        <v>4128</v>
      </c>
      <c r="G3859" s="93" t="s">
        <v>9587</v>
      </c>
      <c r="H3859" s="93" t="s">
        <v>118</v>
      </c>
      <c r="I3859" s="93" t="s">
        <v>111</v>
      </c>
      <c r="J3859" s="93" t="s">
        <v>118</v>
      </c>
      <c r="K3859" s="93">
        <v>3</v>
      </c>
      <c r="L3859" s="93" t="s">
        <v>111</v>
      </c>
      <c r="M3859" s="93" t="s">
        <v>111</v>
      </c>
      <c r="N3859" s="93" t="s">
        <v>111</v>
      </c>
      <c r="O3859" s="93" t="s">
        <v>111</v>
      </c>
      <c r="P3859" s="93" t="s">
        <v>111</v>
      </c>
      <c r="Q3859" s="93" t="s">
        <v>111</v>
      </c>
      <c r="R3859" s="93" t="s">
        <v>228</v>
      </c>
      <c r="S3859" s="93" t="s">
        <v>2</v>
      </c>
      <c r="T3859" s="93" t="s">
        <v>115</v>
      </c>
      <c r="U3859" s="93" t="s">
        <v>116</v>
      </c>
      <c r="V3859" s="94">
        <v>44622.98333333333</v>
      </c>
      <c r="W3859" s="93" t="s">
        <v>1170</v>
      </c>
      <c r="X3859" s="93" t="s">
        <v>24</v>
      </c>
    </row>
    <row r="3860" spans="1:24" hidden="1" x14ac:dyDescent="0.15">
      <c r="A3860" s="93" t="s">
        <v>5763</v>
      </c>
      <c r="B3860" s="93" t="s">
        <v>5764</v>
      </c>
      <c r="C3860" s="410">
        <v>1944</v>
      </c>
      <c r="D3860" s="93" t="s">
        <v>24</v>
      </c>
      <c r="E3860" s="93" t="s">
        <v>24</v>
      </c>
      <c r="F3860" s="93" t="s">
        <v>7070</v>
      </c>
      <c r="G3860" s="93" t="s">
        <v>9296</v>
      </c>
      <c r="H3860" s="93" t="s">
        <v>1198</v>
      </c>
      <c r="I3860" s="93" t="s">
        <v>111</v>
      </c>
      <c r="J3860" s="93" t="s">
        <v>4131</v>
      </c>
      <c r="K3860" s="93">
        <v>50</v>
      </c>
      <c r="L3860" s="93" t="s">
        <v>111</v>
      </c>
      <c r="M3860" s="93">
        <v>8.1</v>
      </c>
      <c r="N3860" s="93" t="s">
        <v>113</v>
      </c>
      <c r="O3860" s="93">
        <v>71</v>
      </c>
      <c r="P3860" s="93">
        <v>71</v>
      </c>
      <c r="Q3860" s="93">
        <v>20</v>
      </c>
      <c r="R3860" s="93" t="s">
        <v>117</v>
      </c>
      <c r="S3860" s="93" t="s">
        <v>20</v>
      </c>
      <c r="T3860" s="93" t="s">
        <v>4132</v>
      </c>
      <c r="U3860" s="93" t="s">
        <v>116</v>
      </c>
      <c r="V3860" s="94">
        <v>44628.587500000001</v>
      </c>
      <c r="W3860" s="93" t="s">
        <v>1170</v>
      </c>
      <c r="X3860" s="93" t="s">
        <v>24</v>
      </c>
    </row>
    <row r="3861" spans="1:24" hidden="1" x14ac:dyDescent="0.15">
      <c r="A3861" s="93" t="s">
        <v>5765</v>
      </c>
      <c r="B3861" s="93" t="s">
        <v>5766</v>
      </c>
      <c r="C3861" s="410">
        <v>3024</v>
      </c>
      <c r="D3861" s="93" t="s">
        <v>24</v>
      </c>
      <c r="E3861" s="93" t="s">
        <v>24</v>
      </c>
      <c r="F3861" s="93" t="s">
        <v>7070</v>
      </c>
      <c r="G3861" s="93" t="s">
        <v>9296</v>
      </c>
      <c r="H3861" s="93" t="s">
        <v>1198</v>
      </c>
      <c r="I3861" s="93" t="s">
        <v>111</v>
      </c>
      <c r="J3861" s="93" t="s">
        <v>4131</v>
      </c>
      <c r="K3861" s="93">
        <v>50</v>
      </c>
      <c r="L3861" s="93" t="s">
        <v>111</v>
      </c>
      <c r="M3861" s="93">
        <v>36.74</v>
      </c>
      <c r="N3861" s="93" t="s">
        <v>113</v>
      </c>
      <c r="O3861" s="93">
        <v>110</v>
      </c>
      <c r="P3861" s="93">
        <v>39</v>
      </c>
      <c r="Q3861" s="93">
        <v>102</v>
      </c>
      <c r="R3861" s="93" t="s">
        <v>117</v>
      </c>
      <c r="S3861" s="93" t="s">
        <v>20</v>
      </c>
      <c r="T3861" s="93" t="s">
        <v>115</v>
      </c>
      <c r="U3861" s="93" t="s">
        <v>116</v>
      </c>
      <c r="V3861" s="94">
        <v>44628.56527777778</v>
      </c>
      <c r="W3861" s="93" t="s">
        <v>1170</v>
      </c>
      <c r="X3861" s="93" t="s">
        <v>24</v>
      </c>
    </row>
    <row r="3862" spans="1:24" hidden="1" x14ac:dyDescent="0.15">
      <c r="A3862" s="93" t="s">
        <v>5767</v>
      </c>
      <c r="B3862" s="93" t="s">
        <v>5768</v>
      </c>
      <c r="C3862" s="410">
        <v>3834</v>
      </c>
      <c r="D3862" s="93" t="s">
        <v>24</v>
      </c>
      <c r="E3862" s="93" t="s">
        <v>24</v>
      </c>
      <c r="F3862" s="93" t="s">
        <v>7070</v>
      </c>
      <c r="G3862" s="93" t="s">
        <v>9296</v>
      </c>
      <c r="H3862" s="93" t="s">
        <v>1198</v>
      </c>
      <c r="I3862" s="93" t="s">
        <v>111</v>
      </c>
      <c r="J3862" s="93" t="s">
        <v>4131</v>
      </c>
      <c r="K3862" s="93">
        <v>50</v>
      </c>
      <c r="L3862" s="93" t="s">
        <v>111</v>
      </c>
      <c r="M3862" s="93">
        <v>57.15</v>
      </c>
      <c r="N3862" s="93" t="s">
        <v>113</v>
      </c>
      <c r="O3862" s="93">
        <v>152</v>
      </c>
      <c r="P3862" s="93">
        <v>150</v>
      </c>
      <c r="Q3862" s="93">
        <v>48</v>
      </c>
      <c r="R3862" s="93" t="s">
        <v>117</v>
      </c>
      <c r="S3862" s="93" t="s">
        <v>2</v>
      </c>
      <c r="T3862" s="93" t="s">
        <v>115</v>
      </c>
      <c r="U3862" s="93" t="s">
        <v>116</v>
      </c>
      <c r="V3862" s="94">
        <v>44628.544444444444</v>
      </c>
      <c r="W3862" s="93" t="s">
        <v>1170</v>
      </c>
      <c r="X3862" s="93" t="s">
        <v>24</v>
      </c>
    </row>
    <row r="3863" spans="1:24" hidden="1" x14ac:dyDescent="0.15">
      <c r="A3863" s="93" t="s">
        <v>5769</v>
      </c>
      <c r="B3863" s="93" t="s">
        <v>5770</v>
      </c>
      <c r="C3863" s="410">
        <v>5184</v>
      </c>
      <c r="D3863" s="93" t="s">
        <v>24</v>
      </c>
      <c r="E3863" s="93" t="s">
        <v>24</v>
      </c>
      <c r="F3863" s="93" t="s">
        <v>7070</v>
      </c>
      <c r="G3863" s="93" t="s">
        <v>9296</v>
      </c>
      <c r="H3863" s="93" t="s">
        <v>1198</v>
      </c>
      <c r="I3863" s="93" t="s">
        <v>111</v>
      </c>
      <c r="J3863" s="93" t="s">
        <v>4131</v>
      </c>
      <c r="K3863" s="93">
        <v>50</v>
      </c>
      <c r="L3863" s="93" t="s">
        <v>111</v>
      </c>
      <c r="M3863" s="93">
        <v>100.7</v>
      </c>
      <c r="N3863" s="93" t="s">
        <v>113</v>
      </c>
      <c r="O3863" s="93">
        <v>203</v>
      </c>
      <c r="P3863" s="93">
        <v>200</v>
      </c>
      <c r="Q3863" s="93">
        <v>51</v>
      </c>
      <c r="R3863" s="93" t="s">
        <v>117</v>
      </c>
      <c r="S3863" s="93" t="s">
        <v>20</v>
      </c>
      <c r="T3863" s="93" t="s">
        <v>115</v>
      </c>
      <c r="U3863" s="93" t="s">
        <v>116</v>
      </c>
      <c r="V3863" s="94">
        <v>44628.522222222222</v>
      </c>
      <c r="W3863" s="93" t="s">
        <v>1170</v>
      </c>
      <c r="X3863" s="93" t="s">
        <v>24</v>
      </c>
    </row>
    <row r="3864" spans="1:24" hidden="1" x14ac:dyDescent="0.15">
      <c r="A3864" s="93" t="s">
        <v>5771</v>
      </c>
      <c r="B3864" s="93" t="s">
        <v>5772</v>
      </c>
      <c r="C3864" s="410">
        <v>1107</v>
      </c>
      <c r="D3864" s="93" t="s">
        <v>24</v>
      </c>
      <c r="E3864" s="93" t="s">
        <v>24</v>
      </c>
      <c r="F3864" s="93" t="s">
        <v>7070</v>
      </c>
      <c r="G3864" s="93" t="s">
        <v>9296</v>
      </c>
      <c r="H3864" s="93" t="s">
        <v>1198</v>
      </c>
      <c r="I3864" s="93" t="s">
        <v>111</v>
      </c>
      <c r="J3864" s="93" t="s">
        <v>4131</v>
      </c>
      <c r="K3864" s="93">
        <v>50</v>
      </c>
      <c r="L3864" s="93">
        <v>1</v>
      </c>
      <c r="M3864" s="93">
        <v>11.3</v>
      </c>
      <c r="N3864" s="93" t="s">
        <v>113</v>
      </c>
      <c r="O3864" s="93">
        <v>21.6</v>
      </c>
      <c r="P3864" s="93">
        <v>69</v>
      </c>
      <c r="Q3864" s="93">
        <v>72</v>
      </c>
      <c r="R3864" s="93" t="s">
        <v>117</v>
      </c>
      <c r="S3864" s="93" t="s">
        <v>2</v>
      </c>
      <c r="T3864" s="93" t="s">
        <v>115</v>
      </c>
      <c r="U3864" s="93" t="s">
        <v>116</v>
      </c>
      <c r="V3864" s="94">
        <v>44628.529861111114</v>
      </c>
      <c r="W3864" s="93" t="s">
        <v>1170</v>
      </c>
      <c r="X3864" s="93" t="s">
        <v>24</v>
      </c>
    </row>
    <row r="3865" spans="1:24" hidden="1" x14ac:dyDescent="0.15">
      <c r="A3865" s="93" t="s">
        <v>5773</v>
      </c>
      <c r="B3865" s="93" t="s">
        <v>5774</v>
      </c>
      <c r="C3865" s="410">
        <v>1895.4</v>
      </c>
      <c r="D3865" s="93" t="s">
        <v>24</v>
      </c>
      <c r="E3865" s="93" t="s">
        <v>24</v>
      </c>
      <c r="F3865" s="93" t="s">
        <v>7070</v>
      </c>
      <c r="G3865" s="93" t="s">
        <v>9296</v>
      </c>
      <c r="H3865" s="93" t="s">
        <v>1198</v>
      </c>
      <c r="I3865" s="93" t="s">
        <v>111</v>
      </c>
      <c r="J3865" s="93" t="s">
        <v>4131</v>
      </c>
      <c r="K3865" s="93">
        <v>50</v>
      </c>
      <c r="L3865" s="93" t="s">
        <v>111</v>
      </c>
      <c r="M3865" s="93">
        <v>35.299999999999997</v>
      </c>
      <c r="N3865" s="93" t="s">
        <v>113</v>
      </c>
      <c r="O3865" s="93">
        <v>112</v>
      </c>
      <c r="P3865" s="93">
        <v>102</v>
      </c>
      <c r="Q3865" s="93">
        <v>43</v>
      </c>
      <c r="R3865" s="93" t="s">
        <v>117</v>
      </c>
      <c r="S3865" s="93" t="s">
        <v>20</v>
      </c>
      <c r="T3865" s="93" t="s">
        <v>115</v>
      </c>
      <c r="U3865" s="93" t="s">
        <v>116</v>
      </c>
      <c r="V3865" s="94">
        <v>44628.508333333331</v>
      </c>
      <c r="W3865" s="93" t="s">
        <v>1170</v>
      </c>
      <c r="X3865" s="93" t="s">
        <v>24</v>
      </c>
    </row>
    <row r="3866" spans="1:24" hidden="1" x14ac:dyDescent="0.15">
      <c r="A3866" s="93" t="s">
        <v>5775</v>
      </c>
      <c r="B3866" s="93" t="s">
        <v>5776</v>
      </c>
      <c r="C3866" s="410">
        <v>2349</v>
      </c>
      <c r="D3866" s="93" t="s">
        <v>24</v>
      </c>
      <c r="E3866" s="93" t="s">
        <v>24</v>
      </c>
      <c r="F3866" s="93" t="s">
        <v>7070</v>
      </c>
      <c r="G3866" s="93" t="s">
        <v>9296</v>
      </c>
      <c r="H3866" s="93" t="s">
        <v>1198</v>
      </c>
      <c r="I3866" s="93" t="s">
        <v>111</v>
      </c>
      <c r="J3866" s="93" t="s">
        <v>4131</v>
      </c>
      <c r="K3866" s="93">
        <v>50</v>
      </c>
      <c r="L3866" s="93" t="s">
        <v>111</v>
      </c>
      <c r="M3866" s="93">
        <v>57.15</v>
      </c>
      <c r="N3866" s="93" t="s">
        <v>113</v>
      </c>
      <c r="O3866" s="93">
        <v>152</v>
      </c>
      <c r="P3866" s="93">
        <v>150</v>
      </c>
      <c r="Q3866" s="93">
        <v>48</v>
      </c>
      <c r="R3866" s="93" t="s">
        <v>117</v>
      </c>
      <c r="S3866" s="93" t="s">
        <v>2</v>
      </c>
      <c r="T3866" s="93" t="s">
        <v>115</v>
      </c>
      <c r="U3866" s="93" t="s">
        <v>116</v>
      </c>
      <c r="V3866" s="94">
        <v>44628.572916666664</v>
      </c>
      <c r="W3866" s="93" t="s">
        <v>1170</v>
      </c>
      <c r="X3866" s="93" t="s">
        <v>24</v>
      </c>
    </row>
    <row r="3867" spans="1:24" hidden="1" x14ac:dyDescent="0.15">
      <c r="A3867" s="93" t="s">
        <v>5777</v>
      </c>
      <c r="B3867" s="93" t="s">
        <v>5778</v>
      </c>
      <c r="C3867" s="410">
        <v>3450.6</v>
      </c>
      <c r="D3867" s="93" t="s">
        <v>24</v>
      </c>
      <c r="E3867" s="93" t="s">
        <v>24</v>
      </c>
      <c r="F3867" s="93" t="s">
        <v>7070</v>
      </c>
      <c r="G3867" s="93" t="s">
        <v>9296</v>
      </c>
      <c r="H3867" s="93" t="s">
        <v>1198</v>
      </c>
      <c r="I3867" s="93" t="s">
        <v>111</v>
      </c>
      <c r="J3867" s="93" t="s">
        <v>4131</v>
      </c>
      <c r="K3867" s="93">
        <v>50</v>
      </c>
      <c r="L3867" s="93">
        <v>1</v>
      </c>
      <c r="M3867" s="93">
        <v>100.7</v>
      </c>
      <c r="N3867" s="93" t="s">
        <v>113</v>
      </c>
      <c r="O3867" s="93">
        <v>203</v>
      </c>
      <c r="P3867" s="93">
        <v>200</v>
      </c>
      <c r="Q3867" s="93">
        <v>51</v>
      </c>
      <c r="R3867" s="93" t="s">
        <v>117</v>
      </c>
      <c r="S3867" s="93" t="s">
        <v>2</v>
      </c>
      <c r="T3867" s="93" t="s">
        <v>115</v>
      </c>
      <c r="U3867" s="93" t="s">
        <v>116</v>
      </c>
      <c r="V3867" s="94">
        <v>44628.508333333331</v>
      </c>
      <c r="W3867" s="93" t="s">
        <v>1170</v>
      </c>
      <c r="X3867" s="93" t="s">
        <v>24</v>
      </c>
    </row>
    <row r="3868" spans="1:24" hidden="1" x14ac:dyDescent="0.15">
      <c r="A3868" s="93" t="s">
        <v>5779</v>
      </c>
      <c r="B3868" s="93" t="s">
        <v>5780</v>
      </c>
      <c r="C3868" s="410">
        <v>1269</v>
      </c>
      <c r="D3868" s="93" t="s">
        <v>24</v>
      </c>
      <c r="E3868" s="93" t="s">
        <v>24</v>
      </c>
      <c r="F3868" s="93" t="s">
        <v>7070</v>
      </c>
      <c r="G3868" s="93" t="s">
        <v>7175</v>
      </c>
      <c r="H3868" s="93" t="s">
        <v>1198</v>
      </c>
      <c r="I3868" s="93" t="s">
        <v>111</v>
      </c>
      <c r="J3868" s="93" t="s">
        <v>4131</v>
      </c>
      <c r="K3868" s="93">
        <v>50</v>
      </c>
      <c r="L3868" s="93" t="s">
        <v>111</v>
      </c>
      <c r="M3868" s="93">
        <v>21.7</v>
      </c>
      <c r="N3868" s="93" t="s">
        <v>113</v>
      </c>
      <c r="O3868" s="93">
        <v>70</v>
      </c>
      <c r="P3868" s="93">
        <v>78</v>
      </c>
      <c r="Q3868" s="93">
        <v>78</v>
      </c>
      <c r="R3868" s="93" t="s">
        <v>117</v>
      </c>
      <c r="S3868" s="93" t="s">
        <v>20</v>
      </c>
      <c r="T3868" s="93" t="s">
        <v>397</v>
      </c>
      <c r="U3868" s="93" t="s">
        <v>119</v>
      </c>
      <c r="V3868" s="94">
        <v>44628.54791666667</v>
      </c>
      <c r="W3868" s="93" t="s">
        <v>1170</v>
      </c>
      <c r="X3868" s="93" t="s">
        <v>24</v>
      </c>
    </row>
    <row r="3869" spans="1:24" hidden="1" x14ac:dyDescent="0.15">
      <c r="A3869" s="93" t="s">
        <v>5781</v>
      </c>
      <c r="B3869" s="93" t="s">
        <v>5782</v>
      </c>
      <c r="C3869" s="410">
        <v>1269</v>
      </c>
      <c r="D3869" s="93" t="s">
        <v>24</v>
      </c>
      <c r="E3869" s="93" t="s">
        <v>24</v>
      </c>
      <c r="F3869" s="93" t="s">
        <v>7070</v>
      </c>
      <c r="G3869" s="93" t="s">
        <v>9296</v>
      </c>
      <c r="H3869" s="93" t="s">
        <v>1198</v>
      </c>
      <c r="I3869" s="93" t="s">
        <v>111</v>
      </c>
      <c r="J3869" s="93" t="s">
        <v>4131</v>
      </c>
      <c r="K3869" s="93">
        <v>50</v>
      </c>
      <c r="L3869" s="93" t="s">
        <v>111</v>
      </c>
      <c r="M3869" s="93">
        <v>21.7</v>
      </c>
      <c r="N3869" s="93" t="s">
        <v>113</v>
      </c>
      <c r="O3869" s="93">
        <v>70</v>
      </c>
      <c r="P3869" s="93">
        <v>78</v>
      </c>
      <c r="Q3869" s="93">
        <v>78</v>
      </c>
      <c r="R3869" s="93" t="s">
        <v>117</v>
      </c>
      <c r="S3869" s="93" t="s">
        <v>2</v>
      </c>
      <c r="T3869" s="93" t="s">
        <v>115</v>
      </c>
      <c r="U3869" s="93" t="s">
        <v>116</v>
      </c>
      <c r="V3869" s="94">
        <v>44628.629861111112</v>
      </c>
      <c r="W3869" s="93" t="s">
        <v>1170</v>
      </c>
      <c r="X3869" s="93" t="s">
        <v>24</v>
      </c>
    </row>
    <row r="3870" spans="1:24" hidden="1" x14ac:dyDescent="0.15">
      <c r="A3870" s="93" t="s">
        <v>5783</v>
      </c>
      <c r="B3870" s="93" t="s">
        <v>5784</v>
      </c>
      <c r="C3870" s="410">
        <v>2273.4</v>
      </c>
      <c r="D3870" s="93" t="s">
        <v>24</v>
      </c>
      <c r="E3870" s="93" t="s">
        <v>24</v>
      </c>
      <c r="F3870" s="93" t="s">
        <v>7070</v>
      </c>
      <c r="G3870" s="93" t="s">
        <v>9296</v>
      </c>
      <c r="H3870" s="93" t="s">
        <v>1198</v>
      </c>
      <c r="I3870" s="93" t="s">
        <v>111</v>
      </c>
      <c r="J3870" s="93" t="s">
        <v>4131</v>
      </c>
      <c r="K3870" s="93">
        <v>50</v>
      </c>
      <c r="L3870" s="93">
        <v>1</v>
      </c>
      <c r="M3870" s="93">
        <v>11.3</v>
      </c>
      <c r="N3870" s="93" t="s">
        <v>113</v>
      </c>
      <c r="O3870" s="93">
        <v>21.6</v>
      </c>
      <c r="P3870" s="93">
        <v>69</v>
      </c>
      <c r="Q3870" s="93">
        <v>72</v>
      </c>
      <c r="R3870" s="93" t="s">
        <v>117</v>
      </c>
      <c r="S3870" s="93" t="s">
        <v>2</v>
      </c>
      <c r="T3870" s="93" t="s">
        <v>115</v>
      </c>
      <c r="U3870" s="93" t="s">
        <v>116</v>
      </c>
      <c r="V3870" s="94">
        <v>44628.595138888886</v>
      </c>
      <c r="W3870" s="93" t="s">
        <v>1170</v>
      </c>
      <c r="X3870" s="93" t="s">
        <v>24</v>
      </c>
    </row>
    <row r="3871" spans="1:24" hidden="1" x14ac:dyDescent="0.15">
      <c r="A3871" s="93" t="s">
        <v>5785</v>
      </c>
      <c r="B3871" s="93" t="s">
        <v>5786</v>
      </c>
      <c r="C3871" s="410">
        <v>3958.2</v>
      </c>
      <c r="D3871" s="93" t="s">
        <v>24</v>
      </c>
      <c r="E3871" s="93" t="s">
        <v>24</v>
      </c>
      <c r="F3871" s="93" t="s">
        <v>7070</v>
      </c>
      <c r="G3871" s="93" t="s">
        <v>9296</v>
      </c>
      <c r="H3871" s="93" t="s">
        <v>1198</v>
      </c>
      <c r="I3871" s="93" t="s">
        <v>111</v>
      </c>
      <c r="J3871" s="93" t="s">
        <v>4131</v>
      </c>
      <c r="K3871" s="93">
        <v>50</v>
      </c>
      <c r="L3871" s="93" t="s">
        <v>111</v>
      </c>
      <c r="M3871" s="93">
        <v>88.9</v>
      </c>
      <c r="N3871" s="93" t="s">
        <v>113</v>
      </c>
      <c r="O3871" s="93">
        <v>152</v>
      </c>
      <c r="P3871" s="93">
        <v>150</v>
      </c>
      <c r="Q3871" s="93">
        <v>89</v>
      </c>
      <c r="R3871" s="93" t="s">
        <v>117</v>
      </c>
      <c r="S3871" s="93" t="s">
        <v>2</v>
      </c>
      <c r="T3871" s="93" t="s">
        <v>115</v>
      </c>
      <c r="U3871" s="93" t="s">
        <v>116</v>
      </c>
      <c r="V3871" s="94">
        <v>44628.595138888886</v>
      </c>
      <c r="W3871" s="93" t="s">
        <v>1170</v>
      </c>
      <c r="X3871" s="93" t="s">
        <v>24</v>
      </c>
    </row>
    <row r="3872" spans="1:24" hidden="1" x14ac:dyDescent="0.15">
      <c r="A3872" s="93" t="s">
        <v>5787</v>
      </c>
      <c r="B3872" s="93" t="s">
        <v>5788</v>
      </c>
      <c r="C3872" s="410">
        <v>7176.6</v>
      </c>
      <c r="D3872" s="93" t="s">
        <v>24</v>
      </c>
      <c r="E3872" s="93" t="s">
        <v>24</v>
      </c>
      <c r="F3872" s="93" t="s">
        <v>7070</v>
      </c>
      <c r="G3872" s="93" t="s">
        <v>9296</v>
      </c>
      <c r="H3872" s="93" t="s">
        <v>1198</v>
      </c>
      <c r="I3872" s="93" t="s">
        <v>111</v>
      </c>
      <c r="J3872" s="93" t="s">
        <v>4131</v>
      </c>
      <c r="K3872" s="93">
        <v>50</v>
      </c>
      <c r="L3872" s="93" t="s">
        <v>111</v>
      </c>
      <c r="M3872" s="93">
        <v>181</v>
      </c>
      <c r="N3872" s="93" t="s">
        <v>113</v>
      </c>
      <c r="O3872" s="93">
        <v>203</v>
      </c>
      <c r="P3872" s="93">
        <v>196</v>
      </c>
      <c r="Q3872" s="93">
        <v>89</v>
      </c>
      <c r="R3872" s="93" t="s">
        <v>117</v>
      </c>
      <c r="S3872" s="93" t="s">
        <v>2</v>
      </c>
      <c r="T3872" s="93" t="s">
        <v>115</v>
      </c>
      <c r="U3872" s="93" t="s">
        <v>116</v>
      </c>
      <c r="V3872" s="94">
        <v>44628.529861111114</v>
      </c>
      <c r="W3872" s="93" t="s">
        <v>1170</v>
      </c>
      <c r="X3872" s="93" t="s">
        <v>24</v>
      </c>
    </row>
    <row r="3873" spans="1:24" hidden="1" x14ac:dyDescent="0.15">
      <c r="A3873" s="93" t="s">
        <v>5789</v>
      </c>
      <c r="B3873" s="93" t="s">
        <v>5790</v>
      </c>
      <c r="C3873" s="410">
        <v>1593</v>
      </c>
      <c r="D3873" s="93" t="s">
        <v>24</v>
      </c>
      <c r="E3873" s="93" t="s">
        <v>24</v>
      </c>
      <c r="F3873" s="93" t="s">
        <v>7070</v>
      </c>
      <c r="G3873" s="93" t="s">
        <v>7175</v>
      </c>
      <c r="H3873" s="93" t="s">
        <v>1198</v>
      </c>
      <c r="I3873" s="93" t="s">
        <v>111</v>
      </c>
      <c r="J3873" s="93" t="s">
        <v>4131</v>
      </c>
      <c r="K3873" s="93">
        <v>50</v>
      </c>
      <c r="L3873" s="93" t="s">
        <v>111</v>
      </c>
      <c r="M3873" s="93">
        <v>35.299999999999997</v>
      </c>
      <c r="N3873" s="93" t="s">
        <v>113</v>
      </c>
      <c r="O3873" s="93">
        <v>112</v>
      </c>
      <c r="P3873" s="93">
        <v>102</v>
      </c>
      <c r="Q3873" s="93">
        <v>43</v>
      </c>
      <c r="R3873" s="93" t="s">
        <v>117</v>
      </c>
      <c r="S3873" s="93" t="s">
        <v>20</v>
      </c>
      <c r="T3873" s="93" t="s">
        <v>115</v>
      </c>
      <c r="U3873" s="93" t="s">
        <v>116</v>
      </c>
      <c r="V3873" s="94">
        <v>44628.568749999999</v>
      </c>
      <c r="W3873" s="93" t="s">
        <v>1170</v>
      </c>
      <c r="X3873" s="93" t="s">
        <v>24</v>
      </c>
    </row>
    <row r="3874" spans="1:24" hidden="1" x14ac:dyDescent="0.15">
      <c r="A3874" s="93" t="s">
        <v>5791</v>
      </c>
      <c r="B3874" s="93" t="s">
        <v>5792</v>
      </c>
      <c r="C3874" s="410">
        <v>1836</v>
      </c>
      <c r="D3874" s="93" t="s">
        <v>24</v>
      </c>
      <c r="E3874" s="93" t="s">
        <v>24</v>
      </c>
      <c r="F3874" s="93" t="s">
        <v>7070</v>
      </c>
      <c r="G3874" s="93" t="s">
        <v>9296</v>
      </c>
      <c r="H3874" s="93" t="s">
        <v>1198</v>
      </c>
      <c r="I3874" s="93" t="s">
        <v>111</v>
      </c>
      <c r="J3874" s="93" t="s">
        <v>4131</v>
      </c>
      <c r="K3874" s="93">
        <v>50</v>
      </c>
      <c r="L3874" s="93" t="s">
        <v>111</v>
      </c>
      <c r="M3874" s="93">
        <v>10.8</v>
      </c>
      <c r="N3874" s="93" t="s">
        <v>113</v>
      </c>
      <c r="O3874" s="93">
        <v>49</v>
      </c>
      <c r="P3874" s="93">
        <v>46</v>
      </c>
      <c r="Q3874" s="93">
        <v>46</v>
      </c>
      <c r="R3874" s="93" t="s">
        <v>117</v>
      </c>
      <c r="S3874" s="93" t="s">
        <v>20</v>
      </c>
      <c r="T3874" s="93" t="s">
        <v>115</v>
      </c>
      <c r="U3874" s="93" t="s">
        <v>116</v>
      </c>
      <c r="V3874" s="94">
        <v>44628.586805555555</v>
      </c>
      <c r="W3874" s="93" t="s">
        <v>1170</v>
      </c>
      <c r="X3874" s="93" t="s">
        <v>24</v>
      </c>
    </row>
    <row r="3875" spans="1:24" hidden="1" x14ac:dyDescent="0.15">
      <c r="A3875" s="93" t="s">
        <v>5793</v>
      </c>
      <c r="B3875" s="93" t="s">
        <v>5794</v>
      </c>
      <c r="C3875" s="410">
        <v>167.4</v>
      </c>
      <c r="D3875" s="93" t="s">
        <v>24</v>
      </c>
      <c r="E3875" s="93" t="s">
        <v>24</v>
      </c>
      <c r="F3875" s="93" t="s">
        <v>7070</v>
      </c>
      <c r="G3875" s="93" t="s">
        <v>9296</v>
      </c>
      <c r="H3875" s="93" t="s">
        <v>11</v>
      </c>
      <c r="I3875" s="93" t="s">
        <v>111</v>
      </c>
      <c r="J3875" s="93" t="s">
        <v>390</v>
      </c>
      <c r="K3875" s="93">
        <v>80</v>
      </c>
      <c r="L3875" s="93" t="s">
        <v>111</v>
      </c>
      <c r="M3875" s="93">
        <v>0.8</v>
      </c>
      <c r="N3875" s="93" t="s">
        <v>113</v>
      </c>
      <c r="O3875" s="93">
        <v>6</v>
      </c>
      <c r="P3875" s="93">
        <v>41</v>
      </c>
      <c r="Q3875" s="93">
        <v>41</v>
      </c>
      <c r="R3875" s="93" t="s">
        <v>1210</v>
      </c>
      <c r="S3875" s="93" t="s">
        <v>18</v>
      </c>
      <c r="T3875" s="93" t="s">
        <v>115</v>
      </c>
      <c r="U3875" s="93" t="s">
        <v>116</v>
      </c>
      <c r="V3875" s="94">
        <v>44628.544444444444</v>
      </c>
      <c r="W3875" s="93" t="s">
        <v>1170</v>
      </c>
      <c r="X3875" s="93" t="s">
        <v>24</v>
      </c>
    </row>
    <row r="3876" spans="1:24" hidden="1" x14ac:dyDescent="0.15">
      <c r="A3876" s="93" t="s">
        <v>5795</v>
      </c>
      <c r="B3876" s="93" t="s">
        <v>5796</v>
      </c>
      <c r="C3876" s="410">
        <v>421.2</v>
      </c>
      <c r="D3876" s="93" t="s">
        <v>24</v>
      </c>
      <c r="E3876" s="93" t="s">
        <v>24</v>
      </c>
      <c r="F3876" s="93" t="s">
        <v>7070</v>
      </c>
      <c r="G3876" s="93" t="s">
        <v>9296</v>
      </c>
      <c r="H3876" s="93" t="s">
        <v>1198</v>
      </c>
      <c r="I3876" s="93" t="s">
        <v>111</v>
      </c>
      <c r="J3876" s="93" t="s">
        <v>4131</v>
      </c>
      <c r="K3876" s="93">
        <v>50</v>
      </c>
      <c r="L3876" s="93" t="s">
        <v>111</v>
      </c>
      <c r="M3876" s="93">
        <v>3.6</v>
      </c>
      <c r="N3876" s="93" t="s">
        <v>113</v>
      </c>
      <c r="O3876" s="93">
        <v>69</v>
      </c>
      <c r="P3876" s="93">
        <v>71</v>
      </c>
      <c r="Q3876" s="93">
        <v>18</v>
      </c>
      <c r="R3876" s="93" t="s">
        <v>117</v>
      </c>
      <c r="S3876" s="93" t="s">
        <v>20</v>
      </c>
      <c r="T3876" s="93" t="s">
        <v>115</v>
      </c>
      <c r="U3876" s="93" t="s">
        <v>116</v>
      </c>
      <c r="V3876" s="94">
        <v>44628.647916666669</v>
      </c>
      <c r="W3876" s="93" t="s">
        <v>1170</v>
      </c>
      <c r="X3876" s="93" t="s">
        <v>24</v>
      </c>
    </row>
    <row r="3877" spans="1:24" hidden="1" x14ac:dyDescent="0.15">
      <c r="A3877" s="93" t="s">
        <v>5797</v>
      </c>
      <c r="B3877" s="93" t="s">
        <v>5798</v>
      </c>
      <c r="C3877" s="410">
        <v>756</v>
      </c>
      <c r="D3877" s="93" t="s">
        <v>24</v>
      </c>
      <c r="E3877" s="93" t="s">
        <v>24</v>
      </c>
      <c r="F3877" s="93" t="s">
        <v>7070</v>
      </c>
      <c r="G3877" s="93" t="s">
        <v>9296</v>
      </c>
      <c r="H3877" s="93" t="s">
        <v>1198</v>
      </c>
      <c r="I3877" s="93" t="s">
        <v>111</v>
      </c>
      <c r="J3877" s="93" t="s">
        <v>4131</v>
      </c>
      <c r="K3877" s="93">
        <v>50</v>
      </c>
      <c r="L3877" s="93" t="s">
        <v>111</v>
      </c>
      <c r="M3877" s="93">
        <v>4</v>
      </c>
      <c r="N3877" s="93" t="s">
        <v>113</v>
      </c>
      <c r="O3877" s="93">
        <v>33</v>
      </c>
      <c r="P3877" s="93">
        <v>94</v>
      </c>
      <c r="Q3877" s="93">
        <v>94</v>
      </c>
      <c r="R3877" s="93" t="s">
        <v>117</v>
      </c>
      <c r="S3877" s="93" t="s">
        <v>20</v>
      </c>
      <c r="T3877" s="93" t="s">
        <v>115</v>
      </c>
      <c r="U3877" s="93" t="s">
        <v>116</v>
      </c>
      <c r="V3877" s="94">
        <v>44628.525694444441</v>
      </c>
      <c r="W3877" s="93" t="s">
        <v>1170</v>
      </c>
      <c r="X3877" s="93" t="s">
        <v>24</v>
      </c>
    </row>
    <row r="3878" spans="1:24" hidden="1" x14ac:dyDescent="0.15">
      <c r="A3878" s="93" t="s">
        <v>5799</v>
      </c>
      <c r="B3878" s="93" t="s">
        <v>5800</v>
      </c>
      <c r="C3878" s="410">
        <v>993.6</v>
      </c>
      <c r="D3878" s="93" t="s">
        <v>24</v>
      </c>
      <c r="E3878" s="93" t="s">
        <v>24</v>
      </c>
      <c r="F3878" s="93" t="s">
        <v>7070</v>
      </c>
      <c r="G3878" s="93" t="s">
        <v>9296</v>
      </c>
      <c r="H3878" s="93" t="s">
        <v>11</v>
      </c>
      <c r="I3878" s="93" t="s">
        <v>111</v>
      </c>
      <c r="J3878" s="93" t="s">
        <v>4131</v>
      </c>
      <c r="K3878" s="93">
        <v>50</v>
      </c>
      <c r="L3878" s="93" t="s">
        <v>111</v>
      </c>
      <c r="M3878" s="93">
        <v>25.1</v>
      </c>
      <c r="N3878" s="93" t="s">
        <v>113</v>
      </c>
      <c r="O3878" s="93">
        <v>135</v>
      </c>
      <c r="P3878" s="93">
        <v>132</v>
      </c>
      <c r="Q3878" s="93">
        <v>46</v>
      </c>
      <c r="R3878" s="93" t="s">
        <v>117</v>
      </c>
      <c r="S3878" s="93" t="s">
        <v>2</v>
      </c>
      <c r="T3878" s="93" t="s">
        <v>115</v>
      </c>
      <c r="U3878" s="93" t="s">
        <v>116</v>
      </c>
      <c r="V3878" s="94">
        <v>44628.5</v>
      </c>
      <c r="W3878" s="93" t="s">
        <v>1170</v>
      </c>
      <c r="X3878" s="93" t="s">
        <v>24</v>
      </c>
    </row>
    <row r="3879" spans="1:24" hidden="1" x14ac:dyDescent="0.15">
      <c r="A3879" s="93" t="s">
        <v>41</v>
      </c>
      <c r="B3879" s="93" t="s">
        <v>401</v>
      </c>
      <c r="C3879" s="410">
        <v>264.60000000000002</v>
      </c>
      <c r="D3879" s="93" t="s">
        <v>24</v>
      </c>
      <c r="E3879" s="93" t="s">
        <v>24</v>
      </c>
      <c r="F3879" s="93" t="s">
        <v>7070</v>
      </c>
      <c r="G3879" s="93" t="s">
        <v>8059</v>
      </c>
      <c r="H3879" s="93" t="s">
        <v>11</v>
      </c>
      <c r="I3879" s="93" t="s">
        <v>111</v>
      </c>
      <c r="J3879" s="93" t="s">
        <v>33</v>
      </c>
      <c r="K3879" s="93">
        <v>90</v>
      </c>
      <c r="L3879" s="93">
        <v>10</v>
      </c>
      <c r="M3879" s="93">
        <v>1.2999999999999999E-2</v>
      </c>
      <c r="N3879" s="93" t="s">
        <v>113</v>
      </c>
      <c r="O3879" s="93">
        <v>9.9499999999999993</v>
      </c>
      <c r="P3879" s="93">
        <v>2.52</v>
      </c>
      <c r="Q3879" s="93">
        <v>4.63</v>
      </c>
      <c r="R3879" s="93" t="s">
        <v>123</v>
      </c>
      <c r="S3879" s="93" t="s">
        <v>20</v>
      </c>
      <c r="T3879" s="93" t="s">
        <v>397</v>
      </c>
      <c r="U3879" s="93" t="s">
        <v>116</v>
      </c>
      <c r="V3879" s="94">
        <v>44628.59652777778</v>
      </c>
      <c r="W3879" s="93" t="s">
        <v>402</v>
      </c>
      <c r="X3879" s="93" t="s">
        <v>9</v>
      </c>
    </row>
    <row r="3880" spans="1:24" hidden="1" x14ac:dyDescent="0.15">
      <c r="A3880" s="93" t="s">
        <v>36</v>
      </c>
      <c r="B3880" s="93" t="s">
        <v>37</v>
      </c>
      <c r="C3880" s="410">
        <v>80.95</v>
      </c>
      <c r="D3880" s="93" t="s">
        <v>24</v>
      </c>
      <c r="E3880" s="93" t="s">
        <v>24</v>
      </c>
      <c r="F3880" s="93" t="s">
        <v>7070</v>
      </c>
      <c r="G3880" s="93" t="s">
        <v>8059</v>
      </c>
      <c r="H3880" s="93" t="s">
        <v>11</v>
      </c>
      <c r="I3880" s="93" t="s">
        <v>111</v>
      </c>
      <c r="J3880" s="93" t="s">
        <v>33</v>
      </c>
      <c r="K3880" s="93">
        <v>90</v>
      </c>
      <c r="L3880" s="93">
        <v>10</v>
      </c>
      <c r="M3880" s="93">
        <v>6.0000000000000001E-3</v>
      </c>
      <c r="N3880" s="93" t="s">
        <v>113</v>
      </c>
      <c r="O3880" s="93">
        <v>9.9499999999999993</v>
      </c>
      <c r="P3880" s="93">
        <v>2.5499999999999998</v>
      </c>
      <c r="Q3880" s="93">
        <v>4.63</v>
      </c>
      <c r="R3880" s="93" t="s">
        <v>123</v>
      </c>
      <c r="S3880" s="93" t="s">
        <v>20</v>
      </c>
      <c r="T3880" s="93" t="s">
        <v>397</v>
      </c>
      <c r="U3880" s="93" t="s">
        <v>116</v>
      </c>
      <c r="V3880" s="94">
        <v>44628.553472222222</v>
      </c>
      <c r="W3880" s="93" t="s">
        <v>402</v>
      </c>
      <c r="X3880" s="93" t="s">
        <v>9</v>
      </c>
    </row>
    <row r="3881" spans="1:24" hidden="1" x14ac:dyDescent="0.15">
      <c r="A3881" s="93" t="s">
        <v>34</v>
      </c>
      <c r="B3881" s="93" t="s">
        <v>403</v>
      </c>
      <c r="C3881" s="410">
        <v>53.95</v>
      </c>
      <c r="D3881" s="93" t="s">
        <v>24</v>
      </c>
      <c r="E3881" s="93" t="s">
        <v>24</v>
      </c>
      <c r="F3881" s="93" t="s">
        <v>7070</v>
      </c>
      <c r="G3881" s="93" t="s">
        <v>8059</v>
      </c>
      <c r="H3881" s="93" t="s">
        <v>11</v>
      </c>
      <c r="I3881" s="93" t="s">
        <v>111</v>
      </c>
      <c r="J3881" s="93" t="s">
        <v>33</v>
      </c>
      <c r="K3881" s="93">
        <v>90</v>
      </c>
      <c r="L3881" s="93">
        <v>10</v>
      </c>
      <c r="M3881" s="93">
        <v>6.0000000000000001E-3</v>
      </c>
      <c r="N3881" s="93" t="s">
        <v>113</v>
      </c>
      <c r="O3881" s="93">
        <v>9.9499999999999993</v>
      </c>
      <c r="P3881" s="93">
        <v>2.5499999999999998</v>
      </c>
      <c r="Q3881" s="93">
        <v>4.63</v>
      </c>
      <c r="R3881" s="93" t="s">
        <v>123</v>
      </c>
      <c r="S3881" s="93" t="s">
        <v>20</v>
      </c>
      <c r="T3881" s="93" t="s">
        <v>397</v>
      </c>
      <c r="U3881" s="93" t="s">
        <v>116</v>
      </c>
      <c r="V3881" s="94">
        <v>44628.631249999999</v>
      </c>
      <c r="W3881" s="93" t="s">
        <v>402</v>
      </c>
      <c r="X3881" s="93" t="s">
        <v>9</v>
      </c>
    </row>
    <row r="3882" spans="1:24" hidden="1" x14ac:dyDescent="0.15">
      <c r="A3882" s="93" t="s">
        <v>40</v>
      </c>
      <c r="B3882" s="93" t="s">
        <v>404</v>
      </c>
      <c r="C3882" s="410">
        <v>53.95</v>
      </c>
      <c r="D3882" s="93" t="s">
        <v>24</v>
      </c>
      <c r="E3882" s="93" t="s">
        <v>24</v>
      </c>
      <c r="F3882" s="93" t="s">
        <v>7070</v>
      </c>
      <c r="G3882" s="93" t="s">
        <v>8059</v>
      </c>
      <c r="H3882" s="93" t="s">
        <v>11</v>
      </c>
      <c r="I3882" s="93" t="s">
        <v>111</v>
      </c>
      <c r="J3882" s="93" t="s">
        <v>33</v>
      </c>
      <c r="K3882" s="93">
        <v>90</v>
      </c>
      <c r="L3882" s="93">
        <v>10</v>
      </c>
      <c r="M3882" s="93">
        <v>6.0000000000000001E-3</v>
      </c>
      <c r="N3882" s="93" t="s">
        <v>113</v>
      </c>
      <c r="O3882" s="93">
        <v>9.9499999999999993</v>
      </c>
      <c r="P3882" s="93">
        <v>2.5499999999999998</v>
      </c>
      <c r="Q3882" s="93">
        <v>4.63</v>
      </c>
      <c r="R3882" s="93" t="s">
        <v>123</v>
      </c>
      <c r="S3882" s="93" t="s">
        <v>20</v>
      </c>
      <c r="T3882" s="93" t="s">
        <v>397</v>
      </c>
      <c r="U3882" s="93" t="s">
        <v>116</v>
      </c>
      <c r="V3882" s="94">
        <v>44628.509722222225</v>
      </c>
      <c r="W3882" s="93" t="s">
        <v>402</v>
      </c>
      <c r="X3882" s="93" t="s">
        <v>9</v>
      </c>
    </row>
    <row r="3883" spans="1:24" hidden="1" x14ac:dyDescent="0.15">
      <c r="A3883" s="93" t="s">
        <v>38</v>
      </c>
      <c r="B3883" s="93" t="s">
        <v>39</v>
      </c>
      <c r="C3883" s="410">
        <v>37.75</v>
      </c>
      <c r="D3883" s="93" t="s">
        <v>24</v>
      </c>
      <c r="E3883" s="93" t="s">
        <v>24</v>
      </c>
      <c r="F3883" s="93" t="s">
        <v>7070</v>
      </c>
      <c r="G3883" s="93" t="s">
        <v>8059</v>
      </c>
      <c r="H3883" s="93" t="s">
        <v>11</v>
      </c>
      <c r="I3883" s="93" t="s">
        <v>111</v>
      </c>
      <c r="J3883" s="93" t="s">
        <v>33</v>
      </c>
      <c r="K3883" s="93">
        <v>90</v>
      </c>
      <c r="L3883" s="93">
        <v>10</v>
      </c>
      <c r="M3883" s="93">
        <v>6.0000000000000001E-3</v>
      </c>
      <c r="N3883" s="93" t="s">
        <v>113</v>
      </c>
      <c r="O3883" s="93">
        <v>9.9499999999999993</v>
      </c>
      <c r="P3883" s="93">
        <v>2.5499999999999998</v>
      </c>
      <c r="Q3883" s="93">
        <v>4.63</v>
      </c>
      <c r="R3883" s="93" t="s">
        <v>123</v>
      </c>
      <c r="S3883" s="93" t="s">
        <v>20</v>
      </c>
      <c r="T3883" s="93" t="s">
        <v>397</v>
      </c>
      <c r="U3883" s="93" t="s">
        <v>116</v>
      </c>
      <c r="V3883" s="94">
        <v>44628.46597222222</v>
      </c>
      <c r="W3883" s="93" t="s">
        <v>402</v>
      </c>
      <c r="X3883" s="93" t="s">
        <v>9</v>
      </c>
    </row>
    <row r="3884" spans="1:24" hidden="1" x14ac:dyDescent="0.15">
      <c r="A3884" s="93" t="s">
        <v>35</v>
      </c>
      <c r="B3884" s="93" t="s">
        <v>405</v>
      </c>
      <c r="C3884" s="410">
        <v>32.35</v>
      </c>
      <c r="D3884" s="93" t="s">
        <v>24</v>
      </c>
      <c r="E3884" s="93" t="s">
        <v>24</v>
      </c>
      <c r="F3884" s="93" t="s">
        <v>7070</v>
      </c>
      <c r="G3884" s="93" t="s">
        <v>8059</v>
      </c>
      <c r="H3884" s="93" t="s">
        <v>11</v>
      </c>
      <c r="I3884" s="93" t="s">
        <v>111</v>
      </c>
      <c r="J3884" s="93" t="s">
        <v>33</v>
      </c>
      <c r="K3884" s="93">
        <v>90</v>
      </c>
      <c r="L3884" s="93">
        <v>10</v>
      </c>
      <c r="M3884" s="93">
        <v>6.0000000000000001E-3</v>
      </c>
      <c r="N3884" s="93" t="s">
        <v>113</v>
      </c>
      <c r="O3884" s="93">
        <v>9.9499999999999993</v>
      </c>
      <c r="P3884" s="93">
        <v>2.5499999999999998</v>
      </c>
      <c r="Q3884" s="93">
        <v>4.63</v>
      </c>
      <c r="R3884" s="93" t="s">
        <v>123</v>
      </c>
      <c r="S3884" s="93" t="s">
        <v>20</v>
      </c>
      <c r="T3884" s="93" t="s">
        <v>397</v>
      </c>
      <c r="U3884" s="93" t="s">
        <v>116</v>
      </c>
      <c r="V3884" s="94">
        <v>44628.59652777778</v>
      </c>
      <c r="W3884" s="93" t="s">
        <v>402</v>
      </c>
      <c r="X3884" s="93" t="s">
        <v>9</v>
      </c>
    </row>
    <row r="3885" spans="1:24" hidden="1" x14ac:dyDescent="0.15">
      <c r="A3885" s="93" t="s">
        <v>5801</v>
      </c>
      <c r="B3885" s="93" t="s">
        <v>5802</v>
      </c>
      <c r="C3885" s="410">
        <v>550</v>
      </c>
      <c r="D3885" s="93" t="s">
        <v>24</v>
      </c>
      <c r="E3885" s="93" t="s">
        <v>24</v>
      </c>
      <c r="F3885" s="93" t="s">
        <v>7070</v>
      </c>
      <c r="G3885" s="93" t="s">
        <v>9087</v>
      </c>
      <c r="H3885" s="93" t="s">
        <v>118</v>
      </c>
      <c r="I3885" s="93" t="s">
        <v>111</v>
      </c>
      <c r="J3885" s="93" t="s">
        <v>7105</v>
      </c>
      <c r="K3885" s="93" t="s">
        <v>111</v>
      </c>
      <c r="L3885" s="93" t="s">
        <v>111</v>
      </c>
      <c r="M3885" s="93" t="s">
        <v>111</v>
      </c>
      <c r="N3885" s="93" t="s">
        <v>111</v>
      </c>
      <c r="O3885" s="93" t="s">
        <v>111</v>
      </c>
      <c r="P3885" s="93" t="s">
        <v>111</v>
      </c>
      <c r="Q3885" s="93" t="s">
        <v>111</v>
      </c>
      <c r="R3885" s="93" t="s">
        <v>1199</v>
      </c>
      <c r="S3885" s="93" t="s">
        <v>111</v>
      </c>
      <c r="T3885" s="93" t="s">
        <v>115</v>
      </c>
      <c r="U3885" s="93" t="s">
        <v>119</v>
      </c>
      <c r="V3885" s="94">
        <v>44588.179166666669</v>
      </c>
      <c r="W3885" s="93" t="s">
        <v>1170</v>
      </c>
      <c r="X3885" s="93" t="s">
        <v>111</v>
      </c>
    </row>
    <row r="3886" spans="1:24" hidden="1" x14ac:dyDescent="0.15">
      <c r="A3886" s="93" t="s">
        <v>5803</v>
      </c>
      <c r="B3886" s="93" t="s">
        <v>5804</v>
      </c>
      <c r="C3886" s="410">
        <v>120</v>
      </c>
      <c r="D3886" s="93" t="s">
        <v>24</v>
      </c>
      <c r="E3886" s="93" t="s">
        <v>24</v>
      </c>
      <c r="F3886" s="93" t="s">
        <v>7070</v>
      </c>
      <c r="G3886" s="93" t="s">
        <v>9087</v>
      </c>
      <c r="H3886" s="93" t="s">
        <v>118</v>
      </c>
      <c r="I3886" s="93" t="s">
        <v>111</v>
      </c>
      <c r="J3886" s="93" t="s">
        <v>7105</v>
      </c>
      <c r="K3886" s="93" t="s">
        <v>111</v>
      </c>
      <c r="L3886" s="93" t="s">
        <v>111</v>
      </c>
      <c r="M3886" s="93" t="s">
        <v>111</v>
      </c>
      <c r="N3886" s="93" t="s">
        <v>111</v>
      </c>
      <c r="O3886" s="93" t="s">
        <v>111</v>
      </c>
      <c r="P3886" s="93" t="s">
        <v>111</v>
      </c>
      <c r="Q3886" s="93" t="s">
        <v>111</v>
      </c>
      <c r="R3886" s="93" t="s">
        <v>1199</v>
      </c>
      <c r="S3886" s="93" t="s">
        <v>111</v>
      </c>
      <c r="T3886" s="93" t="s">
        <v>394</v>
      </c>
      <c r="U3886" s="93" t="s">
        <v>119</v>
      </c>
      <c r="V3886" s="94">
        <v>44588.179166666669</v>
      </c>
      <c r="W3886" s="93" t="s">
        <v>1170</v>
      </c>
      <c r="X3886" s="93" t="s">
        <v>111</v>
      </c>
    </row>
    <row r="3887" spans="1:24" hidden="1" x14ac:dyDescent="0.15">
      <c r="A3887" s="93" t="s">
        <v>5805</v>
      </c>
      <c r="B3887" s="93" t="s">
        <v>5806</v>
      </c>
      <c r="C3887" s="410">
        <v>120</v>
      </c>
      <c r="D3887" s="93" t="s">
        <v>24</v>
      </c>
      <c r="E3887" s="93" t="s">
        <v>24</v>
      </c>
      <c r="F3887" s="93" t="s">
        <v>7070</v>
      </c>
      <c r="G3887" s="93" t="s">
        <v>9087</v>
      </c>
      <c r="H3887" s="93" t="s">
        <v>118</v>
      </c>
      <c r="I3887" s="93" t="s">
        <v>111</v>
      </c>
      <c r="J3887" s="93" t="s">
        <v>7105</v>
      </c>
      <c r="K3887" s="93" t="s">
        <v>111</v>
      </c>
      <c r="L3887" s="93" t="s">
        <v>111</v>
      </c>
      <c r="M3887" s="93" t="s">
        <v>111</v>
      </c>
      <c r="N3887" s="93" t="s">
        <v>111</v>
      </c>
      <c r="O3887" s="93" t="s">
        <v>111</v>
      </c>
      <c r="P3887" s="93" t="s">
        <v>111</v>
      </c>
      <c r="Q3887" s="93" t="s">
        <v>111</v>
      </c>
      <c r="R3887" s="93" t="s">
        <v>1199</v>
      </c>
      <c r="S3887" s="93" t="s">
        <v>111</v>
      </c>
      <c r="T3887" s="93" t="s">
        <v>394</v>
      </c>
      <c r="U3887" s="93" t="s">
        <v>119</v>
      </c>
      <c r="V3887" s="94">
        <v>44588.256944444445</v>
      </c>
      <c r="W3887" s="93" t="s">
        <v>1170</v>
      </c>
      <c r="X3887" s="93" t="s">
        <v>111</v>
      </c>
    </row>
    <row r="3888" spans="1:24" hidden="1" x14ac:dyDescent="0.15">
      <c r="A3888" s="93" t="s">
        <v>5807</v>
      </c>
      <c r="B3888" s="93" t="s">
        <v>5808</v>
      </c>
      <c r="C3888" s="410">
        <v>20</v>
      </c>
      <c r="D3888" s="93" t="s">
        <v>24</v>
      </c>
      <c r="E3888" s="93" t="s">
        <v>24</v>
      </c>
      <c r="F3888" s="93" t="s">
        <v>7070</v>
      </c>
      <c r="G3888" s="93" t="s">
        <v>9087</v>
      </c>
      <c r="H3888" s="93" t="s">
        <v>118</v>
      </c>
      <c r="I3888" s="93" t="s">
        <v>111</v>
      </c>
      <c r="J3888" s="93" t="s">
        <v>7105</v>
      </c>
      <c r="K3888" s="93" t="s">
        <v>111</v>
      </c>
      <c r="L3888" s="93" t="s">
        <v>111</v>
      </c>
      <c r="M3888" s="93" t="s">
        <v>111</v>
      </c>
      <c r="N3888" s="93" t="s">
        <v>111</v>
      </c>
      <c r="O3888" s="93" t="s">
        <v>111</v>
      </c>
      <c r="P3888" s="93" t="s">
        <v>111</v>
      </c>
      <c r="Q3888" s="93" t="s">
        <v>111</v>
      </c>
      <c r="R3888" s="93" t="s">
        <v>1199</v>
      </c>
      <c r="S3888" s="93" t="s">
        <v>111</v>
      </c>
      <c r="T3888" s="93" t="s">
        <v>394</v>
      </c>
      <c r="U3888" s="93" t="s">
        <v>119</v>
      </c>
      <c r="V3888" s="94">
        <v>44588.256944444445</v>
      </c>
      <c r="W3888" s="93" t="s">
        <v>1170</v>
      </c>
      <c r="X3888" s="93" t="s">
        <v>111</v>
      </c>
    </row>
    <row r="3889" spans="1:24" hidden="1" x14ac:dyDescent="0.15">
      <c r="A3889" s="93" t="s">
        <v>5809</v>
      </c>
      <c r="B3889" s="93" t="s">
        <v>5810</v>
      </c>
      <c r="C3889" s="410">
        <v>25</v>
      </c>
      <c r="D3889" s="93" t="s">
        <v>24</v>
      </c>
      <c r="E3889" s="93" t="s">
        <v>24</v>
      </c>
      <c r="F3889" s="93" t="s">
        <v>7070</v>
      </c>
      <c r="G3889" s="93" t="s">
        <v>9087</v>
      </c>
      <c r="H3889" s="93" t="s">
        <v>118</v>
      </c>
      <c r="I3889" s="93" t="s">
        <v>111</v>
      </c>
      <c r="J3889" s="93" t="s">
        <v>7105</v>
      </c>
      <c r="K3889" s="93" t="s">
        <v>111</v>
      </c>
      <c r="L3889" s="93" t="s">
        <v>111</v>
      </c>
      <c r="M3889" s="93" t="s">
        <v>111</v>
      </c>
      <c r="N3889" s="93" t="s">
        <v>111</v>
      </c>
      <c r="O3889" s="93" t="s">
        <v>111</v>
      </c>
      <c r="P3889" s="93" t="s">
        <v>111</v>
      </c>
      <c r="Q3889" s="93" t="s">
        <v>111</v>
      </c>
      <c r="R3889" s="93" t="s">
        <v>1199</v>
      </c>
      <c r="S3889" s="93" t="s">
        <v>111</v>
      </c>
      <c r="T3889" s="93" t="s">
        <v>394</v>
      </c>
      <c r="U3889" s="93" t="s">
        <v>119</v>
      </c>
      <c r="V3889" s="94">
        <v>44588.256944444445</v>
      </c>
      <c r="W3889" s="93" t="s">
        <v>1170</v>
      </c>
      <c r="X3889" s="93" t="s">
        <v>111</v>
      </c>
    </row>
    <row r="3890" spans="1:24" hidden="1" x14ac:dyDescent="0.15">
      <c r="A3890" s="93" t="s">
        <v>5811</v>
      </c>
      <c r="B3890" s="93" t="s">
        <v>5812</v>
      </c>
      <c r="C3890" s="410">
        <v>35</v>
      </c>
      <c r="D3890" s="93" t="s">
        <v>24</v>
      </c>
      <c r="E3890" s="93" t="s">
        <v>24</v>
      </c>
      <c r="F3890" s="93" t="s">
        <v>7070</v>
      </c>
      <c r="G3890" s="93" t="s">
        <v>9087</v>
      </c>
      <c r="H3890" s="93" t="s">
        <v>118</v>
      </c>
      <c r="I3890" s="93" t="s">
        <v>111</v>
      </c>
      <c r="J3890" s="93" t="s">
        <v>7105</v>
      </c>
      <c r="K3890" s="93" t="s">
        <v>111</v>
      </c>
      <c r="L3890" s="93" t="s">
        <v>111</v>
      </c>
      <c r="M3890" s="93" t="s">
        <v>111</v>
      </c>
      <c r="N3890" s="93" t="s">
        <v>111</v>
      </c>
      <c r="O3890" s="93" t="s">
        <v>111</v>
      </c>
      <c r="P3890" s="93" t="s">
        <v>111</v>
      </c>
      <c r="Q3890" s="93" t="s">
        <v>111</v>
      </c>
      <c r="R3890" s="93" t="s">
        <v>1199</v>
      </c>
      <c r="S3890" s="93" t="s">
        <v>111</v>
      </c>
      <c r="T3890" s="93" t="s">
        <v>394</v>
      </c>
      <c r="U3890" s="93" t="s">
        <v>119</v>
      </c>
      <c r="V3890" s="94">
        <v>44588.256944444445</v>
      </c>
      <c r="W3890" s="93" t="s">
        <v>1170</v>
      </c>
      <c r="X3890" s="93" t="s">
        <v>24</v>
      </c>
    </row>
    <row r="3891" spans="1:24" hidden="1" x14ac:dyDescent="0.15">
      <c r="A3891" s="93" t="s">
        <v>5813</v>
      </c>
      <c r="B3891" s="93" t="s">
        <v>5814</v>
      </c>
      <c r="C3891" s="410">
        <v>50</v>
      </c>
      <c r="D3891" s="93" t="s">
        <v>24</v>
      </c>
      <c r="E3891" s="93" t="s">
        <v>24</v>
      </c>
      <c r="F3891" s="93" t="s">
        <v>7070</v>
      </c>
      <c r="G3891" s="93" t="s">
        <v>9087</v>
      </c>
      <c r="H3891" s="93" t="s">
        <v>118</v>
      </c>
      <c r="I3891" s="93" t="s">
        <v>111</v>
      </c>
      <c r="J3891" s="93" t="s">
        <v>7105</v>
      </c>
      <c r="K3891" s="93" t="s">
        <v>111</v>
      </c>
      <c r="L3891" s="93" t="s">
        <v>111</v>
      </c>
      <c r="M3891" s="93" t="s">
        <v>111</v>
      </c>
      <c r="N3891" s="93" t="s">
        <v>111</v>
      </c>
      <c r="O3891" s="93" t="s">
        <v>111</v>
      </c>
      <c r="P3891" s="93" t="s">
        <v>111</v>
      </c>
      <c r="Q3891" s="93" t="s">
        <v>111</v>
      </c>
      <c r="R3891" s="93" t="s">
        <v>1199</v>
      </c>
      <c r="S3891" s="93" t="s">
        <v>111</v>
      </c>
      <c r="T3891" s="93" t="s">
        <v>394</v>
      </c>
      <c r="U3891" s="93" t="s">
        <v>119</v>
      </c>
      <c r="V3891" s="94">
        <v>44588.15625</v>
      </c>
      <c r="W3891" s="93" t="s">
        <v>1170</v>
      </c>
      <c r="X3891" s="93" t="s">
        <v>24</v>
      </c>
    </row>
    <row r="3892" spans="1:24" hidden="1" x14ac:dyDescent="0.15">
      <c r="A3892" s="93" t="s">
        <v>5815</v>
      </c>
      <c r="B3892" s="93" t="s">
        <v>5816</v>
      </c>
      <c r="C3892" s="410">
        <v>1340</v>
      </c>
      <c r="D3892" s="93" t="s">
        <v>24</v>
      </c>
      <c r="E3892" s="93" t="s">
        <v>24</v>
      </c>
      <c r="F3892" s="93" t="s">
        <v>7070</v>
      </c>
      <c r="G3892" s="93" t="s">
        <v>9087</v>
      </c>
      <c r="H3892" s="93" t="s">
        <v>118</v>
      </c>
      <c r="I3892" s="93" t="s">
        <v>111</v>
      </c>
      <c r="J3892" s="93" t="s">
        <v>7105</v>
      </c>
      <c r="K3892" s="93" t="s">
        <v>111</v>
      </c>
      <c r="L3892" s="93" t="s">
        <v>111</v>
      </c>
      <c r="M3892" s="93" t="s">
        <v>111</v>
      </c>
      <c r="N3892" s="93" t="s">
        <v>111</v>
      </c>
      <c r="O3892" s="93" t="s">
        <v>111</v>
      </c>
      <c r="P3892" s="93" t="s">
        <v>111</v>
      </c>
      <c r="Q3892" s="93" t="s">
        <v>111</v>
      </c>
      <c r="R3892" s="93" t="s">
        <v>1199</v>
      </c>
      <c r="S3892" s="93" t="s">
        <v>111</v>
      </c>
      <c r="T3892" s="93" t="s">
        <v>394</v>
      </c>
      <c r="U3892" s="93" t="s">
        <v>119</v>
      </c>
      <c r="V3892" s="94">
        <v>44588.15625</v>
      </c>
      <c r="W3892" s="93" t="s">
        <v>1170</v>
      </c>
      <c r="X3892" s="93" t="s">
        <v>111</v>
      </c>
    </row>
    <row r="3893" spans="1:24" hidden="1" x14ac:dyDescent="0.15">
      <c r="A3893" s="93" t="s">
        <v>5817</v>
      </c>
      <c r="B3893" s="93" t="s">
        <v>5818</v>
      </c>
      <c r="C3893" s="410">
        <v>100</v>
      </c>
      <c r="D3893" s="93" t="s">
        <v>24</v>
      </c>
      <c r="E3893" s="93" t="s">
        <v>24</v>
      </c>
      <c r="F3893" s="93" t="s">
        <v>7070</v>
      </c>
      <c r="G3893" s="93" t="s">
        <v>9087</v>
      </c>
      <c r="H3893" s="93" t="s">
        <v>118</v>
      </c>
      <c r="I3893" s="93" t="s">
        <v>111</v>
      </c>
      <c r="J3893" s="93" t="s">
        <v>7105</v>
      </c>
      <c r="K3893" s="93" t="s">
        <v>111</v>
      </c>
      <c r="L3893" s="93" t="s">
        <v>111</v>
      </c>
      <c r="M3893" s="93" t="s">
        <v>111</v>
      </c>
      <c r="N3893" s="93" t="s">
        <v>111</v>
      </c>
      <c r="O3893" s="93" t="s">
        <v>111</v>
      </c>
      <c r="P3893" s="93" t="s">
        <v>111</v>
      </c>
      <c r="Q3893" s="93" t="s">
        <v>111</v>
      </c>
      <c r="R3893" s="93" t="s">
        <v>1199</v>
      </c>
      <c r="S3893" s="93" t="s">
        <v>111</v>
      </c>
      <c r="T3893" s="93" t="s">
        <v>394</v>
      </c>
      <c r="U3893" s="93" t="s">
        <v>116</v>
      </c>
      <c r="V3893" s="94">
        <v>44588.15625</v>
      </c>
      <c r="W3893" s="93" t="s">
        <v>1170</v>
      </c>
      <c r="X3893" s="93" t="s">
        <v>111</v>
      </c>
    </row>
    <row r="3894" spans="1:24" hidden="1" x14ac:dyDescent="0.15">
      <c r="A3894" s="93" t="s">
        <v>5819</v>
      </c>
      <c r="B3894" s="93" t="s">
        <v>5820</v>
      </c>
      <c r="C3894" s="410">
        <v>200</v>
      </c>
      <c r="D3894" s="93" t="s">
        <v>24</v>
      </c>
      <c r="E3894" s="93" t="s">
        <v>24</v>
      </c>
      <c r="F3894" s="93" t="s">
        <v>7070</v>
      </c>
      <c r="G3894" s="93" t="s">
        <v>9087</v>
      </c>
      <c r="H3894" s="93" t="s">
        <v>118</v>
      </c>
      <c r="I3894" s="93" t="s">
        <v>111</v>
      </c>
      <c r="J3894" s="93" t="s">
        <v>7105</v>
      </c>
      <c r="K3894" s="93" t="s">
        <v>111</v>
      </c>
      <c r="L3894" s="93" t="s">
        <v>111</v>
      </c>
      <c r="M3894" s="93" t="s">
        <v>111</v>
      </c>
      <c r="N3894" s="93" t="s">
        <v>111</v>
      </c>
      <c r="O3894" s="93" t="s">
        <v>111</v>
      </c>
      <c r="P3894" s="93" t="s">
        <v>111</v>
      </c>
      <c r="Q3894" s="93" t="s">
        <v>111</v>
      </c>
      <c r="R3894" s="93" t="s">
        <v>1199</v>
      </c>
      <c r="S3894" s="93" t="s">
        <v>111</v>
      </c>
      <c r="T3894" s="93" t="s">
        <v>394</v>
      </c>
      <c r="U3894" s="93" t="s">
        <v>116</v>
      </c>
      <c r="V3894" s="94">
        <v>44588.15625</v>
      </c>
      <c r="W3894" s="93" t="s">
        <v>1170</v>
      </c>
      <c r="X3894" s="93" t="s">
        <v>111</v>
      </c>
    </row>
    <row r="3895" spans="1:24" hidden="1" x14ac:dyDescent="0.15">
      <c r="A3895" s="93" t="s">
        <v>5821</v>
      </c>
      <c r="B3895" s="93" t="s">
        <v>5822</v>
      </c>
      <c r="C3895" s="410">
        <v>400</v>
      </c>
      <c r="D3895" s="93" t="s">
        <v>24</v>
      </c>
      <c r="E3895" s="93" t="s">
        <v>24</v>
      </c>
      <c r="F3895" s="93" t="s">
        <v>7070</v>
      </c>
      <c r="G3895" s="93" t="s">
        <v>9087</v>
      </c>
      <c r="H3895" s="93" t="s">
        <v>118</v>
      </c>
      <c r="I3895" s="93" t="s">
        <v>111</v>
      </c>
      <c r="J3895" s="93" t="s">
        <v>7105</v>
      </c>
      <c r="K3895" s="93" t="s">
        <v>111</v>
      </c>
      <c r="L3895" s="93" t="s">
        <v>111</v>
      </c>
      <c r="M3895" s="93" t="s">
        <v>111</v>
      </c>
      <c r="N3895" s="93" t="s">
        <v>111</v>
      </c>
      <c r="O3895" s="93" t="s">
        <v>111</v>
      </c>
      <c r="P3895" s="93" t="s">
        <v>111</v>
      </c>
      <c r="Q3895" s="93" t="s">
        <v>111</v>
      </c>
      <c r="R3895" s="93" t="s">
        <v>1199</v>
      </c>
      <c r="S3895" s="93" t="s">
        <v>111</v>
      </c>
      <c r="T3895" s="93" t="s">
        <v>394</v>
      </c>
      <c r="U3895" s="93" t="s">
        <v>116</v>
      </c>
      <c r="V3895" s="94">
        <v>44588.15625</v>
      </c>
      <c r="W3895" s="93" t="s">
        <v>1170</v>
      </c>
      <c r="X3895" s="93" t="s">
        <v>111</v>
      </c>
    </row>
    <row r="3896" spans="1:24" hidden="1" x14ac:dyDescent="0.15">
      <c r="A3896" s="93" t="s">
        <v>5823</v>
      </c>
      <c r="B3896" s="93" t="s">
        <v>5824</v>
      </c>
      <c r="C3896" s="410">
        <v>100</v>
      </c>
      <c r="D3896" s="93" t="s">
        <v>24</v>
      </c>
      <c r="E3896" s="93" t="s">
        <v>24</v>
      </c>
      <c r="F3896" s="93" t="s">
        <v>7070</v>
      </c>
      <c r="G3896" s="93" t="s">
        <v>9087</v>
      </c>
      <c r="H3896" s="93" t="s">
        <v>118</v>
      </c>
      <c r="I3896" s="93" t="s">
        <v>111</v>
      </c>
      <c r="J3896" s="93" t="s">
        <v>7105</v>
      </c>
      <c r="K3896" s="93" t="s">
        <v>111</v>
      </c>
      <c r="L3896" s="93" t="s">
        <v>111</v>
      </c>
      <c r="M3896" s="93" t="s">
        <v>111</v>
      </c>
      <c r="N3896" s="93" t="s">
        <v>111</v>
      </c>
      <c r="O3896" s="93" t="s">
        <v>111</v>
      </c>
      <c r="P3896" s="93" t="s">
        <v>111</v>
      </c>
      <c r="Q3896" s="93" t="s">
        <v>111</v>
      </c>
      <c r="R3896" s="93" t="s">
        <v>1199</v>
      </c>
      <c r="S3896" s="93" t="s">
        <v>111</v>
      </c>
      <c r="T3896" s="93" t="s">
        <v>394</v>
      </c>
      <c r="U3896" s="93" t="s">
        <v>116</v>
      </c>
      <c r="V3896" s="94">
        <v>44588.15625</v>
      </c>
      <c r="W3896" s="93" t="s">
        <v>1170</v>
      </c>
      <c r="X3896" s="93" t="s">
        <v>111</v>
      </c>
    </row>
    <row r="3897" spans="1:24" hidden="1" x14ac:dyDescent="0.15">
      <c r="A3897" s="93" t="s">
        <v>5825</v>
      </c>
      <c r="B3897" s="93" t="s">
        <v>5826</v>
      </c>
      <c r="C3897" s="410">
        <v>300</v>
      </c>
      <c r="D3897" s="93" t="s">
        <v>24</v>
      </c>
      <c r="E3897" s="93" t="s">
        <v>24</v>
      </c>
      <c r="F3897" s="93" t="s">
        <v>7070</v>
      </c>
      <c r="G3897" s="93" t="s">
        <v>9087</v>
      </c>
      <c r="H3897" s="93" t="s">
        <v>118</v>
      </c>
      <c r="I3897" s="93" t="s">
        <v>111</v>
      </c>
      <c r="J3897" s="93" t="s">
        <v>7105</v>
      </c>
      <c r="K3897" s="93" t="s">
        <v>111</v>
      </c>
      <c r="L3897" s="93" t="s">
        <v>111</v>
      </c>
      <c r="M3897" s="93" t="s">
        <v>111</v>
      </c>
      <c r="N3897" s="93" t="s">
        <v>111</v>
      </c>
      <c r="O3897" s="93" t="s">
        <v>111</v>
      </c>
      <c r="P3897" s="93" t="s">
        <v>111</v>
      </c>
      <c r="Q3897" s="93" t="s">
        <v>111</v>
      </c>
      <c r="R3897" s="93" t="s">
        <v>1199</v>
      </c>
      <c r="S3897" s="93" t="s">
        <v>111</v>
      </c>
      <c r="T3897" s="93" t="s">
        <v>394</v>
      </c>
      <c r="U3897" s="93" t="s">
        <v>116</v>
      </c>
      <c r="V3897" s="94">
        <v>44588.15625</v>
      </c>
      <c r="W3897" s="93" t="s">
        <v>1170</v>
      </c>
      <c r="X3897" s="93" t="s">
        <v>111</v>
      </c>
    </row>
    <row r="3898" spans="1:24" hidden="1" x14ac:dyDescent="0.15">
      <c r="A3898" s="93" t="s">
        <v>5827</v>
      </c>
      <c r="B3898" s="93" t="s">
        <v>5828</v>
      </c>
      <c r="C3898" s="410">
        <v>200</v>
      </c>
      <c r="D3898" s="93" t="s">
        <v>24</v>
      </c>
      <c r="E3898" s="93" t="s">
        <v>24</v>
      </c>
      <c r="F3898" s="93" t="s">
        <v>7070</v>
      </c>
      <c r="G3898" s="93" t="s">
        <v>9087</v>
      </c>
      <c r="H3898" s="93" t="s">
        <v>118</v>
      </c>
      <c r="I3898" s="93" t="s">
        <v>111</v>
      </c>
      <c r="J3898" s="93" t="s">
        <v>7105</v>
      </c>
      <c r="K3898" s="93" t="s">
        <v>111</v>
      </c>
      <c r="L3898" s="93" t="s">
        <v>111</v>
      </c>
      <c r="M3898" s="93" t="s">
        <v>111</v>
      </c>
      <c r="N3898" s="93" t="s">
        <v>111</v>
      </c>
      <c r="O3898" s="93" t="s">
        <v>111</v>
      </c>
      <c r="P3898" s="93" t="s">
        <v>111</v>
      </c>
      <c r="Q3898" s="93" t="s">
        <v>111</v>
      </c>
      <c r="R3898" s="93" t="s">
        <v>1199</v>
      </c>
      <c r="S3898" s="93" t="s">
        <v>111</v>
      </c>
      <c r="T3898" s="93" t="s">
        <v>394</v>
      </c>
      <c r="U3898" s="93" t="s">
        <v>116</v>
      </c>
      <c r="V3898" s="94">
        <v>44588.156944444447</v>
      </c>
      <c r="W3898" s="93" t="s">
        <v>1170</v>
      </c>
      <c r="X3898" s="93" t="s">
        <v>111</v>
      </c>
    </row>
    <row r="3899" spans="1:24" hidden="1" x14ac:dyDescent="0.15">
      <c r="A3899" s="93" t="s">
        <v>5829</v>
      </c>
      <c r="B3899" s="93" t="s">
        <v>5830</v>
      </c>
      <c r="C3899" s="410">
        <v>25</v>
      </c>
      <c r="D3899" s="93" t="s">
        <v>24</v>
      </c>
      <c r="E3899" s="93" t="s">
        <v>24</v>
      </c>
      <c r="F3899" s="93" t="s">
        <v>7070</v>
      </c>
      <c r="G3899" s="93" t="s">
        <v>9087</v>
      </c>
      <c r="H3899" s="93" t="s">
        <v>118</v>
      </c>
      <c r="I3899" s="93" t="s">
        <v>111</v>
      </c>
      <c r="J3899" s="93" t="s">
        <v>7105</v>
      </c>
      <c r="K3899" s="93" t="s">
        <v>111</v>
      </c>
      <c r="L3899" s="93" t="s">
        <v>111</v>
      </c>
      <c r="M3899" s="93" t="s">
        <v>111</v>
      </c>
      <c r="N3899" s="93" t="s">
        <v>111</v>
      </c>
      <c r="O3899" s="93" t="s">
        <v>111</v>
      </c>
      <c r="P3899" s="93" t="s">
        <v>111</v>
      </c>
      <c r="Q3899" s="93" t="s">
        <v>111</v>
      </c>
      <c r="R3899" s="93" t="s">
        <v>1199</v>
      </c>
      <c r="S3899" s="93" t="s">
        <v>111</v>
      </c>
      <c r="T3899" s="93" t="s">
        <v>394</v>
      </c>
      <c r="U3899" s="93" t="s">
        <v>119</v>
      </c>
      <c r="V3899" s="94">
        <v>44588.156944444447</v>
      </c>
      <c r="W3899" s="93" t="s">
        <v>1170</v>
      </c>
      <c r="X3899" s="93" t="s">
        <v>111</v>
      </c>
    </row>
    <row r="3900" spans="1:24" hidden="1" x14ac:dyDescent="0.15">
      <c r="A3900" s="93" t="s">
        <v>5831</v>
      </c>
      <c r="B3900" s="93" t="s">
        <v>5832</v>
      </c>
      <c r="C3900" s="410">
        <v>50</v>
      </c>
      <c r="D3900" s="93" t="s">
        <v>24</v>
      </c>
      <c r="E3900" s="93" t="s">
        <v>24</v>
      </c>
      <c r="F3900" s="93" t="s">
        <v>7070</v>
      </c>
      <c r="G3900" s="93" t="s">
        <v>9087</v>
      </c>
      <c r="H3900" s="93" t="s">
        <v>118</v>
      </c>
      <c r="I3900" s="93" t="s">
        <v>111</v>
      </c>
      <c r="J3900" s="93" t="s">
        <v>7105</v>
      </c>
      <c r="K3900" s="93" t="s">
        <v>111</v>
      </c>
      <c r="L3900" s="93" t="s">
        <v>111</v>
      </c>
      <c r="M3900" s="93" t="s">
        <v>111</v>
      </c>
      <c r="N3900" s="93" t="s">
        <v>111</v>
      </c>
      <c r="O3900" s="93" t="s">
        <v>111</v>
      </c>
      <c r="P3900" s="93" t="s">
        <v>111</v>
      </c>
      <c r="Q3900" s="93" t="s">
        <v>111</v>
      </c>
      <c r="R3900" s="93" t="s">
        <v>1199</v>
      </c>
      <c r="S3900" s="93" t="s">
        <v>111</v>
      </c>
      <c r="T3900" s="93" t="s">
        <v>394</v>
      </c>
      <c r="U3900" s="93" t="s">
        <v>119</v>
      </c>
      <c r="V3900" s="94">
        <v>44588.167361111111</v>
      </c>
      <c r="W3900" s="93" t="s">
        <v>1170</v>
      </c>
      <c r="X3900" s="93" t="s">
        <v>111</v>
      </c>
    </row>
    <row r="3901" spans="1:24" hidden="1" x14ac:dyDescent="0.15">
      <c r="A3901" s="93" t="s">
        <v>5833</v>
      </c>
      <c r="B3901" s="93" t="s">
        <v>5834</v>
      </c>
      <c r="C3901" s="410">
        <v>340</v>
      </c>
      <c r="D3901" s="93" t="s">
        <v>24</v>
      </c>
      <c r="E3901" s="93" t="s">
        <v>24</v>
      </c>
      <c r="F3901" s="93" t="s">
        <v>7070</v>
      </c>
      <c r="G3901" s="93" t="s">
        <v>9087</v>
      </c>
      <c r="H3901" s="93" t="s">
        <v>118</v>
      </c>
      <c r="I3901" s="93" t="s">
        <v>111</v>
      </c>
      <c r="J3901" s="93" t="s">
        <v>7105</v>
      </c>
      <c r="K3901" s="93" t="s">
        <v>111</v>
      </c>
      <c r="L3901" s="93" t="s">
        <v>111</v>
      </c>
      <c r="M3901" s="93" t="s">
        <v>111</v>
      </c>
      <c r="N3901" s="93" t="s">
        <v>111</v>
      </c>
      <c r="O3901" s="93" t="s">
        <v>111</v>
      </c>
      <c r="P3901" s="93" t="s">
        <v>111</v>
      </c>
      <c r="Q3901" s="93" t="s">
        <v>111</v>
      </c>
      <c r="R3901" s="93" t="s">
        <v>1199</v>
      </c>
      <c r="S3901" s="93" t="s">
        <v>111</v>
      </c>
      <c r="T3901" s="93" t="s">
        <v>394</v>
      </c>
      <c r="U3901" s="93" t="s">
        <v>116</v>
      </c>
      <c r="V3901" s="94">
        <v>44588.167361111111</v>
      </c>
      <c r="W3901" s="93" t="s">
        <v>1170</v>
      </c>
      <c r="X3901" s="93" t="s">
        <v>111</v>
      </c>
    </row>
    <row r="3902" spans="1:24" hidden="1" x14ac:dyDescent="0.15">
      <c r="A3902" s="93" t="s">
        <v>5835</v>
      </c>
      <c r="B3902" s="93" t="s">
        <v>5836</v>
      </c>
      <c r="C3902" s="410">
        <v>340</v>
      </c>
      <c r="D3902" s="93" t="s">
        <v>24</v>
      </c>
      <c r="E3902" s="93" t="s">
        <v>24</v>
      </c>
      <c r="F3902" s="93" t="s">
        <v>7070</v>
      </c>
      <c r="G3902" s="93" t="s">
        <v>9087</v>
      </c>
      <c r="H3902" s="93" t="s">
        <v>118</v>
      </c>
      <c r="I3902" s="93" t="s">
        <v>111</v>
      </c>
      <c r="J3902" s="93" t="s">
        <v>7105</v>
      </c>
      <c r="K3902" s="93" t="s">
        <v>111</v>
      </c>
      <c r="L3902" s="93" t="s">
        <v>111</v>
      </c>
      <c r="M3902" s="93" t="s">
        <v>111</v>
      </c>
      <c r="N3902" s="93" t="s">
        <v>111</v>
      </c>
      <c r="O3902" s="93" t="s">
        <v>111</v>
      </c>
      <c r="P3902" s="93" t="s">
        <v>111</v>
      </c>
      <c r="Q3902" s="93" t="s">
        <v>111</v>
      </c>
      <c r="R3902" s="93" t="s">
        <v>1199</v>
      </c>
      <c r="S3902" s="93" t="s">
        <v>111</v>
      </c>
      <c r="T3902" s="93" t="s">
        <v>394</v>
      </c>
      <c r="U3902" s="93" t="s">
        <v>116</v>
      </c>
      <c r="V3902" s="94">
        <v>44588.167361111111</v>
      </c>
      <c r="W3902" s="93" t="s">
        <v>1170</v>
      </c>
      <c r="X3902" s="93" t="s">
        <v>111</v>
      </c>
    </row>
    <row r="3903" spans="1:24" hidden="1" x14ac:dyDescent="0.15">
      <c r="A3903" s="93" t="s">
        <v>5837</v>
      </c>
      <c r="B3903" s="93" t="s">
        <v>5838</v>
      </c>
      <c r="C3903" s="410">
        <v>680</v>
      </c>
      <c r="D3903" s="93" t="s">
        <v>24</v>
      </c>
      <c r="E3903" s="93" t="s">
        <v>24</v>
      </c>
      <c r="F3903" s="93" t="s">
        <v>7070</v>
      </c>
      <c r="G3903" s="93" t="s">
        <v>9087</v>
      </c>
      <c r="H3903" s="93" t="s">
        <v>118</v>
      </c>
      <c r="I3903" s="93" t="s">
        <v>111</v>
      </c>
      <c r="J3903" s="93" t="s">
        <v>7105</v>
      </c>
      <c r="K3903" s="93" t="s">
        <v>111</v>
      </c>
      <c r="L3903" s="93" t="s">
        <v>111</v>
      </c>
      <c r="M3903" s="93" t="s">
        <v>111</v>
      </c>
      <c r="N3903" s="93" t="s">
        <v>111</v>
      </c>
      <c r="O3903" s="93" t="s">
        <v>111</v>
      </c>
      <c r="P3903" s="93" t="s">
        <v>111</v>
      </c>
      <c r="Q3903" s="93" t="s">
        <v>111</v>
      </c>
      <c r="R3903" s="93" t="s">
        <v>1199</v>
      </c>
      <c r="S3903" s="93" t="s">
        <v>111</v>
      </c>
      <c r="T3903" s="93" t="s">
        <v>394</v>
      </c>
      <c r="U3903" s="93" t="s">
        <v>116</v>
      </c>
      <c r="V3903" s="94">
        <v>44588.167361111111</v>
      </c>
      <c r="W3903" s="93" t="s">
        <v>1170</v>
      </c>
      <c r="X3903" s="93" t="s">
        <v>111</v>
      </c>
    </row>
    <row r="3904" spans="1:24" x14ac:dyDescent="0.15">
      <c r="A3904" s="93" t="s">
        <v>5839</v>
      </c>
      <c r="B3904" s="93" t="s">
        <v>5840</v>
      </c>
      <c r="C3904" s="410">
        <v>2500</v>
      </c>
      <c r="D3904" s="93" t="s">
        <v>24</v>
      </c>
      <c r="E3904" s="93" t="s">
        <v>24</v>
      </c>
      <c r="F3904" s="93" t="s">
        <v>7070</v>
      </c>
      <c r="G3904" s="93" t="s">
        <v>7108</v>
      </c>
      <c r="H3904" s="93" t="s">
        <v>118</v>
      </c>
      <c r="I3904" s="93" t="s">
        <v>111</v>
      </c>
      <c r="J3904" s="93" t="s">
        <v>7105</v>
      </c>
      <c r="K3904" s="93" t="s">
        <v>111</v>
      </c>
      <c r="L3904" s="93" t="s">
        <v>111</v>
      </c>
      <c r="M3904" s="93" t="s">
        <v>111</v>
      </c>
      <c r="N3904" s="93" t="s">
        <v>111</v>
      </c>
      <c r="O3904" s="93" t="s">
        <v>111</v>
      </c>
      <c r="P3904" s="93" t="s">
        <v>111</v>
      </c>
      <c r="Q3904" s="93" t="s">
        <v>111</v>
      </c>
      <c r="R3904" s="93" t="s">
        <v>1199</v>
      </c>
      <c r="S3904" s="93" t="s">
        <v>111</v>
      </c>
      <c r="T3904" s="93" t="s">
        <v>115</v>
      </c>
      <c r="U3904" s="93" t="s">
        <v>116</v>
      </c>
      <c r="V3904" s="94">
        <v>44596.657638888886</v>
      </c>
      <c r="W3904" s="93" t="s">
        <v>1170</v>
      </c>
      <c r="X3904" s="93" t="s">
        <v>111</v>
      </c>
    </row>
    <row r="3905" spans="1:24" x14ac:dyDescent="0.15">
      <c r="A3905" s="93" t="s">
        <v>5841</v>
      </c>
      <c r="B3905" s="93" t="s">
        <v>5842</v>
      </c>
      <c r="C3905" s="410">
        <v>109</v>
      </c>
      <c r="D3905" s="93" t="s">
        <v>24</v>
      </c>
      <c r="E3905" s="93" t="s">
        <v>24</v>
      </c>
      <c r="F3905" s="93" t="s">
        <v>7070</v>
      </c>
      <c r="G3905" s="93" t="s">
        <v>7108</v>
      </c>
      <c r="H3905" s="93" t="s">
        <v>118</v>
      </c>
      <c r="I3905" s="93" t="s">
        <v>111</v>
      </c>
      <c r="J3905" s="93" t="s">
        <v>7105</v>
      </c>
      <c r="K3905" s="93" t="s">
        <v>111</v>
      </c>
      <c r="L3905" s="93" t="s">
        <v>111</v>
      </c>
      <c r="M3905" s="93" t="s">
        <v>111</v>
      </c>
      <c r="N3905" s="93" t="s">
        <v>111</v>
      </c>
      <c r="O3905" s="93" t="s">
        <v>111</v>
      </c>
      <c r="P3905" s="93" t="s">
        <v>111</v>
      </c>
      <c r="Q3905" s="93" t="s">
        <v>111</v>
      </c>
      <c r="R3905" s="93" t="s">
        <v>1199</v>
      </c>
      <c r="S3905" s="93" t="s">
        <v>111</v>
      </c>
      <c r="T3905" s="93" t="s">
        <v>394</v>
      </c>
      <c r="U3905" s="93" t="s">
        <v>116</v>
      </c>
      <c r="V3905" s="94">
        <v>44596.665972222225</v>
      </c>
      <c r="W3905" s="93" t="s">
        <v>1170</v>
      </c>
      <c r="X3905" s="93" t="s">
        <v>111</v>
      </c>
    </row>
    <row r="3906" spans="1:24" x14ac:dyDescent="0.15">
      <c r="A3906" s="93" t="s">
        <v>5843</v>
      </c>
      <c r="B3906" s="93" t="s">
        <v>5844</v>
      </c>
      <c r="C3906" s="410">
        <v>225</v>
      </c>
      <c r="D3906" s="93" t="s">
        <v>24</v>
      </c>
      <c r="E3906" s="93" t="s">
        <v>24</v>
      </c>
      <c r="F3906" s="93" t="s">
        <v>7070</v>
      </c>
      <c r="G3906" s="93" t="s">
        <v>7108</v>
      </c>
      <c r="H3906" s="93" t="s">
        <v>118</v>
      </c>
      <c r="I3906" s="93" t="s">
        <v>111</v>
      </c>
      <c r="J3906" s="93" t="s">
        <v>7105</v>
      </c>
      <c r="K3906" s="93" t="s">
        <v>111</v>
      </c>
      <c r="L3906" s="93" t="s">
        <v>111</v>
      </c>
      <c r="M3906" s="93" t="s">
        <v>111</v>
      </c>
      <c r="N3906" s="93" t="s">
        <v>111</v>
      </c>
      <c r="O3906" s="93" t="s">
        <v>111</v>
      </c>
      <c r="P3906" s="93" t="s">
        <v>111</v>
      </c>
      <c r="Q3906" s="93" t="s">
        <v>111</v>
      </c>
      <c r="R3906" s="93" t="s">
        <v>1199</v>
      </c>
      <c r="S3906" s="93" t="s">
        <v>111</v>
      </c>
      <c r="T3906" s="93" t="s">
        <v>394</v>
      </c>
      <c r="U3906" s="93" t="s">
        <v>116</v>
      </c>
      <c r="V3906" s="94">
        <v>44596.665972222225</v>
      </c>
      <c r="W3906" s="93" t="s">
        <v>1170</v>
      </c>
      <c r="X3906" s="93" t="s">
        <v>111</v>
      </c>
    </row>
    <row r="3907" spans="1:24" x14ac:dyDescent="0.15">
      <c r="A3907" s="93" t="s">
        <v>5845</v>
      </c>
      <c r="B3907" s="93" t="s">
        <v>5846</v>
      </c>
      <c r="C3907" s="410">
        <v>450</v>
      </c>
      <c r="D3907" s="93" t="s">
        <v>24</v>
      </c>
      <c r="E3907" s="93" t="s">
        <v>24</v>
      </c>
      <c r="F3907" s="93" t="s">
        <v>7070</v>
      </c>
      <c r="G3907" s="93" t="s">
        <v>7108</v>
      </c>
      <c r="H3907" s="93" t="s">
        <v>118</v>
      </c>
      <c r="I3907" s="93" t="s">
        <v>111</v>
      </c>
      <c r="J3907" s="93" t="s">
        <v>7105</v>
      </c>
      <c r="K3907" s="93" t="s">
        <v>111</v>
      </c>
      <c r="L3907" s="93" t="s">
        <v>111</v>
      </c>
      <c r="M3907" s="93" t="s">
        <v>111</v>
      </c>
      <c r="N3907" s="93" t="s">
        <v>111</v>
      </c>
      <c r="O3907" s="93" t="s">
        <v>111</v>
      </c>
      <c r="P3907" s="93" t="s">
        <v>111</v>
      </c>
      <c r="Q3907" s="93" t="s">
        <v>111</v>
      </c>
      <c r="R3907" s="93" t="s">
        <v>1199</v>
      </c>
      <c r="S3907" s="93" t="s">
        <v>111</v>
      </c>
      <c r="T3907" s="93" t="s">
        <v>394</v>
      </c>
      <c r="U3907" s="93" t="s">
        <v>116</v>
      </c>
      <c r="V3907" s="94">
        <v>44596.656944444447</v>
      </c>
      <c r="W3907" s="93" t="s">
        <v>1170</v>
      </c>
      <c r="X3907" s="93" t="s">
        <v>111</v>
      </c>
    </row>
    <row r="3908" spans="1:24" x14ac:dyDescent="0.15">
      <c r="A3908" s="93" t="s">
        <v>5847</v>
      </c>
      <c r="B3908" s="93" t="s">
        <v>5848</v>
      </c>
      <c r="C3908" s="410">
        <v>821</v>
      </c>
      <c r="D3908" s="93" t="s">
        <v>24</v>
      </c>
      <c r="E3908" s="93" t="s">
        <v>24</v>
      </c>
      <c r="F3908" s="93" t="s">
        <v>7070</v>
      </c>
      <c r="G3908" s="93" t="s">
        <v>7108</v>
      </c>
      <c r="H3908" s="93" t="s">
        <v>118</v>
      </c>
      <c r="I3908" s="93" t="s">
        <v>111</v>
      </c>
      <c r="J3908" s="93" t="s">
        <v>7105</v>
      </c>
      <c r="K3908" s="93" t="s">
        <v>111</v>
      </c>
      <c r="L3908" s="93" t="s">
        <v>111</v>
      </c>
      <c r="M3908" s="93" t="s">
        <v>111</v>
      </c>
      <c r="N3908" s="93" t="s">
        <v>111</v>
      </c>
      <c r="O3908" s="93" t="s">
        <v>111</v>
      </c>
      <c r="P3908" s="93" t="s">
        <v>111</v>
      </c>
      <c r="Q3908" s="93" t="s">
        <v>111</v>
      </c>
      <c r="R3908" s="93" t="s">
        <v>1199</v>
      </c>
      <c r="S3908" s="93" t="s">
        <v>2</v>
      </c>
      <c r="T3908" s="93" t="s">
        <v>394</v>
      </c>
      <c r="U3908" s="93" t="s">
        <v>116</v>
      </c>
      <c r="V3908" s="94">
        <v>44596.695833333331</v>
      </c>
      <c r="W3908" s="93" t="s">
        <v>1170</v>
      </c>
      <c r="X3908" s="93" t="s">
        <v>111</v>
      </c>
    </row>
    <row r="3909" spans="1:24" hidden="1" x14ac:dyDescent="0.15">
      <c r="A3909" s="93" t="s">
        <v>5849</v>
      </c>
      <c r="B3909" s="93" t="s">
        <v>5850</v>
      </c>
      <c r="C3909" s="410">
        <v>85.32</v>
      </c>
      <c r="D3909" s="93" t="s">
        <v>24</v>
      </c>
      <c r="E3909" s="93" t="s">
        <v>24</v>
      </c>
      <c r="F3909" s="93" t="s">
        <v>7070</v>
      </c>
      <c r="G3909" s="93" t="s">
        <v>7168</v>
      </c>
      <c r="H3909" s="93" t="s">
        <v>11</v>
      </c>
      <c r="I3909" s="93" t="s">
        <v>111</v>
      </c>
      <c r="J3909" s="93" t="s">
        <v>387</v>
      </c>
      <c r="K3909" s="93">
        <v>60</v>
      </c>
      <c r="L3909" s="93" t="s">
        <v>111</v>
      </c>
      <c r="M3909" s="93">
        <v>0.42</v>
      </c>
      <c r="N3909" s="93" t="s">
        <v>113</v>
      </c>
      <c r="O3909" s="93">
        <v>4</v>
      </c>
      <c r="P3909" s="93">
        <v>18</v>
      </c>
      <c r="Q3909" s="93">
        <v>18</v>
      </c>
      <c r="R3909" s="93" t="s">
        <v>122</v>
      </c>
      <c r="S3909" s="93" t="s">
        <v>2</v>
      </c>
      <c r="T3909" s="93" t="s">
        <v>115</v>
      </c>
      <c r="U3909" s="93" t="s">
        <v>116</v>
      </c>
      <c r="V3909" s="94">
        <v>44628.612500000003</v>
      </c>
      <c r="W3909" s="93" t="s">
        <v>1216</v>
      </c>
      <c r="X3909" s="93" t="s">
        <v>9</v>
      </c>
    </row>
    <row r="3910" spans="1:24" hidden="1" x14ac:dyDescent="0.15">
      <c r="A3910" s="93" t="s">
        <v>5851</v>
      </c>
      <c r="B3910" s="93" t="s">
        <v>5852</v>
      </c>
      <c r="C3910" s="410">
        <v>59.4</v>
      </c>
      <c r="D3910" s="93" t="s">
        <v>24</v>
      </c>
      <c r="E3910" s="93" t="s">
        <v>24</v>
      </c>
      <c r="F3910" s="93" t="s">
        <v>7070</v>
      </c>
      <c r="G3910" s="93" t="s">
        <v>7168</v>
      </c>
      <c r="H3910" s="93" t="s">
        <v>11</v>
      </c>
      <c r="I3910" s="93" t="s">
        <v>111</v>
      </c>
      <c r="J3910" s="93" t="s">
        <v>387</v>
      </c>
      <c r="K3910" s="93">
        <v>60</v>
      </c>
      <c r="L3910" s="93" t="s">
        <v>111</v>
      </c>
      <c r="M3910" s="93">
        <v>0.65</v>
      </c>
      <c r="N3910" s="93" t="s">
        <v>113</v>
      </c>
      <c r="O3910" s="93">
        <v>3</v>
      </c>
      <c r="P3910" s="93">
        <v>13</v>
      </c>
      <c r="Q3910" s="93">
        <v>20</v>
      </c>
      <c r="R3910" s="93" t="s">
        <v>122</v>
      </c>
      <c r="S3910" s="93" t="s">
        <v>18</v>
      </c>
      <c r="T3910" s="93" t="s">
        <v>115</v>
      </c>
      <c r="U3910" s="93" t="s">
        <v>116</v>
      </c>
      <c r="V3910" s="94">
        <v>44628.543749999997</v>
      </c>
      <c r="W3910" s="93" t="s">
        <v>1216</v>
      </c>
      <c r="X3910" s="93" t="s">
        <v>9</v>
      </c>
    </row>
    <row r="3911" spans="1:24" hidden="1" x14ac:dyDescent="0.15">
      <c r="A3911" s="93" t="s">
        <v>5853</v>
      </c>
      <c r="B3911" s="93" t="s">
        <v>5854</v>
      </c>
      <c r="C3911" s="410">
        <v>42.12</v>
      </c>
      <c r="D3911" s="93" t="s">
        <v>24</v>
      </c>
      <c r="E3911" s="93" t="s">
        <v>24</v>
      </c>
      <c r="F3911" s="93" t="s">
        <v>7070</v>
      </c>
      <c r="G3911" s="93" t="s">
        <v>7168</v>
      </c>
      <c r="H3911" s="93" t="s">
        <v>11</v>
      </c>
      <c r="I3911" s="93" t="s">
        <v>111</v>
      </c>
      <c r="J3911" s="93" t="s">
        <v>387</v>
      </c>
      <c r="K3911" s="93">
        <v>60</v>
      </c>
      <c r="L3911" s="93" t="s">
        <v>111</v>
      </c>
      <c r="M3911" s="93">
        <v>0.4</v>
      </c>
      <c r="N3911" s="93" t="s">
        <v>113</v>
      </c>
      <c r="O3911" s="93">
        <v>5</v>
      </c>
      <c r="P3911" s="93">
        <v>27</v>
      </c>
      <c r="Q3911" s="93">
        <v>52</v>
      </c>
      <c r="R3911" s="93" t="s">
        <v>122</v>
      </c>
      <c r="S3911" s="93" t="s">
        <v>2</v>
      </c>
      <c r="T3911" s="93" t="s">
        <v>115</v>
      </c>
      <c r="U3911" s="93" t="s">
        <v>119</v>
      </c>
      <c r="V3911" s="94">
        <v>44628.59097222222</v>
      </c>
      <c r="W3911" s="93" t="s">
        <v>1216</v>
      </c>
      <c r="X3911" s="93" t="s">
        <v>9</v>
      </c>
    </row>
    <row r="3912" spans="1:24" hidden="1" x14ac:dyDescent="0.15">
      <c r="A3912" s="93" t="s">
        <v>5855</v>
      </c>
      <c r="B3912" s="93" t="s">
        <v>5856</v>
      </c>
      <c r="C3912" s="410">
        <v>59.4</v>
      </c>
      <c r="D3912" s="93" t="s">
        <v>24</v>
      </c>
      <c r="E3912" s="93" t="s">
        <v>24</v>
      </c>
      <c r="F3912" s="93" t="s">
        <v>7070</v>
      </c>
      <c r="G3912" s="93" t="s">
        <v>7168</v>
      </c>
      <c r="H3912" s="93" t="s">
        <v>11</v>
      </c>
      <c r="I3912" s="93" t="s">
        <v>111</v>
      </c>
      <c r="J3912" s="93" t="s">
        <v>387</v>
      </c>
      <c r="K3912" s="93">
        <v>60</v>
      </c>
      <c r="L3912" s="93" t="s">
        <v>111</v>
      </c>
      <c r="M3912" s="93">
        <v>1</v>
      </c>
      <c r="N3912" s="93" t="s">
        <v>113</v>
      </c>
      <c r="O3912" s="93">
        <v>50</v>
      </c>
      <c r="P3912" s="93">
        <v>50</v>
      </c>
      <c r="Q3912" s="93">
        <v>50</v>
      </c>
      <c r="R3912" s="93" t="s">
        <v>122</v>
      </c>
      <c r="S3912" s="93" t="s">
        <v>2</v>
      </c>
      <c r="T3912" s="93" t="s">
        <v>115</v>
      </c>
      <c r="U3912" s="93" t="s">
        <v>119</v>
      </c>
      <c r="V3912" s="94">
        <v>44628.59097222222</v>
      </c>
      <c r="W3912" s="93" t="s">
        <v>1216</v>
      </c>
      <c r="X3912" s="93" t="s">
        <v>9</v>
      </c>
    </row>
    <row r="3913" spans="1:24" hidden="1" x14ac:dyDescent="0.15">
      <c r="A3913" s="93" t="s">
        <v>9632</v>
      </c>
      <c r="B3913" s="93" t="s">
        <v>9633</v>
      </c>
      <c r="C3913" s="410">
        <v>300</v>
      </c>
      <c r="D3913" s="93" t="s">
        <v>24</v>
      </c>
      <c r="E3913" s="93" t="s">
        <v>24</v>
      </c>
      <c r="F3913" s="93" t="s">
        <v>7070</v>
      </c>
      <c r="G3913" s="93" t="s">
        <v>9087</v>
      </c>
      <c r="H3913" s="93" t="s">
        <v>118</v>
      </c>
      <c r="I3913" s="93" t="s">
        <v>111</v>
      </c>
      <c r="J3913" s="93" t="s">
        <v>7105</v>
      </c>
      <c r="K3913" s="93" t="s">
        <v>111</v>
      </c>
      <c r="L3913" s="93" t="s">
        <v>111</v>
      </c>
      <c r="M3913" s="93" t="s">
        <v>111</v>
      </c>
      <c r="N3913" s="93" t="s">
        <v>111</v>
      </c>
      <c r="O3913" s="93" t="s">
        <v>111</v>
      </c>
      <c r="P3913" s="93" t="s">
        <v>111</v>
      </c>
      <c r="Q3913" s="93" t="s">
        <v>111</v>
      </c>
      <c r="R3913" s="93" t="s">
        <v>1199</v>
      </c>
      <c r="S3913" s="93" t="s">
        <v>111</v>
      </c>
      <c r="T3913" s="93" t="s">
        <v>394</v>
      </c>
      <c r="U3913" s="93" t="s">
        <v>116</v>
      </c>
      <c r="V3913" s="94">
        <v>44588.172222222223</v>
      </c>
      <c r="W3913" s="93" t="s">
        <v>1170</v>
      </c>
      <c r="X3913" s="93" t="s">
        <v>111</v>
      </c>
    </row>
    <row r="3914" spans="1:24" hidden="1" x14ac:dyDescent="0.15">
      <c r="A3914" s="93" t="s">
        <v>5857</v>
      </c>
      <c r="B3914" s="93" t="s">
        <v>5858</v>
      </c>
      <c r="C3914" s="410">
        <v>129.6</v>
      </c>
      <c r="D3914" s="93" t="s">
        <v>24</v>
      </c>
      <c r="E3914" s="93" t="s">
        <v>24</v>
      </c>
      <c r="F3914" s="93" t="s">
        <v>7070</v>
      </c>
      <c r="G3914" s="93" t="s">
        <v>7175</v>
      </c>
      <c r="H3914" s="93" t="s">
        <v>11</v>
      </c>
      <c r="I3914" s="93" t="s">
        <v>111</v>
      </c>
      <c r="J3914" s="93" t="s">
        <v>390</v>
      </c>
      <c r="K3914" s="93">
        <v>80</v>
      </c>
      <c r="L3914" s="93" t="s">
        <v>111</v>
      </c>
      <c r="M3914" s="93">
        <v>0.35</v>
      </c>
      <c r="N3914" s="93" t="s">
        <v>113</v>
      </c>
      <c r="O3914" s="93">
        <v>3</v>
      </c>
      <c r="P3914" s="93">
        <v>8</v>
      </c>
      <c r="Q3914" s="93">
        <v>14</v>
      </c>
      <c r="R3914" s="93" t="s">
        <v>413</v>
      </c>
      <c r="S3914" s="93" t="s">
        <v>658</v>
      </c>
      <c r="T3914" s="93" t="s">
        <v>115</v>
      </c>
      <c r="U3914" s="93" t="s">
        <v>116</v>
      </c>
      <c r="V3914" s="94">
        <v>44628.504166666666</v>
      </c>
      <c r="W3914" s="93" t="s">
        <v>1170</v>
      </c>
      <c r="X3914" s="93" t="s">
        <v>9</v>
      </c>
    </row>
    <row r="3915" spans="1:24" hidden="1" x14ac:dyDescent="0.15">
      <c r="A3915" s="93" t="s">
        <v>5859</v>
      </c>
      <c r="B3915" s="93" t="s">
        <v>5860</v>
      </c>
      <c r="C3915" s="410">
        <v>594</v>
      </c>
      <c r="D3915" s="93" t="s">
        <v>24</v>
      </c>
      <c r="E3915" s="93" t="s">
        <v>24</v>
      </c>
      <c r="F3915" s="93" t="s">
        <v>7070</v>
      </c>
      <c r="G3915" s="93" t="s">
        <v>7175</v>
      </c>
      <c r="H3915" s="93" t="s">
        <v>11</v>
      </c>
      <c r="I3915" s="93" t="s">
        <v>111</v>
      </c>
      <c r="J3915" s="93" t="s">
        <v>390</v>
      </c>
      <c r="K3915" s="93">
        <v>80</v>
      </c>
      <c r="L3915" s="93" t="s">
        <v>111</v>
      </c>
      <c r="M3915" s="93">
        <v>0.26</v>
      </c>
      <c r="N3915" s="93" t="s">
        <v>113</v>
      </c>
      <c r="O3915" s="93">
        <v>7</v>
      </c>
      <c r="P3915" s="93">
        <v>18</v>
      </c>
      <c r="Q3915" s="93">
        <v>27</v>
      </c>
      <c r="R3915" s="93" t="s">
        <v>123</v>
      </c>
      <c r="S3915" s="93" t="s">
        <v>18</v>
      </c>
      <c r="T3915" s="93" t="s">
        <v>397</v>
      </c>
      <c r="U3915" s="93" t="s">
        <v>116</v>
      </c>
      <c r="V3915" s="94">
        <v>44628.613888888889</v>
      </c>
      <c r="W3915" s="93" t="s">
        <v>1170</v>
      </c>
      <c r="X3915" s="93" t="s">
        <v>9</v>
      </c>
    </row>
    <row r="3916" spans="1:24" hidden="1" x14ac:dyDescent="0.15">
      <c r="A3916" s="93" t="s">
        <v>9634</v>
      </c>
      <c r="B3916" s="93" t="s">
        <v>9635</v>
      </c>
      <c r="C3916" s="410">
        <v>1200</v>
      </c>
      <c r="D3916" s="93" t="s">
        <v>24</v>
      </c>
      <c r="E3916" s="93" t="s">
        <v>9</v>
      </c>
      <c r="F3916" s="93" t="s">
        <v>7070</v>
      </c>
      <c r="G3916" s="93" t="s">
        <v>7175</v>
      </c>
      <c r="H3916" s="93" t="s">
        <v>118</v>
      </c>
      <c r="I3916" s="93" t="s">
        <v>111</v>
      </c>
      <c r="J3916" s="93" t="s">
        <v>7105</v>
      </c>
      <c r="K3916" s="93" t="s">
        <v>111</v>
      </c>
      <c r="L3916" s="93" t="s">
        <v>111</v>
      </c>
      <c r="M3916" s="93" t="s">
        <v>111</v>
      </c>
      <c r="N3916" s="93" t="s">
        <v>111</v>
      </c>
      <c r="O3916" s="93" t="s">
        <v>111</v>
      </c>
      <c r="P3916" s="93" t="s">
        <v>111</v>
      </c>
      <c r="Q3916" s="93" t="s">
        <v>111</v>
      </c>
      <c r="R3916" s="93" t="s">
        <v>1199</v>
      </c>
      <c r="S3916" s="93" t="s">
        <v>111</v>
      </c>
      <c r="T3916" s="93" t="s">
        <v>1567</v>
      </c>
      <c r="U3916" s="93" t="s">
        <v>116</v>
      </c>
      <c r="V3916" s="94">
        <v>44588.241666666669</v>
      </c>
      <c r="W3916" s="93" t="s">
        <v>1170</v>
      </c>
      <c r="X3916" s="93" t="s">
        <v>111</v>
      </c>
    </row>
    <row r="3917" spans="1:24" hidden="1" x14ac:dyDescent="0.15">
      <c r="A3917" s="93" t="s">
        <v>9636</v>
      </c>
      <c r="B3917" s="93" t="s">
        <v>9637</v>
      </c>
      <c r="C3917" s="410">
        <v>1600</v>
      </c>
      <c r="D3917" s="93" t="s">
        <v>24</v>
      </c>
      <c r="E3917" s="93" t="s">
        <v>9</v>
      </c>
      <c r="F3917" s="93" t="s">
        <v>7070</v>
      </c>
      <c r="G3917" s="93" t="s">
        <v>7175</v>
      </c>
      <c r="H3917" s="93" t="s">
        <v>118</v>
      </c>
      <c r="I3917" s="93" t="s">
        <v>111</v>
      </c>
      <c r="J3917" s="93" t="s">
        <v>7105</v>
      </c>
      <c r="K3917" s="93" t="s">
        <v>111</v>
      </c>
      <c r="L3917" s="93" t="s">
        <v>111</v>
      </c>
      <c r="M3917" s="93" t="s">
        <v>111</v>
      </c>
      <c r="N3917" s="93" t="s">
        <v>111</v>
      </c>
      <c r="O3917" s="93" t="s">
        <v>111</v>
      </c>
      <c r="P3917" s="93" t="s">
        <v>111</v>
      </c>
      <c r="Q3917" s="93" t="s">
        <v>111</v>
      </c>
      <c r="R3917" s="93" t="s">
        <v>1199</v>
      </c>
      <c r="S3917" s="93" t="s">
        <v>111</v>
      </c>
      <c r="T3917" s="93" t="s">
        <v>115</v>
      </c>
      <c r="U3917" s="93" t="s">
        <v>116</v>
      </c>
      <c r="V3917" s="94">
        <v>44588.241666666669</v>
      </c>
      <c r="W3917" s="93" t="s">
        <v>1170</v>
      </c>
      <c r="X3917" s="93" t="s">
        <v>111</v>
      </c>
    </row>
    <row r="3918" spans="1:24" hidden="1" x14ac:dyDescent="0.15">
      <c r="A3918" s="93" t="s">
        <v>9638</v>
      </c>
      <c r="B3918" s="93" t="s">
        <v>9639</v>
      </c>
      <c r="C3918" s="410">
        <v>1300</v>
      </c>
      <c r="D3918" s="93" t="s">
        <v>24</v>
      </c>
      <c r="E3918" s="93" t="s">
        <v>9</v>
      </c>
      <c r="F3918" s="93" t="s">
        <v>7070</v>
      </c>
      <c r="G3918" s="93" t="s">
        <v>7175</v>
      </c>
      <c r="H3918" s="93" t="s">
        <v>118</v>
      </c>
      <c r="I3918" s="93" t="s">
        <v>111</v>
      </c>
      <c r="J3918" s="93" t="s">
        <v>7105</v>
      </c>
      <c r="K3918" s="93" t="s">
        <v>111</v>
      </c>
      <c r="L3918" s="93" t="s">
        <v>111</v>
      </c>
      <c r="M3918" s="93" t="s">
        <v>111</v>
      </c>
      <c r="N3918" s="93" t="s">
        <v>111</v>
      </c>
      <c r="O3918" s="93" t="s">
        <v>111</v>
      </c>
      <c r="P3918" s="93" t="s">
        <v>111</v>
      </c>
      <c r="Q3918" s="93" t="s">
        <v>111</v>
      </c>
      <c r="R3918" s="93" t="s">
        <v>1199</v>
      </c>
      <c r="S3918" s="93" t="s">
        <v>111</v>
      </c>
      <c r="T3918" s="93" t="s">
        <v>115</v>
      </c>
      <c r="U3918" s="93" t="s">
        <v>116</v>
      </c>
      <c r="V3918" s="94">
        <v>44588.241666666669</v>
      </c>
      <c r="W3918" s="93" t="s">
        <v>1170</v>
      </c>
      <c r="X3918" s="93" t="s">
        <v>111</v>
      </c>
    </row>
    <row r="3919" spans="1:24" hidden="1" x14ac:dyDescent="0.15">
      <c r="A3919" s="93" t="s">
        <v>9640</v>
      </c>
      <c r="B3919" s="93" t="s">
        <v>9641</v>
      </c>
      <c r="C3919" s="410">
        <v>3500</v>
      </c>
      <c r="D3919" s="93" t="s">
        <v>24</v>
      </c>
      <c r="E3919" s="93" t="s">
        <v>9</v>
      </c>
      <c r="F3919" s="93" t="s">
        <v>7070</v>
      </c>
      <c r="G3919" s="93" t="s">
        <v>7175</v>
      </c>
      <c r="H3919" s="93" t="s">
        <v>118</v>
      </c>
      <c r="I3919" s="93" t="s">
        <v>111</v>
      </c>
      <c r="J3919" s="93" t="s">
        <v>7105</v>
      </c>
      <c r="K3919" s="93" t="s">
        <v>111</v>
      </c>
      <c r="L3919" s="93" t="s">
        <v>111</v>
      </c>
      <c r="M3919" s="93" t="s">
        <v>111</v>
      </c>
      <c r="N3919" s="93" t="s">
        <v>111</v>
      </c>
      <c r="O3919" s="93" t="s">
        <v>111</v>
      </c>
      <c r="P3919" s="93" t="s">
        <v>111</v>
      </c>
      <c r="Q3919" s="93" t="s">
        <v>111</v>
      </c>
      <c r="R3919" s="93" t="s">
        <v>1199</v>
      </c>
      <c r="S3919" s="93" t="s">
        <v>111</v>
      </c>
      <c r="T3919" s="93" t="s">
        <v>1567</v>
      </c>
      <c r="U3919" s="93" t="s">
        <v>116</v>
      </c>
      <c r="V3919" s="94">
        <v>44588.241666666669</v>
      </c>
      <c r="W3919" s="93" t="s">
        <v>1170</v>
      </c>
      <c r="X3919" s="93" t="s">
        <v>111</v>
      </c>
    </row>
    <row r="3920" spans="1:24" hidden="1" x14ac:dyDescent="0.15">
      <c r="A3920" s="93" t="s">
        <v>9642</v>
      </c>
      <c r="B3920" s="93" t="s">
        <v>9643</v>
      </c>
      <c r="C3920" s="410">
        <v>2399</v>
      </c>
      <c r="D3920" s="93" t="s">
        <v>24</v>
      </c>
      <c r="E3920" s="93" t="s">
        <v>9</v>
      </c>
      <c r="F3920" s="93" t="s">
        <v>7070</v>
      </c>
      <c r="G3920" s="93" t="s">
        <v>7175</v>
      </c>
      <c r="H3920" s="93" t="s">
        <v>118</v>
      </c>
      <c r="I3920" s="93" t="s">
        <v>111</v>
      </c>
      <c r="J3920" s="93" t="s">
        <v>7105</v>
      </c>
      <c r="K3920" s="93" t="s">
        <v>111</v>
      </c>
      <c r="L3920" s="93" t="s">
        <v>111</v>
      </c>
      <c r="M3920" s="93" t="s">
        <v>111</v>
      </c>
      <c r="N3920" s="93" t="s">
        <v>111</v>
      </c>
      <c r="O3920" s="93" t="s">
        <v>111</v>
      </c>
      <c r="P3920" s="93" t="s">
        <v>111</v>
      </c>
      <c r="Q3920" s="93" t="s">
        <v>111</v>
      </c>
      <c r="R3920" s="93" t="s">
        <v>1199</v>
      </c>
      <c r="S3920" s="93" t="s">
        <v>111</v>
      </c>
      <c r="T3920" s="93" t="s">
        <v>1567</v>
      </c>
      <c r="U3920" s="93" t="s">
        <v>116</v>
      </c>
      <c r="V3920" s="94">
        <v>44588.241666666669</v>
      </c>
      <c r="W3920" s="93" t="s">
        <v>1170</v>
      </c>
      <c r="X3920" s="93" t="s">
        <v>111</v>
      </c>
    </row>
    <row r="3921" spans="1:24" hidden="1" x14ac:dyDescent="0.15">
      <c r="A3921" s="93" t="s">
        <v>9644</v>
      </c>
      <c r="B3921" s="93" t="s">
        <v>9645</v>
      </c>
      <c r="C3921" s="410">
        <v>1750</v>
      </c>
      <c r="D3921" s="93" t="s">
        <v>24</v>
      </c>
      <c r="E3921" s="93" t="s">
        <v>9</v>
      </c>
      <c r="F3921" s="93" t="s">
        <v>7070</v>
      </c>
      <c r="G3921" s="93" t="s">
        <v>9110</v>
      </c>
      <c r="H3921" s="93" t="s">
        <v>118</v>
      </c>
      <c r="I3921" s="93" t="s">
        <v>111</v>
      </c>
      <c r="J3921" s="93" t="s">
        <v>7105</v>
      </c>
      <c r="K3921" s="93" t="s">
        <v>111</v>
      </c>
      <c r="L3921" s="93" t="s">
        <v>111</v>
      </c>
      <c r="M3921" s="93" t="s">
        <v>111</v>
      </c>
      <c r="N3921" s="93" t="s">
        <v>111</v>
      </c>
      <c r="O3921" s="93" t="s">
        <v>111</v>
      </c>
      <c r="P3921" s="93" t="s">
        <v>111</v>
      </c>
      <c r="Q3921" s="93" t="s">
        <v>111</v>
      </c>
      <c r="R3921" s="93" t="s">
        <v>1199</v>
      </c>
      <c r="S3921" s="93" t="s">
        <v>111</v>
      </c>
      <c r="T3921" s="93" t="s">
        <v>1567</v>
      </c>
      <c r="U3921" s="93" t="s">
        <v>116</v>
      </c>
      <c r="V3921" s="94">
        <v>44588.172222222223</v>
      </c>
      <c r="W3921" s="93" t="s">
        <v>1170</v>
      </c>
      <c r="X3921" s="93" t="s">
        <v>111</v>
      </c>
    </row>
    <row r="3922" spans="1:24" hidden="1" x14ac:dyDescent="0.15">
      <c r="A3922" s="93" t="s">
        <v>5861</v>
      </c>
      <c r="B3922" s="93" t="s">
        <v>5862</v>
      </c>
      <c r="C3922" s="410">
        <v>594</v>
      </c>
      <c r="D3922" s="93" t="s">
        <v>24</v>
      </c>
      <c r="E3922" s="93" t="s">
        <v>24</v>
      </c>
      <c r="F3922" s="93" t="s">
        <v>7070</v>
      </c>
      <c r="G3922" s="93" t="s">
        <v>7175</v>
      </c>
      <c r="H3922" s="93" t="s">
        <v>11</v>
      </c>
      <c r="I3922" s="93" t="s">
        <v>111</v>
      </c>
      <c r="J3922" s="93" t="s">
        <v>390</v>
      </c>
      <c r="K3922" s="93">
        <v>80</v>
      </c>
      <c r="L3922" s="93" t="s">
        <v>111</v>
      </c>
      <c r="M3922" s="93">
        <v>0.26</v>
      </c>
      <c r="N3922" s="93" t="s">
        <v>113</v>
      </c>
      <c r="O3922" s="93">
        <v>7</v>
      </c>
      <c r="P3922" s="93">
        <v>18</v>
      </c>
      <c r="Q3922" s="93">
        <v>27</v>
      </c>
      <c r="R3922" s="93" t="s">
        <v>123</v>
      </c>
      <c r="S3922" s="93" t="s">
        <v>18</v>
      </c>
      <c r="T3922" s="93" t="s">
        <v>397</v>
      </c>
      <c r="U3922" s="93" t="s">
        <v>116</v>
      </c>
      <c r="V3922" s="94">
        <v>44628.504166666666</v>
      </c>
      <c r="W3922" s="93" t="s">
        <v>1170</v>
      </c>
      <c r="X3922" s="93" t="s">
        <v>24</v>
      </c>
    </row>
    <row r="3923" spans="1:24" hidden="1" x14ac:dyDescent="0.15">
      <c r="A3923" s="93" t="s">
        <v>9646</v>
      </c>
      <c r="B3923" s="93" t="s">
        <v>9647</v>
      </c>
      <c r="C3923" s="410">
        <v>1500</v>
      </c>
      <c r="D3923" s="93" t="s">
        <v>24</v>
      </c>
      <c r="E3923" s="93" t="s">
        <v>9</v>
      </c>
      <c r="F3923" s="93" t="s">
        <v>7070</v>
      </c>
      <c r="G3923" s="93" t="s">
        <v>9110</v>
      </c>
      <c r="H3923" s="93" t="s">
        <v>118</v>
      </c>
      <c r="I3923" s="93" t="s">
        <v>111</v>
      </c>
      <c r="J3923" s="93" t="s">
        <v>7105</v>
      </c>
      <c r="K3923" s="93" t="s">
        <v>111</v>
      </c>
      <c r="L3923" s="93" t="s">
        <v>111</v>
      </c>
      <c r="M3923" s="93" t="s">
        <v>111</v>
      </c>
      <c r="N3923" s="93" t="s">
        <v>111</v>
      </c>
      <c r="O3923" s="93" t="s">
        <v>111</v>
      </c>
      <c r="P3923" s="93" t="s">
        <v>111</v>
      </c>
      <c r="Q3923" s="93" t="s">
        <v>111</v>
      </c>
      <c r="R3923" s="93" t="s">
        <v>1199</v>
      </c>
      <c r="S3923" s="93" t="s">
        <v>111</v>
      </c>
      <c r="T3923" s="93" t="s">
        <v>394</v>
      </c>
      <c r="U3923" s="93" t="s">
        <v>116</v>
      </c>
      <c r="V3923" s="94">
        <v>44588.172222222223</v>
      </c>
      <c r="W3923" s="93" t="s">
        <v>1170</v>
      </c>
      <c r="X3923" s="93" t="s">
        <v>111</v>
      </c>
    </row>
    <row r="3924" spans="1:24" hidden="1" x14ac:dyDescent="0.15">
      <c r="A3924" s="93" t="s">
        <v>9648</v>
      </c>
      <c r="B3924" s="93" t="s">
        <v>9649</v>
      </c>
      <c r="C3924" s="410">
        <v>3000</v>
      </c>
      <c r="D3924" s="93" t="s">
        <v>24</v>
      </c>
      <c r="E3924" s="93" t="s">
        <v>9</v>
      </c>
      <c r="F3924" s="93" t="s">
        <v>7070</v>
      </c>
      <c r="G3924" s="93" t="s">
        <v>9110</v>
      </c>
      <c r="H3924" s="93" t="s">
        <v>118</v>
      </c>
      <c r="I3924" s="93" t="s">
        <v>111</v>
      </c>
      <c r="J3924" s="93" t="s">
        <v>7105</v>
      </c>
      <c r="K3924" s="93" t="s">
        <v>111</v>
      </c>
      <c r="L3924" s="93" t="s">
        <v>111</v>
      </c>
      <c r="M3924" s="93" t="s">
        <v>111</v>
      </c>
      <c r="N3924" s="93" t="s">
        <v>111</v>
      </c>
      <c r="O3924" s="93" t="s">
        <v>111</v>
      </c>
      <c r="P3924" s="93" t="s">
        <v>111</v>
      </c>
      <c r="Q3924" s="93" t="s">
        <v>111</v>
      </c>
      <c r="R3924" s="93" t="s">
        <v>1199</v>
      </c>
      <c r="S3924" s="93" t="s">
        <v>111</v>
      </c>
      <c r="T3924" s="93" t="s">
        <v>394</v>
      </c>
      <c r="U3924" s="93" t="s">
        <v>116</v>
      </c>
      <c r="V3924" s="94">
        <v>44588.172222222223</v>
      </c>
      <c r="W3924" s="93" t="s">
        <v>1170</v>
      </c>
      <c r="X3924" s="93" t="s">
        <v>111</v>
      </c>
    </row>
    <row r="3925" spans="1:24" hidden="1" x14ac:dyDescent="0.15">
      <c r="A3925" s="93" t="s">
        <v>9650</v>
      </c>
      <c r="B3925" s="93" t="s">
        <v>9651</v>
      </c>
      <c r="C3925" s="410">
        <v>3750</v>
      </c>
      <c r="D3925" s="93" t="s">
        <v>24</v>
      </c>
      <c r="E3925" s="93" t="s">
        <v>9</v>
      </c>
      <c r="F3925" s="93" t="s">
        <v>7070</v>
      </c>
      <c r="G3925" s="93" t="s">
        <v>9110</v>
      </c>
      <c r="H3925" s="93" t="s">
        <v>118</v>
      </c>
      <c r="I3925" s="93" t="s">
        <v>111</v>
      </c>
      <c r="J3925" s="93" t="s">
        <v>7105</v>
      </c>
      <c r="K3925" s="93" t="s">
        <v>111</v>
      </c>
      <c r="L3925" s="93" t="s">
        <v>111</v>
      </c>
      <c r="M3925" s="93" t="s">
        <v>111</v>
      </c>
      <c r="N3925" s="93" t="s">
        <v>111</v>
      </c>
      <c r="O3925" s="93" t="s">
        <v>111</v>
      </c>
      <c r="P3925" s="93" t="s">
        <v>111</v>
      </c>
      <c r="Q3925" s="93" t="s">
        <v>111</v>
      </c>
      <c r="R3925" s="93" t="s">
        <v>1199</v>
      </c>
      <c r="S3925" s="93" t="s">
        <v>111</v>
      </c>
      <c r="T3925" s="93" t="s">
        <v>394</v>
      </c>
      <c r="U3925" s="93" t="s">
        <v>116</v>
      </c>
      <c r="V3925" s="94">
        <v>44588.172222222223</v>
      </c>
      <c r="W3925" s="93" t="s">
        <v>1207</v>
      </c>
      <c r="X3925" s="93" t="s">
        <v>111</v>
      </c>
    </row>
    <row r="3926" spans="1:24" hidden="1" x14ac:dyDescent="0.15">
      <c r="A3926" s="93" t="s">
        <v>9652</v>
      </c>
      <c r="B3926" s="93" t="s">
        <v>9653</v>
      </c>
      <c r="C3926" s="410">
        <v>750</v>
      </c>
      <c r="D3926" s="93" t="s">
        <v>24</v>
      </c>
      <c r="E3926" s="93" t="s">
        <v>9</v>
      </c>
      <c r="F3926" s="93" t="s">
        <v>7070</v>
      </c>
      <c r="G3926" s="93" t="s">
        <v>9110</v>
      </c>
      <c r="H3926" s="93" t="s">
        <v>118</v>
      </c>
      <c r="I3926" s="93" t="s">
        <v>111</v>
      </c>
      <c r="J3926" s="93" t="s">
        <v>7105</v>
      </c>
      <c r="K3926" s="93" t="s">
        <v>111</v>
      </c>
      <c r="L3926" s="93" t="s">
        <v>111</v>
      </c>
      <c r="M3926" s="93" t="s">
        <v>111</v>
      </c>
      <c r="N3926" s="93" t="s">
        <v>111</v>
      </c>
      <c r="O3926" s="93" t="s">
        <v>111</v>
      </c>
      <c r="P3926" s="93" t="s">
        <v>111</v>
      </c>
      <c r="Q3926" s="93" t="s">
        <v>111</v>
      </c>
      <c r="R3926" s="93" t="s">
        <v>1199</v>
      </c>
      <c r="S3926" s="93" t="s">
        <v>111</v>
      </c>
      <c r="T3926" s="93" t="s">
        <v>394</v>
      </c>
      <c r="U3926" s="93" t="s">
        <v>116</v>
      </c>
      <c r="V3926" s="94">
        <v>44588.172222222223</v>
      </c>
      <c r="W3926" s="93" t="s">
        <v>1170</v>
      </c>
      <c r="X3926" s="93" t="s">
        <v>111</v>
      </c>
    </row>
    <row r="3927" spans="1:24" hidden="1" x14ac:dyDescent="0.15">
      <c r="A3927" s="93" t="s">
        <v>9654</v>
      </c>
      <c r="B3927" s="93" t="s">
        <v>9655</v>
      </c>
      <c r="C3927" s="410">
        <v>1875</v>
      </c>
      <c r="D3927" s="93" t="s">
        <v>24</v>
      </c>
      <c r="E3927" s="93" t="s">
        <v>9</v>
      </c>
      <c r="F3927" s="93" t="s">
        <v>7070</v>
      </c>
      <c r="G3927" s="93" t="s">
        <v>9110</v>
      </c>
      <c r="H3927" s="93" t="s">
        <v>118</v>
      </c>
      <c r="I3927" s="93" t="s">
        <v>111</v>
      </c>
      <c r="J3927" s="93" t="s">
        <v>7105</v>
      </c>
      <c r="K3927" s="93" t="s">
        <v>111</v>
      </c>
      <c r="L3927" s="93" t="s">
        <v>111</v>
      </c>
      <c r="M3927" s="93" t="s">
        <v>111</v>
      </c>
      <c r="N3927" s="93" t="s">
        <v>111</v>
      </c>
      <c r="O3927" s="93" t="s">
        <v>111</v>
      </c>
      <c r="P3927" s="93" t="s">
        <v>111</v>
      </c>
      <c r="Q3927" s="93" t="s">
        <v>111</v>
      </c>
      <c r="R3927" s="93" t="s">
        <v>1199</v>
      </c>
      <c r="S3927" s="93" t="s">
        <v>111</v>
      </c>
      <c r="T3927" s="93" t="s">
        <v>394</v>
      </c>
      <c r="U3927" s="93" t="s">
        <v>116</v>
      </c>
      <c r="V3927" s="94">
        <v>44588.172222222223</v>
      </c>
      <c r="W3927" s="93" t="s">
        <v>1170</v>
      </c>
      <c r="X3927" s="93" t="s">
        <v>111</v>
      </c>
    </row>
    <row r="3928" spans="1:24" hidden="1" x14ac:dyDescent="0.15">
      <c r="A3928" s="93" t="s">
        <v>5863</v>
      </c>
      <c r="B3928" s="93" t="s">
        <v>5864</v>
      </c>
      <c r="C3928" s="410">
        <v>432</v>
      </c>
      <c r="D3928" s="93" t="s">
        <v>24</v>
      </c>
      <c r="E3928" s="93" t="s">
        <v>24</v>
      </c>
      <c r="F3928" s="93" t="s">
        <v>7070</v>
      </c>
      <c r="G3928" s="93" t="s">
        <v>7175</v>
      </c>
      <c r="H3928" s="93" t="s">
        <v>11</v>
      </c>
      <c r="I3928" s="93" t="s">
        <v>111</v>
      </c>
      <c r="J3928" s="93" t="s">
        <v>390</v>
      </c>
      <c r="K3928" s="93">
        <v>80</v>
      </c>
      <c r="L3928" s="93" t="s">
        <v>111</v>
      </c>
      <c r="M3928" s="93">
        <v>2.1</v>
      </c>
      <c r="N3928" s="93" t="s">
        <v>113</v>
      </c>
      <c r="O3928" s="93">
        <v>12</v>
      </c>
      <c r="P3928" s="93">
        <v>17</v>
      </c>
      <c r="Q3928" s="93">
        <v>29</v>
      </c>
      <c r="R3928" s="93" t="s">
        <v>411</v>
      </c>
      <c r="S3928" s="93" t="s">
        <v>18</v>
      </c>
      <c r="T3928" s="93" t="s">
        <v>115</v>
      </c>
      <c r="U3928" s="93" t="s">
        <v>116</v>
      </c>
      <c r="V3928" s="94">
        <v>44628.484027777777</v>
      </c>
      <c r="W3928" s="93" t="s">
        <v>1170</v>
      </c>
      <c r="X3928" s="93" t="s">
        <v>24</v>
      </c>
    </row>
    <row r="3929" spans="1:24" hidden="1" x14ac:dyDescent="0.15">
      <c r="A3929" s="93" t="s">
        <v>5865</v>
      </c>
      <c r="B3929" s="93" t="s">
        <v>5866</v>
      </c>
      <c r="C3929" s="410">
        <v>162</v>
      </c>
      <c r="D3929" s="93" t="s">
        <v>24</v>
      </c>
      <c r="E3929" s="93" t="s">
        <v>24</v>
      </c>
      <c r="F3929" s="93" t="s">
        <v>7070</v>
      </c>
      <c r="G3929" s="93" t="s">
        <v>7175</v>
      </c>
      <c r="H3929" s="93" t="s">
        <v>11</v>
      </c>
      <c r="I3929" s="93" t="s">
        <v>111</v>
      </c>
      <c r="J3929" s="93" t="s">
        <v>390</v>
      </c>
      <c r="K3929" s="93">
        <v>80</v>
      </c>
      <c r="L3929" s="93" t="s">
        <v>111</v>
      </c>
      <c r="M3929" s="93">
        <v>1.2</v>
      </c>
      <c r="N3929" s="93" t="s">
        <v>113</v>
      </c>
      <c r="O3929" s="93">
        <v>12</v>
      </c>
      <c r="P3929" s="93">
        <v>17</v>
      </c>
      <c r="Q3929" s="93">
        <v>30</v>
      </c>
      <c r="R3929" s="93" t="s">
        <v>411</v>
      </c>
      <c r="S3929" s="93" t="s">
        <v>18</v>
      </c>
      <c r="T3929" s="93" t="s">
        <v>115</v>
      </c>
      <c r="U3929" s="93" t="s">
        <v>116</v>
      </c>
      <c r="V3929" s="94">
        <v>44628.526388888888</v>
      </c>
      <c r="W3929" s="93" t="s">
        <v>1170</v>
      </c>
      <c r="X3929" s="93" t="s">
        <v>24</v>
      </c>
    </row>
    <row r="3930" spans="1:24" hidden="1" x14ac:dyDescent="0.15">
      <c r="A3930" s="93" t="s">
        <v>9656</v>
      </c>
      <c r="B3930" s="93" t="s">
        <v>9657</v>
      </c>
      <c r="C3930" s="410">
        <v>3200</v>
      </c>
      <c r="D3930" s="93" t="s">
        <v>24</v>
      </c>
      <c r="E3930" s="93" t="s">
        <v>9</v>
      </c>
      <c r="F3930" s="93" t="s">
        <v>7070</v>
      </c>
      <c r="G3930" s="93" t="s">
        <v>9110</v>
      </c>
      <c r="H3930" s="93" t="s">
        <v>118</v>
      </c>
      <c r="I3930" s="93" t="s">
        <v>111</v>
      </c>
      <c r="J3930" s="93" t="s">
        <v>7105</v>
      </c>
      <c r="K3930" s="93" t="s">
        <v>111</v>
      </c>
      <c r="L3930" s="93" t="s">
        <v>111</v>
      </c>
      <c r="M3930" s="93" t="s">
        <v>111</v>
      </c>
      <c r="N3930" s="93" t="s">
        <v>111</v>
      </c>
      <c r="O3930" s="93" t="s">
        <v>111</v>
      </c>
      <c r="P3930" s="93" t="s">
        <v>111</v>
      </c>
      <c r="Q3930" s="93" t="s">
        <v>111</v>
      </c>
      <c r="R3930" s="93" t="s">
        <v>1199</v>
      </c>
      <c r="S3930" s="93" t="s">
        <v>2</v>
      </c>
      <c r="T3930" s="93" t="s">
        <v>394</v>
      </c>
      <c r="U3930" s="93" t="s">
        <v>116</v>
      </c>
      <c r="V3930" s="94">
        <v>44588.17291666667</v>
      </c>
      <c r="W3930" s="93" t="s">
        <v>1170</v>
      </c>
      <c r="X3930" s="93" t="s">
        <v>111</v>
      </c>
    </row>
    <row r="3931" spans="1:24" hidden="1" x14ac:dyDescent="0.15">
      <c r="A3931" s="93" t="s">
        <v>9658</v>
      </c>
      <c r="B3931" s="93" t="s">
        <v>9659</v>
      </c>
      <c r="C3931" s="410">
        <v>1760</v>
      </c>
      <c r="D3931" s="93" t="s">
        <v>24</v>
      </c>
      <c r="E3931" s="93" t="s">
        <v>9</v>
      </c>
      <c r="F3931" s="93" t="s">
        <v>7070</v>
      </c>
      <c r="G3931" s="93" t="s">
        <v>9110</v>
      </c>
      <c r="H3931" s="93" t="s">
        <v>118</v>
      </c>
      <c r="I3931" s="93" t="s">
        <v>111</v>
      </c>
      <c r="J3931" s="93" t="s">
        <v>7105</v>
      </c>
      <c r="K3931" s="93" t="s">
        <v>111</v>
      </c>
      <c r="L3931" s="93" t="s">
        <v>111</v>
      </c>
      <c r="M3931" s="93" t="s">
        <v>111</v>
      </c>
      <c r="N3931" s="93" t="s">
        <v>111</v>
      </c>
      <c r="O3931" s="93" t="s">
        <v>111</v>
      </c>
      <c r="P3931" s="93" t="s">
        <v>111</v>
      </c>
      <c r="Q3931" s="93" t="s">
        <v>111</v>
      </c>
      <c r="R3931" s="93" t="s">
        <v>1199</v>
      </c>
      <c r="S3931" s="93" t="s">
        <v>111</v>
      </c>
      <c r="T3931" s="93" t="s">
        <v>394</v>
      </c>
      <c r="U3931" s="93" t="s">
        <v>116</v>
      </c>
      <c r="V3931" s="94">
        <v>44588.17291666667</v>
      </c>
      <c r="W3931" s="93" t="s">
        <v>1170</v>
      </c>
      <c r="X3931" s="93" t="s">
        <v>111</v>
      </c>
    </row>
    <row r="3932" spans="1:24" hidden="1" x14ac:dyDescent="0.15">
      <c r="A3932" s="93" t="s">
        <v>5867</v>
      </c>
      <c r="B3932" s="93" t="s">
        <v>5868</v>
      </c>
      <c r="C3932" s="410">
        <v>1458</v>
      </c>
      <c r="D3932" s="93" t="s">
        <v>24</v>
      </c>
      <c r="E3932" s="93" t="s">
        <v>24</v>
      </c>
      <c r="F3932" s="93" t="s">
        <v>7070</v>
      </c>
      <c r="G3932" s="93" t="s">
        <v>7175</v>
      </c>
      <c r="H3932" s="93" t="s">
        <v>11</v>
      </c>
      <c r="I3932" s="93" t="s">
        <v>111</v>
      </c>
      <c r="J3932" s="93" t="s">
        <v>390</v>
      </c>
      <c r="K3932" s="93">
        <v>80</v>
      </c>
      <c r="L3932" s="93" t="s">
        <v>111</v>
      </c>
      <c r="M3932" s="93">
        <v>30</v>
      </c>
      <c r="N3932" s="93" t="s">
        <v>113</v>
      </c>
      <c r="O3932" s="93">
        <v>30</v>
      </c>
      <c r="P3932" s="93">
        <v>50</v>
      </c>
      <c r="Q3932" s="93">
        <v>50</v>
      </c>
      <c r="R3932" s="93" t="s">
        <v>4215</v>
      </c>
      <c r="S3932" s="93" t="s">
        <v>2</v>
      </c>
      <c r="T3932" s="93" t="s">
        <v>115</v>
      </c>
      <c r="U3932" s="93" t="s">
        <v>116</v>
      </c>
      <c r="V3932" s="94">
        <v>44628.614583333336</v>
      </c>
      <c r="W3932" s="93" t="s">
        <v>1170</v>
      </c>
      <c r="X3932" s="93" t="s">
        <v>24</v>
      </c>
    </row>
    <row r="3933" spans="1:24" hidden="1" x14ac:dyDescent="0.15">
      <c r="A3933" s="93" t="s">
        <v>5869</v>
      </c>
      <c r="B3933" s="93" t="s">
        <v>5870</v>
      </c>
      <c r="C3933" s="410">
        <v>534.6</v>
      </c>
      <c r="D3933" s="93" t="s">
        <v>24</v>
      </c>
      <c r="E3933" s="93" t="s">
        <v>24</v>
      </c>
      <c r="F3933" s="93" t="s">
        <v>7070</v>
      </c>
      <c r="G3933" s="93" t="s">
        <v>7175</v>
      </c>
      <c r="H3933" s="93" t="s">
        <v>11</v>
      </c>
      <c r="I3933" s="93" t="s">
        <v>111</v>
      </c>
      <c r="J3933" s="93" t="s">
        <v>390</v>
      </c>
      <c r="K3933" s="93">
        <v>80</v>
      </c>
      <c r="L3933" s="93" t="s">
        <v>111</v>
      </c>
      <c r="M3933" s="93">
        <v>10.89</v>
      </c>
      <c r="N3933" s="93" t="s">
        <v>113</v>
      </c>
      <c r="O3933" s="93">
        <v>18</v>
      </c>
      <c r="P3933" s="93">
        <v>44</v>
      </c>
      <c r="Q3933" s="93">
        <v>44</v>
      </c>
      <c r="R3933" s="93" t="s">
        <v>4215</v>
      </c>
      <c r="S3933" s="93" t="s">
        <v>2</v>
      </c>
      <c r="T3933" s="93" t="s">
        <v>115</v>
      </c>
      <c r="U3933" s="93" t="s">
        <v>116</v>
      </c>
      <c r="V3933" s="94">
        <v>44628.484722222223</v>
      </c>
      <c r="W3933" s="93" t="s">
        <v>1170</v>
      </c>
      <c r="X3933" s="93" t="s">
        <v>24</v>
      </c>
    </row>
    <row r="3934" spans="1:24" hidden="1" x14ac:dyDescent="0.15">
      <c r="A3934" s="93" t="s">
        <v>5871</v>
      </c>
      <c r="B3934" s="93" t="s">
        <v>5872</v>
      </c>
      <c r="C3934" s="410">
        <v>97.2</v>
      </c>
      <c r="D3934" s="93" t="s">
        <v>24</v>
      </c>
      <c r="E3934" s="93" t="s">
        <v>24</v>
      </c>
      <c r="F3934" s="93" t="s">
        <v>7070</v>
      </c>
      <c r="G3934" s="93" t="s">
        <v>7175</v>
      </c>
      <c r="H3934" s="93" t="s">
        <v>11</v>
      </c>
      <c r="I3934" s="93" t="s">
        <v>111</v>
      </c>
      <c r="J3934" s="93" t="s">
        <v>390</v>
      </c>
      <c r="K3934" s="93">
        <v>80</v>
      </c>
      <c r="L3934" s="93" t="s">
        <v>111</v>
      </c>
      <c r="M3934" s="93">
        <v>0.123</v>
      </c>
      <c r="N3934" s="93" t="s">
        <v>113</v>
      </c>
      <c r="O3934" s="93" t="s">
        <v>111</v>
      </c>
      <c r="P3934" s="93" t="s">
        <v>111</v>
      </c>
      <c r="Q3934" s="93" t="s">
        <v>111</v>
      </c>
      <c r="R3934" s="93" t="s">
        <v>1548</v>
      </c>
      <c r="S3934" s="93" t="s">
        <v>2</v>
      </c>
      <c r="T3934" s="93" t="s">
        <v>115</v>
      </c>
      <c r="U3934" s="93" t="s">
        <v>116</v>
      </c>
      <c r="V3934" s="94">
        <v>44628.5</v>
      </c>
      <c r="W3934" s="93" t="s">
        <v>1170</v>
      </c>
      <c r="X3934" s="93" t="s">
        <v>24</v>
      </c>
    </row>
    <row r="3935" spans="1:24" hidden="1" x14ac:dyDescent="0.15">
      <c r="A3935" s="93" t="s">
        <v>5873</v>
      </c>
      <c r="B3935" s="93" t="s">
        <v>5874</v>
      </c>
      <c r="C3935" s="410">
        <v>378</v>
      </c>
      <c r="D3935" s="93" t="s">
        <v>24</v>
      </c>
      <c r="E3935" s="93" t="s">
        <v>24</v>
      </c>
      <c r="F3935" s="93" t="s">
        <v>7070</v>
      </c>
      <c r="G3935" s="93" t="s">
        <v>7175</v>
      </c>
      <c r="H3935" s="93" t="s">
        <v>11</v>
      </c>
      <c r="I3935" s="93" t="s">
        <v>111</v>
      </c>
      <c r="J3935" s="93" t="s">
        <v>390</v>
      </c>
      <c r="K3935" s="93">
        <v>80</v>
      </c>
      <c r="L3935" s="93" t="s">
        <v>111</v>
      </c>
      <c r="M3935" s="93">
        <v>1</v>
      </c>
      <c r="N3935" s="93" t="s">
        <v>113</v>
      </c>
      <c r="O3935" s="93">
        <v>5</v>
      </c>
      <c r="P3935" s="93">
        <v>10</v>
      </c>
      <c r="Q3935" s="93">
        <v>20</v>
      </c>
      <c r="R3935" s="93" t="s">
        <v>1252</v>
      </c>
      <c r="S3935" s="93" t="s">
        <v>2</v>
      </c>
      <c r="T3935" s="93" t="s">
        <v>115</v>
      </c>
      <c r="U3935" s="93" t="s">
        <v>116</v>
      </c>
      <c r="V3935" s="94">
        <v>44628.484722222223</v>
      </c>
      <c r="W3935" s="93" t="s">
        <v>1170</v>
      </c>
      <c r="X3935" s="93" t="s">
        <v>24</v>
      </c>
    </row>
    <row r="3936" spans="1:24" hidden="1" x14ac:dyDescent="0.15">
      <c r="A3936" s="93" t="s">
        <v>9660</v>
      </c>
      <c r="B3936" s="93" t="s">
        <v>9661</v>
      </c>
      <c r="C3936" s="410">
        <v>3000</v>
      </c>
      <c r="D3936" s="93" t="s">
        <v>24</v>
      </c>
      <c r="E3936" s="93" t="s">
        <v>9</v>
      </c>
      <c r="F3936" s="93" t="s">
        <v>7070</v>
      </c>
      <c r="G3936" s="93" t="s">
        <v>9110</v>
      </c>
      <c r="H3936" s="93" t="s">
        <v>118</v>
      </c>
      <c r="I3936" s="93" t="s">
        <v>111</v>
      </c>
      <c r="J3936" s="93" t="s">
        <v>7105</v>
      </c>
      <c r="K3936" s="93" t="s">
        <v>111</v>
      </c>
      <c r="L3936" s="93" t="s">
        <v>111</v>
      </c>
      <c r="M3936" s="93" t="s">
        <v>111</v>
      </c>
      <c r="N3936" s="93" t="s">
        <v>111</v>
      </c>
      <c r="O3936" s="93" t="s">
        <v>111</v>
      </c>
      <c r="P3936" s="93" t="s">
        <v>111</v>
      </c>
      <c r="Q3936" s="93" t="s">
        <v>111</v>
      </c>
      <c r="R3936" s="93" t="s">
        <v>1199</v>
      </c>
      <c r="S3936" s="93" t="s">
        <v>111</v>
      </c>
      <c r="T3936" s="93" t="s">
        <v>394</v>
      </c>
      <c r="U3936" s="93" t="s">
        <v>116</v>
      </c>
      <c r="V3936" s="94">
        <v>44588.17291666667</v>
      </c>
      <c r="W3936" s="93" t="s">
        <v>1170</v>
      </c>
      <c r="X3936" s="93" t="s">
        <v>111</v>
      </c>
    </row>
    <row r="3937" spans="1:24" hidden="1" x14ac:dyDescent="0.15">
      <c r="A3937" s="93" t="s">
        <v>9662</v>
      </c>
      <c r="B3937" s="93" t="s">
        <v>9663</v>
      </c>
      <c r="C3937" s="410">
        <v>6000</v>
      </c>
      <c r="D3937" s="93" t="s">
        <v>24</v>
      </c>
      <c r="E3937" s="93" t="s">
        <v>9</v>
      </c>
      <c r="F3937" s="93" t="s">
        <v>7070</v>
      </c>
      <c r="G3937" s="93" t="s">
        <v>9110</v>
      </c>
      <c r="H3937" s="93" t="s">
        <v>118</v>
      </c>
      <c r="I3937" s="93" t="s">
        <v>111</v>
      </c>
      <c r="J3937" s="93" t="s">
        <v>7105</v>
      </c>
      <c r="K3937" s="93" t="s">
        <v>111</v>
      </c>
      <c r="L3937" s="93" t="s">
        <v>111</v>
      </c>
      <c r="M3937" s="93" t="s">
        <v>111</v>
      </c>
      <c r="N3937" s="93" t="s">
        <v>111</v>
      </c>
      <c r="O3937" s="93" t="s">
        <v>111</v>
      </c>
      <c r="P3937" s="93" t="s">
        <v>111</v>
      </c>
      <c r="Q3937" s="93" t="s">
        <v>111</v>
      </c>
      <c r="R3937" s="93" t="s">
        <v>1199</v>
      </c>
      <c r="S3937" s="93" t="s">
        <v>111</v>
      </c>
      <c r="T3937" s="93" t="s">
        <v>394</v>
      </c>
      <c r="U3937" s="93" t="s">
        <v>116</v>
      </c>
      <c r="V3937" s="94">
        <v>44588.17291666667</v>
      </c>
      <c r="W3937" s="93" t="s">
        <v>1170</v>
      </c>
      <c r="X3937" s="93" t="s">
        <v>111</v>
      </c>
    </row>
    <row r="3938" spans="1:24" hidden="1" x14ac:dyDescent="0.15">
      <c r="A3938" s="93" t="s">
        <v>9664</v>
      </c>
      <c r="B3938" s="93" t="s">
        <v>9665</v>
      </c>
      <c r="C3938" s="410">
        <v>1650</v>
      </c>
      <c r="D3938" s="93" t="s">
        <v>24</v>
      </c>
      <c r="E3938" s="93" t="s">
        <v>9</v>
      </c>
      <c r="F3938" s="93" t="s">
        <v>7070</v>
      </c>
      <c r="G3938" s="93" t="s">
        <v>9110</v>
      </c>
      <c r="H3938" s="93" t="s">
        <v>118</v>
      </c>
      <c r="I3938" s="93" t="s">
        <v>111</v>
      </c>
      <c r="J3938" s="93" t="s">
        <v>7105</v>
      </c>
      <c r="K3938" s="93" t="s">
        <v>111</v>
      </c>
      <c r="L3938" s="93" t="s">
        <v>111</v>
      </c>
      <c r="M3938" s="93" t="s">
        <v>111</v>
      </c>
      <c r="N3938" s="93" t="s">
        <v>111</v>
      </c>
      <c r="O3938" s="93" t="s">
        <v>111</v>
      </c>
      <c r="P3938" s="93" t="s">
        <v>111</v>
      </c>
      <c r="Q3938" s="93" t="s">
        <v>111</v>
      </c>
      <c r="R3938" s="93" t="s">
        <v>1199</v>
      </c>
      <c r="S3938" s="93" t="s">
        <v>111</v>
      </c>
      <c r="T3938" s="93" t="s">
        <v>394</v>
      </c>
      <c r="U3938" s="93" t="s">
        <v>116</v>
      </c>
      <c r="V3938" s="94">
        <v>44588.17291666667</v>
      </c>
      <c r="W3938" s="93" t="s">
        <v>1170</v>
      </c>
      <c r="X3938" s="93" t="s">
        <v>111</v>
      </c>
    </row>
    <row r="3939" spans="1:24" hidden="1" x14ac:dyDescent="0.15">
      <c r="A3939" s="93" t="s">
        <v>9666</v>
      </c>
      <c r="B3939" s="93" t="s">
        <v>9667</v>
      </c>
      <c r="C3939" s="410">
        <v>3300</v>
      </c>
      <c r="D3939" s="93" t="s">
        <v>24</v>
      </c>
      <c r="E3939" s="93" t="s">
        <v>9</v>
      </c>
      <c r="F3939" s="93" t="s">
        <v>7070</v>
      </c>
      <c r="G3939" s="93" t="s">
        <v>9110</v>
      </c>
      <c r="H3939" s="93" t="s">
        <v>118</v>
      </c>
      <c r="I3939" s="93" t="s">
        <v>111</v>
      </c>
      <c r="J3939" s="93" t="s">
        <v>7105</v>
      </c>
      <c r="K3939" s="93" t="s">
        <v>111</v>
      </c>
      <c r="L3939" s="93" t="s">
        <v>111</v>
      </c>
      <c r="M3939" s="93" t="s">
        <v>111</v>
      </c>
      <c r="N3939" s="93" t="s">
        <v>111</v>
      </c>
      <c r="O3939" s="93" t="s">
        <v>111</v>
      </c>
      <c r="P3939" s="93" t="s">
        <v>111</v>
      </c>
      <c r="Q3939" s="93" t="s">
        <v>111</v>
      </c>
      <c r="R3939" s="93" t="s">
        <v>1199</v>
      </c>
      <c r="S3939" s="93" t="s">
        <v>111</v>
      </c>
      <c r="T3939" s="93" t="s">
        <v>394</v>
      </c>
      <c r="U3939" s="93" t="s">
        <v>116</v>
      </c>
      <c r="V3939" s="94">
        <v>44588.17291666667</v>
      </c>
      <c r="W3939" s="93" t="s">
        <v>1170</v>
      </c>
      <c r="X3939" s="93" t="s">
        <v>111</v>
      </c>
    </row>
    <row r="3940" spans="1:24" hidden="1" x14ac:dyDescent="0.15">
      <c r="A3940" s="93" t="s">
        <v>5875</v>
      </c>
      <c r="B3940" s="93" t="s">
        <v>5876</v>
      </c>
      <c r="C3940" s="410">
        <v>81</v>
      </c>
      <c r="D3940" s="93" t="s">
        <v>24</v>
      </c>
      <c r="E3940" s="93" t="s">
        <v>24</v>
      </c>
      <c r="F3940" s="93" t="s">
        <v>7070</v>
      </c>
      <c r="G3940" s="93" t="s">
        <v>7175</v>
      </c>
      <c r="H3940" s="93" t="s">
        <v>11</v>
      </c>
      <c r="I3940" s="93" t="s">
        <v>111</v>
      </c>
      <c r="J3940" s="93" t="s">
        <v>390</v>
      </c>
      <c r="K3940" s="93">
        <v>80</v>
      </c>
      <c r="L3940" s="93" t="s">
        <v>111</v>
      </c>
      <c r="M3940" s="93">
        <v>0.64</v>
      </c>
      <c r="N3940" s="93" t="s">
        <v>113</v>
      </c>
      <c r="O3940" s="93">
        <v>5.0999999999999996</v>
      </c>
      <c r="P3940" s="93">
        <v>7.5</v>
      </c>
      <c r="Q3940" s="93">
        <v>49</v>
      </c>
      <c r="R3940" s="93" t="s">
        <v>385</v>
      </c>
      <c r="S3940" s="93" t="s">
        <v>20</v>
      </c>
      <c r="T3940" s="93" t="s">
        <v>115</v>
      </c>
      <c r="U3940" s="93" t="s">
        <v>116</v>
      </c>
      <c r="V3940" s="94">
        <v>44628.484027777777</v>
      </c>
      <c r="W3940" s="93" t="s">
        <v>1170</v>
      </c>
      <c r="X3940" s="93" t="s">
        <v>9</v>
      </c>
    </row>
    <row r="3941" spans="1:24" hidden="1" x14ac:dyDescent="0.15">
      <c r="A3941" s="93" t="s">
        <v>9668</v>
      </c>
      <c r="B3941" s="93" t="s">
        <v>9669</v>
      </c>
      <c r="C3941" s="410">
        <v>1500</v>
      </c>
      <c r="D3941" s="93" t="s">
        <v>24</v>
      </c>
      <c r="E3941" s="93" t="s">
        <v>9</v>
      </c>
      <c r="F3941" s="93" t="s">
        <v>7070</v>
      </c>
      <c r="G3941" s="93" t="s">
        <v>9670</v>
      </c>
      <c r="H3941" s="93" t="s">
        <v>118</v>
      </c>
      <c r="I3941" s="93" t="s">
        <v>9369</v>
      </c>
      <c r="J3941" s="93" t="s">
        <v>7105</v>
      </c>
      <c r="K3941" s="93" t="s">
        <v>111</v>
      </c>
      <c r="L3941" s="93" t="s">
        <v>111</v>
      </c>
      <c r="M3941" s="93" t="s">
        <v>111</v>
      </c>
      <c r="N3941" s="93" t="s">
        <v>111</v>
      </c>
      <c r="O3941" s="93" t="s">
        <v>111</v>
      </c>
      <c r="P3941" s="93" t="s">
        <v>111</v>
      </c>
      <c r="Q3941" s="93" t="s">
        <v>111</v>
      </c>
      <c r="R3941" s="93" t="s">
        <v>1199</v>
      </c>
      <c r="S3941" s="93" t="s">
        <v>111</v>
      </c>
      <c r="T3941" s="93" t="s">
        <v>394</v>
      </c>
      <c r="U3941" s="93" t="s">
        <v>116</v>
      </c>
      <c r="V3941" s="94">
        <v>44621.136805555558</v>
      </c>
      <c r="W3941" s="93" t="s">
        <v>1170</v>
      </c>
      <c r="X3941" s="93" t="s">
        <v>111</v>
      </c>
    </row>
    <row r="3942" spans="1:24" hidden="1" x14ac:dyDescent="0.15">
      <c r="A3942" s="93" t="s">
        <v>9671</v>
      </c>
      <c r="B3942" s="93" t="s">
        <v>9672</v>
      </c>
      <c r="C3942" s="410">
        <v>2000</v>
      </c>
      <c r="D3942" s="93" t="s">
        <v>24</v>
      </c>
      <c r="E3942" s="93" t="s">
        <v>24</v>
      </c>
      <c r="F3942" s="93" t="s">
        <v>7070</v>
      </c>
      <c r="G3942" s="93" t="s">
        <v>9112</v>
      </c>
      <c r="H3942" s="93" t="s">
        <v>118</v>
      </c>
      <c r="I3942" s="93" t="s">
        <v>111</v>
      </c>
      <c r="J3942" s="93" t="s">
        <v>7105</v>
      </c>
      <c r="K3942" s="93" t="s">
        <v>111</v>
      </c>
      <c r="L3942" s="93" t="s">
        <v>111</v>
      </c>
      <c r="M3942" s="93" t="s">
        <v>111</v>
      </c>
      <c r="N3942" s="93" t="s">
        <v>111</v>
      </c>
      <c r="O3942" s="93" t="s">
        <v>111</v>
      </c>
      <c r="P3942" s="93" t="s">
        <v>111</v>
      </c>
      <c r="Q3942" s="93" t="s">
        <v>111</v>
      </c>
      <c r="R3942" s="93" t="s">
        <v>1199</v>
      </c>
      <c r="S3942" s="93" t="s">
        <v>111</v>
      </c>
      <c r="T3942" s="93" t="s">
        <v>394</v>
      </c>
      <c r="U3942" s="93" t="s">
        <v>116</v>
      </c>
      <c r="V3942" s="94">
        <v>44628.636111111111</v>
      </c>
      <c r="W3942" s="93" t="s">
        <v>1170</v>
      </c>
      <c r="X3942" s="93" t="s">
        <v>111</v>
      </c>
    </row>
    <row r="3943" spans="1:24" hidden="1" x14ac:dyDescent="0.15">
      <c r="A3943" s="93" t="s">
        <v>9673</v>
      </c>
      <c r="B3943" s="93" t="s">
        <v>9674</v>
      </c>
      <c r="C3943" s="410">
        <v>750</v>
      </c>
      <c r="D3943" s="93" t="s">
        <v>24</v>
      </c>
      <c r="E3943" s="93" t="s">
        <v>24</v>
      </c>
      <c r="F3943" s="93" t="s">
        <v>7070</v>
      </c>
      <c r="G3943" s="93" t="s">
        <v>9112</v>
      </c>
      <c r="H3943" s="93" t="s">
        <v>118</v>
      </c>
      <c r="I3943" s="93" t="s">
        <v>111</v>
      </c>
      <c r="J3943" s="93" t="s">
        <v>7105</v>
      </c>
      <c r="K3943" s="93" t="s">
        <v>111</v>
      </c>
      <c r="L3943" s="93" t="s">
        <v>111</v>
      </c>
      <c r="M3943" s="93" t="s">
        <v>111</v>
      </c>
      <c r="N3943" s="93" t="s">
        <v>111</v>
      </c>
      <c r="O3943" s="93" t="s">
        <v>111</v>
      </c>
      <c r="P3943" s="93" t="s">
        <v>111</v>
      </c>
      <c r="Q3943" s="93" t="s">
        <v>111</v>
      </c>
      <c r="R3943" s="93" t="s">
        <v>1199</v>
      </c>
      <c r="S3943" s="93" t="s">
        <v>111</v>
      </c>
      <c r="T3943" s="93" t="s">
        <v>394</v>
      </c>
      <c r="U3943" s="93" t="s">
        <v>116</v>
      </c>
      <c r="V3943" s="94">
        <v>44588.17291666667</v>
      </c>
      <c r="W3943" s="93" t="s">
        <v>1170</v>
      </c>
      <c r="X3943" s="93" t="s">
        <v>111</v>
      </c>
    </row>
    <row r="3944" spans="1:24" hidden="1" x14ac:dyDescent="0.15">
      <c r="A3944" s="93" t="s">
        <v>9675</v>
      </c>
      <c r="B3944" s="93" t="s">
        <v>9676</v>
      </c>
      <c r="C3944" s="410">
        <v>750</v>
      </c>
      <c r="D3944" s="93" t="s">
        <v>24</v>
      </c>
      <c r="E3944" s="93" t="s">
        <v>24</v>
      </c>
      <c r="F3944" s="93" t="s">
        <v>7070</v>
      </c>
      <c r="G3944" s="93" t="s">
        <v>9112</v>
      </c>
      <c r="H3944" s="93" t="s">
        <v>118</v>
      </c>
      <c r="I3944" s="93" t="s">
        <v>111</v>
      </c>
      <c r="J3944" s="93" t="s">
        <v>7105</v>
      </c>
      <c r="K3944" s="93" t="s">
        <v>111</v>
      </c>
      <c r="L3944" s="93" t="s">
        <v>111</v>
      </c>
      <c r="M3944" s="93" t="s">
        <v>111</v>
      </c>
      <c r="N3944" s="93" t="s">
        <v>111</v>
      </c>
      <c r="O3944" s="93" t="s">
        <v>111</v>
      </c>
      <c r="P3944" s="93" t="s">
        <v>111</v>
      </c>
      <c r="Q3944" s="93" t="s">
        <v>111</v>
      </c>
      <c r="R3944" s="93" t="s">
        <v>1199</v>
      </c>
      <c r="S3944" s="93" t="s">
        <v>111</v>
      </c>
      <c r="T3944" s="93" t="s">
        <v>394</v>
      </c>
      <c r="U3944" s="93" t="s">
        <v>116</v>
      </c>
      <c r="V3944" s="94">
        <v>44588.17291666667</v>
      </c>
      <c r="W3944" s="93" t="s">
        <v>1170</v>
      </c>
      <c r="X3944" s="93" t="s">
        <v>111</v>
      </c>
    </row>
    <row r="3945" spans="1:24" hidden="1" x14ac:dyDescent="0.15">
      <c r="A3945" s="93" t="s">
        <v>9677</v>
      </c>
      <c r="B3945" s="93" t="s">
        <v>9678</v>
      </c>
      <c r="C3945" s="410">
        <v>2400</v>
      </c>
      <c r="D3945" s="93" t="s">
        <v>24</v>
      </c>
      <c r="E3945" s="93" t="s">
        <v>9</v>
      </c>
      <c r="F3945" s="93" t="s">
        <v>7070</v>
      </c>
      <c r="G3945" s="93" t="s">
        <v>9110</v>
      </c>
      <c r="H3945" s="93" t="s">
        <v>118</v>
      </c>
      <c r="I3945" s="93" t="s">
        <v>111</v>
      </c>
      <c r="J3945" s="93" t="s">
        <v>7105</v>
      </c>
      <c r="K3945" s="93" t="s">
        <v>111</v>
      </c>
      <c r="L3945" s="93" t="s">
        <v>111</v>
      </c>
      <c r="M3945" s="93" t="s">
        <v>111</v>
      </c>
      <c r="N3945" s="93" t="s">
        <v>111</v>
      </c>
      <c r="O3945" s="93" t="s">
        <v>111</v>
      </c>
      <c r="P3945" s="93" t="s">
        <v>111</v>
      </c>
      <c r="Q3945" s="93" t="s">
        <v>111</v>
      </c>
      <c r="R3945" s="93" t="s">
        <v>1199</v>
      </c>
      <c r="S3945" s="93" t="s">
        <v>111</v>
      </c>
      <c r="T3945" s="93" t="s">
        <v>394</v>
      </c>
      <c r="U3945" s="93" t="s">
        <v>116</v>
      </c>
      <c r="V3945" s="94">
        <v>44588.173611111109</v>
      </c>
      <c r="W3945" s="93" t="s">
        <v>1170</v>
      </c>
      <c r="X3945" s="93" t="s">
        <v>111</v>
      </c>
    </row>
    <row r="3946" spans="1:24" hidden="1" x14ac:dyDescent="0.15">
      <c r="A3946" s="93" t="s">
        <v>5877</v>
      </c>
      <c r="B3946" s="93" t="s">
        <v>5878</v>
      </c>
      <c r="C3946" s="410">
        <v>5600</v>
      </c>
      <c r="D3946" s="93" t="s">
        <v>24</v>
      </c>
      <c r="E3946" s="93" t="s">
        <v>24</v>
      </c>
      <c r="F3946" s="93" t="s">
        <v>7070</v>
      </c>
      <c r="G3946" s="93" t="s">
        <v>9110</v>
      </c>
      <c r="H3946" s="93" t="s">
        <v>118</v>
      </c>
      <c r="I3946" s="93" t="s">
        <v>111</v>
      </c>
      <c r="J3946" s="93" t="s">
        <v>7105</v>
      </c>
      <c r="K3946" s="93" t="s">
        <v>111</v>
      </c>
      <c r="L3946" s="93" t="s">
        <v>111</v>
      </c>
      <c r="M3946" s="93" t="s">
        <v>111</v>
      </c>
      <c r="N3946" s="93" t="s">
        <v>111</v>
      </c>
      <c r="O3946" s="93" t="s">
        <v>111</v>
      </c>
      <c r="P3946" s="93" t="s">
        <v>111</v>
      </c>
      <c r="Q3946" s="93" t="s">
        <v>111</v>
      </c>
      <c r="R3946" s="93" t="s">
        <v>1199</v>
      </c>
      <c r="S3946" s="93" t="s">
        <v>111</v>
      </c>
      <c r="T3946" s="93" t="s">
        <v>394</v>
      </c>
      <c r="U3946" s="93" t="s">
        <v>116</v>
      </c>
      <c r="V3946" s="94">
        <v>44588.173611111109</v>
      </c>
      <c r="W3946" s="93" t="s">
        <v>1170</v>
      </c>
      <c r="X3946" s="93" t="s">
        <v>111</v>
      </c>
    </row>
    <row r="3947" spans="1:24" hidden="1" x14ac:dyDescent="0.15">
      <c r="A3947" s="93" t="s">
        <v>5879</v>
      </c>
      <c r="B3947" s="93" t="s">
        <v>5880</v>
      </c>
      <c r="C3947" s="410">
        <v>305.82</v>
      </c>
      <c r="D3947" s="93" t="s">
        <v>24</v>
      </c>
      <c r="E3947" s="93" t="s">
        <v>24</v>
      </c>
      <c r="F3947" s="93" t="s">
        <v>7070</v>
      </c>
      <c r="G3947" s="93" t="s">
        <v>8237</v>
      </c>
      <c r="H3947" s="93" t="s">
        <v>11</v>
      </c>
      <c r="I3947" s="93" t="s">
        <v>111</v>
      </c>
      <c r="J3947" s="93" t="s">
        <v>390</v>
      </c>
      <c r="K3947" s="93">
        <v>80</v>
      </c>
      <c r="L3947" s="93" t="s">
        <v>111</v>
      </c>
      <c r="M3947" s="93">
        <v>2.6</v>
      </c>
      <c r="N3947" s="93" t="s">
        <v>113</v>
      </c>
      <c r="O3947" s="93">
        <v>17</v>
      </c>
      <c r="P3947" s="93">
        <v>28</v>
      </c>
      <c r="Q3947" s="93">
        <v>28</v>
      </c>
      <c r="R3947" s="93" t="s">
        <v>391</v>
      </c>
      <c r="S3947" s="93" t="s">
        <v>20</v>
      </c>
      <c r="T3947" s="93" t="s">
        <v>115</v>
      </c>
      <c r="U3947" s="93" t="s">
        <v>116</v>
      </c>
      <c r="V3947" s="94">
        <v>44628.526388888888</v>
      </c>
      <c r="W3947" s="93" t="s">
        <v>1170</v>
      </c>
      <c r="X3947" s="93" t="s">
        <v>24</v>
      </c>
    </row>
    <row r="3948" spans="1:24" hidden="1" x14ac:dyDescent="0.15">
      <c r="A3948" s="93" t="s">
        <v>5881</v>
      </c>
      <c r="B3948" s="93" t="s">
        <v>5882</v>
      </c>
      <c r="C3948" s="410">
        <v>10.5</v>
      </c>
      <c r="D3948" s="93" t="s">
        <v>24</v>
      </c>
      <c r="E3948" s="93" t="s">
        <v>24</v>
      </c>
      <c r="F3948" s="93" t="s">
        <v>7070</v>
      </c>
      <c r="G3948" s="93" t="s">
        <v>8237</v>
      </c>
      <c r="H3948" s="93" t="s">
        <v>11</v>
      </c>
      <c r="I3948" s="93" t="s">
        <v>111</v>
      </c>
      <c r="J3948" s="93" t="s">
        <v>390</v>
      </c>
      <c r="K3948" s="93">
        <v>80</v>
      </c>
      <c r="L3948" s="93" t="s">
        <v>111</v>
      </c>
      <c r="M3948" s="93">
        <v>0.18</v>
      </c>
      <c r="N3948" s="93" t="s">
        <v>113</v>
      </c>
      <c r="O3948" s="93">
        <v>3</v>
      </c>
      <c r="P3948" s="93">
        <v>6</v>
      </c>
      <c r="Q3948" s="93">
        <v>11</v>
      </c>
      <c r="R3948" s="93" t="s">
        <v>391</v>
      </c>
      <c r="S3948" s="93" t="s">
        <v>20</v>
      </c>
      <c r="T3948" s="93" t="s">
        <v>115</v>
      </c>
      <c r="U3948" s="93" t="s">
        <v>116</v>
      </c>
      <c r="V3948" s="94">
        <v>44628.526388888888</v>
      </c>
      <c r="W3948" s="93" t="s">
        <v>1167</v>
      </c>
      <c r="X3948" s="93" t="s">
        <v>9</v>
      </c>
    </row>
    <row r="3949" spans="1:24" hidden="1" x14ac:dyDescent="0.15">
      <c r="A3949" s="93" t="s">
        <v>5883</v>
      </c>
      <c r="B3949" s="93" t="s">
        <v>5884</v>
      </c>
      <c r="C3949" s="410">
        <v>10.5</v>
      </c>
      <c r="D3949" s="93" t="s">
        <v>24</v>
      </c>
      <c r="E3949" s="93" t="s">
        <v>24</v>
      </c>
      <c r="F3949" s="93" t="s">
        <v>7070</v>
      </c>
      <c r="G3949" s="93" t="s">
        <v>8237</v>
      </c>
      <c r="H3949" s="93" t="s">
        <v>11</v>
      </c>
      <c r="I3949" s="93" t="s">
        <v>111</v>
      </c>
      <c r="J3949" s="93" t="s">
        <v>390</v>
      </c>
      <c r="K3949" s="93">
        <v>80</v>
      </c>
      <c r="L3949" s="93" t="s">
        <v>111</v>
      </c>
      <c r="M3949" s="93">
        <v>0.2</v>
      </c>
      <c r="N3949" s="93" t="s">
        <v>113</v>
      </c>
      <c r="O3949" s="93">
        <v>36</v>
      </c>
      <c r="P3949" s="93">
        <v>32</v>
      </c>
      <c r="Q3949" s="93">
        <v>36</v>
      </c>
      <c r="R3949" s="93" t="s">
        <v>391</v>
      </c>
      <c r="S3949" s="93" t="s">
        <v>20</v>
      </c>
      <c r="T3949" s="93" t="s">
        <v>115</v>
      </c>
      <c r="U3949" s="93" t="s">
        <v>119</v>
      </c>
      <c r="V3949" s="94">
        <v>44628.591666666667</v>
      </c>
      <c r="W3949" s="93" t="s">
        <v>1170</v>
      </c>
      <c r="X3949" s="93" t="s">
        <v>24</v>
      </c>
    </row>
    <row r="3950" spans="1:24" hidden="1" x14ac:dyDescent="0.15">
      <c r="A3950" s="93" t="s">
        <v>5885</v>
      </c>
      <c r="B3950" s="93" t="s">
        <v>5886</v>
      </c>
      <c r="C3950" s="410">
        <v>243.34</v>
      </c>
      <c r="D3950" s="93" t="s">
        <v>24</v>
      </c>
      <c r="E3950" s="93" t="s">
        <v>24</v>
      </c>
      <c r="F3950" s="93" t="s">
        <v>7070</v>
      </c>
      <c r="G3950" s="93" t="s">
        <v>8237</v>
      </c>
      <c r="H3950" s="93" t="s">
        <v>11</v>
      </c>
      <c r="I3950" s="93" t="s">
        <v>111</v>
      </c>
      <c r="J3950" s="93" t="s">
        <v>390</v>
      </c>
      <c r="K3950" s="93">
        <v>80</v>
      </c>
      <c r="L3950" s="93" t="s">
        <v>111</v>
      </c>
      <c r="M3950" s="93">
        <v>0.45</v>
      </c>
      <c r="N3950" s="93" t="s">
        <v>113</v>
      </c>
      <c r="O3950" s="93">
        <v>4</v>
      </c>
      <c r="P3950" s="93">
        <v>9</v>
      </c>
      <c r="Q3950" s="93">
        <v>18</v>
      </c>
      <c r="R3950" s="93" t="s">
        <v>121</v>
      </c>
      <c r="S3950" s="93" t="s">
        <v>20</v>
      </c>
      <c r="T3950" s="93" t="s">
        <v>115</v>
      </c>
      <c r="U3950" s="93" t="s">
        <v>119</v>
      </c>
      <c r="V3950" s="94">
        <v>44628.504861111112</v>
      </c>
      <c r="W3950" s="93" t="s">
        <v>1170</v>
      </c>
      <c r="X3950" s="93" t="s">
        <v>9</v>
      </c>
    </row>
    <row r="3951" spans="1:24" hidden="1" x14ac:dyDescent="0.15">
      <c r="A3951" s="93" t="s">
        <v>5887</v>
      </c>
      <c r="B3951" s="93" t="s">
        <v>5888</v>
      </c>
      <c r="C3951" s="410">
        <v>551.25</v>
      </c>
      <c r="D3951" s="93" t="s">
        <v>24</v>
      </c>
      <c r="E3951" s="93" t="s">
        <v>24</v>
      </c>
      <c r="F3951" s="93" t="s">
        <v>7070</v>
      </c>
      <c r="G3951" s="93" t="s">
        <v>8237</v>
      </c>
      <c r="H3951" s="93" t="s">
        <v>11</v>
      </c>
      <c r="I3951" s="93" t="s">
        <v>111</v>
      </c>
      <c r="J3951" s="93" t="s">
        <v>390</v>
      </c>
      <c r="K3951" s="93">
        <v>80</v>
      </c>
      <c r="L3951" s="93" t="s">
        <v>111</v>
      </c>
      <c r="M3951" s="93">
        <v>1.1499999999999999</v>
      </c>
      <c r="N3951" s="93" t="s">
        <v>113</v>
      </c>
      <c r="O3951" s="93">
        <v>17</v>
      </c>
      <c r="P3951" s="93">
        <v>17</v>
      </c>
      <c r="Q3951" s="93">
        <v>22</v>
      </c>
      <c r="R3951" s="93" t="s">
        <v>411</v>
      </c>
      <c r="S3951" s="93" t="s">
        <v>2</v>
      </c>
      <c r="T3951" s="93" t="s">
        <v>115</v>
      </c>
      <c r="U3951" s="93" t="s">
        <v>116</v>
      </c>
      <c r="V3951" s="94">
        <v>44628.614583333336</v>
      </c>
      <c r="W3951" s="93" t="s">
        <v>1170</v>
      </c>
      <c r="X3951" s="93" t="s">
        <v>24</v>
      </c>
    </row>
    <row r="3952" spans="1:24" hidden="1" x14ac:dyDescent="0.15">
      <c r="A3952" s="93" t="s">
        <v>5889</v>
      </c>
      <c r="B3952" s="93" t="s">
        <v>5890</v>
      </c>
      <c r="C3952" s="410">
        <v>1050</v>
      </c>
      <c r="D3952" s="93" t="s">
        <v>24</v>
      </c>
      <c r="E3952" s="93" t="s">
        <v>24</v>
      </c>
      <c r="F3952" s="93" t="s">
        <v>7070</v>
      </c>
      <c r="G3952" s="93" t="s">
        <v>8237</v>
      </c>
      <c r="H3952" s="93" t="s">
        <v>400</v>
      </c>
      <c r="I3952" s="93" t="s">
        <v>111</v>
      </c>
      <c r="J3952" s="93" t="s">
        <v>118</v>
      </c>
      <c r="K3952" s="93">
        <v>3</v>
      </c>
      <c r="L3952" s="93" t="s">
        <v>111</v>
      </c>
      <c r="M3952" s="93" t="s">
        <v>111</v>
      </c>
      <c r="N3952" s="93" t="s">
        <v>111</v>
      </c>
      <c r="O3952" s="93" t="s">
        <v>111</v>
      </c>
      <c r="P3952" s="93" t="s">
        <v>111</v>
      </c>
      <c r="Q3952" s="93" t="s">
        <v>111</v>
      </c>
      <c r="R3952" s="93" t="s">
        <v>5891</v>
      </c>
      <c r="S3952" s="93" t="s">
        <v>2</v>
      </c>
      <c r="T3952" s="93" t="s">
        <v>115</v>
      </c>
      <c r="U3952" s="93" t="s">
        <v>116</v>
      </c>
      <c r="V3952" s="94">
        <v>44595.444444444445</v>
      </c>
      <c r="W3952" s="93" t="s">
        <v>1170</v>
      </c>
      <c r="X3952" s="93" t="s">
        <v>111</v>
      </c>
    </row>
    <row r="3953" spans="1:24" hidden="1" x14ac:dyDescent="0.15">
      <c r="A3953" s="93" t="s">
        <v>5892</v>
      </c>
      <c r="B3953" s="93" t="s">
        <v>5893</v>
      </c>
      <c r="C3953" s="410">
        <v>378</v>
      </c>
      <c r="D3953" s="93" t="s">
        <v>24</v>
      </c>
      <c r="E3953" s="93" t="s">
        <v>24</v>
      </c>
      <c r="F3953" s="93" t="s">
        <v>7070</v>
      </c>
      <c r="G3953" s="93" t="s">
        <v>7175</v>
      </c>
      <c r="H3953" s="93" t="s">
        <v>11</v>
      </c>
      <c r="I3953" s="93" t="s">
        <v>111</v>
      </c>
      <c r="J3953" s="93" t="s">
        <v>390</v>
      </c>
      <c r="K3953" s="93">
        <v>80</v>
      </c>
      <c r="L3953" s="93" t="s">
        <v>111</v>
      </c>
      <c r="M3953" s="93">
        <v>0.7</v>
      </c>
      <c r="N3953" s="93" t="s">
        <v>113</v>
      </c>
      <c r="O3953" s="93">
        <v>8</v>
      </c>
      <c r="P3953" s="93">
        <v>15.5</v>
      </c>
      <c r="Q3953" s="93">
        <v>24</v>
      </c>
      <c r="R3953" s="93" t="s">
        <v>123</v>
      </c>
      <c r="S3953" s="93" t="s">
        <v>18</v>
      </c>
      <c r="T3953" s="93" t="s">
        <v>397</v>
      </c>
      <c r="U3953" s="93" t="s">
        <v>116</v>
      </c>
      <c r="V3953" s="94">
        <v>44628.504166666666</v>
      </c>
      <c r="W3953" s="93" t="s">
        <v>1170</v>
      </c>
      <c r="X3953" s="93" t="s">
        <v>9</v>
      </c>
    </row>
    <row r="3954" spans="1:24" hidden="1" x14ac:dyDescent="0.15">
      <c r="A3954" s="93" t="s">
        <v>9679</v>
      </c>
      <c r="B3954" s="93" t="s">
        <v>9680</v>
      </c>
      <c r="C3954" s="410">
        <v>1320</v>
      </c>
      <c r="D3954" s="93" t="s">
        <v>24</v>
      </c>
      <c r="E3954" s="93" t="s">
        <v>9</v>
      </c>
      <c r="F3954" s="93" t="s">
        <v>7070</v>
      </c>
      <c r="G3954" s="93" t="s">
        <v>9110</v>
      </c>
      <c r="H3954" s="93" t="s">
        <v>118</v>
      </c>
      <c r="I3954" s="93" t="s">
        <v>111</v>
      </c>
      <c r="J3954" s="93" t="s">
        <v>7105</v>
      </c>
      <c r="K3954" s="93" t="s">
        <v>111</v>
      </c>
      <c r="L3954" s="93" t="s">
        <v>111</v>
      </c>
      <c r="M3954" s="93" t="s">
        <v>111</v>
      </c>
      <c r="N3954" s="93" t="s">
        <v>111</v>
      </c>
      <c r="O3954" s="93" t="s">
        <v>111</v>
      </c>
      <c r="P3954" s="93" t="s">
        <v>111</v>
      </c>
      <c r="Q3954" s="93" t="s">
        <v>111</v>
      </c>
      <c r="R3954" s="93" t="s">
        <v>1199</v>
      </c>
      <c r="S3954" s="93" t="s">
        <v>111</v>
      </c>
      <c r="T3954" s="93" t="s">
        <v>394</v>
      </c>
      <c r="U3954" s="93" t="s">
        <v>116</v>
      </c>
      <c r="V3954" s="94">
        <v>44588.240972222222</v>
      </c>
      <c r="W3954" s="93" t="s">
        <v>1170</v>
      </c>
      <c r="X3954" s="93" t="s">
        <v>111</v>
      </c>
    </row>
    <row r="3955" spans="1:24" hidden="1" x14ac:dyDescent="0.15">
      <c r="A3955" s="93" t="s">
        <v>9681</v>
      </c>
      <c r="B3955" s="93" t="s">
        <v>9682</v>
      </c>
      <c r="C3955" s="410">
        <v>3080</v>
      </c>
      <c r="D3955" s="93" t="s">
        <v>24</v>
      </c>
      <c r="E3955" s="93" t="s">
        <v>9</v>
      </c>
      <c r="F3955" s="93" t="s">
        <v>7070</v>
      </c>
      <c r="G3955" s="93" t="s">
        <v>9110</v>
      </c>
      <c r="H3955" s="93" t="s">
        <v>118</v>
      </c>
      <c r="I3955" s="93" t="s">
        <v>111</v>
      </c>
      <c r="J3955" s="93" t="s">
        <v>7105</v>
      </c>
      <c r="K3955" s="93" t="s">
        <v>111</v>
      </c>
      <c r="L3955" s="93" t="s">
        <v>111</v>
      </c>
      <c r="M3955" s="93" t="s">
        <v>111</v>
      </c>
      <c r="N3955" s="93" t="s">
        <v>111</v>
      </c>
      <c r="O3955" s="93" t="s">
        <v>111</v>
      </c>
      <c r="P3955" s="93" t="s">
        <v>111</v>
      </c>
      <c r="Q3955" s="93" t="s">
        <v>111</v>
      </c>
      <c r="R3955" s="93" t="s">
        <v>1199</v>
      </c>
      <c r="S3955" s="93" t="s">
        <v>111</v>
      </c>
      <c r="T3955" s="93" t="s">
        <v>394</v>
      </c>
      <c r="U3955" s="93" t="s">
        <v>116</v>
      </c>
      <c r="V3955" s="94">
        <v>44588.240972222222</v>
      </c>
      <c r="W3955" s="93" t="s">
        <v>1170</v>
      </c>
      <c r="X3955" s="93" t="s">
        <v>111</v>
      </c>
    </row>
    <row r="3956" spans="1:24" hidden="1" x14ac:dyDescent="0.15">
      <c r="A3956" s="93" t="s">
        <v>5894</v>
      </c>
      <c r="B3956" s="93" t="s">
        <v>5895</v>
      </c>
      <c r="C3956" s="410">
        <v>106.92</v>
      </c>
      <c r="D3956" s="93" t="s">
        <v>24</v>
      </c>
      <c r="E3956" s="93" t="s">
        <v>24</v>
      </c>
      <c r="F3956" s="93" t="s">
        <v>7070</v>
      </c>
      <c r="G3956" s="93" t="s">
        <v>7175</v>
      </c>
      <c r="H3956" s="93" t="s">
        <v>11</v>
      </c>
      <c r="I3956" s="93" t="s">
        <v>111</v>
      </c>
      <c r="J3956" s="93" t="s">
        <v>390</v>
      </c>
      <c r="K3956" s="93">
        <v>80</v>
      </c>
      <c r="L3956" s="93" t="s">
        <v>111</v>
      </c>
      <c r="M3956" s="93">
        <v>0.13150000000000001</v>
      </c>
      <c r="N3956" s="93" t="s">
        <v>113</v>
      </c>
      <c r="O3956" s="93">
        <v>3.5</v>
      </c>
      <c r="P3956" s="93">
        <v>16</v>
      </c>
      <c r="Q3956" s="93">
        <v>21.5</v>
      </c>
      <c r="R3956" s="93" t="s">
        <v>114</v>
      </c>
      <c r="S3956" s="93" t="s">
        <v>20</v>
      </c>
      <c r="T3956" s="93" t="s">
        <v>115</v>
      </c>
      <c r="U3956" s="93" t="s">
        <v>116</v>
      </c>
      <c r="V3956" s="94">
        <v>44628.613888888889</v>
      </c>
      <c r="W3956" s="93" t="s">
        <v>1170</v>
      </c>
      <c r="X3956" s="93" t="s">
        <v>9</v>
      </c>
    </row>
    <row r="3957" spans="1:24" x14ac:dyDescent="0.15">
      <c r="A3957" s="93" t="s">
        <v>5896</v>
      </c>
      <c r="B3957" s="93" t="s">
        <v>5897</v>
      </c>
      <c r="C3957" s="410">
        <v>500</v>
      </c>
      <c r="D3957" s="93" t="s">
        <v>24</v>
      </c>
      <c r="E3957" s="93" t="s">
        <v>24</v>
      </c>
      <c r="F3957" s="93" t="s">
        <v>7070</v>
      </c>
      <c r="G3957" s="93" t="s">
        <v>7108</v>
      </c>
      <c r="H3957" s="93" t="s">
        <v>400</v>
      </c>
      <c r="I3957" s="93" t="s">
        <v>111</v>
      </c>
      <c r="J3957" s="93" t="s">
        <v>7105</v>
      </c>
      <c r="K3957" s="93" t="s">
        <v>111</v>
      </c>
      <c r="L3957" s="93" t="s">
        <v>111</v>
      </c>
      <c r="M3957" s="93" t="s">
        <v>111</v>
      </c>
      <c r="N3957" s="93" t="s">
        <v>111</v>
      </c>
      <c r="O3957" s="93" t="s">
        <v>111</v>
      </c>
      <c r="P3957" s="93" t="s">
        <v>111</v>
      </c>
      <c r="Q3957" s="93" t="s">
        <v>111</v>
      </c>
      <c r="R3957" s="93" t="s">
        <v>5891</v>
      </c>
      <c r="S3957" s="93" t="s">
        <v>2</v>
      </c>
      <c r="T3957" s="93" t="s">
        <v>115</v>
      </c>
      <c r="U3957" s="93" t="s">
        <v>116</v>
      </c>
      <c r="V3957" s="94">
        <v>44596.652777777781</v>
      </c>
      <c r="W3957" s="93" t="s">
        <v>1170</v>
      </c>
      <c r="X3957" s="93" t="s">
        <v>111</v>
      </c>
    </row>
    <row r="3958" spans="1:24" x14ac:dyDescent="0.15">
      <c r="A3958" s="93" t="s">
        <v>5898</v>
      </c>
      <c r="B3958" s="93" t="s">
        <v>5899</v>
      </c>
      <c r="C3958" s="410">
        <v>1000</v>
      </c>
      <c r="D3958" s="93" t="s">
        <v>24</v>
      </c>
      <c r="E3958" s="93" t="s">
        <v>24</v>
      </c>
      <c r="F3958" s="93" t="s">
        <v>7070</v>
      </c>
      <c r="G3958" s="93" t="s">
        <v>7108</v>
      </c>
      <c r="H3958" s="93" t="s">
        <v>400</v>
      </c>
      <c r="I3958" s="93" t="s">
        <v>111</v>
      </c>
      <c r="J3958" s="93" t="s">
        <v>7105</v>
      </c>
      <c r="K3958" s="93" t="s">
        <v>111</v>
      </c>
      <c r="L3958" s="93" t="s">
        <v>111</v>
      </c>
      <c r="M3958" s="93" t="s">
        <v>111</v>
      </c>
      <c r="N3958" s="93" t="s">
        <v>111</v>
      </c>
      <c r="O3958" s="93" t="s">
        <v>111</v>
      </c>
      <c r="P3958" s="93" t="s">
        <v>111</v>
      </c>
      <c r="Q3958" s="93" t="s">
        <v>111</v>
      </c>
      <c r="R3958" s="93" t="s">
        <v>5891</v>
      </c>
      <c r="S3958" s="93" t="s">
        <v>2</v>
      </c>
      <c r="T3958" s="93" t="s">
        <v>115</v>
      </c>
      <c r="U3958" s="93" t="s">
        <v>116</v>
      </c>
      <c r="V3958" s="94">
        <v>44596.647916666669</v>
      </c>
      <c r="W3958" s="93" t="s">
        <v>1170</v>
      </c>
      <c r="X3958" s="93" t="s">
        <v>111</v>
      </c>
    </row>
    <row r="3959" spans="1:24" hidden="1" x14ac:dyDescent="0.15">
      <c r="A3959" s="93" t="s">
        <v>5900</v>
      </c>
      <c r="B3959" s="93" t="s">
        <v>5901</v>
      </c>
      <c r="C3959" s="410">
        <v>820.8</v>
      </c>
      <c r="D3959" s="93" t="s">
        <v>24</v>
      </c>
      <c r="E3959" s="93" t="s">
        <v>24</v>
      </c>
      <c r="F3959" s="93" t="s">
        <v>7070</v>
      </c>
      <c r="G3959" s="93" t="s">
        <v>7175</v>
      </c>
      <c r="H3959" s="93" t="s">
        <v>11</v>
      </c>
      <c r="I3959" s="93" t="s">
        <v>111</v>
      </c>
      <c r="J3959" s="93" t="s">
        <v>390</v>
      </c>
      <c r="K3959" s="93">
        <v>80</v>
      </c>
      <c r="L3959" s="93" t="s">
        <v>111</v>
      </c>
      <c r="M3959" s="93">
        <v>0.5</v>
      </c>
      <c r="N3959" s="93" t="s">
        <v>113</v>
      </c>
      <c r="O3959" s="93">
        <v>12</v>
      </c>
      <c r="P3959" s="93">
        <v>17</v>
      </c>
      <c r="Q3959" s="93">
        <v>29.5</v>
      </c>
      <c r="R3959" s="93" t="s">
        <v>5902</v>
      </c>
      <c r="S3959" s="93" t="s">
        <v>20</v>
      </c>
      <c r="T3959" s="93" t="s">
        <v>115</v>
      </c>
      <c r="U3959" s="93" t="s">
        <v>119</v>
      </c>
      <c r="V3959" s="94">
        <v>44628.526388888888</v>
      </c>
      <c r="W3959" s="93" t="s">
        <v>1170</v>
      </c>
      <c r="X3959" s="93" t="s">
        <v>9</v>
      </c>
    </row>
    <row r="3960" spans="1:24" hidden="1" x14ac:dyDescent="0.15">
      <c r="A3960" s="93" t="s">
        <v>8466</v>
      </c>
      <c r="B3960" s="93" t="s">
        <v>8467</v>
      </c>
      <c r="C3960" s="410">
        <v>534</v>
      </c>
      <c r="D3960" s="93" t="s">
        <v>9</v>
      </c>
      <c r="E3960" s="93" t="s">
        <v>9</v>
      </c>
      <c r="F3960" s="93" t="s">
        <v>8468</v>
      </c>
      <c r="G3960" s="93" t="s">
        <v>8469</v>
      </c>
      <c r="H3960" s="93" t="s">
        <v>6</v>
      </c>
      <c r="I3960" s="93" t="s">
        <v>111</v>
      </c>
      <c r="J3960" s="93" t="s">
        <v>112</v>
      </c>
      <c r="K3960" s="93">
        <v>60</v>
      </c>
      <c r="L3960" s="93">
        <v>5</v>
      </c>
      <c r="M3960" s="93">
        <v>1.8</v>
      </c>
      <c r="N3960" s="93" t="s">
        <v>113</v>
      </c>
      <c r="O3960" s="93">
        <v>10</v>
      </c>
      <c r="P3960" s="93">
        <v>30</v>
      </c>
      <c r="Q3960" s="93">
        <v>33</v>
      </c>
      <c r="R3960" s="93" t="s">
        <v>123</v>
      </c>
      <c r="S3960" s="93" t="s">
        <v>20</v>
      </c>
      <c r="T3960" s="93" t="s">
        <v>383</v>
      </c>
      <c r="U3960" s="93" t="s">
        <v>119</v>
      </c>
      <c r="V3960" s="94">
        <v>44628.466666666667</v>
      </c>
      <c r="W3960" s="93" t="s">
        <v>7072</v>
      </c>
      <c r="X3960" s="93" t="s">
        <v>9</v>
      </c>
    </row>
    <row r="3961" spans="1:24" hidden="1" x14ac:dyDescent="0.15">
      <c r="A3961" s="93" t="s">
        <v>8470</v>
      </c>
      <c r="B3961" s="93" t="s">
        <v>8471</v>
      </c>
      <c r="C3961" s="410">
        <v>534</v>
      </c>
      <c r="D3961" s="93" t="s">
        <v>9</v>
      </c>
      <c r="E3961" s="93" t="s">
        <v>9</v>
      </c>
      <c r="F3961" s="93" t="s">
        <v>8468</v>
      </c>
      <c r="G3961" s="93" t="s">
        <v>8469</v>
      </c>
      <c r="H3961" s="93" t="s">
        <v>6</v>
      </c>
      <c r="I3961" s="93" t="s">
        <v>111</v>
      </c>
      <c r="J3961" s="93" t="s">
        <v>112</v>
      </c>
      <c r="K3961" s="93">
        <v>60</v>
      </c>
      <c r="L3961" s="93">
        <v>5</v>
      </c>
      <c r="M3961" s="93">
        <v>1.8</v>
      </c>
      <c r="N3961" s="93" t="s">
        <v>113</v>
      </c>
      <c r="O3961" s="93">
        <v>10</v>
      </c>
      <c r="P3961" s="93">
        <v>30</v>
      </c>
      <c r="Q3961" s="93">
        <v>33</v>
      </c>
      <c r="R3961" s="93" t="s">
        <v>123</v>
      </c>
      <c r="S3961" s="93" t="s">
        <v>20</v>
      </c>
      <c r="T3961" s="93" t="s">
        <v>383</v>
      </c>
      <c r="U3961" s="93" t="s">
        <v>116</v>
      </c>
      <c r="V3961" s="94">
        <v>44628.553472222222</v>
      </c>
      <c r="W3961" s="93" t="s">
        <v>7072</v>
      </c>
      <c r="X3961" s="93" t="s">
        <v>9</v>
      </c>
    </row>
    <row r="3962" spans="1:24" hidden="1" x14ac:dyDescent="0.15">
      <c r="A3962" s="93" t="s">
        <v>8472</v>
      </c>
      <c r="B3962" s="93" t="s">
        <v>8473</v>
      </c>
      <c r="C3962" s="410">
        <v>534</v>
      </c>
      <c r="D3962" s="93" t="s">
        <v>9</v>
      </c>
      <c r="E3962" s="93" t="s">
        <v>9</v>
      </c>
      <c r="F3962" s="93" t="s">
        <v>8468</v>
      </c>
      <c r="G3962" s="93" t="s">
        <v>8469</v>
      </c>
      <c r="H3962" s="93" t="s">
        <v>6</v>
      </c>
      <c r="I3962" s="93" t="s">
        <v>111</v>
      </c>
      <c r="J3962" s="93" t="s">
        <v>112</v>
      </c>
      <c r="K3962" s="93">
        <v>60</v>
      </c>
      <c r="L3962" s="93">
        <v>5</v>
      </c>
      <c r="M3962" s="93">
        <v>1.8</v>
      </c>
      <c r="N3962" s="93" t="s">
        <v>113</v>
      </c>
      <c r="O3962" s="93">
        <v>10</v>
      </c>
      <c r="P3962" s="93">
        <v>30</v>
      </c>
      <c r="Q3962" s="93">
        <v>33</v>
      </c>
      <c r="R3962" s="93" t="s">
        <v>123</v>
      </c>
      <c r="S3962" s="93" t="s">
        <v>20</v>
      </c>
      <c r="T3962" s="93" t="s">
        <v>383</v>
      </c>
      <c r="U3962" s="93" t="s">
        <v>119</v>
      </c>
      <c r="V3962" s="94">
        <v>44628.631249999999</v>
      </c>
      <c r="W3962" s="93" t="s">
        <v>7072</v>
      </c>
      <c r="X3962" s="93" t="s">
        <v>9</v>
      </c>
    </row>
    <row r="3963" spans="1:24" hidden="1" x14ac:dyDescent="0.15">
      <c r="A3963" s="93" t="s">
        <v>8474</v>
      </c>
      <c r="B3963" s="93" t="s">
        <v>8475</v>
      </c>
      <c r="C3963" s="410">
        <v>566.04</v>
      </c>
      <c r="D3963" s="93" t="s">
        <v>9</v>
      </c>
      <c r="E3963" s="93" t="s">
        <v>9</v>
      </c>
      <c r="F3963" s="93" t="s">
        <v>8468</v>
      </c>
      <c r="G3963" s="93" t="s">
        <v>8469</v>
      </c>
      <c r="H3963" s="93" t="s">
        <v>6</v>
      </c>
      <c r="I3963" s="93" t="s">
        <v>111</v>
      </c>
      <c r="J3963" s="93" t="s">
        <v>112</v>
      </c>
      <c r="K3963" s="93">
        <v>60</v>
      </c>
      <c r="L3963" s="93">
        <v>5</v>
      </c>
      <c r="M3963" s="93">
        <v>1.8</v>
      </c>
      <c r="N3963" s="93" t="s">
        <v>113</v>
      </c>
      <c r="O3963" s="93">
        <v>10</v>
      </c>
      <c r="P3963" s="93">
        <v>30</v>
      </c>
      <c r="Q3963" s="93">
        <v>33</v>
      </c>
      <c r="R3963" s="93" t="s">
        <v>123</v>
      </c>
      <c r="S3963" s="93" t="s">
        <v>20</v>
      </c>
      <c r="T3963" s="93" t="s">
        <v>383</v>
      </c>
      <c r="U3963" s="93" t="s">
        <v>119</v>
      </c>
      <c r="V3963" s="94">
        <v>44628.574305555558</v>
      </c>
      <c r="W3963" s="93" t="s">
        <v>7072</v>
      </c>
      <c r="X3963" s="93" t="s">
        <v>9</v>
      </c>
    </row>
    <row r="3964" spans="1:24" hidden="1" x14ac:dyDescent="0.15">
      <c r="A3964" s="93" t="s">
        <v>8476</v>
      </c>
      <c r="B3964" s="93" t="s">
        <v>8477</v>
      </c>
      <c r="C3964" s="410">
        <v>8.4</v>
      </c>
      <c r="D3964" s="93" t="s">
        <v>9</v>
      </c>
      <c r="E3964" s="93" t="s">
        <v>24</v>
      </c>
      <c r="F3964" s="93" t="s">
        <v>7070</v>
      </c>
      <c r="G3964" s="93" t="s">
        <v>8257</v>
      </c>
      <c r="H3964" s="93" t="s">
        <v>11</v>
      </c>
      <c r="I3964" s="93" t="s">
        <v>111</v>
      </c>
      <c r="J3964" s="93" t="s">
        <v>7165</v>
      </c>
      <c r="K3964" s="93">
        <v>90</v>
      </c>
      <c r="L3964" s="93">
        <v>10</v>
      </c>
      <c r="M3964" s="93">
        <v>0.08</v>
      </c>
      <c r="N3964" s="93" t="s">
        <v>113</v>
      </c>
      <c r="O3964" s="93" t="s">
        <v>111</v>
      </c>
      <c r="P3964" s="93" t="s">
        <v>111</v>
      </c>
      <c r="Q3964" s="93" t="s">
        <v>111</v>
      </c>
      <c r="R3964" s="93" t="s">
        <v>121</v>
      </c>
      <c r="S3964" s="93" t="s">
        <v>20</v>
      </c>
      <c r="T3964" s="93" t="s">
        <v>115</v>
      </c>
      <c r="U3964" s="93" t="s">
        <v>116</v>
      </c>
      <c r="V3964" s="94">
        <v>44628.580555555556</v>
      </c>
      <c r="W3964" s="93" t="s">
        <v>8478</v>
      </c>
      <c r="X3964" s="93" t="s">
        <v>9</v>
      </c>
    </row>
    <row r="3965" spans="1:24" hidden="1" x14ac:dyDescent="0.15">
      <c r="A3965" s="93" t="s">
        <v>8479</v>
      </c>
      <c r="B3965" s="93" t="s">
        <v>8480</v>
      </c>
      <c r="C3965" s="410">
        <v>8.4</v>
      </c>
      <c r="D3965" s="93" t="s">
        <v>24</v>
      </c>
      <c r="E3965" s="93" t="s">
        <v>24</v>
      </c>
      <c r="F3965" s="93" t="s">
        <v>7070</v>
      </c>
      <c r="G3965" s="93" t="s">
        <v>8257</v>
      </c>
      <c r="H3965" s="93" t="s">
        <v>11</v>
      </c>
      <c r="I3965" s="93" t="s">
        <v>111</v>
      </c>
      <c r="J3965" s="93" t="s">
        <v>7165</v>
      </c>
      <c r="K3965" s="93">
        <v>90</v>
      </c>
      <c r="L3965" s="93" t="s">
        <v>111</v>
      </c>
      <c r="M3965" s="93">
        <v>0.09</v>
      </c>
      <c r="N3965" s="93" t="s">
        <v>113</v>
      </c>
      <c r="O3965" s="93" t="s">
        <v>111</v>
      </c>
      <c r="P3965" s="93" t="s">
        <v>111</v>
      </c>
      <c r="Q3965" s="93" t="s">
        <v>111</v>
      </c>
      <c r="R3965" s="93" t="s">
        <v>121</v>
      </c>
      <c r="S3965" s="93" t="s">
        <v>20</v>
      </c>
      <c r="T3965" s="93" t="s">
        <v>115</v>
      </c>
      <c r="U3965" s="93" t="s">
        <v>116</v>
      </c>
      <c r="V3965" s="94">
        <v>44628.511111111111</v>
      </c>
      <c r="W3965" s="93" t="s">
        <v>8481</v>
      </c>
      <c r="X3965" s="93" t="s">
        <v>9</v>
      </c>
    </row>
    <row r="3966" spans="1:24" hidden="1" x14ac:dyDescent="0.15">
      <c r="A3966" s="93" t="s">
        <v>8482</v>
      </c>
      <c r="B3966" s="93" t="s">
        <v>8483</v>
      </c>
      <c r="C3966" s="410">
        <v>8.4</v>
      </c>
      <c r="D3966" s="93" t="s">
        <v>9</v>
      </c>
      <c r="E3966" s="93" t="s">
        <v>24</v>
      </c>
      <c r="F3966" s="93" t="s">
        <v>7070</v>
      </c>
      <c r="G3966" s="93" t="s">
        <v>8257</v>
      </c>
      <c r="H3966" s="93" t="s">
        <v>11</v>
      </c>
      <c r="I3966" s="93" t="s">
        <v>111</v>
      </c>
      <c r="J3966" s="93" t="s">
        <v>7165</v>
      </c>
      <c r="K3966" s="93">
        <v>90</v>
      </c>
      <c r="L3966" s="93">
        <v>10</v>
      </c>
      <c r="M3966" s="93">
        <v>0.09</v>
      </c>
      <c r="N3966" s="93" t="s">
        <v>113</v>
      </c>
      <c r="O3966" s="93" t="s">
        <v>111</v>
      </c>
      <c r="P3966" s="93" t="s">
        <v>111</v>
      </c>
      <c r="Q3966" s="93" t="s">
        <v>111</v>
      </c>
      <c r="R3966" s="93" t="s">
        <v>121</v>
      </c>
      <c r="S3966" s="93" t="s">
        <v>20</v>
      </c>
      <c r="T3966" s="93" t="s">
        <v>115</v>
      </c>
      <c r="U3966" s="93" t="s">
        <v>116</v>
      </c>
      <c r="V3966" s="94">
        <v>44628.557638888888</v>
      </c>
      <c r="W3966" s="93" t="s">
        <v>8478</v>
      </c>
      <c r="X3966" s="93" t="s">
        <v>9</v>
      </c>
    </row>
    <row r="3967" spans="1:24" hidden="1" x14ac:dyDescent="0.15">
      <c r="A3967" s="93" t="s">
        <v>8484</v>
      </c>
      <c r="B3967" s="93" t="s">
        <v>8485</v>
      </c>
      <c r="C3967" s="410">
        <v>8.4</v>
      </c>
      <c r="D3967" s="93" t="s">
        <v>9</v>
      </c>
      <c r="E3967" s="93" t="s">
        <v>24</v>
      </c>
      <c r="F3967" s="93" t="s">
        <v>7070</v>
      </c>
      <c r="G3967" s="93" t="s">
        <v>8257</v>
      </c>
      <c r="H3967" s="93" t="s">
        <v>11</v>
      </c>
      <c r="I3967" s="93" t="s">
        <v>111</v>
      </c>
      <c r="J3967" s="93" t="s">
        <v>7165</v>
      </c>
      <c r="K3967" s="93">
        <v>90</v>
      </c>
      <c r="L3967" s="93">
        <v>10</v>
      </c>
      <c r="M3967" s="93">
        <v>0.09</v>
      </c>
      <c r="N3967" s="93" t="s">
        <v>113</v>
      </c>
      <c r="O3967" s="93" t="s">
        <v>111</v>
      </c>
      <c r="P3967" s="93" t="s">
        <v>111</v>
      </c>
      <c r="Q3967" s="93" t="s">
        <v>111</v>
      </c>
      <c r="R3967" s="93" t="s">
        <v>121</v>
      </c>
      <c r="S3967" s="93" t="s">
        <v>20</v>
      </c>
      <c r="T3967" s="93" t="s">
        <v>115</v>
      </c>
      <c r="U3967" s="93" t="s">
        <v>116</v>
      </c>
      <c r="V3967" s="94">
        <v>44628.580555555556</v>
      </c>
      <c r="W3967" s="93" t="s">
        <v>8481</v>
      </c>
      <c r="X3967" s="93" t="s">
        <v>9</v>
      </c>
    </row>
    <row r="3968" spans="1:24" hidden="1" x14ac:dyDescent="0.15">
      <c r="A3968" s="93" t="s">
        <v>8486</v>
      </c>
      <c r="B3968" s="93" t="s">
        <v>8487</v>
      </c>
      <c r="C3968" s="410">
        <v>8.4</v>
      </c>
      <c r="D3968" s="93" t="s">
        <v>9</v>
      </c>
      <c r="E3968" s="93" t="s">
        <v>24</v>
      </c>
      <c r="F3968" s="93" t="s">
        <v>7070</v>
      </c>
      <c r="G3968" s="93" t="s">
        <v>8257</v>
      </c>
      <c r="H3968" s="93" t="s">
        <v>11</v>
      </c>
      <c r="I3968" s="93" t="s">
        <v>111</v>
      </c>
      <c r="J3968" s="93" t="s">
        <v>7165</v>
      </c>
      <c r="K3968" s="93">
        <v>90</v>
      </c>
      <c r="L3968" s="93">
        <v>10</v>
      </c>
      <c r="M3968" s="93">
        <v>0.08</v>
      </c>
      <c r="N3968" s="93" t="s">
        <v>113</v>
      </c>
      <c r="O3968" s="93" t="s">
        <v>111</v>
      </c>
      <c r="P3968" s="93" t="s">
        <v>111</v>
      </c>
      <c r="Q3968" s="93" t="s">
        <v>111</v>
      </c>
      <c r="R3968" s="93" t="s">
        <v>121</v>
      </c>
      <c r="S3968" s="93" t="s">
        <v>20</v>
      </c>
      <c r="T3968" s="93" t="s">
        <v>115</v>
      </c>
      <c r="U3968" s="93" t="s">
        <v>116</v>
      </c>
      <c r="V3968" s="94">
        <v>44628.580555555556</v>
      </c>
      <c r="W3968" s="93" t="s">
        <v>8478</v>
      </c>
      <c r="X3968" s="93" t="s">
        <v>9</v>
      </c>
    </row>
    <row r="3969" spans="1:24" hidden="1" x14ac:dyDescent="0.15">
      <c r="A3969" s="93" t="s">
        <v>8488</v>
      </c>
      <c r="B3969" s="93" t="s">
        <v>8489</v>
      </c>
      <c r="C3969" s="410">
        <v>4.8</v>
      </c>
      <c r="D3969" s="93" t="s">
        <v>24</v>
      </c>
      <c r="E3969" s="93" t="s">
        <v>24</v>
      </c>
      <c r="F3969" s="93" t="s">
        <v>7070</v>
      </c>
      <c r="G3969" s="93" t="s">
        <v>7071</v>
      </c>
      <c r="H3969" s="93" t="s">
        <v>11</v>
      </c>
      <c r="I3969" s="93" t="s">
        <v>111</v>
      </c>
      <c r="J3969" s="93" t="s">
        <v>7165</v>
      </c>
      <c r="K3969" s="93">
        <v>90</v>
      </c>
      <c r="L3969" s="93">
        <v>10</v>
      </c>
      <c r="M3969" s="93" t="s">
        <v>111</v>
      </c>
      <c r="N3969" s="93" t="s">
        <v>111</v>
      </c>
      <c r="O3969" s="93" t="s">
        <v>111</v>
      </c>
      <c r="P3969" s="93" t="s">
        <v>111</v>
      </c>
      <c r="Q3969" s="93" t="s">
        <v>111</v>
      </c>
      <c r="R3969" s="93" t="s">
        <v>121</v>
      </c>
      <c r="S3969" s="93" t="s">
        <v>20</v>
      </c>
      <c r="T3969" s="93" t="s">
        <v>115</v>
      </c>
      <c r="U3969" s="93" t="s">
        <v>395</v>
      </c>
      <c r="V3969" s="94">
        <v>44628.493055555555</v>
      </c>
      <c r="W3969" s="93" t="s">
        <v>8478</v>
      </c>
      <c r="X3969" s="93" t="s">
        <v>9</v>
      </c>
    </row>
    <row r="3970" spans="1:24" hidden="1" x14ac:dyDescent="0.15">
      <c r="A3970" s="93" t="s">
        <v>8490</v>
      </c>
      <c r="B3970" s="93" t="s">
        <v>8491</v>
      </c>
      <c r="C3970" s="410">
        <v>8.4</v>
      </c>
      <c r="D3970" s="93" t="s">
        <v>9</v>
      </c>
      <c r="E3970" s="93" t="s">
        <v>24</v>
      </c>
      <c r="F3970" s="93" t="s">
        <v>7070</v>
      </c>
      <c r="G3970" s="93" t="s">
        <v>8257</v>
      </c>
      <c r="H3970" s="93" t="s">
        <v>11</v>
      </c>
      <c r="I3970" s="93" t="s">
        <v>111</v>
      </c>
      <c r="J3970" s="93" t="s">
        <v>7165</v>
      </c>
      <c r="K3970" s="93">
        <v>90</v>
      </c>
      <c r="L3970" s="93">
        <v>10</v>
      </c>
      <c r="M3970" s="93">
        <v>0.08</v>
      </c>
      <c r="N3970" s="93" t="s">
        <v>113</v>
      </c>
      <c r="O3970" s="93" t="s">
        <v>111</v>
      </c>
      <c r="P3970" s="93" t="s">
        <v>111</v>
      </c>
      <c r="Q3970" s="93" t="s">
        <v>111</v>
      </c>
      <c r="R3970" s="93" t="s">
        <v>121</v>
      </c>
      <c r="S3970" s="93" t="s">
        <v>20</v>
      </c>
      <c r="T3970" s="93" t="s">
        <v>115</v>
      </c>
      <c r="U3970" s="93" t="s">
        <v>116</v>
      </c>
      <c r="V3970" s="94">
        <v>44628.580555555556</v>
      </c>
      <c r="W3970" s="93" t="s">
        <v>8481</v>
      </c>
      <c r="X3970" s="93" t="s">
        <v>9</v>
      </c>
    </row>
    <row r="3971" spans="1:24" hidden="1" x14ac:dyDescent="0.15">
      <c r="A3971" s="93" t="s">
        <v>8492</v>
      </c>
      <c r="B3971" s="93" t="s">
        <v>8493</v>
      </c>
      <c r="C3971" s="410">
        <v>8.4</v>
      </c>
      <c r="D3971" s="93" t="s">
        <v>9</v>
      </c>
      <c r="E3971" s="93" t="s">
        <v>24</v>
      </c>
      <c r="F3971" s="93" t="s">
        <v>7070</v>
      </c>
      <c r="G3971" s="93" t="s">
        <v>8257</v>
      </c>
      <c r="H3971" s="93" t="s">
        <v>11</v>
      </c>
      <c r="I3971" s="93" t="s">
        <v>111</v>
      </c>
      <c r="J3971" s="93" t="s">
        <v>7165</v>
      </c>
      <c r="K3971" s="93">
        <v>90</v>
      </c>
      <c r="L3971" s="93">
        <v>10</v>
      </c>
      <c r="M3971" s="93">
        <v>0.09</v>
      </c>
      <c r="N3971" s="93" t="s">
        <v>113</v>
      </c>
      <c r="O3971" s="93" t="s">
        <v>111</v>
      </c>
      <c r="P3971" s="93" t="s">
        <v>111</v>
      </c>
      <c r="Q3971" s="93" t="s">
        <v>111</v>
      </c>
      <c r="R3971" s="93" t="s">
        <v>121</v>
      </c>
      <c r="S3971" s="93" t="s">
        <v>20</v>
      </c>
      <c r="T3971" s="93" t="s">
        <v>115</v>
      </c>
      <c r="U3971" s="93" t="s">
        <v>116</v>
      </c>
      <c r="V3971" s="94">
        <v>44628.637499999997</v>
      </c>
      <c r="W3971" s="93" t="s">
        <v>8494</v>
      </c>
      <c r="X3971" s="93" t="s">
        <v>9</v>
      </c>
    </row>
    <row r="3972" spans="1:24" hidden="1" x14ac:dyDescent="0.15">
      <c r="A3972" s="93" t="s">
        <v>8495</v>
      </c>
      <c r="B3972" s="93" t="s">
        <v>8496</v>
      </c>
      <c r="C3972" s="410">
        <v>20.7</v>
      </c>
      <c r="D3972" s="93" t="s">
        <v>9</v>
      </c>
      <c r="E3972" s="93" t="s">
        <v>24</v>
      </c>
      <c r="F3972" s="93" t="s">
        <v>7070</v>
      </c>
      <c r="G3972" s="93" t="s">
        <v>8257</v>
      </c>
      <c r="H3972" s="93" t="s">
        <v>11</v>
      </c>
      <c r="I3972" s="93" t="s">
        <v>111</v>
      </c>
      <c r="J3972" s="93" t="s">
        <v>7165</v>
      </c>
      <c r="K3972" s="93">
        <v>90</v>
      </c>
      <c r="L3972" s="93">
        <v>10</v>
      </c>
      <c r="M3972" s="93">
        <v>0.2</v>
      </c>
      <c r="N3972" s="93" t="s">
        <v>113</v>
      </c>
      <c r="O3972" s="93" t="s">
        <v>111</v>
      </c>
      <c r="P3972" s="93" t="s">
        <v>111</v>
      </c>
      <c r="Q3972" s="93" t="s">
        <v>111</v>
      </c>
      <c r="R3972" s="93" t="s">
        <v>121</v>
      </c>
      <c r="S3972" s="93" t="s">
        <v>20</v>
      </c>
      <c r="T3972" s="93" t="s">
        <v>115</v>
      </c>
      <c r="U3972" s="93" t="s">
        <v>116</v>
      </c>
      <c r="V3972" s="94">
        <v>44628.493750000001</v>
      </c>
      <c r="W3972" s="93" t="s">
        <v>7156</v>
      </c>
      <c r="X3972" s="93" t="s">
        <v>9</v>
      </c>
    </row>
    <row r="3973" spans="1:24" hidden="1" x14ac:dyDescent="0.15">
      <c r="A3973" s="93" t="s">
        <v>8497</v>
      </c>
      <c r="B3973" s="93" t="s">
        <v>8498</v>
      </c>
      <c r="C3973" s="410">
        <v>7.2</v>
      </c>
      <c r="D3973" s="93" t="s">
        <v>9</v>
      </c>
      <c r="E3973" s="93" t="s">
        <v>24</v>
      </c>
      <c r="F3973" s="93" t="s">
        <v>7070</v>
      </c>
      <c r="G3973" s="93" t="s">
        <v>8257</v>
      </c>
      <c r="H3973" s="93" t="s">
        <v>11</v>
      </c>
      <c r="I3973" s="93" t="s">
        <v>111</v>
      </c>
      <c r="J3973" s="93" t="s">
        <v>7165</v>
      </c>
      <c r="K3973" s="93">
        <v>90</v>
      </c>
      <c r="L3973" s="93">
        <v>10</v>
      </c>
      <c r="M3973" s="93">
        <v>0.06</v>
      </c>
      <c r="N3973" s="93" t="s">
        <v>113</v>
      </c>
      <c r="O3973" s="93" t="s">
        <v>111</v>
      </c>
      <c r="P3973" s="93" t="s">
        <v>111</v>
      </c>
      <c r="Q3973" s="93" t="s">
        <v>111</v>
      </c>
      <c r="R3973" s="93" t="s">
        <v>121</v>
      </c>
      <c r="S3973" s="93" t="s">
        <v>20</v>
      </c>
      <c r="T3973" s="93" t="s">
        <v>115</v>
      </c>
      <c r="U3973" s="93" t="s">
        <v>116</v>
      </c>
      <c r="V3973" s="94">
        <v>44628.579861111109</v>
      </c>
      <c r="W3973" s="93" t="s">
        <v>8478</v>
      </c>
      <c r="X3973" s="93" t="s">
        <v>9</v>
      </c>
    </row>
    <row r="3974" spans="1:24" hidden="1" x14ac:dyDescent="0.15">
      <c r="A3974" s="93" t="s">
        <v>8499</v>
      </c>
      <c r="B3974" s="93" t="s">
        <v>8500</v>
      </c>
      <c r="C3974" s="410">
        <v>4.8</v>
      </c>
      <c r="D3974" s="93" t="s">
        <v>9</v>
      </c>
      <c r="E3974" s="93" t="s">
        <v>24</v>
      </c>
      <c r="F3974" s="93" t="s">
        <v>7070</v>
      </c>
      <c r="G3974" s="93" t="s">
        <v>8257</v>
      </c>
      <c r="H3974" s="93" t="s">
        <v>11</v>
      </c>
      <c r="I3974" s="93" t="s">
        <v>111</v>
      </c>
      <c r="J3974" s="93" t="s">
        <v>7165</v>
      </c>
      <c r="K3974" s="93">
        <v>90</v>
      </c>
      <c r="L3974" s="93">
        <v>10</v>
      </c>
      <c r="M3974" s="93">
        <v>0.06</v>
      </c>
      <c r="N3974" s="93" t="s">
        <v>113</v>
      </c>
      <c r="O3974" s="93" t="s">
        <v>111</v>
      </c>
      <c r="P3974" s="93" t="s">
        <v>111</v>
      </c>
      <c r="Q3974" s="93" t="s">
        <v>111</v>
      </c>
      <c r="R3974" s="93" t="s">
        <v>121</v>
      </c>
      <c r="S3974" s="93" t="s">
        <v>20</v>
      </c>
      <c r="T3974" s="93" t="s">
        <v>115</v>
      </c>
      <c r="U3974" s="93" t="s">
        <v>116</v>
      </c>
      <c r="V3974" s="94">
        <v>44628.558333333334</v>
      </c>
      <c r="W3974" s="93" t="s">
        <v>8481</v>
      </c>
      <c r="X3974" s="93" t="s">
        <v>9</v>
      </c>
    </row>
    <row r="3975" spans="1:24" hidden="1" x14ac:dyDescent="0.15">
      <c r="A3975" s="93" t="s">
        <v>8501</v>
      </c>
      <c r="B3975" s="93" t="s">
        <v>8502</v>
      </c>
      <c r="C3975" s="410">
        <v>4.8</v>
      </c>
      <c r="D3975" s="93" t="s">
        <v>9</v>
      </c>
      <c r="E3975" s="93" t="s">
        <v>24</v>
      </c>
      <c r="F3975" s="93" t="s">
        <v>7070</v>
      </c>
      <c r="G3975" s="93" t="s">
        <v>8257</v>
      </c>
      <c r="H3975" s="93" t="s">
        <v>11</v>
      </c>
      <c r="I3975" s="93" t="s">
        <v>111</v>
      </c>
      <c r="J3975" s="93" t="s">
        <v>7165</v>
      </c>
      <c r="K3975" s="93">
        <v>90</v>
      </c>
      <c r="L3975" s="93">
        <v>5</v>
      </c>
      <c r="M3975" s="93">
        <v>0.05</v>
      </c>
      <c r="N3975" s="93" t="s">
        <v>113</v>
      </c>
      <c r="O3975" s="93" t="s">
        <v>111</v>
      </c>
      <c r="P3975" s="93" t="s">
        <v>111</v>
      </c>
      <c r="Q3975" s="93" t="s">
        <v>111</v>
      </c>
      <c r="R3975" s="93" t="s">
        <v>121</v>
      </c>
      <c r="S3975" s="93" t="s">
        <v>20</v>
      </c>
      <c r="T3975" s="93" t="s">
        <v>115</v>
      </c>
      <c r="U3975" s="93" t="s">
        <v>116</v>
      </c>
      <c r="V3975" s="94">
        <v>44628.472222222219</v>
      </c>
      <c r="W3975" s="93" t="s">
        <v>8478</v>
      </c>
      <c r="X3975" s="93" t="s">
        <v>9</v>
      </c>
    </row>
    <row r="3976" spans="1:24" hidden="1" x14ac:dyDescent="0.15">
      <c r="A3976" s="93" t="s">
        <v>8503</v>
      </c>
      <c r="B3976" s="93" t="s">
        <v>8504</v>
      </c>
      <c r="C3976" s="410">
        <v>4.8</v>
      </c>
      <c r="D3976" s="93" t="s">
        <v>9</v>
      </c>
      <c r="E3976" s="93" t="s">
        <v>24</v>
      </c>
      <c r="F3976" s="93" t="s">
        <v>7070</v>
      </c>
      <c r="G3976" s="93" t="s">
        <v>8257</v>
      </c>
      <c r="H3976" s="93" t="s">
        <v>11</v>
      </c>
      <c r="I3976" s="93" t="s">
        <v>111</v>
      </c>
      <c r="J3976" s="93" t="s">
        <v>7165</v>
      </c>
      <c r="K3976" s="93">
        <v>90</v>
      </c>
      <c r="L3976" s="93">
        <v>5</v>
      </c>
      <c r="M3976" s="93">
        <v>0.06</v>
      </c>
      <c r="N3976" s="93" t="s">
        <v>113</v>
      </c>
      <c r="O3976" s="93" t="s">
        <v>111</v>
      </c>
      <c r="P3976" s="93" t="s">
        <v>111</v>
      </c>
      <c r="Q3976" s="93" t="s">
        <v>111</v>
      </c>
      <c r="R3976" s="93" t="s">
        <v>121</v>
      </c>
      <c r="S3976" s="93" t="s">
        <v>20</v>
      </c>
      <c r="T3976" s="93" t="s">
        <v>115</v>
      </c>
      <c r="U3976" s="93" t="s">
        <v>116</v>
      </c>
      <c r="V3976" s="94">
        <v>44628.602083333331</v>
      </c>
      <c r="W3976" s="93" t="s">
        <v>8481</v>
      </c>
      <c r="X3976" s="93" t="s">
        <v>9</v>
      </c>
    </row>
    <row r="3977" spans="1:24" hidden="1" x14ac:dyDescent="0.15">
      <c r="A3977" s="93" t="s">
        <v>8505</v>
      </c>
      <c r="B3977" s="93" t="s">
        <v>8506</v>
      </c>
      <c r="C3977" s="410">
        <v>4.8</v>
      </c>
      <c r="D3977" s="93" t="s">
        <v>9</v>
      </c>
      <c r="E3977" s="93" t="s">
        <v>24</v>
      </c>
      <c r="F3977" s="93" t="s">
        <v>7070</v>
      </c>
      <c r="G3977" s="93" t="s">
        <v>8257</v>
      </c>
      <c r="H3977" s="93" t="s">
        <v>11</v>
      </c>
      <c r="I3977" s="93" t="s">
        <v>111</v>
      </c>
      <c r="J3977" s="93" t="s">
        <v>7165</v>
      </c>
      <c r="K3977" s="93">
        <v>90</v>
      </c>
      <c r="L3977" s="93">
        <v>5</v>
      </c>
      <c r="M3977" s="93">
        <v>0.05</v>
      </c>
      <c r="N3977" s="93" t="s">
        <v>113</v>
      </c>
      <c r="O3977" s="93" t="s">
        <v>111</v>
      </c>
      <c r="P3977" s="93" t="s">
        <v>111</v>
      </c>
      <c r="Q3977" s="93" t="s">
        <v>111</v>
      </c>
      <c r="R3977" s="93" t="s">
        <v>121</v>
      </c>
      <c r="S3977" s="93" t="s">
        <v>20</v>
      </c>
      <c r="T3977" s="93" t="s">
        <v>115</v>
      </c>
      <c r="U3977" s="93" t="s">
        <v>116</v>
      </c>
      <c r="V3977" s="94">
        <v>44628.637499999997</v>
      </c>
      <c r="W3977" s="93" t="s">
        <v>8494</v>
      </c>
      <c r="X3977" s="93" t="s">
        <v>9</v>
      </c>
    </row>
    <row r="3978" spans="1:24" hidden="1" x14ac:dyDescent="0.15">
      <c r="A3978" s="93" t="s">
        <v>8507</v>
      </c>
      <c r="B3978" s="93" t="s">
        <v>8508</v>
      </c>
      <c r="C3978" s="410">
        <v>2634</v>
      </c>
      <c r="D3978" s="93" t="s">
        <v>9</v>
      </c>
      <c r="E3978" s="93" t="s">
        <v>9</v>
      </c>
      <c r="F3978" s="93" t="s">
        <v>8468</v>
      </c>
      <c r="G3978" s="93" t="s">
        <v>8509</v>
      </c>
      <c r="H3978" s="93" t="s">
        <v>6</v>
      </c>
      <c r="I3978" s="93" t="s">
        <v>111</v>
      </c>
      <c r="J3978" s="93" t="s">
        <v>112</v>
      </c>
      <c r="K3978" s="93">
        <v>60</v>
      </c>
      <c r="L3978" s="93">
        <v>10</v>
      </c>
      <c r="M3978" s="93">
        <v>0.9</v>
      </c>
      <c r="N3978" s="93" t="s">
        <v>113</v>
      </c>
      <c r="O3978" s="93">
        <v>8</v>
      </c>
      <c r="P3978" s="93">
        <v>25</v>
      </c>
      <c r="Q3978" s="93">
        <v>28</v>
      </c>
      <c r="R3978" s="93" t="s">
        <v>123</v>
      </c>
      <c r="S3978" s="93" t="s">
        <v>20</v>
      </c>
      <c r="T3978" s="93" t="s">
        <v>124</v>
      </c>
      <c r="U3978" s="93" t="s">
        <v>116</v>
      </c>
      <c r="V3978" s="94">
        <v>44628.553472222222</v>
      </c>
      <c r="W3978" s="93" t="s">
        <v>7072</v>
      </c>
      <c r="X3978" s="93" t="s">
        <v>9</v>
      </c>
    </row>
    <row r="3979" spans="1:24" hidden="1" x14ac:dyDescent="0.15">
      <c r="A3979" s="93" t="s">
        <v>8510</v>
      </c>
      <c r="B3979" s="93" t="s">
        <v>8511</v>
      </c>
      <c r="C3979" s="410">
        <v>2634</v>
      </c>
      <c r="D3979" s="93" t="s">
        <v>9</v>
      </c>
      <c r="E3979" s="93" t="s">
        <v>9</v>
      </c>
      <c r="F3979" s="93" t="s">
        <v>8468</v>
      </c>
      <c r="G3979" s="93" t="s">
        <v>8509</v>
      </c>
      <c r="H3979" s="93" t="s">
        <v>6</v>
      </c>
      <c r="I3979" s="93" t="s">
        <v>111</v>
      </c>
      <c r="J3979" s="93" t="s">
        <v>112</v>
      </c>
      <c r="K3979" s="93">
        <v>60</v>
      </c>
      <c r="L3979" s="93">
        <v>10</v>
      </c>
      <c r="M3979" s="93">
        <v>0.9</v>
      </c>
      <c r="N3979" s="93" t="s">
        <v>113</v>
      </c>
      <c r="O3979" s="93">
        <v>8</v>
      </c>
      <c r="P3979" s="93">
        <v>25</v>
      </c>
      <c r="Q3979" s="93">
        <v>28</v>
      </c>
      <c r="R3979" s="93" t="s">
        <v>123</v>
      </c>
      <c r="S3979" s="93" t="s">
        <v>20</v>
      </c>
      <c r="T3979" s="93" t="s">
        <v>124</v>
      </c>
      <c r="U3979" s="93" t="s">
        <v>116</v>
      </c>
      <c r="V3979" s="94">
        <v>44628.46597222222</v>
      </c>
      <c r="W3979" s="93" t="s">
        <v>7072</v>
      </c>
      <c r="X3979" s="93" t="s">
        <v>9</v>
      </c>
    </row>
    <row r="3980" spans="1:24" hidden="1" x14ac:dyDescent="0.15">
      <c r="A3980" s="93" t="s">
        <v>8512</v>
      </c>
      <c r="B3980" s="93" t="s">
        <v>8513</v>
      </c>
      <c r="C3980" s="410">
        <v>2634</v>
      </c>
      <c r="D3980" s="93" t="s">
        <v>9</v>
      </c>
      <c r="E3980" s="93" t="s">
        <v>9</v>
      </c>
      <c r="F3980" s="93" t="s">
        <v>8468</v>
      </c>
      <c r="G3980" s="93" t="s">
        <v>8509</v>
      </c>
      <c r="H3980" s="93" t="s">
        <v>6</v>
      </c>
      <c r="I3980" s="93" t="s">
        <v>111</v>
      </c>
      <c r="J3980" s="93" t="s">
        <v>112</v>
      </c>
      <c r="K3980" s="93">
        <v>60</v>
      </c>
      <c r="L3980" s="93">
        <v>10</v>
      </c>
      <c r="M3980" s="93">
        <v>0.9</v>
      </c>
      <c r="N3980" s="93" t="s">
        <v>113</v>
      </c>
      <c r="O3980" s="93">
        <v>8</v>
      </c>
      <c r="P3980" s="93">
        <v>25</v>
      </c>
      <c r="Q3980" s="93">
        <v>28</v>
      </c>
      <c r="R3980" s="93" t="s">
        <v>123</v>
      </c>
      <c r="S3980" s="93" t="s">
        <v>20</v>
      </c>
      <c r="T3980" s="93" t="s">
        <v>124</v>
      </c>
      <c r="U3980" s="93" t="s">
        <v>116</v>
      </c>
      <c r="V3980" s="94">
        <v>44628.46597222222</v>
      </c>
      <c r="W3980" s="93" t="s">
        <v>7072</v>
      </c>
      <c r="X3980" s="93" t="s">
        <v>9</v>
      </c>
    </row>
    <row r="3981" spans="1:24" hidden="1" x14ac:dyDescent="0.15">
      <c r="A3981" s="93" t="s">
        <v>8514</v>
      </c>
      <c r="B3981" s="93" t="s">
        <v>8515</v>
      </c>
      <c r="C3981" s="410">
        <v>2792.04</v>
      </c>
      <c r="D3981" s="93" t="s">
        <v>9</v>
      </c>
      <c r="E3981" s="93" t="s">
        <v>9</v>
      </c>
      <c r="F3981" s="93" t="s">
        <v>8468</v>
      </c>
      <c r="G3981" s="93" t="s">
        <v>8509</v>
      </c>
      <c r="H3981" s="93" t="s">
        <v>6</v>
      </c>
      <c r="I3981" s="93" t="s">
        <v>111</v>
      </c>
      <c r="J3981" s="93" t="s">
        <v>112</v>
      </c>
      <c r="K3981" s="93">
        <v>60</v>
      </c>
      <c r="L3981" s="93">
        <v>10</v>
      </c>
      <c r="M3981" s="93">
        <v>0.9</v>
      </c>
      <c r="N3981" s="93" t="s">
        <v>113</v>
      </c>
      <c r="O3981" s="93">
        <v>8</v>
      </c>
      <c r="P3981" s="93">
        <v>25</v>
      </c>
      <c r="Q3981" s="93">
        <v>28</v>
      </c>
      <c r="R3981" s="93" t="s">
        <v>123</v>
      </c>
      <c r="S3981" s="93" t="s">
        <v>20</v>
      </c>
      <c r="T3981" s="93" t="s">
        <v>124</v>
      </c>
      <c r="U3981" s="93" t="s">
        <v>116</v>
      </c>
      <c r="V3981" s="94">
        <v>44628.46597222222</v>
      </c>
      <c r="W3981" s="93" t="s">
        <v>7072</v>
      </c>
      <c r="X3981" s="93" t="s">
        <v>9</v>
      </c>
    </row>
    <row r="3982" spans="1:24" hidden="1" x14ac:dyDescent="0.15">
      <c r="A3982" s="93" t="s">
        <v>8516</v>
      </c>
      <c r="B3982" s="93" t="s">
        <v>8517</v>
      </c>
      <c r="C3982" s="410">
        <v>834</v>
      </c>
      <c r="D3982" s="93" t="s">
        <v>9</v>
      </c>
      <c r="E3982" s="93" t="s">
        <v>9</v>
      </c>
      <c r="F3982" s="93" t="s">
        <v>8468</v>
      </c>
      <c r="G3982" s="93" t="s">
        <v>8518</v>
      </c>
      <c r="H3982" s="93" t="s">
        <v>6</v>
      </c>
      <c r="I3982" s="93" t="s">
        <v>111</v>
      </c>
      <c r="J3982" s="93" t="s">
        <v>112</v>
      </c>
      <c r="K3982" s="93">
        <v>60</v>
      </c>
      <c r="L3982" s="93">
        <v>10</v>
      </c>
      <c r="M3982" s="93">
        <v>1.4</v>
      </c>
      <c r="N3982" s="93" t="s">
        <v>113</v>
      </c>
      <c r="O3982" s="93">
        <v>8</v>
      </c>
      <c r="P3982" s="93">
        <v>33</v>
      </c>
      <c r="Q3982" s="93">
        <v>25</v>
      </c>
      <c r="R3982" s="93" t="s">
        <v>123</v>
      </c>
      <c r="S3982" s="93" t="s">
        <v>20</v>
      </c>
      <c r="T3982" s="93" t="s">
        <v>124</v>
      </c>
      <c r="U3982" s="93" t="s">
        <v>116</v>
      </c>
      <c r="V3982" s="94">
        <v>44628.631944444445</v>
      </c>
      <c r="W3982" s="93" t="s">
        <v>7072</v>
      </c>
      <c r="X3982" s="93" t="s">
        <v>9</v>
      </c>
    </row>
    <row r="3983" spans="1:24" hidden="1" x14ac:dyDescent="0.15">
      <c r="A3983" s="93" t="s">
        <v>8519</v>
      </c>
      <c r="B3983" s="93" t="s">
        <v>8520</v>
      </c>
      <c r="C3983" s="410">
        <v>834</v>
      </c>
      <c r="D3983" s="93" t="s">
        <v>9</v>
      </c>
      <c r="E3983" s="93" t="s">
        <v>9</v>
      </c>
      <c r="F3983" s="93" t="s">
        <v>8468</v>
      </c>
      <c r="G3983" s="93" t="s">
        <v>8518</v>
      </c>
      <c r="H3983" s="93" t="s">
        <v>6</v>
      </c>
      <c r="I3983" s="93" t="s">
        <v>111</v>
      </c>
      <c r="J3983" s="93" t="s">
        <v>112</v>
      </c>
      <c r="K3983" s="93">
        <v>60</v>
      </c>
      <c r="L3983" s="93">
        <v>10</v>
      </c>
      <c r="M3983" s="93">
        <v>1.4</v>
      </c>
      <c r="N3983" s="93" t="s">
        <v>113</v>
      </c>
      <c r="O3983" s="93">
        <v>8</v>
      </c>
      <c r="P3983" s="93">
        <v>33</v>
      </c>
      <c r="Q3983" s="93">
        <v>25</v>
      </c>
      <c r="R3983" s="93" t="s">
        <v>123</v>
      </c>
      <c r="S3983" s="93" t="s">
        <v>20</v>
      </c>
      <c r="T3983" s="93" t="s">
        <v>124</v>
      </c>
      <c r="U3983" s="93" t="s">
        <v>116</v>
      </c>
      <c r="V3983" s="94">
        <v>44628.53125</v>
      </c>
      <c r="W3983" s="93" t="s">
        <v>7072</v>
      </c>
      <c r="X3983" s="93" t="s">
        <v>9</v>
      </c>
    </row>
    <row r="3984" spans="1:24" hidden="1" x14ac:dyDescent="0.15">
      <c r="A3984" s="93" t="s">
        <v>8521</v>
      </c>
      <c r="B3984" s="93" t="s">
        <v>8522</v>
      </c>
      <c r="C3984" s="410">
        <v>834</v>
      </c>
      <c r="D3984" s="93" t="s">
        <v>9</v>
      </c>
      <c r="E3984" s="93" t="s">
        <v>9</v>
      </c>
      <c r="F3984" s="93" t="s">
        <v>8468</v>
      </c>
      <c r="G3984" s="93" t="s">
        <v>8518</v>
      </c>
      <c r="H3984" s="93" t="s">
        <v>6</v>
      </c>
      <c r="I3984" s="93" t="s">
        <v>111</v>
      </c>
      <c r="J3984" s="93" t="s">
        <v>112</v>
      </c>
      <c r="K3984" s="93">
        <v>60</v>
      </c>
      <c r="L3984" s="93">
        <v>10</v>
      </c>
      <c r="M3984" s="93">
        <v>1.4</v>
      </c>
      <c r="N3984" s="93" t="s">
        <v>113</v>
      </c>
      <c r="O3984" s="93">
        <v>8</v>
      </c>
      <c r="P3984" s="93">
        <v>33</v>
      </c>
      <c r="Q3984" s="93">
        <v>25</v>
      </c>
      <c r="R3984" s="93" t="s">
        <v>123</v>
      </c>
      <c r="S3984" s="93" t="s">
        <v>20</v>
      </c>
      <c r="T3984" s="93" t="s">
        <v>124</v>
      </c>
      <c r="U3984" s="93" t="s">
        <v>116</v>
      </c>
      <c r="V3984" s="94">
        <v>44628.46597222222</v>
      </c>
      <c r="W3984" s="93" t="s">
        <v>7072</v>
      </c>
      <c r="X3984" s="93" t="s">
        <v>9</v>
      </c>
    </row>
    <row r="3985" spans="1:24" hidden="1" x14ac:dyDescent="0.15">
      <c r="A3985" s="93" t="s">
        <v>8523</v>
      </c>
      <c r="B3985" s="93" t="s">
        <v>8524</v>
      </c>
      <c r="C3985" s="410">
        <v>884.04</v>
      </c>
      <c r="D3985" s="93" t="s">
        <v>9</v>
      </c>
      <c r="E3985" s="93" t="s">
        <v>9</v>
      </c>
      <c r="F3985" s="93" t="s">
        <v>8468</v>
      </c>
      <c r="G3985" s="93" t="s">
        <v>8518</v>
      </c>
      <c r="H3985" s="93" t="s">
        <v>6</v>
      </c>
      <c r="I3985" s="93" t="s">
        <v>111</v>
      </c>
      <c r="J3985" s="93" t="s">
        <v>112</v>
      </c>
      <c r="K3985" s="93">
        <v>60</v>
      </c>
      <c r="L3985" s="93">
        <v>10</v>
      </c>
      <c r="M3985" s="93">
        <v>1.4</v>
      </c>
      <c r="N3985" s="93" t="s">
        <v>113</v>
      </c>
      <c r="O3985" s="93">
        <v>8</v>
      </c>
      <c r="P3985" s="93">
        <v>33</v>
      </c>
      <c r="Q3985" s="93">
        <v>25</v>
      </c>
      <c r="R3985" s="93" t="s">
        <v>123</v>
      </c>
      <c r="S3985" s="93" t="s">
        <v>20</v>
      </c>
      <c r="T3985" s="93" t="s">
        <v>124</v>
      </c>
      <c r="U3985" s="93" t="s">
        <v>116</v>
      </c>
      <c r="V3985" s="94">
        <v>44628.53125</v>
      </c>
      <c r="W3985" s="93" t="s">
        <v>7072</v>
      </c>
      <c r="X3985" s="93" t="s">
        <v>9</v>
      </c>
    </row>
    <row r="3986" spans="1:24" hidden="1" x14ac:dyDescent="0.15">
      <c r="A3986" s="93" t="s">
        <v>8525</v>
      </c>
      <c r="B3986" s="93" t="s">
        <v>8526</v>
      </c>
      <c r="C3986" s="410">
        <v>1314</v>
      </c>
      <c r="D3986" s="93" t="s">
        <v>9</v>
      </c>
      <c r="E3986" s="93" t="s">
        <v>9</v>
      </c>
      <c r="F3986" s="93" t="s">
        <v>8468</v>
      </c>
      <c r="G3986" s="93" t="s">
        <v>8527</v>
      </c>
      <c r="H3986" s="93" t="s">
        <v>6</v>
      </c>
      <c r="I3986" s="93" t="s">
        <v>111</v>
      </c>
      <c r="J3986" s="93" t="s">
        <v>112</v>
      </c>
      <c r="K3986" s="93">
        <v>60</v>
      </c>
      <c r="L3986" s="93">
        <v>10</v>
      </c>
      <c r="M3986" s="93">
        <v>0.9</v>
      </c>
      <c r="N3986" s="93" t="s">
        <v>113</v>
      </c>
      <c r="O3986" s="93">
        <v>8</v>
      </c>
      <c r="P3986" s="93">
        <v>25</v>
      </c>
      <c r="Q3986" s="93">
        <v>28</v>
      </c>
      <c r="R3986" s="93" t="s">
        <v>123</v>
      </c>
      <c r="S3986" s="93" t="s">
        <v>20</v>
      </c>
      <c r="T3986" s="93" t="s">
        <v>124</v>
      </c>
      <c r="U3986" s="93" t="s">
        <v>116</v>
      </c>
      <c r="V3986" s="94">
        <v>44628.631944444445</v>
      </c>
      <c r="W3986" s="93" t="s">
        <v>7072</v>
      </c>
      <c r="X3986" s="93" t="s">
        <v>9</v>
      </c>
    </row>
    <row r="3987" spans="1:24" hidden="1" x14ac:dyDescent="0.15">
      <c r="A3987" s="93" t="s">
        <v>8528</v>
      </c>
      <c r="B3987" s="93" t="s">
        <v>8529</v>
      </c>
      <c r="C3987" s="410">
        <v>1314</v>
      </c>
      <c r="D3987" s="93" t="s">
        <v>9</v>
      </c>
      <c r="E3987" s="93" t="s">
        <v>9</v>
      </c>
      <c r="F3987" s="93" t="s">
        <v>8468</v>
      </c>
      <c r="G3987" s="93" t="s">
        <v>8527</v>
      </c>
      <c r="H3987" s="93" t="s">
        <v>6</v>
      </c>
      <c r="I3987" s="93" t="s">
        <v>111</v>
      </c>
      <c r="J3987" s="93" t="s">
        <v>112</v>
      </c>
      <c r="K3987" s="93">
        <v>60</v>
      </c>
      <c r="L3987" s="93">
        <v>10</v>
      </c>
      <c r="M3987" s="93">
        <v>0.9</v>
      </c>
      <c r="N3987" s="93" t="s">
        <v>113</v>
      </c>
      <c r="O3987" s="93">
        <v>8</v>
      </c>
      <c r="P3987" s="93">
        <v>25</v>
      </c>
      <c r="Q3987" s="93">
        <v>28</v>
      </c>
      <c r="R3987" s="93" t="s">
        <v>123</v>
      </c>
      <c r="S3987" s="93" t="s">
        <v>20</v>
      </c>
      <c r="T3987" s="93" t="s">
        <v>124</v>
      </c>
      <c r="U3987" s="93" t="s">
        <v>116</v>
      </c>
      <c r="V3987" s="94">
        <v>44628.553472222222</v>
      </c>
      <c r="W3987" s="93" t="s">
        <v>7072</v>
      </c>
      <c r="X3987" s="93" t="s">
        <v>9</v>
      </c>
    </row>
    <row r="3988" spans="1:24" hidden="1" x14ac:dyDescent="0.15">
      <c r="A3988" s="93" t="s">
        <v>8530</v>
      </c>
      <c r="B3988" s="93" t="s">
        <v>8531</v>
      </c>
      <c r="C3988" s="410">
        <v>1314</v>
      </c>
      <c r="D3988" s="93" t="s">
        <v>9</v>
      </c>
      <c r="E3988" s="93" t="s">
        <v>9</v>
      </c>
      <c r="F3988" s="93" t="s">
        <v>8468</v>
      </c>
      <c r="G3988" s="93" t="s">
        <v>8527</v>
      </c>
      <c r="H3988" s="93" t="s">
        <v>6</v>
      </c>
      <c r="I3988" s="93" t="s">
        <v>111</v>
      </c>
      <c r="J3988" s="93" t="s">
        <v>112</v>
      </c>
      <c r="K3988" s="93">
        <v>60</v>
      </c>
      <c r="L3988" s="93">
        <v>10</v>
      </c>
      <c r="M3988" s="93">
        <v>0.9</v>
      </c>
      <c r="N3988" s="93" t="s">
        <v>113</v>
      </c>
      <c r="O3988" s="93">
        <v>8</v>
      </c>
      <c r="P3988" s="93">
        <v>25</v>
      </c>
      <c r="Q3988" s="93">
        <v>28</v>
      </c>
      <c r="R3988" s="93" t="s">
        <v>123</v>
      </c>
      <c r="S3988" s="93" t="s">
        <v>20</v>
      </c>
      <c r="T3988" s="93" t="s">
        <v>124</v>
      </c>
      <c r="U3988" s="93" t="s">
        <v>116</v>
      </c>
      <c r="V3988" s="94">
        <v>44628.59652777778</v>
      </c>
      <c r="W3988" s="93" t="s">
        <v>7072</v>
      </c>
      <c r="X3988" s="93" t="s">
        <v>9</v>
      </c>
    </row>
    <row r="3989" spans="1:24" hidden="1" x14ac:dyDescent="0.15">
      <c r="A3989" s="93" t="s">
        <v>8532</v>
      </c>
      <c r="B3989" s="93" t="s">
        <v>8533</v>
      </c>
      <c r="C3989" s="410">
        <v>1392.84</v>
      </c>
      <c r="D3989" s="93" t="s">
        <v>9</v>
      </c>
      <c r="E3989" s="93" t="s">
        <v>9</v>
      </c>
      <c r="F3989" s="93" t="s">
        <v>8468</v>
      </c>
      <c r="G3989" s="93" t="s">
        <v>8527</v>
      </c>
      <c r="H3989" s="93" t="s">
        <v>6</v>
      </c>
      <c r="I3989" s="93" t="s">
        <v>111</v>
      </c>
      <c r="J3989" s="93" t="s">
        <v>112</v>
      </c>
      <c r="K3989" s="93">
        <v>60</v>
      </c>
      <c r="L3989" s="93">
        <v>10</v>
      </c>
      <c r="M3989" s="93">
        <v>0.9</v>
      </c>
      <c r="N3989" s="93" t="s">
        <v>113</v>
      </c>
      <c r="O3989" s="93">
        <v>8</v>
      </c>
      <c r="P3989" s="93">
        <v>25</v>
      </c>
      <c r="Q3989" s="93">
        <v>28</v>
      </c>
      <c r="R3989" s="93" t="s">
        <v>123</v>
      </c>
      <c r="S3989" s="93" t="s">
        <v>20</v>
      </c>
      <c r="T3989" s="93" t="s">
        <v>124</v>
      </c>
      <c r="U3989" s="93" t="s">
        <v>116</v>
      </c>
      <c r="V3989" s="94">
        <v>44628.509722222225</v>
      </c>
      <c r="W3989" s="93" t="s">
        <v>7072</v>
      </c>
      <c r="X3989" s="93" t="s">
        <v>9</v>
      </c>
    </row>
    <row r="3990" spans="1:24" hidden="1" x14ac:dyDescent="0.15">
      <c r="A3990" s="93" t="s">
        <v>8534</v>
      </c>
      <c r="B3990" s="93" t="s">
        <v>8535</v>
      </c>
      <c r="C3990" s="410">
        <v>1914</v>
      </c>
      <c r="D3990" s="93" t="s">
        <v>9</v>
      </c>
      <c r="E3990" s="93" t="s">
        <v>9</v>
      </c>
      <c r="F3990" s="93" t="s">
        <v>8468</v>
      </c>
      <c r="G3990" s="93" t="s">
        <v>8536</v>
      </c>
      <c r="H3990" s="93" t="s">
        <v>6</v>
      </c>
      <c r="I3990" s="93" t="s">
        <v>111</v>
      </c>
      <c r="J3990" s="93" t="s">
        <v>112</v>
      </c>
      <c r="K3990" s="93">
        <v>60</v>
      </c>
      <c r="L3990" s="93">
        <v>5</v>
      </c>
      <c r="M3990" s="93">
        <v>1.4</v>
      </c>
      <c r="N3990" s="93" t="s">
        <v>113</v>
      </c>
      <c r="O3990" s="93">
        <v>10</v>
      </c>
      <c r="P3990" s="93">
        <v>28</v>
      </c>
      <c r="Q3990" s="93">
        <v>31</v>
      </c>
      <c r="R3990" s="93" t="s">
        <v>123</v>
      </c>
      <c r="S3990" s="93" t="s">
        <v>20</v>
      </c>
      <c r="T3990" s="93" t="s">
        <v>111</v>
      </c>
      <c r="U3990" s="93" t="s">
        <v>116</v>
      </c>
      <c r="V3990" s="94">
        <v>44628.531944444447</v>
      </c>
      <c r="W3990" s="93" t="s">
        <v>7072</v>
      </c>
      <c r="X3990" s="93" t="s">
        <v>9</v>
      </c>
    </row>
    <row r="3991" spans="1:24" hidden="1" x14ac:dyDescent="0.15">
      <c r="A3991" s="93" t="s">
        <v>8537</v>
      </c>
      <c r="B3991" s="93" t="s">
        <v>8538</v>
      </c>
      <c r="C3991" s="410">
        <v>1914</v>
      </c>
      <c r="D3991" s="93" t="s">
        <v>9</v>
      </c>
      <c r="E3991" s="93" t="s">
        <v>9</v>
      </c>
      <c r="F3991" s="93" t="s">
        <v>8468</v>
      </c>
      <c r="G3991" s="93" t="s">
        <v>8536</v>
      </c>
      <c r="H3991" s="93" t="s">
        <v>6</v>
      </c>
      <c r="I3991" s="93" t="s">
        <v>111</v>
      </c>
      <c r="J3991" s="93" t="s">
        <v>112</v>
      </c>
      <c r="K3991" s="93">
        <v>60</v>
      </c>
      <c r="L3991" s="93">
        <v>5</v>
      </c>
      <c r="M3991" s="93">
        <v>1.4</v>
      </c>
      <c r="N3991" s="93" t="s">
        <v>113</v>
      </c>
      <c r="O3991" s="93">
        <v>10</v>
      </c>
      <c r="P3991" s="93">
        <v>28</v>
      </c>
      <c r="Q3991" s="93">
        <v>31</v>
      </c>
      <c r="R3991" s="93" t="s">
        <v>123</v>
      </c>
      <c r="S3991" s="93" t="s">
        <v>20</v>
      </c>
      <c r="T3991" s="93" t="s">
        <v>383</v>
      </c>
      <c r="U3991" s="93" t="s">
        <v>116</v>
      </c>
      <c r="V3991" s="94">
        <v>44628.509027777778</v>
      </c>
      <c r="W3991" s="93" t="s">
        <v>7072</v>
      </c>
      <c r="X3991" s="93" t="s">
        <v>9</v>
      </c>
    </row>
    <row r="3992" spans="1:24" hidden="1" x14ac:dyDescent="0.15">
      <c r="A3992" s="93" t="s">
        <v>8539</v>
      </c>
      <c r="B3992" s="93" t="s">
        <v>8540</v>
      </c>
      <c r="C3992" s="410">
        <v>1914</v>
      </c>
      <c r="D3992" s="93" t="s">
        <v>9</v>
      </c>
      <c r="E3992" s="93" t="s">
        <v>9</v>
      </c>
      <c r="F3992" s="93" t="s">
        <v>8468</v>
      </c>
      <c r="G3992" s="93" t="s">
        <v>8536</v>
      </c>
      <c r="H3992" s="93" t="s">
        <v>6</v>
      </c>
      <c r="I3992" s="93" t="s">
        <v>111</v>
      </c>
      <c r="J3992" s="93" t="s">
        <v>112</v>
      </c>
      <c r="K3992" s="93">
        <v>60</v>
      </c>
      <c r="L3992" s="93">
        <v>5</v>
      </c>
      <c r="M3992" s="93">
        <v>1.4</v>
      </c>
      <c r="N3992" s="93" t="s">
        <v>113</v>
      </c>
      <c r="O3992" s="93">
        <v>10</v>
      </c>
      <c r="P3992" s="93">
        <v>28</v>
      </c>
      <c r="Q3992" s="93">
        <v>31</v>
      </c>
      <c r="R3992" s="93" t="s">
        <v>123</v>
      </c>
      <c r="S3992" s="93" t="s">
        <v>20</v>
      </c>
      <c r="T3992" s="93" t="s">
        <v>124</v>
      </c>
      <c r="U3992" s="93" t="s">
        <v>116</v>
      </c>
      <c r="V3992" s="94">
        <v>44628.509722222225</v>
      </c>
      <c r="W3992" s="93" t="s">
        <v>7072</v>
      </c>
      <c r="X3992" s="93" t="s">
        <v>9</v>
      </c>
    </row>
    <row r="3993" spans="1:24" hidden="1" x14ac:dyDescent="0.15">
      <c r="A3993" s="93" t="s">
        <v>8541</v>
      </c>
      <c r="B3993" s="93" t="s">
        <v>8542</v>
      </c>
      <c r="C3993" s="410">
        <v>2028.84</v>
      </c>
      <c r="D3993" s="93" t="s">
        <v>9</v>
      </c>
      <c r="E3993" s="93" t="s">
        <v>9</v>
      </c>
      <c r="F3993" s="93" t="s">
        <v>8468</v>
      </c>
      <c r="G3993" s="93" t="s">
        <v>8536</v>
      </c>
      <c r="H3993" s="93" t="s">
        <v>6</v>
      </c>
      <c r="I3993" s="93" t="s">
        <v>111</v>
      </c>
      <c r="J3993" s="93" t="s">
        <v>112</v>
      </c>
      <c r="K3993" s="93">
        <v>60</v>
      </c>
      <c r="L3993" s="93">
        <v>5</v>
      </c>
      <c r="M3993" s="93">
        <v>1.4</v>
      </c>
      <c r="N3993" s="93" t="s">
        <v>113</v>
      </c>
      <c r="O3993" s="93">
        <v>10</v>
      </c>
      <c r="P3993" s="93">
        <v>28</v>
      </c>
      <c r="Q3993" s="93">
        <v>31</v>
      </c>
      <c r="R3993" s="93" t="s">
        <v>123</v>
      </c>
      <c r="S3993" s="93" t="s">
        <v>20</v>
      </c>
      <c r="T3993" s="93" t="s">
        <v>124</v>
      </c>
      <c r="U3993" s="93" t="s">
        <v>116</v>
      </c>
      <c r="V3993" s="94">
        <v>44628.53125</v>
      </c>
      <c r="W3993" s="93" t="s">
        <v>7072</v>
      </c>
      <c r="X3993" s="93" t="s">
        <v>9</v>
      </c>
    </row>
    <row r="3994" spans="1:24" hidden="1" x14ac:dyDescent="0.15">
      <c r="A3994" s="93" t="s">
        <v>8543</v>
      </c>
      <c r="B3994" s="93" t="s">
        <v>8544</v>
      </c>
      <c r="C3994" s="410">
        <v>2274</v>
      </c>
      <c r="D3994" s="93" t="s">
        <v>9</v>
      </c>
      <c r="E3994" s="93" t="s">
        <v>9</v>
      </c>
      <c r="F3994" s="93" t="s">
        <v>8468</v>
      </c>
      <c r="G3994" s="93" t="s">
        <v>8545</v>
      </c>
      <c r="H3994" s="93" t="s">
        <v>6</v>
      </c>
      <c r="I3994" s="93" t="s">
        <v>111</v>
      </c>
      <c r="J3994" s="93" t="s">
        <v>112</v>
      </c>
      <c r="K3994" s="93">
        <v>60</v>
      </c>
      <c r="L3994" s="93">
        <v>5</v>
      </c>
      <c r="M3994" s="93">
        <v>1.4</v>
      </c>
      <c r="N3994" s="93" t="s">
        <v>113</v>
      </c>
      <c r="O3994" s="93">
        <v>10</v>
      </c>
      <c r="P3994" s="93">
        <v>28</v>
      </c>
      <c r="Q3994" s="93">
        <v>31</v>
      </c>
      <c r="R3994" s="93" t="s">
        <v>123</v>
      </c>
      <c r="S3994" s="93" t="s">
        <v>20</v>
      </c>
      <c r="T3994" s="93" t="s">
        <v>124</v>
      </c>
      <c r="U3994" s="93" t="s">
        <v>116</v>
      </c>
      <c r="V3994" s="94">
        <v>44628.531944444447</v>
      </c>
      <c r="W3994" s="93" t="s">
        <v>7072</v>
      </c>
      <c r="X3994" s="93" t="s">
        <v>9</v>
      </c>
    </row>
    <row r="3995" spans="1:24" hidden="1" x14ac:dyDescent="0.15">
      <c r="A3995" s="93" t="s">
        <v>8546</v>
      </c>
      <c r="B3995" s="93" t="s">
        <v>8547</v>
      </c>
      <c r="C3995" s="410">
        <v>2274</v>
      </c>
      <c r="D3995" s="93" t="s">
        <v>9</v>
      </c>
      <c r="E3995" s="93" t="s">
        <v>9</v>
      </c>
      <c r="F3995" s="93" t="s">
        <v>8468</v>
      </c>
      <c r="G3995" s="93" t="s">
        <v>8545</v>
      </c>
      <c r="H3995" s="93" t="s">
        <v>6</v>
      </c>
      <c r="I3995" s="93" t="s">
        <v>111</v>
      </c>
      <c r="J3995" s="93" t="s">
        <v>112</v>
      </c>
      <c r="K3995" s="93">
        <v>60</v>
      </c>
      <c r="L3995" s="93">
        <v>5</v>
      </c>
      <c r="M3995" s="93">
        <v>1.4</v>
      </c>
      <c r="N3995" s="93" t="s">
        <v>113</v>
      </c>
      <c r="O3995" s="93">
        <v>10</v>
      </c>
      <c r="P3995" s="93">
        <v>28</v>
      </c>
      <c r="Q3995" s="93">
        <v>31</v>
      </c>
      <c r="R3995" s="93" t="s">
        <v>123</v>
      </c>
      <c r="S3995" s="93" t="s">
        <v>20</v>
      </c>
      <c r="T3995" s="93" t="s">
        <v>124</v>
      </c>
      <c r="U3995" s="93" t="s">
        <v>116</v>
      </c>
      <c r="V3995" s="94">
        <v>44628.53125</v>
      </c>
      <c r="W3995" s="93" t="s">
        <v>7072</v>
      </c>
      <c r="X3995" s="93" t="s">
        <v>9</v>
      </c>
    </row>
    <row r="3996" spans="1:24" hidden="1" x14ac:dyDescent="0.15">
      <c r="A3996" s="93" t="s">
        <v>8548</v>
      </c>
      <c r="B3996" s="93" t="s">
        <v>8549</v>
      </c>
      <c r="C3996" s="410">
        <v>2274</v>
      </c>
      <c r="D3996" s="93" t="s">
        <v>9</v>
      </c>
      <c r="E3996" s="93" t="s">
        <v>9</v>
      </c>
      <c r="F3996" s="93" t="s">
        <v>8468</v>
      </c>
      <c r="G3996" s="93" t="s">
        <v>8545</v>
      </c>
      <c r="H3996" s="93" t="s">
        <v>6</v>
      </c>
      <c r="I3996" s="93" t="s">
        <v>111</v>
      </c>
      <c r="J3996" s="93" t="s">
        <v>112</v>
      </c>
      <c r="K3996" s="93">
        <v>60</v>
      </c>
      <c r="L3996" s="93">
        <v>5</v>
      </c>
      <c r="M3996" s="93">
        <v>1.4</v>
      </c>
      <c r="N3996" s="93" t="s">
        <v>113</v>
      </c>
      <c r="O3996" s="93">
        <v>10</v>
      </c>
      <c r="P3996" s="93">
        <v>28</v>
      </c>
      <c r="Q3996" s="93">
        <v>31</v>
      </c>
      <c r="R3996" s="93" t="s">
        <v>123</v>
      </c>
      <c r="S3996" s="93" t="s">
        <v>20</v>
      </c>
      <c r="T3996" s="93" t="s">
        <v>124</v>
      </c>
      <c r="U3996" s="93" t="s">
        <v>116</v>
      </c>
      <c r="V3996" s="94">
        <v>44628.553472222222</v>
      </c>
      <c r="W3996" s="93" t="s">
        <v>7072</v>
      </c>
      <c r="X3996" s="93" t="s">
        <v>9</v>
      </c>
    </row>
    <row r="3997" spans="1:24" hidden="1" x14ac:dyDescent="0.15">
      <c r="A3997" s="93" t="s">
        <v>8550</v>
      </c>
      <c r="B3997" s="93" t="s">
        <v>8551</v>
      </c>
      <c r="C3997" s="410">
        <v>2410.44</v>
      </c>
      <c r="D3997" s="93" t="s">
        <v>9</v>
      </c>
      <c r="E3997" s="93" t="s">
        <v>9</v>
      </c>
      <c r="F3997" s="93" t="s">
        <v>8468</v>
      </c>
      <c r="G3997" s="93" t="s">
        <v>8545</v>
      </c>
      <c r="H3997" s="93" t="s">
        <v>6</v>
      </c>
      <c r="I3997" s="93" t="s">
        <v>111</v>
      </c>
      <c r="J3997" s="93" t="s">
        <v>112</v>
      </c>
      <c r="K3997" s="93">
        <v>60</v>
      </c>
      <c r="L3997" s="93">
        <v>5</v>
      </c>
      <c r="M3997" s="93">
        <v>1.4</v>
      </c>
      <c r="N3997" s="93" t="s">
        <v>113</v>
      </c>
      <c r="O3997" s="93">
        <v>10</v>
      </c>
      <c r="P3997" s="93">
        <v>28</v>
      </c>
      <c r="Q3997" s="93">
        <v>31</v>
      </c>
      <c r="R3997" s="93" t="s">
        <v>123</v>
      </c>
      <c r="S3997" s="93" t="s">
        <v>20</v>
      </c>
      <c r="T3997" s="93" t="s">
        <v>124</v>
      </c>
      <c r="U3997" s="93" t="s">
        <v>116</v>
      </c>
      <c r="V3997" s="94">
        <v>44628.631249999999</v>
      </c>
      <c r="W3997" s="93" t="s">
        <v>7072</v>
      </c>
      <c r="X3997" s="93" t="s">
        <v>9</v>
      </c>
    </row>
    <row r="3998" spans="1:24" hidden="1" x14ac:dyDescent="0.15">
      <c r="A3998" s="93" t="s">
        <v>8552</v>
      </c>
      <c r="B3998" s="93" t="s">
        <v>8553</v>
      </c>
      <c r="C3998" s="410">
        <v>144</v>
      </c>
      <c r="D3998" s="93" t="s">
        <v>24</v>
      </c>
      <c r="E3998" s="93" t="s">
        <v>24</v>
      </c>
      <c r="F3998" s="93" t="s">
        <v>7070</v>
      </c>
      <c r="G3998" s="93" t="s">
        <v>7071</v>
      </c>
      <c r="H3998" s="93" t="s">
        <v>11</v>
      </c>
      <c r="I3998" s="93" t="s">
        <v>111</v>
      </c>
      <c r="J3998" s="93" t="s">
        <v>112</v>
      </c>
      <c r="K3998" s="93">
        <v>60</v>
      </c>
      <c r="L3998" s="93">
        <v>1</v>
      </c>
      <c r="M3998" s="93">
        <v>0.7</v>
      </c>
      <c r="N3998" s="93" t="s">
        <v>113</v>
      </c>
      <c r="O3998" s="93">
        <v>10</v>
      </c>
      <c r="P3998" s="93">
        <v>15</v>
      </c>
      <c r="Q3998" s="93">
        <v>28</v>
      </c>
      <c r="R3998" s="93" t="s">
        <v>122</v>
      </c>
      <c r="S3998" s="93" t="s">
        <v>2</v>
      </c>
      <c r="T3998" s="93" t="s">
        <v>115</v>
      </c>
      <c r="U3998" s="93" t="s">
        <v>116</v>
      </c>
      <c r="V3998" s="94">
        <v>44628.574999999997</v>
      </c>
      <c r="W3998" s="93" t="s">
        <v>7072</v>
      </c>
      <c r="X3998" s="93" t="s">
        <v>9</v>
      </c>
    </row>
    <row r="3999" spans="1:24" hidden="1" x14ac:dyDescent="0.15">
      <c r="A3999" s="93" t="s">
        <v>8554</v>
      </c>
      <c r="B3999" s="93" t="s">
        <v>8555</v>
      </c>
      <c r="C3999" s="410">
        <v>16.8</v>
      </c>
      <c r="D3999" s="93" t="s">
        <v>24</v>
      </c>
      <c r="E3999" s="93" t="s">
        <v>24</v>
      </c>
      <c r="F3999" s="93" t="s">
        <v>7070</v>
      </c>
      <c r="G3999" s="93" t="s">
        <v>7071</v>
      </c>
      <c r="H3999" s="93" t="s">
        <v>11</v>
      </c>
      <c r="I3999" s="93" t="s">
        <v>111</v>
      </c>
      <c r="J3999" s="93" t="s">
        <v>112</v>
      </c>
      <c r="K3999" s="93">
        <v>60</v>
      </c>
      <c r="L3999" s="93">
        <v>1</v>
      </c>
      <c r="M3999" s="93">
        <v>0.14000000000000001</v>
      </c>
      <c r="N3999" s="93" t="s">
        <v>113</v>
      </c>
      <c r="O3999" s="93">
        <v>1</v>
      </c>
      <c r="P3999" s="93">
        <v>18</v>
      </c>
      <c r="Q3999" s="93">
        <v>23</v>
      </c>
      <c r="R3999" s="93" t="s">
        <v>122</v>
      </c>
      <c r="S3999" s="93" t="s">
        <v>20</v>
      </c>
      <c r="T3999" s="93" t="s">
        <v>115</v>
      </c>
      <c r="U3999" s="93" t="s">
        <v>116</v>
      </c>
      <c r="V3999" s="94">
        <v>44628.488194444442</v>
      </c>
      <c r="W3999" s="93" t="s">
        <v>7072</v>
      </c>
      <c r="X3999" s="93" t="s">
        <v>9</v>
      </c>
    </row>
    <row r="4000" spans="1:24" hidden="1" x14ac:dyDescent="0.15">
      <c r="A4000" s="93" t="s">
        <v>8556</v>
      </c>
      <c r="B4000" s="93" t="s">
        <v>8557</v>
      </c>
      <c r="C4000" s="410">
        <v>27.6</v>
      </c>
      <c r="D4000" s="93" t="s">
        <v>24</v>
      </c>
      <c r="E4000" s="93" t="s">
        <v>24</v>
      </c>
      <c r="F4000" s="93" t="s">
        <v>7070</v>
      </c>
      <c r="G4000" s="93" t="s">
        <v>7071</v>
      </c>
      <c r="H4000" s="93" t="s">
        <v>11</v>
      </c>
      <c r="I4000" s="93" t="s">
        <v>111</v>
      </c>
      <c r="J4000" s="93" t="s">
        <v>112</v>
      </c>
      <c r="K4000" s="93">
        <v>60</v>
      </c>
      <c r="L4000" s="93">
        <v>1</v>
      </c>
      <c r="M4000" s="93">
        <v>0.14000000000000001</v>
      </c>
      <c r="N4000" s="93" t="s">
        <v>113</v>
      </c>
      <c r="O4000" s="93">
        <v>1</v>
      </c>
      <c r="P4000" s="93">
        <v>18</v>
      </c>
      <c r="Q4000" s="93">
        <v>23</v>
      </c>
      <c r="R4000" s="93" t="s">
        <v>228</v>
      </c>
      <c r="S4000" s="93" t="s">
        <v>20</v>
      </c>
      <c r="T4000" s="93" t="s">
        <v>115</v>
      </c>
      <c r="U4000" s="93" t="s">
        <v>116</v>
      </c>
      <c r="V4000" s="94">
        <v>44628.631249999999</v>
      </c>
      <c r="W4000" s="93" t="s">
        <v>7072</v>
      </c>
      <c r="X4000" s="93" t="s">
        <v>9</v>
      </c>
    </row>
    <row r="4001" spans="1:24" hidden="1" x14ac:dyDescent="0.15">
      <c r="A4001" s="93" t="s">
        <v>8558</v>
      </c>
      <c r="B4001" s="93" t="s">
        <v>8559</v>
      </c>
      <c r="C4001" s="410">
        <v>94.8</v>
      </c>
      <c r="D4001" s="93" t="s">
        <v>24</v>
      </c>
      <c r="E4001" s="93" t="s">
        <v>24</v>
      </c>
      <c r="F4001" s="93" t="s">
        <v>7070</v>
      </c>
      <c r="G4001" s="93" t="s">
        <v>7071</v>
      </c>
      <c r="H4001" s="93" t="s">
        <v>11</v>
      </c>
      <c r="I4001" s="93" t="s">
        <v>111</v>
      </c>
      <c r="J4001" s="93" t="s">
        <v>112</v>
      </c>
      <c r="K4001" s="93">
        <v>60</v>
      </c>
      <c r="L4001" s="93">
        <v>1</v>
      </c>
      <c r="M4001" s="93" t="s">
        <v>111</v>
      </c>
      <c r="N4001" s="93" t="s">
        <v>111</v>
      </c>
      <c r="O4001" s="93" t="s">
        <v>111</v>
      </c>
      <c r="P4001" s="93" t="s">
        <v>111</v>
      </c>
      <c r="Q4001" s="93" t="s">
        <v>111</v>
      </c>
      <c r="R4001" s="93" t="s">
        <v>122</v>
      </c>
      <c r="S4001" s="93" t="s">
        <v>2</v>
      </c>
      <c r="T4001" s="93" t="s">
        <v>115</v>
      </c>
      <c r="U4001" s="93" t="s">
        <v>119</v>
      </c>
      <c r="V4001" s="94">
        <v>44628.59652777778</v>
      </c>
      <c r="W4001" s="93" t="s">
        <v>7072</v>
      </c>
      <c r="X4001" s="93" t="s">
        <v>24</v>
      </c>
    </row>
    <row r="4002" spans="1:24" hidden="1" x14ac:dyDescent="0.15">
      <c r="A4002" s="93" t="s">
        <v>8560</v>
      </c>
      <c r="B4002" s="93" t="s">
        <v>8561</v>
      </c>
      <c r="C4002" s="410">
        <v>50.4</v>
      </c>
      <c r="D4002" s="93" t="s">
        <v>24</v>
      </c>
      <c r="E4002" s="93" t="s">
        <v>24</v>
      </c>
      <c r="F4002" s="93" t="s">
        <v>7070</v>
      </c>
      <c r="G4002" s="93" t="s">
        <v>7071</v>
      </c>
      <c r="H4002" s="93" t="s">
        <v>11</v>
      </c>
      <c r="I4002" s="93" t="s">
        <v>111</v>
      </c>
      <c r="J4002" s="93" t="s">
        <v>112</v>
      </c>
      <c r="K4002" s="93">
        <v>60</v>
      </c>
      <c r="L4002" s="93">
        <v>1</v>
      </c>
      <c r="M4002" s="93" t="s">
        <v>111</v>
      </c>
      <c r="N4002" s="93" t="s">
        <v>111</v>
      </c>
      <c r="O4002" s="93" t="s">
        <v>111</v>
      </c>
      <c r="P4002" s="93" t="s">
        <v>111</v>
      </c>
      <c r="Q4002" s="93" t="s">
        <v>111</v>
      </c>
      <c r="R4002" s="93" t="s">
        <v>122</v>
      </c>
      <c r="S4002" s="93" t="s">
        <v>2</v>
      </c>
      <c r="T4002" s="93" t="s">
        <v>115</v>
      </c>
      <c r="U4002" s="93" t="s">
        <v>116</v>
      </c>
      <c r="V4002" s="94">
        <v>44628.531944444447</v>
      </c>
      <c r="W4002" s="93" t="s">
        <v>7072</v>
      </c>
      <c r="X4002" s="93" t="s">
        <v>24</v>
      </c>
    </row>
    <row r="4003" spans="1:24" hidden="1" x14ac:dyDescent="0.15">
      <c r="A4003" s="93" t="s">
        <v>8562</v>
      </c>
      <c r="B4003" s="93" t="s">
        <v>8563</v>
      </c>
      <c r="C4003" s="410">
        <v>895</v>
      </c>
      <c r="D4003" s="93" t="s">
        <v>9</v>
      </c>
      <c r="E4003" s="93" t="s">
        <v>9</v>
      </c>
      <c r="F4003" s="93" t="s">
        <v>8564</v>
      </c>
      <c r="G4003" s="93" t="s">
        <v>8565</v>
      </c>
      <c r="H4003" s="93" t="s">
        <v>6</v>
      </c>
      <c r="I4003" s="93" t="s">
        <v>111</v>
      </c>
      <c r="J4003" s="93" t="s">
        <v>8564</v>
      </c>
      <c r="K4003" s="93">
        <v>90</v>
      </c>
      <c r="L4003" s="93">
        <v>10</v>
      </c>
      <c r="M4003" s="93">
        <v>1.45</v>
      </c>
      <c r="N4003" s="93" t="s">
        <v>113</v>
      </c>
      <c r="O4003" s="93">
        <v>8.9</v>
      </c>
      <c r="P4003" s="93">
        <v>27.6</v>
      </c>
      <c r="Q4003" s="93">
        <v>24.4</v>
      </c>
      <c r="R4003" s="93" t="s">
        <v>123</v>
      </c>
      <c r="S4003" s="93" t="s">
        <v>20</v>
      </c>
      <c r="T4003" s="93" t="s">
        <v>124</v>
      </c>
      <c r="U4003" s="93" t="s">
        <v>116</v>
      </c>
      <c r="V4003" s="94">
        <v>44628.506944444445</v>
      </c>
      <c r="W4003" s="93" t="s">
        <v>8564</v>
      </c>
      <c r="X4003" s="93" t="s">
        <v>9</v>
      </c>
    </row>
    <row r="4004" spans="1:24" hidden="1" x14ac:dyDescent="0.15">
      <c r="A4004" s="93" t="s">
        <v>8566</v>
      </c>
      <c r="B4004" s="93" t="s">
        <v>8567</v>
      </c>
      <c r="C4004" s="410">
        <v>895</v>
      </c>
      <c r="D4004" s="93" t="s">
        <v>9</v>
      </c>
      <c r="E4004" s="93" t="s">
        <v>9</v>
      </c>
      <c r="F4004" s="93" t="s">
        <v>8564</v>
      </c>
      <c r="G4004" s="93" t="s">
        <v>8565</v>
      </c>
      <c r="H4004" s="93" t="s">
        <v>6</v>
      </c>
      <c r="I4004" s="93" t="s">
        <v>111</v>
      </c>
      <c r="J4004" s="93" t="s">
        <v>8564</v>
      </c>
      <c r="K4004" s="93">
        <v>90</v>
      </c>
      <c r="L4004" s="93">
        <v>10</v>
      </c>
      <c r="M4004" s="93">
        <v>1.45</v>
      </c>
      <c r="N4004" s="93" t="s">
        <v>113</v>
      </c>
      <c r="O4004" s="93">
        <v>8.9</v>
      </c>
      <c r="P4004" s="93">
        <v>27.6</v>
      </c>
      <c r="Q4004" s="93">
        <v>24.4</v>
      </c>
      <c r="R4004" s="93" t="s">
        <v>123</v>
      </c>
      <c r="S4004" s="93" t="s">
        <v>20</v>
      </c>
      <c r="T4004" s="93" t="s">
        <v>124</v>
      </c>
      <c r="U4004" s="93" t="s">
        <v>116</v>
      </c>
      <c r="V4004" s="94">
        <v>44628.529166666667</v>
      </c>
      <c r="W4004" s="93" t="s">
        <v>8564</v>
      </c>
      <c r="X4004" s="93" t="s">
        <v>9</v>
      </c>
    </row>
    <row r="4005" spans="1:24" hidden="1" x14ac:dyDescent="0.15">
      <c r="A4005" s="93" t="s">
        <v>8568</v>
      </c>
      <c r="B4005" s="93" t="s">
        <v>8569</v>
      </c>
      <c r="C4005" s="410">
        <v>895</v>
      </c>
      <c r="D4005" s="93" t="s">
        <v>9</v>
      </c>
      <c r="E4005" s="93" t="s">
        <v>9</v>
      </c>
      <c r="F4005" s="93" t="s">
        <v>8564</v>
      </c>
      <c r="G4005" s="93" t="s">
        <v>8565</v>
      </c>
      <c r="H4005" s="93" t="s">
        <v>6</v>
      </c>
      <c r="I4005" s="93" t="s">
        <v>111</v>
      </c>
      <c r="J4005" s="93" t="s">
        <v>8564</v>
      </c>
      <c r="K4005" s="93">
        <v>90</v>
      </c>
      <c r="L4005" s="93">
        <v>10</v>
      </c>
      <c r="M4005" s="93">
        <v>1.45</v>
      </c>
      <c r="N4005" s="93" t="s">
        <v>113</v>
      </c>
      <c r="O4005" s="93">
        <v>8.9</v>
      </c>
      <c r="P4005" s="93">
        <v>27.6</v>
      </c>
      <c r="Q4005" s="93">
        <v>24.4</v>
      </c>
      <c r="R4005" s="93" t="s">
        <v>123</v>
      </c>
      <c r="S4005" s="93" t="s">
        <v>20</v>
      </c>
      <c r="T4005" s="93" t="s">
        <v>124</v>
      </c>
      <c r="U4005" s="93" t="s">
        <v>116</v>
      </c>
      <c r="V4005" s="94">
        <v>44628.628472222219</v>
      </c>
      <c r="W4005" s="93" t="s">
        <v>8564</v>
      </c>
      <c r="X4005" s="93" t="s">
        <v>9</v>
      </c>
    </row>
    <row r="4006" spans="1:24" hidden="1" x14ac:dyDescent="0.15">
      <c r="A4006" s="93" t="s">
        <v>8570</v>
      </c>
      <c r="B4006" s="93" t="s">
        <v>8571</v>
      </c>
      <c r="C4006" s="410">
        <v>948.7</v>
      </c>
      <c r="D4006" s="93" t="s">
        <v>9</v>
      </c>
      <c r="E4006" s="93" t="s">
        <v>9</v>
      </c>
      <c r="F4006" s="93" t="s">
        <v>8564</v>
      </c>
      <c r="G4006" s="93" t="s">
        <v>8565</v>
      </c>
      <c r="H4006" s="93" t="s">
        <v>6</v>
      </c>
      <c r="I4006" s="93" t="s">
        <v>111</v>
      </c>
      <c r="J4006" s="93" t="s">
        <v>8564</v>
      </c>
      <c r="K4006" s="93">
        <v>90</v>
      </c>
      <c r="L4006" s="93">
        <v>10</v>
      </c>
      <c r="M4006" s="93">
        <v>15.5</v>
      </c>
      <c r="N4006" s="93" t="s">
        <v>113</v>
      </c>
      <c r="O4006" s="93">
        <v>8.9</v>
      </c>
      <c r="P4006" s="93">
        <v>27.6</v>
      </c>
      <c r="Q4006" s="93">
        <v>24.4</v>
      </c>
      <c r="R4006" s="93" t="s">
        <v>123</v>
      </c>
      <c r="S4006" s="93" t="s">
        <v>20</v>
      </c>
      <c r="T4006" s="93" t="s">
        <v>124</v>
      </c>
      <c r="U4006" s="93" t="s">
        <v>116</v>
      </c>
      <c r="V4006" s="94">
        <v>44628.628472222219</v>
      </c>
      <c r="W4006" s="93" t="s">
        <v>8564</v>
      </c>
      <c r="X4006" s="93" t="s">
        <v>9</v>
      </c>
    </row>
    <row r="4007" spans="1:24" hidden="1" x14ac:dyDescent="0.15">
      <c r="A4007" s="93" t="s">
        <v>8572</v>
      </c>
      <c r="B4007" s="93" t="s">
        <v>8573</v>
      </c>
      <c r="C4007" s="410">
        <v>2195</v>
      </c>
      <c r="D4007" s="93" t="s">
        <v>9</v>
      </c>
      <c r="E4007" s="93" t="s">
        <v>9</v>
      </c>
      <c r="F4007" s="93" t="s">
        <v>70</v>
      </c>
      <c r="G4007" s="93" t="s">
        <v>8574</v>
      </c>
      <c r="H4007" s="93" t="s">
        <v>6</v>
      </c>
      <c r="I4007" s="93" t="s">
        <v>111</v>
      </c>
      <c r="J4007" s="93" t="s">
        <v>8564</v>
      </c>
      <c r="K4007" s="93">
        <v>90</v>
      </c>
      <c r="L4007" s="93">
        <v>4</v>
      </c>
      <c r="M4007" s="93">
        <v>3.4540000000000002</v>
      </c>
      <c r="N4007" s="93" t="s">
        <v>113</v>
      </c>
      <c r="O4007" s="93">
        <v>11.6</v>
      </c>
      <c r="P4007" s="93">
        <v>35</v>
      </c>
      <c r="Q4007" s="93">
        <v>36</v>
      </c>
      <c r="R4007" s="93" t="s">
        <v>123</v>
      </c>
      <c r="S4007" s="93" t="s">
        <v>20</v>
      </c>
      <c r="T4007" s="93" t="s">
        <v>124</v>
      </c>
      <c r="U4007" s="93" t="s">
        <v>116</v>
      </c>
      <c r="V4007" s="94">
        <v>44628.506944444445</v>
      </c>
      <c r="W4007" s="93" t="s">
        <v>8564</v>
      </c>
      <c r="X4007" s="93" t="s">
        <v>24</v>
      </c>
    </row>
    <row r="4008" spans="1:24" hidden="1" x14ac:dyDescent="0.15">
      <c r="A4008" s="93" t="s">
        <v>8575</v>
      </c>
      <c r="B4008" s="93" t="s">
        <v>8576</v>
      </c>
      <c r="C4008" s="410">
        <v>2195</v>
      </c>
      <c r="D4008" s="93" t="s">
        <v>9</v>
      </c>
      <c r="E4008" s="93" t="s">
        <v>9</v>
      </c>
      <c r="F4008" s="93" t="s">
        <v>70</v>
      </c>
      <c r="G4008" s="93" t="s">
        <v>8574</v>
      </c>
      <c r="H4008" s="93" t="s">
        <v>6</v>
      </c>
      <c r="I4008" s="93" t="s">
        <v>111</v>
      </c>
      <c r="J4008" s="93" t="s">
        <v>8564</v>
      </c>
      <c r="K4008" s="93">
        <v>90</v>
      </c>
      <c r="L4008" s="93">
        <v>4</v>
      </c>
      <c r="M4008" s="93">
        <v>3.4540000000000002</v>
      </c>
      <c r="N4008" s="93" t="s">
        <v>113</v>
      </c>
      <c r="O4008" s="93">
        <v>11.6</v>
      </c>
      <c r="P4008" s="93">
        <v>35</v>
      </c>
      <c r="Q4008" s="93">
        <v>36</v>
      </c>
      <c r="R4008" s="93" t="s">
        <v>123</v>
      </c>
      <c r="S4008" s="93" t="s">
        <v>20</v>
      </c>
      <c r="T4008" s="93" t="s">
        <v>124</v>
      </c>
      <c r="U4008" s="93" t="s">
        <v>116</v>
      </c>
      <c r="V4008" s="94">
        <v>44628.59375</v>
      </c>
      <c r="W4008" s="93" t="s">
        <v>8564</v>
      </c>
      <c r="X4008" s="93" t="s">
        <v>24</v>
      </c>
    </row>
    <row r="4009" spans="1:24" hidden="1" x14ac:dyDescent="0.15">
      <c r="A4009" s="93" t="s">
        <v>8577</v>
      </c>
      <c r="B4009" s="93" t="s">
        <v>8578</v>
      </c>
      <c r="C4009" s="410">
        <v>2195</v>
      </c>
      <c r="D4009" s="93" t="s">
        <v>9</v>
      </c>
      <c r="E4009" s="93" t="s">
        <v>9</v>
      </c>
      <c r="F4009" s="93" t="s">
        <v>8564</v>
      </c>
      <c r="G4009" s="93" t="s">
        <v>8574</v>
      </c>
      <c r="H4009" s="93" t="s">
        <v>6</v>
      </c>
      <c r="I4009" s="93" t="s">
        <v>111</v>
      </c>
      <c r="J4009" s="93" t="s">
        <v>8564</v>
      </c>
      <c r="K4009" s="93">
        <v>90</v>
      </c>
      <c r="L4009" s="93">
        <v>4</v>
      </c>
      <c r="M4009" s="93">
        <v>3.4540000000000002</v>
      </c>
      <c r="N4009" s="93" t="s">
        <v>113</v>
      </c>
      <c r="O4009" s="93">
        <v>11.6</v>
      </c>
      <c r="P4009" s="93">
        <v>35</v>
      </c>
      <c r="Q4009" s="93">
        <v>36</v>
      </c>
      <c r="R4009" s="93" t="s">
        <v>123</v>
      </c>
      <c r="S4009" s="93" t="s">
        <v>20</v>
      </c>
      <c r="T4009" s="93" t="s">
        <v>124</v>
      </c>
      <c r="U4009" s="93" t="s">
        <v>116</v>
      </c>
      <c r="V4009" s="94">
        <v>44628.486111111109</v>
      </c>
      <c r="W4009" s="93" t="s">
        <v>8564</v>
      </c>
      <c r="X4009" s="93" t="s">
        <v>9</v>
      </c>
    </row>
    <row r="4010" spans="1:24" hidden="1" x14ac:dyDescent="0.15">
      <c r="A4010" s="93" t="s">
        <v>8579</v>
      </c>
      <c r="B4010" s="93" t="s">
        <v>8580</v>
      </c>
      <c r="C4010" s="410">
        <v>2326.6999999999998</v>
      </c>
      <c r="D4010" s="93" t="s">
        <v>9</v>
      </c>
      <c r="E4010" s="93" t="s">
        <v>9</v>
      </c>
      <c r="F4010" s="93" t="s">
        <v>8564</v>
      </c>
      <c r="G4010" s="93" t="s">
        <v>8574</v>
      </c>
      <c r="H4010" s="93" t="s">
        <v>6</v>
      </c>
      <c r="I4010" s="93" t="s">
        <v>111</v>
      </c>
      <c r="J4010" s="93" t="s">
        <v>8564</v>
      </c>
      <c r="K4010" s="93">
        <v>90</v>
      </c>
      <c r="L4010" s="93">
        <v>4</v>
      </c>
      <c r="M4010" s="93">
        <v>3.4540000000000002</v>
      </c>
      <c r="N4010" s="93" t="s">
        <v>113</v>
      </c>
      <c r="O4010" s="93">
        <v>11.6</v>
      </c>
      <c r="P4010" s="93">
        <v>35</v>
      </c>
      <c r="Q4010" s="93">
        <v>36</v>
      </c>
      <c r="R4010" s="93" t="s">
        <v>123</v>
      </c>
      <c r="S4010" s="93" t="s">
        <v>20</v>
      </c>
      <c r="T4010" s="93" t="s">
        <v>124</v>
      </c>
      <c r="U4010" s="93" t="s">
        <v>116</v>
      </c>
      <c r="V4010" s="94">
        <v>44628.486111111109</v>
      </c>
      <c r="W4010" s="93" t="s">
        <v>8564</v>
      </c>
      <c r="X4010" s="93" t="s">
        <v>9</v>
      </c>
    </row>
    <row r="4011" spans="1:24" hidden="1" x14ac:dyDescent="0.15">
      <c r="A4011" s="93" t="s">
        <v>8581</v>
      </c>
      <c r="B4011" s="93" t="s">
        <v>8582</v>
      </c>
      <c r="C4011" s="410">
        <v>1674</v>
      </c>
      <c r="D4011" s="93" t="s">
        <v>9</v>
      </c>
      <c r="E4011" s="93" t="s">
        <v>9</v>
      </c>
      <c r="F4011" s="93" t="s">
        <v>8468</v>
      </c>
      <c r="G4011" s="93" t="s">
        <v>8583</v>
      </c>
      <c r="H4011" s="93" t="s">
        <v>6</v>
      </c>
      <c r="I4011" s="93" t="s">
        <v>111</v>
      </c>
      <c r="J4011" s="93" t="s">
        <v>112</v>
      </c>
      <c r="K4011" s="93">
        <v>60</v>
      </c>
      <c r="L4011" s="93">
        <v>5</v>
      </c>
      <c r="M4011" s="93">
        <v>3.6</v>
      </c>
      <c r="N4011" s="93" t="s">
        <v>113</v>
      </c>
      <c r="O4011" s="93">
        <v>13</v>
      </c>
      <c r="P4011" s="93">
        <v>33</v>
      </c>
      <c r="Q4011" s="93">
        <v>36</v>
      </c>
      <c r="R4011" s="93" t="s">
        <v>123</v>
      </c>
      <c r="S4011" s="93" t="s">
        <v>20</v>
      </c>
      <c r="T4011" s="93" t="s">
        <v>124</v>
      </c>
      <c r="U4011" s="93" t="s">
        <v>119</v>
      </c>
      <c r="V4011" s="94">
        <v>44628.531944444447</v>
      </c>
      <c r="W4011" s="93" t="s">
        <v>7072</v>
      </c>
      <c r="X4011" s="93" t="s">
        <v>9</v>
      </c>
    </row>
    <row r="4012" spans="1:24" hidden="1" x14ac:dyDescent="0.15">
      <c r="A4012" s="93" t="s">
        <v>8584</v>
      </c>
      <c r="B4012" s="93" t="s">
        <v>8585</v>
      </c>
      <c r="C4012" s="410">
        <v>1674</v>
      </c>
      <c r="D4012" s="93" t="s">
        <v>9</v>
      </c>
      <c r="E4012" s="93" t="s">
        <v>9</v>
      </c>
      <c r="F4012" s="93" t="s">
        <v>8468</v>
      </c>
      <c r="G4012" s="93" t="s">
        <v>8583</v>
      </c>
      <c r="H4012" s="93" t="s">
        <v>6</v>
      </c>
      <c r="I4012" s="93" t="s">
        <v>111</v>
      </c>
      <c r="J4012" s="93" t="s">
        <v>112</v>
      </c>
      <c r="K4012" s="93">
        <v>60</v>
      </c>
      <c r="L4012" s="93">
        <v>5</v>
      </c>
      <c r="M4012" s="93">
        <v>3.6</v>
      </c>
      <c r="N4012" s="93" t="s">
        <v>113</v>
      </c>
      <c r="O4012" s="93">
        <v>13</v>
      </c>
      <c r="P4012" s="93">
        <v>33</v>
      </c>
      <c r="Q4012" s="93">
        <v>36</v>
      </c>
      <c r="R4012" s="93" t="s">
        <v>123</v>
      </c>
      <c r="S4012" s="93" t="s">
        <v>20</v>
      </c>
      <c r="T4012" s="93" t="s">
        <v>124</v>
      </c>
      <c r="U4012" s="93" t="s">
        <v>119</v>
      </c>
      <c r="V4012" s="94">
        <v>44628.574305555558</v>
      </c>
      <c r="W4012" s="93" t="s">
        <v>7072</v>
      </c>
      <c r="X4012" s="93" t="s">
        <v>9</v>
      </c>
    </row>
    <row r="4013" spans="1:24" hidden="1" x14ac:dyDescent="0.15">
      <c r="A4013" s="93" t="s">
        <v>8586</v>
      </c>
      <c r="B4013" s="93" t="s">
        <v>8587</v>
      </c>
      <c r="C4013" s="410">
        <v>1674</v>
      </c>
      <c r="D4013" s="93" t="s">
        <v>9</v>
      </c>
      <c r="E4013" s="93" t="s">
        <v>9</v>
      </c>
      <c r="F4013" s="93" t="s">
        <v>8468</v>
      </c>
      <c r="G4013" s="93" t="s">
        <v>8583</v>
      </c>
      <c r="H4013" s="93" t="s">
        <v>6</v>
      </c>
      <c r="I4013" s="93" t="s">
        <v>111</v>
      </c>
      <c r="J4013" s="93" t="s">
        <v>112</v>
      </c>
      <c r="K4013" s="93">
        <v>60</v>
      </c>
      <c r="L4013" s="93">
        <v>5</v>
      </c>
      <c r="M4013" s="93">
        <v>3.6</v>
      </c>
      <c r="N4013" s="93" t="s">
        <v>113</v>
      </c>
      <c r="O4013" s="93">
        <v>13</v>
      </c>
      <c r="P4013" s="93">
        <v>33</v>
      </c>
      <c r="Q4013" s="93">
        <v>36</v>
      </c>
      <c r="R4013" s="93" t="s">
        <v>123</v>
      </c>
      <c r="S4013" s="93" t="s">
        <v>20</v>
      </c>
      <c r="T4013" s="93" t="s">
        <v>124</v>
      </c>
      <c r="U4013" s="93" t="s">
        <v>119</v>
      </c>
      <c r="V4013" s="94">
        <v>44628.574305555558</v>
      </c>
      <c r="W4013" s="93" t="s">
        <v>7072</v>
      </c>
      <c r="X4013" s="93" t="s">
        <v>9</v>
      </c>
    </row>
    <row r="4014" spans="1:24" hidden="1" x14ac:dyDescent="0.15">
      <c r="A4014" s="93" t="s">
        <v>8588</v>
      </c>
      <c r="B4014" s="93" t="s">
        <v>8589</v>
      </c>
      <c r="C4014" s="410">
        <v>1774.44</v>
      </c>
      <c r="D4014" s="93" t="s">
        <v>9</v>
      </c>
      <c r="E4014" s="93" t="s">
        <v>9</v>
      </c>
      <c r="F4014" s="93" t="s">
        <v>8468</v>
      </c>
      <c r="G4014" s="93" t="s">
        <v>8583</v>
      </c>
      <c r="H4014" s="93" t="s">
        <v>6</v>
      </c>
      <c r="I4014" s="93" t="s">
        <v>111</v>
      </c>
      <c r="J4014" s="93" t="s">
        <v>112</v>
      </c>
      <c r="K4014" s="93">
        <v>60</v>
      </c>
      <c r="L4014" s="93">
        <v>5</v>
      </c>
      <c r="M4014" s="93">
        <v>3.6</v>
      </c>
      <c r="N4014" s="93" t="s">
        <v>113</v>
      </c>
      <c r="O4014" s="93">
        <v>13</v>
      </c>
      <c r="P4014" s="93">
        <v>33</v>
      </c>
      <c r="Q4014" s="93">
        <v>36</v>
      </c>
      <c r="R4014" s="93" t="s">
        <v>123</v>
      </c>
      <c r="S4014" s="93" t="s">
        <v>20</v>
      </c>
      <c r="T4014" s="93" t="s">
        <v>124</v>
      </c>
      <c r="U4014" s="93" t="s">
        <v>119</v>
      </c>
      <c r="V4014" s="94">
        <v>44628.553472222222</v>
      </c>
      <c r="W4014" s="93" t="s">
        <v>7072</v>
      </c>
      <c r="X4014" s="93" t="s">
        <v>9</v>
      </c>
    </row>
    <row r="4015" spans="1:24" hidden="1" x14ac:dyDescent="0.15">
      <c r="A4015" s="93" t="s">
        <v>8590</v>
      </c>
      <c r="B4015" s="93" t="s">
        <v>8591</v>
      </c>
      <c r="C4015" s="410">
        <v>1674</v>
      </c>
      <c r="D4015" s="93" t="s">
        <v>9</v>
      </c>
      <c r="E4015" s="93" t="s">
        <v>9</v>
      </c>
      <c r="F4015" s="93" t="s">
        <v>8468</v>
      </c>
      <c r="G4015" s="93" t="s">
        <v>8592</v>
      </c>
      <c r="H4015" s="93" t="s">
        <v>6</v>
      </c>
      <c r="I4015" s="93" t="s">
        <v>111</v>
      </c>
      <c r="J4015" s="93" t="s">
        <v>72</v>
      </c>
      <c r="K4015" s="93">
        <v>180</v>
      </c>
      <c r="L4015" s="93">
        <v>3</v>
      </c>
      <c r="M4015" s="93">
        <v>3.4</v>
      </c>
      <c r="N4015" s="93" t="s">
        <v>113</v>
      </c>
      <c r="O4015" s="93">
        <v>5</v>
      </c>
      <c r="P4015" s="93">
        <v>12</v>
      </c>
      <c r="Q4015" s="93">
        <v>15</v>
      </c>
      <c r="R4015" s="93" t="s">
        <v>123</v>
      </c>
      <c r="S4015" s="93" t="s">
        <v>20</v>
      </c>
      <c r="T4015" s="93" t="s">
        <v>124</v>
      </c>
      <c r="U4015" s="93" t="s">
        <v>116</v>
      </c>
      <c r="V4015" s="94">
        <v>44628.631944444445</v>
      </c>
      <c r="W4015" s="93" t="s">
        <v>7072</v>
      </c>
      <c r="X4015" s="93" t="s">
        <v>9</v>
      </c>
    </row>
    <row r="4016" spans="1:24" hidden="1" x14ac:dyDescent="0.15">
      <c r="A4016" s="93" t="s">
        <v>8593</v>
      </c>
      <c r="B4016" s="93" t="s">
        <v>8594</v>
      </c>
      <c r="C4016" s="410">
        <v>1674</v>
      </c>
      <c r="D4016" s="93" t="s">
        <v>9</v>
      </c>
      <c r="E4016" s="93" t="s">
        <v>9</v>
      </c>
      <c r="F4016" s="93" t="s">
        <v>8468</v>
      </c>
      <c r="G4016" s="93" t="s">
        <v>8592</v>
      </c>
      <c r="H4016" s="93" t="s">
        <v>6</v>
      </c>
      <c r="I4016" s="93" t="s">
        <v>111</v>
      </c>
      <c r="J4016" s="93" t="s">
        <v>112</v>
      </c>
      <c r="K4016" s="93">
        <v>60</v>
      </c>
      <c r="L4016" s="93">
        <v>3</v>
      </c>
      <c r="M4016" s="93">
        <v>3.4</v>
      </c>
      <c r="N4016" s="93" t="s">
        <v>113</v>
      </c>
      <c r="O4016" s="93">
        <v>5</v>
      </c>
      <c r="P4016" s="93">
        <v>12</v>
      </c>
      <c r="Q4016" s="93">
        <v>15</v>
      </c>
      <c r="R4016" s="93" t="s">
        <v>123</v>
      </c>
      <c r="S4016" s="93" t="s">
        <v>20</v>
      </c>
      <c r="T4016" s="93" t="s">
        <v>111</v>
      </c>
      <c r="U4016" s="93" t="s">
        <v>116</v>
      </c>
      <c r="V4016" s="94">
        <v>44628.574305555558</v>
      </c>
      <c r="W4016" s="93" t="s">
        <v>7072</v>
      </c>
      <c r="X4016" s="93" t="s">
        <v>9</v>
      </c>
    </row>
    <row r="4017" spans="1:24" hidden="1" x14ac:dyDescent="0.15">
      <c r="A4017" s="93" t="s">
        <v>8595</v>
      </c>
      <c r="B4017" s="93" t="s">
        <v>8596</v>
      </c>
      <c r="C4017" s="410">
        <v>1674</v>
      </c>
      <c r="D4017" s="93" t="s">
        <v>9</v>
      </c>
      <c r="E4017" s="93" t="s">
        <v>9</v>
      </c>
      <c r="F4017" s="93" t="s">
        <v>8468</v>
      </c>
      <c r="G4017" s="93" t="s">
        <v>8592</v>
      </c>
      <c r="H4017" s="93" t="s">
        <v>6</v>
      </c>
      <c r="I4017" s="93" t="s">
        <v>111</v>
      </c>
      <c r="J4017" s="93" t="s">
        <v>112</v>
      </c>
      <c r="K4017" s="93">
        <v>60</v>
      </c>
      <c r="L4017" s="93">
        <v>3</v>
      </c>
      <c r="M4017" s="93">
        <v>3.4</v>
      </c>
      <c r="N4017" s="93" t="s">
        <v>113</v>
      </c>
      <c r="O4017" s="93">
        <v>5</v>
      </c>
      <c r="P4017" s="93">
        <v>12</v>
      </c>
      <c r="Q4017" s="93">
        <v>15</v>
      </c>
      <c r="R4017" s="93" t="s">
        <v>123</v>
      </c>
      <c r="S4017" s="93" t="s">
        <v>20</v>
      </c>
      <c r="T4017" s="93" t="s">
        <v>124</v>
      </c>
      <c r="U4017" s="93" t="s">
        <v>116</v>
      </c>
      <c r="V4017" s="94">
        <v>44628.574305555558</v>
      </c>
      <c r="W4017" s="93" t="s">
        <v>7072</v>
      </c>
      <c r="X4017" s="93" t="s">
        <v>9</v>
      </c>
    </row>
    <row r="4018" spans="1:24" hidden="1" x14ac:dyDescent="0.15">
      <c r="A4018" s="93" t="s">
        <v>8597</v>
      </c>
      <c r="B4018" s="93" t="s">
        <v>8598</v>
      </c>
      <c r="C4018" s="410">
        <v>1774.44</v>
      </c>
      <c r="D4018" s="93" t="s">
        <v>9</v>
      </c>
      <c r="E4018" s="93" t="s">
        <v>9</v>
      </c>
      <c r="F4018" s="93" t="s">
        <v>8468</v>
      </c>
      <c r="G4018" s="93" t="s">
        <v>8592</v>
      </c>
      <c r="H4018" s="93" t="s">
        <v>6</v>
      </c>
      <c r="I4018" s="93" t="s">
        <v>111</v>
      </c>
      <c r="J4018" s="93" t="s">
        <v>112</v>
      </c>
      <c r="K4018" s="93">
        <v>60</v>
      </c>
      <c r="L4018" s="93">
        <v>3</v>
      </c>
      <c r="M4018" s="93">
        <v>3.4</v>
      </c>
      <c r="N4018" s="93" t="s">
        <v>113</v>
      </c>
      <c r="O4018" s="93">
        <v>5</v>
      </c>
      <c r="P4018" s="93">
        <v>12</v>
      </c>
      <c r="Q4018" s="93">
        <v>15</v>
      </c>
      <c r="R4018" s="93" t="s">
        <v>123</v>
      </c>
      <c r="S4018" s="93" t="s">
        <v>20</v>
      </c>
      <c r="T4018" s="93" t="s">
        <v>124</v>
      </c>
      <c r="U4018" s="93" t="s">
        <v>116</v>
      </c>
      <c r="V4018" s="94">
        <v>44628.488194444442</v>
      </c>
      <c r="W4018" s="93" t="s">
        <v>7072</v>
      </c>
      <c r="X4018" s="93" t="s">
        <v>9</v>
      </c>
    </row>
    <row r="4019" spans="1:24" hidden="1" x14ac:dyDescent="0.15">
      <c r="A4019" s="93" t="s">
        <v>8599</v>
      </c>
      <c r="B4019" s="93" t="s">
        <v>8600</v>
      </c>
      <c r="C4019" s="410">
        <v>0</v>
      </c>
      <c r="D4019" s="93" t="s">
        <v>24</v>
      </c>
      <c r="E4019" s="93" t="s">
        <v>24</v>
      </c>
      <c r="F4019" s="93" t="s">
        <v>7912</v>
      </c>
      <c r="G4019" s="93" t="s">
        <v>7104</v>
      </c>
      <c r="H4019" s="93" t="s">
        <v>118</v>
      </c>
      <c r="I4019" s="93" t="s">
        <v>111</v>
      </c>
      <c r="J4019" s="93" t="s">
        <v>7105</v>
      </c>
      <c r="K4019" s="93" t="s">
        <v>111</v>
      </c>
      <c r="L4019" s="93" t="s">
        <v>111</v>
      </c>
      <c r="M4019" s="93" t="s">
        <v>111</v>
      </c>
      <c r="N4019" s="93" t="s">
        <v>111</v>
      </c>
      <c r="O4019" s="93" t="s">
        <v>111</v>
      </c>
      <c r="P4019" s="93" t="s">
        <v>111</v>
      </c>
      <c r="Q4019" s="93" t="s">
        <v>111</v>
      </c>
      <c r="R4019" s="93" t="s">
        <v>111</v>
      </c>
      <c r="S4019" s="93" t="s">
        <v>2</v>
      </c>
      <c r="T4019" s="93" t="s">
        <v>111</v>
      </c>
      <c r="U4019" s="93" t="s">
        <v>116</v>
      </c>
      <c r="V4019" s="94">
        <v>44588.208333333336</v>
      </c>
      <c r="W4019" s="93" t="s">
        <v>7072</v>
      </c>
      <c r="X4019" s="93" t="s">
        <v>24</v>
      </c>
    </row>
    <row r="4020" spans="1:24" hidden="1" x14ac:dyDescent="0.15">
      <c r="A4020" s="93" t="s">
        <v>8601</v>
      </c>
      <c r="B4020" s="93" t="s">
        <v>8602</v>
      </c>
      <c r="C4020" s="410">
        <v>100</v>
      </c>
      <c r="D4020" s="93" t="s">
        <v>24</v>
      </c>
      <c r="E4020" s="93" t="s">
        <v>9</v>
      </c>
      <c r="F4020" s="93" t="s">
        <v>7912</v>
      </c>
      <c r="G4020" s="93" t="s">
        <v>7104</v>
      </c>
      <c r="H4020" s="93" t="s">
        <v>118</v>
      </c>
      <c r="I4020" s="93" t="s">
        <v>111</v>
      </c>
      <c r="J4020" s="93" t="s">
        <v>7105</v>
      </c>
      <c r="K4020" s="93" t="s">
        <v>111</v>
      </c>
      <c r="L4020" s="93" t="s">
        <v>111</v>
      </c>
      <c r="M4020" s="93" t="s">
        <v>111</v>
      </c>
      <c r="N4020" s="93" t="s">
        <v>111</v>
      </c>
      <c r="O4020" s="93" t="s">
        <v>111</v>
      </c>
      <c r="P4020" s="93" t="s">
        <v>111</v>
      </c>
      <c r="Q4020" s="93" t="s">
        <v>111</v>
      </c>
      <c r="R4020" s="93" t="s">
        <v>111</v>
      </c>
      <c r="S4020" s="93" t="s">
        <v>111</v>
      </c>
      <c r="T4020" s="93" t="s">
        <v>111</v>
      </c>
      <c r="U4020" s="93" t="s">
        <v>116</v>
      </c>
      <c r="V4020" s="94">
        <v>44588.203472222223</v>
      </c>
      <c r="W4020" s="93" t="s">
        <v>7913</v>
      </c>
      <c r="X4020" s="93" t="s">
        <v>24</v>
      </c>
    </row>
    <row r="4021" spans="1:24" hidden="1" x14ac:dyDescent="0.15">
      <c r="A4021" s="93" t="s">
        <v>8603</v>
      </c>
      <c r="B4021" s="93" t="s">
        <v>8604</v>
      </c>
      <c r="C4021" s="410">
        <v>320</v>
      </c>
      <c r="D4021" s="93" t="s">
        <v>24</v>
      </c>
      <c r="E4021" s="93" t="s">
        <v>24</v>
      </c>
      <c r="F4021" s="93" t="s">
        <v>126</v>
      </c>
      <c r="G4021" s="93" t="s">
        <v>7104</v>
      </c>
      <c r="H4021" s="93" t="s">
        <v>118</v>
      </c>
      <c r="I4021" s="93" t="s">
        <v>111</v>
      </c>
      <c r="J4021" s="93" t="s">
        <v>7105</v>
      </c>
      <c r="K4021" s="93" t="s">
        <v>111</v>
      </c>
      <c r="L4021" s="93" t="s">
        <v>111</v>
      </c>
      <c r="M4021" s="93" t="s">
        <v>111</v>
      </c>
      <c r="N4021" s="93" t="s">
        <v>111</v>
      </c>
      <c r="O4021" s="93" t="s">
        <v>111</v>
      </c>
      <c r="P4021" s="93" t="s">
        <v>111</v>
      </c>
      <c r="Q4021" s="93" t="s">
        <v>111</v>
      </c>
      <c r="R4021" s="93" t="s">
        <v>111</v>
      </c>
      <c r="S4021" s="93" t="s">
        <v>2</v>
      </c>
      <c r="T4021" s="93" t="s">
        <v>111</v>
      </c>
      <c r="U4021" s="93" t="s">
        <v>116</v>
      </c>
      <c r="V4021" s="94">
        <v>44610.198611111111</v>
      </c>
      <c r="W4021" s="93" t="s">
        <v>7072</v>
      </c>
      <c r="X4021" s="93" t="s">
        <v>24</v>
      </c>
    </row>
    <row r="4022" spans="1:24" hidden="1" x14ac:dyDescent="0.15">
      <c r="A4022" s="93" t="s">
        <v>8605</v>
      </c>
      <c r="B4022" s="93" t="s">
        <v>8606</v>
      </c>
      <c r="C4022" s="410">
        <v>390</v>
      </c>
      <c r="D4022" s="93" t="s">
        <v>24</v>
      </c>
      <c r="E4022" s="93" t="s">
        <v>24</v>
      </c>
      <c r="F4022" s="93" t="s">
        <v>126</v>
      </c>
      <c r="G4022" s="93" t="s">
        <v>7104</v>
      </c>
      <c r="H4022" s="93" t="s">
        <v>118</v>
      </c>
      <c r="I4022" s="93" t="s">
        <v>111</v>
      </c>
      <c r="J4022" s="93" t="s">
        <v>7105</v>
      </c>
      <c r="K4022" s="93" t="s">
        <v>111</v>
      </c>
      <c r="L4022" s="93" t="s">
        <v>111</v>
      </c>
      <c r="M4022" s="93" t="s">
        <v>111</v>
      </c>
      <c r="N4022" s="93" t="s">
        <v>111</v>
      </c>
      <c r="O4022" s="93" t="s">
        <v>111</v>
      </c>
      <c r="P4022" s="93" t="s">
        <v>111</v>
      </c>
      <c r="Q4022" s="93" t="s">
        <v>111</v>
      </c>
      <c r="R4022" s="93" t="s">
        <v>111</v>
      </c>
      <c r="S4022" s="93" t="s">
        <v>2</v>
      </c>
      <c r="T4022" s="93" t="s">
        <v>111</v>
      </c>
      <c r="U4022" s="93" t="s">
        <v>116</v>
      </c>
      <c r="V4022" s="94">
        <v>44610.18472222222</v>
      </c>
      <c r="W4022" s="93" t="s">
        <v>7072</v>
      </c>
      <c r="X4022" s="93" t="s">
        <v>24</v>
      </c>
    </row>
    <row r="4023" spans="1:24" hidden="1" x14ac:dyDescent="0.15">
      <c r="A4023" s="93" t="s">
        <v>8607</v>
      </c>
      <c r="B4023" s="93" t="s">
        <v>8608</v>
      </c>
      <c r="C4023" s="410">
        <v>80</v>
      </c>
      <c r="D4023" s="93" t="s">
        <v>24</v>
      </c>
      <c r="E4023" s="93" t="s">
        <v>24</v>
      </c>
      <c r="F4023" s="93" t="s">
        <v>126</v>
      </c>
      <c r="G4023" s="93" t="s">
        <v>7104</v>
      </c>
      <c r="H4023" s="93" t="s">
        <v>118</v>
      </c>
      <c r="I4023" s="93" t="s">
        <v>111</v>
      </c>
      <c r="J4023" s="93" t="s">
        <v>7105</v>
      </c>
      <c r="K4023" s="93" t="s">
        <v>111</v>
      </c>
      <c r="L4023" s="93" t="s">
        <v>111</v>
      </c>
      <c r="M4023" s="93" t="s">
        <v>111</v>
      </c>
      <c r="N4023" s="93" t="s">
        <v>111</v>
      </c>
      <c r="O4023" s="93" t="s">
        <v>111</v>
      </c>
      <c r="P4023" s="93" t="s">
        <v>111</v>
      </c>
      <c r="Q4023" s="93" t="s">
        <v>111</v>
      </c>
      <c r="R4023" s="93" t="s">
        <v>111</v>
      </c>
      <c r="S4023" s="93" t="s">
        <v>2</v>
      </c>
      <c r="T4023" s="93" t="s">
        <v>111</v>
      </c>
      <c r="U4023" s="93" t="s">
        <v>116</v>
      </c>
      <c r="V4023" s="94">
        <v>44596.362500000003</v>
      </c>
      <c r="W4023" s="93" t="s">
        <v>7072</v>
      </c>
      <c r="X4023" s="93" t="s">
        <v>24</v>
      </c>
    </row>
    <row r="4024" spans="1:24" hidden="1" x14ac:dyDescent="0.15">
      <c r="A4024" s="93" t="s">
        <v>8609</v>
      </c>
      <c r="B4024" s="93" t="s">
        <v>8610</v>
      </c>
      <c r="C4024" s="410">
        <v>140</v>
      </c>
      <c r="D4024" s="93" t="s">
        <v>24</v>
      </c>
      <c r="E4024" s="93" t="s">
        <v>24</v>
      </c>
      <c r="F4024" s="93" t="s">
        <v>126</v>
      </c>
      <c r="G4024" s="93" t="s">
        <v>7104</v>
      </c>
      <c r="H4024" s="93" t="s">
        <v>118</v>
      </c>
      <c r="I4024" s="93" t="s">
        <v>111</v>
      </c>
      <c r="J4024" s="93" t="s">
        <v>7105</v>
      </c>
      <c r="K4024" s="93" t="s">
        <v>111</v>
      </c>
      <c r="L4024" s="93" t="s">
        <v>111</v>
      </c>
      <c r="M4024" s="93" t="s">
        <v>111</v>
      </c>
      <c r="N4024" s="93" t="s">
        <v>111</v>
      </c>
      <c r="O4024" s="93" t="s">
        <v>111</v>
      </c>
      <c r="P4024" s="93" t="s">
        <v>111</v>
      </c>
      <c r="Q4024" s="93" t="s">
        <v>111</v>
      </c>
      <c r="R4024" s="93" t="s">
        <v>111</v>
      </c>
      <c r="S4024" s="93" t="s">
        <v>2</v>
      </c>
      <c r="T4024" s="93" t="s">
        <v>111</v>
      </c>
      <c r="U4024" s="93" t="s">
        <v>116</v>
      </c>
      <c r="V4024" s="94">
        <v>44596.640972222223</v>
      </c>
      <c r="W4024" s="93" t="s">
        <v>7072</v>
      </c>
      <c r="X4024" s="93" t="s">
        <v>24</v>
      </c>
    </row>
    <row r="4025" spans="1:24" hidden="1" x14ac:dyDescent="0.15">
      <c r="A4025" s="93" t="s">
        <v>8611</v>
      </c>
      <c r="B4025" s="93" t="s">
        <v>8612</v>
      </c>
      <c r="C4025" s="410">
        <v>230</v>
      </c>
      <c r="D4025" s="93" t="s">
        <v>24</v>
      </c>
      <c r="E4025" s="93" t="s">
        <v>24</v>
      </c>
      <c r="F4025" s="93" t="s">
        <v>126</v>
      </c>
      <c r="G4025" s="93" t="s">
        <v>7104</v>
      </c>
      <c r="H4025" s="93" t="s">
        <v>118</v>
      </c>
      <c r="I4025" s="93" t="s">
        <v>111</v>
      </c>
      <c r="J4025" s="93" t="s">
        <v>7105</v>
      </c>
      <c r="K4025" s="93" t="s">
        <v>111</v>
      </c>
      <c r="L4025" s="93" t="s">
        <v>111</v>
      </c>
      <c r="M4025" s="93" t="s">
        <v>111</v>
      </c>
      <c r="N4025" s="93" t="s">
        <v>111</v>
      </c>
      <c r="O4025" s="93" t="s">
        <v>111</v>
      </c>
      <c r="P4025" s="93" t="s">
        <v>111</v>
      </c>
      <c r="Q4025" s="93" t="s">
        <v>111</v>
      </c>
      <c r="R4025" s="93" t="s">
        <v>111</v>
      </c>
      <c r="S4025" s="93" t="s">
        <v>2</v>
      </c>
      <c r="T4025" s="93" t="s">
        <v>111</v>
      </c>
      <c r="U4025" s="93" t="s">
        <v>116</v>
      </c>
      <c r="V4025" s="94">
        <v>44596.362500000003</v>
      </c>
      <c r="W4025" s="93" t="s">
        <v>7072</v>
      </c>
      <c r="X4025" s="93" t="s">
        <v>24</v>
      </c>
    </row>
    <row r="4026" spans="1:24" hidden="1" x14ac:dyDescent="0.15">
      <c r="A4026" s="93" t="s">
        <v>8613</v>
      </c>
      <c r="B4026" s="93" t="s">
        <v>8614</v>
      </c>
      <c r="C4026" s="410">
        <v>340</v>
      </c>
      <c r="D4026" s="93" t="s">
        <v>24</v>
      </c>
      <c r="E4026" s="93" t="s">
        <v>24</v>
      </c>
      <c r="F4026" s="93" t="s">
        <v>126</v>
      </c>
      <c r="G4026" s="93" t="s">
        <v>7104</v>
      </c>
      <c r="H4026" s="93" t="s">
        <v>118</v>
      </c>
      <c r="I4026" s="93" t="s">
        <v>111</v>
      </c>
      <c r="J4026" s="93" t="s">
        <v>7105</v>
      </c>
      <c r="K4026" s="93" t="s">
        <v>111</v>
      </c>
      <c r="L4026" s="93" t="s">
        <v>111</v>
      </c>
      <c r="M4026" s="93" t="s">
        <v>111</v>
      </c>
      <c r="N4026" s="93" t="s">
        <v>111</v>
      </c>
      <c r="O4026" s="93" t="s">
        <v>111</v>
      </c>
      <c r="P4026" s="93" t="s">
        <v>111</v>
      </c>
      <c r="Q4026" s="93" t="s">
        <v>111</v>
      </c>
      <c r="R4026" s="93" t="s">
        <v>111</v>
      </c>
      <c r="S4026" s="93" t="s">
        <v>2</v>
      </c>
      <c r="T4026" s="93" t="s">
        <v>111</v>
      </c>
      <c r="U4026" s="93" t="s">
        <v>116</v>
      </c>
      <c r="V4026" s="94">
        <v>44610.148611111108</v>
      </c>
      <c r="W4026" s="93" t="s">
        <v>7072</v>
      </c>
      <c r="X4026" s="93" t="s">
        <v>24</v>
      </c>
    </row>
    <row r="4027" spans="1:24" hidden="1" x14ac:dyDescent="0.15">
      <c r="A4027" s="93" t="s">
        <v>8615</v>
      </c>
      <c r="B4027" s="93" t="s">
        <v>8616</v>
      </c>
      <c r="C4027" s="410">
        <v>680</v>
      </c>
      <c r="D4027" s="93" t="s">
        <v>24</v>
      </c>
      <c r="E4027" s="93" t="s">
        <v>24</v>
      </c>
      <c r="F4027" s="93" t="s">
        <v>126</v>
      </c>
      <c r="G4027" s="93" t="s">
        <v>7104</v>
      </c>
      <c r="H4027" s="93" t="s">
        <v>118</v>
      </c>
      <c r="I4027" s="93" t="s">
        <v>111</v>
      </c>
      <c r="J4027" s="93" t="s">
        <v>7105</v>
      </c>
      <c r="K4027" s="93" t="s">
        <v>111</v>
      </c>
      <c r="L4027" s="93" t="s">
        <v>111</v>
      </c>
      <c r="M4027" s="93" t="s">
        <v>111</v>
      </c>
      <c r="N4027" s="93" t="s">
        <v>111</v>
      </c>
      <c r="O4027" s="93" t="s">
        <v>111</v>
      </c>
      <c r="P4027" s="93" t="s">
        <v>111</v>
      </c>
      <c r="Q4027" s="93" t="s">
        <v>111</v>
      </c>
      <c r="R4027" s="93" t="s">
        <v>111</v>
      </c>
      <c r="S4027" s="93" t="s">
        <v>2</v>
      </c>
      <c r="T4027" s="93" t="s">
        <v>111</v>
      </c>
      <c r="U4027" s="93" t="s">
        <v>116</v>
      </c>
      <c r="V4027" s="94">
        <v>44610.158333333333</v>
      </c>
      <c r="W4027" s="93" t="s">
        <v>7072</v>
      </c>
      <c r="X4027" s="93" t="s">
        <v>24</v>
      </c>
    </row>
    <row r="4028" spans="1:24" hidden="1" x14ac:dyDescent="0.15">
      <c r="A4028" s="93" t="s">
        <v>8617</v>
      </c>
      <c r="B4028" s="93" t="s">
        <v>8618</v>
      </c>
      <c r="C4028" s="410">
        <v>1020</v>
      </c>
      <c r="D4028" s="93" t="s">
        <v>24</v>
      </c>
      <c r="E4028" s="93" t="s">
        <v>24</v>
      </c>
      <c r="F4028" s="93" t="s">
        <v>126</v>
      </c>
      <c r="G4028" s="93" t="s">
        <v>7104</v>
      </c>
      <c r="H4028" s="93" t="s">
        <v>118</v>
      </c>
      <c r="I4028" s="93" t="s">
        <v>111</v>
      </c>
      <c r="J4028" s="93" t="s">
        <v>7105</v>
      </c>
      <c r="K4028" s="93" t="s">
        <v>111</v>
      </c>
      <c r="L4028" s="93" t="s">
        <v>111</v>
      </c>
      <c r="M4028" s="93" t="s">
        <v>111</v>
      </c>
      <c r="N4028" s="93" t="s">
        <v>111</v>
      </c>
      <c r="O4028" s="93" t="s">
        <v>111</v>
      </c>
      <c r="P4028" s="93" t="s">
        <v>111</v>
      </c>
      <c r="Q4028" s="93" t="s">
        <v>111</v>
      </c>
      <c r="R4028" s="93" t="s">
        <v>111</v>
      </c>
      <c r="S4028" s="93" t="s">
        <v>2</v>
      </c>
      <c r="T4028" s="93" t="s">
        <v>111</v>
      </c>
      <c r="U4028" s="93" t="s">
        <v>116</v>
      </c>
      <c r="V4028" s="94">
        <v>44610.136805555558</v>
      </c>
      <c r="W4028" s="93" t="s">
        <v>7072</v>
      </c>
      <c r="X4028" s="93" t="s">
        <v>24</v>
      </c>
    </row>
    <row r="4029" spans="1:24" hidden="1" x14ac:dyDescent="0.15">
      <c r="A4029" s="93" t="s">
        <v>8619</v>
      </c>
      <c r="B4029" s="93" t="s">
        <v>8620</v>
      </c>
      <c r="C4029" s="410">
        <v>410</v>
      </c>
      <c r="D4029" s="93" t="s">
        <v>24</v>
      </c>
      <c r="E4029" s="93" t="s">
        <v>24</v>
      </c>
      <c r="F4029" s="93" t="s">
        <v>126</v>
      </c>
      <c r="G4029" s="93" t="s">
        <v>7104</v>
      </c>
      <c r="H4029" s="93" t="s">
        <v>118</v>
      </c>
      <c r="I4029" s="93" t="s">
        <v>111</v>
      </c>
      <c r="J4029" s="93" t="s">
        <v>7105</v>
      </c>
      <c r="K4029" s="93" t="s">
        <v>111</v>
      </c>
      <c r="L4029" s="93" t="s">
        <v>111</v>
      </c>
      <c r="M4029" s="93" t="s">
        <v>111</v>
      </c>
      <c r="N4029" s="93" t="s">
        <v>111</v>
      </c>
      <c r="O4029" s="93" t="s">
        <v>111</v>
      </c>
      <c r="P4029" s="93" t="s">
        <v>111</v>
      </c>
      <c r="Q4029" s="93" t="s">
        <v>111</v>
      </c>
      <c r="R4029" s="93" t="s">
        <v>111</v>
      </c>
      <c r="S4029" s="93" t="s">
        <v>2</v>
      </c>
      <c r="T4029" s="93" t="s">
        <v>111</v>
      </c>
      <c r="U4029" s="93" t="s">
        <v>116</v>
      </c>
      <c r="V4029" s="94">
        <v>44610.136805555558</v>
      </c>
      <c r="W4029" s="93" t="s">
        <v>7072</v>
      </c>
      <c r="X4029" s="93" t="s">
        <v>24</v>
      </c>
    </row>
    <row r="4030" spans="1:24" hidden="1" x14ac:dyDescent="0.15">
      <c r="A4030" s="93" t="s">
        <v>8621</v>
      </c>
      <c r="B4030" s="93" t="s">
        <v>8622</v>
      </c>
      <c r="C4030" s="410">
        <v>820</v>
      </c>
      <c r="D4030" s="93" t="s">
        <v>24</v>
      </c>
      <c r="E4030" s="93" t="s">
        <v>24</v>
      </c>
      <c r="F4030" s="93" t="s">
        <v>126</v>
      </c>
      <c r="G4030" s="93" t="s">
        <v>7104</v>
      </c>
      <c r="H4030" s="93" t="s">
        <v>118</v>
      </c>
      <c r="I4030" s="93" t="s">
        <v>111</v>
      </c>
      <c r="J4030" s="93" t="s">
        <v>7105</v>
      </c>
      <c r="K4030" s="93" t="s">
        <v>111</v>
      </c>
      <c r="L4030" s="93" t="s">
        <v>111</v>
      </c>
      <c r="M4030" s="93" t="s">
        <v>111</v>
      </c>
      <c r="N4030" s="93" t="s">
        <v>111</v>
      </c>
      <c r="O4030" s="93" t="s">
        <v>111</v>
      </c>
      <c r="P4030" s="93" t="s">
        <v>111</v>
      </c>
      <c r="Q4030" s="93" t="s">
        <v>111</v>
      </c>
      <c r="R4030" s="93" t="s">
        <v>111</v>
      </c>
      <c r="S4030" s="93" t="s">
        <v>2</v>
      </c>
      <c r="T4030" s="93" t="s">
        <v>111</v>
      </c>
      <c r="U4030" s="93" t="s">
        <v>116</v>
      </c>
      <c r="V4030" s="94">
        <v>44610.204861111109</v>
      </c>
      <c r="W4030" s="93" t="s">
        <v>7072</v>
      </c>
      <c r="X4030" s="93" t="s">
        <v>24</v>
      </c>
    </row>
    <row r="4031" spans="1:24" hidden="1" x14ac:dyDescent="0.15">
      <c r="A4031" s="93" t="s">
        <v>8623</v>
      </c>
      <c r="B4031" s="93" t="s">
        <v>8624</v>
      </c>
      <c r="C4031" s="410">
        <v>1230</v>
      </c>
      <c r="D4031" s="93" t="s">
        <v>24</v>
      </c>
      <c r="E4031" s="93" t="s">
        <v>24</v>
      </c>
      <c r="F4031" s="93" t="s">
        <v>126</v>
      </c>
      <c r="G4031" s="93" t="s">
        <v>7104</v>
      </c>
      <c r="H4031" s="93" t="s">
        <v>118</v>
      </c>
      <c r="I4031" s="93" t="s">
        <v>111</v>
      </c>
      <c r="J4031" s="93" t="s">
        <v>7105</v>
      </c>
      <c r="K4031" s="93" t="s">
        <v>111</v>
      </c>
      <c r="L4031" s="93" t="s">
        <v>111</v>
      </c>
      <c r="M4031" s="93" t="s">
        <v>111</v>
      </c>
      <c r="N4031" s="93" t="s">
        <v>111</v>
      </c>
      <c r="O4031" s="93" t="s">
        <v>111</v>
      </c>
      <c r="P4031" s="93" t="s">
        <v>111</v>
      </c>
      <c r="Q4031" s="93" t="s">
        <v>111</v>
      </c>
      <c r="R4031" s="93" t="s">
        <v>111</v>
      </c>
      <c r="S4031" s="93" t="s">
        <v>2</v>
      </c>
      <c r="T4031" s="93" t="s">
        <v>111</v>
      </c>
      <c r="U4031" s="93" t="s">
        <v>116</v>
      </c>
      <c r="V4031" s="94">
        <v>44610.148611111108</v>
      </c>
      <c r="W4031" s="93" t="s">
        <v>7072</v>
      </c>
      <c r="X4031" s="93" t="s">
        <v>24</v>
      </c>
    </row>
    <row r="4032" spans="1:24" hidden="1" x14ac:dyDescent="0.15">
      <c r="A4032" s="93" t="s">
        <v>8625</v>
      </c>
      <c r="B4032" s="93" t="s">
        <v>8626</v>
      </c>
      <c r="C4032" s="410">
        <v>80</v>
      </c>
      <c r="D4032" s="93" t="s">
        <v>24</v>
      </c>
      <c r="E4032" s="93" t="s">
        <v>24</v>
      </c>
      <c r="F4032" s="93" t="s">
        <v>126</v>
      </c>
      <c r="G4032" s="93" t="s">
        <v>7104</v>
      </c>
      <c r="H4032" s="93" t="s">
        <v>118</v>
      </c>
      <c r="I4032" s="93" t="s">
        <v>111</v>
      </c>
      <c r="J4032" s="93" t="s">
        <v>7105</v>
      </c>
      <c r="K4032" s="93" t="s">
        <v>111</v>
      </c>
      <c r="L4032" s="93" t="s">
        <v>111</v>
      </c>
      <c r="M4032" s="93" t="s">
        <v>111</v>
      </c>
      <c r="N4032" s="93" t="s">
        <v>111</v>
      </c>
      <c r="O4032" s="93" t="s">
        <v>111</v>
      </c>
      <c r="P4032" s="93" t="s">
        <v>111</v>
      </c>
      <c r="Q4032" s="93" t="s">
        <v>111</v>
      </c>
      <c r="R4032" s="93" t="s">
        <v>111</v>
      </c>
      <c r="S4032" s="93" t="s">
        <v>2</v>
      </c>
      <c r="T4032" s="93" t="s">
        <v>111</v>
      </c>
      <c r="U4032" s="93" t="s">
        <v>116</v>
      </c>
      <c r="V4032" s="94">
        <v>44610.136805555558</v>
      </c>
      <c r="W4032" s="93" t="s">
        <v>7072</v>
      </c>
      <c r="X4032" s="93" t="s">
        <v>24</v>
      </c>
    </row>
    <row r="4033" spans="1:24" hidden="1" x14ac:dyDescent="0.15">
      <c r="A4033" s="93" t="s">
        <v>8627</v>
      </c>
      <c r="B4033" s="93" t="s">
        <v>8628</v>
      </c>
      <c r="C4033" s="410">
        <v>160</v>
      </c>
      <c r="D4033" s="93" t="s">
        <v>24</v>
      </c>
      <c r="E4033" s="93" t="s">
        <v>24</v>
      </c>
      <c r="F4033" s="93" t="s">
        <v>126</v>
      </c>
      <c r="G4033" s="93" t="s">
        <v>7104</v>
      </c>
      <c r="H4033" s="93" t="s">
        <v>118</v>
      </c>
      <c r="I4033" s="93" t="s">
        <v>111</v>
      </c>
      <c r="J4033" s="93" t="s">
        <v>7105</v>
      </c>
      <c r="K4033" s="93" t="s">
        <v>111</v>
      </c>
      <c r="L4033" s="93" t="s">
        <v>111</v>
      </c>
      <c r="M4033" s="93" t="s">
        <v>111</v>
      </c>
      <c r="N4033" s="93" t="s">
        <v>111</v>
      </c>
      <c r="O4033" s="93" t="s">
        <v>111</v>
      </c>
      <c r="P4033" s="93" t="s">
        <v>111</v>
      </c>
      <c r="Q4033" s="93" t="s">
        <v>111</v>
      </c>
      <c r="R4033" s="93" t="s">
        <v>111</v>
      </c>
      <c r="S4033" s="93" t="s">
        <v>2</v>
      </c>
      <c r="T4033" s="93" t="s">
        <v>111</v>
      </c>
      <c r="U4033" s="93" t="s">
        <v>116</v>
      </c>
      <c r="V4033" s="94">
        <v>44610.148611111108</v>
      </c>
      <c r="W4033" s="93" t="s">
        <v>7072</v>
      </c>
      <c r="X4033" s="93" t="s">
        <v>24</v>
      </c>
    </row>
    <row r="4034" spans="1:24" hidden="1" x14ac:dyDescent="0.15">
      <c r="A4034" s="93" t="s">
        <v>8629</v>
      </c>
      <c r="B4034" s="93" t="s">
        <v>8630</v>
      </c>
      <c r="C4034" s="410">
        <v>240</v>
      </c>
      <c r="D4034" s="93" t="s">
        <v>24</v>
      </c>
      <c r="E4034" s="93" t="s">
        <v>24</v>
      </c>
      <c r="F4034" s="93" t="s">
        <v>126</v>
      </c>
      <c r="G4034" s="93" t="s">
        <v>7104</v>
      </c>
      <c r="H4034" s="93" t="s">
        <v>118</v>
      </c>
      <c r="I4034" s="93" t="s">
        <v>111</v>
      </c>
      <c r="J4034" s="93" t="s">
        <v>7105</v>
      </c>
      <c r="K4034" s="93" t="s">
        <v>111</v>
      </c>
      <c r="L4034" s="93" t="s">
        <v>111</v>
      </c>
      <c r="M4034" s="93" t="s">
        <v>111</v>
      </c>
      <c r="N4034" s="93" t="s">
        <v>111</v>
      </c>
      <c r="O4034" s="93" t="s">
        <v>111</v>
      </c>
      <c r="P4034" s="93" t="s">
        <v>111</v>
      </c>
      <c r="Q4034" s="93" t="s">
        <v>111</v>
      </c>
      <c r="R4034" s="93" t="s">
        <v>111</v>
      </c>
      <c r="S4034" s="93" t="s">
        <v>2</v>
      </c>
      <c r="T4034" s="93" t="s">
        <v>111</v>
      </c>
      <c r="U4034" s="93" t="s">
        <v>116</v>
      </c>
      <c r="V4034" s="94">
        <v>44610.182638888888</v>
      </c>
      <c r="W4034" s="93" t="s">
        <v>7072</v>
      </c>
      <c r="X4034" s="93" t="s">
        <v>24</v>
      </c>
    </row>
    <row r="4035" spans="1:24" hidden="1" x14ac:dyDescent="0.15">
      <c r="A4035" s="93" t="s">
        <v>8631</v>
      </c>
      <c r="B4035" s="93" t="s">
        <v>8632</v>
      </c>
      <c r="C4035" s="410">
        <v>640</v>
      </c>
      <c r="D4035" s="93" t="s">
        <v>24</v>
      </c>
      <c r="E4035" s="93" t="s">
        <v>24</v>
      </c>
      <c r="F4035" s="93" t="s">
        <v>126</v>
      </c>
      <c r="G4035" s="93" t="s">
        <v>7104</v>
      </c>
      <c r="H4035" s="93" t="s">
        <v>118</v>
      </c>
      <c r="I4035" s="93" t="s">
        <v>111</v>
      </c>
      <c r="J4035" s="93" t="s">
        <v>7105</v>
      </c>
      <c r="K4035" s="93" t="s">
        <v>111</v>
      </c>
      <c r="L4035" s="93" t="s">
        <v>111</v>
      </c>
      <c r="M4035" s="93" t="s">
        <v>111</v>
      </c>
      <c r="N4035" s="93" t="s">
        <v>111</v>
      </c>
      <c r="O4035" s="93" t="s">
        <v>111</v>
      </c>
      <c r="P4035" s="93" t="s">
        <v>111</v>
      </c>
      <c r="Q4035" s="93" t="s">
        <v>111</v>
      </c>
      <c r="R4035" s="93" t="s">
        <v>111</v>
      </c>
      <c r="S4035" s="93" t="s">
        <v>2</v>
      </c>
      <c r="T4035" s="93" t="s">
        <v>111</v>
      </c>
      <c r="U4035" s="93" t="s">
        <v>116</v>
      </c>
      <c r="V4035" s="94">
        <v>44610.143750000003</v>
      </c>
      <c r="W4035" s="93" t="s">
        <v>7072</v>
      </c>
      <c r="X4035" s="93" t="s">
        <v>24</v>
      </c>
    </row>
    <row r="4036" spans="1:24" hidden="1" x14ac:dyDescent="0.15">
      <c r="A4036" s="93" t="s">
        <v>8633</v>
      </c>
      <c r="B4036" s="93" t="s">
        <v>8634</v>
      </c>
      <c r="C4036" s="410">
        <v>17.78</v>
      </c>
      <c r="D4036" s="93" t="s">
        <v>24</v>
      </c>
      <c r="E4036" s="93" t="s">
        <v>24</v>
      </c>
      <c r="F4036" s="93" t="s">
        <v>126</v>
      </c>
      <c r="G4036" s="93" t="s">
        <v>7104</v>
      </c>
      <c r="H4036" s="93" t="s">
        <v>118</v>
      </c>
      <c r="I4036" s="93" t="s">
        <v>111</v>
      </c>
      <c r="J4036" s="93" t="s">
        <v>7105</v>
      </c>
      <c r="K4036" s="93" t="s">
        <v>111</v>
      </c>
      <c r="L4036" s="93" t="s">
        <v>111</v>
      </c>
      <c r="M4036" s="93" t="s">
        <v>111</v>
      </c>
      <c r="N4036" s="93" t="s">
        <v>111</v>
      </c>
      <c r="O4036" s="93" t="s">
        <v>111</v>
      </c>
      <c r="P4036" s="93" t="s">
        <v>111</v>
      </c>
      <c r="Q4036" s="93" t="s">
        <v>111</v>
      </c>
      <c r="R4036" s="93" t="s">
        <v>111</v>
      </c>
      <c r="S4036" s="93" t="s">
        <v>2</v>
      </c>
      <c r="T4036" s="93" t="s">
        <v>111</v>
      </c>
      <c r="U4036" s="93" t="s">
        <v>116</v>
      </c>
      <c r="V4036" s="94">
        <v>44610.18472222222</v>
      </c>
      <c r="W4036" s="93" t="s">
        <v>7072</v>
      </c>
      <c r="X4036" s="93" t="s">
        <v>24</v>
      </c>
    </row>
    <row r="4037" spans="1:24" hidden="1" x14ac:dyDescent="0.15">
      <c r="A4037" s="93" t="s">
        <v>8635</v>
      </c>
      <c r="B4037" s="93" t="s">
        <v>8636</v>
      </c>
      <c r="C4037" s="410">
        <v>780</v>
      </c>
      <c r="D4037" s="93" t="s">
        <v>24</v>
      </c>
      <c r="E4037" s="93" t="s">
        <v>24</v>
      </c>
      <c r="F4037" s="93" t="s">
        <v>126</v>
      </c>
      <c r="G4037" s="93" t="s">
        <v>7104</v>
      </c>
      <c r="H4037" s="93" t="s">
        <v>118</v>
      </c>
      <c r="I4037" s="93" t="s">
        <v>111</v>
      </c>
      <c r="J4037" s="93" t="s">
        <v>7105</v>
      </c>
      <c r="K4037" s="93" t="s">
        <v>111</v>
      </c>
      <c r="L4037" s="93" t="s">
        <v>111</v>
      </c>
      <c r="M4037" s="93" t="s">
        <v>111</v>
      </c>
      <c r="N4037" s="93" t="s">
        <v>111</v>
      </c>
      <c r="O4037" s="93" t="s">
        <v>111</v>
      </c>
      <c r="P4037" s="93" t="s">
        <v>111</v>
      </c>
      <c r="Q4037" s="93" t="s">
        <v>111</v>
      </c>
      <c r="R4037" s="93" t="s">
        <v>111</v>
      </c>
      <c r="S4037" s="93" t="s">
        <v>2</v>
      </c>
      <c r="T4037" s="93" t="s">
        <v>111</v>
      </c>
      <c r="U4037" s="93" t="s">
        <v>116</v>
      </c>
      <c r="V4037" s="94">
        <v>44610.150694444441</v>
      </c>
      <c r="W4037" s="93" t="s">
        <v>7072</v>
      </c>
      <c r="X4037" s="93" t="s">
        <v>24</v>
      </c>
    </row>
    <row r="4038" spans="1:24" hidden="1" x14ac:dyDescent="0.15">
      <c r="A4038" s="93" t="s">
        <v>8637</v>
      </c>
      <c r="B4038" s="93" t="s">
        <v>8638</v>
      </c>
      <c r="C4038" s="410">
        <v>21.67</v>
      </c>
      <c r="D4038" s="93" t="s">
        <v>24</v>
      </c>
      <c r="E4038" s="93" t="s">
        <v>24</v>
      </c>
      <c r="F4038" s="93" t="s">
        <v>126</v>
      </c>
      <c r="G4038" s="93" t="s">
        <v>7104</v>
      </c>
      <c r="H4038" s="93" t="s">
        <v>118</v>
      </c>
      <c r="I4038" s="93" t="s">
        <v>111</v>
      </c>
      <c r="J4038" s="93" t="s">
        <v>7105</v>
      </c>
      <c r="K4038" s="93" t="s">
        <v>111</v>
      </c>
      <c r="L4038" s="93" t="s">
        <v>111</v>
      </c>
      <c r="M4038" s="93" t="s">
        <v>111</v>
      </c>
      <c r="N4038" s="93" t="s">
        <v>111</v>
      </c>
      <c r="O4038" s="93" t="s">
        <v>111</v>
      </c>
      <c r="P4038" s="93" t="s">
        <v>111</v>
      </c>
      <c r="Q4038" s="93" t="s">
        <v>111</v>
      </c>
      <c r="R4038" s="93" t="s">
        <v>111</v>
      </c>
      <c r="S4038" s="93" t="s">
        <v>2</v>
      </c>
      <c r="T4038" s="93" t="s">
        <v>111</v>
      </c>
      <c r="U4038" s="93" t="s">
        <v>116</v>
      </c>
      <c r="V4038" s="94">
        <v>44610.19027777778</v>
      </c>
      <c r="W4038" s="93" t="s">
        <v>7072</v>
      </c>
      <c r="X4038" s="93" t="s">
        <v>24</v>
      </c>
    </row>
    <row r="4039" spans="1:24" hidden="1" x14ac:dyDescent="0.15">
      <c r="A4039" s="93" t="s">
        <v>8639</v>
      </c>
      <c r="B4039" s="93" t="s">
        <v>8640</v>
      </c>
      <c r="C4039" s="410">
        <v>160</v>
      </c>
      <c r="D4039" s="93" t="s">
        <v>24</v>
      </c>
      <c r="E4039" s="93" t="s">
        <v>24</v>
      </c>
      <c r="F4039" s="93" t="s">
        <v>126</v>
      </c>
      <c r="G4039" s="93" t="s">
        <v>7104</v>
      </c>
      <c r="H4039" s="93" t="s">
        <v>118</v>
      </c>
      <c r="I4039" s="93" t="s">
        <v>111</v>
      </c>
      <c r="J4039" s="93" t="s">
        <v>7105</v>
      </c>
      <c r="K4039" s="93" t="s">
        <v>111</v>
      </c>
      <c r="L4039" s="93" t="s">
        <v>111</v>
      </c>
      <c r="M4039" s="93" t="s">
        <v>111</v>
      </c>
      <c r="N4039" s="93" t="s">
        <v>111</v>
      </c>
      <c r="O4039" s="93" t="s">
        <v>111</v>
      </c>
      <c r="P4039" s="93" t="s">
        <v>111</v>
      </c>
      <c r="Q4039" s="93" t="s">
        <v>111</v>
      </c>
      <c r="R4039" s="93" t="s">
        <v>111</v>
      </c>
      <c r="S4039" s="93" t="s">
        <v>2</v>
      </c>
      <c r="T4039" s="93" t="s">
        <v>111</v>
      </c>
      <c r="U4039" s="93" t="s">
        <v>116</v>
      </c>
      <c r="V4039" s="94">
        <v>44610.137499999997</v>
      </c>
      <c r="W4039" s="93" t="s">
        <v>7072</v>
      </c>
      <c r="X4039" s="93" t="s">
        <v>24</v>
      </c>
    </row>
    <row r="4040" spans="1:24" hidden="1" x14ac:dyDescent="0.15">
      <c r="A4040" s="93" t="s">
        <v>8641</v>
      </c>
      <c r="B4040" s="93" t="s">
        <v>8642</v>
      </c>
      <c r="C4040" s="410">
        <v>280</v>
      </c>
      <c r="D4040" s="93" t="s">
        <v>24</v>
      </c>
      <c r="E4040" s="93" t="s">
        <v>24</v>
      </c>
      <c r="F4040" s="93" t="s">
        <v>126</v>
      </c>
      <c r="G4040" s="93" t="s">
        <v>7104</v>
      </c>
      <c r="H4040" s="93" t="s">
        <v>118</v>
      </c>
      <c r="I4040" s="93" t="s">
        <v>111</v>
      </c>
      <c r="J4040" s="93" t="s">
        <v>7105</v>
      </c>
      <c r="K4040" s="93" t="s">
        <v>111</v>
      </c>
      <c r="L4040" s="93" t="s">
        <v>111</v>
      </c>
      <c r="M4040" s="93" t="s">
        <v>111</v>
      </c>
      <c r="N4040" s="93" t="s">
        <v>111</v>
      </c>
      <c r="O4040" s="93" t="s">
        <v>111</v>
      </c>
      <c r="P4040" s="93" t="s">
        <v>111</v>
      </c>
      <c r="Q4040" s="93" t="s">
        <v>111</v>
      </c>
      <c r="R4040" s="93" t="s">
        <v>111</v>
      </c>
      <c r="S4040" s="93" t="s">
        <v>2</v>
      </c>
      <c r="T4040" s="93" t="s">
        <v>111</v>
      </c>
      <c r="U4040" s="93" t="s">
        <v>116</v>
      </c>
      <c r="V4040" s="94">
        <v>44610.159722222219</v>
      </c>
      <c r="W4040" s="93" t="s">
        <v>7072</v>
      </c>
      <c r="X4040" s="93" t="s">
        <v>24</v>
      </c>
    </row>
    <row r="4041" spans="1:24" hidden="1" x14ac:dyDescent="0.15">
      <c r="A4041" s="93" t="s">
        <v>8643</v>
      </c>
      <c r="B4041" s="93" t="s">
        <v>8644</v>
      </c>
      <c r="C4041" s="410">
        <v>460</v>
      </c>
      <c r="D4041" s="93" t="s">
        <v>24</v>
      </c>
      <c r="E4041" s="93" t="s">
        <v>24</v>
      </c>
      <c r="F4041" s="93" t="s">
        <v>126</v>
      </c>
      <c r="G4041" s="93" t="s">
        <v>7104</v>
      </c>
      <c r="H4041" s="93" t="s">
        <v>118</v>
      </c>
      <c r="I4041" s="93" t="s">
        <v>111</v>
      </c>
      <c r="J4041" s="93" t="s">
        <v>7105</v>
      </c>
      <c r="K4041" s="93" t="s">
        <v>111</v>
      </c>
      <c r="L4041" s="93" t="s">
        <v>111</v>
      </c>
      <c r="M4041" s="93" t="s">
        <v>111</v>
      </c>
      <c r="N4041" s="93" t="s">
        <v>111</v>
      </c>
      <c r="O4041" s="93" t="s">
        <v>111</v>
      </c>
      <c r="P4041" s="93" t="s">
        <v>111</v>
      </c>
      <c r="Q4041" s="93" t="s">
        <v>111</v>
      </c>
      <c r="R4041" s="93" t="s">
        <v>111</v>
      </c>
      <c r="S4041" s="93" t="s">
        <v>2</v>
      </c>
      <c r="T4041" s="93" t="s">
        <v>111</v>
      </c>
      <c r="U4041" s="93" t="s">
        <v>116</v>
      </c>
      <c r="V4041" s="94">
        <v>44610.150694444441</v>
      </c>
      <c r="W4041" s="93" t="s">
        <v>7072</v>
      </c>
      <c r="X4041" s="93" t="s">
        <v>24</v>
      </c>
    </row>
    <row r="4042" spans="1:24" hidden="1" x14ac:dyDescent="0.15">
      <c r="A4042" s="93" t="s">
        <v>8645</v>
      </c>
      <c r="B4042" s="93" t="s">
        <v>8646</v>
      </c>
      <c r="C4042" s="410">
        <v>12.78</v>
      </c>
      <c r="D4042" s="93" t="s">
        <v>24</v>
      </c>
      <c r="E4042" s="93" t="s">
        <v>24</v>
      </c>
      <c r="F4042" s="93" t="s">
        <v>126</v>
      </c>
      <c r="G4042" s="93" t="s">
        <v>7104</v>
      </c>
      <c r="H4042" s="93" t="s">
        <v>118</v>
      </c>
      <c r="I4042" s="93" t="s">
        <v>111</v>
      </c>
      <c r="J4042" s="93" t="s">
        <v>7105</v>
      </c>
      <c r="K4042" s="93" t="s">
        <v>111</v>
      </c>
      <c r="L4042" s="93" t="s">
        <v>111</v>
      </c>
      <c r="M4042" s="93" t="s">
        <v>111</v>
      </c>
      <c r="N4042" s="93" t="s">
        <v>111</v>
      </c>
      <c r="O4042" s="93" t="s">
        <v>111</v>
      </c>
      <c r="P4042" s="93" t="s">
        <v>111</v>
      </c>
      <c r="Q4042" s="93" t="s">
        <v>111</v>
      </c>
      <c r="R4042" s="93" t="s">
        <v>111</v>
      </c>
      <c r="S4042" s="93" t="s">
        <v>2</v>
      </c>
      <c r="T4042" s="93" t="s">
        <v>111</v>
      </c>
      <c r="U4042" s="93" t="s">
        <v>116</v>
      </c>
      <c r="V4042" s="94">
        <v>44610.197916666664</v>
      </c>
      <c r="W4042" s="93" t="s">
        <v>7072</v>
      </c>
      <c r="X4042" s="93" t="s">
        <v>24</v>
      </c>
    </row>
    <row r="4043" spans="1:24" hidden="1" x14ac:dyDescent="0.15">
      <c r="A4043" s="93" t="s">
        <v>8647</v>
      </c>
      <c r="B4043" s="93" t="s">
        <v>8648</v>
      </c>
      <c r="C4043" s="410">
        <v>140</v>
      </c>
      <c r="D4043" s="93" t="s">
        <v>24</v>
      </c>
      <c r="E4043" s="93" t="s">
        <v>24</v>
      </c>
      <c r="F4043" s="93" t="s">
        <v>126</v>
      </c>
      <c r="G4043" s="93" t="s">
        <v>7104</v>
      </c>
      <c r="H4043" s="93" t="s">
        <v>118</v>
      </c>
      <c r="I4043" s="93" t="s">
        <v>111</v>
      </c>
      <c r="J4043" s="93" t="s">
        <v>7105</v>
      </c>
      <c r="K4043" s="93" t="s">
        <v>111</v>
      </c>
      <c r="L4043" s="93" t="s">
        <v>111</v>
      </c>
      <c r="M4043" s="93" t="s">
        <v>111</v>
      </c>
      <c r="N4043" s="93" t="s">
        <v>111</v>
      </c>
      <c r="O4043" s="93" t="s">
        <v>111</v>
      </c>
      <c r="P4043" s="93" t="s">
        <v>111</v>
      </c>
      <c r="Q4043" s="93" t="s">
        <v>111</v>
      </c>
      <c r="R4043" s="93" t="s">
        <v>111</v>
      </c>
      <c r="S4043" s="93" t="s">
        <v>2</v>
      </c>
      <c r="T4043" s="93" t="s">
        <v>111</v>
      </c>
      <c r="U4043" s="93" t="s">
        <v>116</v>
      </c>
      <c r="V4043" s="94">
        <v>44610.204861111109</v>
      </c>
      <c r="W4043" s="93" t="s">
        <v>7072</v>
      </c>
      <c r="X4043" s="93" t="s">
        <v>24</v>
      </c>
    </row>
    <row r="4044" spans="1:24" hidden="1" x14ac:dyDescent="0.15">
      <c r="A4044" s="93" t="s">
        <v>8649</v>
      </c>
      <c r="B4044" s="93" t="s">
        <v>8650</v>
      </c>
      <c r="C4044" s="410">
        <v>280</v>
      </c>
      <c r="D4044" s="93" t="s">
        <v>24</v>
      </c>
      <c r="E4044" s="93" t="s">
        <v>24</v>
      </c>
      <c r="F4044" s="93" t="s">
        <v>126</v>
      </c>
      <c r="G4044" s="93" t="s">
        <v>7104</v>
      </c>
      <c r="H4044" s="93" t="s">
        <v>118</v>
      </c>
      <c r="I4044" s="93" t="s">
        <v>111</v>
      </c>
      <c r="J4044" s="93" t="s">
        <v>7105</v>
      </c>
      <c r="K4044" s="93" t="s">
        <v>111</v>
      </c>
      <c r="L4044" s="93" t="s">
        <v>111</v>
      </c>
      <c r="M4044" s="93" t="s">
        <v>111</v>
      </c>
      <c r="N4044" s="93" t="s">
        <v>111</v>
      </c>
      <c r="O4044" s="93" t="s">
        <v>111</v>
      </c>
      <c r="P4044" s="93" t="s">
        <v>111</v>
      </c>
      <c r="Q4044" s="93" t="s">
        <v>111</v>
      </c>
      <c r="R4044" s="93" t="s">
        <v>111</v>
      </c>
      <c r="S4044" s="93" t="s">
        <v>111</v>
      </c>
      <c r="T4044" s="93" t="s">
        <v>111</v>
      </c>
      <c r="U4044" s="93" t="s">
        <v>116</v>
      </c>
      <c r="V4044" s="94">
        <v>44610.156944444447</v>
      </c>
      <c r="W4044" s="93" t="s">
        <v>7072</v>
      </c>
      <c r="X4044" s="93" t="s">
        <v>24</v>
      </c>
    </row>
    <row r="4045" spans="1:24" hidden="1" x14ac:dyDescent="0.15">
      <c r="A4045" s="93" t="s">
        <v>8651</v>
      </c>
      <c r="B4045" s="93" t="s">
        <v>8652</v>
      </c>
      <c r="C4045" s="410">
        <v>420</v>
      </c>
      <c r="D4045" s="93" t="s">
        <v>24</v>
      </c>
      <c r="E4045" s="93" t="s">
        <v>24</v>
      </c>
      <c r="F4045" s="93" t="s">
        <v>126</v>
      </c>
      <c r="G4045" s="93" t="s">
        <v>7104</v>
      </c>
      <c r="H4045" s="93" t="s">
        <v>118</v>
      </c>
      <c r="I4045" s="93" t="s">
        <v>111</v>
      </c>
      <c r="J4045" s="93" t="s">
        <v>7105</v>
      </c>
      <c r="K4045" s="93" t="s">
        <v>111</v>
      </c>
      <c r="L4045" s="93" t="s">
        <v>111</v>
      </c>
      <c r="M4045" s="93" t="s">
        <v>111</v>
      </c>
      <c r="N4045" s="93" t="s">
        <v>111</v>
      </c>
      <c r="O4045" s="93" t="s">
        <v>111</v>
      </c>
      <c r="P4045" s="93" t="s">
        <v>111</v>
      </c>
      <c r="Q4045" s="93" t="s">
        <v>111</v>
      </c>
      <c r="R4045" s="93" t="s">
        <v>111</v>
      </c>
      <c r="S4045" s="93" t="s">
        <v>111</v>
      </c>
      <c r="T4045" s="93" t="s">
        <v>111</v>
      </c>
      <c r="U4045" s="93" t="s">
        <v>116</v>
      </c>
      <c r="V4045" s="94">
        <v>44610.156944444447</v>
      </c>
      <c r="W4045" s="93" t="s">
        <v>7072</v>
      </c>
      <c r="X4045" s="93" t="s">
        <v>24</v>
      </c>
    </row>
    <row r="4046" spans="1:24" hidden="1" x14ac:dyDescent="0.15">
      <c r="A4046" s="93" t="s">
        <v>8653</v>
      </c>
      <c r="B4046" s="93" t="s">
        <v>8654</v>
      </c>
      <c r="C4046" s="410">
        <v>240</v>
      </c>
      <c r="D4046" s="93" t="s">
        <v>24</v>
      </c>
      <c r="E4046" s="93" t="s">
        <v>24</v>
      </c>
      <c r="F4046" s="93" t="s">
        <v>126</v>
      </c>
      <c r="G4046" s="93" t="s">
        <v>7104</v>
      </c>
      <c r="H4046" s="93" t="s">
        <v>118</v>
      </c>
      <c r="I4046" s="93" t="s">
        <v>111</v>
      </c>
      <c r="J4046" s="93" t="s">
        <v>7105</v>
      </c>
      <c r="K4046" s="93" t="s">
        <v>111</v>
      </c>
      <c r="L4046" s="93" t="s">
        <v>111</v>
      </c>
      <c r="M4046" s="93" t="s">
        <v>111</v>
      </c>
      <c r="N4046" s="93" t="s">
        <v>111</v>
      </c>
      <c r="O4046" s="93" t="s">
        <v>111</v>
      </c>
      <c r="P4046" s="93" t="s">
        <v>111</v>
      </c>
      <c r="Q4046" s="93" t="s">
        <v>111</v>
      </c>
      <c r="R4046" s="93" t="s">
        <v>111</v>
      </c>
      <c r="S4046" s="93" t="s">
        <v>2</v>
      </c>
      <c r="T4046" s="93" t="s">
        <v>111</v>
      </c>
      <c r="U4046" s="93" t="s">
        <v>116</v>
      </c>
      <c r="V4046" s="94">
        <v>44610.207638888889</v>
      </c>
      <c r="W4046" s="93" t="s">
        <v>7072</v>
      </c>
      <c r="X4046" s="93" t="s">
        <v>24</v>
      </c>
    </row>
    <row r="4047" spans="1:24" hidden="1" x14ac:dyDescent="0.15">
      <c r="A4047" s="93" t="s">
        <v>8655</v>
      </c>
      <c r="B4047" s="93" t="s">
        <v>8656</v>
      </c>
      <c r="C4047" s="410">
        <v>420</v>
      </c>
      <c r="D4047" s="93" t="s">
        <v>24</v>
      </c>
      <c r="E4047" s="93" t="s">
        <v>24</v>
      </c>
      <c r="F4047" s="93" t="s">
        <v>126</v>
      </c>
      <c r="G4047" s="93" t="s">
        <v>7104</v>
      </c>
      <c r="H4047" s="93" t="s">
        <v>118</v>
      </c>
      <c r="I4047" s="93" t="s">
        <v>111</v>
      </c>
      <c r="J4047" s="93" t="s">
        <v>7105</v>
      </c>
      <c r="K4047" s="93" t="s">
        <v>111</v>
      </c>
      <c r="L4047" s="93" t="s">
        <v>111</v>
      </c>
      <c r="M4047" s="93" t="s">
        <v>111</v>
      </c>
      <c r="N4047" s="93" t="s">
        <v>111</v>
      </c>
      <c r="O4047" s="93" t="s">
        <v>111</v>
      </c>
      <c r="P4047" s="93" t="s">
        <v>111</v>
      </c>
      <c r="Q4047" s="93" t="s">
        <v>111</v>
      </c>
      <c r="R4047" s="93" t="s">
        <v>111</v>
      </c>
      <c r="S4047" s="93" t="s">
        <v>2</v>
      </c>
      <c r="T4047" s="93" t="s">
        <v>111</v>
      </c>
      <c r="U4047" s="93" t="s">
        <v>116</v>
      </c>
      <c r="V4047" s="94">
        <v>44610.137499999997</v>
      </c>
      <c r="W4047" s="93" t="s">
        <v>7072</v>
      </c>
      <c r="X4047" s="93" t="s">
        <v>24</v>
      </c>
    </row>
    <row r="4048" spans="1:24" hidden="1" x14ac:dyDescent="0.15">
      <c r="A4048" s="93" t="s">
        <v>8657</v>
      </c>
      <c r="B4048" s="93" t="s">
        <v>8658</v>
      </c>
      <c r="C4048" s="410">
        <v>240</v>
      </c>
      <c r="D4048" s="93" t="s">
        <v>24</v>
      </c>
      <c r="E4048" s="93" t="s">
        <v>24</v>
      </c>
      <c r="F4048" s="93" t="s">
        <v>126</v>
      </c>
      <c r="G4048" s="93" t="s">
        <v>7104</v>
      </c>
      <c r="H4048" s="93" t="s">
        <v>118</v>
      </c>
      <c r="I4048" s="93" t="s">
        <v>111</v>
      </c>
      <c r="J4048" s="93" t="s">
        <v>7105</v>
      </c>
      <c r="K4048" s="93" t="s">
        <v>111</v>
      </c>
      <c r="L4048" s="93" t="s">
        <v>111</v>
      </c>
      <c r="M4048" s="93" t="s">
        <v>111</v>
      </c>
      <c r="N4048" s="93" t="s">
        <v>111</v>
      </c>
      <c r="O4048" s="93" t="s">
        <v>111</v>
      </c>
      <c r="P4048" s="93" t="s">
        <v>111</v>
      </c>
      <c r="Q4048" s="93" t="s">
        <v>111</v>
      </c>
      <c r="R4048" s="93" t="s">
        <v>111</v>
      </c>
      <c r="S4048" s="93" t="s">
        <v>111</v>
      </c>
      <c r="T4048" s="93" t="s">
        <v>111</v>
      </c>
      <c r="U4048" s="93" t="s">
        <v>116</v>
      </c>
      <c r="V4048" s="94">
        <v>44610.166666666664</v>
      </c>
      <c r="W4048" s="93" t="s">
        <v>7072</v>
      </c>
      <c r="X4048" s="93" t="s">
        <v>24</v>
      </c>
    </row>
    <row r="4049" spans="1:24" hidden="1" x14ac:dyDescent="0.15">
      <c r="A4049" s="93" t="s">
        <v>8659</v>
      </c>
      <c r="B4049" s="93" t="s">
        <v>8660</v>
      </c>
      <c r="C4049" s="410">
        <v>480</v>
      </c>
      <c r="D4049" s="93" t="s">
        <v>24</v>
      </c>
      <c r="E4049" s="93" t="s">
        <v>24</v>
      </c>
      <c r="F4049" s="93" t="s">
        <v>126</v>
      </c>
      <c r="G4049" s="93" t="s">
        <v>7104</v>
      </c>
      <c r="H4049" s="93" t="s">
        <v>118</v>
      </c>
      <c r="I4049" s="93" t="s">
        <v>111</v>
      </c>
      <c r="J4049" s="93" t="s">
        <v>7105</v>
      </c>
      <c r="K4049" s="93" t="s">
        <v>111</v>
      </c>
      <c r="L4049" s="93" t="s">
        <v>111</v>
      </c>
      <c r="M4049" s="93" t="s">
        <v>111</v>
      </c>
      <c r="N4049" s="93" t="s">
        <v>111</v>
      </c>
      <c r="O4049" s="93" t="s">
        <v>111</v>
      </c>
      <c r="P4049" s="93" t="s">
        <v>111</v>
      </c>
      <c r="Q4049" s="93" t="s">
        <v>111</v>
      </c>
      <c r="R4049" s="93" t="s">
        <v>111</v>
      </c>
      <c r="S4049" s="93" t="s">
        <v>111</v>
      </c>
      <c r="T4049" s="93" t="s">
        <v>111</v>
      </c>
      <c r="U4049" s="93" t="s">
        <v>116</v>
      </c>
      <c r="V4049" s="94">
        <v>44610.174305555556</v>
      </c>
      <c r="W4049" s="93" t="s">
        <v>7072</v>
      </c>
      <c r="X4049" s="93" t="s">
        <v>24</v>
      </c>
    </row>
    <row r="4050" spans="1:24" hidden="1" x14ac:dyDescent="0.15">
      <c r="A4050" s="93" t="s">
        <v>8661</v>
      </c>
      <c r="B4050" s="93" t="s">
        <v>8662</v>
      </c>
      <c r="C4050" s="410">
        <v>720</v>
      </c>
      <c r="D4050" s="93" t="s">
        <v>24</v>
      </c>
      <c r="E4050" s="93" t="s">
        <v>24</v>
      </c>
      <c r="F4050" s="93" t="s">
        <v>126</v>
      </c>
      <c r="G4050" s="93" t="s">
        <v>7104</v>
      </c>
      <c r="H4050" s="93" t="s">
        <v>118</v>
      </c>
      <c r="I4050" s="93" t="s">
        <v>111</v>
      </c>
      <c r="J4050" s="93" t="s">
        <v>7105</v>
      </c>
      <c r="K4050" s="93" t="s">
        <v>111</v>
      </c>
      <c r="L4050" s="93" t="s">
        <v>111</v>
      </c>
      <c r="M4050" s="93" t="s">
        <v>111</v>
      </c>
      <c r="N4050" s="93" t="s">
        <v>111</v>
      </c>
      <c r="O4050" s="93" t="s">
        <v>111</v>
      </c>
      <c r="P4050" s="93" t="s">
        <v>111</v>
      </c>
      <c r="Q4050" s="93" t="s">
        <v>111</v>
      </c>
      <c r="R4050" s="93" t="s">
        <v>111</v>
      </c>
      <c r="S4050" s="93" t="s">
        <v>111</v>
      </c>
      <c r="T4050" s="93" t="s">
        <v>111</v>
      </c>
      <c r="U4050" s="93" t="s">
        <v>116</v>
      </c>
      <c r="V4050" s="94">
        <v>44610.142361111109</v>
      </c>
      <c r="W4050" s="93" t="s">
        <v>7072</v>
      </c>
      <c r="X4050" s="93" t="s">
        <v>24</v>
      </c>
    </row>
    <row r="4051" spans="1:24" hidden="1" x14ac:dyDescent="0.15">
      <c r="A4051" s="93" t="s">
        <v>8663</v>
      </c>
      <c r="B4051" s="93" t="s">
        <v>8664</v>
      </c>
      <c r="C4051" s="410">
        <v>320</v>
      </c>
      <c r="D4051" s="93" t="s">
        <v>24</v>
      </c>
      <c r="E4051" s="93" t="s">
        <v>9</v>
      </c>
      <c r="F4051" s="93" t="s">
        <v>7912</v>
      </c>
      <c r="G4051" s="93" t="s">
        <v>7104</v>
      </c>
      <c r="H4051" s="93" t="s">
        <v>118</v>
      </c>
      <c r="I4051" s="93" t="s">
        <v>111</v>
      </c>
      <c r="J4051" s="93" t="s">
        <v>7105</v>
      </c>
      <c r="K4051" s="93" t="s">
        <v>111</v>
      </c>
      <c r="L4051" s="93" t="s">
        <v>111</v>
      </c>
      <c r="M4051" s="93" t="s">
        <v>111</v>
      </c>
      <c r="N4051" s="93" t="s">
        <v>111</v>
      </c>
      <c r="O4051" s="93" t="s">
        <v>111</v>
      </c>
      <c r="P4051" s="93" t="s">
        <v>111</v>
      </c>
      <c r="Q4051" s="93" t="s">
        <v>111</v>
      </c>
      <c r="R4051" s="93" t="s">
        <v>111</v>
      </c>
      <c r="S4051" s="93" t="s">
        <v>2</v>
      </c>
      <c r="T4051" s="93" t="s">
        <v>111</v>
      </c>
      <c r="U4051" s="93" t="s">
        <v>116</v>
      </c>
      <c r="V4051" s="94">
        <v>44596.689583333333</v>
      </c>
      <c r="W4051" s="93" t="s">
        <v>7913</v>
      </c>
      <c r="X4051" s="93" t="s">
        <v>24</v>
      </c>
    </row>
    <row r="4052" spans="1:24" hidden="1" x14ac:dyDescent="0.15">
      <c r="A4052" s="93" t="s">
        <v>8665</v>
      </c>
      <c r="B4052" s="93" t="s">
        <v>8666</v>
      </c>
      <c r="C4052" s="410">
        <v>640</v>
      </c>
      <c r="D4052" s="93" t="s">
        <v>24</v>
      </c>
      <c r="E4052" s="93" t="s">
        <v>9</v>
      </c>
      <c r="F4052" s="93" t="s">
        <v>7912</v>
      </c>
      <c r="G4052" s="93" t="s">
        <v>7104</v>
      </c>
      <c r="H4052" s="93" t="s">
        <v>118</v>
      </c>
      <c r="I4052" s="93" t="s">
        <v>111</v>
      </c>
      <c r="J4052" s="93" t="s">
        <v>7105</v>
      </c>
      <c r="K4052" s="93" t="s">
        <v>111</v>
      </c>
      <c r="L4052" s="93" t="s">
        <v>111</v>
      </c>
      <c r="M4052" s="93" t="s">
        <v>111</v>
      </c>
      <c r="N4052" s="93" t="s">
        <v>111</v>
      </c>
      <c r="O4052" s="93" t="s">
        <v>111</v>
      </c>
      <c r="P4052" s="93" t="s">
        <v>111</v>
      </c>
      <c r="Q4052" s="93" t="s">
        <v>111</v>
      </c>
      <c r="R4052" s="93" t="s">
        <v>111</v>
      </c>
      <c r="S4052" s="93" t="s">
        <v>2</v>
      </c>
      <c r="T4052" s="93" t="s">
        <v>111</v>
      </c>
      <c r="U4052" s="93" t="s">
        <v>116</v>
      </c>
      <c r="V4052" s="94">
        <v>44596.685416666667</v>
      </c>
      <c r="W4052" s="93" t="s">
        <v>7913</v>
      </c>
      <c r="X4052" s="93" t="s">
        <v>24</v>
      </c>
    </row>
    <row r="4053" spans="1:24" hidden="1" x14ac:dyDescent="0.15">
      <c r="A4053" s="93" t="s">
        <v>8667</v>
      </c>
      <c r="B4053" s="93" t="s">
        <v>8668</v>
      </c>
      <c r="C4053" s="410">
        <v>390</v>
      </c>
      <c r="D4053" s="93" t="s">
        <v>24</v>
      </c>
      <c r="E4053" s="93" t="s">
        <v>9</v>
      </c>
      <c r="F4053" s="93" t="s">
        <v>7912</v>
      </c>
      <c r="G4053" s="93" t="s">
        <v>7104</v>
      </c>
      <c r="H4053" s="93" t="s">
        <v>118</v>
      </c>
      <c r="I4053" s="93" t="s">
        <v>111</v>
      </c>
      <c r="J4053" s="93" t="s">
        <v>7105</v>
      </c>
      <c r="K4053" s="93" t="s">
        <v>111</v>
      </c>
      <c r="L4053" s="93" t="s">
        <v>111</v>
      </c>
      <c r="M4053" s="93" t="s">
        <v>111</v>
      </c>
      <c r="N4053" s="93" t="s">
        <v>111</v>
      </c>
      <c r="O4053" s="93" t="s">
        <v>111</v>
      </c>
      <c r="P4053" s="93" t="s">
        <v>111</v>
      </c>
      <c r="Q4053" s="93" t="s">
        <v>111</v>
      </c>
      <c r="R4053" s="93" t="s">
        <v>111</v>
      </c>
      <c r="S4053" s="93" t="s">
        <v>2</v>
      </c>
      <c r="T4053" s="93" t="s">
        <v>111</v>
      </c>
      <c r="U4053" s="93" t="s">
        <v>116</v>
      </c>
      <c r="V4053" s="94">
        <v>44596.645833333336</v>
      </c>
      <c r="W4053" s="93" t="s">
        <v>7913</v>
      </c>
      <c r="X4053" s="93" t="s">
        <v>24</v>
      </c>
    </row>
    <row r="4054" spans="1:24" hidden="1" x14ac:dyDescent="0.15">
      <c r="A4054" s="93" t="s">
        <v>8669</v>
      </c>
      <c r="B4054" s="93" t="s">
        <v>8670</v>
      </c>
      <c r="C4054" s="410">
        <v>780</v>
      </c>
      <c r="D4054" s="93" t="s">
        <v>24</v>
      </c>
      <c r="E4054" s="93" t="s">
        <v>9</v>
      </c>
      <c r="F4054" s="93" t="s">
        <v>7912</v>
      </c>
      <c r="G4054" s="93" t="s">
        <v>7104</v>
      </c>
      <c r="H4054" s="93" t="s">
        <v>118</v>
      </c>
      <c r="I4054" s="93" t="s">
        <v>111</v>
      </c>
      <c r="J4054" s="93" t="s">
        <v>7105</v>
      </c>
      <c r="K4054" s="93" t="s">
        <v>111</v>
      </c>
      <c r="L4054" s="93" t="s">
        <v>111</v>
      </c>
      <c r="M4054" s="93" t="s">
        <v>111</v>
      </c>
      <c r="N4054" s="93" t="s">
        <v>111</v>
      </c>
      <c r="O4054" s="93" t="s">
        <v>111</v>
      </c>
      <c r="P4054" s="93" t="s">
        <v>111</v>
      </c>
      <c r="Q4054" s="93" t="s">
        <v>111</v>
      </c>
      <c r="R4054" s="93" t="s">
        <v>111</v>
      </c>
      <c r="S4054" s="93" t="s">
        <v>2</v>
      </c>
      <c r="T4054" s="93" t="s">
        <v>111</v>
      </c>
      <c r="U4054" s="93" t="s">
        <v>116</v>
      </c>
      <c r="V4054" s="94">
        <v>44596.685416666667</v>
      </c>
      <c r="W4054" s="93" t="s">
        <v>7913</v>
      </c>
      <c r="X4054" s="93" t="s">
        <v>24</v>
      </c>
    </row>
    <row r="4055" spans="1:24" hidden="1" x14ac:dyDescent="0.15">
      <c r="A4055" s="93" t="s">
        <v>8671</v>
      </c>
      <c r="B4055" s="93" t="s">
        <v>8672</v>
      </c>
      <c r="C4055" s="410">
        <v>80</v>
      </c>
      <c r="D4055" s="93" t="s">
        <v>24</v>
      </c>
      <c r="E4055" s="93" t="s">
        <v>9</v>
      </c>
      <c r="F4055" s="93" t="s">
        <v>7912</v>
      </c>
      <c r="G4055" s="93" t="s">
        <v>7104</v>
      </c>
      <c r="H4055" s="93" t="s">
        <v>118</v>
      </c>
      <c r="I4055" s="93" t="s">
        <v>111</v>
      </c>
      <c r="J4055" s="93" t="s">
        <v>118</v>
      </c>
      <c r="K4055" s="93">
        <v>3</v>
      </c>
      <c r="L4055" s="93" t="s">
        <v>111</v>
      </c>
      <c r="M4055" s="93" t="s">
        <v>111</v>
      </c>
      <c r="N4055" s="93" t="s">
        <v>111</v>
      </c>
      <c r="O4055" s="93" t="s">
        <v>111</v>
      </c>
      <c r="P4055" s="93" t="s">
        <v>111</v>
      </c>
      <c r="Q4055" s="93" t="s">
        <v>111</v>
      </c>
      <c r="R4055" s="93" t="s">
        <v>111</v>
      </c>
      <c r="S4055" s="93" t="s">
        <v>2</v>
      </c>
      <c r="T4055" s="93" t="s">
        <v>111</v>
      </c>
      <c r="U4055" s="93" t="s">
        <v>116</v>
      </c>
      <c r="V4055" s="94">
        <v>44596.657638888886</v>
      </c>
      <c r="W4055" s="93" t="s">
        <v>7913</v>
      </c>
      <c r="X4055" s="93" t="s">
        <v>24</v>
      </c>
    </row>
    <row r="4056" spans="1:24" hidden="1" x14ac:dyDescent="0.15">
      <c r="A4056" s="93" t="s">
        <v>8673</v>
      </c>
      <c r="B4056" s="93" t="s">
        <v>8674</v>
      </c>
      <c r="C4056" s="410">
        <v>160</v>
      </c>
      <c r="D4056" s="93" t="s">
        <v>24</v>
      </c>
      <c r="E4056" s="93" t="s">
        <v>9</v>
      </c>
      <c r="F4056" s="93" t="s">
        <v>7912</v>
      </c>
      <c r="G4056" s="93" t="s">
        <v>7104</v>
      </c>
      <c r="H4056" s="93" t="s">
        <v>118</v>
      </c>
      <c r="I4056" s="93" t="s">
        <v>111</v>
      </c>
      <c r="J4056" s="93" t="s">
        <v>118</v>
      </c>
      <c r="K4056" s="93">
        <v>3</v>
      </c>
      <c r="L4056" s="93" t="s">
        <v>111</v>
      </c>
      <c r="M4056" s="93" t="s">
        <v>111</v>
      </c>
      <c r="N4056" s="93" t="s">
        <v>111</v>
      </c>
      <c r="O4056" s="93" t="s">
        <v>111</v>
      </c>
      <c r="P4056" s="93" t="s">
        <v>111</v>
      </c>
      <c r="Q4056" s="93" t="s">
        <v>111</v>
      </c>
      <c r="R4056" s="93" t="s">
        <v>228</v>
      </c>
      <c r="S4056" s="93" t="s">
        <v>2</v>
      </c>
      <c r="T4056" s="93" t="s">
        <v>115</v>
      </c>
      <c r="U4056" s="93" t="s">
        <v>116</v>
      </c>
      <c r="V4056" s="94">
        <v>44596.644444444442</v>
      </c>
      <c r="W4056" s="93" t="s">
        <v>7913</v>
      </c>
      <c r="X4056" s="93" t="s">
        <v>24</v>
      </c>
    </row>
    <row r="4057" spans="1:24" hidden="1" x14ac:dyDescent="0.15">
      <c r="A4057" s="93" t="s">
        <v>8675</v>
      </c>
      <c r="B4057" s="93" t="s">
        <v>8676</v>
      </c>
      <c r="C4057" s="410">
        <v>240</v>
      </c>
      <c r="D4057" s="93" t="s">
        <v>24</v>
      </c>
      <c r="E4057" s="93" t="s">
        <v>9</v>
      </c>
      <c r="F4057" s="93" t="s">
        <v>7912</v>
      </c>
      <c r="G4057" s="93" t="s">
        <v>7104</v>
      </c>
      <c r="H4057" s="93" t="s">
        <v>118</v>
      </c>
      <c r="I4057" s="93" t="s">
        <v>111</v>
      </c>
      <c r="J4057" s="93" t="s">
        <v>7105</v>
      </c>
      <c r="K4057" s="93" t="s">
        <v>111</v>
      </c>
      <c r="L4057" s="93" t="s">
        <v>111</v>
      </c>
      <c r="M4057" s="93" t="s">
        <v>111</v>
      </c>
      <c r="N4057" s="93" t="s">
        <v>111</v>
      </c>
      <c r="O4057" s="93" t="s">
        <v>111</v>
      </c>
      <c r="P4057" s="93" t="s">
        <v>111</v>
      </c>
      <c r="Q4057" s="93" t="s">
        <v>111</v>
      </c>
      <c r="R4057" s="93" t="s">
        <v>111</v>
      </c>
      <c r="S4057" s="93" t="s">
        <v>2</v>
      </c>
      <c r="T4057" s="93" t="s">
        <v>111</v>
      </c>
      <c r="U4057" s="93" t="s">
        <v>116</v>
      </c>
      <c r="V4057" s="94">
        <v>44596.63958333333</v>
      </c>
      <c r="W4057" s="93" t="s">
        <v>7913</v>
      </c>
      <c r="X4057" s="93" t="s">
        <v>24</v>
      </c>
    </row>
    <row r="4058" spans="1:24" hidden="1" x14ac:dyDescent="0.15">
      <c r="A4058" s="93" t="s">
        <v>8677</v>
      </c>
      <c r="B4058" s="93" t="s">
        <v>8678</v>
      </c>
      <c r="C4058" s="410">
        <v>320</v>
      </c>
      <c r="D4058" s="93" t="s">
        <v>24</v>
      </c>
      <c r="E4058" s="93" t="s">
        <v>9</v>
      </c>
      <c r="F4058" s="93" t="s">
        <v>7912</v>
      </c>
      <c r="G4058" s="93" t="s">
        <v>7104</v>
      </c>
      <c r="H4058" s="93" t="s">
        <v>118</v>
      </c>
      <c r="I4058" s="93" t="s">
        <v>111</v>
      </c>
      <c r="J4058" s="93" t="s">
        <v>118</v>
      </c>
      <c r="K4058" s="93">
        <v>3</v>
      </c>
      <c r="L4058" s="93" t="s">
        <v>111</v>
      </c>
      <c r="M4058" s="93" t="s">
        <v>111</v>
      </c>
      <c r="N4058" s="93" t="s">
        <v>111</v>
      </c>
      <c r="O4058" s="93" t="s">
        <v>111</v>
      </c>
      <c r="P4058" s="93" t="s">
        <v>111</v>
      </c>
      <c r="Q4058" s="93" t="s">
        <v>111</v>
      </c>
      <c r="R4058" s="93" t="s">
        <v>228</v>
      </c>
      <c r="S4058" s="93" t="s">
        <v>2</v>
      </c>
      <c r="T4058" s="93" t="s">
        <v>115</v>
      </c>
      <c r="U4058" s="93" t="s">
        <v>116</v>
      </c>
      <c r="V4058" s="94">
        <v>44610.197222222225</v>
      </c>
      <c r="W4058" s="93" t="s">
        <v>7913</v>
      </c>
      <c r="X4058" s="93" t="s">
        <v>24</v>
      </c>
    </row>
    <row r="4059" spans="1:24" hidden="1" x14ac:dyDescent="0.15">
      <c r="A4059" s="93" t="s">
        <v>8679</v>
      </c>
      <c r="B4059" s="93" t="s">
        <v>8680</v>
      </c>
      <c r="C4059" s="410">
        <v>140</v>
      </c>
      <c r="D4059" s="93" t="s">
        <v>24</v>
      </c>
      <c r="E4059" s="93" t="s">
        <v>9</v>
      </c>
      <c r="F4059" s="93" t="s">
        <v>7912</v>
      </c>
      <c r="G4059" s="93" t="s">
        <v>7104</v>
      </c>
      <c r="H4059" s="93" t="s">
        <v>118</v>
      </c>
      <c r="I4059" s="93" t="s">
        <v>111</v>
      </c>
      <c r="J4059" s="93" t="s">
        <v>7105</v>
      </c>
      <c r="K4059" s="93" t="s">
        <v>111</v>
      </c>
      <c r="L4059" s="93" t="s">
        <v>111</v>
      </c>
      <c r="M4059" s="93" t="s">
        <v>111</v>
      </c>
      <c r="N4059" s="93" t="s">
        <v>111</v>
      </c>
      <c r="O4059" s="93" t="s">
        <v>111</v>
      </c>
      <c r="P4059" s="93" t="s">
        <v>111</v>
      </c>
      <c r="Q4059" s="93" t="s">
        <v>111</v>
      </c>
      <c r="R4059" s="93" t="s">
        <v>111</v>
      </c>
      <c r="S4059" s="93" t="s">
        <v>2</v>
      </c>
      <c r="T4059" s="93" t="s">
        <v>111</v>
      </c>
      <c r="U4059" s="93" t="s">
        <v>116</v>
      </c>
      <c r="V4059" s="94">
        <v>44596.648611111108</v>
      </c>
      <c r="W4059" s="93" t="s">
        <v>7913</v>
      </c>
      <c r="X4059" s="93" t="s">
        <v>24</v>
      </c>
    </row>
    <row r="4060" spans="1:24" hidden="1" x14ac:dyDescent="0.15">
      <c r="A4060" s="93" t="s">
        <v>8681</v>
      </c>
      <c r="B4060" s="93" t="s">
        <v>8682</v>
      </c>
      <c r="C4060" s="410">
        <v>280</v>
      </c>
      <c r="D4060" s="93" t="s">
        <v>24</v>
      </c>
      <c r="E4060" s="93" t="s">
        <v>9</v>
      </c>
      <c r="F4060" s="93" t="s">
        <v>7912</v>
      </c>
      <c r="G4060" s="93" t="s">
        <v>7104</v>
      </c>
      <c r="H4060" s="93" t="s">
        <v>118</v>
      </c>
      <c r="I4060" s="93" t="s">
        <v>111</v>
      </c>
      <c r="J4060" s="93" t="s">
        <v>7105</v>
      </c>
      <c r="K4060" s="93" t="s">
        <v>111</v>
      </c>
      <c r="L4060" s="93" t="s">
        <v>111</v>
      </c>
      <c r="M4060" s="93" t="s">
        <v>111</v>
      </c>
      <c r="N4060" s="93" t="s">
        <v>111</v>
      </c>
      <c r="O4060" s="93" t="s">
        <v>111</v>
      </c>
      <c r="P4060" s="93" t="s">
        <v>111</v>
      </c>
      <c r="Q4060" s="93" t="s">
        <v>111</v>
      </c>
      <c r="R4060" s="93" t="s">
        <v>111</v>
      </c>
      <c r="S4060" s="93" t="s">
        <v>2</v>
      </c>
      <c r="T4060" s="93" t="s">
        <v>111</v>
      </c>
      <c r="U4060" s="93" t="s">
        <v>116</v>
      </c>
      <c r="V4060" s="94">
        <v>44596.666666666664</v>
      </c>
      <c r="W4060" s="93" t="s">
        <v>7913</v>
      </c>
      <c r="X4060" s="93" t="s">
        <v>24</v>
      </c>
    </row>
    <row r="4061" spans="1:24" hidden="1" x14ac:dyDescent="0.15">
      <c r="A4061" s="93" t="s">
        <v>8683</v>
      </c>
      <c r="B4061" s="93" t="s">
        <v>8684</v>
      </c>
      <c r="C4061" s="410">
        <v>420</v>
      </c>
      <c r="D4061" s="93" t="s">
        <v>24</v>
      </c>
      <c r="E4061" s="93" t="s">
        <v>9</v>
      </c>
      <c r="F4061" s="93" t="s">
        <v>7912</v>
      </c>
      <c r="G4061" s="93" t="s">
        <v>7104</v>
      </c>
      <c r="H4061" s="93" t="s">
        <v>118</v>
      </c>
      <c r="I4061" s="93" t="s">
        <v>111</v>
      </c>
      <c r="J4061" s="93" t="s">
        <v>7105</v>
      </c>
      <c r="K4061" s="93" t="s">
        <v>111</v>
      </c>
      <c r="L4061" s="93" t="s">
        <v>111</v>
      </c>
      <c r="M4061" s="93" t="s">
        <v>111</v>
      </c>
      <c r="N4061" s="93" t="s">
        <v>111</v>
      </c>
      <c r="O4061" s="93" t="s">
        <v>111</v>
      </c>
      <c r="P4061" s="93" t="s">
        <v>111</v>
      </c>
      <c r="Q4061" s="93" t="s">
        <v>111</v>
      </c>
      <c r="R4061" s="93" t="s">
        <v>111</v>
      </c>
      <c r="S4061" s="93" t="s">
        <v>2</v>
      </c>
      <c r="T4061" s="93" t="s">
        <v>111</v>
      </c>
      <c r="U4061" s="93" t="s">
        <v>116</v>
      </c>
      <c r="V4061" s="94">
        <v>44596.693055555559</v>
      </c>
      <c r="W4061" s="93" t="s">
        <v>7913</v>
      </c>
      <c r="X4061" s="93" t="s">
        <v>24</v>
      </c>
    </row>
    <row r="4062" spans="1:24" hidden="1" x14ac:dyDescent="0.15">
      <c r="A4062" s="93" t="s">
        <v>8685</v>
      </c>
      <c r="B4062" s="93" t="s">
        <v>8686</v>
      </c>
      <c r="C4062" s="410">
        <v>230</v>
      </c>
      <c r="D4062" s="93" t="s">
        <v>24</v>
      </c>
      <c r="E4062" s="93" t="s">
        <v>9</v>
      </c>
      <c r="F4062" s="93" t="s">
        <v>7912</v>
      </c>
      <c r="G4062" s="93" t="s">
        <v>7104</v>
      </c>
      <c r="H4062" s="93" t="s">
        <v>118</v>
      </c>
      <c r="I4062" s="93" t="s">
        <v>111</v>
      </c>
      <c r="J4062" s="93" t="s">
        <v>7105</v>
      </c>
      <c r="K4062" s="93" t="s">
        <v>111</v>
      </c>
      <c r="L4062" s="93" t="s">
        <v>111</v>
      </c>
      <c r="M4062" s="93" t="s">
        <v>111</v>
      </c>
      <c r="N4062" s="93" t="s">
        <v>111</v>
      </c>
      <c r="O4062" s="93" t="s">
        <v>111</v>
      </c>
      <c r="P4062" s="93" t="s">
        <v>111</v>
      </c>
      <c r="Q4062" s="93" t="s">
        <v>111</v>
      </c>
      <c r="R4062" s="93" t="s">
        <v>111</v>
      </c>
      <c r="S4062" s="93" t="s">
        <v>2</v>
      </c>
      <c r="T4062" s="93" t="s">
        <v>111</v>
      </c>
      <c r="U4062" s="93" t="s">
        <v>116</v>
      </c>
      <c r="V4062" s="94">
        <v>44596.640972222223</v>
      </c>
      <c r="W4062" s="93" t="s">
        <v>7913</v>
      </c>
      <c r="X4062" s="93" t="s">
        <v>24</v>
      </c>
    </row>
    <row r="4063" spans="1:24" hidden="1" x14ac:dyDescent="0.15">
      <c r="A4063" s="93" t="s">
        <v>8687</v>
      </c>
      <c r="B4063" s="93" t="s">
        <v>8688</v>
      </c>
      <c r="C4063" s="410">
        <v>460</v>
      </c>
      <c r="D4063" s="93" t="s">
        <v>24</v>
      </c>
      <c r="E4063" s="93" t="s">
        <v>9</v>
      </c>
      <c r="F4063" s="93" t="s">
        <v>7912</v>
      </c>
      <c r="G4063" s="93" t="s">
        <v>7104</v>
      </c>
      <c r="H4063" s="93" t="s">
        <v>118</v>
      </c>
      <c r="I4063" s="93" t="s">
        <v>111</v>
      </c>
      <c r="J4063" s="93" t="s">
        <v>7105</v>
      </c>
      <c r="K4063" s="93" t="s">
        <v>111</v>
      </c>
      <c r="L4063" s="93" t="s">
        <v>111</v>
      </c>
      <c r="M4063" s="93" t="s">
        <v>111</v>
      </c>
      <c r="N4063" s="93" t="s">
        <v>111</v>
      </c>
      <c r="O4063" s="93" t="s">
        <v>111</v>
      </c>
      <c r="P4063" s="93" t="s">
        <v>111</v>
      </c>
      <c r="Q4063" s="93" t="s">
        <v>111</v>
      </c>
      <c r="R4063" s="93" t="s">
        <v>111</v>
      </c>
      <c r="S4063" s="93" t="s">
        <v>2</v>
      </c>
      <c r="T4063" s="93" t="s">
        <v>111</v>
      </c>
      <c r="U4063" s="93" t="s">
        <v>116</v>
      </c>
      <c r="V4063" s="94">
        <v>44596.693749999999</v>
      </c>
      <c r="W4063" s="93" t="s">
        <v>7913</v>
      </c>
      <c r="X4063" s="93" t="s">
        <v>24</v>
      </c>
    </row>
    <row r="4064" spans="1:24" hidden="1" x14ac:dyDescent="0.15">
      <c r="A4064" s="93" t="s">
        <v>8689</v>
      </c>
      <c r="B4064" s="93" t="s">
        <v>8690</v>
      </c>
      <c r="C4064" s="410">
        <v>320</v>
      </c>
      <c r="D4064" s="93" t="s">
        <v>24</v>
      </c>
      <c r="E4064" s="93" t="s">
        <v>24</v>
      </c>
      <c r="F4064" s="93" t="s">
        <v>126</v>
      </c>
      <c r="G4064" s="93" t="s">
        <v>7104</v>
      </c>
      <c r="H4064" s="93" t="s">
        <v>118</v>
      </c>
      <c r="I4064" s="93" t="s">
        <v>111</v>
      </c>
      <c r="J4064" s="93" t="s">
        <v>7105</v>
      </c>
      <c r="K4064" s="93" t="s">
        <v>111</v>
      </c>
      <c r="L4064" s="93" t="s">
        <v>111</v>
      </c>
      <c r="M4064" s="93" t="s">
        <v>111</v>
      </c>
      <c r="N4064" s="93" t="s">
        <v>111</v>
      </c>
      <c r="O4064" s="93" t="s">
        <v>111</v>
      </c>
      <c r="P4064" s="93" t="s">
        <v>111</v>
      </c>
      <c r="Q4064" s="93" t="s">
        <v>111</v>
      </c>
      <c r="R4064" s="93" t="s">
        <v>111</v>
      </c>
      <c r="S4064" s="93" t="s">
        <v>2</v>
      </c>
      <c r="T4064" s="93" t="s">
        <v>111</v>
      </c>
      <c r="U4064" s="93" t="s">
        <v>116</v>
      </c>
      <c r="V4064" s="94">
        <v>44610.190972222219</v>
      </c>
      <c r="W4064" s="93" t="s">
        <v>7072</v>
      </c>
      <c r="X4064" s="93" t="s">
        <v>24</v>
      </c>
    </row>
    <row r="4065" spans="1:24" hidden="1" x14ac:dyDescent="0.15">
      <c r="A4065" s="93" t="s">
        <v>8691</v>
      </c>
      <c r="B4065" s="93" t="s">
        <v>8692</v>
      </c>
      <c r="C4065" s="410">
        <v>390</v>
      </c>
      <c r="D4065" s="93" t="s">
        <v>24</v>
      </c>
      <c r="E4065" s="93" t="s">
        <v>24</v>
      </c>
      <c r="F4065" s="93" t="s">
        <v>126</v>
      </c>
      <c r="G4065" s="93" t="s">
        <v>7104</v>
      </c>
      <c r="H4065" s="93" t="s">
        <v>118</v>
      </c>
      <c r="I4065" s="93" t="s">
        <v>111</v>
      </c>
      <c r="J4065" s="93" t="s">
        <v>7105</v>
      </c>
      <c r="K4065" s="93" t="s">
        <v>111</v>
      </c>
      <c r="L4065" s="93" t="s">
        <v>111</v>
      </c>
      <c r="M4065" s="93" t="s">
        <v>111</v>
      </c>
      <c r="N4065" s="93" t="s">
        <v>111</v>
      </c>
      <c r="O4065" s="93" t="s">
        <v>111</v>
      </c>
      <c r="P4065" s="93" t="s">
        <v>111</v>
      </c>
      <c r="Q4065" s="93" t="s">
        <v>111</v>
      </c>
      <c r="R4065" s="93" t="s">
        <v>111</v>
      </c>
      <c r="S4065" s="93" t="s">
        <v>2</v>
      </c>
      <c r="T4065" s="93" t="s">
        <v>111</v>
      </c>
      <c r="U4065" s="93" t="s">
        <v>116</v>
      </c>
      <c r="V4065" s="94">
        <v>44610.159722222219</v>
      </c>
      <c r="W4065" s="93" t="s">
        <v>7072</v>
      </c>
      <c r="X4065" s="93" t="s">
        <v>24</v>
      </c>
    </row>
    <row r="4066" spans="1:24" hidden="1" x14ac:dyDescent="0.15">
      <c r="A4066" s="93" t="s">
        <v>8693</v>
      </c>
      <c r="B4066" s="93" t="s">
        <v>8694</v>
      </c>
      <c r="C4066" s="410">
        <v>80</v>
      </c>
      <c r="D4066" s="93" t="s">
        <v>24</v>
      </c>
      <c r="E4066" s="93" t="s">
        <v>24</v>
      </c>
      <c r="F4066" s="93" t="s">
        <v>126</v>
      </c>
      <c r="G4066" s="93" t="s">
        <v>7104</v>
      </c>
      <c r="H4066" s="93" t="s">
        <v>118</v>
      </c>
      <c r="I4066" s="93" t="s">
        <v>111</v>
      </c>
      <c r="J4066" s="93" t="s">
        <v>7105</v>
      </c>
      <c r="K4066" s="93" t="s">
        <v>111</v>
      </c>
      <c r="L4066" s="93" t="s">
        <v>111</v>
      </c>
      <c r="M4066" s="93" t="s">
        <v>111</v>
      </c>
      <c r="N4066" s="93" t="s">
        <v>111</v>
      </c>
      <c r="O4066" s="93" t="s">
        <v>111</v>
      </c>
      <c r="P4066" s="93" t="s">
        <v>111</v>
      </c>
      <c r="Q4066" s="93" t="s">
        <v>111</v>
      </c>
      <c r="R4066" s="93" t="s">
        <v>111</v>
      </c>
      <c r="S4066" s="93" t="s">
        <v>2</v>
      </c>
      <c r="T4066" s="93" t="s">
        <v>111</v>
      </c>
      <c r="U4066" s="93" t="s">
        <v>116</v>
      </c>
      <c r="V4066" s="94">
        <v>44610.190972222219</v>
      </c>
      <c r="W4066" s="93" t="s">
        <v>7072</v>
      </c>
      <c r="X4066" s="93" t="s">
        <v>24</v>
      </c>
    </row>
    <row r="4067" spans="1:24" hidden="1" x14ac:dyDescent="0.15">
      <c r="A4067" s="93" t="s">
        <v>8695</v>
      </c>
      <c r="B4067" s="93" t="s">
        <v>8696</v>
      </c>
      <c r="C4067" s="410">
        <v>140</v>
      </c>
      <c r="D4067" s="93" t="s">
        <v>24</v>
      </c>
      <c r="E4067" s="93" t="s">
        <v>24</v>
      </c>
      <c r="F4067" s="93" t="s">
        <v>126</v>
      </c>
      <c r="G4067" s="93" t="s">
        <v>7104</v>
      </c>
      <c r="H4067" s="93" t="s">
        <v>118</v>
      </c>
      <c r="I4067" s="93" t="s">
        <v>111</v>
      </c>
      <c r="J4067" s="93" t="s">
        <v>7105</v>
      </c>
      <c r="K4067" s="93" t="s">
        <v>111</v>
      </c>
      <c r="L4067" s="93" t="s">
        <v>111</v>
      </c>
      <c r="M4067" s="93" t="s">
        <v>111</v>
      </c>
      <c r="N4067" s="93" t="s">
        <v>111</v>
      </c>
      <c r="O4067" s="93" t="s">
        <v>111</v>
      </c>
      <c r="P4067" s="93" t="s">
        <v>111</v>
      </c>
      <c r="Q4067" s="93" t="s">
        <v>111</v>
      </c>
      <c r="R4067" s="93" t="s">
        <v>111</v>
      </c>
      <c r="S4067" s="93" t="s">
        <v>2</v>
      </c>
      <c r="T4067" s="93" t="s">
        <v>111</v>
      </c>
      <c r="U4067" s="93" t="s">
        <v>116</v>
      </c>
      <c r="V4067" s="94">
        <v>44610.176388888889</v>
      </c>
      <c r="W4067" s="93" t="s">
        <v>7072</v>
      </c>
      <c r="X4067" s="93" t="s">
        <v>24</v>
      </c>
    </row>
    <row r="4068" spans="1:24" hidden="1" x14ac:dyDescent="0.15">
      <c r="A4068" s="93" t="s">
        <v>8697</v>
      </c>
      <c r="B4068" s="93" t="s">
        <v>8698</v>
      </c>
      <c r="C4068" s="410">
        <v>230</v>
      </c>
      <c r="D4068" s="93" t="s">
        <v>24</v>
      </c>
      <c r="E4068" s="93" t="s">
        <v>24</v>
      </c>
      <c r="F4068" s="93" t="s">
        <v>126</v>
      </c>
      <c r="G4068" s="93" t="s">
        <v>7104</v>
      </c>
      <c r="H4068" s="93" t="s">
        <v>118</v>
      </c>
      <c r="I4068" s="93" t="s">
        <v>111</v>
      </c>
      <c r="J4068" s="93" t="s">
        <v>7105</v>
      </c>
      <c r="K4068" s="93" t="s">
        <v>111</v>
      </c>
      <c r="L4068" s="93" t="s">
        <v>111</v>
      </c>
      <c r="M4068" s="93" t="s">
        <v>111</v>
      </c>
      <c r="N4068" s="93" t="s">
        <v>111</v>
      </c>
      <c r="O4068" s="93" t="s">
        <v>111</v>
      </c>
      <c r="P4068" s="93" t="s">
        <v>111</v>
      </c>
      <c r="Q4068" s="93" t="s">
        <v>111</v>
      </c>
      <c r="R4068" s="93" t="s">
        <v>111</v>
      </c>
      <c r="S4068" s="93" t="s">
        <v>2</v>
      </c>
      <c r="T4068" s="93" t="s">
        <v>111</v>
      </c>
      <c r="U4068" s="93" t="s">
        <v>116</v>
      </c>
      <c r="V4068" s="94">
        <v>44610.18472222222</v>
      </c>
      <c r="W4068" s="93" t="s">
        <v>7072</v>
      </c>
      <c r="X4068" s="93" t="s">
        <v>24</v>
      </c>
    </row>
    <row r="4069" spans="1:24" hidden="1" x14ac:dyDescent="0.15">
      <c r="A4069" s="93" t="s">
        <v>8699</v>
      </c>
      <c r="B4069" s="93" t="s">
        <v>8700</v>
      </c>
      <c r="C4069" s="410">
        <v>340</v>
      </c>
      <c r="D4069" s="93" t="s">
        <v>24</v>
      </c>
      <c r="E4069" s="93" t="s">
        <v>24</v>
      </c>
      <c r="F4069" s="93" t="s">
        <v>126</v>
      </c>
      <c r="G4069" s="93" t="s">
        <v>7104</v>
      </c>
      <c r="H4069" s="93" t="s">
        <v>118</v>
      </c>
      <c r="I4069" s="93" t="s">
        <v>111</v>
      </c>
      <c r="J4069" s="93" t="s">
        <v>7105</v>
      </c>
      <c r="K4069" s="93" t="s">
        <v>111</v>
      </c>
      <c r="L4069" s="93" t="s">
        <v>111</v>
      </c>
      <c r="M4069" s="93" t="s">
        <v>111</v>
      </c>
      <c r="N4069" s="93" t="s">
        <v>111</v>
      </c>
      <c r="O4069" s="93" t="s">
        <v>111</v>
      </c>
      <c r="P4069" s="93" t="s">
        <v>111</v>
      </c>
      <c r="Q4069" s="93" t="s">
        <v>111</v>
      </c>
      <c r="R4069" s="93" t="s">
        <v>111</v>
      </c>
      <c r="S4069" s="93" t="s">
        <v>111</v>
      </c>
      <c r="T4069" s="93" t="s">
        <v>111</v>
      </c>
      <c r="U4069" s="93" t="s">
        <v>116</v>
      </c>
      <c r="V4069" s="94">
        <v>44610.142361111109</v>
      </c>
      <c r="W4069" s="93" t="s">
        <v>7072</v>
      </c>
      <c r="X4069" s="93" t="s">
        <v>24</v>
      </c>
    </row>
    <row r="4070" spans="1:24" hidden="1" x14ac:dyDescent="0.15">
      <c r="A4070" s="93" t="s">
        <v>8701</v>
      </c>
      <c r="B4070" s="93" t="s">
        <v>8702</v>
      </c>
      <c r="C4070" s="410">
        <v>680</v>
      </c>
      <c r="D4070" s="93" t="s">
        <v>24</v>
      </c>
      <c r="E4070" s="93" t="s">
        <v>24</v>
      </c>
      <c r="F4070" s="93" t="s">
        <v>126</v>
      </c>
      <c r="G4070" s="93" t="s">
        <v>7104</v>
      </c>
      <c r="H4070" s="93" t="s">
        <v>118</v>
      </c>
      <c r="I4070" s="93" t="s">
        <v>111</v>
      </c>
      <c r="J4070" s="93" t="s">
        <v>7105</v>
      </c>
      <c r="K4070" s="93" t="s">
        <v>111</v>
      </c>
      <c r="L4070" s="93" t="s">
        <v>111</v>
      </c>
      <c r="M4070" s="93" t="s">
        <v>111</v>
      </c>
      <c r="N4070" s="93" t="s">
        <v>111</v>
      </c>
      <c r="O4070" s="93" t="s">
        <v>111</v>
      </c>
      <c r="P4070" s="93" t="s">
        <v>111</v>
      </c>
      <c r="Q4070" s="93" t="s">
        <v>111</v>
      </c>
      <c r="R4070" s="93" t="s">
        <v>111</v>
      </c>
      <c r="S4070" s="93" t="s">
        <v>111</v>
      </c>
      <c r="T4070" s="93" t="s">
        <v>111</v>
      </c>
      <c r="U4070" s="93" t="s">
        <v>116</v>
      </c>
      <c r="V4070" s="94">
        <v>44610.204861111109</v>
      </c>
      <c r="W4070" s="93" t="s">
        <v>7072</v>
      </c>
      <c r="X4070" s="93" t="s">
        <v>24</v>
      </c>
    </row>
    <row r="4071" spans="1:24" hidden="1" x14ac:dyDescent="0.15">
      <c r="A4071" s="93" t="s">
        <v>8703</v>
      </c>
      <c r="B4071" s="93" t="s">
        <v>8704</v>
      </c>
      <c r="C4071" s="410">
        <v>1020</v>
      </c>
      <c r="D4071" s="93" t="s">
        <v>24</v>
      </c>
      <c r="E4071" s="93" t="s">
        <v>24</v>
      </c>
      <c r="F4071" s="93" t="s">
        <v>126</v>
      </c>
      <c r="G4071" s="93" t="s">
        <v>7104</v>
      </c>
      <c r="H4071" s="93" t="s">
        <v>118</v>
      </c>
      <c r="I4071" s="93" t="s">
        <v>111</v>
      </c>
      <c r="J4071" s="93" t="s">
        <v>7105</v>
      </c>
      <c r="K4071" s="93" t="s">
        <v>111</v>
      </c>
      <c r="L4071" s="93" t="s">
        <v>111</v>
      </c>
      <c r="M4071" s="93" t="s">
        <v>111</v>
      </c>
      <c r="N4071" s="93" t="s">
        <v>111</v>
      </c>
      <c r="O4071" s="93" t="s">
        <v>111</v>
      </c>
      <c r="P4071" s="93" t="s">
        <v>111</v>
      </c>
      <c r="Q4071" s="93" t="s">
        <v>111</v>
      </c>
      <c r="R4071" s="93" t="s">
        <v>111</v>
      </c>
      <c r="S4071" s="93" t="s">
        <v>2</v>
      </c>
      <c r="T4071" s="93" t="s">
        <v>111</v>
      </c>
      <c r="U4071" s="93" t="s">
        <v>116</v>
      </c>
      <c r="V4071" s="94">
        <v>44610.166666666664</v>
      </c>
      <c r="W4071" s="93" t="s">
        <v>7072</v>
      </c>
      <c r="X4071" s="93" t="s">
        <v>24</v>
      </c>
    </row>
    <row r="4072" spans="1:24" hidden="1" x14ac:dyDescent="0.15">
      <c r="A4072" s="93" t="s">
        <v>8705</v>
      </c>
      <c r="B4072" s="93" t="s">
        <v>8706</v>
      </c>
      <c r="C4072" s="410">
        <v>410</v>
      </c>
      <c r="D4072" s="93" t="s">
        <v>24</v>
      </c>
      <c r="E4072" s="93" t="s">
        <v>24</v>
      </c>
      <c r="F4072" s="93" t="s">
        <v>126</v>
      </c>
      <c r="G4072" s="93" t="s">
        <v>7104</v>
      </c>
      <c r="H4072" s="93" t="s">
        <v>118</v>
      </c>
      <c r="I4072" s="93" t="s">
        <v>111</v>
      </c>
      <c r="J4072" s="93" t="s">
        <v>7105</v>
      </c>
      <c r="K4072" s="93" t="s">
        <v>111</v>
      </c>
      <c r="L4072" s="93" t="s">
        <v>111</v>
      </c>
      <c r="M4072" s="93" t="s">
        <v>111</v>
      </c>
      <c r="N4072" s="93" t="s">
        <v>111</v>
      </c>
      <c r="O4072" s="93" t="s">
        <v>111</v>
      </c>
      <c r="P4072" s="93" t="s">
        <v>111</v>
      </c>
      <c r="Q4072" s="93" t="s">
        <v>111</v>
      </c>
      <c r="R4072" s="93" t="s">
        <v>111</v>
      </c>
      <c r="S4072" s="93" t="s">
        <v>2</v>
      </c>
      <c r="T4072" s="93" t="s">
        <v>111</v>
      </c>
      <c r="U4072" s="93" t="s">
        <v>116</v>
      </c>
      <c r="V4072" s="94">
        <v>44610.197916666664</v>
      </c>
      <c r="W4072" s="93" t="s">
        <v>7072</v>
      </c>
      <c r="X4072" s="93" t="s">
        <v>24</v>
      </c>
    </row>
    <row r="4073" spans="1:24" hidden="1" x14ac:dyDescent="0.15">
      <c r="A4073" s="93" t="s">
        <v>8707</v>
      </c>
      <c r="B4073" s="93" t="s">
        <v>8708</v>
      </c>
      <c r="C4073" s="410">
        <v>820</v>
      </c>
      <c r="D4073" s="93" t="s">
        <v>24</v>
      </c>
      <c r="E4073" s="93" t="s">
        <v>24</v>
      </c>
      <c r="F4073" s="93" t="s">
        <v>126</v>
      </c>
      <c r="G4073" s="93" t="s">
        <v>7104</v>
      </c>
      <c r="H4073" s="93" t="s">
        <v>118</v>
      </c>
      <c r="I4073" s="93" t="s">
        <v>111</v>
      </c>
      <c r="J4073" s="93" t="s">
        <v>7105</v>
      </c>
      <c r="K4073" s="93" t="s">
        <v>111</v>
      </c>
      <c r="L4073" s="93" t="s">
        <v>111</v>
      </c>
      <c r="M4073" s="93" t="s">
        <v>111</v>
      </c>
      <c r="N4073" s="93" t="s">
        <v>111</v>
      </c>
      <c r="O4073" s="93" t="s">
        <v>111</v>
      </c>
      <c r="P4073" s="93" t="s">
        <v>111</v>
      </c>
      <c r="Q4073" s="93" t="s">
        <v>111</v>
      </c>
      <c r="R4073" s="93" t="s">
        <v>111</v>
      </c>
      <c r="S4073" s="93" t="s">
        <v>2</v>
      </c>
      <c r="T4073" s="93" t="s">
        <v>111</v>
      </c>
      <c r="U4073" s="93" t="s">
        <v>116</v>
      </c>
      <c r="V4073" s="94">
        <v>44610.142361111109</v>
      </c>
      <c r="W4073" s="93" t="s">
        <v>7072</v>
      </c>
      <c r="X4073" s="93" t="s">
        <v>24</v>
      </c>
    </row>
    <row r="4074" spans="1:24" hidden="1" x14ac:dyDescent="0.15">
      <c r="A4074" s="93" t="s">
        <v>8709</v>
      </c>
      <c r="B4074" s="93" t="s">
        <v>8710</v>
      </c>
      <c r="C4074" s="410">
        <v>1230</v>
      </c>
      <c r="D4074" s="93" t="s">
        <v>24</v>
      </c>
      <c r="E4074" s="93" t="s">
        <v>24</v>
      </c>
      <c r="F4074" s="93" t="s">
        <v>126</v>
      </c>
      <c r="G4074" s="93" t="s">
        <v>7104</v>
      </c>
      <c r="H4074" s="93" t="s">
        <v>118</v>
      </c>
      <c r="I4074" s="93" t="s">
        <v>111</v>
      </c>
      <c r="J4074" s="93" t="s">
        <v>7105</v>
      </c>
      <c r="K4074" s="93" t="s">
        <v>111</v>
      </c>
      <c r="L4074" s="93" t="s">
        <v>111</v>
      </c>
      <c r="M4074" s="93" t="s">
        <v>111</v>
      </c>
      <c r="N4074" s="93" t="s">
        <v>111</v>
      </c>
      <c r="O4074" s="93" t="s">
        <v>111</v>
      </c>
      <c r="P4074" s="93" t="s">
        <v>111</v>
      </c>
      <c r="Q4074" s="93" t="s">
        <v>111</v>
      </c>
      <c r="R4074" s="93" t="s">
        <v>111</v>
      </c>
      <c r="S4074" s="93" t="s">
        <v>2</v>
      </c>
      <c r="T4074" s="93" t="s">
        <v>111</v>
      </c>
      <c r="U4074" s="93" t="s">
        <v>116</v>
      </c>
      <c r="V4074" s="94">
        <v>44610.204861111109</v>
      </c>
      <c r="W4074" s="93" t="s">
        <v>7072</v>
      </c>
      <c r="X4074" s="93" t="s">
        <v>24</v>
      </c>
    </row>
    <row r="4075" spans="1:24" hidden="1" x14ac:dyDescent="0.15">
      <c r="A4075" s="93" t="s">
        <v>8711</v>
      </c>
      <c r="B4075" s="93" t="s">
        <v>8712</v>
      </c>
      <c r="C4075" s="410">
        <v>80</v>
      </c>
      <c r="D4075" s="93" t="s">
        <v>24</v>
      </c>
      <c r="E4075" s="93" t="s">
        <v>24</v>
      </c>
      <c r="F4075" s="93" t="s">
        <v>126</v>
      </c>
      <c r="G4075" s="93" t="s">
        <v>7104</v>
      </c>
      <c r="H4075" s="93" t="s">
        <v>118</v>
      </c>
      <c r="I4075" s="93" t="s">
        <v>111</v>
      </c>
      <c r="J4075" s="93" t="s">
        <v>7105</v>
      </c>
      <c r="K4075" s="93" t="s">
        <v>111</v>
      </c>
      <c r="L4075" s="93" t="s">
        <v>111</v>
      </c>
      <c r="M4075" s="93" t="s">
        <v>111</v>
      </c>
      <c r="N4075" s="93" t="s">
        <v>111</v>
      </c>
      <c r="O4075" s="93" t="s">
        <v>111</v>
      </c>
      <c r="P4075" s="93" t="s">
        <v>111</v>
      </c>
      <c r="Q4075" s="93" t="s">
        <v>111</v>
      </c>
      <c r="R4075" s="93" t="s">
        <v>111</v>
      </c>
      <c r="S4075" s="93" t="s">
        <v>111</v>
      </c>
      <c r="T4075" s="93" t="s">
        <v>111</v>
      </c>
      <c r="U4075" s="93" t="s">
        <v>116</v>
      </c>
      <c r="V4075" s="94">
        <v>44610.197916666664</v>
      </c>
      <c r="W4075" s="93" t="s">
        <v>7072</v>
      </c>
      <c r="X4075" s="93" t="s">
        <v>24</v>
      </c>
    </row>
    <row r="4076" spans="1:24" hidden="1" x14ac:dyDescent="0.15">
      <c r="A4076" s="93" t="s">
        <v>8713</v>
      </c>
      <c r="B4076" s="93" t="s">
        <v>8714</v>
      </c>
      <c r="C4076" s="410">
        <v>160</v>
      </c>
      <c r="D4076" s="93" t="s">
        <v>24</v>
      </c>
      <c r="E4076" s="93" t="s">
        <v>24</v>
      </c>
      <c r="F4076" s="93" t="s">
        <v>126</v>
      </c>
      <c r="G4076" s="93" t="s">
        <v>7104</v>
      </c>
      <c r="H4076" s="93" t="s">
        <v>118</v>
      </c>
      <c r="I4076" s="93" t="s">
        <v>111</v>
      </c>
      <c r="J4076" s="93" t="s">
        <v>7105</v>
      </c>
      <c r="K4076" s="93" t="s">
        <v>111</v>
      </c>
      <c r="L4076" s="93" t="s">
        <v>111</v>
      </c>
      <c r="M4076" s="93" t="s">
        <v>111</v>
      </c>
      <c r="N4076" s="93" t="s">
        <v>111</v>
      </c>
      <c r="O4076" s="93" t="s">
        <v>111</v>
      </c>
      <c r="P4076" s="93" t="s">
        <v>111</v>
      </c>
      <c r="Q4076" s="93" t="s">
        <v>111</v>
      </c>
      <c r="R4076" s="93" t="s">
        <v>111</v>
      </c>
      <c r="S4076" s="93" t="s">
        <v>111</v>
      </c>
      <c r="T4076" s="93" t="s">
        <v>111</v>
      </c>
      <c r="U4076" s="93" t="s">
        <v>116</v>
      </c>
      <c r="V4076" s="94">
        <v>44610.142361111109</v>
      </c>
      <c r="W4076" s="93" t="s">
        <v>7072</v>
      </c>
      <c r="X4076" s="93" t="s">
        <v>24</v>
      </c>
    </row>
    <row r="4077" spans="1:24" hidden="1" x14ac:dyDescent="0.15">
      <c r="A4077" s="93" t="s">
        <v>8715</v>
      </c>
      <c r="B4077" s="93" t="s">
        <v>8716</v>
      </c>
      <c r="C4077" s="410">
        <v>240</v>
      </c>
      <c r="D4077" s="93" t="s">
        <v>24</v>
      </c>
      <c r="E4077" s="93" t="s">
        <v>24</v>
      </c>
      <c r="F4077" s="93" t="s">
        <v>126</v>
      </c>
      <c r="G4077" s="93" t="s">
        <v>7104</v>
      </c>
      <c r="H4077" s="93" t="s">
        <v>118</v>
      </c>
      <c r="I4077" s="93" t="s">
        <v>111</v>
      </c>
      <c r="J4077" s="93" t="s">
        <v>7105</v>
      </c>
      <c r="K4077" s="93" t="s">
        <v>111</v>
      </c>
      <c r="L4077" s="93" t="s">
        <v>111</v>
      </c>
      <c r="M4077" s="93" t="s">
        <v>111</v>
      </c>
      <c r="N4077" s="93" t="s">
        <v>111</v>
      </c>
      <c r="O4077" s="93" t="s">
        <v>111</v>
      </c>
      <c r="P4077" s="93" t="s">
        <v>111</v>
      </c>
      <c r="Q4077" s="93" t="s">
        <v>111</v>
      </c>
      <c r="R4077" s="93" t="s">
        <v>111</v>
      </c>
      <c r="S4077" s="93" t="s">
        <v>2</v>
      </c>
      <c r="T4077" s="93" t="s">
        <v>111</v>
      </c>
      <c r="U4077" s="93" t="s">
        <v>116</v>
      </c>
      <c r="V4077" s="94">
        <v>44610.204861111109</v>
      </c>
      <c r="W4077" s="93" t="s">
        <v>7072</v>
      </c>
      <c r="X4077" s="93" t="s">
        <v>24</v>
      </c>
    </row>
    <row r="4078" spans="1:24" hidden="1" x14ac:dyDescent="0.15">
      <c r="A4078" s="93" t="s">
        <v>8717</v>
      </c>
      <c r="B4078" s="93" t="s">
        <v>8718</v>
      </c>
      <c r="C4078" s="410">
        <v>640</v>
      </c>
      <c r="D4078" s="93" t="s">
        <v>24</v>
      </c>
      <c r="E4078" s="93" t="s">
        <v>24</v>
      </c>
      <c r="F4078" s="93" t="s">
        <v>126</v>
      </c>
      <c r="G4078" s="93" t="s">
        <v>7104</v>
      </c>
      <c r="H4078" s="93" t="s">
        <v>118</v>
      </c>
      <c r="I4078" s="93" t="s">
        <v>111</v>
      </c>
      <c r="J4078" s="93" t="s">
        <v>7105</v>
      </c>
      <c r="K4078" s="93" t="s">
        <v>111</v>
      </c>
      <c r="L4078" s="93" t="s">
        <v>111</v>
      </c>
      <c r="M4078" s="93" t="s">
        <v>111</v>
      </c>
      <c r="N4078" s="93" t="s">
        <v>111</v>
      </c>
      <c r="O4078" s="93" t="s">
        <v>111</v>
      </c>
      <c r="P4078" s="93" t="s">
        <v>111</v>
      </c>
      <c r="Q4078" s="93" t="s">
        <v>111</v>
      </c>
      <c r="R4078" s="93" t="s">
        <v>111</v>
      </c>
      <c r="S4078" s="93" t="s">
        <v>2</v>
      </c>
      <c r="T4078" s="93" t="s">
        <v>111</v>
      </c>
      <c r="U4078" s="93" t="s">
        <v>116</v>
      </c>
      <c r="V4078" s="94">
        <v>44610.138194444444</v>
      </c>
      <c r="W4078" s="93" t="s">
        <v>7072</v>
      </c>
      <c r="X4078" s="93" t="s">
        <v>24</v>
      </c>
    </row>
    <row r="4079" spans="1:24" hidden="1" x14ac:dyDescent="0.15">
      <c r="A4079" s="93" t="s">
        <v>8719</v>
      </c>
      <c r="B4079" s="93" t="s">
        <v>8720</v>
      </c>
      <c r="C4079" s="410">
        <v>46.67</v>
      </c>
      <c r="D4079" s="93" t="s">
        <v>24</v>
      </c>
      <c r="E4079" s="93" t="s">
        <v>24</v>
      </c>
      <c r="F4079" s="93" t="s">
        <v>126</v>
      </c>
      <c r="G4079" s="93" t="s">
        <v>7104</v>
      </c>
      <c r="H4079" s="93" t="s">
        <v>118</v>
      </c>
      <c r="I4079" s="93" t="s">
        <v>111</v>
      </c>
      <c r="J4079" s="93" t="s">
        <v>7105</v>
      </c>
      <c r="K4079" s="93" t="s">
        <v>111</v>
      </c>
      <c r="L4079" s="93" t="s">
        <v>111</v>
      </c>
      <c r="M4079" s="93" t="s">
        <v>111</v>
      </c>
      <c r="N4079" s="93" t="s">
        <v>111</v>
      </c>
      <c r="O4079" s="93" t="s">
        <v>111</v>
      </c>
      <c r="P4079" s="93" t="s">
        <v>111</v>
      </c>
      <c r="Q4079" s="93" t="s">
        <v>111</v>
      </c>
      <c r="R4079" s="93" t="s">
        <v>111</v>
      </c>
      <c r="S4079" s="93" t="s">
        <v>2</v>
      </c>
      <c r="T4079" s="93" t="s">
        <v>111</v>
      </c>
      <c r="U4079" s="93" t="s">
        <v>116</v>
      </c>
      <c r="V4079" s="94">
        <v>44610.18472222222</v>
      </c>
      <c r="W4079" s="93" t="s">
        <v>7072</v>
      </c>
      <c r="X4079" s="93" t="s">
        <v>24</v>
      </c>
    </row>
    <row r="4080" spans="1:24" hidden="1" x14ac:dyDescent="0.15">
      <c r="A4080" s="93" t="s">
        <v>8721</v>
      </c>
      <c r="B4080" s="93" t="s">
        <v>8722</v>
      </c>
      <c r="C4080" s="410">
        <v>780</v>
      </c>
      <c r="D4080" s="93" t="s">
        <v>24</v>
      </c>
      <c r="E4080" s="93" t="s">
        <v>24</v>
      </c>
      <c r="F4080" s="93" t="s">
        <v>126</v>
      </c>
      <c r="G4080" s="93" t="s">
        <v>7104</v>
      </c>
      <c r="H4080" s="93" t="s">
        <v>118</v>
      </c>
      <c r="I4080" s="93" t="s">
        <v>111</v>
      </c>
      <c r="J4080" s="93" t="s">
        <v>7105</v>
      </c>
      <c r="K4080" s="93" t="s">
        <v>111</v>
      </c>
      <c r="L4080" s="93" t="s">
        <v>111</v>
      </c>
      <c r="M4080" s="93" t="s">
        <v>111</v>
      </c>
      <c r="N4080" s="93" t="s">
        <v>111</v>
      </c>
      <c r="O4080" s="93" t="s">
        <v>111</v>
      </c>
      <c r="P4080" s="93" t="s">
        <v>111</v>
      </c>
      <c r="Q4080" s="93" t="s">
        <v>111</v>
      </c>
      <c r="R4080" s="93" t="s">
        <v>111</v>
      </c>
      <c r="S4080" s="93" t="s">
        <v>2</v>
      </c>
      <c r="T4080" s="93" t="s">
        <v>111</v>
      </c>
      <c r="U4080" s="93" t="s">
        <v>116</v>
      </c>
      <c r="V4080" s="94">
        <v>44610.137499999997</v>
      </c>
      <c r="W4080" s="93" t="s">
        <v>7072</v>
      </c>
      <c r="X4080" s="93" t="s">
        <v>24</v>
      </c>
    </row>
    <row r="4081" spans="1:24" hidden="1" x14ac:dyDescent="0.15">
      <c r="A4081" s="93" t="s">
        <v>8723</v>
      </c>
      <c r="B4081" s="93" t="s">
        <v>8724</v>
      </c>
      <c r="C4081" s="410">
        <v>20.95</v>
      </c>
      <c r="D4081" s="93" t="s">
        <v>24</v>
      </c>
      <c r="E4081" s="93" t="s">
        <v>24</v>
      </c>
      <c r="F4081" s="93" t="s">
        <v>126</v>
      </c>
      <c r="G4081" s="93" t="s">
        <v>7104</v>
      </c>
      <c r="H4081" s="93" t="s">
        <v>118</v>
      </c>
      <c r="I4081" s="93" t="s">
        <v>111</v>
      </c>
      <c r="J4081" s="93" t="s">
        <v>7105</v>
      </c>
      <c r="K4081" s="93" t="s">
        <v>111</v>
      </c>
      <c r="L4081" s="93" t="s">
        <v>111</v>
      </c>
      <c r="M4081" s="93" t="s">
        <v>111</v>
      </c>
      <c r="N4081" s="93" t="s">
        <v>111</v>
      </c>
      <c r="O4081" s="93" t="s">
        <v>111</v>
      </c>
      <c r="P4081" s="93" t="s">
        <v>111</v>
      </c>
      <c r="Q4081" s="93" t="s">
        <v>111</v>
      </c>
      <c r="R4081" s="93" t="s">
        <v>111</v>
      </c>
      <c r="S4081" s="93" t="s">
        <v>2</v>
      </c>
      <c r="T4081" s="93" t="s">
        <v>111</v>
      </c>
      <c r="U4081" s="93" t="s">
        <v>116</v>
      </c>
      <c r="V4081" s="94">
        <v>44610.197916666664</v>
      </c>
      <c r="W4081" s="93" t="s">
        <v>7072</v>
      </c>
      <c r="X4081" s="93" t="s">
        <v>24</v>
      </c>
    </row>
    <row r="4082" spans="1:24" hidden="1" x14ac:dyDescent="0.15">
      <c r="A4082" s="93" t="s">
        <v>8725</v>
      </c>
      <c r="B4082" s="93" t="s">
        <v>8726</v>
      </c>
      <c r="C4082" s="410">
        <v>160</v>
      </c>
      <c r="D4082" s="93" t="s">
        <v>24</v>
      </c>
      <c r="E4082" s="93" t="s">
        <v>24</v>
      </c>
      <c r="F4082" s="93" t="s">
        <v>126</v>
      </c>
      <c r="G4082" s="93" t="s">
        <v>7104</v>
      </c>
      <c r="H4082" s="93" t="s">
        <v>118</v>
      </c>
      <c r="I4082" s="93" t="s">
        <v>111</v>
      </c>
      <c r="J4082" s="93" t="s">
        <v>7105</v>
      </c>
      <c r="K4082" s="93" t="s">
        <v>111</v>
      </c>
      <c r="L4082" s="93" t="s">
        <v>111</v>
      </c>
      <c r="M4082" s="93" t="s">
        <v>111</v>
      </c>
      <c r="N4082" s="93" t="s">
        <v>111</v>
      </c>
      <c r="O4082" s="93" t="s">
        <v>111</v>
      </c>
      <c r="P4082" s="93" t="s">
        <v>111</v>
      </c>
      <c r="Q4082" s="93" t="s">
        <v>111</v>
      </c>
      <c r="R4082" s="93" t="s">
        <v>111</v>
      </c>
      <c r="S4082" s="93" t="s">
        <v>2</v>
      </c>
      <c r="T4082" s="93" t="s">
        <v>111</v>
      </c>
      <c r="U4082" s="93" t="s">
        <v>116</v>
      </c>
      <c r="V4082" s="94">
        <v>44610.207638888889</v>
      </c>
      <c r="W4082" s="93" t="s">
        <v>7072</v>
      </c>
      <c r="X4082" s="93" t="s">
        <v>24</v>
      </c>
    </row>
    <row r="4083" spans="1:24" hidden="1" x14ac:dyDescent="0.15">
      <c r="A4083" s="93" t="s">
        <v>8727</v>
      </c>
      <c r="B4083" s="93" t="s">
        <v>8728</v>
      </c>
      <c r="C4083" s="410">
        <v>280</v>
      </c>
      <c r="D4083" s="93" t="s">
        <v>24</v>
      </c>
      <c r="E4083" s="93" t="s">
        <v>24</v>
      </c>
      <c r="F4083" s="93" t="s">
        <v>126</v>
      </c>
      <c r="G4083" s="93" t="s">
        <v>7104</v>
      </c>
      <c r="H4083" s="93" t="s">
        <v>118</v>
      </c>
      <c r="I4083" s="93" t="s">
        <v>111</v>
      </c>
      <c r="J4083" s="93" t="s">
        <v>7105</v>
      </c>
      <c r="K4083" s="93" t="s">
        <v>111</v>
      </c>
      <c r="L4083" s="93" t="s">
        <v>111</v>
      </c>
      <c r="M4083" s="93" t="s">
        <v>111</v>
      </c>
      <c r="N4083" s="93" t="s">
        <v>111</v>
      </c>
      <c r="O4083" s="93" t="s">
        <v>111</v>
      </c>
      <c r="P4083" s="93" t="s">
        <v>111</v>
      </c>
      <c r="Q4083" s="93" t="s">
        <v>111</v>
      </c>
      <c r="R4083" s="93" t="s">
        <v>111</v>
      </c>
      <c r="S4083" s="93" t="s">
        <v>2</v>
      </c>
      <c r="T4083" s="93" t="s">
        <v>111</v>
      </c>
      <c r="U4083" s="93" t="s">
        <v>116</v>
      </c>
      <c r="V4083" s="94">
        <v>44610.143750000003</v>
      </c>
      <c r="W4083" s="93" t="s">
        <v>7072</v>
      </c>
      <c r="X4083" s="93" t="s">
        <v>24</v>
      </c>
    </row>
    <row r="4084" spans="1:24" hidden="1" x14ac:dyDescent="0.15">
      <c r="A4084" s="93" t="s">
        <v>8729</v>
      </c>
      <c r="B4084" s="93" t="s">
        <v>8730</v>
      </c>
      <c r="C4084" s="410">
        <v>460</v>
      </c>
      <c r="D4084" s="93" t="s">
        <v>24</v>
      </c>
      <c r="E4084" s="93" t="s">
        <v>24</v>
      </c>
      <c r="F4084" s="93" t="s">
        <v>126</v>
      </c>
      <c r="G4084" s="93" t="s">
        <v>7104</v>
      </c>
      <c r="H4084" s="93" t="s">
        <v>118</v>
      </c>
      <c r="I4084" s="93" t="s">
        <v>111</v>
      </c>
      <c r="J4084" s="93" t="s">
        <v>7105</v>
      </c>
      <c r="K4084" s="93" t="s">
        <v>111</v>
      </c>
      <c r="L4084" s="93" t="s">
        <v>111</v>
      </c>
      <c r="M4084" s="93" t="s">
        <v>111</v>
      </c>
      <c r="N4084" s="93" t="s">
        <v>111</v>
      </c>
      <c r="O4084" s="93" t="s">
        <v>111</v>
      </c>
      <c r="P4084" s="93" t="s">
        <v>111</v>
      </c>
      <c r="Q4084" s="93" t="s">
        <v>111</v>
      </c>
      <c r="R4084" s="93" t="s">
        <v>111</v>
      </c>
      <c r="S4084" s="93" t="s">
        <v>2</v>
      </c>
      <c r="T4084" s="93" t="s">
        <v>111</v>
      </c>
      <c r="U4084" s="93" t="s">
        <v>116</v>
      </c>
      <c r="V4084" s="94">
        <v>44610.150694444441</v>
      </c>
      <c r="W4084" s="93" t="s">
        <v>7072</v>
      </c>
      <c r="X4084" s="93" t="s">
        <v>24</v>
      </c>
    </row>
    <row r="4085" spans="1:24" hidden="1" x14ac:dyDescent="0.15">
      <c r="A4085" s="93" t="s">
        <v>8731</v>
      </c>
      <c r="B4085" s="93" t="s">
        <v>8732</v>
      </c>
      <c r="C4085" s="410">
        <v>17.600000000000001</v>
      </c>
      <c r="D4085" s="93" t="s">
        <v>24</v>
      </c>
      <c r="E4085" s="93" t="s">
        <v>24</v>
      </c>
      <c r="F4085" s="93" t="s">
        <v>126</v>
      </c>
      <c r="G4085" s="93" t="s">
        <v>7104</v>
      </c>
      <c r="H4085" s="93" t="s">
        <v>118</v>
      </c>
      <c r="I4085" s="93" t="s">
        <v>111</v>
      </c>
      <c r="J4085" s="93" t="s">
        <v>7105</v>
      </c>
      <c r="K4085" s="93" t="s">
        <v>111</v>
      </c>
      <c r="L4085" s="93" t="s">
        <v>111</v>
      </c>
      <c r="M4085" s="93" t="s">
        <v>111</v>
      </c>
      <c r="N4085" s="93" t="s">
        <v>111</v>
      </c>
      <c r="O4085" s="93" t="s">
        <v>111</v>
      </c>
      <c r="P4085" s="93" t="s">
        <v>111</v>
      </c>
      <c r="Q4085" s="93" t="s">
        <v>111</v>
      </c>
      <c r="R4085" s="93" t="s">
        <v>111</v>
      </c>
      <c r="S4085" s="93" t="s">
        <v>2</v>
      </c>
      <c r="T4085" s="93" t="s">
        <v>111</v>
      </c>
      <c r="U4085" s="93" t="s">
        <v>116</v>
      </c>
      <c r="V4085" s="94">
        <v>44610.19027777778</v>
      </c>
      <c r="W4085" s="93" t="s">
        <v>7072</v>
      </c>
      <c r="X4085" s="93" t="s">
        <v>24</v>
      </c>
    </row>
    <row r="4086" spans="1:24" hidden="1" x14ac:dyDescent="0.15">
      <c r="A4086" s="93" t="s">
        <v>8733</v>
      </c>
      <c r="B4086" s="93" t="s">
        <v>8734</v>
      </c>
      <c r="C4086" s="410">
        <v>140</v>
      </c>
      <c r="D4086" s="93" t="s">
        <v>24</v>
      </c>
      <c r="E4086" s="93" t="s">
        <v>24</v>
      </c>
      <c r="F4086" s="93" t="s">
        <v>126</v>
      </c>
      <c r="G4086" s="93" t="s">
        <v>7104</v>
      </c>
      <c r="H4086" s="93" t="s">
        <v>118</v>
      </c>
      <c r="I4086" s="93" t="s">
        <v>111</v>
      </c>
      <c r="J4086" s="93" t="s">
        <v>7105</v>
      </c>
      <c r="K4086" s="93" t="s">
        <v>111</v>
      </c>
      <c r="L4086" s="93" t="s">
        <v>111</v>
      </c>
      <c r="M4086" s="93" t="s">
        <v>111</v>
      </c>
      <c r="N4086" s="93" t="s">
        <v>111</v>
      </c>
      <c r="O4086" s="93" t="s">
        <v>111</v>
      </c>
      <c r="P4086" s="93" t="s">
        <v>111</v>
      </c>
      <c r="Q4086" s="93" t="s">
        <v>111</v>
      </c>
      <c r="R4086" s="93" t="s">
        <v>111</v>
      </c>
      <c r="S4086" s="93" t="s">
        <v>111</v>
      </c>
      <c r="T4086" s="93" t="s">
        <v>111</v>
      </c>
      <c r="U4086" s="93" t="s">
        <v>116</v>
      </c>
      <c r="V4086" s="94">
        <v>44610.182638888888</v>
      </c>
      <c r="W4086" s="93" t="s">
        <v>7072</v>
      </c>
      <c r="X4086" s="93" t="s">
        <v>24</v>
      </c>
    </row>
    <row r="4087" spans="1:24" hidden="1" x14ac:dyDescent="0.15">
      <c r="A4087" s="93" t="s">
        <v>8735</v>
      </c>
      <c r="B4087" s="93" t="s">
        <v>8736</v>
      </c>
      <c r="C4087" s="410">
        <v>280</v>
      </c>
      <c r="D4087" s="93" t="s">
        <v>24</v>
      </c>
      <c r="E4087" s="93" t="s">
        <v>24</v>
      </c>
      <c r="F4087" s="93" t="s">
        <v>126</v>
      </c>
      <c r="G4087" s="93" t="s">
        <v>7104</v>
      </c>
      <c r="H4087" s="93" t="s">
        <v>118</v>
      </c>
      <c r="I4087" s="93" t="s">
        <v>111</v>
      </c>
      <c r="J4087" s="93" t="s">
        <v>7105</v>
      </c>
      <c r="K4087" s="93" t="s">
        <v>111</v>
      </c>
      <c r="L4087" s="93" t="s">
        <v>111</v>
      </c>
      <c r="M4087" s="93" t="s">
        <v>111</v>
      </c>
      <c r="N4087" s="93" t="s">
        <v>111</v>
      </c>
      <c r="O4087" s="93" t="s">
        <v>111</v>
      </c>
      <c r="P4087" s="93" t="s">
        <v>111</v>
      </c>
      <c r="Q4087" s="93" t="s">
        <v>111</v>
      </c>
      <c r="R4087" s="93" t="s">
        <v>111</v>
      </c>
      <c r="S4087" s="93" t="s">
        <v>2</v>
      </c>
      <c r="T4087" s="93" t="s">
        <v>111</v>
      </c>
      <c r="U4087" s="93" t="s">
        <v>116</v>
      </c>
      <c r="V4087" s="94">
        <v>44610.142361111109</v>
      </c>
      <c r="W4087" s="93" t="s">
        <v>7072</v>
      </c>
      <c r="X4087" s="93" t="s">
        <v>24</v>
      </c>
    </row>
    <row r="4088" spans="1:24" hidden="1" x14ac:dyDescent="0.15">
      <c r="A4088" s="93" t="s">
        <v>8737</v>
      </c>
      <c r="B4088" s="93" t="s">
        <v>8738</v>
      </c>
      <c r="C4088" s="410">
        <v>420</v>
      </c>
      <c r="D4088" s="93" t="s">
        <v>24</v>
      </c>
      <c r="E4088" s="93" t="s">
        <v>24</v>
      </c>
      <c r="F4088" s="93" t="s">
        <v>126</v>
      </c>
      <c r="G4088" s="93" t="s">
        <v>7104</v>
      </c>
      <c r="H4088" s="93" t="s">
        <v>118</v>
      </c>
      <c r="I4088" s="93" t="s">
        <v>111</v>
      </c>
      <c r="J4088" s="93" t="s">
        <v>7105</v>
      </c>
      <c r="K4088" s="93" t="s">
        <v>111</v>
      </c>
      <c r="L4088" s="93" t="s">
        <v>111</v>
      </c>
      <c r="M4088" s="93" t="s">
        <v>111</v>
      </c>
      <c r="N4088" s="93" t="s">
        <v>111</v>
      </c>
      <c r="O4088" s="93" t="s">
        <v>111</v>
      </c>
      <c r="P4088" s="93" t="s">
        <v>111</v>
      </c>
      <c r="Q4088" s="93" t="s">
        <v>111</v>
      </c>
      <c r="R4088" s="93" t="s">
        <v>111</v>
      </c>
      <c r="S4088" s="93" t="s">
        <v>111</v>
      </c>
      <c r="T4088" s="93" t="s">
        <v>111</v>
      </c>
      <c r="U4088" s="93" t="s">
        <v>116</v>
      </c>
      <c r="V4088" s="94">
        <v>44610.182638888888</v>
      </c>
      <c r="W4088" s="93" t="s">
        <v>7072</v>
      </c>
      <c r="X4088" s="93" t="s">
        <v>24</v>
      </c>
    </row>
    <row r="4089" spans="1:24" hidden="1" x14ac:dyDescent="0.15">
      <c r="A4089" s="93" t="s">
        <v>8739</v>
      </c>
      <c r="B4089" s="93" t="s">
        <v>8740</v>
      </c>
      <c r="C4089" s="410">
        <v>240</v>
      </c>
      <c r="D4089" s="93" t="s">
        <v>24</v>
      </c>
      <c r="E4089" s="93" t="s">
        <v>24</v>
      </c>
      <c r="F4089" s="93" t="s">
        <v>126</v>
      </c>
      <c r="G4089" s="93" t="s">
        <v>7104</v>
      </c>
      <c r="H4089" s="93" t="s">
        <v>118</v>
      </c>
      <c r="I4089" s="93" t="s">
        <v>111</v>
      </c>
      <c r="J4089" s="93" t="s">
        <v>7105</v>
      </c>
      <c r="K4089" s="93" t="s">
        <v>111</v>
      </c>
      <c r="L4089" s="93" t="s">
        <v>111</v>
      </c>
      <c r="M4089" s="93" t="s">
        <v>111</v>
      </c>
      <c r="N4089" s="93" t="s">
        <v>111</v>
      </c>
      <c r="O4089" s="93" t="s">
        <v>111</v>
      </c>
      <c r="P4089" s="93" t="s">
        <v>111</v>
      </c>
      <c r="Q4089" s="93" t="s">
        <v>111</v>
      </c>
      <c r="R4089" s="93" t="s">
        <v>111</v>
      </c>
      <c r="S4089" s="93" t="s">
        <v>2</v>
      </c>
      <c r="T4089" s="93" t="s">
        <v>111</v>
      </c>
      <c r="U4089" s="93" t="s">
        <v>116</v>
      </c>
      <c r="V4089" s="94">
        <v>44610.18472222222</v>
      </c>
      <c r="W4089" s="93" t="s">
        <v>7072</v>
      </c>
      <c r="X4089" s="93" t="s">
        <v>24</v>
      </c>
    </row>
    <row r="4090" spans="1:24" hidden="1" x14ac:dyDescent="0.15">
      <c r="A4090" s="93" t="s">
        <v>8741</v>
      </c>
      <c r="B4090" s="93" t="s">
        <v>8742</v>
      </c>
      <c r="C4090" s="410">
        <v>420</v>
      </c>
      <c r="D4090" s="93" t="s">
        <v>24</v>
      </c>
      <c r="E4090" s="93" t="s">
        <v>24</v>
      </c>
      <c r="F4090" s="93" t="s">
        <v>126</v>
      </c>
      <c r="G4090" s="93" t="s">
        <v>7104</v>
      </c>
      <c r="H4090" s="93" t="s">
        <v>118</v>
      </c>
      <c r="I4090" s="93" t="s">
        <v>111</v>
      </c>
      <c r="J4090" s="93" t="s">
        <v>7105</v>
      </c>
      <c r="K4090" s="93" t="s">
        <v>111</v>
      </c>
      <c r="L4090" s="93" t="s">
        <v>111</v>
      </c>
      <c r="M4090" s="93" t="s">
        <v>111</v>
      </c>
      <c r="N4090" s="93" t="s">
        <v>111</v>
      </c>
      <c r="O4090" s="93" t="s">
        <v>111</v>
      </c>
      <c r="P4090" s="93" t="s">
        <v>111</v>
      </c>
      <c r="Q4090" s="93" t="s">
        <v>111</v>
      </c>
      <c r="R4090" s="93" t="s">
        <v>111</v>
      </c>
      <c r="S4090" s="93" t="s">
        <v>2</v>
      </c>
      <c r="T4090" s="93" t="s">
        <v>111</v>
      </c>
      <c r="U4090" s="93" t="s">
        <v>116</v>
      </c>
      <c r="V4090" s="94">
        <v>44610.138194444444</v>
      </c>
      <c r="W4090" s="93" t="s">
        <v>7072</v>
      </c>
      <c r="X4090" s="93" t="s">
        <v>24</v>
      </c>
    </row>
    <row r="4091" spans="1:24" hidden="1" x14ac:dyDescent="0.15">
      <c r="A4091" s="93" t="s">
        <v>8743</v>
      </c>
      <c r="B4091" s="93" t="s">
        <v>8744</v>
      </c>
      <c r="C4091" s="410">
        <v>240</v>
      </c>
      <c r="D4091" s="93" t="s">
        <v>24</v>
      </c>
      <c r="E4091" s="93" t="s">
        <v>24</v>
      </c>
      <c r="F4091" s="93" t="s">
        <v>126</v>
      </c>
      <c r="G4091" s="93" t="s">
        <v>7104</v>
      </c>
      <c r="H4091" s="93" t="s">
        <v>118</v>
      </c>
      <c r="I4091" s="93" t="s">
        <v>111</v>
      </c>
      <c r="J4091" s="93" t="s">
        <v>7105</v>
      </c>
      <c r="K4091" s="93" t="s">
        <v>111</v>
      </c>
      <c r="L4091" s="93" t="s">
        <v>111</v>
      </c>
      <c r="M4091" s="93" t="s">
        <v>111</v>
      </c>
      <c r="N4091" s="93" t="s">
        <v>111</v>
      </c>
      <c r="O4091" s="93" t="s">
        <v>111</v>
      </c>
      <c r="P4091" s="93" t="s">
        <v>111</v>
      </c>
      <c r="Q4091" s="93" t="s">
        <v>111</v>
      </c>
      <c r="R4091" s="93" t="s">
        <v>111</v>
      </c>
      <c r="S4091" s="93" t="s">
        <v>2</v>
      </c>
      <c r="T4091" s="93" t="s">
        <v>111</v>
      </c>
      <c r="U4091" s="93" t="s">
        <v>116</v>
      </c>
      <c r="V4091" s="94">
        <v>44610.165972222225</v>
      </c>
      <c r="W4091" s="93" t="s">
        <v>7072</v>
      </c>
      <c r="X4091" s="93" t="s">
        <v>24</v>
      </c>
    </row>
    <row r="4092" spans="1:24" hidden="1" x14ac:dyDescent="0.15">
      <c r="A4092" s="93" t="s">
        <v>8745</v>
      </c>
      <c r="B4092" s="93" t="s">
        <v>8746</v>
      </c>
      <c r="C4092" s="410">
        <v>480</v>
      </c>
      <c r="D4092" s="93" t="s">
        <v>24</v>
      </c>
      <c r="E4092" s="93" t="s">
        <v>24</v>
      </c>
      <c r="F4092" s="93" t="s">
        <v>126</v>
      </c>
      <c r="G4092" s="93" t="s">
        <v>7104</v>
      </c>
      <c r="H4092" s="93" t="s">
        <v>118</v>
      </c>
      <c r="I4092" s="93" t="s">
        <v>111</v>
      </c>
      <c r="J4092" s="93" t="s">
        <v>7105</v>
      </c>
      <c r="K4092" s="93" t="s">
        <v>111</v>
      </c>
      <c r="L4092" s="93" t="s">
        <v>111</v>
      </c>
      <c r="M4092" s="93" t="s">
        <v>111</v>
      </c>
      <c r="N4092" s="93" t="s">
        <v>111</v>
      </c>
      <c r="O4092" s="93" t="s">
        <v>111</v>
      </c>
      <c r="P4092" s="93" t="s">
        <v>111</v>
      </c>
      <c r="Q4092" s="93" t="s">
        <v>111</v>
      </c>
      <c r="R4092" s="93" t="s">
        <v>111</v>
      </c>
      <c r="S4092" s="93" t="s">
        <v>111</v>
      </c>
      <c r="T4092" s="93" t="s">
        <v>111</v>
      </c>
      <c r="U4092" s="93" t="s">
        <v>116</v>
      </c>
      <c r="V4092" s="94">
        <v>44610.157638888886</v>
      </c>
      <c r="W4092" s="93" t="s">
        <v>7072</v>
      </c>
      <c r="X4092" s="93" t="s">
        <v>24</v>
      </c>
    </row>
    <row r="4093" spans="1:24" hidden="1" x14ac:dyDescent="0.15">
      <c r="A4093" s="93" t="s">
        <v>8747</v>
      </c>
      <c r="B4093" s="93" t="s">
        <v>8748</v>
      </c>
      <c r="C4093" s="410">
        <v>720</v>
      </c>
      <c r="D4093" s="93" t="s">
        <v>24</v>
      </c>
      <c r="E4093" s="93" t="s">
        <v>24</v>
      </c>
      <c r="F4093" s="93" t="s">
        <v>126</v>
      </c>
      <c r="G4093" s="93" t="s">
        <v>7104</v>
      </c>
      <c r="H4093" s="93" t="s">
        <v>118</v>
      </c>
      <c r="I4093" s="93" t="s">
        <v>111</v>
      </c>
      <c r="J4093" s="93" t="s">
        <v>7105</v>
      </c>
      <c r="K4093" s="93" t="s">
        <v>111</v>
      </c>
      <c r="L4093" s="93" t="s">
        <v>111</v>
      </c>
      <c r="M4093" s="93" t="s">
        <v>111</v>
      </c>
      <c r="N4093" s="93" t="s">
        <v>111</v>
      </c>
      <c r="O4093" s="93" t="s">
        <v>111</v>
      </c>
      <c r="P4093" s="93" t="s">
        <v>111</v>
      </c>
      <c r="Q4093" s="93" t="s">
        <v>111</v>
      </c>
      <c r="R4093" s="93" t="s">
        <v>111</v>
      </c>
      <c r="S4093" s="93" t="s">
        <v>111</v>
      </c>
      <c r="T4093" s="93" t="s">
        <v>111</v>
      </c>
      <c r="U4093" s="93" t="s">
        <v>116</v>
      </c>
      <c r="V4093" s="94">
        <v>44610.166666666664</v>
      </c>
      <c r="W4093" s="93" t="s">
        <v>7072</v>
      </c>
      <c r="X4093" s="93" t="s">
        <v>24</v>
      </c>
    </row>
    <row r="4094" spans="1:24" hidden="1" x14ac:dyDescent="0.15">
      <c r="A4094" s="93" t="s">
        <v>8749</v>
      </c>
      <c r="B4094" s="93" t="s">
        <v>8750</v>
      </c>
      <c r="C4094" s="410">
        <v>80</v>
      </c>
      <c r="D4094" s="93" t="s">
        <v>24</v>
      </c>
      <c r="E4094" s="93" t="s">
        <v>9</v>
      </c>
      <c r="F4094" s="93" t="s">
        <v>7912</v>
      </c>
      <c r="G4094" s="93" t="s">
        <v>7104</v>
      </c>
      <c r="H4094" s="93" t="s">
        <v>118</v>
      </c>
      <c r="I4094" s="93" t="s">
        <v>111</v>
      </c>
      <c r="J4094" s="93" t="s">
        <v>7105</v>
      </c>
      <c r="K4094" s="93" t="s">
        <v>111</v>
      </c>
      <c r="L4094" s="93" t="s">
        <v>111</v>
      </c>
      <c r="M4094" s="93" t="s">
        <v>111</v>
      </c>
      <c r="N4094" s="93" t="s">
        <v>111</v>
      </c>
      <c r="O4094" s="93" t="s">
        <v>111</v>
      </c>
      <c r="P4094" s="93" t="s">
        <v>111</v>
      </c>
      <c r="Q4094" s="93" t="s">
        <v>111</v>
      </c>
      <c r="R4094" s="93" t="s">
        <v>111</v>
      </c>
      <c r="S4094" s="93" t="s">
        <v>111</v>
      </c>
      <c r="T4094" s="93" t="s">
        <v>111</v>
      </c>
      <c r="U4094" s="93" t="s">
        <v>116</v>
      </c>
      <c r="V4094" s="94">
        <v>44596.63958333333</v>
      </c>
      <c r="W4094" s="93" t="s">
        <v>7913</v>
      </c>
      <c r="X4094" s="93" t="s">
        <v>24</v>
      </c>
    </row>
    <row r="4095" spans="1:24" hidden="1" x14ac:dyDescent="0.15">
      <c r="A4095" s="93" t="s">
        <v>8751</v>
      </c>
      <c r="B4095" s="93" t="s">
        <v>8752</v>
      </c>
      <c r="C4095" s="410">
        <v>160</v>
      </c>
      <c r="D4095" s="93" t="s">
        <v>24</v>
      </c>
      <c r="E4095" s="93" t="s">
        <v>9</v>
      </c>
      <c r="F4095" s="93" t="s">
        <v>7912</v>
      </c>
      <c r="G4095" s="93" t="s">
        <v>7104</v>
      </c>
      <c r="H4095" s="93" t="s">
        <v>118</v>
      </c>
      <c r="I4095" s="93" t="s">
        <v>111</v>
      </c>
      <c r="J4095" s="93" t="s">
        <v>7105</v>
      </c>
      <c r="K4095" s="93" t="s">
        <v>111</v>
      </c>
      <c r="L4095" s="93" t="s">
        <v>111</v>
      </c>
      <c r="M4095" s="93" t="s">
        <v>111</v>
      </c>
      <c r="N4095" s="93" t="s">
        <v>111</v>
      </c>
      <c r="O4095" s="93" t="s">
        <v>111</v>
      </c>
      <c r="P4095" s="93" t="s">
        <v>111</v>
      </c>
      <c r="Q4095" s="93" t="s">
        <v>111</v>
      </c>
      <c r="R4095" s="93" t="s">
        <v>111</v>
      </c>
      <c r="S4095" s="93" t="s">
        <v>111</v>
      </c>
      <c r="T4095" s="93" t="s">
        <v>111</v>
      </c>
      <c r="U4095" s="93" t="s">
        <v>116</v>
      </c>
      <c r="V4095" s="94">
        <v>44596.661805555559</v>
      </c>
      <c r="W4095" s="93" t="s">
        <v>7913</v>
      </c>
      <c r="X4095" s="93" t="s">
        <v>24</v>
      </c>
    </row>
    <row r="4096" spans="1:24" hidden="1" x14ac:dyDescent="0.15">
      <c r="A4096" s="93" t="s">
        <v>8753</v>
      </c>
      <c r="B4096" s="93" t="s">
        <v>8754</v>
      </c>
      <c r="C4096" s="410">
        <v>240</v>
      </c>
      <c r="D4096" s="93" t="s">
        <v>24</v>
      </c>
      <c r="E4096" s="93" t="s">
        <v>9</v>
      </c>
      <c r="F4096" s="93" t="s">
        <v>7912</v>
      </c>
      <c r="G4096" s="93" t="s">
        <v>7104</v>
      </c>
      <c r="H4096" s="93" t="s">
        <v>118</v>
      </c>
      <c r="I4096" s="93" t="s">
        <v>111</v>
      </c>
      <c r="J4096" s="93" t="s">
        <v>7105</v>
      </c>
      <c r="K4096" s="93" t="s">
        <v>111</v>
      </c>
      <c r="L4096" s="93" t="s">
        <v>111</v>
      </c>
      <c r="M4096" s="93" t="s">
        <v>111</v>
      </c>
      <c r="N4096" s="93" t="s">
        <v>111</v>
      </c>
      <c r="O4096" s="93" t="s">
        <v>111</v>
      </c>
      <c r="P4096" s="93" t="s">
        <v>111</v>
      </c>
      <c r="Q4096" s="93" t="s">
        <v>111</v>
      </c>
      <c r="R4096" s="93" t="s">
        <v>111</v>
      </c>
      <c r="S4096" s="93" t="s">
        <v>111</v>
      </c>
      <c r="T4096" s="93" t="s">
        <v>111</v>
      </c>
      <c r="U4096" s="93" t="s">
        <v>116</v>
      </c>
      <c r="V4096" s="94">
        <v>44596.63958333333</v>
      </c>
      <c r="W4096" s="93" t="s">
        <v>7913</v>
      </c>
      <c r="X4096" s="93" t="s">
        <v>24</v>
      </c>
    </row>
    <row r="4097" spans="1:24" hidden="1" x14ac:dyDescent="0.15">
      <c r="A4097" s="93" t="s">
        <v>8755</v>
      </c>
      <c r="B4097" s="93" t="s">
        <v>8756</v>
      </c>
      <c r="C4097" s="410">
        <v>140</v>
      </c>
      <c r="D4097" s="93" t="s">
        <v>24</v>
      </c>
      <c r="E4097" s="93" t="s">
        <v>9</v>
      </c>
      <c r="F4097" s="93" t="s">
        <v>7912</v>
      </c>
      <c r="G4097" s="93" t="s">
        <v>7104</v>
      </c>
      <c r="H4097" s="93" t="s">
        <v>118</v>
      </c>
      <c r="I4097" s="93" t="s">
        <v>111</v>
      </c>
      <c r="J4097" s="93" t="s">
        <v>7105</v>
      </c>
      <c r="K4097" s="93" t="s">
        <v>111</v>
      </c>
      <c r="L4097" s="93" t="s">
        <v>111</v>
      </c>
      <c r="M4097" s="93" t="s">
        <v>111</v>
      </c>
      <c r="N4097" s="93" t="s">
        <v>111</v>
      </c>
      <c r="O4097" s="93" t="s">
        <v>111</v>
      </c>
      <c r="P4097" s="93" t="s">
        <v>111</v>
      </c>
      <c r="Q4097" s="93" t="s">
        <v>111</v>
      </c>
      <c r="R4097" s="93" t="s">
        <v>111</v>
      </c>
      <c r="S4097" s="93" t="s">
        <v>2</v>
      </c>
      <c r="T4097" s="93" t="s">
        <v>111</v>
      </c>
      <c r="U4097" s="93" t="s">
        <v>116</v>
      </c>
      <c r="V4097" s="94">
        <v>44596.643750000003</v>
      </c>
      <c r="W4097" s="93" t="s">
        <v>7913</v>
      </c>
      <c r="X4097" s="93" t="s">
        <v>24</v>
      </c>
    </row>
    <row r="4098" spans="1:24" hidden="1" x14ac:dyDescent="0.15">
      <c r="A4098" s="93" t="s">
        <v>8757</v>
      </c>
      <c r="B4098" s="93" t="s">
        <v>8758</v>
      </c>
      <c r="C4098" s="410">
        <v>280</v>
      </c>
      <c r="D4098" s="93" t="s">
        <v>24</v>
      </c>
      <c r="E4098" s="93" t="s">
        <v>9</v>
      </c>
      <c r="F4098" s="93" t="s">
        <v>7912</v>
      </c>
      <c r="G4098" s="93" t="s">
        <v>7104</v>
      </c>
      <c r="H4098" s="93" t="s">
        <v>118</v>
      </c>
      <c r="I4098" s="93" t="s">
        <v>111</v>
      </c>
      <c r="J4098" s="93" t="s">
        <v>7105</v>
      </c>
      <c r="K4098" s="93" t="s">
        <v>111</v>
      </c>
      <c r="L4098" s="93" t="s">
        <v>111</v>
      </c>
      <c r="M4098" s="93" t="s">
        <v>111</v>
      </c>
      <c r="N4098" s="93" t="s">
        <v>111</v>
      </c>
      <c r="O4098" s="93" t="s">
        <v>111</v>
      </c>
      <c r="P4098" s="93" t="s">
        <v>111</v>
      </c>
      <c r="Q4098" s="93" t="s">
        <v>111</v>
      </c>
      <c r="R4098" s="93" t="s">
        <v>111</v>
      </c>
      <c r="S4098" s="93" t="s">
        <v>111</v>
      </c>
      <c r="T4098" s="93" t="s">
        <v>111</v>
      </c>
      <c r="U4098" s="93" t="s">
        <v>116</v>
      </c>
      <c r="V4098" s="94">
        <v>44596.65347222222</v>
      </c>
      <c r="W4098" s="93" t="s">
        <v>7913</v>
      </c>
      <c r="X4098" s="93" t="s">
        <v>24</v>
      </c>
    </row>
    <row r="4099" spans="1:24" hidden="1" x14ac:dyDescent="0.15">
      <c r="A4099" s="93" t="s">
        <v>8759</v>
      </c>
      <c r="B4099" s="93" t="s">
        <v>8760</v>
      </c>
      <c r="C4099" s="410">
        <v>420</v>
      </c>
      <c r="D4099" s="93" t="s">
        <v>24</v>
      </c>
      <c r="E4099" s="93" t="s">
        <v>9</v>
      </c>
      <c r="F4099" s="93" t="s">
        <v>7912</v>
      </c>
      <c r="G4099" s="93" t="s">
        <v>7104</v>
      </c>
      <c r="H4099" s="93" t="s">
        <v>118</v>
      </c>
      <c r="I4099" s="93" t="s">
        <v>111</v>
      </c>
      <c r="J4099" s="93" t="s">
        <v>7105</v>
      </c>
      <c r="K4099" s="93" t="s">
        <v>111</v>
      </c>
      <c r="L4099" s="93" t="s">
        <v>111</v>
      </c>
      <c r="M4099" s="93" t="s">
        <v>111</v>
      </c>
      <c r="N4099" s="93" t="s">
        <v>111</v>
      </c>
      <c r="O4099" s="93" t="s">
        <v>111</v>
      </c>
      <c r="P4099" s="93" t="s">
        <v>111</v>
      </c>
      <c r="Q4099" s="93" t="s">
        <v>111</v>
      </c>
      <c r="R4099" s="93" t="s">
        <v>111</v>
      </c>
      <c r="S4099" s="93" t="s">
        <v>2</v>
      </c>
      <c r="T4099" s="93" t="s">
        <v>111</v>
      </c>
      <c r="U4099" s="93" t="s">
        <v>116</v>
      </c>
      <c r="V4099" s="94">
        <v>44596.652777777781</v>
      </c>
      <c r="W4099" s="93" t="s">
        <v>7913</v>
      </c>
      <c r="X4099" s="93" t="s">
        <v>24</v>
      </c>
    </row>
    <row r="4100" spans="1:24" hidden="1" x14ac:dyDescent="0.15">
      <c r="A4100" s="93" t="s">
        <v>8761</v>
      </c>
      <c r="B4100" s="93" t="s">
        <v>8762</v>
      </c>
      <c r="C4100" s="410">
        <v>360</v>
      </c>
      <c r="D4100" s="93" t="s">
        <v>24</v>
      </c>
      <c r="E4100" s="93" t="s">
        <v>24</v>
      </c>
      <c r="F4100" s="93" t="s">
        <v>126</v>
      </c>
      <c r="G4100" s="93" t="s">
        <v>7104</v>
      </c>
      <c r="H4100" s="93" t="s">
        <v>118</v>
      </c>
      <c r="I4100" s="93" t="s">
        <v>111</v>
      </c>
      <c r="J4100" s="93" t="s">
        <v>7105</v>
      </c>
      <c r="K4100" s="93" t="s">
        <v>111</v>
      </c>
      <c r="L4100" s="93" t="s">
        <v>111</v>
      </c>
      <c r="M4100" s="93" t="s">
        <v>111</v>
      </c>
      <c r="N4100" s="93" t="s">
        <v>111</v>
      </c>
      <c r="O4100" s="93" t="s">
        <v>111</v>
      </c>
      <c r="P4100" s="93" t="s">
        <v>111</v>
      </c>
      <c r="Q4100" s="93" t="s">
        <v>111</v>
      </c>
      <c r="R4100" s="93" t="s">
        <v>111</v>
      </c>
      <c r="S4100" s="93" t="s">
        <v>2</v>
      </c>
      <c r="T4100" s="93" t="s">
        <v>111</v>
      </c>
      <c r="U4100" s="93" t="s">
        <v>116</v>
      </c>
      <c r="V4100" s="94">
        <v>44610.159722222219</v>
      </c>
      <c r="W4100" s="93" t="s">
        <v>7072</v>
      </c>
      <c r="X4100" s="93" t="s">
        <v>24</v>
      </c>
    </row>
    <row r="4101" spans="1:24" hidden="1" x14ac:dyDescent="0.15">
      <c r="A4101" s="93" t="s">
        <v>8763</v>
      </c>
      <c r="B4101" s="93" t="s">
        <v>8764</v>
      </c>
      <c r="C4101" s="410">
        <v>450</v>
      </c>
      <c r="D4101" s="93" t="s">
        <v>24</v>
      </c>
      <c r="E4101" s="93" t="s">
        <v>24</v>
      </c>
      <c r="F4101" s="93" t="s">
        <v>126</v>
      </c>
      <c r="G4101" s="93" t="s">
        <v>7104</v>
      </c>
      <c r="H4101" s="93" t="s">
        <v>118</v>
      </c>
      <c r="I4101" s="93" t="s">
        <v>111</v>
      </c>
      <c r="J4101" s="93" t="s">
        <v>7105</v>
      </c>
      <c r="K4101" s="93" t="s">
        <v>111</v>
      </c>
      <c r="L4101" s="93" t="s">
        <v>111</v>
      </c>
      <c r="M4101" s="93" t="s">
        <v>111</v>
      </c>
      <c r="N4101" s="93" t="s">
        <v>111</v>
      </c>
      <c r="O4101" s="93" t="s">
        <v>111</v>
      </c>
      <c r="P4101" s="93" t="s">
        <v>111</v>
      </c>
      <c r="Q4101" s="93" t="s">
        <v>111</v>
      </c>
      <c r="R4101" s="93" t="s">
        <v>111</v>
      </c>
      <c r="S4101" s="93" t="s">
        <v>2</v>
      </c>
      <c r="T4101" s="93" t="s">
        <v>111</v>
      </c>
      <c r="U4101" s="93" t="s">
        <v>116</v>
      </c>
      <c r="V4101" s="94">
        <v>44610.207638888889</v>
      </c>
      <c r="W4101" s="93" t="s">
        <v>7072</v>
      </c>
      <c r="X4101" s="93" t="s">
        <v>24</v>
      </c>
    </row>
    <row r="4102" spans="1:24" hidden="1" x14ac:dyDescent="0.15">
      <c r="A4102" s="93" t="s">
        <v>8765</v>
      </c>
      <c r="B4102" s="93" t="s">
        <v>8766</v>
      </c>
      <c r="C4102" s="410">
        <v>90</v>
      </c>
      <c r="D4102" s="93" t="s">
        <v>24</v>
      </c>
      <c r="E4102" s="93" t="s">
        <v>24</v>
      </c>
      <c r="F4102" s="93" t="s">
        <v>126</v>
      </c>
      <c r="G4102" s="93" t="s">
        <v>7104</v>
      </c>
      <c r="H4102" s="93" t="s">
        <v>118</v>
      </c>
      <c r="I4102" s="93" t="s">
        <v>111</v>
      </c>
      <c r="J4102" s="93" t="s">
        <v>7105</v>
      </c>
      <c r="K4102" s="93" t="s">
        <v>111</v>
      </c>
      <c r="L4102" s="93" t="s">
        <v>111</v>
      </c>
      <c r="M4102" s="93" t="s">
        <v>111</v>
      </c>
      <c r="N4102" s="93" t="s">
        <v>111</v>
      </c>
      <c r="O4102" s="93" t="s">
        <v>111</v>
      </c>
      <c r="P4102" s="93" t="s">
        <v>111</v>
      </c>
      <c r="Q4102" s="93" t="s">
        <v>111</v>
      </c>
      <c r="R4102" s="93" t="s">
        <v>111</v>
      </c>
      <c r="S4102" s="93" t="s">
        <v>2</v>
      </c>
      <c r="T4102" s="93" t="s">
        <v>111</v>
      </c>
      <c r="U4102" s="93" t="s">
        <v>116</v>
      </c>
      <c r="V4102" s="94">
        <v>44609.335416666669</v>
      </c>
      <c r="W4102" s="93" t="s">
        <v>7072</v>
      </c>
      <c r="X4102" s="93" t="s">
        <v>24</v>
      </c>
    </row>
    <row r="4103" spans="1:24" hidden="1" x14ac:dyDescent="0.15">
      <c r="A4103" s="93" t="s">
        <v>8767</v>
      </c>
      <c r="B4103" s="93" t="s">
        <v>8768</v>
      </c>
      <c r="C4103" s="410">
        <v>160</v>
      </c>
      <c r="D4103" s="93" t="s">
        <v>24</v>
      </c>
      <c r="E4103" s="93" t="s">
        <v>24</v>
      </c>
      <c r="F4103" s="93" t="s">
        <v>126</v>
      </c>
      <c r="G4103" s="93" t="s">
        <v>7104</v>
      </c>
      <c r="H4103" s="93" t="s">
        <v>118</v>
      </c>
      <c r="I4103" s="93" t="s">
        <v>111</v>
      </c>
      <c r="J4103" s="93" t="s">
        <v>7105</v>
      </c>
      <c r="K4103" s="93" t="s">
        <v>111</v>
      </c>
      <c r="L4103" s="93" t="s">
        <v>111</v>
      </c>
      <c r="M4103" s="93" t="s">
        <v>111</v>
      </c>
      <c r="N4103" s="93" t="s">
        <v>111</v>
      </c>
      <c r="O4103" s="93" t="s">
        <v>111</v>
      </c>
      <c r="P4103" s="93" t="s">
        <v>111</v>
      </c>
      <c r="Q4103" s="93" t="s">
        <v>111</v>
      </c>
      <c r="R4103" s="93" t="s">
        <v>111</v>
      </c>
      <c r="S4103" s="93" t="s">
        <v>2</v>
      </c>
      <c r="T4103" s="93" t="s">
        <v>111</v>
      </c>
      <c r="U4103" s="93" t="s">
        <v>116</v>
      </c>
      <c r="V4103" s="94">
        <v>44610.168055555558</v>
      </c>
      <c r="W4103" s="93" t="s">
        <v>7072</v>
      </c>
      <c r="X4103" s="93" t="s">
        <v>24</v>
      </c>
    </row>
    <row r="4104" spans="1:24" hidden="1" x14ac:dyDescent="0.15">
      <c r="A4104" s="93" t="s">
        <v>8769</v>
      </c>
      <c r="B4104" s="93" t="s">
        <v>8770</v>
      </c>
      <c r="C4104" s="410">
        <v>270</v>
      </c>
      <c r="D4104" s="93" t="s">
        <v>24</v>
      </c>
      <c r="E4104" s="93" t="s">
        <v>24</v>
      </c>
      <c r="F4104" s="93" t="s">
        <v>126</v>
      </c>
      <c r="G4104" s="93" t="s">
        <v>7104</v>
      </c>
      <c r="H4104" s="93" t="s">
        <v>118</v>
      </c>
      <c r="I4104" s="93" t="s">
        <v>111</v>
      </c>
      <c r="J4104" s="93" t="s">
        <v>7105</v>
      </c>
      <c r="K4104" s="93" t="s">
        <v>111</v>
      </c>
      <c r="L4104" s="93" t="s">
        <v>111</v>
      </c>
      <c r="M4104" s="93" t="s">
        <v>111</v>
      </c>
      <c r="N4104" s="93" t="s">
        <v>111</v>
      </c>
      <c r="O4104" s="93" t="s">
        <v>111</v>
      </c>
      <c r="P4104" s="93" t="s">
        <v>111</v>
      </c>
      <c r="Q4104" s="93" t="s">
        <v>111</v>
      </c>
      <c r="R4104" s="93" t="s">
        <v>111</v>
      </c>
      <c r="S4104" s="93" t="s">
        <v>2</v>
      </c>
      <c r="T4104" s="93" t="s">
        <v>111</v>
      </c>
      <c r="U4104" s="93" t="s">
        <v>116</v>
      </c>
      <c r="V4104" s="94">
        <v>44610.207638888889</v>
      </c>
      <c r="W4104" s="93" t="s">
        <v>7072</v>
      </c>
      <c r="X4104" s="93" t="s">
        <v>24</v>
      </c>
    </row>
    <row r="4105" spans="1:24" hidden="1" x14ac:dyDescent="0.15">
      <c r="A4105" s="93" t="s">
        <v>8771</v>
      </c>
      <c r="B4105" s="93" t="s">
        <v>8772</v>
      </c>
      <c r="C4105" s="410">
        <v>20</v>
      </c>
      <c r="D4105" s="93" t="s">
        <v>24</v>
      </c>
      <c r="E4105" s="93" t="s">
        <v>9</v>
      </c>
      <c r="F4105" s="93" t="s">
        <v>7912</v>
      </c>
      <c r="G4105" s="93" t="s">
        <v>7104</v>
      </c>
      <c r="H4105" s="93" t="s">
        <v>118</v>
      </c>
      <c r="I4105" s="93" t="s">
        <v>111</v>
      </c>
      <c r="J4105" s="93" t="s">
        <v>118</v>
      </c>
      <c r="K4105" s="93">
        <v>3</v>
      </c>
      <c r="L4105" s="93" t="s">
        <v>111</v>
      </c>
      <c r="M4105" s="93" t="s">
        <v>111</v>
      </c>
      <c r="N4105" s="93" t="s">
        <v>111</v>
      </c>
      <c r="O4105" s="93" t="s">
        <v>111</v>
      </c>
      <c r="P4105" s="93" t="s">
        <v>111</v>
      </c>
      <c r="Q4105" s="93" t="s">
        <v>111</v>
      </c>
      <c r="R4105" s="93" t="s">
        <v>228</v>
      </c>
      <c r="S4105" s="93" t="s">
        <v>2</v>
      </c>
      <c r="T4105" s="93" t="s">
        <v>115</v>
      </c>
      <c r="U4105" s="93" t="s">
        <v>116</v>
      </c>
      <c r="V4105" s="94">
        <v>44602.492361111108</v>
      </c>
      <c r="W4105" s="93" t="s">
        <v>120</v>
      </c>
      <c r="X4105" s="93" t="s">
        <v>24</v>
      </c>
    </row>
    <row r="4106" spans="1:24" hidden="1" x14ac:dyDescent="0.15">
      <c r="A4106" s="93" t="s">
        <v>8773</v>
      </c>
      <c r="B4106" s="93" t="s">
        <v>8774</v>
      </c>
      <c r="C4106" s="410">
        <v>40</v>
      </c>
      <c r="D4106" s="93" t="s">
        <v>24</v>
      </c>
      <c r="E4106" s="93" t="s">
        <v>9</v>
      </c>
      <c r="F4106" s="93" t="s">
        <v>7912</v>
      </c>
      <c r="G4106" s="93" t="s">
        <v>7104</v>
      </c>
      <c r="H4106" s="93" t="s">
        <v>118</v>
      </c>
      <c r="I4106" s="93" t="s">
        <v>111</v>
      </c>
      <c r="J4106" s="93" t="s">
        <v>118</v>
      </c>
      <c r="K4106" s="93">
        <v>3</v>
      </c>
      <c r="L4106" s="93" t="s">
        <v>111</v>
      </c>
      <c r="M4106" s="93" t="s">
        <v>111</v>
      </c>
      <c r="N4106" s="93" t="s">
        <v>111</v>
      </c>
      <c r="O4106" s="93" t="s">
        <v>111</v>
      </c>
      <c r="P4106" s="93" t="s">
        <v>111</v>
      </c>
      <c r="Q4106" s="93" t="s">
        <v>111</v>
      </c>
      <c r="R4106" s="93" t="s">
        <v>228</v>
      </c>
      <c r="S4106" s="93" t="s">
        <v>2</v>
      </c>
      <c r="T4106" s="93" t="s">
        <v>115</v>
      </c>
      <c r="U4106" s="93" t="s">
        <v>116</v>
      </c>
      <c r="V4106" s="94">
        <v>44602.493055555555</v>
      </c>
      <c r="W4106" s="93" t="s">
        <v>120</v>
      </c>
      <c r="X4106" s="93" t="s">
        <v>24</v>
      </c>
    </row>
    <row r="4107" spans="1:24" hidden="1" x14ac:dyDescent="0.15">
      <c r="A4107" s="93" t="s">
        <v>8775</v>
      </c>
      <c r="B4107" s="93" t="s">
        <v>8776</v>
      </c>
      <c r="C4107" s="410">
        <v>80</v>
      </c>
      <c r="D4107" s="93" t="s">
        <v>24</v>
      </c>
      <c r="E4107" s="93" t="s">
        <v>9</v>
      </c>
      <c r="F4107" s="93" t="s">
        <v>7912</v>
      </c>
      <c r="G4107" s="93" t="s">
        <v>7104</v>
      </c>
      <c r="H4107" s="93" t="s">
        <v>118</v>
      </c>
      <c r="I4107" s="93" t="s">
        <v>111</v>
      </c>
      <c r="J4107" s="93" t="s">
        <v>118</v>
      </c>
      <c r="K4107" s="93">
        <v>3</v>
      </c>
      <c r="L4107" s="93" t="s">
        <v>111</v>
      </c>
      <c r="M4107" s="93" t="s">
        <v>111</v>
      </c>
      <c r="N4107" s="93" t="s">
        <v>111</v>
      </c>
      <c r="O4107" s="93" t="s">
        <v>111</v>
      </c>
      <c r="P4107" s="93" t="s">
        <v>111</v>
      </c>
      <c r="Q4107" s="93" t="s">
        <v>111</v>
      </c>
      <c r="R4107" s="93" t="s">
        <v>228</v>
      </c>
      <c r="S4107" s="93" t="s">
        <v>2</v>
      </c>
      <c r="T4107" s="93" t="s">
        <v>115</v>
      </c>
      <c r="U4107" s="93" t="s">
        <v>116</v>
      </c>
      <c r="V4107" s="94">
        <v>44602.493055555555</v>
      </c>
      <c r="W4107" s="93" t="s">
        <v>120</v>
      </c>
      <c r="X4107" s="93" t="s">
        <v>24</v>
      </c>
    </row>
    <row r="4108" spans="1:24" hidden="1" x14ac:dyDescent="0.15">
      <c r="A4108" s="93" t="s">
        <v>8777</v>
      </c>
      <c r="B4108" s="93" t="s">
        <v>8778</v>
      </c>
      <c r="C4108" s="410">
        <v>370</v>
      </c>
      <c r="D4108" s="93" t="s">
        <v>24</v>
      </c>
      <c r="E4108" s="93" t="s">
        <v>24</v>
      </c>
      <c r="F4108" s="93" t="s">
        <v>126</v>
      </c>
      <c r="G4108" s="93" t="s">
        <v>7104</v>
      </c>
      <c r="H4108" s="93" t="s">
        <v>118</v>
      </c>
      <c r="I4108" s="93" t="s">
        <v>111</v>
      </c>
      <c r="J4108" s="93" t="s">
        <v>7105</v>
      </c>
      <c r="K4108" s="93" t="s">
        <v>111</v>
      </c>
      <c r="L4108" s="93" t="s">
        <v>111</v>
      </c>
      <c r="M4108" s="93" t="s">
        <v>111</v>
      </c>
      <c r="N4108" s="93" t="s">
        <v>111</v>
      </c>
      <c r="O4108" s="93" t="s">
        <v>111</v>
      </c>
      <c r="P4108" s="93" t="s">
        <v>111</v>
      </c>
      <c r="Q4108" s="93" t="s">
        <v>111</v>
      </c>
      <c r="R4108" s="93" t="s">
        <v>111</v>
      </c>
      <c r="S4108" s="93" t="s">
        <v>2</v>
      </c>
      <c r="T4108" s="93" t="s">
        <v>111</v>
      </c>
      <c r="U4108" s="93" t="s">
        <v>116</v>
      </c>
      <c r="V4108" s="94">
        <v>44610.189583333333</v>
      </c>
      <c r="W4108" s="93" t="s">
        <v>7072</v>
      </c>
      <c r="X4108" s="93" t="s">
        <v>24</v>
      </c>
    </row>
    <row r="4109" spans="1:24" hidden="1" x14ac:dyDescent="0.15">
      <c r="A4109" s="93" t="s">
        <v>8779</v>
      </c>
      <c r="B4109" s="93" t="s">
        <v>8780</v>
      </c>
      <c r="C4109" s="410">
        <v>740</v>
      </c>
      <c r="D4109" s="93" t="s">
        <v>24</v>
      </c>
      <c r="E4109" s="93" t="s">
        <v>24</v>
      </c>
      <c r="F4109" s="93" t="s">
        <v>126</v>
      </c>
      <c r="G4109" s="93" t="s">
        <v>7104</v>
      </c>
      <c r="H4109" s="93" t="s">
        <v>118</v>
      </c>
      <c r="I4109" s="93" t="s">
        <v>111</v>
      </c>
      <c r="J4109" s="93" t="s">
        <v>7105</v>
      </c>
      <c r="K4109" s="93" t="s">
        <v>111</v>
      </c>
      <c r="L4109" s="93" t="s">
        <v>111</v>
      </c>
      <c r="M4109" s="93" t="s">
        <v>111</v>
      </c>
      <c r="N4109" s="93" t="s">
        <v>111</v>
      </c>
      <c r="O4109" s="93" t="s">
        <v>111</v>
      </c>
      <c r="P4109" s="93" t="s">
        <v>111</v>
      </c>
      <c r="Q4109" s="93" t="s">
        <v>111</v>
      </c>
      <c r="R4109" s="93" t="s">
        <v>111</v>
      </c>
      <c r="S4109" s="93" t="s">
        <v>2</v>
      </c>
      <c r="T4109" s="93" t="s">
        <v>111</v>
      </c>
      <c r="U4109" s="93" t="s">
        <v>116</v>
      </c>
      <c r="V4109" s="94">
        <v>44610.136805555558</v>
      </c>
      <c r="W4109" s="93" t="s">
        <v>7072</v>
      </c>
      <c r="X4109" s="93" t="s">
        <v>24</v>
      </c>
    </row>
    <row r="4110" spans="1:24" hidden="1" x14ac:dyDescent="0.15">
      <c r="A4110" s="93" t="s">
        <v>8781</v>
      </c>
      <c r="B4110" s="93" t="s">
        <v>8782</v>
      </c>
      <c r="C4110" s="410">
        <v>1110</v>
      </c>
      <c r="D4110" s="93" t="s">
        <v>24</v>
      </c>
      <c r="E4110" s="93" t="s">
        <v>24</v>
      </c>
      <c r="F4110" s="93" t="s">
        <v>126</v>
      </c>
      <c r="G4110" s="93" t="s">
        <v>7104</v>
      </c>
      <c r="H4110" s="93" t="s">
        <v>118</v>
      </c>
      <c r="I4110" s="93" t="s">
        <v>111</v>
      </c>
      <c r="J4110" s="93" t="s">
        <v>7105</v>
      </c>
      <c r="K4110" s="93" t="s">
        <v>111</v>
      </c>
      <c r="L4110" s="93" t="s">
        <v>111</v>
      </c>
      <c r="M4110" s="93" t="s">
        <v>111</v>
      </c>
      <c r="N4110" s="93" t="s">
        <v>111</v>
      </c>
      <c r="O4110" s="93" t="s">
        <v>111</v>
      </c>
      <c r="P4110" s="93" t="s">
        <v>111</v>
      </c>
      <c r="Q4110" s="93" t="s">
        <v>111</v>
      </c>
      <c r="R4110" s="93" t="s">
        <v>111</v>
      </c>
      <c r="S4110" s="93" t="s">
        <v>2</v>
      </c>
      <c r="T4110" s="93" t="s">
        <v>111</v>
      </c>
      <c r="U4110" s="93" t="s">
        <v>116</v>
      </c>
      <c r="V4110" s="94">
        <v>44610.182638888888</v>
      </c>
      <c r="W4110" s="93" t="s">
        <v>7072</v>
      </c>
      <c r="X4110" s="93" t="s">
        <v>24</v>
      </c>
    </row>
    <row r="4111" spans="1:24" hidden="1" x14ac:dyDescent="0.15">
      <c r="A4111" s="93" t="s">
        <v>8783</v>
      </c>
      <c r="B4111" s="93" t="s">
        <v>8784</v>
      </c>
      <c r="C4111" s="410">
        <v>80</v>
      </c>
      <c r="D4111" s="93" t="s">
        <v>24</v>
      </c>
      <c r="E4111" s="93" t="s">
        <v>9</v>
      </c>
      <c r="F4111" s="93" t="s">
        <v>7912</v>
      </c>
      <c r="G4111" s="93" t="s">
        <v>7104</v>
      </c>
      <c r="H4111" s="93" t="s">
        <v>118</v>
      </c>
      <c r="I4111" s="93" t="s">
        <v>111</v>
      </c>
      <c r="J4111" s="93" t="s">
        <v>118</v>
      </c>
      <c r="K4111" s="93">
        <v>3</v>
      </c>
      <c r="L4111" s="93" t="s">
        <v>111</v>
      </c>
      <c r="M4111" s="93" t="s">
        <v>111</v>
      </c>
      <c r="N4111" s="93" t="s">
        <v>111</v>
      </c>
      <c r="O4111" s="93" t="s">
        <v>111</v>
      </c>
      <c r="P4111" s="93" t="s">
        <v>111</v>
      </c>
      <c r="Q4111" s="93" t="s">
        <v>111</v>
      </c>
      <c r="R4111" s="93" t="s">
        <v>228</v>
      </c>
      <c r="S4111" s="93" t="s">
        <v>2</v>
      </c>
      <c r="T4111" s="93" t="s">
        <v>115</v>
      </c>
      <c r="U4111" s="93" t="s">
        <v>116</v>
      </c>
      <c r="V4111" s="94">
        <v>44602.493055555555</v>
      </c>
      <c r="W4111" s="93" t="s">
        <v>120</v>
      </c>
      <c r="X4111" s="93" t="s">
        <v>24</v>
      </c>
    </row>
    <row r="4112" spans="1:24" hidden="1" x14ac:dyDescent="0.15">
      <c r="A4112" s="93" t="s">
        <v>8785</v>
      </c>
      <c r="B4112" s="93" t="s">
        <v>8786</v>
      </c>
      <c r="C4112" s="410">
        <v>160</v>
      </c>
      <c r="D4112" s="93" t="s">
        <v>24</v>
      </c>
      <c r="E4112" s="93" t="s">
        <v>9</v>
      </c>
      <c r="F4112" s="93" t="s">
        <v>7912</v>
      </c>
      <c r="G4112" s="93" t="s">
        <v>7104</v>
      </c>
      <c r="H4112" s="93" t="s">
        <v>118</v>
      </c>
      <c r="I4112" s="93" t="s">
        <v>111</v>
      </c>
      <c r="J4112" s="93" t="s">
        <v>118</v>
      </c>
      <c r="K4112" s="93">
        <v>3</v>
      </c>
      <c r="L4112" s="93" t="s">
        <v>111</v>
      </c>
      <c r="M4112" s="93" t="s">
        <v>111</v>
      </c>
      <c r="N4112" s="93" t="s">
        <v>111</v>
      </c>
      <c r="O4112" s="93" t="s">
        <v>111</v>
      </c>
      <c r="P4112" s="93" t="s">
        <v>111</v>
      </c>
      <c r="Q4112" s="93" t="s">
        <v>111</v>
      </c>
      <c r="R4112" s="93" t="s">
        <v>228</v>
      </c>
      <c r="S4112" s="93" t="s">
        <v>2</v>
      </c>
      <c r="T4112" s="93" t="s">
        <v>115</v>
      </c>
      <c r="U4112" s="93" t="s">
        <v>116</v>
      </c>
      <c r="V4112" s="94">
        <v>44602.493055555555</v>
      </c>
      <c r="W4112" s="93" t="s">
        <v>120</v>
      </c>
      <c r="X4112" s="93" t="s">
        <v>24</v>
      </c>
    </row>
    <row r="4113" spans="1:24" hidden="1" x14ac:dyDescent="0.15">
      <c r="A4113" s="93" t="s">
        <v>8787</v>
      </c>
      <c r="B4113" s="93" t="s">
        <v>8788</v>
      </c>
      <c r="C4113" s="410">
        <v>240</v>
      </c>
      <c r="D4113" s="93" t="s">
        <v>24</v>
      </c>
      <c r="E4113" s="93" t="s">
        <v>9</v>
      </c>
      <c r="F4113" s="93" t="s">
        <v>7912</v>
      </c>
      <c r="G4113" s="93" t="s">
        <v>7104</v>
      </c>
      <c r="H4113" s="93" t="s">
        <v>118</v>
      </c>
      <c r="I4113" s="93" t="s">
        <v>111</v>
      </c>
      <c r="J4113" s="93" t="s">
        <v>118</v>
      </c>
      <c r="K4113" s="93">
        <v>3</v>
      </c>
      <c r="L4113" s="93" t="s">
        <v>111</v>
      </c>
      <c r="M4113" s="93" t="s">
        <v>111</v>
      </c>
      <c r="N4113" s="93" t="s">
        <v>111</v>
      </c>
      <c r="O4113" s="93" t="s">
        <v>111</v>
      </c>
      <c r="P4113" s="93" t="s">
        <v>111</v>
      </c>
      <c r="Q4113" s="93" t="s">
        <v>111</v>
      </c>
      <c r="R4113" s="93" t="s">
        <v>228</v>
      </c>
      <c r="S4113" s="93" t="s">
        <v>2</v>
      </c>
      <c r="T4113" s="93" t="s">
        <v>115</v>
      </c>
      <c r="U4113" s="93" t="s">
        <v>116</v>
      </c>
      <c r="V4113" s="94">
        <v>44602.493055555555</v>
      </c>
      <c r="W4113" s="93" t="s">
        <v>120</v>
      </c>
      <c r="X4113" s="93" t="s">
        <v>24</v>
      </c>
    </row>
    <row r="4114" spans="1:24" hidden="1" x14ac:dyDescent="0.15">
      <c r="A4114" s="93" t="s">
        <v>8789</v>
      </c>
      <c r="B4114" s="93" t="s">
        <v>8790</v>
      </c>
      <c r="C4114" s="410">
        <v>440</v>
      </c>
      <c r="D4114" s="93" t="s">
        <v>24</v>
      </c>
      <c r="E4114" s="93" t="s">
        <v>24</v>
      </c>
      <c r="F4114" s="93" t="s">
        <v>126</v>
      </c>
      <c r="G4114" s="93" t="s">
        <v>7104</v>
      </c>
      <c r="H4114" s="93" t="s">
        <v>118</v>
      </c>
      <c r="I4114" s="93" t="s">
        <v>111</v>
      </c>
      <c r="J4114" s="93" t="s">
        <v>7105</v>
      </c>
      <c r="K4114" s="93" t="s">
        <v>111</v>
      </c>
      <c r="L4114" s="93" t="s">
        <v>111</v>
      </c>
      <c r="M4114" s="93" t="s">
        <v>111</v>
      </c>
      <c r="N4114" s="93" t="s">
        <v>111</v>
      </c>
      <c r="O4114" s="93" t="s">
        <v>111</v>
      </c>
      <c r="P4114" s="93" t="s">
        <v>111</v>
      </c>
      <c r="Q4114" s="93" t="s">
        <v>111</v>
      </c>
      <c r="R4114" s="93" t="s">
        <v>111</v>
      </c>
      <c r="S4114" s="93" t="s">
        <v>2</v>
      </c>
      <c r="T4114" s="93" t="s">
        <v>111</v>
      </c>
      <c r="U4114" s="93" t="s">
        <v>116</v>
      </c>
      <c r="V4114" s="94">
        <v>44610.166666666664</v>
      </c>
      <c r="W4114" s="93" t="s">
        <v>7072</v>
      </c>
      <c r="X4114" s="93" t="s">
        <v>24</v>
      </c>
    </row>
    <row r="4115" spans="1:24" hidden="1" x14ac:dyDescent="0.15">
      <c r="A4115" s="93" t="s">
        <v>8791</v>
      </c>
      <c r="B4115" s="93" t="s">
        <v>8792</v>
      </c>
      <c r="C4115" s="410">
        <v>880</v>
      </c>
      <c r="D4115" s="93" t="s">
        <v>24</v>
      </c>
      <c r="E4115" s="93" t="s">
        <v>24</v>
      </c>
      <c r="F4115" s="93" t="s">
        <v>126</v>
      </c>
      <c r="G4115" s="93" t="s">
        <v>7104</v>
      </c>
      <c r="H4115" s="93" t="s">
        <v>118</v>
      </c>
      <c r="I4115" s="93" t="s">
        <v>111</v>
      </c>
      <c r="J4115" s="93" t="s">
        <v>7105</v>
      </c>
      <c r="K4115" s="93" t="s">
        <v>111</v>
      </c>
      <c r="L4115" s="93" t="s">
        <v>111</v>
      </c>
      <c r="M4115" s="93" t="s">
        <v>111</v>
      </c>
      <c r="N4115" s="93" t="s">
        <v>111</v>
      </c>
      <c r="O4115" s="93" t="s">
        <v>111</v>
      </c>
      <c r="P4115" s="93" t="s">
        <v>111</v>
      </c>
      <c r="Q4115" s="93" t="s">
        <v>111</v>
      </c>
      <c r="R4115" s="93" t="s">
        <v>111</v>
      </c>
      <c r="S4115" s="93" t="s">
        <v>2</v>
      </c>
      <c r="T4115" s="93" t="s">
        <v>111</v>
      </c>
      <c r="U4115" s="93" t="s">
        <v>116</v>
      </c>
      <c r="V4115" s="94">
        <v>44610.166666666664</v>
      </c>
      <c r="W4115" s="93" t="s">
        <v>7072</v>
      </c>
      <c r="X4115" s="93" t="s">
        <v>24</v>
      </c>
    </row>
    <row r="4116" spans="1:24" hidden="1" x14ac:dyDescent="0.15">
      <c r="A4116" s="93" t="s">
        <v>8793</v>
      </c>
      <c r="B4116" s="93" t="s">
        <v>8794</v>
      </c>
      <c r="C4116" s="410">
        <v>1320</v>
      </c>
      <c r="D4116" s="93" t="s">
        <v>24</v>
      </c>
      <c r="E4116" s="93" t="s">
        <v>24</v>
      </c>
      <c r="F4116" s="93" t="s">
        <v>126</v>
      </c>
      <c r="G4116" s="93" t="s">
        <v>7104</v>
      </c>
      <c r="H4116" s="93" t="s">
        <v>118</v>
      </c>
      <c r="I4116" s="93" t="s">
        <v>111</v>
      </c>
      <c r="J4116" s="93" t="s">
        <v>7105</v>
      </c>
      <c r="K4116" s="93" t="s">
        <v>111</v>
      </c>
      <c r="L4116" s="93" t="s">
        <v>111</v>
      </c>
      <c r="M4116" s="93" t="s">
        <v>111</v>
      </c>
      <c r="N4116" s="93" t="s">
        <v>111</v>
      </c>
      <c r="O4116" s="93" t="s">
        <v>111</v>
      </c>
      <c r="P4116" s="93" t="s">
        <v>111</v>
      </c>
      <c r="Q4116" s="93" t="s">
        <v>111</v>
      </c>
      <c r="R4116" s="93" t="s">
        <v>111</v>
      </c>
      <c r="S4116" s="93" t="s">
        <v>2</v>
      </c>
      <c r="T4116" s="93" t="s">
        <v>111</v>
      </c>
      <c r="U4116" s="93" t="s">
        <v>116</v>
      </c>
      <c r="V4116" s="94">
        <v>44610.197916666664</v>
      </c>
      <c r="W4116" s="93" t="s">
        <v>7072</v>
      </c>
      <c r="X4116" s="93" t="s">
        <v>24</v>
      </c>
    </row>
    <row r="4117" spans="1:24" hidden="1" x14ac:dyDescent="0.15">
      <c r="A4117" s="93" t="s">
        <v>8795</v>
      </c>
      <c r="B4117" s="93" t="s">
        <v>8796</v>
      </c>
      <c r="C4117" s="410">
        <v>45</v>
      </c>
      <c r="D4117" s="93" t="s">
        <v>24</v>
      </c>
      <c r="E4117" s="93" t="s">
        <v>9</v>
      </c>
      <c r="F4117" s="93" t="s">
        <v>7912</v>
      </c>
      <c r="G4117" s="93" t="s">
        <v>7104</v>
      </c>
      <c r="H4117" s="93" t="s">
        <v>118</v>
      </c>
      <c r="I4117" s="93" t="s">
        <v>111</v>
      </c>
      <c r="J4117" s="93" t="s">
        <v>118</v>
      </c>
      <c r="K4117" s="93">
        <v>3</v>
      </c>
      <c r="L4117" s="93" t="s">
        <v>111</v>
      </c>
      <c r="M4117" s="93" t="s">
        <v>111</v>
      </c>
      <c r="N4117" s="93" t="s">
        <v>111</v>
      </c>
      <c r="O4117" s="93" t="s">
        <v>111</v>
      </c>
      <c r="P4117" s="93" t="s">
        <v>111</v>
      </c>
      <c r="Q4117" s="93" t="s">
        <v>111</v>
      </c>
      <c r="R4117" s="93" t="s">
        <v>228</v>
      </c>
      <c r="S4117" s="93" t="s">
        <v>2</v>
      </c>
      <c r="T4117" s="93" t="s">
        <v>115</v>
      </c>
      <c r="U4117" s="93" t="s">
        <v>116</v>
      </c>
      <c r="V4117" s="94">
        <v>44602.493055555555</v>
      </c>
      <c r="W4117" s="93" t="s">
        <v>120</v>
      </c>
      <c r="X4117" s="93" t="s">
        <v>24</v>
      </c>
    </row>
    <row r="4118" spans="1:24" hidden="1" x14ac:dyDescent="0.15">
      <c r="A4118" s="93" t="s">
        <v>8797</v>
      </c>
      <c r="B4118" s="93" t="s">
        <v>8798</v>
      </c>
      <c r="C4118" s="410">
        <v>90</v>
      </c>
      <c r="D4118" s="93" t="s">
        <v>24</v>
      </c>
      <c r="E4118" s="93" t="s">
        <v>9</v>
      </c>
      <c r="F4118" s="93" t="s">
        <v>7912</v>
      </c>
      <c r="G4118" s="93" t="s">
        <v>7104</v>
      </c>
      <c r="H4118" s="93" t="s">
        <v>118</v>
      </c>
      <c r="I4118" s="93" t="s">
        <v>111</v>
      </c>
      <c r="J4118" s="93" t="s">
        <v>118</v>
      </c>
      <c r="K4118" s="93">
        <v>3</v>
      </c>
      <c r="L4118" s="93" t="s">
        <v>111</v>
      </c>
      <c r="M4118" s="93" t="s">
        <v>111</v>
      </c>
      <c r="N4118" s="93" t="s">
        <v>111</v>
      </c>
      <c r="O4118" s="93" t="s">
        <v>111</v>
      </c>
      <c r="P4118" s="93" t="s">
        <v>111</v>
      </c>
      <c r="Q4118" s="93" t="s">
        <v>111</v>
      </c>
      <c r="R4118" s="93" t="s">
        <v>228</v>
      </c>
      <c r="S4118" s="93" t="s">
        <v>2</v>
      </c>
      <c r="T4118" s="93" t="s">
        <v>115</v>
      </c>
      <c r="U4118" s="93" t="s">
        <v>116</v>
      </c>
      <c r="V4118" s="94">
        <v>44602.493055555555</v>
      </c>
      <c r="W4118" s="93" t="s">
        <v>120</v>
      </c>
      <c r="X4118" s="93" t="s">
        <v>24</v>
      </c>
    </row>
    <row r="4119" spans="1:24" hidden="1" x14ac:dyDescent="0.15">
      <c r="A4119" s="93" t="s">
        <v>8799</v>
      </c>
      <c r="B4119" s="93" t="s">
        <v>8800</v>
      </c>
      <c r="C4119" s="410">
        <v>135</v>
      </c>
      <c r="D4119" s="93" t="s">
        <v>24</v>
      </c>
      <c r="E4119" s="93" t="s">
        <v>9</v>
      </c>
      <c r="F4119" s="93" t="s">
        <v>7912</v>
      </c>
      <c r="G4119" s="93" t="s">
        <v>7104</v>
      </c>
      <c r="H4119" s="93" t="s">
        <v>118</v>
      </c>
      <c r="I4119" s="93" t="s">
        <v>111</v>
      </c>
      <c r="J4119" s="93" t="s">
        <v>118</v>
      </c>
      <c r="K4119" s="93">
        <v>3</v>
      </c>
      <c r="L4119" s="93" t="s">
        <v>111</v>
      </c>
      <c r="M4119" s="93" t="s">
        <v>111</v>
      </c>
      <c r="N4119" s="93" t="s">
        <v>111</v>
      </c>
      <c r="O4119" s="93" t="s">
        <v>111</v>
      </c>
      <c r="P4119" s="93" t="s">
        <v>111</v>
      </c>
      <c r="Q4119" s="93" t="s">
        <v>111</v>
      </c>
      <c r="R4119" s="93" t="s">
        <v>228</v>
      </c>
      <c r="S4119" s="93" t="s">
        <v>2</v>
      </c>
      <c r="T4119" s="93" t="s">
        <v>115</v>
      </c>
      <c r="U4119" s="93" t="s">
        <v>116</v>
      </c>
      <c r="V4119" s="94">
        <v>44602.493055555555</v>
      </c>
      <c r="W4119" s="93" t="s">
        <v>120</v>
      </c>
      <c r="X4119" s="93" t="s">
        <v>24</v>
      </c>
    </row>
    <row r="4120" spans="1:24" hidden="1" x14ac:dyDescent="0.15">
      <c r="A4120" s="93" t="s">
        <v>8801</v>
      </c>
      <c r="B4120" s="93" t="s">
        <v>8802</v>
      </c>
      <c r="C4120" s="410">
        <v>90</v>
      </c>
      <c r="D4120" s="93" t="s">
        <v>24</v>
      </c>
      <c r="E4120" s="93" t="s">
        <v>24</v>
      </c>
      <c r="F4120" s="93" t="s">
        <v>126</v>
      </c>
      <c r="G4120" s="93" t="s">
        <v>7104</v>
      </c>
      <c r="H4120" s="93" t="s">
        <v>118</v>
      </c>
      <c r="I4120" s="93" t="s">
        <v>111</v>
      </c>
      <c r="J4120" s="93" t="s">
        <v>7105</v>
      </c>
      <c r="K4120" s="93" t="s">
        <v>111</v>
      </c>
      <c r="L4120" s="93" t="s">
        <v>111</v>
      </c>
      <c r="M4120" s="93" t="s">
        <v>111</v>
      </c>
      <c r="N4120" s="93" t="s">
        <v>111</v>
      </c>
      <c r="O4120" s="93" t="s">
        <v>111</v>
      </c>
      <c r="P4120" s="93" t="s">
        <v>111</v>
      </c>
      <c r="Q4120" s="93" t="s">
        <v>111</v>
      </c>
      <c r="R4120" s="93" t="s">
        <v>111</v>
      </c>
      <c r="S4120" s="93" t="s">
        <v>2</v>
      </c>
      <c r="T4120" s="93" t="s">
        <v>111</v>
      </c>
      <c r="U4120" s="93" t="s">
        <v>116</v>
      </c>
      <c r="V4120" s="94">
        <v>44610.158333333333</v>
      </c>
      <c r="W4120" s="93" t="s">
        <v>7072</v>
      </c>
      <c r="X4120" s="93" t="s">
        <v>24</v>
      </c>
    </row>
    <row r="4121" spans="1:24" hidden="1" x14ac:dyDescent="0.15">
      <c r="A4121" s="93" t="s">
        <v>8803</v>
      </c>
      <c r="B4121" s="93" t="s">
        <v>8804</v>
      </c>
      <c r="C4121" s="410">
        <v>180</v>
      </c>
      <c r="D4121" s="93" t="s">
        <v>24</v>
      </c>
      <c r="E4121" s="93" t="s">
        <v>24</v>
      </c>
      <c r="F4121" s="93" t="s">
        <v>126</v>
      </c>
      <c r="G4121" s="93" t="s">
        <v>7104</v>
      </c>
      <c r="H4121" s="93" t="s">
        <v>118</v>
      </c>
      <c r="I4121" s="93" t="s">
        <v>111</v>
      </c>
      <c r="J4121" s="93" t="s">
        <v>7105</v>
      </c>
      <c r="K4121" s="93" t="s">
        <v>111</v>
      </c>
      <c r="L4121" s="93" t="s">
        <v>111</v>
      </c>
      <c r="M4121" s="93" t="s">
        <v>111</v>
      </c>
      <c r="N4121" s="93" t="s">
        <v>111</v>
      </c>
      <c r="O4121" s="93" t="s">
        <v>111</v>
      </c>
      <c r="P4121" s="93" t="s">
        <v>111</v>
      </c>
      <c r="Q4121" s="93" t="s">
        <v>111</v>
      </c>
      <c r="R4121" s="93" t="s">
        <v>111</v>
      </c>
      <c r="S4121" s="93" t="s">
        <v>111</v>
      </c>
      <c r="T4121" s="93" t="s">
        <v>111</v>
      </c>
      <c r="U4121" s="93" t="s">
        <v>116</v>
      </c>
      <c r="V4121" s="94">
        <v>44610.182638888888</v>
      </c>
      <c r="W4121" s="93" t="s">
        <v>7072</v>
      </c>
      <c r="X4121" s="93" t="s">
        <v>24</v>
      </c>
    </row>
    <row r="4122" spans="1:24" hidden="1" x14ac:dyDescent="0.15">
      <c r="A4122" s="93" t="s">
        <v>8805</v>
      </c>
      <c r="B4122" s="93" t="s">
        <v>8806</v>
      </c>
      <c r="C4122" s="410">
        <v>270</v>
      </c>
      <c r="D4122" s="93" t="s">
        <v>24</v>
      </c>
      <c r="E4122" s="93" t="s">
        <v>24</v>
      </c>
      <c r="F4122" s="93" t="s">
        <v>126</v>
      </c>
      <c r="G4122" s="93" t="s">
        <v>7104</v>
      </c>
      <c r="H4122" s="93" t="s">
        <v>118</v>
      </c>
      <c r="I4122" s="93" t="s">
        <v>111</v>
      </c>
      <c r="J4122" s="93" t="s">
        <v>7105</v>
      </c>
      <c r="K4122" s="93" t="s">
        <v>111</v>
      </c>
      <c r="L4122" s="93" t="s">
        <v>111</v>
      </c>
      <c r="M4122" s="93" t="s">
        <v>111</v>
      </c>
      <c r="N4122" s="93" t="s">
        <v>111</v>
      </c>
      <c r="O4122" s="93" t="s">
        <v>111</v>
      </c>
      <c r="P4122" s="93" t="s">
        <v>111</v>
      </c>
      <c r="Q4122" s="93" t="s">
        <v>111</v>
      </c>
      <c r="R4122" s="93" t="s">
        <v>111</v>
      </c>
      <c r="S4122" s="93" t="s">
        <v>111</v>
      </c>
      <c r="T4122" s="93" t="s">
        <v>111</v>
      </c>
      <c r="U4122" s="93" t="s">
        <v>116</v>
      </c>
      <c r="V4122" s="94">
        <v>44610.182638888888</v>
      </c>
      <c r="W4122" s="93" t="s">
        <v>7072</v>
      </c>
      <c r="X4122" s="93" t="s">
        <v>24</v>
      </c>
    </row>
    <row r="4123" spans="1:24" hidden="1" x14ac:dyDescent="0.15">
      <c r="A4123" s="93" t="s">
        <v>8807</v>
      </c>
      <c r="B4123" s="93" t="s">
        <v>8808</v>
      </c>
      <c r="C4123" s="410">
        <v>720</v>
      </c>
      <c r="D4123" s="93" t="s">
        <v>24</v>
      </c>
      <c r="E4123" s="93" t="s">
        <v>24</v>
      </c>
      <c r="F4123" s="93" t="s">
        <v>126</v>
      </c>
      <c r="G4123" s="93" t="s">
        <v>7104</v>
      </c>
      <c r="H4123" s="93" t="s">
        <v>118</v>
      </c>
      <c r="I4123" s="93" t="s">
        <v>111</v>
      </c>
      <c r="J4123" s="93" t="s">
        <v>7105</v>
      </c>
      <c r="K4123" s="93" t="s">
        <v>111</v>
      </c>
      <c r="L4123" s="93" t="s">
        <v>111</v>
      </c>
      <c r="M4123" s="93" t="s">
        <v>111</v>
      </c>
      <c r="N4123" s="93" t="s">
        <v>111</v>
      </c>
      <c r="O4123" s="93" t="s">
        <v>111</v>
      </c>
      <c r="P4123" s="93" t="s">
        <v>111</v>
      </c>
      <c r="Q4123" s="93" t="s">
        <v>111</v>
      </c>
      <c r="R4123" s="93" t="s">
        <v>111</v>
      </c>
      <c r="S4123" s="93" t="s">
        <v>2</v>
      </c>
      <c r="T4123" s="93" t="s">
        <v>111</v>
      </c>
      <c r="U4123" s="93" t="s">
        <v>116</v>
      </c>
      <c r="V4123" s="94">
        <v>44610.207638888889</v>
      </c>
      <c r="W4123" s="93" t="s">
        <v>7072</v>
      </c>
      <c r="X4123" s="93" t="s">
        <v>24</v>
      </c>
    </row>
    <row r="4124" spans="1:24" hidden="1" x14ac:dyDescent="0.15">
      <c r="A4124" s="93" t="s">
        <v>8809</v>
      </c>
      <c r="B4124" s="93" t="s">
        <v>8810</v>
      </c>
      <c r="C4124" s="410">
        <v>20</v>
      </c>
      <c r="D4124" s="93" t="s">
        <v>24</v>
      </c>
      <c r="E4124" s="93" t="s">
        <v>24</v>
      </c>
      <c r="F4124" s="93" t="s">
        <v>126</v>
      </c>
      <c r="G4124" s="93" t="s">
        <v>7104</v>
      </c>
      <c r="H4124" s="93" t="s">
        <v>118</v>
      </c>
      <c r="I4124" s="93" t="s">
        <v>111</v>
      </c>
      <c r="J4124" s="93" t="s">
        <v>7105</v>
      </c>
      <c r="K4124" s="93" t="s">
        <v>111</v>
      </c>
      <c r="L4124" s="93" t="s">
        <v>111</v>
      </c>
      <c r="M4124" s="93" t="s">
        <v>111</v>
      </c>
      <c r="N4124" s="93" t="s">
        <v>111</v>
      </c>
      <c r="O4124" s="93" t="s">
        <v>111</v>
      </c>
      <c r="P4124" s="93" t="s">
        <v>111</v>
      </c>
      <c r="Q4124" s="93" t="s">
        <v>111</v>
      </c>
      <c r="R4124" s="93" t="s">
        <v>111</v>
      </c>
      <c r="S4124" s="93" t="s">
        <v>2</v>
      </c>
      <c r="T4124" s="93" t="s">
        <v>111</v>
      </c>
      <c r="U4124" s="93" t="s">
        <v>116</v>
      </c>
      <c r="V4124" s="94">
        <v>44610.206944444442</v>
      </c>
      <c r="W4124" s="93" t="s">
        <v>7072</v>
      </c>
      <c r="X4124" s="93" t="s">
        <v>24</v>
      </c>
    </row>
    <row r="4125" spans="1:24" hidden="1" x14ac:dyDescent="0.15">
      <c r="A4125" s="93" t="s">
        <v>8811</v>
      </c>
      <c r="B4125" s="93" t="s">
        <v>8812</v>
      </c>
      <c r="C4125" s="410">
        <v>900</v>
      </c>
      <c r="D4125" s="93" t="s">
        <v>24</v>
      </c>
      <c r="E4125" s="93" t="s">
        <v>24</v>
      </c>
      <c r="F4125" s="93" t="s">
        <v>126</v>
      </c>
      <c r="G4125" s="93" t="s">
        <v>7104</v>
      </c>
      <c r="H4125" s="93" t="s">
        <v>118</v>
      </c>
      <c r="I4125" s="93" t="s">
        <v>111</v>
      </c>
      <c r="J4125" s="93" t="s">
        <v>118</v>
      </c>
      <c r="K4125" s="93">
        <v>3</v>
      </c>
      <c r="L4125" s="93" t="s">
        <v>111</v>
      </c>
      <c r="M4125" s="93" t="s">
        <v>111</v>
      </c>
      <c r="N4125" s="93" t="s">
        <v>111</v>
      </c>
      <c r="O4125" s="93" t="s">
        <v>111</v>
      </c>
      <c r="P4125" s="93" t="s">
        <v>111</v>
      </c>
      <c r="Q4125" s="93" t="s">
        <v>111</v>
      </c>
      <c r="R4125" s="93" t="s">
        <v>111</v>
      </c>
      <c r="S4125" s="93" t="s">
        <v>2</v>
      </c>
      <c r="T4125" s="93" t="s">
        <v>111</v>
      </c>
      <c r="U4125" s="93" t="s">
        <v>116</v>
      </c>
      <c r="V4125" s="94">
        <v>44610.176388888889</v>
      </c>
      <c r="W4125" s="93" t="s">
        <v>7072</v>
      </c>
      <c r="X4125" s="93" t="s">
        <v>24</v>
      </c>
    </row>
    <row r="4126" spans="1:24" hidden="1" x14ac:dyDescent="0.15">
      <c r="A4126" s="93" t="s">
        <v>8813</v>
      </c>
      <c r="B4126" s="93" t="s">
        <v>8814</v>
      </c>
      <c r="C4126" s="410">
        <v>25</v>
      </c>
      <c r="D4126" s="93" t="s">
        <v>24</v>
      </c>
      <c r="E4126" s="93" t="s">
        <v>24</v>
      </c>
      <c r="F4126" s="93" t="s">
        <v>126</v>
      </c>
      <c r="G4126" s="93" t="s">
        <v>7104</v>
      </c>
      <c r="H4126" s="93" t="s">
        <v>118</v>
      </c>
      <c r="I4126" s="93" t="s">
        <v>111</v>
      </c>
      <c r="J4126" s="93" t="s">
        <v>7105</v>
      </c>
      <c r="K4126" s="93" t="s">
        <v>111</v>
      </c>
      <c r="L4126" s="93" t="s">
        <v>111</v>
      </c>
      <c r="M4126" s="93" t="s">
        <v>111</v>
      </c>
      <c r="N4126" s="93" t="s">
        <v>111</v>
      </c>
      <c r="O4126" s="93" t="s">
        <v>111</v>
      </c>
      <c r="P4126" s="93" t="s">
        <v>111</v>
      </c>
      <c r="Q4126" s="93" t="s">
        <v>111</v>
      </c>
      <c r="R4126" s="93" t="s">
        <v>111</v>
      </c>
      <c r="S4126" s="93" t="s">
        <v>2</v>
      </c>
      <c r="T4126" s="93" t="s">
        <v>111</v>
      </c>
      <c r="U4126" s="93" t="s">
        <v>116</v>
      </c>
      <c r="V4126" s="94">
        <v>44610.197916666664</v>
      </c>
      <c r="W4126" s="93" t="s">
        <v>7072</v>
      </c>
      <c r="X4126" s="93" t="s">
        <v>24</v>
      </c>
    </row>
    <row r="4127" spans="1:24" hidden="1" x14ac:dyDescent="0.15">
      <c r="A4127" s="93" t="s">
        <v>8815</v>
      </c>
      <c r="B4127" s="93" t="s">
        <v>8816</v>
      </c>
      <c r="C4127" s="410">
        <v>180</v>
      </c>
      <c r="D4127" s="93" t="s">
        <v>24</v>
      </c>
      <c r="E4127" s="93" t="s">
        <v>24</v>
      </c>
      <c r="F4127" s="93" t="s">
        <v>126</v>
      </c>
      <c r="G4127" s="93" t="s">
        <v>7104</v>
      </c>
      <c r="H4127" s="93" t="s">
        <v>118</v>
      </c>
      <c r="I4127" s="93" t="s">
        <v>111</v>
      </c>
      <c r="J4127" s="93" t="s">
        <v>7105</v>
      </c>
      <c r="K4127" s="93" t="s">
        <v>111</v>
      </c>
      <c r="L4127" s="93" t="s">
        <v>111</v>
      </c>
      <c r="M4127" s="93" t="s">
        <v>111</v>
      </c>
      <c r="N4127" s="93" t="s">
        <v>111</v>
      </c>
      <c r="O4127" s="93" t="s">
        <v>111</v>
      </c>
      <c r="P4127" s="93" t="s">
        <v>111</v>
      </c>
      <c r="Q4127" s="93" t="s">
        <v>111</v>
      </c>
      <c r="R4127" s="93" t="s">
        <v>111</v>
      </c>
      <c r="S4127" s="93" t="s">
        <v>2</v>
      </c>
      <c r="T4127" s="93" t="s">
        <v>111</v>
      </c>
      <c r="U4127" s="93" t="s">
        <v>116</v>
      </c>
      <c r="V4127" s="94">
        <v>44609.324305555558</v>
      </c>
      <c r="W4127" s="93" t="s">
        <v>7072</v>
      </c>
      <c r="X4127" s="93" t="s">
        <v>24</v>
      </c>
    </row>
    <row r="4128" spans="1:24" hidden="1" x14ac:dyDescent="0.15">
      <c r="A4128" s="93" t="s">
        <v>8817</v>
      </c>
      <c r="B4128" s="93" t="s">
        <v>8818</v>
      </c>
      <c r="C4128" s="410">
        <v>320</v>
      </c>
      <c r="D4128" s="93" t="s">
        <v>24</v>
      </c>
      <c r="E4128" s="93" t="s">
        <v>24</v>
      </c>
      <c r="F4128" s="93" t="s">
        <v>126</v>
      </c>
      <c r="G4128" s="93" t="s">
        <v>7104</v>
      </c>
      <c r="H4128" s="93" t="s">
        <v>118</v>
      </c>
      <c r="I4128" s="93" t="s">
        <v>111</v>
      </c>
      <c r="J4128" s="93" t="s">
        <v>7105</v>
      </c>
      <c r="K4128" s="93" t="s">
        <v>111</v>
      </c>
      <c r="L4128" s="93" t="s">
        <v>111</v>
      </c>
      <c r="M4128" s="93" t="s">
        <v>111</v>
      </c>
      <c r="N4128" s="93" t="s">
        <v>111</v>
      </c>
      <c r="O4128" s="93" t="s">
        <v>111</v>
      </c>
      <c r="P4128" s="93" t="s">
        <v>111</v>
      </c>
      <c r="Q4128" s="93" t="s">
        <v>111</v>
      </c>
      <c r="R4128" s="93" t="s">
        <v>111</v>
      </c>
      <c r="S4128" s="93" t="s">
        <v>2</v>
      </c>
      <c r="T4128" s="93" t="s">
        <v>111</v>
      </c>
      <c r="U4128" s="93" t="s">
        <v>116</v>
      </c>
      <c r="V4128" s="94">
        <v>44610.198611111111</v>
      </c>
      <c r="W4128" s="93" t="s">
        <v>7072</v>
      </c>
      <c r="X4128" s="93" t="s">
        <v>24</v>
      </c>
    </row>
    <row r="4129" spans="1:24" hidden="1" x14ac:dyDescent="0.15">
      <c r="A4129" s="93" t="s">
        <v>8819</v>
      </c>
      <c r="B4129" s="93" t="s">
        <v>8820</v>
      </c>
      <c r="C4129" s="410">
        <v>540</v>
      </c>
      <c r="D4129" s="93" t="s">
        <v>24</v>
      </c>
      <c r="E4129" s="93" t="s">
        <v>24</v>
      </c>
      <c r="F4129" s="93" t="s">
        <v>126</v>
      </c>
      <c r="G4129" s="93" t="s">
        <v>7104</v>
      </c>
      <c r="H4129" s="93" t="s">
        <v>118</v>
      </c>
      <c r="I4129" s="93" t="s">
        <v>111</v>
      </c>
      <c r="J4129" s="93" t="s">
        <v>7105</v>
      </c>
      <c r="K4129" s="93" t="s">
        <v>111</v>
      </c>
      <c r="L4129" s="93" t="s">
        <v>111</v>
      </c>
      <c r="M4129" s="93" t="s">
        <v>111</v>
      </c>
      <c r="N4129" s="93" t="s">
        <v>111</v>
      </c>
      <c r="O4129" s="93" t="s">
        <v>111</v>
      </c>
      <c r="P4129" s="93" t="s">
        <v>111</v>
      </c>
      <c r="Q4129" s="93" t="s">
        <v>111</v>
      </c>
      <c r="R4129" s="93" t="s">
        <v>111</v>
      </c>
      <c r="S4129" s="93" t="s">
        <v>2</v>
      </c>
      <c r="T4129" s="93" t="s">
        <v>111</v>
      </c>
      <c r="U4129" s="93" t="s">
        <v>116</v>
      </c>
      <c r="V4129" s="94">
        <v>44610.176388888889</v>
      </c>
      <c r="W4129" s="93" t="s">
        <v>7072</v>
      </c>
      <c r="X4129" s="93" t="s">
        <v>24</v>
      </c>
    </row>
    <row r="4130" spans="1:24" hidden="1" x14ac:dyDescent="0.15">
      <c r="A4130" s="93" t="s">
        <v>8821</v>
      </c>
      <c r="B4130" s="93" t="s">
        <v>8822</v>
      </c>
      <c r="C4130" s="410">
        <v>15</v>
      </c>
      <c r="D4130" s="93" t="s">
        <v>24</v>
      </c>
      <c r="E4130" s="93" t="s">
        <v>24</v>
      </c>
      <c r="F4130" s="93" t="s">
        <v>126</v>
      </c>
      <c r="G4130" s="93" t="s">
        <v>7104</v>
      </c>
      <c r="H4130" s="93" t="s">
        <v>118</v>
      </c>
      <c r="I4130" s="93" t="s">
        <v>111</v>
      </c>
      <c r="J4130" s="93" t="s">
        <v>7105</v>
      </c>
      <c r="K4130" s="93" t="s">
        <v>111</v>
      </c>
      <c r="L4130" s="93" t="s">
        <v>111</v>
      </c>
      <c r="M4130" s="93" t="s">
        <v>111</v>
      </c>
      <c r="N4130" s="93" t="s">
        <v>111</v>
      </c>
      <c r="O4130" s="93" t="s">
        <v>111</v>
      </c>
      <c r="P4130" s="93" t="s">
        <v>111</v>
      </c>
      <c r="Q4130" s="93" t="s">
        <v>111</v>
      </c>
      <c r="R4130" s="93" t="s">
        <v>111</v>
      </c>
      <c r="S4130" s="93" t="s">
        <v>2</v>
      </c>
      <c r="T4130" s="93" t="s">
        <v>111</v>
      </c>
      <c r="U4130" s="93" t="s">
        <v>116</v>
      </c>
      <c r="V4130" s="94">
        <v>44610.15</v>
      </c>
      <c r="W4130" s="93" t="s">
        <v>7072</v>
      </c>
      <c r="X4130" s="93" t="s">
        <v>24</v>
      </c>
    </row>
    <row r="4131" spans="1:24" hidden="1" x14ac:dyDescent="0.15">
      <c r="A4131" s="93" t="s">
        <v>8823</v>
      </c>
      <c r="B4131" s="93" t="s">
        <v>8824</v>
      </c>
      <c r="C4131" s="410">
        <v>150</v>
      </c>
      <c r="D4131" s="93" t="s">
        <v>24</v>
      </c>
      <c r="E4131" s="93" t="s">
        <v>24</v>
      </c>
      <c r="F4131" s="93" t="s">
        <v>126</v>
      </c>
      <c r="G4131" s="93" t="s">
        <v>7104</v>
      </c>
      <c r="H4131" s="93" t="s">
        <v>118</v>
      </c>
      <c r="I4131" s="93" t="s">
        <v>111</v>
      </c>
      <c r="J4131" s="93" t="s">
        <v>7105</v>
      </c>
      <c r="K4131" s="93" t="s">
        <v>111</v>
      </c>
      <c r="L4131" s="93" t="s">
        <v>111</v>
      </c>
      <c r="M4131" s="93" t="s">
        <v>111</v>
      </c>
      <c r="N4131" s="93" t="s">
        <v>111</v>
      </c>
      <c r="O4131" s="93" t="s">
        <v>111</v>
      </c>
      <c r="P4131" s="93" t="s">
        <v>111</v>
      </c>
      <c r="Q4131" s="93" t="s">
        <v>111</v>
      </c>
      <c r="R4131" s="93" t="s">
        <v>111</v>
      </c>
      <c r="S4131" s="93" t="s">
        <v>111</v>
      </c>
      <c r="T4131" s="93" t="s">
        <v>111</v>
      </c>
      <c r="U4131" s="93" t="s">
        <v>116</v>
      </c>
      <c r="V4131" s="94">
        <v>44610.156944444447</v>
      </c>
      <c r="W4131" s="93" t="s">
        <v>7072</v>
      </c>
      <c r="X4131" s="93" t="s">
        <v>24</v>
      </c>
    </row>
    <row r="4132" spans="1:24" hidden="1" x14ac:dyDescent="0.15">
      <c r="A4132" s="93" t="s">
        <v>8825</v>
      </c>
      <c r="B4132" s="93" t="s">
        <v>8826</v>
      </c>
      <c r="C4132" s="410">
        <v>300</v>
      </c>
      <c r="D4132" s="93" t="s">
        <v>24</v>
      </c>
      <c r="E4132" s="93" t="s">
        <v>24</v>
      </c>
      <c r="F4132" s="93" t="s">
        <v>126</v>
      </c>
      <c r="G4132" s="93" t="s">
        <v>7104</v>
      </c>
      <c r="H4132" s="93" t="s">
        <v>118</v>
      </c>
      <c r="I4132" s="93" t="s">
        <v>111</v>
      </c>
      <c r="J4132" s="93" t="s">
        <v>7105</v>
      </c>
      <c r="K4132" s="93" t="s">
        <v>111</v>
      </c>
      <c r="L4132" s="93" t="s">
        <v>111</v>
      </c>
      <c r="M4132" s="93" t="s">
        <v>111</v>
      </c>
      <c r="N4132" s="93" t="s">
        <v>111</v>
      </c>
      <c r="O4132" s="93" t="s">
        <v>111</v>
      </c>
      <c r="P4132" s="93" t="s">
        <v>111</v>
      </c>
      <c r="Q4132" s="93" t="s">
        <v>111</v>
      </c>
      <c r="R4132" s="93" t="s">
        <v>111</v>
      </c>
      <c r="S4132" s="93" t="s">
        <v>111</v>
      </c>
      <c r="T4132" s="93" t="s">
        <v>111</v>
      </c>
      <c r="U4132" s="93" t="s">
        <v>116</v>
      </c>
      <c r="V4132" s="94">
        <v>44610.166666666664</v>
      </c>
      <c r="W4132" s="93" t="s">
        <v>7072</v>
      </c>
      <c r="X4132" s="93" t="s">
        <v>24</v>
      </c>
    </row>
    <row r="4133" spans="1:24" hidden="1" x14ac:dyDescent="0.15">
      <c r="A4133" s="93" t="s">
        <v>8827</v>
      </c>
      <c r="B4133" s="93" t="s">
        <v>8828</v>
      </c>
      <c r="C4133" s="410">
        <v>450</v>
      </c>
      <c r="D4133" s="93" t="s">
        <v>24</v>
      </c>
      <c r="E4133" s="93" t="s">
        <v>24</v>
      </c>
      <c r="F4133" s="93" t="s">
        <v>126</v>
      </c>
      <c r="G4133" s="93" t="s">
        <v>7104</v>
      </c>
      <c r="H4133" s="93" t="s">
        <v>118</v>
      </c>
      <c r="I4133" s="93" t="s">
        <v>111</v>
      </c>
      <c r="J4133" s="93" t="s">
        <v>7105</v>
      </c>
      <c r="K4133" s="93" t="s">
        <v>111</v>
      </c>
      <c r="L4133" s="93" t="s">
        <v>111</v>
      </c>
      <c r="M4133" s="93" t="s">
        <v>111</v>
      </c>
      <c r="N4133" s="93" t="s">
        <v>111</v>
      </c>
      <c r="O4133" s="93" t="s">
        <v>111</v>
      </c>
      <c r="P4133" s="93" t="s">
        <v>111</v>
      </c>
      <c r="Q4133" s="93" t="s">
        <v>111</v>
      </c>
      <c r="R4133" s="93" t="s">
        <v>111</v>
      </c>
      <c r="S4133" s="93" t="s">
        <v>111</v>
      </c>
      <c r="T4133" s="93" t="s">
        <v>111</v>
      </c>
      <c r="U4133" s="93" t="s">
        <v>116</v>
      </c>
      <c r="V4133" s="94">
        <v>44610.166666666664</v>
      </c>
      <c r="W4133" s="93" t="s">
        <v>7072</v>
      </c>
      <c r="X4133" s="93" t="s">
        <v>24</v>
      </c>
    </row>
    <row r="4134" spans="1:24" hidden="1" x14ac:dyDescent="0.15">
      <c r="A4134" s="93" t="s">
        <v>8829</v>
      </c>
      <c r="B4134" s="93" t="s">
        <v>8830</v>
      </c>
      <c r="C4134" s="410">
        <v>270</v>
      </c>
      <c r="D4134" s="93" t="s">
        <v>24</v>
      </c>
      <c r="E4134" s="93" t="s">
        <v>24</v>
      </c>
      <c r="F4134" s="93" t="s">
        <v>126</v>
      </c>
      <c r="G4134" s="93" t="s">
        <v>7104</v>
      </c>
      <c r="H4134" s="93" t="s">
        <v>118</v>
      </c>
      <c r="I4134" s="93" t="s">
        <v>111</v>
      </c>
      <c r="J4134" s="93" t="s">
        <v>7105</v>
      </c>
      <c r="K4134" s="93" t="s">
        <v>111</v>
      </c>
      <c r="L4134" s="93" t="s">
        <v>111</v>
      </c>
      <c r="M4134" s="93" t="s">
        <v>111</v>
      </c>
      <c r="N4134" s="93" t="s">
        <v>111</v>
      </c>
      <c r="O4134" s="93" t="s">
        <v>111</v>
      </c>
      <c r="P4134" s="93" t="s">
        <v>111</v>
      </c>
      <c r="Q4134" s="93" t="s">
        <v>111</v>
      </c>
      <c r="R4134" s="93" t="s">
        <v>111</v>
      </c>
      <c r="S4134" s="93" t="s">
        <v>2</v>
      </c>
      <c r="T4134" s="93" t="s">
        <v>111</v>
      </c>
      <c r="U4134" s="93" t="s">
        <v>116</v>
      </c>
      <c r="V4134" s="94">
        <v>44610.206944444442</v>
      </c>
      <c r="W4134" s="93" t="s">
        <v>7072</v>
      </c>
      <c r="X4134" s="93" t="s">
        <v>24</v>
      </c>
    </row>
    <row r="4135" spans="1:24" hidden="1" x14ac:dyDescent="0.15">
      <c r="A4135" s="93" t="s">
        <v>8831</v>
      </c>
      <c r="B4135" s="93" t="s">
        <v>8832</v>
      </c>
      <c r="C4135" s="410">
        <v>480</v>
      </c>
      <c r="D4135" s="93" t="s">
        <v>24</v>
      </c>
      <c r="E4135" s="93" t="s">
        <v>24</v>
      </c>
      <c r="F4135" s="93" t="s">
        <v>126</v>
      </c>
      <c r="G4135" s="93" t="s">
        <v>7104</v>
      </c>
      <c r="H4135" s="93" t="s">
        <v>118</v>
      </c>
      <c r="I4135" s="93" t="s">
        <v>111</v>
      </c>
      <c r="J4135" s="93" t="s">
        <v>7105</v>
      </c>
      <c r="K4135" s="93" t="s">
        <v>111</v>
      </c>
      <c r="L4135" s="93" t="s">
        <v>111</v>
      </c>
      <c r="M4135" s="93" t="s">
        <v>111</v>
      </c>
      <c r="N4135" s="93" t="s">
        <v>111</v>
      </c>
      <c r="O4135" s="93" t="s">
        <v>111</v>
      </c>
      <c r="P4135" s="93" t="s">
        <v>111</v>
      </c>
      <c r="Q4135" s="93" t="s">
        <v>111</v>
      </c>
      <c r="R4135" s="93" t="s">
        <v>111</v>
      </c>
      <c r="S4135" s="93" t="s">
        <v>2</v>
      </c>
      <c r="T4135" s="93" t="s">
        <v>111</v>
      </c>
      <c r="U4135" s="93" t="s">
        <v>116</v>
      </c>
      <c r="V4135" s="94">
        <v>44610.143055555556</v>
      </c>
      <c r="W4135" s="93" t="s">
        <v>7072</v>
      </c>
      <c r="X4135" s="93" t="s">
        <v>24</v>
      </c>
    </row>
    <row r="4136" spans="1:24" hidden="1" x14ac:dyDescent="0.15">
      <c r="A4136" s="93" t="s">
        <v>8833</v>
      </c>
      <c r="B4136" s="93" t="s">
        <v>8834</v>
      </c>
      <c r="C4136" s="410">
        <v>80</v>
      </c>
      <c r="D4136" s="93" t="s">
        <v>24</v>
      </c>
      <c r="E4136" s="93" t="s">
        <v>9</v>
      </c>
      <c r="F4136" s="93" t="s">
        <v>7912</v>
      </c>
      <c r="G4136" s="93" t="s">
        <v>7104</v>
      </c>
      <c r="H4136" s="93" t="s">
        <v>118</v>
      </c>
      <c r="I4136" s="93" t="s">
        <v>111</v>
      </c>
      <c r="J4136" s="93" t="s">
        <v>118</v>
      </c>
      <c r="K4136" s="93">
        <v>3</v>
      </c>
      <c r="L4136" s="93" t="s">
        <v>111</v>
      </c>
      <c r="M4136" s="93" t="s">
        <v>111</v>
      </c>
      <c r="N4136" s="93" t="s">
        <v>111</v>
      </c>
      <c r="O4136" s="93" t="s">
        <v>111</v>
      </c>
      <c r="P4136" s="93" t="s">
        <v>111</v>
      </c>
      <c r="Q4136" s="93" t="s">
        <v>111</v>
      </c>
      <c r="R4136" s="93" t="s">
        <v>228</v>
      </c>
      <c r="S4136" s="93" t="s">
        <v>2</v>
      </c>
      <c r="T4136" s="93" t="s">
        <v>115</v>
      </c>
      <c r="U4136" s="93" t="s">
        <v>116</v>
      </c>
      <c r="V4136" s="94">
        <v>44602.493055555555</v>
      </c>
      <c r="W4136" s="93" t="s">
        <v>120</v>
      </c>
      <c r="X4136" s="93" t="s">
        <v>24</v>
      </c>
    </row>
    <row r="4137" spans="1:24" hidden="1" x14ac:dyDescent="0.15">
      <c r="A4137" s="93" t="s">
        <v>8835</v>
      </c>
      <c r="B4137" s="93" t="s">
        <v>8836</v>
      </c>
      <c r="C4137" s="410">
        <v>160</v>
      </c>
      <c r="D4137" s="93" t="s">
        <v>24</v>
      </c>
      <c r="E4137" s="93" t="s">
        <v>9</v>
      </c>
      <c r="F4137" s="93" t="s">
        <v>7912</v>
      </c>
      <c r="G4137" s="93" t="s">
        <v>7104</v>
      </c>
      <c r="H4137" s="93" t="s">
        <v>118</v>
      </c>
      <c r="I4137" s="93" t="s">
        <v>111</v>
      </c>
      <c r="J4137" s="93" t="s">
        <v>118</v>
      </c>
      <c r="K4137" s="93">
        <v>3</v>
      </c>
      <c r="L4137" s="93" t="s">
        <v>111</v>
      </c>
      <c r="M4137" s="93" t="s">
        <v>111</v>
      </c>
      <c r="N4137" s="93" t="s">
        <v>111</v>
      </c>
      <c r="O4137" s="93" t="s">
        <v>111</v>
      </c>
      <c r="P4137" s="93" t="s">
        <v>111</v>
      </c>
      <c r="Q4137" s="93" t="s">
        <v>111</v>
      </c>
      <c r="R4137" s="93" t="s">
        <v>228</v>
      </c>
      <c r="S4137" s="93" t="s">
        <v>2</v>
      </c>
      <c r="T4137" s="93" t="s">
        <v>115</v>
      </c>
      <c r="U4137" s="93" t="s">
        <v>116</v>
      </c>
      <c r="V4137" s="94">
        <v>44602.493055555555</v>
      </c>
      <c r="W4137" s="93" t="s">
        <v>120</v>
      </c>
      <c r="X4137" s="93" t="s">
        <v>24</v>
      </c>
    </row>
    <row r="4138" spans="1:24" hidden="1" x14ac:dyDescent="0.15">
      <c r="A4138" s="93" t="s">
        <v>8837</v>
      </c>
      <c r="B4138" s="93" t="s">
        <v>8838</v>
      </c>
      <c r="C4138" s="410">
        <v>240</v>
      </c>
      <c r="D4138" s="93" t="s">
        <v>24</v>
      </c>
      <c r="E4138" s="93" t="s">
        <v>9</v>
      </c>
      <c r="F4138" s="93" t="s">
        <v>7912</v>
      </c>
      <c r="G4138" s="93" t="s">
        <v>7104</v>
      </c>
      <c r="H4138" s="93" t="s">
        <v>118</v>
      </c>
      <c r="I4138" s="93" t="s">
        <v>111</v>
      </c>
      <c r="J4138" s="93" t="s">
        <v>118</v>
      </c>
      <c r="K4138" s="93">
        <v>3</v>
      </c>
      <c r="L4138" s="93" t="s">
        <v>111</v>
      </c>
      <c r="M4138" s="93" t="s">
        <v>111</v>
      </c>
      <c r="N4138" s="93" t="s">
        <v>111</v>
      </c>
      <c r="O4138" s="93" t="s">
        <v>111</v>
      </c>
      <c r="P4138" s="93" t="s">
        <v>111</v>
      </c>
      <c r="Q4138" s="93" t="s">
        <v>111</v>
      </c>
      <c r="R4138" s="93" t="s">
        <v>228</v>
      </c>
      <c r="S4138" s="93" t="s">
        <v>2</v>
      </c>
      <c r="T4138" s="93" t="s">
        <v>115</v>
      </c>
      <c r="U4138" s="93" t="s">
        <v>116</v>
      </c>
      <c r="V4138" s="94">
        <v>44602.493055555555</v>
      </c>
      <c r="W4138" s="93" t="s">
        <v>120</v>
      </c>
      <c r="X4138" s="93" t="s">
        <v>24</v>
      </c>
    </row>
    <row r="4139" spans="1:24" hidden="1" x14ac:dyDescent="0.15">
      <c r="A4139" s="93" t="s">
        <v>8839</v>
      </c>
      <c r="B4139" s="93" t="s">
        <v>8840</v>
      </c>
      <c r="C4139" s="410">
        <v>260</v>
      </c>
      <c r="D4139" s="93" t="s">
        <v>24</v>
      </c>
      <c r="E4139" s="93" t="s">
        <v>24</v>
      </c>
      <c r="F4139" s="93" t="s">
        <v>126</v>
      </c>
      <c r="G4139" s="93" t="s">
        <v>7104</v>
      </c>
      <c r="H4139" s="93" t="s">
        <v>118</v>
      </c>
      <c r="I4139" s="93" t="s">
        <v>111</v>
      </c>
      <c r="J4139" s="93" t="s">
        <v>7105</v>
      </c>
      <c r="K4139" s="93" t="s">
        <v>111</v>
      </c>
      <c r="L4139" s="93" t="s">
        <v>111</v>
      </c>
      <c r="M4139" s="93" t="s">
        <v>111</v>
      </c>
      <c r="N4139" s="93" t="s">
        <v>111</v>
      </c>
      <c r="O4139" s="93" t="s">
        <v>111</v>
      </c>
      <c r="P4139" s="93" t="s">
        <v>111</v>
      </c>
      <c r="Q4139" s="93" t="s">
        <v>111</v>
      </c>
      <c r="R4139" s="93" t="s">
        <v>111</v>
      </c>
      <c r="S4139" s="93" t="s">
        <v>111</v>
      </c>
      <c r="T4139" s="93" t="s">
        <v>111</v>
      </c>
      <c r="U4139" s="93" t="s">
        <v>116</v>
      </c>
      <c r="V4139" s="94">
        <v>44610.197222222225</v>
      </c>
      <c r="W4139" s="93" t="s">
        <v>7072</v>
      </c>
      <c r="X4139" s="93" t="s">
        <v>24</v>
      </c>
    </row>
    <row r="4140" spans="1:24" hidden="1" x14ac:dyDescent="0.15">
      <c r="A4140" s="93" t="s">
        <v>8841</v>
      </c>
      <c r="B4140" s="93" t="s">
        <v>8842</v>
      </c>
      <c r="C4140" s="410">
        <v>520</v>
      </c>
      <c r="D4140" s="93" t="s">
        <v>24</v>
      </c>
      <c r="E4140" s="93" t="s">
        <v>24</v>
      </c>
      <c r="F4140" s="93" t="s">
        <v>126</v>
      </c>
      <c r="G4140" s="93" t="s">
        <v>7104</v>
      </c>
      <c r="H4140" s="93" t="s">
        <v>118</v>
      </c>
      <c r="I4140" s="93" t="s">
        <v>111</v>
      </c>
      <c r="J4140" s="93" t="s">
        <v>7105</v>
      </c>
      <c r="K4140" s="93" t="s">
        <v>111</v>
      </c>
      <c r="L4140" s="93" t="s">
        <v>111</v>
      </c>
      <c r="M4140" s="93" t="s">
        <v>111</v>
      </c>
      <c r="N4140" s="93" t="s">
        <v>111</v>
      </c>
      <c r="O4140" s="93" t="s">
        <v>111</v>
      </c>
      <c r="P4140" s="93" t="s">
        <v>111</v>
      </c>
      <c r="Q4140" s="93" t="s">
        <v>111</v>
      </c>
      <c r="R4140" s="93" t="s">
        <v>111</v>
      </c>
      <c r="S4140" s="93" t="s">
        <v>2</v>
      </c>
      <c r="T4140" s="93" t="s">
        <v>111</v>
      </c>
      <c r="U4140" s="93" t="s">
        <v>116</v>
      </c>
      <c r="V4140" s="94">
        <v>44610.142361111109</v>
      </c>
      <c r="W4140" s="93" t="s">
        <v>7072</v>
      </c>
      <c r="X4140" s="93" t="s">
        <v>24</v>
      </c>
    </row>
    <row r="4141" spans="1:24" hidden="1" x14ac:dyDescent="0.15">
      <c r="A4141" s="93" t="s">
        <v>8843</v>
      </c>
      <c r="B4141" s="93" t="s">
        <v>8844</v>
      </c>
      <c r="C4141" s="410">
        <v>780</v>
      </c>
      <c r="D4141" s="93" t="s">
        <v>24</v>
      </c>
      <c r="E4141" s="93" t="s">
        <v>24</v>
      </c>
      <c r="F4141" s="93" t="s">
        <v>126</v>
      </c>
      <c r="G4141" s="93" t="s">
        <v>7104</v>
      </c>
      <c r="H4141" s="93" t="s">
        <v>118</v>
      </c>
      <c r="I4141" s="93" t="s">
        <v>111</v>
      </c>
      <c r="J4141" s="93" t="s">
        <v>7105</v>
      </c>
      <c r="K4141" s="93" t="s">
        <v>111</v>
      </c>
      <c r="L4141" s="93" t="s">
        <v>111</v>
      </c>
      <c r="M4141" s="93" t="s">
        <v>111</v>
      </c>
      <c r="N4141" s="93" t="s">
        <v>111</v>
      </c>
      <c r="O4141" s="93" t="s">
        <v>111</v>
      </c>
      <c r="P4141" s="93" t="s">
        <v>111</v>
      </c>
      <c r="Q4141" s="93" t="s">
        <v>111</v>
      </c>
      <c r="R4141" s="93" t="s">
        <v>111</v>
      </c>
      <c r="S4141" s="93" t="s">
        <v>2</v>
      </c>
      <c r="T4141" s="93" t="s">
        <v>111</v>
      </c>
      <c r="U4141" s="93" t="s">
        <v>116</v>
      </c>
      <c r="V4141" s="94">
        <v>44610.174305555556</v>
      </c>
      <c r="W4141" s="93" t="s">
        <v>7072</v>
      </c>
      <c r="X4141" s="93" t="s">
        <v>24</v>
      </c>
    </row>
    <row r="4142" spans="1:24" hidden="1" x14ac:dyDescent="0.15">
      <c r="A4142" s="93" t="s">
        <v>8845</v>
      </c>
      <c r="B4142" s="93" t="s">
        <v>8846</v>
      </c>
      <c r="C4142" s="410">
        <v>20</v>
      </c>
      <c r="D4142" s="93" t="s">
        <v>24</v>
      </c>
      <c r="E4142" s="93" t="s">
        <v>9</v>
      </c>
      <c r="F4142" s="93" t="s">
        <v>7912</v>
      </c>
      <c r="G4142" s="93" t="s">
        <v>7104</v>
      </c>
      <c r="H4142" s="93" t="s">
        <v>118</v>
      </c>
      <c r="I4142" s="93" t="s">
        <v>111</v>
      </c>
      <c r="J4142" s="93" t="s">
        <v>118</v>
      </c>
      <c r="K4142" s="93">
        <v>3</v>
      </c>
      <c r="L4142" s="93" t="s">
        <v>111</v>
      </c>
      <c r="M4142" s="93" t="s">
        <v>111</v>
      </c>
      <c r="N4142" s="93" t="s">
        <v>111</v>
      </c>
      <c r="O4142" s="93" t="s">
        <v>111</v>
      </c>
      <c r="P4142" s="93" t="s">
        <v>111</v>
      </c>
      <c r="Q4142" s="93" t="s">
        <v>111</v>
      </c>
      <c r="R4142" s="93" t="s">
        <v>228</v>
      </c>
      <c r="S4142" s="93" t="s">
        <v>2</v>
      </c>
      <c r="T4142" s="93" t="s">
        <v>115</v>
      </c>
      <c r="U4142" s="93" t="s">
        <v>116</v>
      </c>
      <c r="V4142" s="94">
        <v>44610.174305555556</v>
      </c>
      <c r="W4142" s="93" t="s">
        <v>7913</v>
      </c>
      <c r="X4142" s="93" t="s">
        <v>24</v>
      </c>
    </row>
    <row r="4143" spans="1:24" hidden="1" x14ac:dyDescent="0.15">
      <c r="A4143" s="93" t="s">
        <v>8847</v>
      </c>
      <c r="B4143" s="93" t="s">
        <v>8848</v>
      </c>
      <c r="C4143" s="410">
        <v>40</v>
      </c>
      <c r="D4143" s="93" t="s">
        <v>24</v>
      </c>
      <c r="E4143" s="93" t="s">
        <v>9</v>
      </c>
      <c r="F4143" s="93" t="s">
        <v>7912</v>
      </c>
      <c r="G4143" s="93" t="s">
        <v>7104</v>
      </c>
      <c r="H4143" s="93" t="s">
        <v>118</v>
      </c>
      <c r="I4143" s="93" t="s">
        <v>111</v>
      </c>
      <c r="J4143" s="93" t="s">
        <v>118</v>
      </c>
      <c r="K4143" s="93">
        <v>3</v>
      </c>
      <c r="L4143" s="93" t="s">
        <v>111</v>
      </c>
      <c r="M4143" s="93" t="s">
        <v>111</v>
      </c>
      <c r="N4143" s="93" t="s">
        <v>111</v>
      </c>
      <c r="O4143" s="93" t="s">
        <v>111</v>
      </c>
      <c r="P4143" s="93" t="s">
        <v>111</v>
      </c>
      <c r="Q4143" s="93" t="s">
        <v>111</v>
      </c>
      <c r="R4143" s="93" t="s">
        <v>228</v>
      </c>
      <c r="S4143" s="93" t="s">
        <v>2</v>
      </c>
      <c r="T4143" s="93" t="s">
        <v>115</v>
      </c>
      <c r="U4143" s="93" t="s">
        <v>116</v>
      </c>
      <c r="V4143" s="94">
        <v>44610.212500000001</v>
      </c>
      <c r="W4143" s="93" t="s">
        <v>7913</v>
      </c>
      <c r="X4143" s="93" t="s">
        <v>24</v>
      </c>
    </row>
    <row r="4144" spans="1:24" hidden="1" x14ac:dyDescent="0.15">
      <c r="A4144" s="93" t="s">
        <v>8849</v>
      </c>
      <c r="B4144" s="93" t="s">
        <v>8850</v>
      </c>
      <c r="C4144" s="410">
        <v>60</v>
      </c>
      <c r="D4144" s="93" t="s">
        <v>24</v>
      </c>
      <c r="E4144" s="93" t="s">
        <v>9</v>
      </c>
      <c r="F4144" s="93" t="s">
        <v>7912</v>
      </c>
      <c r="G4144" s="93" t="s">
        <v>7104</v>
      </c>
      <c r="H4144" s="93" t="s">
        <v>118</v>
      </c>
      <c r="I4144" s="93" t="s">
        <v>111</v>
      </c>
      <c r="J4144" s="93" t="s">
        <v>118</v>
      </c>
      <c r="K4144" s="93">
        <v>3</v>
      </c>
      <c r="L4144" s="93" t="s">
        <v>111</v>
      </c>
      <c r="M4144" s="93" t="s">
        <v>111</v>
      </c>
      <c r="N4144" s="93" t="s">
        <v>111</v>
      </c>
      <c r="O4144" s="93" t="s">
        <v>111</v>
      </c>
      <c r="P4144" s="93" t="s">
        <v>111</v>
      </c>
      <c r="Q4144" s="93" t="s">
        <v>111</v>
      </c>
      <c r="R4144" s="93" t="s">
        <v>228</v>
      </c>
      <c r="S4144" s="93" t="s">
        <v>2</v>
      </c>
      <c r="T4144" s="93" t="s">
        <v>115</v>
      </c>
      <c r="U4144" s="93" t="s">
        <v>116</v>
      </c>
      <c r="V4144" s="94">
        <v>44610.14166666667</v>
      </c>
      <c r="W4144" s="93" t="s">
        <v>7913</v>
      </c>
      <c r="X4144" s="93" t="s">
        <v>24</v>
      </c>
    </row>
    <row r="4145" spans="1:24" hidden="1" x14ac:dyDescent="0.15">
      <c r="A4145" s="93" t="s">
        <v>8851</v>
      </c>
      <c r="B4145" s="93" t="s">
        <v>8852</v>
      </c>
      <c r="C4145" s="410">
        <v>80</v>
      </c>
      <c r="D4145" s="93" t="s">
        <v>24</v>
      </c>
      <c r="E4145" s="93" t="s">
        <v>9</v>
      </c>
      <c r="F4145" s="93" t="s">
        <v>7912</v>
      </c>
      <c r="G4145" s="93" t="s">
        <v>7104</v>
      </c>
      <c r="H4145" s="93" t="s">
        <v>118</v>
      </c>
      <c r="I4145" s="93" t="s">
        <v>111</v>
      </c>
      <c r="J4145" s="93" t="s">
        <v>118</v>
      </c>
      <c r="K4145" s="93">
        <v>3</v>
      </c>
      <c r="L4145" s="93" t="s">
        <v>111</v>
      </c>
      <c r="M4145" s="93" t="s">
        <v>111</v>
      </c>
      <c r="N4145" s="93" t="s">
        <v>111</v>
      </c>
      <c r="O4145" s="93" t="s">
        <v>111</v>
      </c>
      <c r="P4145" s="93" t="s">
        <v>111</v>
      </c>
      <c r="Q4145" s="93" t="s">
        <v>111</v>
      </c>
      <c r="R4145" s="93" t="s">
        <v>228</v>
      </c>
      <c r="S4145" s="93" t="s">
        <v>2</v>
      </c>
      <c r="T4145" s="93" t="s">
        <v>115</v>
      </c>
      <c r="U4145" s="93" t="s">
        <v>116</v>
      </c>
      <c r="V4145" s="94">
        <v>44597.636805555558</v>
      </c>
      <c r="W4145" s="93" t="s">
        <v>120</v>
      </c>
      <c r="X4145" s="93" t="s">
        <v>24</v>
      </c>
    </row>
    <row r="4146" spans="1:24" hidden="1" x14ac:dyDescent="0.15">
      <c r="A4146" s="93" t="s">
        <v>8853</v>
      </c>
      <c r="B4146" s="93" t="s">
        <v>8854</v>
      </c>
      <c r="C4146" s="410">
        <v>160</v>
      </c>
      <c r="D4146" s="93" t="s">
        <v>24</v>
      </c>
      <c r="E4146" s="93" t="s">
        <v>9</v>
      </c>
      <c r="F4146" s="93" t="s">
        <v>7912</v>
      </c>
      <c r="G4146" s="93" t="s">
        <v>7104</v>
      </c>
      <c r="H4146" s="93" t="s">
        <v>118</v>
      </c>
      <c r="I4146" s="93" t="s">
        <v>111</v>
      </c>
      <c r="J4146" s="93" t="s">
        <v>118</v>
      </c>
      <c r="K4146" s="93">
        <v>3</v>
      </c>
      <c r="L4146" s="93" t="s">
        <v>111</v>
      </c>
      <c r="M4146" s="93" t="s">
        <v>111</v>
      </c>
      <c r="N4146" s="93" t="s">
        <v>111</v>
      </c>
      <c r="O4146" s="93" t="s">
        <v>111</v>
      </c>
      <c r="P4146" s="93" t="s">
        <v>111</v>
      </c>
      <c r="Q4146" s="93" t="s">
        <v>111</v>
      </c>
      <c r="R4146" s="93" t="s">
        <v>228</v>
      </c>
      <c r="S4146" s="93" t="s">
        <v>2</v>
      </c>
      <c r="T4146" s="93" t="s">
        <v>115</v>
      </c>
      <c r="U4146" s="93" t="s">
        <v>116</v>
      </c>
      <c r="V4146" s="94">
        <v>44597.636805555558</v>
      </c>
      <c r="W4146" s="93" t="s">
        <v>120</v>
      </c>
      <c r="X4146" s="93" t="s">
        <v>24</v>
      </c>
    </row>
    <row r="4147" spans="1:24" hidden="1" x14ac:dyDescent="0.15">
      <c r="A4147" s="93" t="s">
        <v>8855</v>
      </c>
      <c r="B4147" s="93" t="s">
        <v>8856</v>
      </c>
      <c r="C4147" s="410">
        <v>240</v>
      </c>
      <c r="D4147" s="93" t="s">
        <v>24</v>
      </c>
      <c r="E4147" s="93" t="s">
        <v>9</v>
      </c>
      <c r="F4147" s="93" t="s">
        <v>7912</v>
      </c>
      <c r="G4147" s="93" t="s">
        <v>7104</v>
      </c>
      <c r="H4147" s="93" t="s">
        <v>118</v>
      </c>
      <c r="I4147" s="93" t="s">
        <v>111</v>
      </c>
      <c r="J4147" s="93" t="s">
        <v>118</v>
      </c>
      <c r="K4147" s="93">
        <v>3</v>
      </c>
      <c r="L4147" s="93" t="s">
        <v>111</v>
      </c>
      <c r="M4147" s="93" t="s">
        <v>111</v>
      </c>
      <c r="N4147" s="93" t="s">
        <v>111</v>
      </c>
      <c r="O4147" s="93" t="s">
        <v>111</v>
      </c>
      <c r="P4147" s="93" t="s">
        <v>111</v>
      </c>
      <c r="Q4147" s="93" t="s">
        <v>111</v>
      </c>
      <c r="R4147" s="93" t="s">
        <v>228</v>
      </c>
      <c r="S4147" s="93" t="s">
        <v>2</v>
      </c>
      <c r="T4147" s="93" t="s">
        <v>115</v>
      </c>
      <c r="U4147" s="93" t="s">
        <v>116</v>
      </c>
      <c r="V4147" s="94">
        <v>44597.636805555558</v>
      </c>
      <c r="W4147" s="93" t="s">
        <v>120</v>
      </c>
      <c r="X4147" s="93" t="s">
        <v>24</v>
      </c>
    </row>
    <row r="4148" spans="1:24" hidden="1" x14ac:dyDescent="0.15">
      <c r="A4148" s="93" t="s">
        <v>8857</v>
      </c>
      <c r="B4148" s="93" t="s">
        <v>8858</v>
      </c>
      <c r="C4148" s="410">
        <v>360</v>
      </c>
      <c r="D4148" s="93" t="s">
        <v>24</v>
      </c>
      <c r="E4148" s="93" t="s">
        <v>9</v>
      </c>
      <c r="F4148" s="93" t="s">
        <v>7912</v>
      </c>
      <c r="G4148" s="93" t="s">
        <v>7104</v>
      </c>
      <c r="H4148" s="93" t="s">
        <v>118</v>
      </c>
      <c r="I4148" s="93" t="s">
        <v>111</v>
      </c>
      <c r="J4148" s="93" t="s">
        <v>7105</v>
      </c>
      <c r="K4148" s="93" t="s">
        <v>111</v>
      </c>
      <c r="L4148" s="93" t="s">
        <v>111</v>
      </c>
      <c r="M4148" s="93" t="s">
        <v>111</v>
      </c>
      <c r="N4148" s="93" t="s">
        <v>111</v>
      </c>
      <c r="O4148" s="93" t="s">
        <v>111</v>
      </c>
      <c r="P4148" s="93" t="s">
        <v>111</v>
      </c>
      <c r="Q4148" s="93" t="s">
        <v>111</v>
      </c>
      <c r="R4148" s="93" t="s">
        <v>111</v>
      </c>
      <c r="S4148" s="93" t="s">
        <v>2</v>
      </c>
      <c r="T4148" s="93" t="s">
        <v>111</v>
      </c>
      <c r="U4148" s="93" t="s">
        <v>116</v>
      </c>
      <c r="V4148" s="94">
        <v>44596.662499999999</v>
      </c>
      <c r="W4148" s="93" t="s">
        <v>7913</v>
      </c>
      <c r="X4148" s="93" t="s">
        <v>24</v>
      </c>
    </row>
    <row r="4149" spans="1:24" hidden="1" x14ac:dyDescent="0.15">
      <c r="A4149" s="93" t="s">
        <v>8859</v>
      </c>
      <c r="B4149" s="93" t="s">
        <v>8860</v>
      </c>
      <c r="C4149" s="410">
        <v>720</v>
      </c>
      <c r="D4149" s="93" t="s">
        <v>24</v>
      </c>
      <c r="E4149" s="93" t="s">
        <v>9</v>
      </c>
      <c r="F4149" s="93" t="s">
        <v>7912</v>
      </c>
      <c r="G4149" s="93" t="s">
        <v>7104</v>
      </c>
      <c r="H4149" s="93" t="s">
        <v>118</v>
      </c>
      <c r="I4149" s="93" t="s">
        <v>111</v>
      </c>
      <c r="J4149" s="93" t="s">
        <v>7105</v>
      </c>
      <c r="K4149" s="93" t="s">
        <v>111</v>
      </c>
      <c r="L4149" s="93" t="s">
        <v>111</v>
      </c>
      <c r="M4149" s="93" t="s">
        <v>111</v>
      </c>
      <c r="N4149" s="93" t="s">
        <v>111</v>
      </c>
      <c r="O4149" s="93" t="s">
        <v>111</v>
      </c>
      <c r="P4149" s="93" t="s">
        <v>111</v>
      </c>
      <c r="Q4149" s="93" t="s">
        <v>111</v>
      </c>
      <c r="R4149" s="93" t="s">
        <v>111</v>
      </c>
      <c r="S4149" s="93" t="s">
        <v>2</v>
      </c>
      <c r="T4149" s="93" t="s">
        <v>111</v>
      </c>
      <c r="U4149" s="93" t="s">
        <v>116</v>
      </c>
      <c r="V4149" s="94">
        <v>44596.693749999999</v>
      </c>
      <c r="W4149" s="93" t="s">
        <v>7913</v>
      </c>
      <c r="X4149" s="93" t="s">
        <v>24</v>
      </c>
    </row>
    <row r="4150" spans="1:24" hidden="1" x14ac:dyDescent="0.15">
      <c r="A4150" s="93" t="s">
        <v>8861</v>
      </c>
      <c r="B4150" s="93" t="s">
        <v>8862</v>
      </c>
      <c r="C4150" s="410">
        <v>80</v>
      </c>
      <c r="D4150" s="93" t="s">
        <v>24</v>
      </c>
      <c r="E4150" s="93" t="s">
        <v>9</v>
      </c>
      <c r="F4150" s="93" t="s">
        <v>7912</v>
      </c>
      <c r="G4150" s="93" t="s">
        <v>7104</v>
      </c>
      <c r="H4150" s="93" t="s">
        <v>118</v>
      </c>
      <c r="I4150" s="93" t="s">
        <v>111</v>
      </c>
      <c r="J4150" s="93" t="s">
        <v>118</v>
      </c>
      <c r="K4150" s="93">
        <v>3</v>
      </c>
      <c r="L4150" s="93" t="s">
        <v>111</v>
      </c>
      <c r="M4150" s="93" t="s">
        <v>111</v>
      </c>
      <c r="N4150" s="93" t="s">
        <v>111</v>
      </c>
      <c r="O4150" s="93" t="s">
        <v>111</v>
      </c>
      <c r="P4150" s="93" t="s">
        <v>111</v>
      </c>
      <c r="Q4150" s="93" t="s">
        <v>111</v>
      </c>
      <c r="R4150" s="93" t="s">
        <v>228</v>
      </c>
      <c r="S4150" s="93" t="s">
        <v>2</v>
      </c>
      <c r="T4150" s="93" t="s">
        <v>115</v>
      </c>
      <c r="U4150" s="93" t="s">
        <v>116</v>
      </c>
      <c r="V4150" s="94">
        <v>44610.165972222225</v>
      </c>
      <c r="W4150" s="93" t="s">
        <v>7913</v>
      </c>
      <c r="X4150" s="93" t="s">
        <v>24</v>
      </c>
    </row>
    <row r="4151" spans="1:24" hidden="1" x14ac:dyDescent="0.15">
      <c r="A4151" s="93" t="s">
        <v>8863</v>
      </c>
      <c r="B4151" s="93" t="s">
        <v>8864</v>
      </c>
      <c r="C4151" s="410">
        <v>160</v>
      </c>
      <c r="D4151" s="93" t="s">
        <v>24</v>
      </c>
      <c r="E4151" s="93" t="s">
        <v>9</v>
      </c>
      <c r="F4151" s="93" t="s">
        <v>7912</v>
      </c>
      <c r="G4151" s="93" t="s">
        <v>7104</v>
      </c>
      <c r="H4151" s="93" t="s">
        <v>118</v>
      </c>
      <c r="I4151" s="93" t="s">
        <v>111</v>
      </c>
      <c r="J4151" s="93" t="s">
        <v>118</v>
      </c>
      <c r="K4151" s="93">
        <v>3</v>
      </c>
      <c r="L4151" s="93" t="s">
        <v>111</v>
      </c>
      <c r="M4151" s="93" t="s">
        <v>111</v>
      </c>
      <c r="N4151" s="93" t="s">
        <v>111</v>
      </c>
      <c r="O4151" s="93" t="s">
        <v>111</v>
      </c>
      <c r="P4151" s="93" t="s">
        <v>111</v>
      </c>
      <c r="Q4151" s="93" t="s">
        <v>111</v>
      </c>
      <c r="R4151" s="93" t="s">
        <v>228</v>
      </c>
      <c r="S4151" s="93" t="s">
        <v>2</v>
      </c>
      <c r="T4151" s="93" t="s">
        <v>115</v>
      </c>
      <c r="U4151" s="93" t="s">
        <v>116</v>
      </c>
      <c r="V4151" s="94">
        <v>44610.165972222225</v>
      </c>
      <c r="W4151" s="93" t="s">
        <v>7913</v>
      </c>
      <c r="X4151" s="93" t="s">
        <v>24</v>
      </c>
    </row>
    <row r="4152" spans="1:24" hidden="1" x14ac:dyDescent="0.15">
      <c r="A4152" s="93" t="s">
        <v>8865</v>
      </c>
      <c r="B4152" s="93" t="s">
        <v>8866</v>
      </c>
      <c r="C4152" s="410">
        <v>240</v>
      </c>
      <c r="D4152" s="93" t="s">
        <v>24</v>
      </c>
      <c r="E4152" s="93" t="s">
        <v>9</v>
      </c>
      <c r="F4152" s="93" t="s">
        <v>7912</v>
      </c>
      <c r="G4152" s="93" t="s">
        <v>7104</v>
      </c>
      <c r="H4152" s="93" t="s">
        <v>118</v>
      </c>
      <c r="I4152" s="93" t="s">
        <v>111</v>
      </c>
      <c r="J4152" s="93" t="s">
        <v>118</v>
      </c>
      <c r="K4152" s="93">
        <v>3</v>
      </c>
      <c r="L4152" s="93" t="s">
        <v>111</v>
      </c>
      <c r="M4152" s="93" t="s">
        <v>111</v>
      </c>
      <c r="N4152" s="93" t="s">
        <v>111</v>
      </c>
      <c r="O4152" s="93" t="s">
        <v>111</v>
      </c>
      <c r="P4152" s="93" t="s">
        <v>111</v>
      </c>
      <c r="Q4152" s="93" t="s">
        <v>111</v>
      </c>
      <c r="R4152" s="93" t="s">
        <v>228</v>
      </c>
      <c r="S4152" s="93" t="s">
        <v>2</v>
      </c>
      <c r="T4152" s="93" t="s">
        <v>115</v>
      </c>
      <c r="U4152" s="93" t="s">
        <v>116</v>
      </c>
      <c r="V4152" s="94">
        <v>44610.15625</v>
      </c>
      <c r="W4152" s="93" t="s">
        <v>7913</v>
      </c>
      <c r="X4152" s="93" t="s">
        <v>24</v>
      </c>
    </row>
    <row r="4153" spans="1:24" hidden="1" x14ac:dyDescent="0.15">
      <c r="A4153" s="93" t="s">
        <v>8867</v>
      </c>
      <c r="B4153" s="93" t="s">
        <v>8868</v>
      </c>
      <c r="C4153" s="410">
        <v>450</v>
      </c>
      <c r="D4153" s="93" t="s">
        <v>24</v>
      </c>
      <c r="E4153" s="93" t="s">
        <v>9</v>
      </c>
      <c r="F4153" s="93" t="s">
        <v>7912</v>
      </c>
      <c r="G4153" s="93" t="s">
        <v>7104</v>
      </c>
      <c r="H4153" s="93" t="s">
        <v>118</v>
      </c>
      <c r="I4153" s="93" t="s">
        <v>111</v>
      </c>
      <c r="J4153" s="93" t="s">
        <v>7105</v>
      </c>
      <c r="K4153" s="93" t="s">
        <v>111</v>
      </c>
      <c r="L4153" s="93" t="s">
        <v>111</v>
      </c>
      <c r="M4153" s="93" t="s">
        <v>111</v>
      </c>
      <c r="N4153" s="93" t="s">
        <v>111</v>
      </c>
      <c r="O4153" s="93" t="s">
        <v>111</v>
      </c>
      <c r="P4153" s="93" t="s">
        <v>111</v>
      </c>
      <c r="Q4153" s="93" t="s">
        <v>111</v>
      </c>
      <c r="R4153" s="93" t="s">
        <v>111</v>
      </c>
      <c r="S4153" s="93" t="s">
        <v>2</v>
      </c>
      <c r="T4153" s="93" t="s">
        <v>111</v>
      </c>
      <c r="U4153" s="93" t="s">
        <v>116</v>
      </c>
      <c r="V4153" s="94">
        <v>44596.654861111114</v>
      </c>
      <c r="W4153" s="93" t="s">
        <v>7913</v>
      </c>
      <c r="X4153" s="93" t="s">
        <v>24</v>
      </c>
    </row>
    <row r="4154" spans="1:24" hidden="1" x14ac:dyDescent="0.15">
      <c r="A4154" s="93" t="s">
        <v>8869</v>
      </c>
      <c r="B4154" s="93" t="s">
        <v>8870</v>
      </c>
      <c r="C4154" s="410">
        <v>900</v>
      </c>
      <c r="D4154" s="93" t="s">
        <v>24</v>
      </c>
      <c r="E4154" s="93" t="s">
        <v>9</v>
      </c>
      <c r="F4154" s="93" t="s">
        <v>7912</v>
      </c>
      <c r="G4154" s="93" t="s">
        <v>7104</v>
      </c>
      <c r="H4154" s="93" t="s">
        <v>118</v>
      </c>
      <c r="I4154" s="93" t="s">
        <v>111</v>
      </c>
      <c r="J4154" s="93" t="s">
        <v>7105</v>
      </c>
      <c r="K4154" s="93" t="s">
        <v>111</v>
      </c>
      <c r="L4154" s="93" t="s">
        <v>111</v>
      </c>
      <c r="M4154" s="93" t="s">
        <v>111</v>
      </c>
      <c r="N4154" s="93" t="s">
        <v>111</v>
      </c>
      <c r="O4154" s="93" t="s">
        <v>111</v>
      </c>
      <c r="P4154" s="93" t="s">
        <v>111</v>
      </c>
      <c r="Q4154" s="93" t="s">
        <v>111</v>
      </c>
      <c r="R4154" s="93" t="s">
        <v>111</v>
      </c>
      <c r="S4154" s="93" t="s">
        <v>2</v>
      </c>
      <c r="T4154" s="93" t="s">
        <v>111</v>
      </c>
      <c r="U4154" s="93" t="s">
        <v>116</v>
      </c>
      <c r="V4154" s="94">
        <v>44596.685416666667</v>
      </c>
      <c r="W4154" s="93" t="s">
        <v>7913</v>
      </c>
      <c r="X4154" s="93" t="s">
        <v>24</v>
      </c>
    </row>
    <row r="4155" spans="1:24" hidden="1" x14ac:dyDescent="0.15">
      <c r="A4155" s="93" t="s">
        <v>8871</v>
      </c>
      <c r="B4155" s="93" t="s">
        <v>8872</v>
      </c>
      <c r="C4155" s="410">
        <v>100</v>
      </c>
      <c r="D4155" s="93" t="s">
        <v>24</v>
      </c>
      <c r="E4155" s="93" t="s">
        <v>9</v>
      </c>
      <c r="F4155" s="93" t="s">
        <v>7912</v>
      </c>
      <c r="G4155" s="93" t="s">
        <v>7104</v>
      </c>
      <c r="H4155" s="93" t="s">
        <v>118</v>
      </c>
      <c r="I4155" s="93" t="s">
        <v>111</v>
      </c>
      <c r="J4155" s="93" t="s">
        <v>118</v>
      </c>
      <c r="K4155" s="93">
        <v>3</v>
      </c>
      <c r="L4155" s="93" t="s">
        <v>111</v>
      </c>
      <c r="M4155" s="93" t="s">
        <v>111</v>
      </c>
      <c r="N4155" s="93" t="s">
        <v>111</v>
      </c>
      <c r="O4155" s="93" t="s">
        <v>111</v>
      </c>
      <c r="P4155" s="93" t="s">
        <v>111</v>
      </c>
      <c r="Q4155" s="93" t="s">
        <v>111</v>
      </c>
      <c r="R4155" s="93" t="s">
        <v>228</v>
      </c>
      <c r="S4155" s="93" t="s">
        <v>2</v>
      </c>
      <c r="T4155" s="93" t="s">
        <v>115</v>
      </c>
      <c r="U4155" s="93" t="s">
        <v>116</v>
      </c>
      <c r="V4155" s="94">
        <v>44597.636805555558</v>
      </c>
      <c r="W4155" s="93" t="s">
        <v>120</v>
      </c>
      <c r="X4155" s="93" t="s">
        <v>24</v>
      </c>
    </row>
    <row r="4156" spans="1:24" hidden="1" x14ac:dyDescent="0.15">
      <c r="A4156" s="93" t="s">
        <v>8873</v>
      </c>
      <c r="B4156" s="93" t="s">
        <v>8874</v>
      </c>
      <c r="C4156" s="410">
        <v>200</v>
      </c>
      <c r="D4156" s="93" t="s">
        <v>24</v>
      </c>
      <c r="E4156" s="93" t="s">
        <v>9</v>
      </c>
      <c r="F4156" s="93" t="s">
        <v>7912</v>
      </c>
      <c r="G4156" s="93" t="s">
        <v>7104</v>
      </c>
      <c r="H4156" s="93" t="s">
        <v>118</v>
      </c>
      <c r="I4156" s="93" t="s">
        <v>111</v>
      </c>
      <c r="J4156" s="93" t="s">
        <v>118</v>
      </c>
      <c r="K4156" s="93">
        <v>3</v>
      </c>
      <c r="L4156" s="93" t="s">
        <v>111</v>
      </c>
      <c r="M4156" s="93" t="s">
        <v>111</v>
      </c>
      <c r="N4156" s="93" t="s">
        <v>111</v>
      </c>
      <c r="O4156" s="93" t="s">
        <v>111</v>
      </c>
      <c r="P4156" s="93" t="s">
        <v>111</v>
      </c>
      <c r="Q4156" s="93" t="s">
        <v>111</v>
      </c>
      <c r="R4156" s="93" t="s">
        <v>228</v>
      </c>
      <c r="S4156" s="93" t="s">
        <v>2</v>
      </c>
      <c r="T4156" s="93" t="s">
        <v>115</v>
      </c>
      <c r="U4156" s="93" t="s">
        <v>116</v>
      </c>
      <c r="V4156" s="94">
        <v>44597.636805555558</v>
      </c>
      <c r="W4156" s="93" t="s">
        <v>120</v>
      </c>
      <c r="X4156" s="93" t="s">
        <v>24</v>
      </c>
    </row>
    <row r="4157" spans="1:24" hidden="1" x14ac:dyDescent="0.15">
      <c r="A4157" s="93" t="s">
        <v>8875</v>
      </c>
      <c r="B4157" s="93" t="s">
        <v>8876</v>
      </c>
      <c r="C4157" s="410">
        <v>300</v>
      </c>
      <c r="D4157" s="93" t="s">
        <v>24</v>
      </c>
      <c r="E4157" s="93" t="s">
        <v>9</v>
      </c>
      <c r="F4157" s="93" t="s">
        <v>7912</v>
      </c>
      <c r="G4157" s="93" t="s">
        <v>7104</v>
      </c>
      <c r="H4157" s="93" t="s">
        <v>118</v>
      </c>
      <c r="I4157" s="93" t="s">
        <v>111</v>
      </c>
      <c r="J4157" s="93" t="s">
        <v>118</v>
      </c>
      <c r="K4157" s="93">
        <v>3</v>
      </c>
      <c r="L4157" s="93" t="s">
        <v>111</v>
      </c>
      <c r="M4157" s="93" t="s">
        <v>111</v>
      </c>
      <c r="N4157" s="93" t="s">
        <v>111</v>
      </c>
      <c r="O4157" s="93" t="s">
        <v>111</v>
      </c>
      <c r="P4157" s="93" t="s">
        <v>111</v>
      </c>
      <c r="Q4157" s="93" t="s">
        <v>111</v>
      </c>
      <c r="R4157" s="93" t="s">
        <v>228</v>
      </c>
      <c r="S4157" s="93" t="s">
        <v>2</v>
      </c>
      <c r="T4157" s="93" t="s">
        <v>115</v>
      </c>
      <c r="U4157" s="93" t="s">
        <v>116</v>
      </c>
      <c r="V4157" s="94">
        <v>44597.637499999997</v>
      </c>
      <c r="W4157" s="93" t="s">
        <v>120</v>
      </c>
      <c r="X4157" s="93" t="s">
        <v>24</v>
      </c>
    </row>
    <row r="4158" spans="1:24" hidden="1" x14ac:dyDescent="0.15">
      <c r="A4158" s="93" t="s">
        <v>8877</v>
      </c>
      <c r="B4158" s="93" t="s">
        <v>8878</v>
      </c>
      <c r="C4158" s="410">
        <v>45</v>
      </c>
      <c r="D4158" s="93" t="s">
        <v>24</v>
      </c>
      <c r="E4158" s="93" t="s">
        <v>9</v>
      </c>
      <c r="F4158" s="93" t="s">
        <v>7912</v>
      </c>
      <c r="G4158" s="93" t="s">
        <v>7104</v>
      </c>
      <c r="H4158" s="93" t="s">
        <v>118</v>
      </c>
      <c r="I4158" s="93" t="s">
        <v>111</v>
      </c>
      <c r="J4158" s="93" t="s">
        <v>118</v>
      </c>
      <c r="K4158" s="93">
        <v>3</v>
      </c>
      <c r="L4158" s="93" t="s">
        <v>111</v>
      </c>
      <c r="M4158" s="93" t="s">
        <v>111</v>
      </c>
      <c r="N4158" s="93" t="s">
        <v>111</v>
      </c>
      <c r="O4158" s="93" t="s">
        <v>111</v>
      </c>
      <c r="P4158" s="93" t="s">
        <v>111</v>
      </c>
      <c r="Q4158" s="93" t="s">
        <v>111</v>
      </c>
      <c r="R4158" s="93" t="s">
        <v>228</v>
      </c>
      <c r="S4158" s="93" t="s">
        <v>2</v>
      </c>
      <c r="T4158" s="93" t="s">
        <v>115</v>
      </c>
      <c r="U4158" s="93" t="s">
        <v>116</v>
      </c>
      <c r="V4158" s="94">
        <v>44610.189583333333</v>
      </c>
      <c r="W4158" s="93" t="s">
        <v>7913</v>
      </c>
      <c r="X4158" s="93" t="s">
        <v>24</v>
      </c>
    </row>
    <row r="4159" spans="1:24" hidden="1" x14ac:dyDescent="0.15">
      <c r="A4159" s="93" t="s">
        <v>8879</v>
      </c>
      <c r="B4159" s="93" t="s">
        <v>8880</v>
      </c>
      <c r="C4159" s="410">
        <v>90</v>
      </c>
      <c r="D4159" s="93" t="s">
        <v>24</v>
      </c>
      <c r="E4159" s="93" t="s">
        <v>9</v>
      </c>
      <c r="F4159" s="93" t="s">
        <v>7912</v>
      </c>
      <c r="G4159" s="93" t="s">
        <v>7104</v>
      </c>
      <c r="H4159" s="93" t="s">
        <v>118</v>
      </c>
      <c r="I4159" s="93" t="s">
        <v>111</v>
      </c>
      <c r="J4159" s="93" t="s">
        <v>118</v>
      </c>
      <c r="K4159" s="93">
        <v>3</v>
      </c>
      <c r="L4159" s="93" t="s">
        <v>111</v>
      </c>
      <c r="M4159" s="93" t="s">
        <v>111</v>
      </c>
      <c r="N4159" s="93" t="s">
        <v>111</v>
      </c>
      <c r="O4159" s="93" t="s">
        <v>111</v>
      </c>
      <c r="P4159" s="93" t="s">
        <v>111</v>
      </c>
      <c r="Q4159" s="93" t="s">
        <v>111</v>
      </c>
      <c r="R4159" s="93" t="s">
        <v>228</v>
      </c>
      <c r="S4159" s="93" t="s">
        <v>2</v>
      </c>
      <c r="T4159" s="93" t="s">
        <v>115</v>
      </c>
      <c r="U4159" s="93" t="s">
        <v>116</v>
      </c>
      <c r="V4159" s="94">
        <v>44610.156944444447</v>
      </c>
      <c r="W4159" s="93" t="s">
        <v>7913</v>
      </c>
      <c r="X4159" s="93" t="s">
        <v>24</v>
      </c>
    </row>
    <row r="4160" spans="1:24" hidden="1" x14ac:dyDescent="0.15">
      <c r="A4160" s="93" t="s">
        <v>8881</v>
      </c>
      <c r="B4160" s="93" t="s">
        <v>8882</v>
      </c>
      <c r="C4160" s="410">
        <v>135</v>
      </c>
      <c r="D4160" s="93" t="s">
        <v>24</v>
      </c>
      <c r="E4160" s="93" t="s">
        <v>9</v>
      </c>
      <c r="F4160" s="93" t="s">
        <v>7912</v>
      </c>
      <c r="G4160" s="93" t="s">
        <v>7104</v>
      </c>
      <c r="H4160" s="93" t="s">
        <v>118</v>
      </c>
      <c r="I4160" s="93" t="s">
        <v>111</v>
      </c>
      <c r="J4160" s="93" t="s">
        <v>118</v>
      </c>
      <c r="K4160" s="93">
        <v>3</v>
      </c>
      <c r="L4160" s="93" t="s">
        <v>111</v>
      </c>
      <c r="M4160" s="93" t="s">
        <v>111</v>
      </c>
      <c r="N4160" s="93" t="s">
        <v>111</v>
      </c>
      <c r="O4160" s="93" t="s">
        <v>111</v>
      </c>
      <c r="P4160" s="93" t="s">
        <v>111</v>
      </c>
      <c r="Q4160" s="93" t="s">
        <v>111</v>
      </c>
      <c r="R4160" s="93" t="s">
        <v>228</v>
      </c>
      <c r="S4160" s="93" t="s">
        <v>2</v>
      </c>
      <c r="T4160" s="93" t="s">
        <v>115</v>
      </c>
      <c r="U4160" s="93" t="s">
        <v>116</v>
      </c>
      <c r="V4160" s="94">
        <v>44610.212500000001</v>
      </c>
      <c r="W4160" s="93" t="s">
        <v>7913</v>
      </c>
      <c r="X4160" s="93" t="s">
        <v>24</v>
      </c>
    </row>
    <row r="4161" spans="1:24" hidden="1" x14ac:dyDescent="0.15">
      <c r="A4161" s="93" t="s">
        <v>8883</v>
      </c>
      <c r="B4161" s="93" t="s">
        <v>8884</v>
      </c>
      <c r="C4161" s="410">
        <v>90</v>
      </c>
      <c r="D4161" s="93" t="s">
        <v>24</v>
      </c>
      <c r="E4161" s="93" t="s">
        <v>9</v>
      </c>
      <c r="F4161" s="93" t="s">
        <v>7912</v>
      </c>
      <c r="G4161" s="93" t="s">
        <v>7104</v>
      </c>
      <c r="H4161" s="93" t="s">
        <v>118</v>
      </c>
      <c r="I4161" s="93" t="s">
        <v>111</v>
      </c>
      <c r="J4161" s="93" t="s">
        <v>118</v>
      </c>
      <c r="K4161" s="93">
        <v>3</v>
      </c>
      <c r="L4161" s="93" t="s">
        <v>111</v>
      </c>
      <c r="M4161" s="93" t="s">
        <v>111</v>
      </c>
      <c r="N4161" s="93" t="s">
        <v>111</v>
      </c>
      <c r="O4161" s="93" t="s">
        <v>111</v>
      </c>
      <c r="P4161" s="93" t="s">
        <v>111</v>
      </c>
      <c r="Q4161" s="93" t="s">
        <v>111</v>
      </c>
      <c r="R4161" s="93" t="s">
        <v>111</v>
      </c>
      <c r="S4161" s="93" t="s">
        <v>2</v>
      </c>
      <c r="T4161" s="93" t="s">
        <v>111</v>
      </c>
      <c r="U4161" s="93" t="s">
        <v>116</v>
      </c>
      <c r="V4161" s="94">
        <v>44596.643750000003</v>
      </c>
      <c r="W4161" s="93" t="s">
        <v>7913</v>
      </c>
      <c r="X4161" s="93" t="s">
        <v>24</v>
      </c>
    </row>
    <row r="4162" spans="1:24" hidden="1" x14ac:dyDescent="0.15">
      <c r="A4162" s="93" t="s">
        <v>8885</v>
      </c>
      <c r="B4162" s="93" t="s">
        <v>8886</v>
      </c>
      <c r="C4162" s="410">
        <v>180</v>
      </c>
      <c r="D4162" s="93" t="s">
        <v>24</v>
      </c>
      <c r="E4162" s="93" t="s">
        <v>9</v>
      </c>
      <c r="F4162" s="93" t="s">
        <v>7912</v>
      </c>
      <c r="G4162" s="93" t="s">
        <v>7104</v>
      </c>
      <c r="H4162" s="93" t="s">
        <v>118</v>
      </c>
      <c r="I4162" s="93" t="s">
        <v>111</v>
      </c>
      <c r="J4162" s="93" t="s">
        <v>118</v>
      </c>
      <c r="K4162" s="93">
        <v>3</v>
      </c>
      <c r="L4162" s="93" t="s">
        <v>111</v>
      </c>
      <c r="M4162" s="93" t="s">
        <v>111</v>
      </c>
      <c r="N4162" s="93" t="s">
        <v>111</v>
      </c>
      <c r="O4162" s="93" t="s">
        <v>111</v>
      </c>
      <c r="P4162" s="93" t="s">
        <v>111</v>
      </c>
      <c r="Q4162" s="93" t="s">
        <v>111</v>
      </c>
      <c r="R4162" s="93" t="s">
        <v>111</v>
      </c>
      <c r="S4162" s="93" t="s">
        <v>2</v>
      </c>
      <c r="T4162" s="93" t="s">
        <v>111</v>
      </c>
      <c r="U4162" s="93" t="s">
        <v>116</v>
      </c>
      <c r="V4162" s="94">
        <v>44596.640277777777</v>
      </c>
      <c r="W4162" s="93" t="s">
        <v>7913</v>
      </c>
      <c r="X4162" s="93" t="s">
        <v>24</v>
      </c>
    </row>
    <row r="4163" spans="1:24" hidden="1" x14ac:dyDescent="0.15">
      <c r="A4163" s="93" t="s">
        <v>8887</v>
      </c>
      <c r="B4163" s="93" t="s">
        <v>8888</v>
      </c>
      <c r="C4163" s="410">
        <v>270</v>
      </c>
      <c r="D4163" s="93" t="s">
        <v>24</v>
      </c>
      <c r="E4163" s="93" t="s">
        <v>9</v>
      </c>
      <c r="F4163" s="93" t="s">
        <v>7912</v>
      </c>
      <c r="G4163" s="93" t="s">
        <v>7104</v>
      </c>
      <c r="H4163" s="93" t="s">
        <v>118</v>
      </c>
      <c r="I4163" s="93" t="s">
        <v>111</v>
      </c>
      <c r="J4163" s="93" t="s">
        <v>7105</v>
      </c>
      <c r="K4163" s="93" t="s">
        <v>111</v>
      </c>
      <c r="L4163" s="93" t="s">
        <v>111</v>
      </c>
      <c r="M4163" s="93" t="s">
        <v>111</v>
      </c>
      <c r="N4163" s="93" t="s">
        <v>111</v>
      </c>
      <c r="O4163" s="93" t="s">
        <v>111</v>
      </c>
      <c r="P4163" s="93" t="s">
        <v>111</v>
      </c>
      <c r="Q4163" s="93" t="s">
        <v>111</v>
      </c>
      <c r="R4163" s="93" t="s">
        <v>111</v>
      </c>
      <c r="S4163" s="93" t="s">
        <v>2</v>
      </c>
      <c r="T4163" s="93" t="s">
        <v>111</v>
      </c>
      <c r="U4163" s="93" t="s">
        <v>116</v>
      </c>
      <c r="V4163" s="94">
        <v>44596.657638888886</v>
      </c>
      <c r="W4163" s="93" t="s">
        <v>7913</v>
      </c>
      <c r="X4163" s="93" t="s">
        <v>24</v>
      </c>
    </row>
    <row r="4164" spans="1:24" hidden="1" x14ac:dyDescent="0.15">
      <c r="A4164" s="93" t="s">
        <v>8889</v>
      </c>
      <c r="B4164" s="93" t="s">
        <v>8890</v>
      </c>
      <c r="C4164" s="410">
        <v>160</v>
      </c>
      <c r="D4164" s="93" t="s">
        <v>24</v>
      </c>
      <c r="E4164" s="93" t="s">
        <v>9</v>
      </c>
      <c r="F4164" s="93" t="s">
        <v>7912</v>
      </c>
      <c r="G4164" s="93" t="s">
        <v>7104</v>
      </c>
      <c r="H4164" s="93" t="s">
        <v>118</v>
      </c>
      <c r="I4164" s="93" t="s">
        <v>111</v>
      </c>
      <c r="J4164" s="93" t="s">
        <v>7105</v>
      </c>
      <c r="K4164" s="93" t="s">
        <v>111</v>
      </c>
      <c r="L4164" s="93" t="s">
        <v>111</v>
      </c>
      <c r="M4164" s="93" t="s">
        <v>111</v>
      </c>
      <c r="N4164" s="93" t="s">
        <v>111</v>
      </c>
      <c r="O4164" s="93" t="s">
        <v>111</v>
      </c>
      <c r="P4164" s="93" t="s">
        <v>111</v>
      </c>
      <c r="Q4164" s="93" t="s">
        <v>111</v>
      </c>
      <c r="R4164" s="93" t="s">
        <v>111</v>
      </c>
      <c r="S4164" s="93" t="s">
        <v>2</v>
      </c>
      <c r="T4164" s="93" t="s">
        <v>111</v>
      </c>
      <c r="U4164" s="93" t="s">
        <v>116</v>
      </c>
      <c r="V4164" s="94">
        <v>44596.640277777777</v>
      </c>
      <c r="W4164" s="93" t="s">
        <v>7913</v>
      </c>
      <c r="X4164" s="93" t="s">
        <v>24</v>
      </c>
    </row>
    <row r="4165" spans="1:24" hidden="1" x14ac:dyDescent="0.15">
      <c r="A4165" s="93" t="s">
        <v>8891</v>
      </c>
      <c r="B4165" s="93" t="s">
        <v>8892</v>
      </c>
      <c r="C4165" s="410">
        <v>320</v>
      </c>
      <c r="D4165" s="93" t="s">
        <v>24</v>
      </c>
      <c r="E4165" s="93" t="s">
        <v>9</v>
      </c>
      <c r="F4165" s="93" t="s">
        <v>7912</v>
      </c>
      <c r="G4165" s="93" t="s">
        <v>7104</v>
      </c>
      <c r="H4165" s="93" t="s">
        <v>118</v>
      </c>
      <c r="I4165" s="93" t="s">
        <v>111</v>
      </c>
      <c r="J4165" s="93" t="s">
        <v>118</v>
      </c>
      <c r="K4165" s="93">
        <v>3</v>
      </c>
      <c r="L4165" s="93" t="s">
        <v>111</v>
      </c>
      <c r="M4165" s="93" t="s">
        <v>111</v>
      </c>
      <c r="N4165" s="93" t="s">
        <v>111</v>
      </c>
      <c r="O4165" s="93" t="s">
        <v>111</v>
      </c>
      <c r="P4165" s="93" t="s">
        <v>111</v>
      </c>
      <c r="Q4165" s="93" t="s">
        <v>111</v>
      </c>
      <c r="R4165" s="93" t="s">
        <v>111</v>
      </c>
      <c r="S4165" s="93" t="s">
        <v>2</v>
      </c>
      <c r="T4165" s="93" t="s">
        <v>111</v>
      </c>
      <c r="U4165" s="93" t="s">
        <v>116</v>
      </c>
      <c r="V4165" s="94">
        <v>44596.654166666667</v>
      </c>
      <c r="W4165" s="93" t="s">
        <v>7913</v>
      </c>
      <c r="X4165" s="93" t="s">
        <v>24</v>
      </c>
    </row>
    <row r="4166" spans="1:24" hidden="1" x14ac:dyDescent="0.15">
      <c r="A4166" s="93" t="s">
        <v>8893</v>
      </c>
      <c r="B4166" s="93" t="s">
        <v>8894</v>
      </c>
      <c r="C4166" s="410">
        <v>480</v>
      </c>
      <c r="D4166" s="93" t="s">
        <v>24</v>
      </c>
      <c r="E4166" s="93" t="s">
        <v>9</v>
      </c>
      <c r="F4166" s="93" t="s">
        <v>7912</v>
      </c>
      <c r="G4166" s="93" t="s">
        <v>7104</v>
      </c>
      <c r="H4166" s="93" t="s">
        <v>118</v>
      </c>
      <c r="I4166" s="93" t="s">
        <v>111</v>
      </c>
      <c r="J4166" s="93" t="s">
        <v>7105</v>
      </c>
      <c r="K4166" s="93" t="s">
        <v>111</v>
      </c>
      <c r="L4166" s="93" t="s">
        <v>111</v>
      </c>
      <c r="M4166" s="93" t="s">
        <v>111</v>
      </c>
      <c r="N4166" s="93" t="s">
        <v>111</v>
      </c>
      <c r="O4166" s="93" t="s">
        <v>111</v>
      </c>
      <c r="P4166" s="93" t="s">
        <v>111</v>
      </c>
      <c r="Q4166" s="93" t="s">
        <v>111</v>
      </c>
      <c r="R4166" s="93" t="s">
        <v>111</v>
      </c>
      <c r="S4166" s="93" t="s">
        <v>2</v>
      </c>
      <c r="T4166" s="93" t="s">
        <v>111</v>
      </c>
      <c r="U4166" s="93" t="s">
        <v>116</v>
      </c>
      <c r="V4166" s="94">
        <v>44596.68472222222</v>
      </c>
      <c r="W4166" s="93" t="s">
        <v>7913</v>
      </c>
      <c r="X4166" s="93" t="s">
        <v>24</v>
      </c>
    </row>
    <row r="4167" spans="1:24" hidden="1" x14ac:dyDescent="0.15">
      <c r="A4167" s="93" t="s">
        <v>8895</v>
      </c>
      <c r="B4167" s="93" t="s">
        <v>8896</v>
      </c>
      <c r="C4167" s="410">
        <v>80</v>
      </c>
      <c r="D4167" s="93" t="s">
        <v>24</v>
      </c>
      <c r="E4167" s="93" t="s">
        <v>9</v>
      </c>
      <c r="F4167" s="93" t="s">
        <v>7912</v>
      </c>
      <c r="G4167" s="93" t="s">
        <v>7104</v>
      </c>
      <c r="H4167" s="93" t="s">
        <v>118</v>
      </c>
      <c r="I4167" s="93" t="s">
        <v>111</v>
      </c>
      <c r="J4167" s="93" t="s">
        <v>118</v>
      </c>
      <c r="K4167" s="93">
        <v>3</v>
      </c>
      <c r="L4167" s="93" t="s">
        <v>111</v>
      </c>
      <c r="M4167" s="93" t="s">
        <v>111</v>
      </c>
      <c r="N4167" s="93" t="s">
        <v>111</v>
      </c>
      <c r="O4167" s="93" t="s">
        <v>111</v>
      </c>
      <c r="P4167" s="93" t="s">
        <v>111</v>
      </c>
      <c r="Q4167" s="93" t="s">
        <v>111</v>
      </c>
      <c r="R4167" s="93" t="s">
        <v>228</v>
      </c>
      <c r="S4167" s="93" t="s">
        <v>2</v>
      </c>
      <c r="T4167" s="93" t="s">
        <v>115</v>
      </c>
      <c r="U4167" s="93" t="s">
        <v>116</v>
      </c>
      <c r="V4167" s="94">
        <v>44610.204861111109</v>
      </c>
      <c r="W4167" s="93" t="s">
        <v>7913</v>
      </c>
      <c r="X4167" s="93" t="s">
        <v>24</v>
      </c>
    </row>
    <row r="4168" spans="1:24" hidden="1" x14ac:dyDescent="0.15">
      <c r="A4168" s="93" t="s">
        <v>8897</v>
      </c>
      <c r="B4168" s="93" t="s">
        <v>8898</v>
      </c>
      <c r="C4168" s="410">
        <v>160</v>
      </c>
      <c r="D4168" s="93" t="s">
        <v>24</v>
      </c>
      <c r="E4168" s="93" t="s">
        <v>9</v>
      </c>
      <c r="F4168" s="93" t="s">
        <v>7912</v>
      </c>
      <c r="G4168" s="93" t="s">
        <v>7104</v>
      </c>
      <c r="H4168" s="93" t="s">
        <v>118</v>
      </c>
      <c r="I4168" s="93" t="s">
        <v>111</v>
      </c>
      <c r="J4168" s="93" t="s">
        <v>118</v>
      </c>
      <c r="K4168" s="93">
        <v>3</v>
      </c>
      <c r="L4168" s="93" t="s">
        <v>111</v>
      </c>
      <c r="M4168" s="93" t="s">
        <v>111</v>
      </c>
      <c r="N4168" s="93" t="s">
        <v>111</v>
      </c>
      <c r="O4168" s="93" t="s">
        <v>111</v>
      </c>
      <c r="P4168" s="93" t="s">
        <v>111</v>
      </c>
      <c r="Q4168" s="93" t="s">
        <v>111</v>
      </c>
      <c r="R4168" s="93" t="s">
        <v>228</v>
      </c>
      <c r="S4168" s="93" t="s">
        <v>2</v>
      </c>
      <c r="T4168" s="93" t="s">
        <v>115</v>
      </c>
      <c r="U4168" s="93" t="s">
        <v>116</v>
      </c>
      <c r="V4168" s="94">
        <v>44610.156944444447</v>
      </c>
      <c r="W4168" s="93" t="s">
        <v>7913</v>
      </c>
      <c r="X4168" s="93" t="s">
        <v>24</v>
      </c>
    </row>
    <row r="4169" spans="1:24" hidden="1" x14ac:dyDescent="0.15">
      <c r="A4169" s="93" t="s">
        <v>8899</v>
      </c>
      <c r="B4169" s="93" t="s">
        <v>8900</v>
      </c>
      <c r="C4169" s="410">
        <v>240</v>
      </c>
      <c r="D4169" s="93" t="s">
        <v>24</v>
      </c>
      <c r="E4169" s="93" t="s">
        <v>9</v>
      </c>
      <c r="F4169" s="93" t="s">
        <v>7912</v>
      </c>
      <c r="G4169" s="93" t="s">
        <v>7104</v>
      </c>
      <c r="H4169" s="93" t="s">
        <v>118</v>
      </c>
      <c r="I4169" s="93" t="s">
        <v>111</v>
      </c>
      <c r="J4169" s="93" t="s">
        <v>118</v>
      </c>
      <c r="K4169" s="93">
        <v>3</v>
      </c>
      <c r="L4169" s="93" t="s">
        <v>111</v>
      </c>
      <c r="M4169" s="93" t="s">
        <v>111</v>
      </c>
      <c r="N4169" s="93" t="s">
        <v>111</v>
      </c>
      <c r="O4169" s="93" t="s">
        <v>111</v>
      </c>
      <c r="P4169" s="93" t="s">
        <v>111</v>
      </c>
      <c r="Q4169" s="93" t="s">
        <v>111</v>
      </c>
      <c r="R4169" s="93" t="s">
        <v>228</v>
      </c>
      <c r="S4169" s="93" t="s">
        <v>2</v>
      </c>
      <c r="T4169" s="93" t="s">
        <v>115</v>
      </c>
      <c r="U4169" s="93" t="s">
        <v>116</v>
      </c>
      <c r="V4169" s="94">
        <v>44610.189583333333</v>
      </c>
      <c r="W4169" s="93" t="s">
        <v>7913</v>
      </c>
      <c r="X4169" s="93" t="s">
        <v>24</v>
      </c>
    </row>
    <row r="4170" spans="1:24" hidden="1" x14ac:dyDescent="0.15">
      <c r="A4170" s="93" t="s">
        <v>8901</v>
      </c>
      <c r="B4170" s="93" t="s">
        <v>8902</v>
      </c>
      <c r="C4170" s="410">
        <v>270</v>
      </c>
      <c r="D4170" s="93" t="s">
        <v>24</v>
      </c>
      <c r="E4170" s="93" t="s">
        <v>9</v>
      </c>
      <c r="F4170" s="93" t="s">
        <v>7912</v>
      </c>
      <c r="G4170" s="93" t="s">
        <v>7104</v>
      </c>
      <c r="H4170" s="93" t="s">
        <v>118</v>
      </c>
      <c r="I4170" s="93" t="s">
        <v>111</v>
      </c>
      <c r="J4170" s="93" t="s">
        <v>7105</v>
      </c>
      <c r="K4170" s="93" t="s">
        <v>111</v>
      </c>
      <c r="L4170" s="93" t="s">
        <v>111</v>
      </c>
      <c r="M4170" s="93" t="s">
        <v>111</v>
      </c>
      <c r="N4170" s="93" t="s">
        <v>111</v>
      </c>
      <c r="O4170" s="93" t="s">
        <v>111</v>
      </c>
      <c r="P4170" s="93" t="s">
        <v>111</v>
      </c>
      <c r="Q4170" s="93" t="s">
        <v>111</v>
      </c>
      <c r="R4170" s="93" t="s">
        <v>111</v>
      </c>
      <c r="S4170" s="93" t="s">
        <v>2</v>
      </c>
      <c r="T4170" s="93" t="s">
        <v>111</v>
      </c>
      <c r="U4170" s="93" t="s">
        <v>116</v>
      </c>
      <c r="V4170" s="94">
        <v>44596.667361111111</v>
      </c>
      <c r="W4170" s="93" t="s">
        <v>7913</v>
      </c>
      <c r="X4170" s="93" t="s">
        <v>24</v>
      </c>
    </row>
    <row r="4171" spans="1:24" hidden="1" x14ac:dyDescent="0.15">
      <c r="A4171" s="93" t="s">
        <v>8903</v>
      </c>
      <c r="B4171" s="93" t="s">
        <v>8904</v>
      </c>
      <c r="C4171" s="410">
        <v>540</v>
      </c>
      <c r="D4171" s="93" t="s">
        <v>24</v>
      </c>
      <c r="E4171" s="93" t="s">
        <v>9</v>
      </c>
      <c r="F4171" s="93" t="s">
        <v>7912</v>
      </c>
      <c r="G4171" s="93" t="s">
        <v>7104</v>
      </c>
      <c r="H4171" s="93" t="s">
        <v>118</v>
      </c>
      <c r="I4171" s="93" t="s">
        <v>111</v>
      </c>
      <c r="J4171" s="93" t="s">
        <v>7105</v>
      </c>
      <c r="K4171" s="93" t="s">
        <v>111</v>
      </c>
      <c r="L4171" s="93" t="s">
        <v>111</v>
      </c>
      <c r="M4171" s="93" t="s">
        <v>111</v>
      </c>
      <c r="N4171" s="93" t="s">
        <v>111</v>
      </c>
      <c r="O4171" s="93" t="s">
        <v>111</v>
      </c>
      <c r="P4171" s="93" t="s">
        <v>111</v>
      </c>
      <c r="Q4171" s="93" t="s">
        <v>111</v>
      </c>
      <c r="R4171" s="93" t="s">
        <v>111</v>
      </c>
      <c r="S4171" s="93" t="s">
        <v>2</v>
      </c>
      <c r="T4171" s="93" t="s">
        <v>111</v>
      </c>
      <c r="U4171" s="93" t="s">
        <v>116</v>
      </c>
      <c r="V4171" s="94">
        <v>44596.693749999999</v>
      </c>
      <c r="W4171" s="93" t="s">
        <v>7913</v>
      </c>
      <c r="X4171" s="93" t="s">
        <v>24</v>
      </c>
    </row>
    <row r="4172" spans="1:24" hidden="1" x14ac:dyDescent="0.15">
      <c r="A4172" s="93" t="s">
        <v>8905</v>
      </c>
      <c r="B4172" s="93" t="s">
        <v>8906</v>
      </c>
      <c r="C4172" s="410">
        <v>4000</v>
      </c>
      <c r="D4172" s="93" t="s">
        <v>24</v>
      </c>
      <c r="E4172" s="93" t="s">
        <v>9</v>
      </c>
      <c r="F4172" s="93" t="s">
        <v>7103</v>
      </c>
      <c r="G4172" s="93" t="s">
        <v>7104</v>
      </c>
      <c r="H4172" s="93" t="s">
        <v>118</v>
      </c>
      <c r="I4172" s="93" t="s">
        <v>111</v>
      </c>
      <c r="J4172" s="93" t="s">
        <v>7105</v>
      </c>
      <c r="K4172" s="93" t="s">
        <v>111</v>
      </c>
      <c r="L4172" s="93" t="s">
        <v>111</v>
      </c>
      <c r="M4172" s="93" t="s">
        <v>111</v>
      </c>
      <c r="N4172" s="93" t="s">
        <v>111</v>
      </c>
      <c r="O4172" s="93" t="s">
        <v>111</v>
      </c>
      <c r="P4172" s="93" t="s">
        <v>111</v>
      </c>
      <c r="Q4172" s="93" t="s">
        <v>111</v>
      </c>
      <c r="R4172" s="93" t="s">
        <v>111</v>
      </c>
      <c r="S4172" s="93" t="s">
        <v>2</v>
      </c>
      <c r="T4172" s="93" t="s">
        <v>111</v>
      </c>
      <c r="U4172" s="93" t="s">
        <v>116</v>
      </c>
      <c r="V4172" s="94">
        <v>44588.193055555559</v>
      </c>
      <c r="W4172" s="93" t="s">
        <v>7913</v>
      </c>
      <c r="X4172" s="93" t="s">
        <v>24</v>
      </c>
    </row>
    <row r="4173" spans="1:24" hidden="1" x14ac:dyDescent="0.15">
      <c r="A4173" s="93" t="s">
        <v>8907</v>
      </c>
      <c r="B4173" s="93" t="s">
        <v>8908</v>
      </c>
      <c r="C4173" s="410">
        <v>20000</v>
      </c>
      <c r="D4173" s="93" t="s">
        <v>24</v>
      </c>
      <c r="E4173" s="93" t="s">
        <v>9</v>
      </c>
      <c r="F4173" s="93" t="s">
        <v>7103</v>
      </c>
      <c r="G4173" s="93" t="s">
        <v>8909</v>
      </c>
      <c r="H4173" s="93" t="s">
        <v>118</v>
      </c>
      <c r="I4173" s="93" t="s">
        <v>111</v>
      </c>
      <c r="J4173" s="93" t="s">
        <v>7105</v>
      </c>
      <c r="K4173" s="93" t="s">
        <v>111</v>
      </c>
      <c r="L4173" s="93" t="s">
        <v>111</v>
      </c>
      <c r="M4173" s="93" t="s">
        <v>111</v>
      </c>
      <c r="N4173" s="93" t="s">
        <v>111</v>
      </c>
      <c r="O4173" s="93" t="s">
        <v>111</v>
      </c>
      <c r="P4173" s="93" t="s">
        <v>111</v>
      </c>
      <c r="Q4173" s="93" t="s">
        <v>111</v>
      </c>
      <c r="R4173" s="93" t="s">
        <v>111</v>
      </c>
      <c r="S4173" s="93" t="s">
        <v>2</v>
      </c>
      <c r="T4173" s="93" t="s">
        <v>111</v>
      </c>
      <c r="U4173" s="93" t="s">
        <v>116</v>
      </c>
      <c r="V4173" s="94">
        <v>44588.20208333333</v>
      </c>
      <c r="W4173" s="93" t="s">
        <v>7913</v>
      </c>
      <c r="X4173" s="93" t="s">
        <v>24</v>
      </c>
    </row>
    <row r="4174" spans="1:24" hidden="1" x14ac:dyDescent="0.15">
      <c r="A4174" s="93" t="s">
        <v>8910</v>
      </c>
      <c r="B4174" s="93" t="s">
        <v>8911</v>
      </c>
      <c r="C4174" s="410">
        <v>1500</v>
      </c>
      <c r="D4174" s="93" t="s">
        <v>24</v>
      </c>
      <c r="E4174" s="93" t="s">
        <v>9</v>
      </c>
      <c r="F4174" s="93" t="s">
        <v>7103</v>
      </c>
      <c r="G4174" s="93" t="s">
        <v>8909</v>
      </c>
      <c r="H4174" s="93" t="s">
        <v>118</v>
      </c>
      <c r="I4174" s="93" t="s">
        <v>111</v>
      </c>
      <c r="J4174" s="93" t="s">
        <v>7105</v>
      </c>
      <c r="K4174" s="93" t="s">
        <v>111</v>
      </c>
      <c r="L4174" s="93" t="s">
        <v>111</v>
      </c>
      <c r="M4174" s="93" t="s">
        <v>111</v>
      </c>
      <c r="N4174" s="93" t="s">
        <v>111</v>
      </c>
      <c r="O4174" s="93" t="s">
        <v>111</v>
      </c>
      <c r="P4174" s="93" t="s">
        <v>111</v>
      </c>
      <c r="Q4174" s="93" t="s">
        <v>111</v>
      </c>
      <c r="R4174" s="93" t="s">
        <v>111</v>
      </c>
      <c r="S4174" s="93" t="s">
        <v>2</v>
      </c>
      <c r="T4174" s="93" t="s">
        <v>111</v>
      </c>
      <c r="U4174" s="93" t="s">
        <v>116</v>
      </c>
      <c r="V4174" s="94">
        <v>44588.193055555559</v>
      </c>
      <c r="W4174" s="93" t="s">
        <v>7913</v>
      </c>
      <c r="X4174" s="93" t="s">
        <v>24</v>
      </c>
    </row>
    <row r="4175" spans="1:24" hidden="1" x14ac:dyDescent="0.15">
      <c r="A4175" s="93" t="s">
        <v>8912</v>
      </c>
      <c r="B4175" s="93" t="s">
        <v>8913</v>
      </c>
      <c r="C4175" s="410">
        <v>7000</v>
      </c>
      <c r="D4175" s="93" t="s">
        <v>24</v>
      </c>
      <c r="E4175" s="93" t="s">
        <v>9</v>
      </c>
      <c r="F4175" s="93" t="s">
        <v>7103</v>
      </c>
      <c r="G4175" s="93" t="s">
        <v>8909</v>
      </c>
      <c r="H4175" s="93" t="s">
        <v>118</v>
      </c>
      <c r="I4175" s="93" t="s">
        <v>111</v>
      </c>
      <c r="J4175" s="93" t="s">
        <v>7105</v>
      </c>
      <c r="K4175" s="93" t="s">
        <v>111</v>
      </c>
      <c r="L4175" s="93" t="s">
        <v>111</v>
      </c>
      <c r="M4175" s="93" t="s">
        <v>111</v>
      </c>
      <c r="N4175" s="93" t="s">
        <v>111</v>
      </c>
      <c r="O4175" s="93" t="s">
        <v>111</v>
      </c>
      <c r="P4175" s="93" t="s">
        <v>111</v>
      </c>
      <c r="Q4175" s="93" t="s">
        <v>111</v>
      </c>
      <c r="R4175" s="93" t="s">
        <v>111</v>
      </c>
      <c r="S4175" s="93" t="s">
        <v>2</v>
      </c>
      <c r="T4175" s="93" t="s">
        <v>111</v>
      </c>
      <c r="U4175" s="93" t="s">
        <v>116</v>
      </c>
      <c r="V4175" s="94">
        <v>44588.193055555559</v>
      </c>
      <c r="W4175" s="93" t="s">
        <v>7913</v>
      </c>
      <c r="X4175" s="93" t="s">
        <v>24</v>
      </c>
    </row>
    <row r="4176" spans="1:24" hidden="1" x14ac:dyDescent="0.15">
      <c r="A4176" s="93" t="s">
        <v>8914</v>
      </c>
      <c r="B4176" s="93" t="s">
        <v>8915</v>
      </c>
      <c r="C4176" s="410">
        <v>30000</v>
      </c>
      <c r="D4176" s="93" t="s">
        <v>24</v>
      </c>
      <c r="E4176" s="93" t="s">
        <v>9</v>
      </c>
      <c r="F4176" s="93" t="s">
        <v>7103</v>
      </c>
      <c r="G4176" s="93" t="s">
        <v>8909</v>
      </c>
      <c r="H4176" s="93" t="s">
        <v>118</v>
      </c>
      <c r="I4176" s="93" t="s">
        <v>111</v>
      </c>
      <c r="J4176" s="93" t="s">
        <v>7105</v>
      </c>
      <c r="K4176" s="93" t="s">
        <v>111</v>
      </c>
      <c r="L4176" s="93" t="s">
        <v>111</v>
      </c>
      <c r="M4176" s="93" t="s">
        <v>111</v>
      </c>
      <c r="N4176" s="93" t="s">
        <v>111</v>
      </c>
      <c r="O4176" s="93" t="s">
        <v>111</v>
      </c>
      <c r="P4176" s="93" t="s">
        <v>111</v>
      </c>
      <c r="Q4176" s="93" t="s">
        <v>111</v>
      </c>
      <c r="R4176" s="93" t="s">
        <v>111</v>
      </c>
      <c r="S4176" s="93" t="s">
        <v>2</v>
      </c>
      <c r="T4176" s="93" t="s">
        <v>111</v>
      </c>
      <c r="U4176" s="93" t="s">
        <v>116</v>
      </c>
      <c r="V4176" s="94">
        <v>44588.20208333333</v>
      </c>
      <c r="W4176" s="93" t="s">
        <v>7913</v>
      </c>
      <c r="X4176" s="93" t="s">
        <v>24</v>
      </c>
    </row>
    <row r="4177" spans="1:24" hidden="1" x14ac:dyDescent="0.15">
      <c r="A4177" s="93" t="s">
        <v>8916</v>
      </c>
      <c r="B4177" s="93" t="s">
        <v>8917</v>
      </c>
      <c r="C4177" s="410">
        <v>1850</v>
      </c>
      <c r="D4177" s="93" t="s">
        <v>24</v>
      </c>
      <c r="E4177" s="93" t="s">
        <v>9</v>
      </c>
      <c r="F4177" s="93" t="s">
        <v>7103</v>
      </c>
      <c r="G4177" s="93" t="s">
        <v>8909</v>
      </c>
      <c r="H4177" s="93" t="s">
        <v>118</v>
      </c>
      <c r="I4177" s="93" t="s">
        <v>111</v>
      </c>
      <c r="J4177" s="93" t="s">
        <v>118</v>
      </c>
      <c r="K4177" s="93">
        <v>3</v>
      </c>
      <c r="L4177" s="93" t="s">
        <v>111</v>
      </c>
      <c r="M4177" s="93" t="s">
        <v>111</v>
      </c>
      <c r="N4177" s="93" t="s">
        <v>111</v>
      </c>
      <c r="O4177" s="93" t="s">
        <v>111</v>
      </c>
      <c r="P4177" s="93" t="s">
        <v>111</v>
      </c>
      <c r="Q4177" s="93" t="s">
        <v>111</v>
      </c>
      <c r="R4177" s="93" t="s">
        <v>111</v>
      </c>
      <c r="S4177" s="93" t="s">
        <v>2</v>
      </c>
      <c r="T4177" s="93" t="s">
        <v>111</v>
      </c>
      <c r="U4177" s="93" t="s">
        <v>116</v>
      </c>
      <c r="V4177" s="94">
        <v>44588.193055555559</v>
      </c>
      <c r="W4177" s="93" t="s">
        <v>7913</v>
      </c>
      <c r="X4177" s="93" t="s">
        <v>24</v>
      </c>
    </row>
    <row r="4178" spans="1:24" hidden="1" x14ac:dyDescent="0.15">
      <c r="A4178" s="93" t="s">
        <v>8918</v>
      </c>
      <c r="B4178" s="93" t="s">
        <v>8919</v>
      </c>
      <c r="C4178" s="410">
        <v>9000</v>
      </c>
      <c r="D4178" s="93" t="s">
        <v>24</v>
      </c>
      <c r="E4178" s="93" t="s">
        <v>9</v>
      </c>
      <c r="F4178" s="93" t="s">
        <v>7103</v>
      </c>
      <c r="G4178" s="93" t="s">
        <v>8909</v>
      </c>
      <c r="H4178" s="93" t="s">
        <v>118</v>
      </c>
      <c r="I4178" s="93" t="s">
        <v>111</v>
      </c>
      <c r="J4178" s="93" t="s">
        <v>7105</v>
      </c>
      <c r="K4178" s="93" t="s">
        <v>111</v>
      </c>
      <c r="L4178" s="93" t="s">
        <v>111</v>
      </c>
      <c r="M4178" s="93" t="s">
        <v>111</v>
      </c>
      <c r="N4178" s="93" t="s">
        <v>111</v>
      </c>
      <c r="O4178" s="93" t="s">
        <v>111</v>
      </c>
      <c r="P4178" s="93" t="s">
        <v>111</v>
      </c>
      <c r="Q4178" s="93" t="s">
        <v>111</v>
      </c>
      <c r="R4178" s="93" t="s">
        <v>111</v>
      </c>
      <c r="S4178" s="93" t="s">
        <v>2</v>
      </c>
      <c r="T4178" s="93" t="s">
        <v>111</v>
      </c>
      <c r="U4178" s="93" t="s">
        <v>116</v>
      </c>
      <c r="V4178" s="94">
        <v>44588.193055555559</v>
      </c>
      <c r="W4178" s="93" t="s">
        <v>7913</v>
      </c>
      <c r="X4178" s="93" t="s">
        <v>24</v>
      </c>
    </row>
    <row r="4179" spans="1:24" hidden="1" x14ac:dyDescent="0.15">
      <c r="A4179" s="93" t="s">
        <v>8920</v>
      </c>
      <c r="B4179" s="93" t="s">
        <v>8921</v>
      </c>
      <c r="C4179" s="410">
        <v>38000</v>
      </c>
      <c r="D4179" s="93" t="s">
        <v>24</v>
      </c>
      <c r="E4179" s="93" t="s">
        <v>9</v>
      </c>
      <c r="F4179" s="93" t="s">
        <v>7103</v>
      </c>
      <c r="G4179" s="93" t="s">
        <v>8909</v>
      </c>
      <c r="H4179" s="93" t="s">
        <v>118</v>
      </c>
      <c r="I4179" s="93" t="s">
        <v>111</v>
      </c>
      <c r="J4179" s="93" t="s">
        <v>7105</v>
      </c>
      <c r="K4179" s="93" t="s">
        <v>111</v>
      </c>
      <c r="L4179" s="93" t="s">
        <v>111</v>
      </c>
      <c r="M4179" s="93" t="s">
        <v>111</v>
      </c>
      <c r="N4179" s="93" t="s">
        <v>111</v>
      </c>
      <c r="O4179" s="93" t="s">
        <v>111</v>
      </c>
      <c r="P4179" s="93" t="s">
        <v>111</v>
      </c>
      <c r="Q4179" s="93" t="s">
        <v>111</v>
      </c>
      <c r="R4179" s="93" t="s">
        <v>111</v>
      </c>
      <c r="S4179" s="93" t="s">
        <v>2</v>
      </c>
      <c r="T4179" s="93" t="s">
        <v>111</v>
      </c>
      <c r="U4179" s="93" t="s">
        <v>116</v>
      </c>
      <c r="V4179" s="94">
        <v>44588.20208333333</v>
      </c>
      <c r="W4179" s="93" t="s">
        <v>7913</v>
      </c>
      <c r="X4179" s="93" t="s">
        <v>24</v>
      </c>
    </row>
    <row r="4180" spans="1:24" hidden="1" x14ac:dyDescent="0.15">
      <c r="A4180" s="93" t="s">
        <v>8922</v>
      </c>
      <c r="B4180" s="93" t="s">
        <v>8923</v>
      </c>
      <c r="C4180" s="410">
        <v>2200</v>
      </c>
      <c r="D4180" s="93" t="s">
        <v>24</v>
      </c>
      <c r="E4180" s="93" t="s">
        <v>9</v>
      </c>
      <c r="F4180" s="93" t="s">
        <v>7103</v>
      </c>
      <c r="G4180" s="93" t="s">
        <v>8909</v>
      </c>
      <c r="H4180" s="93" t="s">
        <v>118</v>
      </c>
      <c r="I4180" s="93" t="s">
        <v>111</v>
      </c>
      <c r="J4180" s="93" t="s">
        <v>7105</v>
      </c>
      <c r="K4180" s="93" t="s">
        <v>111</v>
      </c>
      <c r="L4180" s="93" t="s">
        <v>111</v>
      </c>
      <c r="M4180" s="93" t="s">
        <v>111</v>
      </c>
      <c r="N4180" s="93" t="s">
        <v>111</v>
      </c>
      <c r="O4180" s="93" t="s">
        <v>111</v>
      </c>
      <c r="P4180" s="93" t="s">
        <v>111</v>
      </c>
      <c r="Q4180" s="93" t="s">
        <v>111</v>
      </c>
      <c r="R4180" s="93" t="s">
        <v>111</v>
      </c>
      <c r="S4180" s="93" t="s">
        <v>2</v>
      </c>
      <c r="T4180" s="93" t="s">
        <v>111</v>
      </c>
      <c r="U4180" s="93" t="s">
        <v>116</v>
      </c>
      <c r="V4180" s="94">
        <v>44588.193055555559</v>
      </c>
      <c r="W4180" s="93" t="s">
        <v>7913</v>
      </c>
      <c r="X4180" s="93" t="s">
        <v>24</v>
      </c>
    </row>
    <row r="4181" spans="1:24" hidden="1" x14ac:dyDescent="0.15">
      <c r="A4181" s="93" t="s">
        <v>8924</v>
      </c>
      <c r="B4181" s="93" t="s">
        <v>8925</v>
      </c>
      <c r="C4181" s="410">
        <v>10500</v>
      </c>
      <c r="D4181" s="93" t="s">
        <v>24</v>
      </c>
      <c r="E4181" s="93" t="s">
        <v>9</v>
      </c>
      <c r="F4181" s="93" t="s">
        <v>7103</v>
      </c>
      <c r="G4181" s="93" t="s">
        <v>8909</v>
      </c>
      <c r="H4181" s="93" t="s">
        <v>118</v>
      </c>
      <c r="I4181" s="93" t="s">
        <v>111</v>
      </c>
      <c r="J4181" s="93" t="s">
        <v>7105</v>
      </c>
      <c r="K4181" s="93" t="s">
        <v>111</v>
      </c>
      <c r="L4181" s="93" t="s">
        <v>111</v>
      </c>
      <c r="M4181" s="93" t="s">
        <v>111</v>
      </c>
      <c r="N4181" s="93" t="s">
        <v>111</v>
      </c>
      <c r="O4181" s="93" t="s">
        <v>111</v>
      </c>
      <c r="P4181" s="93" t="s">
        <v>111</v>
      </c>
      <c r="Q4181" s="93" t="s">
        <v>111</v>
      </c>
      <c r="R4181" s="93" t="s">
        <v>111</v>
      </c>
      <c r="S4181" s="93" t="s">
        <v>2</v>
      </c>
      <c r="T4181" s="93" t="s">
        <v>111</v>
      </c>
      <c r="U4181" s="93" t="s">
        <v>116</v>
      </c>
      <c r="V4181" s="94">
        <v>44588.20208333333</v>
      </c>
      <c r="W4181" s="93" t="s">
        <v>7913</v>
      </c>
      <c r="X4181" s="93" t="s">
        <v>24</v>
      </c>
    </row>
    <row r="4182" spans="1:24" hidden="1" x14ac:dyDescent="0.15">
      <c r="A4182" s="93" t="s">
        <v>8926</v>
      </c>
      <c r="B4182" s="93" t="s">
        <v>8927</v>
      </c>
      <c r="C4182" s="410">
        <v>45000</v>
      </c>
      <c r="D4182" s="93" t="s">
        <v>24</v>
      </c>
      <c r="E4182" s="93" t="s">
        <v>9</v>
      </c>
      <c r="F4182" s="93" t="s">
        <v>7103</v>
      </c>
      <c r="G4182" s="93" t="s">
        <v>8909</v>
      </c>
      <c r="H4182" s="93" t="s">
        <v>118</v>
      </c>
      <c r="I4182" s="93" t="s">
        <v>111</v>
      </c>
      <c r="J4182" s="93" t="s">
        <v>7105</v>
      </c>
      <c r="K4182" s="93" t="s">
        <v>111</v>
      </c>
      <c r="L4182" s="93" t="s">
        <v>111</v>
      </c>
      <c r="M4182" s="93" t="s">
        <v>111</v>
      </c>
      <c r="N4182" s="93" t="s">
        <v>111</v>
      </c>
      <c r="O4182" s="93" t="s">
        <v>111</v>
      </c>
      <c r="P4182" s="93" t="s">
        <v>111</v>
      </c>
      <c r="Q4182" s="93" t="s">
        <v>111</v>
      </c>
      <c r="R4182" s="93" t="s">
        <v>111</v>
      </c>
      <c r="S4182" s="93" t="s">
        <v>2</v>
      </c>
      <c r="T4182" s="93" t="s">
        <v>111</v>
      </c>
      <c r="U4182" s="93" t="s">
        <v>116</v>
      </c>
      <c r="V4182" s="94">
        <v>44588.20208333333</v>
      </c>
      <c r="W4182" s="93" t="s">
        <v>7913</v>
      </c>
      <c r="X4182" s="93" t="s">
        <v>24</v>
      </c>
    </row>
    <row r="4183" spans="1:24" hidden="1" x14ac:dyDescent="0.15">
      <c r="A4183" s="93" t="s">
        <v>8928</v>
      </c>
      <c r="B4183" s="93" t="s">
        <v>8929</v>
      </c>
      <c r="C4183" s="410">
        <v>2500</v>
      </c>
      <c r="D4183" s="93" t="s">
        <v>24</v>
      </c>
      <c r="E4183" s="93" t="s">
        <v>9</v>
      </c>
      <c r="F4183" s="93" t="s">
        <v>7103</v>
      </c>
      <c r="G4183" s="93" t="s">
        <v>8909</v>
      </c>
      <c r="H4183" s="93" t="s">
        <v>118</v>
      </c>
      <c r="I4183" s="93" t="s">
        <v>111</v>
      </c>
      <c r="J4183" s="93" t="s">
        <v>7105</v>
      </c>
      <c r="K4183" s="93" t="s">
        <v>111</v>
      </c>
      <c r="L4183" s="93" t="s">
        <v>111</v>
      </c>
      <c r="M4183" s="93" t="s">
        <v>111</v>
      </c>
      <c r="N4183" s="93" t="s">
        <v>111</v>
      </c>
      <c r="O4183" s="93" t="s">
        <v>111</v>
      </c>
      <c r="P4183" s="93" t="s">
        <v>111</v>
      </c>
      <c r="Q4183" s="93" t="s">
        <v>111</v>
      </c>
      <c r="R4183" s="93" t="s">
        <v>111</v>
      </c>
      <c r="S4183" s="93" t="s">
        <v>2</v>
      </c>
      <c r="T4183" s="93" t="s">
        <v>111</v>
      </c>
      <c r="U4183" s="93" t="s">
        <v>116</v>
      </c>
      <c r="V4183" s="94">
        <v>44588.193055555559</v>
      </c>
      <c r="W4183" s="93" t="s">
        <v>7913</v>
      </c>
      <c r="X4183" s="93" t="s">
        <v>24</v>
      </c>
    </row>
    <row r="4184" spans="1:24" hidden="1" x14ac:dyDescent="0.15">
      <c r="A4184" s="93" t="s">
        <v>8930</v>
      </c>
      <c r="B4184" s="93" t="s">
        <v>8931</v>
      </c>
      <c r="C4184" s="410">
        <v>12000</v>
      </c>
      <c r="D4184" s="93" t="s">
        <v>24</v>
      </c>
      <c r="E4184" s="93" t="s">
        <v>9</v>
      </c>
      <c r="F4184" s="93" t="s">
        <v>7103</v>
      </c>
      <c r="G4184" s="93" t="s">
        <v>8909</v>
      </c>
      <c r="H4184" s="93" t="s">
        <v>118</v>
      </c>
      <c r="I4184" s="93" t="s">
        <v>111</v>
      </c>
      <c r="J4184" s="93" t="s">
        <v>7105</v>
      </c>
      <c r="K4184" s="93" t="s">
        <v>111</v>
      </c>
      <c r="L4184" s="93" t="s">
        <v>111</v>
      </c>
      <c r="M4184" s="93" t="s">
        <v>111</v>
      </c>
      <c r="N4184" s="93" t="s">
        <v>111</v>
      </c>
      <c r="O4184" s="93" t="s">
        <v>111</v>
      </c>
      <c r="P4184" s="93" t="s">
        <v>111</v>
      </c>
      <c r="Q4184" s="93" t="s">
        <v>111</v>
      </c>
      <c r="R4184" s="93" t="s">
        <v>111</v>
      </c>
      <c r="S4184" s="93" t="s">
        <v>2</v>
      </c>
      <c r="T4184" s="93" t="s">
        <v>111</v>
      </c>
      <c r="U4184" s="93" t="s">
        <v>116</v>
      </c>
      <c r="V4184" s="94">
        <v>44588.20208333333</v>
      </c>
      <c r="W4184" s="93" t="s">
        <v>7913</v>
      </c>
      <c r="X4184" s="93" t="s">
        <v>24</v>
      </c>
    </row>
    <row r="4185" spans="1:24" hidden="1" x14ac:dyDescent="0.15">
      <c r="A4185" s="93" t="s">
        <v>8932</v>
      </c>
      <c r="B4185" s="93" t="s">
        <v>8933</v>
      </c>
      <c r="C4185" s="410">
        <v>50000</v>
      </c>
      <c r="D4185" s="93" t="s">
        <v>24</v>
      </c>
      <c r="E4185" s="93" t="s">
        <v>9</v>
      </c>
      <c r="F4185" s="93" t="s">
        <v>7103</v>
      </c>
      <c r="G4185" s="93" t="s">
        <v>8909</v>
      </c>
      <c r="H4185" s="93" t="s">
        <v>118</v>
      </c>
      <c r="I4185" s="93" t="s">
        <v>111</v>
      </c>
      <c r="J4185" s="93" t="s">
        <v>7105</v>
      </c>
      <c r="K4185" s="93" t="s">
        <v>111</v>
      </c>
      <c r="L4185" s="93" t="s">
        <v>111</v>
      </c>
      <c r="M4185" s="93" t="s">
        <v>111</v>
      </c>
      <c r="N4185" s="93" t="s">
        <v>111</v>
      </c>
      <c r="O4185" s="93" t="s">
        <v>111</v>
      </c>
      <c r="P4185" s="93" t="s">
        <v>111</v>
      </c>
      <c r="Q4185" s="93" t="s">
        <v>111</v>
      </c>
      <c r="R4185" s="93" t="s">
        <v>111</v>
      </c>
      <c r="S4185" s="93" t="s">
        <v>2</v>
      </c>
      <c r="T4185" s="93" t="s">
        <v>111</v>
      </c>
      <c r="U4185" s="93" t="s">
        <v>116</v>
      </c>
      <c r="V4185" s="94">
        <v>44588.20208333333</v>
      </c>
      <c r="W4185" s="93" t="s">
        <v>7913</v>
      </c>
      <c r="X4185" s="93" t="s">
        <v>24</v>
      </c>
    </row>
    <row r="4186" spans="1:24" hidden="1" x14ac:dyDescent="0.15">
      <c r="A4186" s="93" t="s">
        <v>8934</v>
      </c>
      <c r="B4186" s="93" t="s">
        <v>8935</v>
      </c>
      <c r="C4186" s="410">
        <v>2800</v>
      </c>
      <c r="D4186" s="93" t="s">
        <v>24</v>
      </c>
      <c r="E4186" s="93" t="s">
        <v>9</v>
      </c>
      <c r="F4186" s="93" t="s">
        <v>7103</v>
      </c>
      <c r="G4186" s="93" t="s">
        <v>8909</v>
      </c>
      <c r="H4186" s="93" t="s">
        <v>118</v>
      </c>
      <c r="I4186" s="93" t="s">
        <v>111</v>
      </c>
      <c r="J4186" s="93" t="s">
        <v>7105</v>
      </c>
      <c r="K4186" s="93" t="s">
        <v>111</v>
      </c>
      <c r="L4186" s="93" t="s">
        <v>111</v>
      </c>
      <c r="M4186" s="93" t="s">
        <v>111</v>
      </c>
      <c r="N4186" s="93" t="s">
        <v>111</v>
      </c>
      <c r="O4186" s="93" t="s">
        <v>111</v>
      </c>
      <c r="P4186" s="93" t="s">
        <v>111</v>
      </c>
      <c r="Q4186" s="93" t="s">
        <v>111</v>
      </c>
      <c r="R4186" s="93" t="s">
        <v>111</v>
      </c>
      <c r="S4186" s="93" t="s">
        <v>2</v>
      </c>
      <c r="T4186" s="93" t="s">
        <v>111</v>
      </c>
      <c r="U4186" s="93" t="s">
        <v>116</v>
      </c>
      <c r="V4186" s="94">
        <v>44588.193055555559</v>
      </c>
      <c r="W4186" s="93" t="s">
        <v>7913</v>
      </c>
      <c r="X4186" s="93" t="s">
        <v>24</v>
      </c>
    </row>
    <row r="4187" spans="1:24" hidden="1" x14ac:dyDescent="0.15">
      <c r="A4187" s="93" t="s">
        <v>8936</v>
      </c>
      <c r="B4187" s="93" t="s">
        <v>8937</v>
      </c>
      <c r="C4187" s="410">
        <v>14000</v>
      </c>
      <c r="D4187" s="93" t="s">
        <v>24</v>
      </c>
      <c r="E4187" s="93" t="s">
        <v>9</v>
      </c>
      <c r="F4187" s="93" t="s">
        <v>7103</v>
      </c>
      <c r="G4187" s="93" t="s">
        <v>8909</v>
      </c>
      <c r="H4187" s="93" t="s">
        <v>118</v>
      </c>
      <c r="I4187" s="93" t="s">
        <v>111</v>
      </c>
      <c r="J4187" s="93" t="s">
        <v>7105</v>
      </c>
      <c r="K4187" s="93" t="s">
        <v>111</v>
      </c>
      <c r="L4187" s="93" t="s">
        <v>111</v>
      </c>
      <c r="M4187" s="93" t="s">
        <v>111</v>
      </c>
      <c r="N4187" s="93" t="s">
        <v>111</v>
      </c>
      <c r="O4187" s="93" t="s">
        <v>111</v>
      </c>
      <c r="P4187" s="93" t="s">
        <v>111</v>
      </c>
      <c r="Q4187" s="93" t="s">
        <v>111</v>
      </c>
      <c r="R4187" s="93" t="s">
        <v>111</v>
      </c>
      <c r="S4187" s="93" t="s">
        <v>2</v>
      </c>
      <c r="T4187" s="93" t="s">
        <v>111</v>
      </c>
      <c r="U4187" s="93" t="s">
        <v>116</v>
      </c>
      <c r="V4187" s="94">
        <v>44588.20208333333</v>
      </c>
      <c r="W4187" s="93" t="s">
        <v>7913</v>
      </c>
      <c r="X4187" s="93" t="s">
        <v>24</v>
      </c>
    </row>
    <row r="4188" spans="1:24" hidden="1" x14ac:dyDescent="0.15">
      <c r="A4188" s="93" t="s">
        <v>8938</v>
      </c>
      <c r="B4188" s="93" t="s">
        <v>8939</v>
      </c>
      <c r="C4188" s="410">
        <v>3100</v>
      </c>
      <c r="D4188" s="93" t="s">
        <v>24</v>
      </c>
      <c r="E4188" s="93" t="s">
        <v>9</v>
      </c>
      <c r="F4188" s="93" t="s">
        <v>7103</v>
      </c>
      <c r="G4188" s="93" t="s">
        <v>8909</v>
      </c>
      <c r="H4188" s="93" t="s">
        <v>118</v>
      </c>
      <c r="I4188" s="93" t="s">
        <v>111</v>
      </c>
      <c r="J4188" s="93" t="s">
        <v>7105</v>
      </c>
      <c r="K4188" s="93" t="s">
        <v>111</v>
      </c>
      <c r="L4188" s="93" t="s">
        <v>111</v>
      </c>
      <c r="M4188" s="93" t="s">
        <v>111</v>
      </c>
      <c r="N4188" s="93" t="s">
        <v>111</v>
      </c>
      <c r="O4188" s="93" t="s">
        <v>111</v>
      </c>
      <c r="P4188" s="93" t="s">
        <v>111</v>
      </c>
      <c r="Q4188" s="93" t="s">
        <v>111</v>
      </c>
      <c r="R4188" s="93" t="s">
        <v>111</v>
      </c>
      <c r="S4188" s="93" t="s">
        <v>2</v>
      </c>
      <c r="T4188" s="93" t="s">
        <v>111</v>
      </c>
      <c r="U4188" s="93" t="s">
        <v>116</v>
      </c>
      <c r="V4188" s="94">
        <v>44588.193055555559</v>
      </c>
      <c r="W4188" s="93" t="s">
        <v>7913</v>
      </c>
      <c r="X4188" s="93" t="s">
        <v>24</v>
      </c>
    </row>
    <row r="4189" spans="1:24" hidden="1" x14ac:dyDescent="0.15">
      <c r="A4189" s="93" t="s">
        <v>8940</v>
      </c>
      <c r="B4189" s="93" t="s">
        <v>8941</v>
      </c>
      <c r="C4189" s="410">
        <v>15500</v>
      </c>
      <c r="D4189" s="93" t="s">
        <v>24</v>
      </c>
      <c r="E4189" s="93" t="s">
        <v>9</v>
      </c>
      <c r="F4189" s="93" t="s">
        <v>7103</v>
      </c>
      <c r="G4189" s="93" t="s">
        <v>8909</v>
      </c>
      <c r="H4189" s="93" t="s">
        <v>118</v>
      </c>
      <c r="I4189" s="93" t="s">
        <v>111</v>
      </c>
      <c r="J4189" s="93" t="s">
        <v>7105</v>
      </c>
      <c r="K4189" s="93" t="s">
        <v>111</v>
      </c>
      <c r="L4189" s="93" t="s">
        <v>111</v>
      </c>
      <c r="M4189" s="93" t="s">
        <v>111</v>
      </c>
      <c r="N4189" s="93" t="s">
        <v>111</v>
      </c>
      <c r="O4189" s="93" t="s">
        <v>111</v>
      </c>
      <c r="P4189" s="93" t="s">
        <v>111</v>
      </c>
      <c r="Q4189" s="93" t="s">
        <v>111</v>
      </c>
      <c r="R4189" s="93" t="s">
        <v>111</v>
      </c>
      <c r="S4189" s="93" t="s">
        <v>2</v>
      </c>
      <c r="T4189" s="93" t="s">
        <v>111</v>
      </c>
      <c r="U4189" s="93" t="s">
        <v>116</v>
      </c>
      <c r="V4189" s="94">
        <v>44588.20208333333</v>
      </c>
      <c r="W4189" s="93" t="s">
        <v>7913</v>
      </c>
      <c r="X4189" s="93" t="s">
        <v>24</v>
      </c>
    </row>
    <row r="4190" spans="1:24" hidden="1" x14ac:dyDescent="0.15">
      <c r="A4190" s="93" t="s">
        <v>8942</v>
      </c>
      <c r="B4190" s="93" t="s">
        <v>8943</v>
      </c>
      <c r="C4190" s="410">
        <v>3400</v>
      </c>
      <c r="D4190" s="93" t="s">
        <v>24</v>
      </c>
      <c r="E4190" s="93" t="s">
        <v>9</v>
      </c>
      <c r="F4190" s="93" t="s">
        <v>7103</v>
      </c>
      <c r="G4190" s="93" t="s">
        <v>8909</v>
      </c>
      <c r="H4190" s="93" t="s">
        <v>118</v>
      </c>
      <c r="I4190" s="93" t="s">
        <v>111</v>
      </c>
      <c r="J4190" s="93" t="s">
        <v>7105</v>
      </c>
      <c r="K4190" s="93" t="s">
        <v>111</v>
      </c>
      <c r="L4190" s="93" t="s">
        <v>111</v>
      </c>
      <c r="M4190" s="93" t="s">
        <v>111</v>
      </c>
      <c r="N4190" s="93" t="s">
        <v>111</v>
      </c>
      <c r="O4190" s="93" t="s">
        <v>111</v>
      </c>
      <c r="P4190" s="93" t="s">
        <v>111</v>
      </c>
      <c r="Q4190" s="93" t="s">
        <v>111</v>
      </c>
      <c r="R4190" s="93" t="s">
        <v>111</v>
      </c>
      <c r="S4190" s="93" t="s">
        <v>2</v>
      </c>
      <c r="T4190" s="93" t="s">
        <v>111</v>
      </c>
      <c r="U4190" s="93" t="s">
        <v>116</v>
      </c>
      <c r="V4190" s="94">
        <v>44588.193055555559</v>
      </c>
      <c r="W4190" s="93" t="s">
        <v>7913</v>
      </c>
      <c r="X4190" s="93" t="s">
        <v>24</v>
      </c>
    </row>
    <row r="4191" spans="1:24" hidden="1" x14ac:dyDescent="0.15">
      <c r="A4191" s="93" t="s">
        <v>8944</v>
      </c>
      <c r="B4191" s="93" t="s">
        <v>8945</v>
      </c>
      <c r="C4191" s="410">
        <v>17000</v>
      </c>
      <c r="D4191" s="93" t="s">
        <v>24</v>
      </c>
      <c r="E4191" s="93" t="s">
        <v>9</v>
      </c>
      <c r="F4191" s="93" t="s">
        <v>7103</v>
      </c>
      <c r="G4191" s="93" t="s">
        <v>8909</v>
      </c>
      <c r="H4191" s="93" t="s">
        <v>118</v>
      </c>
      <c r="I4191" s="93" t="s">
        <v>111</v>
      </c>
      <c r="J4191" s="93" t="s">
        <v>7105</v>
      </c>
      <c r="K4191" s="93" t="s">
        <v>111</v>
      </c>
      <c r="L4191" s="93" t="s">
        <v>111</v>
      </c>
      <c r="M4191" s="93" t="s">
        <v>111</v>
      </c>
      <c r="N4191" s="93" t="s">
        <v>111</v>
      </c>
      <c r="O4191" s="93" t="s">
        <v>111</v>
      </c>
      <c r="P4191" s="93" t="s">
        <v>111</v>
      </c>
      <c r="Q4191" s="93" t="s">
        <v>111</v>
      </c>
      <c r="R4191" s="93" t="s">
        <v>111</v>
      </c>
      <c r="S4191" s="93" t="s">
        <v>2</v>
      </c>
      <c r="T4191" s="93" t="s">
        <v>111</v>
      </c>
      <c r="U4191" s="93" t="s">
        <v>116</v>
      </c>
      <c r="V4191" s="94">
        <v>44588.20208333333</v>
      </c>
      <c r="W4191" s="93" t="s">
        <v>7913</v>
      </c>
      <c r="X4191" s="93" t="s">
        <v>24</v>
      </c>
    </row>
    <row r="4192" spans="1:24" hidden="1" x14ac:dyDescent="0.15">
      <c r="A4192" s="93" t="s">
        <v>8946</v>
      </c>
      <c r="B4192" s="93" t="s">
        <v>8947</v>
      </c>
      <c r="C4192" s="410">
        <v>3700</v>
      </c>
      <c r="D4192" s="93" t="s">
        <v>24</v>
      </c>
      <c r="E4192" s="93" t="s">
        <v>9</v>
      </c>
      <c r="F4192" s="93" t="s">
        <v>7103</v>
      </c>
      <c r="G4192" s="93" t="s">
        <v>8909</v>
      </c>
      <c r="H4192" s="93" t="s">
        <v>118</v>
      </c>
      <c r="I4192" s="93" t="s">
        <v>111</v>
      </c>
      <c r="J4192" s="93" t="s">
        <v>7105</v>
      </c>
      <c r="K4192" s="93" t="s">
        <v>111</v>
      </c>
      <c r="L4192" s="93" t="s">
        <v>111</v>
      </c>
      <c r="M4192" s="93" t="s">
        <v>111</v>
      </c>
      <c r="N4192" s="93" t="s">
        <v>111</v>
      </c>
      <c r="O4192" s="93" t="s">
        <v>111</v>
      </c>
      <c r="P4192" s="93" t="s">
        <v>111</v>
      </c>
      <c r="Q4192" s="93" t="s">
        <v>111</v>
      </c>
      <c r="R4192" s="93" t="s">
        <v>111</v>
      </c>
      <c r="S4192" s="93" t="s">
        <v>2</v>
      </c>
      <c r="T4192" s="93" t="s">
        <v>111</v>
      </c>
      <c r="U4192" s="93" t="s">
        <v>116</v>
      </c>
      <c r="V4192" s="94">
        <v>44588.193055555559</v>
      </c>
      <c r="W4192" s="93" t="s">
        <v>7913</v>
      </c>
      <c r="X4192" s="93" t="s">
        <v>24</v>
      </c>
    </row>
    <row r="4193" spans="1:24" hidden="1" x14ac:dyDescent="0.15">
      <c r="A4193" s="93" t="s">
        <v>8948</v>
      </c>
      <c r="B4193" s="93" t="s">
        <v>8949</v>
      </c>
      <c r="C4193" s="410">
        <v>18500</v>
      </c>
      <c r="D4193" s="93" t="s">
        <v>24</v>
      </c>
      <c r="E4193" s="93" t="s">
        <v>9</v>
      </c>
      <c r="F4193" s="93" t="s">
        <v>7103</v>
      </c>
      <c r="G4193" s="93" t="s">
        <v>8909</v>
      </c>
      <c r="H4193" s="93" t="s">
        <v>118</v>
      </c>
      <c r="I4193" s="93" t="s">
        <v>111</v>
      </c>
      <c r="J4193" s="93" t="s">
        <v>7105</v>
      </c>
      <c r="K4193" s="93" t="s">
        <v>111</v>
      </c>
      <c r="L4193" s="93" t="s">
        <v>111</v>
      </c>
      <c r="M4193" s="93" t="s">
        <v>111</v>
      </c>
      <c r="N4193" s="93" t="s">
        <v>111</v>
      </c>
      <c r="O4193" s="93" t="s">
        <v>111</v>
      </c>
      <c r="P4193" s="93" t="s">
        <v>111</v>
      </c>
      <c r="Q4193" s="93" t="s">
        <v>111</v>
      </c>
      <c r="R4193" s="93" t="s">
        <v>111</v>
      </c>
      <c r="S4193" s="93" t="s">
        <v>2</v>
      </c>
      <c r="T4193" s="93" t="s">
        <v>111</v>
      </c>
      <c r="U4193" s="93" t="s">
        <v>116</v>
      </c>
      <c r="V4193" s="94">
        <v>44588.20208333333</v>
      </c>
      <c r="W4193" s="93" t="s">
        <v>7913</v>
      </c>
      <c r="X4193" s="93" t="s">
        <v>24</v>
      </c>
    </row>
    <row r="4194" spans="1:24" hidden="1" x14ac:dyDescent="0.15">
      <c r="A4194" s="93" t="s">
        <v>8950</v>
      </c>
      <c r="B4194" s="93" t="s">
        <v>8951</v>
      </c>
      <c r="C4194" s="410">
        <v>10</v>
      </c>
      <c r="D4194" s="93" t="s">
        <v>24</v>
      </c>
      <c r="E4194" s="93" t="s">
        <v>9</v>
      </c>
      <c r="F4194" s="93" t="s">
        <v>7103</v>
      </c>
      <c r="G4194" s="93" t="s">
        <v>8909</v>
      </c>
      <c r="H4194" s="93" t="s">
        <v>118</v>
      </c>
      <c r="I4194" s="93" t="s">
        <v>111</v>
      </c>
      <c r="J4194" s="93" t="s">
        <v>7105</v>
      </c>
      <c r="K4194" s="93" t="s">
        <v>111</v>
      </c>
      <c r="L4194" s="93" t="s">
        <v>111</v>
      </c>
      <c r="M4194" s="93" t="s">
        <v>111</v>
      </c>
      <c r="N4194" s="93" t="s">
        <v>111</v>
      </c>
      <c r="O4194" s="93" t="s">
        <v>111</v>
      </c>
      <c r="P4194" s="93" t="s">
        <v>111</v>
      </c>
      <c r="Q4194" s="93" t="s">
        <v>111</v>
      </c>
      <c r="R4194" s="93" t="s">
        <v>111</v>
      </c>
      <c r="S4194" s="93" t="s">
        <v>2</v>
      </c>
      <c r="T4194" s="93" t="s">
        <v>111</v>
      </c>
      <c r="U4194" s="93" t="s">
        <v>116</v>
      </c>
      <c r="V4194" s="94">
        <v>44588.192361111112</v>
      </c>
      <c r="W4194" s="93" t="s">
        <v>7913</v>
      </c>
      <c r="X4194" s="93" t="s">
        <v>24</v>
      </c>
    </row>
    <row r="4195" spans="1:24" hidden="1" x14ac:dyDescent="0.15">
      <c r="A4195" s="93" t="s">
        <v>8952</v>
      </c>
      <c r="B4195" s="93" t="s">
        <v>8953</v>
      </c>
      <c r="C4195" s="410">
        <v>10</v>
      </c>
      <c r="D4195" s="93" t="s">
        <v>24</v>
      </c>
      <c r="E4195" s="93" t="s">
        <v>9</v>
      </c>
      <c r="F4195" s="93" t="s">
        <v>7103</v>
      </c>
      <c r="G4195" s="93" t="s">
        <v>8909</v>
      </c>
      <c r="H4195" s="93" t="s">
        <v>118</v>
      </c>
      <c r="I4195" s="93" t="s">
        <v>111</v>
      </c>
      <c r="J4195" s="93" t="s">
        <v>118</v>
      </c>
      <c r="K4195" s="93">
        <v>3</v>
      </c>
      <c r="L4195" s="93" t="s">
        <v>111</v>
      </c>
      <c r="M4195" s="93" t="s">
        <v>111</v>
      </c>
      <c r="N4195" s="93" t="s">
        <v>111</v>
      </c>
      <c r="O4195" s="93" t="s">
        <v>111</v>
      </c>
      <c r="P4195" s="93" t="s">
        <v>111</v>
      </c>
      <c r="Q4195" s="93" t="s">
        <v>111</v>
      </c>
      <c r="R4195" s="93" t="s">
        <v>111</v>
      </c>
      <c r="S4195" s="93" t="s">
        <v>2</v>
      </c>
      <c r="T4195" s="93" t="s">
        <v>111</v>
      </c>
      <c r="U4195" s="93" t="s">
        <v>116</v>
      </c>
      <c r="V4195" s="94">
        <v>44602.493055555555</v>
      </c>
      <c r="W4195" s="93" t="s">
        <v>7913</v>
      </c>
      <c r="X4195" s="93" t="s">
        <v>24</v>
      </c>
    </row>
    <row r="4196" spans="1:24" hidden="1" x14ac:dyDescent="0.15">
      <c r="A4196" s="93" t="s">
        <v>8954</v>
      </c>
      <c r="B4196" s="93" t="s">
        <v>8955</v>
      </c>
      <c r="C4196" s="410">
        <v>85.2</v>
      </c>
      <c r="D4196" s="93" t="s">
        <v>24</v>
      </c>
      <c r="E4196" s="93" t="s">
        <v>24</v>
      </c>
      <c r="F4196" s="93" t="s">
        <v>7070</v>
      </c>
      <c r="G4196" s="93" t="s">
        <v>7071</v>
      </c>
      <c r="H4196" s="93" t="s">
        <v>11</v>
      </c>
      <c r="I4196" s="93" t="s">
        <v>111</v>
      </c>
      <c r="J4196" s="93" t="s">
        <v>112</v>
      </c>
      <c r="K4196" s="93">
        <v>60</v>
      </c>
      <c r="L4196" s="93">
        <v>1</v>
      </c>
      <c r="M4196" s="93">
        <v>0.27</v>
      </c>
      <c r="N4196" s="93" t="s">
        <v>113</v>
      </c>
      <c r="O4196" s="93">
        <v>5</v>
      </c>
      <c r="P4196" s="93">
        <v>8</v>
      </c>
      <c r="Q4196" s="93">
        <v>20</v>
      </c>
      <c r="R4196" s="93" t="s">
        <v>121</v>
      </c>
      <c r="S4196" s="93" t="s">
        <v>2</v>
      </c>
      <c r="T4196" s="93" t="s">
        <v>115</v>
      </c>
      <c r="U4196" s="93" t="s">
        <v>116</v>
      </c>
      <c r="V4196" s="94">
        <v>44628.574999999997</v>
      </c>
      <c r="W4196" s="93" t="s">
        <v>8956</v>
      </c>
      <c r="X4196" s="93" t="s">
        <v>9</v>
      </c>
    </row>
    <row r="4197" spans="1:24" hidden="1" x14ac:dyDescent="0.15">
      <c r="A4197" s="93" t="s">
        <v>8957</v>
      </c>
      <c r="B4197" s="93" t="s">
        <v>8958</v>
      </c>
      <c r="C4197" s="410">
        <v>207.6</v>
      </c>
      <c r="D4197" s="93" t="s">
        <v>24</v>
      </c>
      <c r="E4197" s="93" t="s">
        <v>24</v>
      </c>
      <c r="F4197" s="93" t="s">
        <v>7070</v>
      </c>
      <c r="G4197" s="93" t="s">
        <v>7071</v>
      </c>
      <c r="H4197" s="93" t="s">
        <v>11</v>
      </c>
      <c r="I4197" s="93" t="s">
        <v>111</v>
      </c>
      <c r="J4197" s="93" t="s">
        <v>112</v>
      </c>
      <c r="K4197" s="93">
        <v>60</v>
      </c>
      <c r="L4197" s="93">
        <v>1</v>
      </c>
      <c r="M4197" s="93">
        <v>0.7</v>
      </c>
      <c r="N4197" s="93" t="s">
        <v>113</v>
      </c>
      <c r="O4197" s="93">
        <v>8</v>
      </c>
      <c r="P4197" s="93">
        <v>10</v>
      </c>
      <c r="Q4197" s="93">
        <v>20</v>
      </c>
      <c r="R4197" s="93" t="s">
        <v>121</v>
      </c>
      <c r="S4197" s="93" t="s">
        <v>20</v>
      </c>
      <c r="T4197" s="93" t="s">
        <v>115</v>
      </c>
      <c r="U4197" s="93" t="s">
        <v>116</v>
      </c>
      <c r="V4197" s="94">
        <v>44628.531944444447</v>
      </c>
      <c r="W4197" s="93" t="s">
        <v>8956</v>
      </c>
      <c r="X4197" s="93" t="s">
        <v>9</v>
      </c>
    </row>
    <row r="4198" spans="1:24" hidden="1" x14ac:dyDescent="0.15">
      <c r="A4198" s="93" t="s">
        <v>8959</v>
      </c>
      <c r="B4198" s="93" t="s">
        <v>8960</v>
      </c>
      <c r="C4198" s="410">
        <v>1200</v>
      </c>
      <c r="D4198" s="93" t="s">
        <v>24</v>
      </c>
      <c r="E4198" s="93" t="s">
        <v>24</v>
      </c>
      <c r="F4198" s="93" t="s">
        <v>7070</v>
      </c>
      <c r="G4198" s="93" t="s">
        <v>7071</v>
      </c>
      <c r="H4198" s="93" t="s">
        <v>11</v>
      </c>
      <c r="I4198" s="93" t="s">
        <v>111</v>
      </c>
      <c r="J4198" s="93" t="s">
        <v>112</v>
      </c>
      <c r="K4198" s="93">
        <v>60</v>
      </c>
      <c r="L4198" s="93">
        <v>1</v>
      </c>
      <c r="M4198" s="93">
        <v>3.9</v>
      </c>
      <c r="N4198" s="93" t="s">
        <v>113</v>
      </c>
      <c r="O4198" s="93">
        <v>5</v>
      </c>
      <c r="P4198" s="93">
        <v>23</v>
      </c>
      <c r="Q4198" s="93">
        <v>46</v>
      </c>
      <c r="R4198" s="93" t="s">
        <v>121</v>
      </c>
      <c r="S4198" s="93" t="s">
        <v>20</v>
      </c>
      <c r="T4198" s="93" t="s">
        <v>115</v>
      </c>
      <c r="U4198" s="93" t="s">
        <v>119</v>
      </c>
      <c r="V4198" s="94">
        <v>44628.631944444445</v>
      </c>
      <c r="W4198" s="93" t="s">
        <v>8956</v>
      </c>
      <c r="X4198" s="93" t="s">
        <v>24</v>
      </c>
    </row>
    <row r="4199" spans="1:24" hidden="1" x14ac:dyDescent="0.15">
      <c r="A4199" s="93" t="s">
        <v>8961</v>
      </c>
      <c r="B4199" s="93" t="s">
        <v>8962</v>
      </c>
      <c r="C4199" s="410">
        <v>474</v>
      </c>
      <c r="D4199" s="93" t="s">
        <v>9</v>
      </c>
      <c r="E4199" s="93" t="s">
        <v>9</v>
      </c>
      <c r="F4199" s="93" t="s">
        <v>8468</v>
      </c>
      <c r="G4199" s="93" t="s">
        <v>8963</v>
      </c>
      <c r="H4199" s="93" t="s">
        <v>6</v>
      </c>
      <c r="I4199" s="93" t="s">
        <v>111</v>
      </c>
      <c r="J4199" s="93" t="s">
        <v>112</v>
      </c>
      <c r="K4199" s="93">
        <v>60</v>
      </c>
      <c r="L4199" s="93">
        <v>10</v>
      </c>
      <c r="M4199" s="93">
        <v>0.45</v>
      </c>
      <c r="N4199" s="93" t="s">
        <v>113</v>
      </c>
      <c r="O4199" s="93">
        <v>8</v>
      </c>
      <c r="P4199" s="93">
        <v>13</v>
      </c>
      <c r="Q4199" s="93">
        <v>18</v>
      </c>
      <c r="R4199" s="93" t="s">
        <v>123</v>
      </c>
      <c r="S4199" s="93" t="s">
        <v>20</v>
      </c>
      <c r="T4199" s="93" t="s">
        <v>383</v>
      </c>
      <c r="U4199" s="93" t="s">
        <v>119</v>
      </c>
      <c r="V4199" s="94">
        <v>44628.466666666667</v>
      </c>
      <c r="W4199" s="93" t="s">
        <v>7072</v>
      </c>
      <c r="X4199" s="93" t="s">
        <v>9</v>
      </c>
    </row>
    <row r="4200" spans="1:24" hidden="1" x14ac:dyDescent="0.15">
      <c r="A4200" s="93" t="s">
        <v>8964</v>
      </c>
      <c r="B4200" s="93" t="s">
        <v>8965</v>
      </c>
      <c r="C4200" s="410">
        <v>474</v>
      </c>
      <c r="D4200" s="93" t="s">
        <v>9</v>
      </c>
      <c r="E4200" s="93" t="s">
        <v>9</v>
      </c>
      <c r="F4200" s="93" t="s">
        <v>8468</v>
      </c>
      <c r="G4200" s="93" t="s">
        <v>8963</v>
      </c>
      <c r="H4200" s="93" t="s">
        <v>6</v>
      </c>
      <c r="I4200" s="93" t="s">
        <v>111</v>
      </c>
      <c r="J4200" s="93" t="s">
        <v>112</v>
      </c>
      <c r="K4200" s="93">
        <v>60</v>
      </c>
      <c r="L4200" s="93">
        <v>10</v>
      </c>
      <c r="M4200" s="93">
        <v>0.45</v>
      </c>
      <c r="N4200" s="93" t="s">
        <v>113</v>
      </c>
      <c r="O4200" s="93">
        <v>8</v>
      </c>
      <c r="P4200" s="93">
        <v>13</v>
      </c>
      <c r="Q4200" s="93">
        <v>18</v>
      </c>
      <c r="R4200" s="93" t="s">
        <v>123</v>
      </c>
      <c r="S4200" s="93" t="s">
        <v>20</v>
      </c>
      <c r="T4200" s="93" t="s">
        <v>383</v>
      </c>
      <c r="U4200" s="93" t="s">
        <v>119</v>
      </c>
      <c r="V4200" s="94">
        <v>44628.631249999999</v>
      </c>
      <c r="W4200" s="93" t="s">
        <v>7072</v>
      </c>
      <c r="X4200" s="93" t="s">
        <v>9</v>
      </c>
    </row>
    <row r="4201" spans="1:24" hidden="1" x14ac:dyDescent="0.15">
      <c r="A4201" s="93" t="s">
        <v>8966</v>
      </c>
      <c r="B4201" s="93" t="s">
        <v>8967</v>
      </c>
      <c r="C4201" s="410">
        <v>474</v>
      </c>
      <c r="D4201" s="93" t="s">
        <v>9</v>
      </c>
      <c r="E4201" s="93" t="s">
        <v>9</v>
      </c>
      <c r="F4201" s="93" t="s">
        <v>8468</v>
      </c>
      <c r="G4201" s="93" t="s">
        <v>8963</v>
      </c>
      <c r="H4201" s="93" t="s">
        <v>6</v>
      </c>
      <c r="I4201" s="93" t="s">
        <v>111</v>
      </c>
      <c r="J4201" s="93" t="s">
        <v>112</v>
      </c>
      <c r="K4201" s="93">
        <v>60</v>
      </c>
      <c r="L4201" s="93">
        <v>10</v>
      </c>
      <c r="M4201" s="93">
        <v>0.45</v>
      </c>
      <c r="N4201" s="93" t="s">
        <v>113</v>
      </c>
      <c r="O4201" s="93">
        <v>8</v>
      </c>
      <c r="P4201" s="93">
        <v>13</v>
      </c>
      <c r="Q4201" s="93">
        <v>18</v>
      </c>
      <c r="R4201" s="93" t="s">
        <v>123</v>
      </c>
      <c r="S4201" s="93" t="s">
        <v>20</v>
      </c>
      <c r="T4201" s="93" t="s">
        <v>383</v>
      </c>
      <c r="U4201" s="93" t="s">
        <v>119</v>
      </c>
      <c r="V4201" s="94">
        <v>44628.553472222222</v>
      </c>
      <c r="W4201" s="93" t="s">
        <v>7072</v>
      </c>
      <c r="X4201" s="93" t="s">
        <v>9</v>
      </c>
    </row>
    <row r="4202" spans="1:24" hidden="1" x14ac:dyDescent="0.15">
      <c r="A4202" s="93" t="s">
        <v>8968</v>
      </c>
      <c r="B4202" s="93" t="s">
        <v>8969</v>
      </c>
      <c r="C4202" s="410">
        <v>502.44</v>
      </c>
      <c r="D4202" s="93" t="s">
        <v>9</v>
      </c>
      <c r="E4202" s="93" t="s">
        <v>9</v>
      </c>
      <c r="F4202" s="93" t="s">
        <v>8468</v>
      </c>
      <c r="G4202" s="93" t="s">
        <v>8963</v>
      </c>
      <c r="H4202" s="93" t="s">
        <v>6</v>
      </c>
      <c r="I4202" s="93" t="s">
        <v>111</v>
      </c>
      <c r="J4202" s="93" t="s">
        <v>112</v>
      </c>
      <c r="K4202" s="93">
        <v>60</v>
      </c>
      <c r="L4202" s="93">
        <v>10</v>
      </c>
      <c r="M4202" s="93">
        <v>0.45</v>
      </c>
      <c r="N4202" s="93" t="s">
        <v>113</v>
      </c>
      <c r="O4202" s="93">
        <v>8</v>
      </c>
      <c r="P4202" s="93">
        <v>13</v>
      </c>
      <c r="Q4202" s="93">
        <v>18</v>
      </c>
      <c r="R4202" s="93" t="s">
        <v>123</v>
      </c>
      <c r="S4202" s="93" t="s">
        <v>20</v>
      </c>
      <c r="T4202" s="93" t="s">
        <v>383</v>
      </c>
      <c r="U4202" s="93" t="s">
        <v>119</v>
      </c>
      <c r="V4202" s="94">
        <v>44628.631249999999</v>
      </c>
      <c r="W4202" s="93" t="s">
        <v>7072</v>
      </c>
      <c r="X4202" s="93" t="s">
        <v>9</v>
      </c>
    </row>
    <row r="4203" spans="1:24" hidden="1" x14ac:dyDescent="0.15">
      <c r="A4203" s="93" t="s">
        <v>8970</v>
      </c>
      <c r="B4203" s="93" t="s">
        <v>8971</v>
      </c>
      <c r="C4203" s="410">
        <v>774</v>
      </c>
      <c r="D4203" s="93" t="s">
        <v>9</v>
      </c>
      <c r="E4203" s="93" t="s">
        <v>9</v>
      </c>
      <c r="F4203" s="93" t="s">
        <v>8564</v>
      </c>
      <c r="G4203" s="93" t="s">
        <v>8972</v>
      </c>
      <c r="H4203" s="93" t="s">
        <v>6</v>
      </c>
      <c r="I4203" s="93" t="s">
        <v>111</v>
      </c>
      <c r="J4203" s="93" t="s">
        <v>8564</v>
      </c>
      <c r="K4203" s="93">
        <v>90</v>
      </c>
      <c r="L4203" s="93">
        <v>1</v>
      </c>
      <c r="M4203" s="93">
        <v>3.17</v>
      </c>
      <c r="N4203" s="93" t="s">
        <v>113</v>
      </c>
      <c r="O4203" s="93">
        <v>10.43</v>
      </c>
      <c r="P4203" s="93">
        <v>20</v>
      </c>
      <c r="Q4203" s="93">
        <v>58.13</v>
      </c>
      <c r="R4203" s="93" t="s">
        <v>123</v>
      </c>
      <c r="S4203" s="93" t="s">
        <v>20</v>
      </c>
      <c r="T4203" s="93" t="s">
        <v>124</v>
      </c>
      <c r="U4203" s="93" t="s">
        <v>116</v>
      </c>
      <c r="V4203" s="94">
        <v>44628.529861111114</v>
      </c>
      <c r="W4203" s="93" t="s">
        <v>8564</v>
      </c>
      <c r="X4203" s="93" t="s">
        <v>9</v>
      </c>
    </row>
    <row r="4204" spans="1:24" hidden="1" x14ac:dyDescent="0.15">
      <c r="A4204" s="93" t="s">
        <v>8973</v>
      </c>
      <c r="B4204" s="93" t="s">
        <v>8974</v>
      </c>
      <c r="C4204" s="410">
        <v>774</v>
      </c>
      <c r="D4204" s="93" t="s">
        <v>9</v>
      </c>
      <c r="E4204" s="93" t="s">
        <v>9</v>
      </c>
      <c r="F4204" s="93" t="s">
        <v>8564</v>
      </c>
      <c r="G4204" s="93" t="s">
        <v>8972</v>
      </c>
      <c r="H4204" s="93" t="s">
        <v>6</v>
      </c>
      <c r="I4204" s="93" t="s">
        <v>111</v>
      </c>
      <c r="J4204" s="93" t="s">
        <v>8564</v>
      </c>
      <c r="K4204" s="93">
        <v>90</v>
      </c>
      <c r="L4204" s="93">
        <v>1</v>
      </c>
      <c r="M4204" s="93">
        <v>3.17</v>
      </c>
      <c r="N4204" s="93" t="s">
        <v>113</v>
      </c>
      <c r="O4204" s="93">
        <v>10.43</v>
      </c>
      <c r="P4204" s="93">
        <v>20</v>
      </c>
      <c r="Q4204" s="93">
        <v>58.13</v>
      </c>
      <c r="R4204" s="93" t="s">
        <v>123</v>
      </c>
      <c r="S4204" s="93" t="s">
        <v>20</v>
      </c>
      <c r="T4204" s="93" t="s">
        <v>124</v>
      </c>
      <c r="U4204" s="93" t="s">
        <v>116</v>
      </c>
      <c r="V4204" s="94">
        <v>44628.464583333334</v>
      </c>
      <c r="W4204" s="93" t="s">
        <v>8564</v>
      </c>
      <c r="X4204" s="93" t="s">
        <v>9</v>
      </c>
    </row>
    <row r="4205" spans="1:24" hidden="1" x14ac:dyDescent="0.15">
      <c r="A4205" s="93" t="s">
        <v>8975</v>
      </c>
      <c r="B4205" s="93" t="s">
        <v>8976</v>
      </c>
      <c r="C4205" s="410">
        <v>774</v>
      </c>
      <c r="D4205" s="93" t="s">
        <v>9</v>
      </c>
      <c r="E4205" s="93" t="s">
        <v>9</v>
      </c>
      <c r="F4205" s="93" t="s">
        <v>8564</v>
      </c>
      <c r="G4205" s="93" t="s">
        <v>8972</v>
      </c>
      <c r="H4205" s="93" t="s">
        <v>6</v>
      </c>
      <c r="I4205" s="93" t="s">
        <v>111</v>
      </c>
      <c r="J4205" s="93" t="s">
        <v>8564</v>
      </c>
      <c r="K4205" s="93">
        <v>90</v>
      </c>
      <c r="L4205" s="93">
        <v>1</v>
      </c>
      <c r="M4205" s="93">
        <v>3.17</v>
      </c>
      <c r="N4205" s="93" t="s">
        <v>113</v>
      </c>
      <c r="O4205" s="93">
        <v>10.43</v>
      </c>
      <c r="P4205" s="93">
        <v>20</v>
      </c>
      <c r="Q4205" s="93">
        <v>58.13</v>
      </c>
      <c r="R4205" s="93" t="s">
        <v>123</v>
      </c>
      <c r="S4205" s="93" t="s">
        <v>20</v>
      </c>
      <c r="T4205" s="93" t="s">
        <v>124</v>
      </c>
      <c r="U4205" s="93" t="s">
        <v>116</v>
      </c>
      <c r="V4205" s="94">
        <v>44628.529861111114</v>
      </c>
      <c r="W4205" s="93" t="s">
        <v>8564</v>
      </c>
      <c r="X4205" s="93" t="s">
        <v>9</v>
      </c>
    </row>
    <row r="4206" spans="1:24" hidden="1" x14ac:dyDescent="0.15">
      <c r="A4206" s="93" t="s">
        <v>8977</v>
      </c>
      <c r="B4206" s="93" t="s">
        <v>8978</v>
      </c>
      <c r="C4206" s="410">
        <v>820.8</v>
      </c>
      <c r="D4206" s="93" t="s">
        <v>9</v>
      </c>
      <c r="E4206" s="93" t="s">
        <v>9</v>
      </c>
      <c r="F4206" s="93" t="s">
        <v>8564</v>
      </c>
      <c r="G4206" s="93" t="s">
        <v>8972</v>
      </c>
      <c r="H4206" s="93" t="s">
        <v>6</v>
      </c>
      <c r="I4206" s="93" t="s">
        <v>111</v>
      </c>
      <c r="J4206" s="93" t="s">
        <v>8564</v>
      </c>
      <c r="K4206" s="93">
        <v>90</v>
      </c>
      <c r="L4206" s="93">
        <v>1</v>
      </c>
      <c r="M4206" s="93">
        <v>3.17</v>
      </c>
      <c r="N4206" s="93" t="s">
        <v>113</v>
      </c>
      <c r="O4206" s="93">
        <v>10.43</v>
      </c>
      <c r="P4206" s="93">
        <v>20</v>
      </c>
      <c r="Q4206" s="93">
        <v>58.13</v>
      </c>
      <c r="R4206" s="93" t="s">
        <v>123</v>
      </c>
      <c r="S4206" s="93" t="s">
        <v>20</v>
      </c>
      <c r="T4206" s="93" t="s">
        <v>124</v>
      </c>
      <c r="U4206" s="93" t="s">
        <v>116</v>
      </c>
      <c r="V4206" s="94">
        <v>44628.551388888889</v>
      </c>
      <c r="W4206" s="93" t="s">
        <v>8564</v>
      </c>
      <c r="X4206" s="93" t="s">
        <v>9</v>
      </c>
    </row>
    <row r="4207" spans="1:24" hidden="1" x14ac:dyDescent="0.15">
      <c r="A4207" s="93" t="s">
        <v>8979</v>
      </c>
      <c r="B4207" s="93" t="s">
        <v>8980</v>
      </c>
      <c r="C4207" s="410">
        <v>534</v>
      </c>
      <c r="D4207" s="93" t="s">
        <v>9</v>
      </c>
      <c r="E4207" s="93" t="s">
        <v>9</v>
      </c>
      <c r="F4207" s="93" t="s">
        <v>8564</v>
      </c>
      <c r="G4207" s="93" t="s">
        <v>8981</v>
      </c>
      <c r="H4207" s="93" t="s">
        <v>6</v>
      </c>
      <c r="I4207" s="93" t="s">
        <v>111</v>
      </c>
      <c r="J4207" s="93" t="s">
        <v>8564</v>
      </c>
      <c r="K4207" s="93">
        <v>90</v>
      </c>
      <c r="L4207" s="93">
        <v>10</v>
      </c>
      <c r="M4207" s="93">
        <v>1.1399999999999999</v>
      </c>
      <c r="N4207" s="93" t="s">
        <v>113</v>
      </c>
      <c r="O4207" s="93">
        <v>7</v>
      </c>
      <c r="P4207" s="93">
        <v>22.3</v>
      </c>
      <c r="Q4207" s="93">
        <v>25.7</v>
      </c>
      <c r="R4207" s="93" t="s">
        <v>123</v>
      </c>
      <c r="S4207" s="93" t="s">
        <v>20</v>
      </c>
      <c r="T4207" s="93" t="s">
        <v>124</v>
      </c>
      <c r="U4207" s="93" t="s">
        <v>116</v>
      </c>
      <c r="V4207" s="94">
        <v>44628.530555555553</v>
      </c>
      <c r="W4207" s="93" t="s">
        <v>8564</v>
      </c>
      <c r="X4207" s="93" t="s">
        <v>9</v>
      </c>
    </row>
    <row r="4208" spans="1:24" hidden="1" x14ac:dyDescent="0.15">
      <c r="A4208" s="93" t="s">
        <v>8982</v>
      </c>
      <c r="B4208" s="93" t="s">
        <v>8983</v>
      </c>
      <c r="C4208" s="410">
        <v>534</v>
      </c>
      <c r="D4208" s="93" t="s">
        <v>9</v>
      </c>
      <c r="E4208" s="93" t="s">
        <v>9</v>
      </c>
      <c r="F4208" s="93" t="s">
        <v>8564</v>
      </c>
      <c r="G4208" s="93" t="s">
        <v>8981</v>
      </c>
      <c r="H4208" s="93" t="s">
        <v>6</v>
      </c>
      <c r="I4208" s="93" t="s">
        <v>111</v>
      </c>
      <c r="J4208" s="93" t="s">
        <v>8564</v>
      </c>
      <c r="K4208" s="93">
        <v>90</v>
      </c>
      <c r="L4208" s="93">
        <v>10</v>
      </c>
      <c r="M4208" s="93">
        <v>1.1399999999999999</v>
      </c>
      <c r="N4208" s="93" t="s">
        <v>113</v>
      </c>
      <c r="O4208" s="93">
        <v>3.5</v>
      </c>
      <c r="P4208" s="93">
        <v>19</v>
      </c>
      <c r="Q4208" s="93">
        <v>19</v>
      </c>
      <c r="R4208" s="93" t="s">
        <v>123</v>
      </c>
      <c r="S4208" s="93" t="s">
        <v>20</v>
      </c>
      <c r="T4208" s="93" t="s">
        <v>124</v>
      </c>
      <c r="U4208" s="93" t="s">
        <v>116</v>
      </c>
      <c r="V4208" s="94">
        <v>44628.631249999999</v>
      </c>
      <c r="W4208" s="93" t="s">
        <v>8564</v>
      </c>
      <c r="X4208" s="93" t="s">
        <v>9</v>
      </c>
    </row>
    <row r="4209" spans="1:24" hidden="1" x14ac:dyDescent="0.15">
      <c r="A4209" s="93" t="s">
        <v>8984</v>
      </c>
      <c r="B4209" s="93" t="s">
        <v>8985</v>
      </c>
      <c r="C4209" s="410">
        <v>534</v>
      </c>
      <c r="D4209" s="93" t="s">
        <v>9</v>
      </c>
      <c r="E4209" s="93" t="s">
        <v>9</v>
      </c>
      <c r="F4209" s="93" t="s">
        <v>8564</v>
      </c>
      <c r="G4209" s="93" t="s">
        <v>8981</v>
      </c>
      <c r="H4209" s="93" t="s">
        <v>6</v>
      </c>
      <c r="I4209" s="93" t="s">
        <v>111</v>
      </c>
      <c r="J4209" s="93" t="s">
        <v>8564</v>
      </c>
      <c r="K4209" s="93">
        <v>90</v>
      </c>
      <c r="L4209" s="93">
        <v>10</v>
      </c>
      <c r="M4209" s="93">
        <v>1.1399999999999999</v>
      </c>
      <c r="N4209" s="93" t="s">
        <v>113</v>
      </c>
      <c r="O4209" s="93">
        <v>3.5</v>
      </c>
      <c r="P4209" s="93">
        <v>19</v>
      </c>
      <c r="Q4209" s="93">
        <v>19</v>
      </c>
      <c r="R4209" s="93" t="s">
        <v>123</v>
      </c>
      <c r="S4209" s="93" t="s">
        <v>20</v>
      </c>
      <c r="T4209" s="93" t="s">
        <v>111</v>
      </c>
      <c r="U4209" s="93" t="s">
        <v>116</v>
      </c>
      <c r="V4209" s="94">
        <v>44628.552777777775</v>
      </c>
      <c r="W4209" s="93" t="s">
        <v>8564</v>
      </c>
      <c r="X4209" s="93" t="s">
        <v>9</v>
      </c>
    </row>
    <row r="4210" spans="1:24" hidden="1" x14ac:dyDescent="0.15">
      <c r="A4210" s="93" t="s">
        <v>8986</v>
      </c>
      <c r="B4210" s="93" t="s">
        <v>8987</v>
      </c>
      <c r="C4210" s="410">
        <v>566.4</v>
      </c>
      <c r="D4210" s="93" t="s">
        <v>9</v>
      </c>
      <c r="E4210" s="93" t="s">
        <v>9</v>
      </c>
      <c r="F4210" s="93" t="s">
        <v>8564</v>
      </c>
      <c r="G4210" s="93" t="s">
        <v>8981</v>
      </c>
      <c r="H4210" s="93" t="s">
        <v>6</v>
      </c>
      <c r="I4210" s="93" t="s">
        <v>111</v>
      </c>
      <c r="J4210" s="93" t="s">
        <v>8564</v>
      </c>
      <c r="K4210" s="93">
        <v>90</v>
      </c>
      <c r="L4210" s="93">
        <v>10</v>
      </c>
      <c r="M4210" s="93">
        <v>1.1399999999999999</v>
      </c>
      <c r="N4210" s="93" t="s">
        <v>113</v>
      </c>
      <c r="O4210" s="93">
        <v>3.5</v>
      </c>
      <c r="P4210" s="93">
        <v>19</v>
      </c>
      <c r="Q4210" s="93">
        <v>19</v>
      </c>
      <c r="R4210" s="93" t="s">
        <v>123</v>
      </c>
      <c r="S4210" s="93" t="s">
        <v>20</v>
      </c>
      <c r="T4210" s="93" t="s">
        <v>124</v>
      </c>
      <c r="U4210" s="93" t="s">
        <v>116</v>
      </c>
      <c r="V4210" s="94">
        <v>44628.46597222222</v>
      </c>
      <c r="W4210" s="93" t="s">
        <v>8564</v>
      </c>
      <c r="X4210" s="93" t="s">
        <v>9</v>
      </c>
    </row>
    <row r="4211" spans="1:24" hidden="1" x14ac:dyDescent="0.15">
      <c r="A4211" s="93" t="s">
        <v>8988</v>
      </c>
      <c r="B4211" s="93" t="s">
        <v>8989</v>
      </c>
      <c r="C4211" s="410">
        <v>1314</v>
      </c>
      <c r="D4211" s="93" t="s">
        <v>9</v>
      </c>
      <c r="E4211" s="93" t="s">
        <v>9</v>
      </c>
      <c r="F4211" s="93" t="s">
        <v>8564</v>
      </c>
      <c r="G4211" s="93" t="s">
        <v>8990</v>
      </c>
      <c r="H4211" s="93" t="s">
        <v>6</v>
      </c>
      <c r="I4211" s="93" t="s">
        <v>111</v>
      </c>
      <c r="J4211" s="93" t="s">
        <v>8564</v>
      </c>
      <c r="K4211" s="93">
        <v>90</v>
      </c>
      <c r="L4211" s="93">
        <v>5</v>
      </c>
      <c r="M4211" s="93">
        <v>1.85</v>
      </c>
      <c r="N4211" s="93" t="s">
        <v>113</v>
      </c>
      <c r="O4211" s="93">
        <v>8.6999999999999993</v>
      </c>
      <c r="P4211" s="93">
        <v>29.9</v>
      </c>
      <c r="Q4211" s="93">
        <v>35.5</v>
      </c>
      <c r="R4211" s="93" t="s">
        <v>123</v>
      </c>
      <c r="S4211" s="93" t="s">
        <v>20</v>
      </c>
      <c r="T4211" s="93" t="s">
        <v>124</v>
      </c>
      <c r="U4211" s="93" t="s">
        <v>116</v>
      </c>
      <c r="V4211" s="94">
        <v>44628.574999999997</v>
      </c>
      <c r="W4211" s="93" t="s">
        <v>8564</v>
      </c>
      <c r="X4211" s="93" t="s">
        <v>9</v>
      </c>
    </row>
    <row r="4212" spans="1:24" hidden="1" x14ac:dyDescent="0.15">
      <c r="A4212" s="93" t="s">
        <v>8991</v>
      </c>
      <c r="B4212" s="93" t="s">
        <v>8992</v>
      </c>
      <c r="C4212" s="410">
        <v>1314</v>
      </c>
      <c r="D4212" s="93" t="s">
        <v>9</v>
      </c>
      <c r="E4212" s="93" t="s">
        <v>9</v>
      </c>
      <c r="F4212" s="93" t="s">
        <v>8564</v>
      </c>
      <c r="G4212" s="93" t="s">
        <v>8990</v>
      </c>
      <c r="H4212" s="93" t="s">
        <v>6</v>
      </c>
      <c r="I4212" s="93" t="s">
        <v>111</v>
      </c>
      <c r="J4212" s="93" t="s">
        <v>8564</v>
      </c>
      <c r="K4212" s="93">
        <v>90</v>
      </c>
      <c r="L4212" s="93">
        <v>5</v>
      </c>
      <c r="M4212" s="93">
        <v>1.85</v>
      </c>
      <c r="N4212" s="93" t="s">
        <v>113</v>
      </c>
      <c r="O4212" s="93">
        <v>8.6999999999999993</v>
      </c>
      <c r="P4212" s="93">
        <v>29.9</v>
      </c>
      <c r="Q4212" s="93">
        <v>35</v>
      </c>
      <c r="R4212" s="93" t="s">
        <v>123</v>
      </c>
      <c r="S4212" s="93" t="s">
        <v>20</v>
      </c>
      <c r="T4212" s="93" t="s">
        <v>124</v>
      </c>
      <c r="U4212" s="93" t="s">
        <v>116</v>
      </c>
      <c r="V4212" s="94">
        <v>44628.574999999997</v>
      </c>
      <c r="W4212" s="93" t="s">
        <v>8564</v>
      </c>
      <c r="X4212" s="93" t="s">
        <v>9</v>
      </c>
    </row>
    <row r="4213" spans="1:24" hidden="1" x14ac:dyDescent="0.15">
      <c r="A4213" s="93" t="s">
        <v>8993</v>
      </c>
      <c r="B4213" s="93" t="s">
        <v>8994</v>
      </c>
      <c r="C4213" s="410">
        <v>1314</v>
      </c>
      <c r="D4213" s="93" t="s">
        <v>9</v>
      </c>
      <c r="E4213" s="93" t="s">
        <v>9</v>
      </c>
      <c r="F4213" s="93" t="s">
        <v>8564</v>
      </c>
      <c r="G4213" s="93" t="s">
        <v>8990</v>
      </c>
      <c r="H4213" s="93" t="s">
        <v>6</v>
      </c>
      <c r="I4213" s="93" t="s">
        <v>111</v>
      </c>
      <c r="J4213" s="93" t="s">
        <v>8564</v>
      </c>
      <c r="K4213" s="93">
        <v>90</v>
      </c>
      <c r="L4213" s="93">
        <v>5</v>
      </c>
      <c r="M4213" s="93">
        <v>1.85</v>
      </c>
      <c r="N4213" s="93" t="s">
        <v>113</v>
      </c>
      <c r="O4213" s="93">
        <v>8.6999999999999993</v>
      </c>
      <c r="P4213" s="93">
        <v>29.9</v>
      </c>
      <c r="Q4213" s="93">
        <v>35</v>
      </c>
      <c r="R4213" s="93" t="s">
        <v>123</v>
      </c>
      <c r="S4213" s="93" t="s">
        <v>20</v>
      </c>
      <c r="T4213" s="93" t="s">
        <v>124</v>
      </c>
      <c r="U4213" s="93" t="s">
        <v>116</v>
      </c>
      <c r="V4213" s="94">
        <v>44628.509722222225</v>
      </c>
      <c r="W4213" s="93" t="s">
        <v>8564</v>
      </c>
      <c r="X4213" s="93" t="s">
        <v>9</v>
      </c>
    </row>
    <row r="4214" spans="1:24" hidden="1" x14ac:dyDescent="0.15">
      <c r="A4214" s="93" t="s">
        <v>8995</v>
      </c>
      <c r="B4214" s="93" t="s">
        <v>8996</v>
      </c>
      <c r="C4214" s="410">
        <v>1392.84</v>
      </c>
      <c r="D4214" s="93" t="s">
        <v>9</v>
      </c>
      <c r="E4214" s="93" t="s">
        <v>9</v>
      </c>
      <c r="F4214" s="93" t="s">
        <v>8564</v>
      </c>
      <c r="G4214" s="93" t="s">
        <v>8990</v>
      </c>
      <c r="H4214" s="93" t="s">
        <v>6</v>
      </c>
      <c r="I4214" s="93" t="s">
        <v>111</v>
      </c>
      <c r="J4214" s="93" t="s">
        <v>8564</v>
      </c>
      <c r="K4214" s="93">
        <v>90</v>
      </c>
      <c r="L4214" s="93">
        <v>5</v>
      </c>
      <c r="M4214" s="93">
        <v>1.85</v>
      </c>
      <c r="N4214" s="93" t="s">
        <v>113</v>
      </c>
      <c r="O4214" s="93">
        <v>8.6999999999999993</v>
      </c>
      <c r="P4214" s="93">
        <v>29.9</v>
      </c>
      <c r="Q4214" s="93">
        <v>35</v>
      </c>
      <c r="R4214" s="93" t="s">
        <v>123</v>
      </c>
      <c r="S4214" s="93" t="s">
        <v>20</v>
      </c>
      <c r="T4214" s="93" t="s">
        <v>124</v>
      </c>
      <c r="U4214" s="93" t="s">
        <v>116</v>
      </c>
      <c r="V4214" s="94">
        <v>44628.488194444442</v>
      </c>
      <c r="W4214" s="93" t="s">
        <v>8564</v>
      </c>
      <c r="X4214" s="93" t="s">
        <v>9</v>
      </c>
    </row>
  </sheetData>
  <autoFilter ref="A2:X4214" xr:uid="{00000000-0009-0000-0000-000000000000}">
    <filterColumn colId="6">
      <filters>
        <filter val="Other : Services : Extended Warranty"/>
      </filters>
    </filterColumn>
  </autoFilter>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E064-2501-C34A-B1E6-FE27D4E80E26}">
  <sheetPr>
    <tabColor theme="9" tint="0.79998168889431442"/>
    <pageSetUpPr fitToPage="1"/>
  </sheetPr>
  <dimension ref="A1:IQ468"/>
  <sheetViews>
    <sheetView showGridLines="0" zoomScaleNormal="100" zoomScalePageLayoutView="90" workbookViewId="0">
      <pane ySplit="4" topLeftCell="A436" activePane="bottomLeft" state="frozen"/>
      <selection sqref="A1:XFD1048576"/>
      <selection pane="bottomLeft" activeCell="H444" sqref="H444"/>
    </sheetView>
  </sheetViews>
  <sheetFormatPr baseColWidth="10" defaultColWidth="9.1640625" defaultRowHeight="15" x14ac:dyDescent="0.2"/>
  <cols>
    <col min="1" max="1" width="15.1640625" style="415" customWidth="1"/>
    <col min="2" max="2" width="61.83203125" style="415" customWidth="1"/>
    <col min="3" max="3" width="10.1640625" style="415" customWidth="1"/>
    <col min="4" max="4" width="27.5" style="416" customWidth="1"/>
    <col min="5" max="5" width="29.33203125" style="417" customWidth="1"/>
    <col min="6" max="6" width="12.5" style="417" customWidth="1"/>
    <col min="7" max="7" width="16.83203125" style="417" customWidth="1"/>
    <col min="8" max="9" width="10.33203125" style="417" customWidth="1"/>
    <col min="10" max="10" width="13.5" style="418" customWidth="1"/>
    <col min="11" max="11" width="9.6640625" style="418" customWidth="1"/>
    <col min="12" max="12" width="15.5" style="419" customWidth="1"/>
    <col min="13" max="13" width="11.5" style="419" customWidth="1"/>
    <col min="14" max="16" width="9.1640625" style="415" customWidth="1"/>
    <col min="17" max="17" width="3" style="415" customWidth="1"/>
    <col min="18" max="18" width="8.33203125" style="416" customWidth="1"/>
    <col min="19" max="20" width="10.5" style="415" customWidth="1"/>
    <col min="21" max="21" width="2.6640625" style="415" customWidth="1"/>
    <col min="22" max="22" width="11.33203125" style="415" customWidth="1"/>
    <col min="23" max="23" width="13.5" style="416" customWidth="1"/>
    <col min="24" max="24" width="13.5" style="419" customWidth="1"/>
    <col min="25" max="16384" width="9.1640625" style="415"/>
  </cols>
  <sheetData>
    <row r="1" spans="1:26" ht="36.75" customHeight="1" x14ac:dyDescent="0.2">
      <c r="A1" s="414">
        <v>44595</v>
      </c>
      <c r="H1" s="418"/>
      <c r="I1" s="418"/>
      <c r="J1" s="419"/>
      <c r="K1" s="419"/>
      <c r="N1" s="419"/>
      <c r="O1" s="419"/>
      <c r="P1" s="419"/>
      <c r="Q1" s="419"/>
      <c r="R1" s="419"/>
      <c r="S1" s="419"/>
      <c r="T1" s="419"/>
      <c r="U1" s="419"/>
      <c r="V1" s="419"/>
      <c r="W1" s="419"/>
      <c r="X1" s="415"/>
    </row>
    <row r="2" spans="1:26" s="429" customFormat="1" ht="22" thickBot="1" x14ac:dyDescent="0.25">
      <c r="A2" s="420"/>
      <c r="B2" s="421" t="s">
        <v>9683</v>
      </c>
      <c r="C2" s="420"/>
      <c r="D2" s="420"/>
      <c r="E2" s="422"/>
      <c r="F2" s="423"/>
      <c r="G2" s="423"/>
      <c r="H2" s="423"/>
      <c r="I2" s="423"/>
      <c r="J2" s="424"/>
      <c r="K2" s="424"/>
      <c r="L2" s="425"/>
      <c r="M2" s="425"/>
      <c r="N2" s="426"/>
      <c r="O2" s="427"/>
      <c r="P2" s="427"/>
      <c r="Q2" s="426"/>
      <c r="R2" s="428"/>
      <c r="S2" s="426"/>
      <c r="T2" s="426"/>
      <c r="U2" s="426"/>
      <c r="V2" s="415"/>
      <c r="W2" s="415"/>
      <c r="X2" s="415"/>
      <c r="Y2" s="415"/>
      <c r="Z2" s="415"/>
    </row>
    <row r="3" spans="1:26" ht="15" customHeight="1" thickBot="1" x14ac:dyDescent="0.25">
      <c r="A3" s="430"/>
      <c r="B3" s="430"/>
      <c r="C3" s="430"/>
      <c r="D3" s="431"/>
      <c r="E3" s="432"/>
      <c r="F3" s="433"/>
      <c r="G3" s="433"/>
      <c r="H3" s="433"/>
      <c r="I3" s="433"/>
      <c r="J3" s="434"/>
      <c r="K3" s="548" t="s">
        <v>9684</v>
      </c>
      <c r="L3" s="548"/>
      <c r="M3" s="549" t="s">
        <v>9685</v>
      </c>
      <c r="N3" s="550"/>
      <c r="O3" s="551" t="s">
        <v>9686</v>
      </c>
      <c r="P3" s="552"/>
      <c r="Q3" s="435"/>
      <c r="R3" s="436"/>
      <c r="S3" s="437"/>
      <c r="T3" s="438"/>
      <c r="U3" s="439"/>
      <c r="W3" s="415"/>
      <c r="X3" s="415"/>
    </row>
    <row r="4" spans="1:26" s="451" customFormat="1" ht="60" x14ac:dyDescent="0.2">
      <c r="A4" s="440" t="s">
        <v>9687</v>
      </c>
      <c r="B4" s="441" t="s">
        <v>5</v>
      </c>
      <c r="C4" s="442" t="s">
        <v>1162</v>
      </c>
      <c r="D4" s="442" t="s">
        <v>9688</v>
      </c>
      <c r="E4" s="440" t="s">
        <v>9689</v>
      </c>
      <c r="F4" s="440" t="s">
        <v>112</v>
      </c>
      <c r="G4" s="440" t="s">
        <v>9690</v>
      </c>
      <c r="H4" s="443" t="s">
        <v>9691</v>
      </c>
      <c r="I4" s="443" t="s">
        <v>9692</v>
      </c>
      <c r="J4" s="443" t="s">
        <v>9693</v>
      </c>
      <c r="K4" s="444" t="s">
        <v>9694</v>
      </c>
      <c r="L4" s="444" t="s">
        <v>9695</v>
      </c>
      <c r="M4" s="445" t="s">
        <v>9696</v>
      </c>
      <c r="N4" s="445" t="s">
        <v>9697</v>
      </c>
      <c r="O4" s="446" t="s">
        <v>9698</v>
      </c>
      <c r="P4" s="446" t="s">
        <v>9699</v>
      </c>
      <c r="Q4" s="447"/>
      <c r="R4" s="448" t="s">
        <v>9700</v>
      </c>
      <c r="S4" s="449" t="s">
        <v>9701</v>
      </c>
      <c r="T4" s="449" t="s">
        <v>9702</v>
      </c>
      <c r="U4" s="450"/>
    </row>
    <row r="5" spans="1:26" s="467" customFormat="1" x14ac:dyDescent="0.2">
      <c r="A5" s="452" t="s">
        <v>9703</v>
      </c>
      <c r="B5" s="453" t="s">
        <v>9704</v>
      </c>
      <c r="C5" s="454" t="s">
        <v>386</v>
      </c>
      <c r="D5" s="455" t="s">
        <v>1198</v>
      </c>
      <c r="E5" s="456" t="s">
        <v>9705</v>
      </c>
      <c r="F5" s="456" t="s">
        <v>6233</v>
      </c>
      <c r="G5" s="456" t="s">
        <v>7070</v>
      </c>
      <c r="H5" s="457">
        <v>322.92</v>
      </c>
      <c r="I5" s="457">
        <f>H5*(1+0.075)</f>
        <v>347.13900000000001</v>
      </c>
      <c r="J5" s="457" t="s">
        <v>9706</v>
      </c>
      <c r="K5" s="458">
        <v>0.4</v>
      </c>
      <c r="L5" s="459">
        <f t="shared" ref="L5:L68" si="0">H5*(1-K5)</f>
        <v>193.75200000000001</v>
      </c>
      <c r="M5" s="460">
        <v>0.31</v>
      </c>
      <c r="N5" s="461">
        <f t="shared" ref="N5:N68" si="1">I5*(1-M5)</f>
        <v>239.52590999999998</v>
      </c>
      <c r="O5" s="462">
        <v>0.25</v>
      </c>
      <c r="P5" s="463">
        <f t="shared" ref="P5:P68" si="2">I5*(1-O5)</f>
        <v>260.35424999999998</v>
      </c>
      <c r="Q5" s="464"/>
      <c r="R5" s="465">
        <v>5</v>
      </c>
      <c r="S5" s="465">
        <v>5</v>
      </c>
      <c r="T5" s="465">
        <v>5</v>
      </c>
      <c r="U5" s="466"/>
    </row>
    <row r="6" spans="1:26" s="467" customFormat="1" x14ac:dyDescent="0.2">
      <c r="A6" s="453" t="s">
        <v>9707</v>
      </c>
      <c r="B6" s="453" t="s">
        <v>9708</v>
      </c>
      <c r="C6" s="454" t="s">
        <v>386</v>
      </c>
      <c r="D6" s="455" t="s">
        <v>9709</v>
      </c>
      <c r="E6" s="456" t="s">
        <v>9710</v>
      </c>
      <c r="F6" s="456" t="s">
        <v>6233</v>
      </c>
      <c r="G6" s="456" t="s">
        <v>9711</v>
      </c>
      <c r="H6" s="457">
        <v>970.92000000000007</v>
      </c>
      <c r="I6" s="457">
        <f t="shared" ref="I6:I69" si="3">H6*(1+0.075)</f>
        <v>1043.739</v>
      </c>
      <c r="J6" s="457" t="s">
        <v>9706</v>
      </c>
      <c r="K6" s="458">
        <v>0.45</v>
      </c>
      <c r="L6" s="459">
        <f t="shared" si="0"/>
        <v>534.00600000000009</v>
      </c>
      <c r="M6" s="460">
        <v>0.21</v>
      </c>
      <c r="N6" s="461">
        <f t="shared" si="1"/>
        <v>824.55381000000011</v>
      </c>
      <c r="O6" s="462">
        <v>0.14000000000000001</v>
      </c>
      <c r="P6" s="463">
        <f t="shared" si="2"/>
        <v>897.61554000000001</v>
      </c>
      <c r="Q6" s="464"/>
      <c r="R6" s="465">
        <v>5</v>
      </c>
      <c r="S6" s="465">
        <v>5</v>
      </c>
      <c r="T6" s="465">
        <v>5</v>
      </c>
      <c r="U6" s="466"/>
    </row>
    <row r="7" spans="1:26" s="467" customFormat="1" x14ac:dyDescent="0.2">
      <c r="A7" s="453" t="s">
        <v>9712</v>
      </c>
      <c r="B7" s="453" t="s">
        <v>9713</v>
      </c>
      <c r="C7" s="454" t="s">
        <v>386</v>
      </c>
      <c r="D7" s="455" t="s">
        <v>9709</v>
      </c>
      <c r="E7" s="456" t="s">
        <v>9710</v>
      </c>
      <c r="F7" s="456" t="s">
        <v>6233</v>
      </c>
      <c r="G7" s="456" t="s">
        <v>9711</v>
      </c>
      <c r="H7" s="457">
        <v>970.92000000000007</v>
      </c>
      <c r="I7" s="457">
        <f t="shared" si="3"/>
        <v>1043.739</v>
      </c>
      <c r="J7" s="457" t="s">
        <v>9706</v>
      </c>
      <c r="K7" s="458">
        <v>0.45</v>
      </c>
      <c r="L7" s="459">
        <f t="shared" si="0"/>
        <v>534.00600000000009</v>
      </c>
      <c r="M7" s="460">
        <v>0.21</v>
      </c>
      <c r="N7" s="461">
        <f t="shared" si="1"/>
        <v>824.55381000000011</v>
      </c>
      <c r="O7" s="462">
        <v>0.14000000000000001</v>
      </c>
      <c r="P7" s="463">
        <f t="shared" si="2"/>
        <v>897.61554000000001</v>
      </c>
      <c r="Q7" s="464"/>
      <c r="R7" s="465">
        <v>5</v>
      </c>
      <c r="S7" s="465">
        <v>5</v>
      </c>
      <c r="T7" s="465">
        <v>5</v>
      </c>
      <c r="U7" s="466"/>
    </row>
    <row r="8" spans="1:26" s="467" customFormat="1" x14ac:dyDescent="0.2">
      <c r="A8" s="453" t="s">
        <v>9714</v>
      </c>
      <c r="B8" s="453" t="s">
        <v>9715</v>
      </c>
      <c r="C8" s="454" t="s">
        <v>386</v>
      </c>
      <c r="D8" s="455" t="s">
        <v>9709</v>
      </c>
      <c r="E8" s="456" t="s">
        <v>9716</v>
      </c>
      <c r="F8" s="456" t="s">
        <v>6233</v>
      </c>
      <c r="G8" s="456" t="s">
        <v>9711</v>
      </c>
      <c r="H8" s="457">
        <v>970.92000000000007</v>
      </c>
      <c r="I8" s="457">
        <f t="shared" si="3"/>
        <v>1043.739</v>
      </c>
      <c r="J8" s="457" t="s">
        <v>9706</v>
      </c>
      <c r="K8" s="458">
        <v>0.45</v>
      </c>
      <c r="L8" s="459">
        <f t="shared" si="0"/>
        <v>534.00600000000009</v>
      </c>
      <c r="M8" s="460">
        <v>0.21</v>
      </c>
      <c r="N8" s="461">
        <f t="shared" si="1"/>
        <v>824.55381000000011</v>
      </c>
      <c r="O8" s="462">
        <v>0.14000000000000001</v>
      </c>
      <c r="P8" s="463">
        <f t="shared" si="2"/>
        <v>897.61554000000001</v>
      </c>
      <c r="Q8" s="464"/>
      <c r="R8" s="465">
        <v>5</v>
      </c>
      <c r="S8" s="465">
        <v>5</v>
      </c>
      <c r="T8" s="465">
        <v>5</v>
      </c>
      <c r="U8" s="466"/>
    </row>
    <row r="9" spans="1:26" s="467" customFormat="1" x14ac:dyDescent="0.2">
      <c r="A9" s="453" t="s">
        <v>9717</v>
      </c>
      <c r="B9" s="453" t="s">
        <v>9718</v>
      </c>
      <c r="C9" s="454" t="s">
        <v>386</v>
      </c>
      <c r="D9" s="455" t="s">
        <v>9709</v>
      </c>
      <c r="E9" s="456" t="s">
        <v>9710</v>
      </c>
      <c r="F9" s="456" t="s">
        <v>6233</v>
      </c>
      <c r="G9" s="456" t="s">
        <v>9711</v>
      </c>
      <c r="H9" s="457">
        <v>970.92000000000007</v>
      </c>
      <c r="I9" s="457">
        <f t="shared" si="3"/>
        <v>1043.739</v>
      </c>
      <c r="J9" s="457" t="s">
        <v>9706</v>
      </c>
      <c r="K9" s="458">
        <v>0.45</v>
      </c>
      <c r="L9" s="459">
        <f t="shared" si="0"/>
        <v>534.00600000000009</v>
      </c>
      <c r="M9" s="460">
        <v>0.21</v>
      </c>
      <c r="N9" s="461">
        <f t="shared" si="1"/>
        <v>824.55381000000011</v>
      </c>
      <c r="O9" s="462">
        <v>0.14000000000000001</v>
      </c>
      <c r="P9" s="463">
        <f t="shared" si="2"/>
        <v>897.61554000000001</v>
      </c>
      <c r="Q9" s="464"/>
      <c r="R9" s="465">
        <v>5</v>
      </c>
      <c r="S9" s="465">
        <v>5</v>
      </c>
      <c r="T9" s="465">
        <v>5</v>
      </c>
      <c r="U9" s="466"/>
    </row>
    <row r="10" spans="1:26" x14ac:dyDescent="0.2">
      <c r="A10" s="453" t="s">
        <v>9719</v>
      </c>
      <c r="B10" s="453" t="s">
        <v>9720</v>
      </c>
      <c r="C10" s="454" t="s">
        <v>386</v>
      </c>
      <c r="D10" s="455" t="s">
        <v>9709</v>
      </c>
      <c r="E10" s="456" t="s">
        <v>9721</v>
      </c>
      <c r="F10" s="456" t="s">
        <v>6233</v>
      </c>
      <c r="G10" s="456" t="s">
        <v>9711</v>
      </c>
      <c r="H10" s="457">
        <v>970.92000000000007</v>
      </c>
      <c r="I10" s="457">
        <f t="shared" si="3"/>
        <v>1043.739</v>
      </c>
      <c r="J10" s="457" t="s">
        <v>9706</v>
      </c>
      <c r="K10" s="458">
        <v>0.45</v>
      </c>
      <c r="L10" s="459">
        <f t="shared" si="0"/>
        <v>534.00600000000009</v>
      </c>
      <c r="M10" s="460">
        <v>0.21</v>
      </c>
      <c r="N10" s="461">
        <f t="shared" si="1"/>
        <v>824.55381000000011</v>
      </c>
      <c r="O10" s="462">
        <v>0.14000000000000001</v>
      </c>
      <c r="P10" s="463">
        <f t="shared" si="2"/>
        <v>897.61554000000001</v>
      </c>
      <c r="Q10" s="464"/>
      <c r="R10" s="465">
        <v>5</v>
      </c>
      <c r="S10" s="465">
        <v>5</v>
      </c>
      <c r="T10" s="465">
        <v>5</v>
      </c>
      <c r="U10" s="466"/>
      <c r="W10" s="415"/>
      <c r="X10" s="415"/>
    </row>
    <row r="11" spans="1:26" s="467" customFormat="1" x14ac:dyDescent="0.2">
      <c r="A11" s="453" t="s">
        <v>9722</v>
      </c>
      <c r="B11" s="453" t="s">
        <v>9723</v>
      </c>
      <c r="C11" s="454" t="s">
        <v>386</v>
      </c>
      <c r="D11" s="455" t="s">
        <v>9709</v>
      </c>
      <c r="E11" s="456" t="s">
        <v>9710</v>
      </c>
      <c r="F11" s="456" t="s">
        <v>6233</v>
      </c>
      <c r="G11" s="456" t="s">
        <v>9711</v>
      </c>
      <c r="H11" s="457">
        <v>970.92000000000007</v>
      </c>
      <c r="I11" s="457">
        <f t="shared" si="3"/>
        <v>1043.739</v>
      </c>
      <c r="J11" s="457" t="s">
        <v>9706</v>
      </c>
      <c r="K11" s="458">
        <v>0.45</v>
      </c>
      <c r="L11" s="459">
        <f t="shared" si="0"/>
        <v>534.00600000000009</v>
      </c>
      <c r="M11" s="460">
        <v>0.21</v>
      </c>
      <c r="N11" s="461">
        <f t="shared" si="1"/>
        <v>824.55381000000011</v>
      </c>
      <c r="O11" s="462">
        <v>0.14000000000000001</v>
      </c>
      <c r="P11" s="463">
        <f t="shared" si="2"/>
        <v>897.61554000000001</v>
      </c>
      <c r="Q11" s="464"/>
      <c r="R11" s="465">
        <v>5</v>
      </c>
      <c r="S11" s="465">
        <v>5</v>
      </c>
      <c r="T11" s="465">
        <v>5</v>
      </c>
      <c r="U11" s="466"/>
    </row>
    <row r="12" spans="1:26" s="467" customFormat="1" x14ac:dyDescent="0.2">
      <c r="A12" s="453" t="s">
        <v>9724</v>
      </c>
      <c r="B12" s="453" t="s">
        <v>9725</v>
      </c>
      <c r="C12" s="454" t="s">
        <v>386</v>
      </c>
      <c r="D12" s="455" t="s">
        <v>9709</v>
      </c>
      <c r="E12" s="456" t="s">
        <v>9721</v>
      </c>
      <c r="F12" s="456" t="s">
        <v>6233</v>
      </c>
      <c r="G12" s="456" t="s">
        <v>9711</v>
      </c>
      <c r="H12" s="457">
        <v>970.92000000000007</v>
      </c>
      <c r="I12" s="457">
        <f t="shared" si="3"/>
        <v>1043.739</v>
      </c>
      <c r="J12" s="457" t="s">
        <v>9706</v>
      </c>
      <c r="K12" s="458">
        <v>0.45</v>
      </c>
      <c r="L12" s="459">
        <f t="shared" si="0"/>
        <v>534.00600000000009</v>
      </c>
      <c r="M12" s="460">
        <v>0.21</v>
      </c>
      <c r="N12" s="461">
        <f t="shared" si="1"/>
        <v>824.55381000000011</v>
      </c>
      <c r="O12" s="462">
        <v>0.14000000000000001</v>
      </c>
      <c r="P12" s="463">
        <f t="shared" si="2"/>
        <v>897.61554000000001</v>
      </c>
      <c r="Q12" s="464"/>
      <c r="R12" s="465">
        <v>5</v>
      </c>
      <c r="S12" s="465">
        <v>5</v>
      </c>
      <c r="T12" s="465">
        <v>5</v>
      </c>
      <c r="U12" s="466"/>
    </row>
    <row r="13" spans="1:26" s="467" customFormat="1" ht="15" customHeight="1" x14ac:dyDescent="0.2">
      <c r="A13" s="453" t="s">
        <v>9726</v>
      </c>
      <c r="B13" s="453" t="s">
        <v>9727</v>
      </c>
      <c r="C13" s="454" t="s">
        <v>386</v>
      </c>
      <c r="D13" s="455" t="s">
        <v>9709</v>
      </c>
      <c r="E13" s="456" t="s">
        <v>9710</v>
      </c>
      <c r="F13" s="456" t="s">
        <v>6233</v>
      </c>
      <c r="G13" s="456" t="s">
        <v>9711</v>
      </c>
      <c r="H13" s="457">
        <v>970.92000000000007</v>
      </c>
      <c r="I13" s="457">
        <f t="shared" si="3"/>
        <v>1043.739</v>
      </c>
      <c r="J13" s="457" t="s">
        <v>9706</v>
      </c>
      <c r="K13" s="458">
        <v>0.45</v>
      </c>
      <c r="L13" s="459">
        <f t="shared" si="0"/>
        <v>534.00600000000009</v>
      </c>
      <c r="M13" s="460">
        <v>0.21</v>
      </c>
      <c r="N13" s="461">
        <f t="shared" si="1"/>
        <v>824.55381000000011</v>
      </c>
      <c r="O13" s="462">
        <v>0.14000000000000001</v>
      </c>
      <c r="P13" s="463">
        <f t="shared" si="2"/>
        <v>897.61554000000001</v>
      </c>
      <c r="Q13" s="464"/>
      <c r="R13" s="465">
        <v>5</v>
      </c>
      <c r="S13" s="465">
        <v>5</v>
      </c>
      <c r="T13" s="465">
        <v>5</v>
      </c>
      <c r="U13" s="466"/>
    </row>
    <row r="14" spans="1:26" s="467" customFormat="1" ht="15" customHeight="1" x14ac:dyDescent="0.2">
      <c r="A14" s="453" t="s">
        <v>9728</v>
      </c>
      <c r="B14" s="453" t="s">
        <v>9729</v>
      </c>
      <c r="C14" s="454" t="s">
        <v>386</v>
      </c>
      <c r="D14" s="455" t="s">
        <v>9709</v>
      </c>
      <c r="E14" s="456" t="s">
        <v>9710</v>
      </c>
      <c r="F14" s="456" t="s">
        <v>6233</v>
      </c>
      <c r="G14" s="456" t="s">
        <v>9711</v>
      </c>
      <c r="H14" s="457">
        <v>970.92000000000007</v>
      </c>
      <c r="I14" s="457">
        <f t="shared" si="3"/>
        <v>1043.739</v>
      </c>
      <c r="J14" s="457" t="s">
        <v>9706</v>
      </c>
      <c r="K14" s="458">
        <v>0.45</v>
      </c>
      <c r="L14" s="459">
        <f t="shared" si="0"/>
        <v>534.00600000000009</v>
      </c>
      <c r="M14" s="460">
        <v>0.21</v>
      </c>
      <c r="N14" s="461">
        <f t="shared" si="1"/>
        <v>824.55381000000011</v>
      </c>
      <c r="O14" s="462">
        <v>0.14000000000000001</v>
      </c>
      <c r="P14" s="463">
        <f t="shared" si="2"/>
        <v>897.61554000000001</v>
      </c>
      <c r="Q14" s="464"/>
      <c r="R14" s="465">
        <v>5</v>
      </c>
      <c r="S14" s="465">
        <v>5</v>
      </c>
      <c r="T14" s="465">
        <v>5</v>
      </c>
      <c r="U14" s="466"/>
    </row>
    <row r="15" spans="1:26" s="467" customFormat="1" x14ac:dyDescent="0.2">
      <c r="A15" s="453" t="s">
        <v>9730</v>
      </c>
      <c r="B15" s="453" t="s">
        <v>9731</v>
      </c>
      <c r="C15" s="454" t="s">
        <v>386</v>
      </c>
      <c r="D15" s="455" t="s">
        <v>9709</v>
      </c>
      <c r="E15" s="456" t="s">
        <v>9710</v>
      </c>
      <c r="F15" s="456" t="s">
        <v>6233</v>
      </c>
      <c r="G15" s="456" t="s">
        <v>9711</v>
      </c>
      <c r="H15" s="457">
        <v>970.92000000000007</v>
      </c>
      <c r="I15" s="457">
        <f t="shared" si="3"/>
        <v>1043.739</v>
      </c>
      <c r="J15" s="457" t="s">
        <v>9706</v>
      </c>
      <c r="K15" s="458">
        <v>0.45</v>
      </c>
      <c r="L15" s="459">
        <f t="shared" si="0"/>
        <v>534.00600000000009</v>
      </c>
      <c r="M15" s="460">
        <v>0.21</v>
      </c>
      <c r="N15" s="461">
        <f t="shared" si="1"/>
        <v>824.55381000000011</v>
      </c>
      <c r="O15" s="462">
        <v>0.14000000000000001</v>
      </c>
      <c r="P15" s="463">
        <f t="shared" si="2"/>
        <v>897.61554000000001</v>
      </c>
      <c r="Q15" s="464"/>
      <c r="R15" s="465">
        <v>5</v>
      </c>
      <c r="S15" s="465">
        <v>5</v>
      </c>
      <c r="T15" s="465">
        <v>5</v>
      </c>
      <c r="U15" s="466"/>
    </row>
    <row r="16" spans="1:26" s="467" customFormat="1" x14ac:dyDescent="0.2">
      <c r="A16" s="453" t="s">
        <v>9732</v>
      </c>
      <c r="B16" s="453" t="s">
        <v>9733</v>
      </c>
      <c r="C16" s="454" t="s">
        <v>386</v>
      </c>
      <c r="D16" s="455" t="s">
        <v>9709</v>
      </c>
      <c r="E16" s="456" t="s">
        <v>9734</v>
      </c>
      <c r="F16" s="456" t="s">
        <v>6233</v>
      </c>
      <c r="G16" s="456" t="s">
        <v>9711</v>
      </c>
      <c r="H16" s="457">
        <v>970.92000000000007</v>
      </c>
      <c r="I16" s="457">
        <f t="shared" si="3"/>
        <v>1043.739</v>
      </c>
      <c r="J16" s="457" t="s">
        <v>9706</v>
      </c>
      <c r="K16" s="458">
        <v>0.45</v>
      </c>
      <c r="L16" s="459">
        <f t="shared" si="0"/>
        <v>534.00600000000009</v>
      </c>
      <c r="M16" s="460">
        <v>0.21</v>
      </c>
      <c r="N16" s="461">
        <f t="shared" si="1"/>
        <v>824.55381000000011</v>
      </c>
      <c r="O16" s="462">
        <v>0.14000000000000001</v>
      </c>
      <c r="P16" s="463">
        <f t="shared" si="2"/>
        <v>897.61554000000001</v>
      </c>
      <c r="Q16" s="464"/>
      <c r="R16" s="465">
        <v>5</v>
      </c>
      <c r="S16" s="465">
        <v>5</v>
      </c>
      <c r="T16" s="465">
        <v>5</v>
      </c>
      <c r="U16" s="466"/>
    </row>
    <row r="17" spans="1:24" s="467" customFormat="1" x14ac:dyDescent="0.2">
      <c r="A17" s="453" t="s">
        <v>9735</v>
      </c>
      <c r="B17" s="453" t="s">
        <v>9736</v>
      </c>
      <c r="C17" s="454" t="s">
        <v>386</v>
      </c>
      <c r="D17" s="455" t="s">
        <v>9709</v>
      </c>
      <c r="E17" s="456" t="s">
        <v>9734</v>
      </c>
      <c r="F17" s="456" t="s">
        <v>6233</v>
      </c>
      <c r="G17" s="456" t="s">
        <v>9711</v>
      </c>
      <c r="H17" s="457">
        <v>970.92000000000007</v>
      </c>
      <c r="I17" s="457">
        <f t="shared" si="3"/>
        <v>1043.739</v>
      </c>
      <c r="J17" s="457" t="s">
        <v>9706</v>
      </c>
      <c r="K17" s="458">
        <v>0.45</v>
      </c>
      <c r="L17" s="459">
        <f t="shared" si="0"/>
        <v>534.00600000000009</v>
      </c>
      <c r="M17" s="460">
        <v>0.21</v>
      </c>
      <c r="N17" s="461">
        <f t="shared" si="1"/>
        <v>824.55381000000011</v>
      </c>
      <c r="O17" s="462">
        <v>0.14000000000000001</v>
      </c>
      <c r="P17" s="463">
        <f t="shared" si="2"/>
        <v>897.61554000000001</v>
      </c>
      <c r="Q17" s="464"/>
      <c r="R17" s="465">
        <v>5</v>
      </c>
      <c r="S17" s="465">
        <v>5</v>
      </c>
      <c r="T17" s="465">
        <v>5</v>
      </c>
      <c r="U17" s="466"/>
    </row>
    <row r="18" spans="1:24" s="467" customFormat="1" x14ac:dyDescent="0.2">
      <c r="A18" s="453" t="s">
        <v>9737</v>
      </c>
      <c r="B18" s="453" t="s">
        <v>9738</v>
      </c>
      <c r="C18" s="454" t="s">
        <v>386</v>
      </c>
      <c r="D18" s="455" t="s">
        <v>9709</v>
      </c>
      <c r="E18" s="456" t="s">
        <v>9739</v>
      </c>
      <c r="F18" s="456" t="s">
        <v>6233</v>
      </c>
      <c r="G18" s="456" t="s">
        <v>9711</v>
      </c>
      <c r="H18" s="457">
        <v>970.92000000000007</v>
      </c>
      <c r="I18" s="457">
        <f t="shared" si="3"/>
        <v>1043.739</v>
      </c>
      <c r="J18" s="457" t="s">
        <v>9706</v>
      </c>
      <c r="K18" s="458">
        <v>0.45</v>
      </c>
      <c r="L18" s="459">
        <f t="shared" si="0"/>
        <v>534.00600000000009</v>
      </c>
      <c r="M18" s="460">
        <v>0.21</v>
      </c>
      <c r="N18" s="461">
        <f t="shared" si="1"/>
        <v>824.55381000000011</v>
      </c>
      <c r="O18" s="462">
        <v>0.14000000000000001</v>
      </c>
      <c r="P18" s="463">
        <f t="shared" si="2"/>
        <v>897.61554000000001</v>
      </c>
      <c r="Q18" s="464"/>
      <c r="R18" s="465">
        <v>5</v>
      </c>
      <c r="S18" s="465">
        <v>5</v>
      </c>
      <c r="T18" s="465">
        <v>5</v>
      </c>
      <c r="U18" s="466"/>
    </row>
    <row r="19" spans="1:24" s="467" customFormat="1" x14ac:dyDescent="0.2">
      <c r="A19" s="453" t="s">
        <v>9740</v>
      </c>
      <c r="B19" s="453" t="s">
        <v>9741</v>
      </c>
      <c r="C19" s="454" t="s">
        <v>386</v>
      </c>
      <c r="D19" s="455" t="s">
        <v>9709</v>
      </c>
      <c r="E19" s="456" t="s">
        <v>9710</v>
      </c>
      <c r="F19" s="456" t="s">
        <v>6233</v>
      </c>
      <c r="G19" s="456" t="s">
        <v>9711</v>
      </c>
      <c r="H19" s="457">
        <v>970.92000000000007</v>
      </c>
      <c r="I19" s="457">
        <f t="shared" si="3"/>
        <v>1043.739</v>
      </c>
      <c r="J19" s="457" t="s">
        <v>9706</v>
      </c>
      <c r="K19" s="458">
        <v>0.45</v>
      </c>
      <c r="L19" s="459">
        <f t="shared" si="0"/>
        <v>534.00600000000009</v>
      </c>
      <c r="M19" s="460">
        <v>0.21</v>
      </c>
      <c r="N19" s="461">
        <f t="shared" si="1"/>
        <v>824.55381000000011</v>
      </c>
      <c r="O19" s="462">
        <v>0.14000000000000001</v>
      </c>
      <c r="P19" s="463">
        <f t="shared" si="2"/>
        <v>897.61554000000001</v>
      </c>
      <c r="Q19" s="464"/>
      <c r="R19" s="465">
        <v>5</v>
      </c>
      <c r="S19" s="465">
        <v>5</v>
      </c>
      <c r="T19" s="465">
        <v>5</v>
      </c>
      <c r="U19" s="466"/>
    </row>
    <row r="20" spans="1:24" s="467" customFormat="1" x14ac:dyDescent="0.2">
      <c r="A20" s="453" t="s">
        <v>9742</v>
      </c>
      <c r="B20" s="453" t="s">
        <v>9743</v>
      </c>
      <c r="C20" s="454" t="s">
        <v>386</v>
      </c>
      <c r="D20" s="455" t="s">
        <v>9709</v>
      </c>
      <c r="E20" s="456" t="s">
        <v>9710</v>
      </c>
      <c r="F20" s="456" t="s">
        <v>6233</v>
      </c>
      <c r="G20" s="456" t="s">
        <v>9711</v>
      </c>
      <c r="H20" s="457">
        <v>970.92000000000007</v>
      </c>
      <c r="I20" s="457">
        <f t="shared" si="3"/>
        <v>1043.739</v>
      </c>
      <c r="J20" s="457" t="s">
        <v>9706</v>
      </c>
      <c r="K20" s="458">
        <v>0.45</v>
      </c>
      <c r="L20" s="459">
        <f t="shared" si="0"/>
        <v>534.00600000000009</v>
      </c>
      <c r="M20" s="460">
        <v>0.21</v>
      </c>
      <c r="N20" s="461">
        <f t="shared" si="1"/>
        <v>824.55381000000011</v>
      </c>
      <c r="O20" s="462">
        <v>0.14000000000000001</v>
      </c>
      <c r="P20" s="463">
        <f t="shared" si="2"/>
        <v>897.61554000000001</v>
      </c>
      <c r="Q20" s="464"/>
      <c r="R20" s="465">
        <v>5</v>
      </c>
      <c r="S20" s="465">
        <v>5</v>
      </c>
      <c r="T20" s="465">
        <v>5</v>
      </c>
      <c r="U20" s="466"/>
    </row>
    <row r="21" spans="1:24" s="467" customFormat="1" x14ac:dyDescent="0.2">
      <c r="A21" s="453" t="s">
        <v>9744</v>
      </c>
      <c r="B21" s="453" t="s">
        <v>9745</v>
      </c>
      <c r="C21" s="454" t="s">
        <v>386</v>
      </c>
      <c r="D21" s="455" t="s">
        <v>1198</v>
      </c>
      <c r="E21" s="456" t="s">
        <v>9705</v>
      </c>
      <c r="F21" s="456" t="s">
        <v>6233</v>
      </c>
      <c r="G21" s="456" t="s">
        <v>7070</v>
      </c>
      <c r="H21" s="457">
        <v>430.92</v>
      </c>
      <c r="I21" s="457">
        <f t="shared" si="3"/>
        <v>463.23899999999998</v>
      </c>
      <c r="J21" s="457" t="s">
        <v>9706</v>
      </c>
      <c r="K21" s="458">
        <v>0.4</v>
      </c>
      <c r="L21" s="459">
        <f t="shared" si="0"/>
        <v>258.55200000000002</v>
      </c>
      <c r="M21" s="460">
        <v>0.31</v>
      </c>
      <c r="N21" s="461">
        <f t="shared" si="1"/>
        <v>319.63490999999993</v>
      </c>
      <c r="O21" s="462">
        <v>0.25</v>
      </c>
      <c r="P21" s="463">
        <f t="shared" si="2"/>
        <v>347.42924999999997</v>
      </c>
      <c r="Q21" s="464"/>
      <c r="R21" s="465">
        <v>5</v>
      </c>
      <c r="S21" s="465">
        <v>5</v>
      </c>
      <c r="T21" s="465">
        <v>5</v>
      </c>
      <c r="U21" s="466"/>
    </row>
    <row r="22" spans="1:24" s="467" customFormat="1" x14ac:dyDescent="0.2">
      <c r="A22" s="453" t="s">
        <v>9746</v>
      </c>
      <c r="B22" s="453" t="s">
        <v>9747</v>
      </c>
      <c r="C22" s="454" t="s">
        <v>386</v>
      </c>
      <c r="D22" s="455" t="s">
        <v>9709</v>
      </c>
      <c r="E22" s="456" t="s">
        <v>9716</v>
      </c>
      <c r="F22" s="456" t="s">
        <v>6233</v>
      </c>
      <c r="G22" s="456" t="s">
        <v>9711</v>
      </c>
      <c r="H22" s="457">
        <v>970.92000000000007</v>
      </c>
      <c r="I22" s="457">
        <f t="shared" si="3"/>
        <v>1043.739</v>
      </c>
      <c r="J22" s="457" t="s">
        <v>9706</v>
      </c>
      <c r="K22" s="458">
        <v>0.45</v>
      </c>
      <c r="L22" s="459">
        <f t="shared" si="0"/>
        <v>534.00600000000009</v>
      </c>
      <c r="M22" s="460">
        <v>0.21</v>
      </c>
      <c r="N22" s="461">
        <f t="shared" si="1"/>
        <v>824.55381000000011</v>
      </c>
      <c r="O22" s="462">
        <v>0.14000000000000001</v>
      </c>
      <c r="P22" s="463">
        <f t="shared" si="2"/>
        <v>897.61554000000001</v>
      </c>
      <c r="Q22" s="464"/>
      <c r="R22" s="465">
        <v>5</v>
      </c>
      <c r="S22" s="465">
        <v>5</v>
      </c>
      <c r="T22" s="465">
        <v>5</v>
      </c>
      <c r="U22" s="466"/>
    </row>
    <row r="23" spans="1:24" s="467" customFormat="1" x14ac:dyDescent="0.2">
      <c r="A23" s="454" t="s">
        <v>9748</v>
      </c>
      <c r="B23" s="468" t="s">
        <v>9749</v>
      </c>
      <c r="C23" s="454" t="s">
        <v>386</v>
      </c>
      <c r="D23" s="455" t="s">
        <v>9709</v>
      </c>
      <c r="E23" s="456" t="s">
        <v>9710</v>
      </c>
      <c r="F23" s="456" t="s">
        <v>6634</v>
      </c>
      <c r="G23" s="456" t="s">
        <v>9711</v>
      </c>
      <c r="H23" s="457">
        <v>484.92</v>
      </c>
      <c r="I23" s="457">
        <f t="shared" si="3"/>
        <v>521.28899999999999</v>
      </c>
      <c r="J23" s="457" t="s">
        <v>9706</v>
      </c>
      <c r="K23" s="458">
        <v>0.45</v>
      </c>
      <c r="L23" s="459">
        <f t="shared" si="0"/>
        <v>266.70600000000002</v>
      </c>
      <c r="M23" s="460">
        <v>0.21</v>
      </c>
      <c r="N23" s="461">
        <f t="shared" si="1"/>
        <v>411.81831</v>
      </c>
      <c r="O23" s="462">
        <v>0.14000000000000001</v>
      </c>
      <c r="P23" s="463">
        <f t="shared" si="2"/>
        <v>448.30853999999999</v>
      </c>
      <c r="Q23" s="464"/>
      <c r="R23" s="465">
        <v>20</v>
      </c>
      <c r="S23" s="465">
        <v>20</v>
      </c>
      <c r="T23" s="465">
        <v>20</v>
      </c>
      <c r="U23" s="466"/>
    </row>
    <row r="24" spans="1:24" s="467" customFormat="1" x14ac:dyDescent="0.2">
      <c r="A24" s="454" t="s">
        <v>9750</v>
      </c>
      <c r="B24" s="468" t="s">
        <v>9751</v>
      </c>
      <c r="C24" s="454" t="s">
        <v>386</v>
      </c>
      <c r="D24" s="455" t="s">
        <v>9709</v>
      </c>
      <c r="E24" s="456" t="s">
        <v>9710</v>
      </c>
      <c r="F24" s="456" t="s">
        <v>6634</v>
      </c>
      <c r="G24" s="456" t="s">
        <v>9711</v>
      </c>
      <c r="H24" s="457">
        <v>484.92</v>
      </c>
      <c r="I24" s="457">
        <f t="shared" si="3"/>
        <v>521.28899999999999</v>
      </c>
      <c r="J24" s="457" t="s">
        <v>9706</v>
      </c>
      <c r="K24" s="458">
        <v>0.45</v>
      </c>
      <c r="L24" s="459">
        <f t="shared" si="0"/>
        <v>266.70600000000002</v>
      </c>
      <c r="M24" s="460">
        <v>0.21</v>
      </c>
      <c r="N24" s="461">
        <f t="shared" si="1"/>
        <v>411.81831</v>
      </c>
      <c r="O24" s="462">
        <v>0.14000000000000001</v>
      </c>
      <c r="P24" s="463">
        <f t="shared" si="2"/>
        <v>448.30853999999999</v>
      </c>
      <c r="Q24" s="464"/>
      <c r="R24" s="465">
        <v>20</v>
      </c>
      <c r="S24" s="465">
        <v>20</v>
      </c>
      <c r="T24" s="465">
        <v>20</v>
      </c>
      <c r="U24" s="466"/>
    </row>
    <row r="25" spans="1:24" s="467" customFormat="1" x14ac:dyDescent="0.2">
      <c r="A25" s="454" t="s">
        <v>9752</v>
      </c>
      <c r="B25" s="468" t="s">
        <v>9753</v>
      </c>
      <c r="C25" s="454" t="s">
        <v>386</v>
      </c>
      <c r="D25" s="455" t="s">
        <v>9709</v>
      </c>
      <c r="E25" s="456" t="s">
        <v>9716</v>
      </c>
      <c r="F25" s="456" t="s">
        <v>6634</v>
      </c>
      <c r="G25" s="456" t="s">
        <v>9711</v>
      </c>
      <c r="H25" s="457">
        <v>484.92</v>
      </c>
      <c r="I25" s="457">
        <f t="shared" si="3"/>
        <v>521.28899999999999</v>
      </c>
      <c r="J25" s="457" t="s">
        <v>9706</v>
      </c>
      <c r="K25" s="458">
        <v>0.45</v>
      </c>
      <c r="L25" s="459">
        <f t="shared" si="0"/>
        <v>266.70600000000002</v>
      </c>
      <c r="M25" s="460">
        <v>0.21</v>
      </c>
      <c r="N25" s="461">
        <f t="shared" si="1"/>
        <v>411.81831</v>
      </c>
      <c r="O25" s="462">
        <v>0.14000000000000001</v>
      </c>
      <c r="P25" s="463">
        <f t="shared" si="2"/>
        <v>448.30853999999999</v>
      </c>
      <c r="Q25" s="464"/>
      <c r="R25" s="465">
        <v>20</v>
      </c>
      <c r="S25" s="465">
        <v>20</v>
      </c>
      <c r="T25" s="465">
        <v>20</v>
      </c>
      <c r="U25" s="466"/>
    </row>
    <row r="26" spans="1:24" s="467" customFormat="1" x14ac:dyDescent="0.2">
      <c r="A26" s="454" t="s">
        <v>9754</v>
      </c>
      <c r="B26" s="468" t="s">
        <v>9755</v>
      </c>
      <c r="C26" s="454" t="s">
        <v>386</v>
      </c>
      <c r="D26" s="455" t="s">
        <v>9709</v>
      </c>
      <c r="E26" s="456" t="s">
        <v>9710</v>
      </c>
      <c r="F26" s="456" t="s">
        <v>6634</v>
      </c>
      <c r="G26" s="456" t="s">
        <v>9711</v>
      </c>
      <c r="H26" s="457">
        <v>484.92</v>
      </c>
      <c r="I26" s="457">
        <f t="shared" si="3"/>
        <v>521.28899999999999</v>
      </c>
      <c r="J26" s="457" t="s">
        <v>9706</v>
      </c>
      <c r="K26" s="458">
        <v>0.45</v>
      </c>
      <c r="L26" s="459">
        <f t="shared" si="0"/>
        <v>266.70600000000002</v>
      </c>
      <c r="M26" s="460">
        <v>0.21</v>
      </c>
      <c r="N26" s="461">
        <f t="shared" si="1"/>
        <v>411.81831</v>
      </c>
      <c r="O26" s="462">
        <v>0.14000000000000001</v>
      </c>
      <c r="P26" s="463">
        <f t="shared" si="2"/>
        <v>448.30853999999999</v>
      </c>
      <c r="Q26" s="464"/>
      <c r="R26" s="465">
        <v>20</v>
      </c>
      <c r="S26" s="465">
        <v>20</v>
      </c>
      <c r="T26" s="465">
        <v>20</v>
      </c>
      <c r="U26" s="466"/>
    </row>
    <row r="27" spans="1:24" s="467" customFormat="1" x14ac:dyDescent="0.2">
      <c r="A27" s="454" t="s">
        <v>9756</v>
      </c>
      <c r="B27" s="468" t="s">
        <v>9757</v>
      </c>
      <c r="C27" s="454" t="s">
        <v>386</v>
      </c>
      <c r="D27" s="455" t="s">
        <v>9709</v>
      </c>
      <c r="E27" s="456" t="s">
        <v>9758</v>
      </c>
      <c r="F27" s="456" t="s">
        <v>6634</v>
      </c>
      <c r="G27" s="456" t="s">
        <v>9711</v>
      </c>
      <c r="H27" s="457">
        <v>484.92</v>
      </c>
      <c r="I27" s="457">
        <f t="shared" si="3"/>
        <v>521.28899999999999</v>
      </c>
      <c r="J27" s="457" t="s">
        <v>9706</v>
      </c>
      <c r="K27" s="458">
        <v>0.45</v>
      </c>
      <c r="L27" s="459">
        <f t="shared" si="0"/>
        <v>266.70600000000002</v>
      </c>
      <c r="M27" s="460">
        <v>0.21</v>
      </c>
      <c r="N27" s="461">
        <f t="shared" si="1"/>
        <v>411.81831</v>
      </c>
      <c r="O27" s="462">
        <v>0.14000000000000001</v>
      </c>
      <c r="P27" s="463">
        <f t="shared" si="2"/>
        <v>448.30853999999999</v>
      </c>
      <c r="Q27" s="464"/>
      <c r="R27" s="465">
        <v>20</v>
      </c>
      <c r="S27" s="465">
        <v>20</v>
      </c>
      <c r="T27" s="465">
        <v>20</v>
      </c>
      <c r="U27" s="466"/>
    </row>
    <row r="28" spans="1:24" s="467" customFormat="1" x14ac:dyDescent="0.2">
      <c r="A28" s="454" t="s">
        <v>9759</v>
      </c>
      <c r="B28" s="468" t="s">
        <v>9760</v>
      </c>
      <c r="C28" s="454" t="s">
        <v>386</v>
      </c>
      <c r="D28" s="455" t="s">
        <v>9709</v>
      </c>
      <c r="E28" s="456" t="s">
        <v>9710</v>
      </c>
      <c r="F28" s="456" t="s">
        <v>6634</v>
      </c>
      <c r="G28" s="456" t="s">
        <v>9711</v>
      </c>
      <c r="H28" s="457">
        <v>484.92</v>
      </c>
      <c r="I28" s="457">
        <f t="shared" si="3"/>
        <v>521.28899999999999</v>
      </c>
      <c r="J28" s="457" t="s">
        <v>9706</v>
      </c>
      <c r="K28" s="458">
        <v>0.45</v>
      </c>
      <c r="L28" s="459">
        <f t="shared" si="0"/>
        <v>266.70600000000002</v>
      </c>
      <c r="M28" s="460">
        <v>0.21</v>
      </c>
      <c r="N28" s="461">
        <f t="shared" si="1"/>
        <v>411.81831</v>
      </c>
      <c r="O28" s="462">
        <v>0.14000000000000001</v>
      </c>
      <c r="P28" s="463">
        <f t="shared" si="2"/>
        <v>448.30853999999999</v>
      </c>
      <c r="Q28" s="464"/>
      <c r="R28" s="465">
        <v>20</v>
      </c>
      <c r="S28" s="465">
        <v>20</v>
      </c>
      <c r="T28" s="465">
        <v>20</v>
      </c>
      <c r="U28" s="466"/>
    </row>
    <row r="29" spans="1:24" s="467" customFormat="1" x14ac:dyDescent="0.2">
      <c r="A29" s="454" t="s">
        <v>9761</v>
      </c>
      <c r="B29" s="468" t="s">
        <v>9762</v>
      </c>
      <c r="C29" s="454" t="s">
        <v>386</v>
      </c>
      <c r="D29" s="455" t="s">
        <v>9709</v>
      </c>
      <c r="E29" s="456" t="s">
        <v>9758</v>
      </c>
      <c r="F29" s="456" t="s">
        <v>6634</v>
      </c>
      <c r="G29" s="456" t="s">
        <v>9711</v>
      </c>
      <c r="H29" s="457">
        <v>484.92</v>
      </c>
      <c r="I29" s="457">
        <f t="shared" si="3"/>
        <v>521.28899999999999</v>
      </c>
      <c r="J29" s="457" t="s">
        <v>9706</v>
      </c>
      <c r="K29" s="458">
        <v>0.45</v>
      </c>
      <c r="L29" s="459">
        <f t="shared" si="0"/>
        <v>266.70600000000002</v>
      </c>
      <c r="M29" s="460">
        <v>0.21</v>
      </c>
      <c r="N29" s="461">
        <f t="shared" si="1"/>
        <v>411.81831</v>
      </c>
      <c r="O29" s="462">
        <v>0.14000000000000001</v>
      </c>
      <c r="P29" s="463">
        <f t="shared" si="2"/>
        <v>448.30853999999999</v>
      </c>
      <c r="Q29" s="464"/>
      <c r="R29" s="465">
        <v>20</v>
      </c>
      <c r="S29" s="465">
        <v>20</v>
      </c>
      <c r="T29" s="465">
        <v>20</v>
      </c>
      <c r="U29" s="466"/>
    </row>
    <row r="30" spans="1:24" s="467" customFormat="1" x14ac:dyDescent="0.2">
      <c r="A30" s="454" t="s">
        <v>9763</v>
      </c>
      <c r="B30" s="468" t="s">
        <v>9764</v>
      </c>
      <c r="C30" s="454" t="s">
        <v>386</v>
      </c>
      <c r="D30" s="455" t="s">
        <v>9709</v>
      </c>
      <c r="E30" s="456" t="s">
        <v>9739</v>
      </c>
      <c r="F30" s="456" t="s">
        <v>6634</v>
      </c>
      <c r="G30" s="456" t="s">
        <v>9711</v>
      </c>
      <c r="H30" s="457">
        <v>484.92</v>
      </c>
      <c r="I30" s="457">
        <f t="shared" si="3"/>
        <v>521.28899999999999</v>
      </c>
      <c r="J30" s="457" t="s">
        <v>9706</v>
      </c>
      <c r="K30" s="458">
        <v>0.45</v>
      </c>
      <c r="L30" s="459">
        <f t="shared" si="0"/>
        <v>266.70600000000002</v>
      </c>
      <c r="M30" s="460">
        <v>0.21</v>
      </c>
      <c r="N30" s="461">
        <f t="shared" si="1"/>
        <v>411.81831</v>
      </c>
      <c r="O30" s="462">
        <v>0.14000000000000001</v>
      </c>
      <c r="P30" s="463">
        <f t="shared" si="2"/>
        <v>448.30853999999999</v>
      </c>
      <c r="Q30" s="464"/>
      <c r="R30" s="465">
        <v>20</v>
      </c>
      <c r="S30" s="465">
        <v>20</v>
      </c>
      <c r="T30" s="465">
        <v>20</v>
      </c>
      <c r="U30" s="466"/>
    </row>
    <row r="31" spans="1:24" s="467" customFormat="1" x14ac:dyDescent="0.2">
      <c r="A31" s="454" t="s">
        <v>9765</v>
      </c>
      <c r="B31" s="468" t="s">
        <v>9766</v>
      </c>
      <c r="C31" s="454" t="s">
        <v>386</v>
      </c>
      <c r="D31" s="455" t="s">
        <v>9709</v>
      </c>
      <c r="E31" s="456" t="s">
        <v>9739</v>
      </c>
      <c r="F31" s="456" t="s">
        <v>6634</v>
      </c>
      <c r="G31" s="456" t="s">
        <v>9711</v>
      </c>
      <c r="H31" s="457">
        <v>484.92</v>
      </c>
      <c r="I31" s="457">
        <f t="shared" si="3"/>
        <v>521.28899999999999</v>
      </c>
      <c r="J31" s="457" t="s">
        <v>9706</v>
      </c>
      <c r="K31" s="458">
        <v>0.45</v>
      </c>
      <c r="L31" s="459">
        <f t="shared" si="0"/>
        <v>266.70600000000002</v>
      </c>
      <c r="M31" s="460">
        <v>0.21</v>
      </c>
      <c r="N31" s="461">
        <f t="shared" si="1"/>
        <v>411.81831</v>
      </c>
      <c r="O31" s="462">
        <v>0.14000000000000001</v>
      </c>
      <c r="P31" s="463">
        <f t="shared" si="2"/>
        <v>448.30853999999999</v>
      </c>
      <c r="Q31" s="464"/>
      <c r="R31" s="465">
        <v>20</v>
      </c>
      <c r="S31" s="465">
        <v>20</v>
      </c>
      <c r="T31" s="465">
        <v>20</v>
      </c>
      <c r="U31" s="466"/>
    </row>
    <row r="32" spans="1:24" x14ac:dyDescent="0.2">
      <c r="A32" s="454" t="s">
        <v>9767</v>
      </c>
      <c r="B32" s="468" t="s">
        <v>9768</v>
      </c>
      <c r="C32" s="454" t="s">
        <v>386</v>
      </c>
      <c r="D32" s="455" t="s">
        <v>9709</v>
      </c>
      <c r="E32" s="456" t="s">
        <v>9739</v>
      </c>
      <c r="F32" s="456" t="s">
        <v>6634</v>
      </c>
      <c r="G32" s="456" t="s">
        <v>9711</v>
      </c>
      <c r="H32" s="457">
        <v>484.92</v>
      </c>
      <c r="I32" s="457">
        <f t="shared" si="3"/>
        <v>521.28899999999999</v>
      </c>
      <c r="J32" s="457" t="s">
        <v>9706</v>
      </c>
      <c r="K32" s="458">
        <v>0.45</v>
      </c>
      <c r="L32" s="459">
        <f t="shared" si="0"/>
        <v>266.70600000000002</v>
      </c>
      <c r="M32" s="460">
        <v>0.21</v>
      </c>
      <c r="N32" s="461">
        <f t="shared" si="1"/>
        <v>411.81831</v>
      </c>
      <c r="O32" s="462">
        <v>0.14000000000000001</v>
      </c>
      <c r="P32" s="463">
        <f t="shared" si="2"/>
        <v>448.30853999999999</v>
      </c>
      <c r="Q32" s="464"/>
      <c r="R32" s="465">
        <v>20</v>
      </c>
      <c r="S32" s="465">
        <v>20</v>
      </c>
      <c r="T32" s="465">
        <v>20</v>
      </c>
      <c r="U32" s="466"/>
      <c r="W32" s="415"/>
      <c r="X32" s="415"/>
    </row>
    <row r="33" spans="1:24" x14ac:dyDescent="0.2">
      <c r="A33" s="454" t="s">
        <v>9769</v>
      </c>
      <c r="B33" s="468" t="s">
        <v>9770</v>
      </c>
      <c r="C33" s="454" t="s">
        <v>386</v>
      </c>
      <c r="D33" s="455" t="s">
        <v>9709</v>
      </c>
      <c r="E33" s="456" t="s">
        <v>9734</v>
      </c>
      <c r="F33" s="456" t="s">
        <v>6634</v>
      </c>
      <c r="G33" s="456" t="s">
        <v>9711</v>
      </c>
      <c r="H33" s="457">
        <v>484.92</v>
      </c>
      <c r="I33" s="457">
        <f t="shared" si="3"/>
        <v>521.28899999999999</v>
      </c>
      <c r="J33" s="457" t="s">
        <v>9706</v>
      </c>
      <c r="K33" s="458">
        <v>0.45</v>
      </c>
      <c r="L33" s="459">
        <f t="shared" si="0"/>
        <v>266.70600000000002</v>
      </c>
      <c r="M33" s="460">
        <v>0.21</v>
      </c>
      <c r="N33" s="461">
        <f t="shared" si="1"/>
        <v>411.81831</v>
      </c>
      <c r="O33" s="462">
        <v>0.14000000000000001</v>
      </c>
      <c r="P33" s="463">
        <f t="shared" si="2"/>
        <v>448.30853999999999</v>
      </c>
      <c r="Q33" s="464"/>
      <c r="R33" s="465">
        <v>20</v>
      </c>
      <c r="S33" s="465">
        <v>20</v>
      </c>
      <c r="T33" s="465">
        <v>20</v>
      </c>
      <c r="U33" s="466"/>
      <c r="W33" s="415"/>
      <c r="X33" s="415"/>
    </row>
    <row r="34" spans="1:24" x14ac:dyDescent="0.2">
      <c r="A34" s="454" t="s">
        <v>9771</v>
      </c>
      <c r="B34" s="468" t="s">
        <v>9772</v>
      </c>
      <c r="C34" s="454" t="s">
        <v>386</v>
      </c>
      <c r="D34" s="455" t="s">
        <v>9709</v>
      </c>
      <c r="E34" s="456" t="s">
        <v>9734</v>
      </c>
      <c r="F34" s="456" t="s">
        <v>6634</v>
      </c>
      <c r="G34" s="456" t="s">
        <v>9711</v>
      </c>
      <c r="H34" s="457">
        <v>484.92</v>
      </c>
      <c r="I34" s="457">
        <f t="shared" si="3"/>
        <v>521.28899999999999</v>
      </c>
      <c r="J34" s="457" t="s">
        <v>9706</v>
      </c>
      <c r="K34" s="458">
        <v>0.45</v>
      </c>
      <c r="L34" s="459">
        <f t="shared" si="0"/>
        <v>266.70600000000002</v>
      </c>
      <c r="M34" s="460">
        <v>0.21</v>
      </c>
      <c r="N34" s="461">
        <f t="shared" si="1"/>
        <v>411.81831</v>
      </c>
      <c r="O34" s="462">
        <v>0.14000000000000001</v>
      </c>
      <c r="P34" s="463">
        <f t="shared" si="2"/>
        <v>448.30853999999999</v>
      </c>
      <c r="Q34" s="464"/>
      <c r="R34" s="465">
        <v>20</v>
      </c>
      <c r="S34" s="465">
        <v>20</v>
      </c>
      <c r="T34" s="465">
        <v>20</v>
      </c>
      <c r="U34" s="466"/>
      <c r="W34" s="415"/>
      <c r="X34" s="415"/>
    </row>
    <row r="35" spans="1:24" x14ac:dyDescent="0.2">
      <c r="A35" s="454" t="s">
        <v>9773</v>
      </c>
      <c r="B35" s="468" t="s">
        <v>9774</v>
      </c>
      <c r="C35" s="454" t="s">
        <v>386</v>
      </c>
      <c r="D35" s="455" t="s">
        <v>9709</v>
      </c>
      <c r="E35" s="456" t="s">
        <v>9739</v>
      </c>
      <c r="F35" s="456" t="s">
        <v>6634</v>
      </c>
      <c r="G35" s="456" t="s">
        <v>9711</v>
      </c>
      <c r="H35" s="457">
        <v>484.92</v>
      </c>
      <c r="I35" s="457">
        <f t="shared" si="3"/>
        <v>521.28899999999999</v>
      </c>
      <c r="J35" s="457" t="s">
        <v>9706</v>
      </c>
      <c r="K35" s="458">
        <v>0.45</v>
      </c>
      <c r="L35" s="459">
        <f t="shared" si="0"/>
        <v>266.70600000000002</v>
      </c>
      <c r="M35" s="460">
        <v>0.21</v>
      </c>
      <c r="N35" s="461">
        <f t="shared" si="1"/>
        <v>411.81831</v>
      </c>
      <c r="O35" s="462">
        <v>0.14000000000000001</v>
      </c>
      <c r="P35" s="463">
        <f t="shared" si="2"/>
        <v>448.30853999999999</v>
      </c>
      <c r="Q35" s="464"/>
      <c r="R35" s="465">
        <v>20</v>
      </c>
      <c r="S35" s="465">
        <v>20</v>
      </c>
      <c r="T35" s="465">
        <v>20</v>
      </c>
      <c r="U35" s="466"/>
      <c r="W35" s="415"/>
      <c r="X35" s="415"/>
    </row>
    <row r="36" spans="1:24" x14ac:dyDescent="0.2">
      <c r="A36" s="454" t="s">
        <v>9775</v>
      </c>
      <c r="B36" s="468" t="s">
        <v>9776</v>
      </c>
      <c r="C36" s="454" t="s">
        <v>386</v>
      </c>
      <c r="D36" s="455" t="s">
        <v>9709</v>
      </c>
      <c r="E36" s="456" t="s">
        <v>9710</v>
      </c>
      <c r="F36" s="456" t="s">
        <v>6634</v>
      </c>
      <c r="G36" s="456" t="s">
        <v>9711</v>
      </c>
      <c r="H36" s="457">
        <v>484.92</v>
      </c>
      <c r="I36" s="457">
        <f t="shared" si="3"/>
        <v>521.28899999999999</v>
      </c>
      <c r="J36" s="457" t="s">
        <v>9706</v>
      </c>
      <c r="K36" s="458">
        <v>0.45</v>
      </c>
      <c r="L36" s="459">
        <f t="shared" si="0"/>
        <v>266.70600000000002</v>
      </c>
      <c r="M36" s="460">
        <v>0.21</v>
      </c>
      <c r="N36" s="461">
        <f t="shared" si="1"/>
        <v>411.81831</v>
      </c>
      <c r="O36" s="462">
        <v>0.14000000000000001</v>
      </c>
      <c r="P36" s="463">
        <f t="shared" si="2"/>
        <v>448.30853999999999</v>
      </c>
      <c r="Q36" s="464"/>
      <c r="R36" s="465">
        <v>20</v>
      </c>
      <c r="S36" s="465">
        <v>20</v>
      </c>
      <c r="T36" s="465">
        <v>20</v>
      </c>
      <c r="U36" s="466"/>
      <c r="W36" s="415"/>
      <c r="X36" s="415"/>
    </row>
    <row r="37" spans="1:24" x14ac:dyDescent="0.2">
      <c r="A37" s="454" t="s">
        <v>9777</v>
      </c>
      <c r="B37" s="468" t="s">
        <v>9778</v>
      </c>
      <c r="C37" s="454" t="s">
        <v>386</v>
      </c>
      <c r="D37" s="455" t="s">
        <v>9709</v>
      </c>
      <c r="E37" s="456" t="s">
        <v>9710</v>
      </c>
      <c r="F37" s="456" t="s">
        <v>6634</v>
      </c>
      <c r="G37" s="456" t="s">
        <v>9711</v>
      </c>
      <c r="H37" s="457">
        <v>484.92</v>
      </c>
      <c r="I37" s="457">
        <f t="shared" si="3"/>
        <v>521.28899999999999</v>
      </c>
      <c r="J37" s="457" t="s">
        <v>9706</v>
      </c>
      <c r="K37" s="458">
        <v>0.45</v>
      </c>
      <c r="L37" s="459">
        <f t="shared" si="0"/>
        <v>266.70600000000002</v>
      </c>
      <c r="M37" s="460">
        <v>0.21</v>
      </c>
      <c r="N37" s="461">
        <f t="shared" si="1"/>
        <v>411.81831</v>
      </c>
      <c r="O37" s="462">
        <v>0.14000000000000001</v>
      </c>
      <c r="P37" s="463">
        <f t="shared" si="2"/>
        <v>448.30853999999999</v>
      </c>
      <c r="Q37" s="464"/>
      <c r="R37" s="465">
        <v>20</v>
      </c>
      <c r="S37" s="465">
        <v>20</v>
      </c>
      <c r="T37" s="465">
        <v>20</v>
      </c>
      <c r="U37" s="466"/>
      <c r="W37" s="415"/>
      <c r="X37" s="415"/>
    </row>
    <row r="38" spans="1:24" x14ac:dyDescent="0.2">
      <c r="A38" s="454" t="s">
        <v>9779</v>
      </c>
      <c r="B38" s="468" t="s">
        <v>9780</v>
      </c>
      <c r="C38" s="454" t="s">
        <v>386</v>
      </c>
      <c r="D38" s="455" t="s">
        <v>9709</v>
      </c>
      <c r="E38" s="456" t="s">
        <v>9716</v>
      </c>
      <c r="F38" s="456" t="s">
        <v>6634</v>
      </c>
      <c r="G38" s="456" t="s">
        <v>9711</v>
      </c>
      <c r="H38" s="457">
        <v>484.92</v>
      </c>
      <c r="I38" s="457">
        <f t="shared" si="3"/>
        <v>521.28899999999999</v>
      </c>
      <c r="J38" s="457" t="s">
        <v>9706</v>
      </c>
      <c r="K38" s="458">
        <v>0.45</v>
      </c>
      <c r="L38" s="459">
        <f t="shared" si="0"/>
        <v>266.70600000000002</v>
      </c>
      <c r="M38" s="460">
        <v>0.21</v>
      </c>
      <c r="N38" s="461">
        <f t="shared" si="1"/>
        <v>411.81831</v>
      </c>
      <c r="O38" s="462">
        <v>0.14000000000000001</v>
      </c>
      <c r="P38" s="463">
        <f t="shared" si="2"/>
        <v>448.30853999999999</v>
      </c>
      <c r="Q38" s="464"/>
      <c r="R38" s="465">
        <v>20</v>
      </c>
      <c r="S38" s="465">
        <v>20</v>
      </c>
      <c r="T38" s="465">
        <v>20</v>
      </c>
      <c r="U38" s="466"/>
      <c r="W38" s="415"/>
      <c r="X38" s="415"/>
    </row>
    <row r="39" spans="1:24" x14ac:dyDescent="0.2">
      <c r="A39" s="454" t="s">
        <v>9781</v>
      </c>
      <c r="B39" s="468" t="s">
        <v>9782</v>
      </c>
      <c r="C39" s="454" t="s">
        <v>386</v>
      </c>
      <c r="D39" s="455" t="s">
        <v>9783</v>
      </c>
      <c r="E39" s="456" t="s">
        <v>9710</v>
      </c>
      <c r="F39" s="456" t="s">
        <v>9784</v>
      </c>
      <c r="G39" s="456" t="s">
        <v>9711</v>
      </c>
      <c r="H39" s="457">
        <v>366.12</v>
      </c>
      <c r="I39" s="457">
        <f t="shared" si="3"/>
        <v>393.57900000000001</v>
      </c>
      <c r="J39" s="457" t="s">
        <v>9706</v>
      </c>
      <c r="K39" s="458">
        <v>0.45</v>
      </c>
      <c r="L39" s="459">
        <f t="shared" si="0"/>
        <v>201.36600000000001</v>
      </c>
      <c r="M39" s="460">
        <v>0.21</v>
      </c>
      <c r="N39" s="461">
        <f t="shared" si="1"/>
        <v>310.92741000000001</v>
      </c>
      <c r="O39" s="462">
        <v>0.14000000000000001</v>
      </c>
      <c r="P39" s="463">
        <f t="shared" si="2"/>
        <v>338.47793999999999</v>
      </c>
      <c r="Q39" s="464"/>
      <c r="R39" s="465">
        <v>10</v>
      </c>
      <c r="S39" s="465">
        <v>10</v>
      </c>
      <c r="T39" s="465">
        <v>10</v>
      </c>
      <c r="U39" s="466"/>
      <c r="W39" s="415"/>
      <c r="X39" s="415"/>
    </row>
    <row r="40" spans="1:24" x14ac:dyDescent="0.2">
      <c r="A40" s="454" t="s">
        <v>9785</v>
      </c>
      <c r="B40" s="468" t="s">
        <v>9786</v>
      </c>
      <c r="C40" s="454" t="s">
        <v>386</v>
      </c>
      <c r="D40" s="455" t="s">
        <v>9783</v>
      </c>
      <c r="E40" s="456" t="s">
        <v>9710</v>
      </c>
      <c r="F40" s="456" t="s">
        <v>9784</v>
      </c>
      <c r="G40" s="456" t="s">
        <v>9711</v>
      </c>
      <c r="H40" s="457">
        <v>366.12</v>
      </c>
      <c r="I40" s="457">
        <f t="shared" si="3"/>
        <v>393.57900000000001</v>
      </c>
      <c r="J40" s="457" t="s">
        <v>9706</v>
      </c>
      <c r="K40" s="458">
        <v>0.45</v>
      </c>
      <c r="L40" s="459">
        <f t="shared" si="0"/>
        <v>201.36600000000001</v>
      </c>
      <c r="M40" s="460">
        <v>0.21</v>
      </c>
      <c r="N40" s="461">
        <f t="shared" si="1"/>
        <v>310.92741000000001</v>
      </c>
      <c r="O40" s="462">
        <v>0.14000000000000001</v>
      </c>
      <c r="P40" s="463">
        <f t="shared" si="2"/>
        <v>338.47793999999999</v>
      </c>
      <c r="Q40" s="464"/>
      <c r="R40" s="465">
        <v>10</v>
      </c>
      <c r="S40" s="465">
        <v>10</v>
      </c>
      <c r="T40" s="465">
        <v>10</v>
      </c>
      <c r="U40" s="466"/>
      <c r="W40" s="415"/>
      <c r="X40" s="415"/>
    </row>
    <row r="41" spans="1:24" x14ac:dyDescent="0.2">
      <c r="A41" s="469" t="s">
        <v>9787</v>
      </c>
      <c r="B41" s="468" t="s">
        <v>9788</v>
      </c>
      <c r="C41" s="454" t="s">
        <v>386</v>
      </c>
      <c r="D41" s="455" t="s">
        <v>9783</v>
      </c>
      <c r="E41" s="456" t="s">
        <v>9710</v>
      </c>
      <c r="F41" s="456" t="s">
        <v>9784</v>
      </c>
      <c r="G41" s="456" t="s">
        <v>9711</v>
      </c>
      <c r="H41" s="457">
        <v>366.12</v>
      </c>
      <c r="I41" s="457">
        <f t="shared" si="3"/>
        <v>393.57900000000001</v>
      </c>
      <c r="J41" s="457" t="s">
        <v>9706</v>
      </c>
      <c r="K41" s="458">
        <v>0.45</v>
      </c>
      <c r="L41" s="459">
        <f t="shared" si="0"/>
        <v>201.36600000000001</v>
      </c>
      <c r="M41" s="460">
        <v>0.21</v>
      </c>
      <c r="N41" s="461">
        <f t="shared" si="1"/>
        <v>310.92741000000001</v>
      </c>
      <c r="O41" s="462">
        <v>0.14000000000000001</v>
      </c>
      <c r="P41" s="463">
        <f t="shared" si="2"/>
        <v>338.47793999999999</v>
      </c>
      <c r="Q41" s="464"/>
      <c r="R41" s="465">
        <v>10</v>
      </c>
      <c r="S41" s="465">
        <v>10</v>
      </c>
      <c r="T41" s="465">
        <v>10</v>
      </c>
      <c r="U41" s="466"/>
      <c r="W41" s="415"/>
      <c r="X41" s="415"/>
    </row>
    <row r="42" spans="1:24" x14ac:dyDescent="0.2">
      <c r="A42" s="469" t="s">
        <v>9789</v>
      </c>
      <c r="B42" s="468" t="s">
        <v>9790</v>
      </c>
      <c r="C42" s="454" t="s">
        <v>386</v>
      </c>
      <c r="D42" s="455" t="s">
        <v>9783</v>
      </c>
      <c r="E42" s="456" t="s">
        <v>9758</v>
      </c>
      <c r="F42" s="456" t="s">
        <v>9784</v>
      </c>
      <c r="G42" s="456" t="s">
        <v>9711</v>
      </c>
      <c r="H42" s="457">
        <v>366.12</v>
      </c>
      <c r="I42" s="457">
        <f t="shared" si="3"/>
        <v>393.57900000000001</v>
      </c>
      <c r="J42" s="457" t="s">
        <v>9706</v>
      </c>
      <c r="K42" s="458">
        <v>0.45</v>
      </c>
      <c r="L42" s="459">
        <f t="shared" si="0"/>
        <v>201.36600000000001</v>
      </c>
      <c r="M42" s="460">
        <v>0.21</v>
      </c>
      <c r="N42" s="461">
        <f t="shared" si="1"/>
        <v>310.92741000000001</v>
      </c>
      <c r="O42" s="462">
        <v>0.14000000000000001</v>
      </c>
      <c r="P42" s="463">
        <f t="shared" si="2"/>
        <v>338.47793999999999</v>
      </c>
      <c r="Q42" s="464"/>
      <c r="R42" s="465">
        <v>10</v>
      </c>
      <c r="S42" s="465">
        <v>10</v>
      </c>
      <c r="T42" s="465">
        <v>10</v>
      </c>
      <c r="U42" s="466"/>
      <c r="W42" s="415"/>
      <c r="X42" s="415"/>
    </row>
    <row r="43" spans="1:24" x14ac:dyDescent="0.2">
      <c r="A43" s="469" t="s">
        <v>9791</v>
      </c>
      <c r="B43" s="468" t="s">
        <v>9792</v>
      </c>
      <c r="C43" s="454" t="s">
        <v>386</v>
      </c>
      <c r="D43" s="455" t="s">
        <v>9783</v>
      </c>
      <c r="E43" s="456" t="s">
        <v>9710</v>
      </c>
      <c r="F43" s="456" t="s">
        <v>9784</v>
      </c>
      <c r="G43" s="456" t="s">
        <v>9711</v>
      </c>
      <c r="H43" s="457">
        <v>366.12</v>
      </c>
      <c r="I43" s="457">
        <f t="shared" si="3"/>
        <v>393.57900000000001</v>
      </c>
      <c r="J43" s="457" t="s">
        <v>9706</v>
      </c>
      <c r="K43" s="458">
        <v>0.45</v>
      </c>
      <c r="L43" s="459">
        <f t="shared" si="0"/>
        <v>201.36600000000001</v>
      </c>
      <c r="M43" s="460">
        <v>0.21</v>
      </c>
      <c r="N43" s="461">
        <f t="shared" si="1"/>
        <v>310.92741000000001</v>
      </c>
      <c r="O43" s="462">
        <v>0.14000000000000001</v>
      </c>
      <c r="P43" s="463">
        <f t="shared" si="2"/>
        <v>338.47793999999999</v>
      </c>
      <c r="Q43" s="464"/>
      <c r="R43" s="465">
        <v>10</v>
      </c>
      <c r="S43" s="465">
        <v>10</v>
      </c>
      <c r="T43" s="465">
        <v>10</v>
      </c>
      <c r="U43" s="466"/>
      <c r="W43" s="415"/>
      <c r="X43" s="415"/>
    </row>
    <row r="44" spans="1:24" x14ac:dyDescent="0.2">
      <c r="A44" s="469" t="s">
        <v>9793</v>
      </c>
      <c r="B44" s="468" t="s">
        <v>9794</v>
      </c>
      <c r="C44" s="454" t="s">
        <v>386</v>
      </c>
      <c r="D44" s="455" t="s">
        <v>9783</v>
      </c>
      <c r="E44" s="456" t="s">
        <v>9758</v>
      </c>
      <c r="F44" s="456" t="s">
        <v>9784</v>
      </c>
      <c r="G44" s="456" t="s">
        <v>9711</v>
      </c>
      <c r="H44" s="457">
        <v>366.12</v>
      </c>
      <c r="I44" s="457">
        <f t="shared" si="3"/>
        <v>393.57900000000001</v>
      </c>
      <c r="J44" s="457" t="s">
        <v>9706</v>
      </c>
      <c r="K44" s="458">
        <v>0.45</v>
      </c>
      <c r="L44" s="459">
        <f t="shared" si="0"/>
        <v>201.36600000000001</v>
      </c>
      <c r="M44" s="460">
        <v>0.21</v>
      </c>
      <c r="N44" s="461">
        <f t="shared" si="1"/>
        <v>310.92741000000001</v>
      </c>
      <c r="O44" s="462">
        <v>0.14000000000000001</v>
      </c>
      <c r="P44" s="463">
        <f t="shared" si="2"/>
        <v>338.47793999999999</v>
      </c>
      <c r="Q44" s="464"/>
      <c r="R44" s="465">
        <v>10</v>
      </c>
      <c r="S44" s="465">
        <v>10</v>
      </c>
      <c r="T44" s="465">
        <v>10</v>
      </c>
      <c r="U44" s="466"/>
      <c r="W44" s="415"/>
      <c r="X44" s="415"/>
    </row>
    <row r="45" spans="1:24" x14ac:dyDescent="0.2">
      <c r="A45" s="469" t="s">
        <v>9795</v>
      </c>
      <c r="B45" s="468" t="s">
        <v>9796</v>
      </c>
      <c r="C45" s="454" t="s">
        <v>386</v>
      </c>
      <c r="D45" s="455" t="s">
        <v>9783</v>
      </c>
      <c r="E45" s="456" t="s">
        <v>9710</v>
      </c>
      <c r="F45" s="456" t="s">
        <v>9784</v>
      </c>
      <c r="G45" s="456" t="s">
        <v>9711</v>
      </c>
      <c r="H45" s="457">
        <v>366.12</v>
      </c>
      <c r="I45" s="457">
        <f t="shared" si="3"/>
        <v>393.57900000000001</v>
      </c>
      <c r="J45" s="457" t="s">
        <v>9706</v>
      </c>
      <c r="K45" s="458">
        <v>0.45</v>
      </c>
      <c r="L45" s="459">
        <f t="shared" si="0"/>
        <v>201.36600000000001</v>
      </c>
      <c r="M45" s="460">
        <v>0.21</v>
      </c>
      <c r="N45" s="461">
        <f t="shared" si="1"/>
        <v>310.92741000000001</v>
      </c>
      <c r="O45" s="462">
        <v>0.14000000000000001</v>
      </c>
      <c r="P45" s="463">
        <f t="shared" si="2"/>
        <v>338.47793999999999</v>
      </c>
      <c r="Q45" s="464"/>
      <c r="R45" s="465">
        <v>10</v>
      </c>
      <c r="S45" s="465">
        <v>10</v>
      </c>
      <c r="T45" s="465">
        <v>10</v>
      </c>
      <c r="U45" s="466"/>
      <c r="W45" s="415"/>
      <c r="X45" s="415"/>
    </row>
    <row r="46" spans="1:24" x14ac:dyDescent="0.2">
      <c r="A46" s="469" t="s">
        <v>9797</v>
      </c>
      <c r="B46" s="468" t="s">
        <v>9798</v>
      </c>
      <c r="C46" s="454" t="s">
        <v>386</v>
      </c>
      <c r="D46" s="455" t="s">
        <v>9783</v>
      </c>
      <c r="E46" s="456" t="s">
        <v>9710</v>
      </c>
      <c r="F46" s="456" t="s">
        <v>9784</v>
      </c>
      <c r="G46" s="456" t="s">
        <v>9711</v>
      </c>
      <c r="H46" s="457">
        <v>366.12</v>
      </c>
      <c r="I46" s="457">
        <f t="shared" si="3"/>
        <v>393.57900000000001</v>
      </c>
      <c r="J46" s="457" t="s">
        <v>9706</v>
      </c>
      <c r="K46" s="458">
        <v>0.45</v>
      </c>
      <c r="L46" s="459">
        <f t="shared" si="0"/>
        <v>201.36600000000001</v>
      </c>
      <c r="M46" s="460">
        <v>0.21</v>
      </c>
      <c r="N46" s="461">
        <f t="shared" si="1"/>
        <v>310.92741000000001</v>
      </c>
      <c r="O46" s="462">
        <v>0.14000000000000001</v>
      </c>
      <c r="P46" s="463">
        <f t="shared" si="2"/>
        <v>338.47793999999999</v>
      </c>
      <c r="Q46" s="464"/>
      <c r="R46" s="465">
        <v>10</v>
      </c>
      <c r="S46" s="465">
        <v>10</v>
      </c>
      <c r="T46" s="465">
        <v>10</v>
      </c>
      <c r="U46" s="466"/>
      <c r="W46" s="415"/>
      <c r="X46" s="415"/>
    </row>
    <row r="47" spans="1:24" x14ac:dyDescent="0.2">
      <c r="A47" s="469" t="s">
        <v>9799</v>
      </c>
      <c r="B47" s="468" t="s">
        <v>9800</v>
      </c>
      <c r="C47" s="454" t="s">
        <v>386</v>
      </c>
      <c r="D47" s="455" t="s">
        <v>9783</v>
      </c>
      <c r="E47" s="456" t="s">
        <v>9710</v>
      </c>
      <c r="F47" s="456" t="s">
        <v>9784</v>
      </c>
      <c r="G47" s="456" t="s">
        <v>9711</v>
      </c>
      <c r="H47" s="457">
        <v>366.12</v>
      </c>
      <c r="I47" s="457">
        <f t="shared" si="3"/>
        <v>393.57900000000001</v>
      </c>
      <c r="J47" s="457" t="s">
        <v>9706</v>
      </c>
      <c r="K47" s="458">
        <v>0.45</v>
      </c>
      <c r="L47" s="459">
        <f t="shared" si="0"/>
        <v>201.36600000000001</v>
      </c>
      <c r="M47" s="460">
        <v>0.21</v>
      </c>
      <c r="N47" s="461">
        <f t="shared" si="1"/>
        <v>310.92741000000001</v>
      </c>
      <c r="O47" s="462">
        <v>0.14000000000000001</v>
      </c>
      <c r="P47" s="463">
        <f t="shared" si="2"/>
        <v>338.47793999999999</v>
      </c>
      <c r="Q47" s="464"/>
      <c r="R47" s="465">
        <v>10</v>
      </c>
      <c r="S47" s="465">
        <v>10</v>
      </c>
      <c r="T47" s="465">
        <v>10</v>
      </c>
      <c r="U47" s="466"/>
      <c r="W47" s="415"/>
      <c r="X47" s="415"/>
    </row>
    <row r="48" spans="1:24" x14ac:dyDescent="0.2">
      <c r="A48" s="469" t="s">
        <v>9801</v>
      </c>
      <c r="B48" s="468" t="s">
        <v>9802</v>
      </c>
      <c r="C48" s="454" t="s">
        <v>386</v>
      </c>
      <c r="D48" s="455" t="s">
        <v>9783</v>
      </c>
      <c r="E48" s="456" t="s">
        <v>9710</v>
      </c>
      <c r="F48" s="456" t="s">
        <v>9784</v>
      </c>
      <c r="G48" s="456" t="s">
        <v>9711</v>
      </c>
      <c r="H48" s="457">
        <v>366.12</v>
      </c>
      <c r="I48" s="457">
        <f t="shared" si="3"/>
        <v>393.57900000000001</v>
      </c>
      <c r="J48" s="457" t="s">
        <v>9706</v>
      </c>
      <c r="K48" s="458">
        <v>0.45</v>
      </c>
      <c r="L48" s="459">
        <f t="shared" si="0"/>
        <v>201.36600000000001</v>
      </c>
      <c r="M48" s="460">
        <v>0.21</v>
      </c>
      <c r="N48" s="461">
        <f t="shared" si="1"/>
        <v>310.92741000000001</v>
      </c>
      <c r="O48" s="462">
        <v>0.14000000000000001</v>
      </c>
      <c r="P48" s="463">
        <f t="shared" si="2"/>
        <v>338.47793999999999</v>
      </c>
      <c r="Q48" s="464"/>
      <c r="R48" s="465">
        <v>10</v>
      </c>
      <c r="S48" s="465">
        <v>10</v>
      </c>
      <c r="T48" s="465">
        <v>10</v>
      </c>
      <c r="U48" s="466"/>
      <c r="W48" s="415"/>
      <c r="X48" s="415"/>
    </row>
    <row r="49" spans="1:24" x14ac:dyDescent="0.2">
      <c r="A49" s="469" t="s">
        <v>9803</v>
      </c>
      <c r="B49" s="468" t="s">
        <v>9804</v>
      </c>
      <c r="C49" s="454" t="s">
        <v>386</v>
      </c>
      <c r="D49" s="455" t="s">
        <v>9783</v>
      </c>
      <c r="E49" s="456" t="s">
        <v>9710</v>
      </c>
      <c r="F49" s="456" t="s">
        <v>9784</v>
      </c>
      <c r="G49" s="456" t="s">
        <v>9711</v>
      </c>
      <c r="H49" s="457">
        <v>366.12</v>
      </c>
      <c r="I49" s="457">
        <f t="shared" si="3"/>
        <v>393.57900000000001</v>
      </c>
      <c r="J49" s="457" t="s">
        <v>9706</v>
      </c>
      <c r="K49" s="458">
        <v>0.45</v>
      </c>
      <c r="L49" s="459">
        <f t="shared" si="0"/>
        <v>201.36600000000001</v>
      </c>
      <c r="M49" s="460">
        <v>0.21</v>
      </c>
      <c r="N49" s="461">
        <f t="shared" si="1"/>
        <v>310.92741000000001</v>
      </c>
      <c r="O49" s="462">
        <v>0.14000000000000001</v>
      </c>
      <c r="P49" s="463">
        <f t="shared" si="2"/>
        <v>338.47793999999999</v>
      </c>
      <c r="Q49" s="464"/>
      <c r="R49" s="465">
        <v>10</v>
      </c>
      <c r="S49" s="465">
        <v>10</v>
      </c>
      <c r="T49" s="465">
        <v>10</v>
      </c>
      <c r="U49" s="466"/>
      <c r="W49" s="415"/>
      <c r="X49" s="415"/>
    </row>
    <row r="50" spans="1:24" x14ac:dyDescent="0.2">
      <c r="A50" s="469" t="s">
        <v>9805</v>
      </c>
      <c r="B50" s="468" t="s">
        <v>9806</v>
      </c>
      <c r="C50" s="454" t="s">
        <v>386</v>
      </c>
      <c r="D50" s="455" t="s">
        <v>9783</v>
      </c>
      <c r="E50" s="456" t="s">
        <v>9710</v>
      </c>
      <c r="F50" s="456" t="s">
        <v>9784</v>
      </c>
      <c r="G50" s="456" t="s">
        <v>9711</v>
      </c>
      <c r="H50" s="457">
        <v>366.12</v>
      </c>
      <c r="I50" s="457">
        <f t="shared" si="3"/>
        <v>393.57900000000001</v>
      </c>
      <c r="J50" s="457" t="s">
        <v>9706</v>
      </c>
      <c r="K50" s="458">
        <v>0.45</v>
      </c>
      <c r="L50" s="459">
        <f t="shared" si="0"/>
        <v>201.36600000000001</v>
      </c>
      <c r="M50" s="460">
        <v>0.21</v>
      </c>
      <c r="N50" s="461">
        <f t="shared" si="1"/>
        <v>310.92741000000001</v>
      </c>
      <c r="O50" s="462">
        <v>0.14000000000000001</v>
      </c>
      <c r="P50" s="463">
        <f t="shared" si="2"/>
        <v>338.47793999999999</v>
      </c>
      <c r="Q50" s="464"/>
      <c r="R50" s="465">
        <v>10</v>
      </c>
      <c r="S50" s="465">
        <v>10</v>
      </c>
      <c r="T50" s="465">
        <v>10</v>
      </c>
      <c r="U50" s="466"/>
      <c r="W50" s="415"/>
      <c r="X50" s="415"/>
    </row>
    <row r="51" spans="1:24" x14ac:dyDescent="0.2">
      <c r="A51" s="469" t="s">
        <v>9807</v>
      </c>
      <c r="B51" s="468" t="s">
        <v>9808</v>
      </c>
      <c r="C51" s="454" t="s">
        <v>386</v>
      </c>
      <c r="D51" s="455" t="s">
        <v>9783</v>
      </c>
      <c r="E51" s="456" t="s">
        <v>9710</v>
      </c>
      <c r="F51" s="456" t="s">
        <v>9784</v>
      </c>
      <c r="G51" s="456" t="s">
        <v>9711</v>
      </c>
      <c r="H51" s="457">
        <v>366.12</v>
      </c>
      <c r="I51" s="457">
        <f t="shared" si="3"/>
        <v>393.57900000000001</v>
      </c>
      <c r="J51" s="457" t="s">
        <v>9706</v>
      </c>
      <c r="K51" s="458">
        <v>0.45</v>
      </c>
      <c r="L51" s="459">
        <f t="shared" si="0"/>
        <v>201.36600000000001</v>
      </c>
      <c r="M51" s="460">
        <v>0.21</v>
      </c>
      <c r="N51" s="461">
        <f t="shared" si="1"/>
        <v>310.92741000000001</v>
      </c>
      <c r="O51" s="462">
        <v>0.14000000000000001</v>
      </c>
      <c r="P51" s="463">
        <f t="shared" si="2"/>
        <v>338.47793999999999</v>
      </c>
      <c r="Q51" s="464"/>
      <c r="R51" s="465">
        <v>10</v>
      </c>
      <c r="S51" s="465">
        <v>10</v>
      </c>
      <c r="T51" s="465">
        <v>10</v>
      </c>
      <c r="U51" s="466"/>
      <c r="W51" s="415"/>
      <c r="X51" s="415"/>
    </row>
    <row r="52" spans="1:24" x14ac:dyDescent="0.2">
      <c r="A52" s="469" t="s">
        <v>9809</v>
      </c>
      <c r="B52" s="468" t="s">
        <v>9810</v>
      </c>
      <c r="C52" s="454" t="s">
        <v>386</v>
      </c>
      <c r="D52" s="455" t="s">
        <v>9783</v>
      </c>
      <c r="E52" s="456" t="s">
        <v>9710</v>
      </c>
      <c r="F52" s="456" t="s">
        <v>9784</v>
      </c>
      <c r="G52" s="456" t="s">
        <v>9711</v>
      </c>
      <c r="H52" s="457">
        <v>366.12</v>
      </c>
      <c r="I52" s="457">
        <f t="shared" si="3"/>
        <v>393.57900000000001</v>
      </c>
      <c r="J52" s="457" t="s">
        <v>9706</v>
      </c>
      <c r="K52" s="458">
        <v>0.45</v>
      </c>
      <c r="L52" s="459">
        <f t="shared" si="0"/>
        <v>201.36600000000001</v>
      </c>
      <c r="M52" s="460">
        <v>0.21</v>
      </c>
      <c r="N52" s="461">
        <f t="shared" si="1"/>
        <v>310.92741000000001</v>
      </c>
      <c r="O52" s="462">
        <v>0.14000000000000001</v>
      </c>
      <c r="P52" s="463">
        <f t="shared" si="2"/>
        <v>338.47793999999999</v>
      </c>
      <c r="Q52" s="464"/>
      <c r="R52" s="465">
        <v>10</v>
      </c>
      <c r="S52" s="465">
        <v>10</v>
      </c>
      <c r="T52" s="465">
        <v>10</v>
      </c>
      <c r="U52" s="466"/>
      <c r="W52" s="415"/>
      <c r="X52" s="415"/>
    </row>
    <row r="53" spans="1:24" x14ac:dyDescent="0.2">
      <c r="A53" s="469" t="s">
        <v>9811</v>
      </c>
      <c r="B53" s="468" t="s">
        <v>9812</v>
      </c>
      <c r="C53" s="454" t="s">
        <v>386</v>
      </c>
      <c r="D53" s="455" t="s">
        <v>9783</v>
      </c>
      <c r="E53" s="456" t="s">
        <v>9716</v>
      </c>
      <c r="F53" s="456" t="s">
        <v>9784</v>
      </c>
      <c r="G53" s="456" t="s">
        <v>9711</v>
      </c>
      <c r="H53" s="457">
        <v>366.12</v>
      </c>
      <c r="I53" s="457">
        <f t="shared" si="3"/>
        <v>393.57900000000001</v>
      </c>
      <c r="J53" s="457" t="s">
        <v>9706</v>
      </c>
      <c r="K53" s="458">
        <v>0.45</v>
      </c>
      <c r="L53" s="459">
        <f t="shared" si="0"/>
        <v>201.36600000000001</v>
      </c>
      <c r="M53" s="460">
        <v>0.21</v>
      </c>
      <c r="N53" s="461">
        <f t="shared" si="1"/>
        <v>310.92741000000001</v>
      </c>
      <c r="O53" s="462">
        <v>0.14000000000000001</v>
      </c>
      <c r="P53" s="463">
        <f t="shared" si="2"/>
        <v>338.47793999999999</v>
      </c>
      <c r="Q53" s="464"/>
      <c r="R53" s="465">
        <v>10</v>
      </c>
      <c r="S53" s="465">
        <v>10</v>
      </c>
      <c r="T53" s="465">
        <v>10</v>
      </c>
      <c r="U53" s="466"/>
      <c r="W53" s="415"/>
      <c r="X53" s="415"/>
    </row>
    <row r="54" spans="1:24" x14ac:dyDescent="0.2">
      <c r="A54" s="469" t="s">
        <v>9813</v>
      </c>
      <c r="B54" s="468" t="s">
        <v>9814</v>
      </c>
      <c r="C54" s="454" t="s">
        <v>386</v>
      </c>
      <c r="D54" s="455" t="s">
        <v>9783</v>
      </c>
      <c r="E54" s="456" t="s">
        <v>9716</v>
      </c>
      <c r="F54" s="456" t="s">
        <v>9784</v>
      </c>
      <c r="G54" s="456" t="s">
        <v>9711</v>
      </c>
      <c r="H54" s="457">
        <v>366.12</v>
      </c>
      <c r="I54" s="457">
        <f t="shared" si="3"/>
        <v>393.57900000000001</v>
      </c>
      <c r="J54" s="457" t="s">
        <v>9706</v>
      </c>
      <c r="K54" s="458">
        <v>0.45</v>
      </c>
      <c r="L54" s="459">
        <f t="shared" si="0"/>
        <v>201.36600000000001</v>
      </c>
      <c r="M54" s="460">
        <v>0.21</v>
      </c>
      <c r="N54" s="461">
        <f t="shared" si="1"/>
        <v>310.92741000000001</v>
      </c>
      <c r="O54" s="462">
        <v>0.14000000000000001</v>
      </c>
      <c r="P54" s="463">
        <f t="shared" si="2"/>
        <v>338.47793999999999</v>
      </c>
      <c r="Q54" s="464"/>
      <c r="R54" s="465">
        <v>10</v>
      </c>
      <c r="S54" s="465">
        <v>10</v>
      </c>
      <c r="T54" s="465">
        <v>10</v>
      </c>
      <c r="U54" s="466"/>
      <c r="W54" s="415"/>
      <c r="X54" s="415"/>
    </row>
    <row r="55" spans="1:24" x14ac:dyDescent="0.2">
      <c r="A55" s="453" t="s">
        <v>9815</v>
      </c>
      <c r="B55" s="453" t="s">
        <v>9816</v>
      </c>
      <c r="C55" s="454" t="s">
        <v>386</v>
      </c>
      <c r="D55" s="455" t="s">
        <v>9709</v>
      </c>
      <c r="E55" s="456" t="s">
        <v>9710</v>
      </c>
      <c r="F55" s="456" t="s">
        <v>6232</v>
      </c>
      <c r="G55" s="456" t="s">
        <v>9711</v>
      </c>
      <c r="H55" s="457">
        <v>679.32</v>
      </c>
      <c r="I55" s="457">
        <f t="shared" si="3"/>
        <v>730.26900000000001</v>
      </c>
      <c r="J55" s="457" t="s">
        <v>9706</v>
      </c>
      <c r="K55" s="458">
        <v>0.45</v>
      </c>
      <c r="L55" s="459">
        <f t="shared" si="0"/>
        <v>373.62600000000003</v>
      </c>
      <c r="M55" s="460">
        <v>0.21</v>
      </c>
      <c r="N55" s="461">
        <f t="shared" si="1"/>
        <v>576.91251</v>
      </c>
      <c r="O55" s="462">
        <v>0.14000000000000001</v>
      </c>
      <c r="P55" s="463">
        <f t="shared" si="2"/>
        <v>628.03134</v>
      </c>
      <c r="Q55" s="464"/>
      <c r="R55" s="465">
        <v>10</v>
      </c>
      <c r="S55" s="465">
        <v>10</v>
      </c>
      <c r="T55" s="465">
        <v>10</v>
      </c>
      <c r="U55" s="466"/>
      <c r="W55" s="415"/>
      <c r="X55" s="415"/>
    </row>
    <row r="56" spans="1:24" x14ac:dyDescent="0.2">
      <c r="A56" s="453" t="s">
        <v>9817</v>
      </c>
      <c r="B56" s="453" t="s">
        <v>9818</v>
      </c>
      <c r="C56" s="454" t="s">
        <v>386</v>
      </c>
      <c r="D56" s="455" t="s">
        <v>9709</v>
      </c>
      <c r="E56" s="456" t="s">
        <v>9758</v>
      </c>
      <c r="F56" s="456" t="s">
        <v>6232</v>
      </c>
      <c r="G56" s="456" t="s">
        <v>9711</v>
      </c>
      <c r="H56" s="457">
        <v>679.32</v>
      </c>
      <c r="I56" s="457">
        <f t="shared" si="3"/>
        <v>730.26900000000001</v>
      </c>
      <c r="J56" s="457" t="s">
        <v>9706</v>
      </c>
      <c r="K56" s="458">
        <v>0.45</v>
      </c>
      <c r="L56" s="459">
        <f t="shared" si="0"/>
        <v>373.62600000000003</v>
      </c>
      <c r="M56" s="460">
        <v>0.21</v>
      </c>
      <c r="N56" s="461">
        <f t="shared" si="1"/>
        <v>576.91251</v>
      </c>
      <c r="O56" s="462">
        <v>0.14000000000000001</v>
      </c>
      <c r="P56" s="463">
        <f t="shared" si="2"/>
        <v>628.03134</v>
      </c>
      <c r="Q56" s="464"/>
      <c r="R56" s="465">
        <v>10</v>
      </c>
      <c r="S56" s="465">
        <v>10</v>
      </c>
      <c r="T56" s="465">
        <v>10</v>
      </c>
      <c r="U56" s="466"/>
      <c r="W56" s="415"/>
      <c r="X56" s="415"/>
    </row>
    <row r="57" spans="1:24" x14ac:dyDescent="0.2">
      <c r="A57" s="453" t="s">
        <v>9819</v>
      </c>
      <c r="B57" s="453" t="s">
        <v>9820</v>
      </c>
      <c r="C57" s="454" t="s">
        <v>386</v>
      </c>
      <c r="D57" s="455" t="s">
        <v>9709</v>
      </c>
      <c r="E57" s="456" t="s">
        <v>9710</v>
      </c>
      <c r="F57" s="456" t="s">
        <v>6232</v>
      </c>
      <c r="G57" s="456" t="s">
        <v>9711</v>
      </c>
      <c r="H57" s="457">
        <v>679.32</v>
      </c>
      <c r="I57" s="457">
        <f t="shared" si="3"/>
        <v>730.26900000000001</v>
      </c>
      <c r="J57" s="457" t="s">
        <v>9706</v>
      </c>
      <c r="K57" s="458">
        <v>0.45</v>
      </c>
      <c r="L57" s="459">
        <f t="shared" si="0"/>
        <v>373.62600000000003</v>
      </c>
      <c r="M57" s="460">
        <v>0.21</v>
      </c>
      <c r="N57" s="461">
        <f t="shared" si="1"/>
        <v>576.91251</v>
      </c>
      <c r="O57" s="462">
        <v>0.14000000000000001</v>
      </c>
      <c r="P57" s="463">
        <f t="shared" si="2"/>
        <v>628.03134</v>
      </c>
      <c r="Q57" s="464"/>
      <c r="R57" s="465">
        <v>10</v>
      </c>
      <c r="S57" s="465">
        <v>10</v>
      </c>
      <c r="T57" s="465">
        <v>10</v>
      </c>
      <c r="U57" s="466"/>
      <c r="W57" s="415"/>
      <c r="X57" s="415"/>
    </row>
    <row r="58" spans="1:24" x14ac:dyDescent="0.2">
      <c r="A58" s="453" t="s">
        <v>9821</v>
      </c>
      <c r="B58" s="453" t="s">
        <v>9822</v>
      </c>
      <c r="C58" s="454" t="s">
        <v>386</v>
      </c>
      <c r="D58" s="455" t="s">
        <v>9709</v>
      </c>
      <c r="E58" s="456" t="s">
        <v>9716</v>
      </c>
      <c r="F58" s="456" t="s">
        <v>6232</v>
      </c>
      <c r="G58" s="456" t="s">
        <v>9711</v>
      </c>
      <c r="H58" s="457">
        <v>679.32</v>
      </c>
      <c r="I58" s="457">
        <f t="shared" si="3"/>
        <v>730.26900000000001</v>
      </c>
      <c r="J58" s="457" t="s">
        <v>9706</v>
      </c>
      <c r="K58" s="458">
        <v>0.45</v>
      </c>
      <c r="L58" s="459">
        <f t="shared" si="0"/>
        <v>373.62600000000003</v>
      </c>
      <c r="M58" s="460">
        <v>0.21</v>
      </c>
      <c r="N58" s="461">
        <f t="shared" si="1"/>
        <v>576.91251</v>
      </c>
      <c r="O58" s="462">
        <v>0.14000000000000001</v>
      </c>
      <c r="P58" s="463">
        <f t="shared" si="2"/>
        <v>628.03134</v>
      </c>
      <c r="Q58" s="464"/>
      <c r="R58" s="465">
        <v>10</v>
      </c>
      <c r="S58" s="465">
        <v>10</v>
      </c>
      <c r="T58" s="465">
        <v>10</v>
      </c>
      <c r="U58" s="466"/>
      <c r="W58" s="415"/>
      <c r="X58" s="415"/>
    </row>
    <row r="59" spans="1:24" x14ac:dyDescent="0.2">
      <c r="A59" s="453" t="s">
        <v>9823</v>
      </c>
      <c r="B59" s="453" t="s">
        <v>9824</v>
      </c>
      <c r="C59" s="454" t="s">
        <v>386</v>
      </c>
      <c r="D59" s="455" t="s">
        <v>9709</v>
      </c>
      <c r="E59" s="456" t="s">
        <v>9710</v>
      </c>
      <c r="F59" s="456" t="s">
        <v>6232</v>
      </c>
      <c r="G59" s="456" t="s">
        <v>9711</v>
      </c>
      <c r="H59" s="457">
        <v>679.32</v>
      </c>
      <c r="I59" s="457">
        <f t="shared" si="3"/>
        <v>730.26900000000001</v>
      </c>
      <c r="J59" s="457" t="s">
        <v>9706</v>
      </c>
      <c r="K59" s="458">
        <v>0.45</v>
      </c>
      <c r="L59" s="459">
        <f t="shared" si="0"/>
        <v>373.62600000000003</v>
      </c>
      <c r="M59" s="460">
        <v>0.21</v>
      </c>
      <c r="N59" s="461">
        <f t="shared" si="1"/>
        <v>576.91251</v>
      </c>
      <c r="O59" s="462">
        <v>0.14000000000000001</v>
      </c>
      <c r="P59" s="463">
        <f t="shared" si="2"/>
        <v>628.03134</v>
      </c>
      <c r="Q59" s="464"/>
      <c r="R59" s="465">
        <v>10</v>
      </c>
      <c r="S59" s="465">
        <v>10</v>
      </c>
      <c r="T59" s="465">
        <v>10</v>
      </c>
      <c r="U59" s="466"/>
      <c r="W59" s="415"/>
      <c r="X59" s="415"/>
    </row>
    <row r="60" spans="1:24" x14ac:dyDescent="0.2">
      <c r="A60" s="453" t="s">
        <v>9825</v>
      </c>
      <c r="B60" s="453" t="s">
        <v>9826</v>
      </c>
      <c r="C60" s="454" t="s">
        <v>386</v>
      </c>
      <c r="D60" s="455" t="s">
        <v>9709</v>
      </c>
      <c r="E60" s="456" t="s">
        <v>9710</v>
      </c>
      <c r="F60" s="456" t="s">
        <v>6232</v>
      </c>
      <c r="G60" s="456" t="s">
        <v>9711</v>
      </c>
      <c r="H60" s="457">
        <v>679.32</v>
      </c>
      <c r="I60" s="457">
        <f t="shared" si="3"/>
        <v>730.26900000000001</v>
      </c>
      <c r="J60" s="457" t="s">
        <v>9706</v>
      </c>
      <c r="K60" s="458">
        <v>0.45</v>
      </c>
      <c r="L60" s="459">
        <f t="shared" si="0"/>
        <v>373.62600000000003</v>
      </c>
      <c r="M60" s="460">
        <v>0.21</v>
      </c>
      <c r="N60" s="461">
        <f t="shared" si="1"/>
        <v>576.91251</v>
      </c>
      <c r="O60" s="462">
        <v>0.14000000000000001</v>
      </c>
      <c r="P60" s="463">
        <f t="shared" si="2"/>
        <v>628.03134</v>
      </c>
      <c r="Q60" s="464"/>
      <c r="R60" s="465">
        <v>10</v>
      </c>
      <c r="S60" s="465">
        <v>10</v>
      </c>
      <c r="T60" s="465">
        <v>10</v>
      </c>
      <c r="U60" s="466"/>
      <c r="W60" s="415"/>
      <c r="X60" s="415"/>
    </row>
    <row r="61" spans="1:24" x14ac:dyDescent="0.2">
      <c r="A61" s="453" t="s">
        <v>9827</v>
      </c>
      <c r="B61" s="453" t="s">
        <v>9828</v>
      </c>
      <c r="C61" s="454" t="s">
        <v>386</v>
      </c>
      <c r="D61" s="455" t="s">
        <v>9709</v>
      </c>
      <c r="E61" s="456" t="s">
        <v>9758</v>
      </c>
      <c r="F61" s="456" t="s">
        <v>6232</v>
      </c>
      <c r="G61" s="456" t="s">
        <v>9711</v>
      </c>
      <c r="H61" s="457">
        <v>679.32</v>
      </c>
      <c r="I61" s="457">
        <f t="shared" si="3"/>
        <v>730.26900000000001</v>
      </c>
      <c r="J61" s="457" t="s">
        <v>9706</v>
      </c>
      <c r="K61" s="458">
        <v>0.45</v>
      </c>
      <c r="L61" s="459">
        <f t="shared" si="0"/>
        <v>373.62600000000003</v>
      </c>
      <c r="M61" s="460">
        <v>0.21</v>
      </c>
      <c r="N61" s="461">
        <f t="shared" si="1"/>
        <v>576.91251</v>
      </c>
      <c r="O61" s="462">
        <v>0.14000000000000001</v>
      </c>
      <c r="P61" s="463">
        <f t="shared" si="2"/>
        <v>628.03134</v>
      </c>
      <c r="Q61" s="464"/>
      <c r="R61" s="465">
        <v>10</v>
      </c>
      <c r="S61" s="465">
        <v>10</v>
      </c>
      <c r="T61" s="465">
        <v>10</v>
      </c>
      <c r="U61" s="466"/>
      <c r="W61" s="415"/>
      <c r="X61" s="415"/>
    </row>
    <row r="62" spans="1:24" x14ac:dyDescent="0.2">
      <c r="A62" s="453" t="s">
        <v>9829</v>
      </c>
      <c r="B62" s="453" t="s">
        <v>9830</v>
      </c>
      <c r="C62" s="454" t="s">
        <v>386</v>
      </c>
      <c r="D62" s="455" t="s">
        <v>9709</v>
      </c>
      <c r="E62" s="456" t="s">
        <v>9710</v>
      </c>
      <c r="F62" s="456" t="s">
        <v>6232</v>
      </c>
      <c r="G62" s="456" t="s">
        <v>9711</v>
      </c>
      <c r="H62" s="457">
        <v>679.32</v>
      </c>
      <c r="I62" s="457">
        <f t="shared" si="3"/>
        <v>730.26900000000001</v>
      </c>
      <c r="J62" s="457" t="s">
        <v>9706</v>
      </c>
      <c r="K62" s="458">
        <v>0.45</v>
      </c>
      <c r="L62" s="459">
        <f t="shared" si="0"/>
        <v>373.62600000000003</v>
      </c>
      <c r="M62" s="460">
        <v>0.21</v>
      </c>
      <c r="N62" s="461">
        <f t="shared" si="1"/>
        <v>576.91251</v>
      </c>
      <c r="O62" s="462">
        <v>0.14000000000000001</v>
      </c>
      <c r="P62" s="463">
        <f t="shared" si="2"/>
        <v>628.03134</v>
      </c>
      <c r="Q62" s="464"/>
      <c r="R62" s="465">
        <v>10</v>
      </c>
      <c r="S62" s="465">
        <v>10</v>
      </c>
      <c r="T62" s="465">
        <v>10</v>
      </c>
      <c r="U62" s="466"/>
      <c r="W62" s="415"/>
      <c r="X62" s="415"/>
    </row>
    <row r="63" spans="1:24" x14ac:dyDescent="0.2">
      <c r="A63" s="453" t="s">
        <v>9831</v>
      </c>
      <c r="B63" s="453" t="s">
        <v>9832</v>
      </c>
      <c r="C63" s="454" t="s">
        <v>386</v>
      </c>
      <c r="D63" s="455" t="s">
        <v>9709</v>
      </c>
      <c r="E63" s="456" t="s">
        <v>9710</v>
      </c>
      <c r="F63" s="456" t="s">
        <v>6232</v>
      </c>
      <c r="G63" s="456" t="s">
        <v>9711</v>
      </c>
      <c r="H63" s="457">
        <v>679.32</v>
      </c>
      <c r="I63" s="457">
        <f t="shared" si="3"/>
        <v>730.26900000000001</v>
      </c>
      <c r="J63" s="457" t="s">
        <v>9706</v>
      </c>
      <c r="K63" s="458">
        <v>0.45</v>
      </c>
      <c r="L63" s="459">
        <f t="shared" si="0"/>
        <v>373.62600000000003</v>
      </c>
      <c r="M63" s="460">
        <v>0.21</v>
      </c>
      <c r="N63" s="461">
        <f t="shared" si="1"/>
        <v>576.91251</v>
      </c>
      <c r="O63" s="462">
        <v>0.14000000000000001</v>
      </c>
      <c r="P63" s="463">
        <f t="shared" si="2"/>
        <v>628.03134</v>
      </c>
      <c r="Q63" s="464"/>
      <c r="R63" s="465">
        <v>10</v>
      </c>
      <c r="S63" s="465">
        <v>10</v>
      </c>
      <c r="T63" s="465">
        <v>10</v>
      </c>
      <c r="U63" s="466"/>
      <c r="W63" s="415"/>
      <c r="X63" s="415"/>
    </row>
    <row r="64" spans="1:24" x14ac:dyDescent="0.2">
      <c r="A64" s="453" t="s">
        <v>9833</v>
      </c>
      <c r="B64" s="453" t="s">
        <v>9834</v>
      </c>
      <c r="C64" s="454" t="s">
        <v>386</v>
      </c>
      <c r="D64" s="455" t="s">
        <v>9709</v>
      </c>
      <c r="E64" s="456" t="s">
        <v>9710</v>
      </c>
      <c r="F64" s="456" t="s">
        <v>6232</v>
      </c>
      <c r="G64" s="456" t="s">
        <v>9711</v>
      </c>
      <c r="H64" s="457">
        <v>679.32</v>
      </c>
      <c r="I64" s="457">
        <f t="shared" si="3"/>
        <v>730.26900000000001</v>
      </c>
      <c r="J64" s="457" t="s">
        <v>9706</v>
      </c>
      <c r="K64" s="458">
        <v>0.45</v>
      </c>
      <c r="L64" s="459">
        <f t="shared" si="0"/>
        <v>373.62600000000003</v>
      </c>
      <c r="M64" s="460">
        <v>0.21</v>
      </c>
      <c r="N64" s="461">
        <f t="shared" si="1"/>
        <v>576.91251</v>
      </c>
      <c r="O64" s="462">
        <v>0.14000000000000001</v>
      </c>
      <c r="P64" s="463">
        <f t="shared" si="2"/>
        <v>628.03134</v>
      </c>
      <c r="Q64" s="464"/>
      <c r="R64" s="465">
        <v>10</v>
      </c>
      <c r="S64" s="465">
        <v>10</v>
      </c>
      <c r="T64" s="465">
        <v>10</v>
      </c>
      <c r="U64" s="466"/>
      <c r="W64" s="415"/>
      <c r="X64" s="415"/>
    </row>
    <row r="65" spans="1:251" x14ac:dyDescent="0.2">
      <c r="A65" s="453" t="s">
        <v>9835</v>
      </c>
      <c r="B65" s="453" t="s">
        <v>9836</v>
      </c>
      <c r="C65" s="454" t="s">
        <v>386</v>
      </c>
      <c r="D65" s="455" t="s">
        <v>9709</v>
      </c>
      <c r="E65" s="456" t="s">
        <v>9734</v>
      </c>
      <c r="F65" s="456" t="s">
        <v>6232</v>
      </c>
      <c r="G65" s="456" t="s">
        <v>9711</v>
      </c>
      <c r="H65" s="457">
        <v>679.32</v>
      </c>
      <c r="I65" s="457">
        <f t="shared" si="3"/>
        <v>730.26900000000001</v>
      </c>
      <c r="J65" s="457" t="s">
        <v>9706</v>
      </c>
      <c r="K65" s="458">
        <v>0.45</v>
      </c>
      <c r="L65" s="459">
        <f t="shared" si="0"/>
        <v>373.62600000000003</v>
      </c>
      <c r="M65" s="460">
        <v>0.21</v>
      </c>
      <c r="N65" s="461">
        <f t="shared" si="1"/>
        <v>576.91251</v>
      </c>
      <c r="O65" s="462">
        <v>0.14000000000000001</v>
      </c>
      <c r="P65" s="463">
        <f t="shared" si="2"/>
        <v>628.03134</v>
      </c>
      <c r="Q65" s="464"/>
      <c r="R65" s="465">
        <v>10</v>
      </c>
      <c r="S65" s="465">
        <v>10</v>
      </c>
      <c r="T65" s="465">
        <v>10</v>
      </c>
      <c r="U65" s="466"/>
      <c r="W65" s="415"/>
      <c r="X65" s="415"/>
    </row>
    <row r="66" spans="1:251" x14ac:dyDescent="0.2">
      <c r="A66" s="453" t="s">
        <v>9837</v>
      </c>
      <c r="B66" s="453" t="s">
        <v>9838</v>
      </c>
      <c r="C66" s="454" t="s">
        <v>386</v>
      </c>
      <c r="D66" s="455" t="s">
        <v>9709</v>
      </c>
      <c r="E66" s="456" t="s">
        <v>9734</v>
      </c>
      <c r="F66" s="456" t="s">
        <v>6232</v>
      </c>
      <c r="G66" s="456" t="s">
        <v>9711</v>
      </c>
      <c r="H66" s="457">
        <v>679.32</v>
      </c>
      <c r="I66" s="457">
        <f t="shared" si="3"/>
        <v>730.26900000000001</v>
      </c>
      <c r="J66" s="457" t="s">
        <v>9706</v>
      </c>
      <c r="K66" s="458">
        <v>0.45</v>
      </c>
      <c r="L66" s="459">
        <f t="shared" si="0"/>
        <v>373.62600000000003</v>
      </c>
      <c r="M66" s="460">
        <v>0.21</v>
      </c>
      <c r="N66" s="461">
        <f t="shared" si="1"/>
        <v>576.91251</v>
      </c>
      <c r="O66" s="462">
        <v>0.14000000000000001</v>
      </c>
      <c r="P66" s="463">
        <f t="shared" si="2"/>
        <v>628.03134</v>
      </c>
      <c r="Q66" s="464"/>
      <c r="R66" s="465">
        <v>10</v>
      </c>
      <c r="S66" s="465">
        <v>10</v>
      </c>
      <c r="T66" s="465">
        <v>10</v>
      </c>
      <c r="U66" s="466"/>
      <c r="W66" s="415"/>
      <c r="X66" s="415"/>
    </row>
    <row r="67" spans="1:251" x14ac:dyDescent="0.2">
      <c r="A67" s="453" t="s">
        <v>9839</v>
      </c>
      <c r="B67" s="453" t="s">
        <v>9840</v>
      </c>
      <c r="C67" s="454" t="s">
        <v>386</v>
      </c>
      <c r="D67" s="455" t="s">
        <v>9709</v>
      </c>
      <c r="E67" s="456" t="s">
        <v>9739</v>
      </c>
      <c r="F67" s="456" t="s">
        <v>6232</v>
      </c>
      <c r="G67" s="456" t="s">
        <v>9711</v>
      </c>
      <c r="H67" s="457">
        <v>679.32</v>
      </c>
      <c r="I67" s="457">
        <f t="shared" si="3"/>
        <v>730.26900000000001</v>
      </c>
      <c r="J67" s="457" t="s">
        <v>9706</v>
      </c>
      <c r="K67" s="458">
        <v>0.45</v>
      </c>
      <c r="L67" s="459">
        <f t="shared" si="0"/>
        <v>373.62600000000003</v>
      </c>
      <c r="M67" s="460">
        <v>0.21</v>
      </c>
      <c r="N67" s="461">
        <f t="shared" si="1"/>
        <v>576.91251</v>
      </c>
      <c r="O67" s="462">
        <v>0.14000000000000001</v>
      </c>
      <c r="P67" s="463">
        <f t="shared" si="2"/>
        <v>628.03134</v>
      </c>
      <c r="Q67" s="464"/>
      <c r="R67" s="465">
        <v>10</v>
      </c>
      <c r="S67" s="465">
        <v>10</v>
      </c>
      <c r="T67" s="465">
        <v>10</v>
      </c>
      <c r="U67" s="466"/>
      <c r="W67" s="415"/>
      <c r="X67" s="415"/>
    </row>
    <row r="68" spans="1:251" x14ac:dyDescent="0.2">
      <c r="A68" s="453" t="s">
        <v>9841</v>
      </c>
      <c r="B68" s="453" t="s">
        <v>9842</v>
      </c>
      <c r="C68" s="454" t="s">
        <v>386</v>
      </c>
      <c r="D68" s="455" t="s">
        <v>9709</v>
      </c>
      <c r="E68" s="456" t="s">
        <v>9710</v>
      </c>
      <c r="F68" s="456" t="s">
        <v>6232</v>
      </c>
      <c r="G68" s="456" t="s">
        <v>9843</v>
      </c>
      <c r="H68" s="457">
        <v>366.12</v>
      </c>
      <c r="I68" s="457">
        <f t="shared" si="3"/>
        <v>393.57900000000001</v>
      </c>
      <c r="J68" s="457" t="s">
        <v>9706</v>
      </c>
      <c r="K68" s="458">
        <v>0.33</v>
      </c>
      <c r="L68" s="459">
        <f t="shared" si="0"/>
        <v>245.30039999999997</v>
      </c>
      <c r="M68" s="460">
        <v>0.23</v>
      </c>
      <c r="N68" s="461">
        <f t="shared" si="1"/>
        <v>303.05583000000001</v>
      </c>
      <c r="O68" s="462">
        <v>0.16</v>
      </c>
      <c r="P68" s="463">
        <f t="shared" si="2"/>
        <v>330.60636</v>
      </c>
      <c r="Q68" s="464"/>
      <c r="R68" s="465">
        <v>20</v>
      </c>
      <c r="S68" s="465">
        <v>20</v>
      </c>
      <c r="T68" s="465">
        <v>20</v>
      </c>
      <c r="U68" s="466"/>
      <c r="W68" s="415"/>
      <c r="X68" s="415"/>
    </row>
    <row r="69" spans="1:251" x14ac:dyDescent="0.2">
      <c r="A69" s="453" t="s">
        <v>9844</v>
      </c>
      <c r="B69" s="453" t="s">
        <v>9845</v>
      </c>
      <c r="C69" s="454" t="s">
        <v>386</v>
      </c>
      <c r="D69" s="455" t="s">
        <v>9709</v>
      </c>
      <c r="E69" s="456" t="s">
        <v>9758</v>
      </c>
      <c r="F69" s="456" t="s">
        <v>6232</v>
      </c>
      <c r="G69" s="456" t="s">
        <v>9843</v>
      </c>
      <c r="H69" s="457">
        <v>366.12</v>
      </c>
      <c r="I69" s="457">
        <f t="shared" si="3"/>
        <v>393.57900000000001</v>
      </c>
      <c r="J69" s="457" t="s">
        <v>9706</v>
      </c>
      <c r="K69" s="458">
        <v>0.33</v>
      </c>
      <c r="L69" s="459">
        <f t="shared" ref="L69:L132" si="4">H69*(1-K69)</f>
        <v>245.30039999999997</v>
      </c>
      <c r="M69" s="460">
        <v>0.23</v>
      </c>
      <c r="N69" s="461">
        <f t="shared" ref="N69:N132" si="5">I69*(1-M69)</f>
        <v>303.05583000000001</v>
      </c>
      <c r="O69" s="462">
        <v>0.16</v>
      </c>
      <c r="P69" s="463">
        <f t="shared" ref="P69:P132" si="6">I69*(1-O69)</f>
        <v>330.60636</v>
      </c>
      <c r="Q69" s="464"/>
      <c r="R69" s="465">
        <v>20</v>
      </c>
      <c r="S69" s="465">
        <v>20</v>
      </c>
      <c r="T69" s="465">
        <v>20</v>
      </c>
      <c r="U69" s="466"/>
      <c r="W69" s="415"/>
      <c r="X69" s="415"/>
    </row>
    <row r="70" spans="1:251" x14ac:dyDescent="0.2">
      <c r="A70" s="453" t="s">
        <v>9846</v>
      </c>
      <c r="B70" s="453" t="s">
        <v>9847</v>
      </c>
      <c r="C70" s="454" t="s">
        <v>386</v>
      </c>
      <c r="D70" s="455" t="s">
        <v>9709</v>
      </c>
      <c r="E70" s="456" t="s">
        <v>9710</v>
      </c>
      <c r="F70" s="456" t="s">
        <v>6232</v>
      </c>
      <c r="G70" s="456" t="s">
        <v>9843</v>
      </c>
      <c r="H70" s="457">
        <v>366.12</v>
      </c>
      <c r="I70" s="457">
        <f t="shared" ref="I70:I133" si="7">H70*(1+0.075)</f>
        <v>393.57900000000001</v>
      </c>
      <c r="J70" s="457" t="s">
        <v>9706</v>
      </c>
      <c r="K70" s="458">
        <v>0.33</v>
      </c>
      <c r="L70" s="459">
        <f t="shared" si="4"/>
        <v>245.30039999999997</v>
      </c>
      <c r="M70" s="460">
        <v>0.23</v>
      </c>
      <c r="N70" s="461">
        <f t="shared" si="5"/>
        <v>303.05583000000001</v>
      </c>
      <c r="O70" s="462">
        <v>0.16</v>
      </c>
      <c r="P70" s="463">
        <f t="shared" si="6"/>
        <v>330.60636</v>
      </c>
      <c r="Q70" s="464"/>
      <c r="R70" s="465">
        <v>20</v>
      </c>
      <c r="S70" s="465">
        <v>20</v>
      </c>
      <c r="T70" s="465">
        <v>20</v>
      </c>
      <c r="U70" s="466"/>
      <c r="W70" s="415"/>
      <c r="X70" s="415"/>
    </row>
    <row r="71" spans="1:251" x14ac:dyDescent="0.2">
      <c r="A71" s="453" t="s">
        <v>9848</v>
      </c>
      <c r="B71" s="453" t="s">
        <v>9849</v>
      </c>
      <c r="C71" s="454" t="s">
        <v>386</v>
      </c>
      <c r="D71" s="455" t="s">
        <v>9709</v>
      </c>
      <c r="E71" s="456" t="s">
        <v>9716</v>
      </c>
      <c r="F71" s="456" t="s">
        <v>6232</v>
      </c>
      <c r="G71" s="456" t="s">
        <v>9843</v>
      </c>
      <c r="H71" s="457">
        <v>366.12</v>
      </c>
      <c r="I71" s="457">
        <f t="shared" si="7"/>
        <v>393.57900000000001</v>
      </c>
      <c r="J71" s="457" t="s">
        <v>9706</v>
      </c>
      <c r="K71" s="458">
        <v>0.33</v>
      </c>
      <c r="L71" s="459">
        <f t="shared" si="4"/>
        <v>245.30039999999997</v>
      </c>
      <c r="M71" s="460">
        <v>0.23</v>
      </c>
      <c r="N71" s="461">
        <f t="shared" si="5"/>
        <v>303.05583000000001</v>
      </c>
      <c r="O71" s="462">
        <v>0.16</v>
      </c>
      <c r="P71" s="463">
        <f t="shared" si="6"/>
        <v>330.60636</v>
      </c>
      <c r="Q71" s="464"/>
      <c r="R71" s="465">
        <v>20</v>
      </c>
      <c r="S71" s="465">
        <v>20</v>
      </c>
      <c r="T71" s="465">
        <v>20</v>
      </c>
      <c r="U71" s="466"/>
      <c r="W71" s="415"/>
      <c r="X71" s="415"/>
    </row>
    <row r="72" spans="1:251" x14ac:dyDescent="0.2">
      <c r="A72" s="453" t="s">
        <v>9850</v>
      </c>
      <c r="B72" s="453" t="s">
        <v>9851</v>
      </c>
      <c r="C72" s="454" t="s">
        <v>386</v>
      </c>
      <c r="D72" s="455" t="s">
        <v>9709</v>
      </c>
      <c r="E72" s="456" t="s">
        <v>9710</v>
      </c>
      <c r="F72" s="456" t="s">
        <v>6232</v>
      </c>
      <c r="G72" s="456" t="s">
        <v>9843</v>
      </c>
      <c r="H72" s="457">
        <v>366.12</v>
      </c>
      <c r="I72" s="457">
        <f t="shared" si="7"/>
        <v>393.57900000000001</v>
      </c>
      <c r="J72" s="457" t="s">
        <v>9706</v>
      </c>
      <c r="K72" s="458">
        <v>0.33</v>
      </c>
      <c r="L72" s="459">
        <f t="shared" si="4"/>
        <v>245.30039999999997</v>
      </c>
      <c r="M72" s="460">
        <v>0.23</v>
      </c>
      <c r="N72" s="461">
        <f t="shared" si="5"/>
        <v>303.05583000000001</v>
      </c>
      <c r="O72" s="462">
        <v>0.16</v>
      </c>
      <c r="P72" s="463">
        <f t="shared" si="6"/>
        <v>330.60636</v>
      </c>
      <c r="Q72" s="464"/>
      <c r="R72" s="465">
        <v>20</v>
      </c>
      <c r="S72" s="465">
        <v>20</v>
      </c>
      <c r="T72" s="465">
        <v>20</v>
      </c>
      <c r="U72" s="466"/>
      <c r="W72" s="415"/>
      <c r="X72" s="415"/>
    </row>
    <row r="73" spans="1:251" x14ac:dyDescent="0.2">
      <c r="A73" s="453" t="s">
        <v>9852</v>
      </c>
      <c r="B73" s="453" t="s">
        <v>9853</v>
      </c>
      <c r="C73" s="454" t="s">
        <v>386</v>
      </c>
      <c r="D73" s="455" t="s">
        <v>9709</v>
      </c>
      <c r="E73" s="456" t="s">
        <v>9710</v>
      </c>
      <c r="F73" s="456" t="s">
        <v>6232</v>
      </c>
      <c r="G73" s="456" t="s">
        <v>9843</v>
      </c>
      <c r="H73" s="457">
        <v>366.12</v>
      </c>
      <c r="I73" s="457">
        <f t="shared" si="7"/>
        <v>393.57900000000001</v>
      </c>
      <c r="J73" s="457" t="s">
        <v>9706</v>
      </c>
      <c r="K73" s="458">
        <v>0.33</v>
      </c>
      <c r="L73" s="459">
        <f t="shared" si="4"/>
        <v>245.30039999999997</v>
      </c>
      <c r="M73" s="460">
        <v>0.23</v>
      </c>
      <c r="N73" s="461">
        <f t="shared" si="5"/>
        <v>303.05583000000001</v>
      </c>
      <c r="O73" s="462">
        <v>0.16</v>
      </c>
      <c r="P73" s="463">
        <f t="shared" si="6"/>
        <v>330.60636</v>
      </c>
      <c r="Q73" s="464"/>
      <c r="R73" s="465">
        <v>20</v>
      </c>
      <c r="S73" s="465">
        <v>20</v>
      </c>
      <c r="T73" s="465">
        <v>20</v>
      </c>
      <c r="U73" s="466"/>
      <c r="W73" s="415"/>
      <c r="X73" s="415"/>
    </row>
    <row r="74" spans="1:251" x14ac:dyDescent="0.2">
      <c r="A74" s="453" t="s">
        <v>9854</v>
      </c>
      <c r="B74" s="453" t="s">
        <v>9855</v>
      </c>
      <c r="C74" s="454" t="s">
        <v>386</v>
      </c>
      <c r="D74" s="455" t="s">
        <v>9709</v>
      </c>
      <c r="E74" s="456" t="s">
        <v>9758</v>
      </c>
      <c r="F74" s="456" t="s">
        <v>6232</v>
      </c>
      <c r="G74" s="456" t="s">
        <v>9843</v>
      </c>
      <c r="H74" s="457">
        <v>366.12</v>
      </c>
      <c r="I74" s="457">
        <f t="shared" si="7"/>
        <v>393.57900000000001</v>
      </c>
      <c r="J74" s="457" t="s">
        <v>9706</v>
      </c>
      <c r="K74" s="458">
        <v>0.33</v>
      </c>
      <c r="L74" s="459">
        <f t="shared" si="4"/>
        <v>245.30039999999997</v>
      </c>
      <c r="M74" s="460">
        <v>0.23</v>
      </c>
      <c r="N74" s="461">
        <f t="shared" si="5"/>
        <v>303.05583000000001</v>
      </c>
      <c r="O74" s="462">
        <v>0.16</v>
      </c>
      <c r="P74" s="463">
        <f t="shared" si="6"/>
        <v>330.60636</v>
      </c>
      <c r="Q74" s="464"/>
      <c r="R74" s="465">
        <v>20</v>
      </c>
      <c r="S74" s="465">
        <v>20</v>
      </c>
      <c r="T74" s="465">
        <v>20</v>
      </c>
      <c r="U74" s="466"/>
      <c r="W74" s="415"/>
      <c r="X74" s="415"/>
    </row>
    <row r="75" spans="1:251" x14ac:dyDescent="0.2">
      <c r="A75" s="453" t="s">
        <v>9856</v>
      </c>
      <c r="B75" s="453" t="s">
        <v>9857</v>
      </c>
      <c r="C75" s="454" t="s">
        <v>386</v>
      </c>
      <c r="D75" s="455" t="s">
        <v>9709</v>
      </c>
      <c r="E75" s="456" t="s">
        <v>9710</v>
      </c>
      <c r="F75" s="456" t="s">
        <v>6232</v>
      </c>
      <c r="G75" s="456" t="s">
        <v>9843</v>
      </c>
      <c r="H75" s="457">
        <v>366.12</v>
      </c>
      <c r="I75" s="457">
        <f t="shared" si="7"/>
        <v>393.57900000000001</v>
      </c>
      <c r="J75" s="457" t="s">
        <v>9706</v>
      </c>
      <c r="K75" s="458">
        <v>0.33</v>
      </c>
      <c r="L75" s="459">
        <f t="shared" si="4"/>
        <v>245.30039999999997</v>
      </c>
      <c r="M75" s="460">
        <v>0.23</v>
      </c>
      <c r="N75" s="461">
        <f t="shared" si="5"/>
        <v>303.05583000000001</v>
      </c>
      <c r="O75" s="462">
        <v>0.16</v>
      </c>
      <c r="P75" s="463">
        <f t="shared" si="6"/>
        <v>330.60636</v>
      </c>
      <c r="Q75" s="464"/>
      <c r="R75" s="465">
        <v>20</v>
      </c>
      <c r="S75" s="465">
        <v>20</v>
      </c>
      <c r="T75" s="465">
        <v>20</v>
      </c>
      <c r="U75" s="466"/>
      <c r="W75" s="415"/>
      <c r="X75" s="415"/>
    </row>
    <row r="76" spans="1:251" x14ac:dyDescent="0.2">
      <c r="A76" s="453" t="s">
        <v>9858</v>
      </c>
      <c r="B76" s="453" t="s">
        <v>9859</v>
      </c>
      <c r="C76" s="454" t="s">
        <v>386</v>
      </c>
      <c r="D76" s="455" t="s">
        <v>9709</v>
      </c>
      <c r="E76" s="456" t="s">
        <v>9710</v>
      </c>
      <c r="F76" s="456" t="s">
        <v>6232</v>
      </c>
      <c r="G76" s="456" t="s">
        <v>9843</v>
      </c>
      <c r="H76" s="457">
        <v>366.12</v>
      </c>
      <c r="I76" s="457">
        <f t="shared" si="7"/>
        <v>393.57900000000001</v>
      </c>
      <c r="J76" s="457" t="s">
        <v>9706</v>
      </c>
      <c r="K76" s="458">
        <v>0.33</v>
      </c>
      <c r="L76" s="459">
        <f t="shared" si="4"/>
        <v>245.30039999999997</v>
      </c>
      <c r="M76" s="460">
        <v>0.23</v>
      </c>
      <c r="N76" s="461">
        <f t="shared" si="5"/>
        <v>303.05583000000001</v>
      </c>
      <c r="O76" s="462">
        <v>0.16</v>
      </c>
      <c r="P76" s="463">
        <f t="shared" si="6"/>
        <v>330.60636</v>
      </c>
      <c r="Q76" s="464"/>
      <c r="R76" s="465">
        <v>20</v>
      </c>
      <c r="S76" s="465">
        <v>20</v>
      </c>
      <c r="T76" s="465">
        <v>20</v>
      </c>
      <c r="U76" s="466"/>
      <c r="W76" s="415"/>
      <c r="X76" s="415"/>
    </row>
    <row r="77" spans="1:251" x14ac:dyDescent="0.2">
      <c r="A77" s="453" t="s">
        <v>9860</v>
      </c>
      <c r="B77" s="453" t="s">
        <v>9861</v>
      </c>
      <c r="C77" s="454" t="s">
        <v>386</v>
      </c>
      <c r="D77" s="455" t="s">
        <v>9709</v>
      </c>
      <c r="E77" s="456" t="s">
        <v>9710</v>
      </c>
      <c r="F77" s="456" t="s">
        <v>6232</v>
      </c>
      <c r="G77" s="456" t="s">
        <v>9843</v>
      </c>
      <c r="H77" s="457">
        <v>366.12</v>
      </c>
      <c r="I77" s="457">
        <f t="shared" si="7"/>
        <v>393.57900000000001</v>
      </c>
      <c r="J77" s="457" t="s">
        <v>9706</v>
      </c>
      <c r="K77" s="458">
        <v>0.33</v>
      </c>
      <c r="L77" s="459">
        <f t="shared" si="4"/>
        <v>245.30039999999997</v>
      </c>
      <c r="M77" s="460">
        <v>0.23</v>
      </c>
      <c r="N77" s="461">
        <f t="shared" si="5"/>
        <v>303.05583000000001</v>
      </c>
      <c r="O77" s="462">
        <v>0.16</v>
      </c>
      <c r="P77" s="463">
        <f t="shared" si="6"/>
        <v>330.60636</v>
      </c>
      <c r="Q77" s="464"/>
      <c r="R77" s="465">
        <v>20</v>
      </c>
      <c r="S77" s="465">
        <v>20</v>
      </c>
      <c r="T77" s="465">
        <v>20</v>
      </c>
      <c r="U77" s="466"/>
      <c r="W77" s="415"/>
      <c r="X77" s="415"/>
    </row>
    <row r="78" spans="1:251" x14ac:dyDescent="0.2">
      <c r="A78" s="453" t="s">
        <v>9862</v>
      </c>
      <c r="B78" s="453" t="s">
        <v>9863</v>
      </c>
      <c r="C78" s="454" t="s">
        <v>386</v>
      </c>
      <c r="D78" s="455" t="s">
        <v>9709</v>
      </c>
      <c r="E78" s="456" t="s">
        <v>9734</v>
      </c>
      <c r="F78" s="456" t="s">
        <v>6232</v>
      </c>
      <c r="G78" s="456" t="s">
        <v>9843</v>
      </c>
      <c r="H78" s="457">
        <v>366.12</v>
      </c>
      <c r="I78" s="457">
        <f t="shared" si="7"/>
        <v>393.57900000000001</v>
      </c>
      <c r="J78" s="457" t="s">
        <v>9706</v>
      </c>
      <c r="K78" s="458">
        <v>0.33</v>
      </c>
      <c r="L78" s="459">
        <f t="shared" si="4"/>
        <v>245.30039999999997</v>
      </c>
      <c r="M78" s="460">
        <v>0.23</v>
      </c>
      <c r="N78" s="461">
        <f t="shared" si="5"/>
        <v>303.05583000000001</v>
      </c>
      <c r="O78" s="462">
        <v>0.16</v>
      </c>
      <c r="P78" s="463">
        <f t="shared" si="6"/>
        <v>330.60636</v>
      </c>
      <c r="Q78" s="464"/>
      <c r="R78" s="465">
        <v>20</v>
      </c>
      <c r="S78" s="465">
        <v>20</v>
      </c>
      <c r="T78" s="465">
        <v>20</v>
      </c>
      <c r="U78" s="466"/>
      <c r="V78" s="470"/>
      <c r="W78" s="470"/>
      <c r="X78" s="470"/>
      <c r="Y78" s="470"/>
      <c r="Z78" s="470"/>
      <c r="AA78" s="470"/>
      <c r="AB78" s="470"/>
      <c r="AC78" s="470"/>
      <c r="AD78" s="470"/>
      <c r="AE78" s="470"/>
      <c r="AF78" s="470"/>
      <c r="AG78" s="470"/>
      <c r="AH78" s="470"/>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c r="BF78" s="470"/>
      <c r="BG78" s="470"/>
      <c r="BH78" s="470"/>
      <c r="BI78" s="470"/>
      <c r="BJ78" s="470"/>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0"/>
      <c r="CG78" s="470"/>
      <c r="CH78" s="470"/>
      <c r="CI78" s="470"/>
      <c r="CJ78" s="470"/>
      <c r="CK78" s="470"/>
      <c r="CL78" s="470"/>
      <c r="CM78" s="470"/>
      <c r="CN78" s="470"/>
      <c r="CO78" s="470"/>
      <c r="CP78" s="470"/>
      <c r="CQ78" s="470"/>
      <c r="CR78" s="470"/>
      <c r="CS78" s="470"/>
      <c r="CT78" s="470"/>
      <c r="CU78" s="470"/>
      <c r="CV78" s="470"/>
      <c r="CW78" s="470"/>
      <c r="CX78" s="470"/>
      <c r="CY78" s="470"/>
      <c r="CZ78" s="470"/>
      <c r="DA78" s="470"/>
      <c r="DB78" s="470"/>
      <c r="DC78" s="470"/>
      <c r="DD78" s="470"/>
      <c r="DE78" s="470"/>
      <c r="DF78" s="470"/>
      <c r="DG78" s="470"/>
      <c r="DH78" s="470"/>
      <c r="DI78" s="470"/>
      <c r="DJ78" s="470"/>
      <c r="DK78" s="470"/>
      <c r="DL78" s="470"/>
      <c r="DM78" s="470"/>
      <c r="DN78" s="470"/>
      <c r="DO78" s="470"/>
      <c r="DP78" s="470"/>
      <c r="DQ78" s="470"/>
      <c r="DR78" s="470"/>
      <c r="DS78" s="470"/>
      <c r="DT78" s="470"/>
      <c r="DU78" s="470"/>
      <c r="DV78" s="470"/>
      <c r="DW78" s="470"/>
      <c r="DX78" s="470"/>
      <c r="DY78" s="470"/>
      <c r="DZ78" s="470"/>
      <c r="EA78" s="470"/>
      <c r="EB78" s="470"/>
      <c r="EC78" s="470"/>
      <c r="ED78" s="470"/>
      <c r="EE78" s="470"/>
      <c r="EF78" s="470"/>
      <c r="EG78" s="470"/>
      <c r="EH78" s="470"/>
      <c r="EI78" s="470"/>
      <c r="EJ78" s="470"/>
      <c r="EK78" s="470"/>
      <c r="EL78" s="470"/>
      <c r="EM78" s="470"/>
      <c r="EN78" s="470"/>
      <c r="EO78" s="470"/>
      <c r="EP78" s="470"/>
      <c r="EQ78" s="470"/>
      <c r="ER78" s="470"/>
      <c r="ES78" s="470"/>
      <c r="ET78" s="470"/>
      <c r="EU78" s="470"/>
      <c r="EV78" s="470"/>
      <c r="EW78" s="470"/>
      <c r="EX78" s="470"/>
      <c r="EY78" s="470"/>
      <c r="EZ78" s="470"/>
      <c r="FA78" s="470"/>
      <c r="FB78" s="470"/>
      <c r="FC78" s="470"/>
      <c r="FD78" s="470"/>
      <c r="FE78" s="470"/>
      <c r="FF78" s="470"/>
      <c r="FG78" s="470"/>
      <c r="FH78" s="470"/>
      <c r="FI78" s="470"/>
      <c r="FJ78" s="470"/>
      <c r="FK78" s="470"/>
      <c r="FL78" s="470"/>
      <c r="FM78" s="470"/>
      <c r="FN78" s="470"/>
      <c r="FO78" s="470"/>
      <c r="FP78" s="470"/>
      <c r="FQ78" s="470"/>
      <c r="FR78" s="470"/>
      <c r="FS78" s="470"/>
      <c r="FT78" s="470"/>
      <c r="FU78" s="470"/>
      <c r="FV78" s="470"/>
      <c r="FW78" s="470"/>
      <c r="FX78" s="470"/>
      <c r="FY78" s="470"/>
      <c r="FZ78" s="470"/>
      <c r="GA78" s="470"/>
      <c r="GB78" s="470"/>
      <c r="GC78" s="470"/>
      <c r="GD78" s="470"/>
      <c r="GE78" s="470"/>
      <c r="GF78" s="470"/>
      <c r="GG78" s="470"/>
      <c r="GH78" s="470"/>
      <c r="GI78" s="470"/>
      <c r="GJ78" s="470"/>
      <c r="GK78" s="470"/>
      <c r="GL78" s="470"/>
      <c r="GM78" s="470"/>
      <c r="GN78" s="470"/>
      <c r="GO78" s="470"/>
      <c r="GP78" s="470"/>
      <c r="GQ78" s="470"/>
      <c r="GR78" s="470"/>
      <c r="GS78" s="470"/>
      <c r="GT78" s="470"/>
      <c r="GU78" s="470"/>
      <c r="GV78" s="470"/>
      <c r="GW78" s="470"/>
      <c r="GX78" s="470"/>
      <c r="GY78" s="470"/>
      <c r="GZ78" s="470"/>
      <c r="HA78" s="470"/>
      <c r="HB78" s="470"/>
      <c r="HC78" s="470"/>
      <c r="HD78" s="470"/>
      <c r="HE78" s="470"/>
      <c r="HF78" s="470"/>
      <c r="HG78" s="470"/>
      <c r="HH78" s="470"/>
      <c r="HI78" s="470"/>
      <c r="HJ78" s="470"/>
      <c r="HK78" s="470"/>
      <c r="HL78" s="470"/>
      <c r="HM78" s="470"/>
      <c r="HN78" s="470"/>
      <c r="HO78" s="470"/>
      <c r="HP78" s="470"/>
      <c r="HQ78" s="470"/>
      <c r="HR78" s="470"/>
      <c r="HS78" s="470"/>
      <c r="HT78" s="470"/>
      <c r="HU78" s="470"/>
      <c r="HV78" s="470"/>
      <c r="HW78" s="470"/>
      <c r="HX78" s="470"/>
      <c r="HY78" s="470"/>
      <c r="HZ78" s="470"/>
      <c r="IA78" s="470"/>
      <c r="IB78" s="470"/>
      <c r="IC78" s="470"/>
      <c r="ID78" s="470"/>
      <c r="IE78" s="470"/>
      <c r="IF78" s="470"/>
      <c r="IG78" s="470"/>
      <c r="IH78" s="470"/>
      <c r="II78" s="470"/>
      <c r="IJ78" s="470"/>
      <c r="IK78" s="470"/>
      <c r="IL78" s="470"/>
      <c r="IM78" s="470"/>
      <c r="IN78" s="470"/>
      <c r="IO78" s="470"/>
      <c r="IP78" s="470"/>
      <c r="IQ78" s="470"/>
    </row>
    <row r="79" spans="1:251" x14ac:dyDescent="0.2">
      <c r="A79" s="453" t="s">
        <v>9864</v>
      </c>
      <c r="B79" s="453" t="s">
        <v>9865</v>
      </c>
      <c r="C79" s="454" t="s">
        <v>386</v>
      </c>
      <c r="D79" s="455" t="s">
        <v>9709</v>
      </c>
      <c r="E79" s="456" t="s">
        <v>9734</v>
      </c>
      <c r="F79" s="456" t="s">
        <v>6232</v>
      </c>
      <c r="G79" s="456" t="s">
        <v>9843</v>
      </c>
      <c r="H79" s="457">
        <v>366.12</v>
      </c>
      <c r="I79" s="457">
        <f t="shared" si="7"/>
        <v>393.57900000000001</v>
      </c>
      <c r="J79" s="457" t="s">
        <v>9706</v>
      </c>
      <c r="K79" s="458">
        <v>0.33</v>
      </c>
      <c r="L79" s="459">
        <f t="shared" si="4"/>
        <v>245.30039999999997</v>
      </c>
      <c r="M79" s="460">
        <v>0.23</v>
      </c>
      <c r="N79" s="461">
        <f t="shared" si="5"/>
        <v>303.05583000000001</v>
      </c>
      <c r="O79" s="462">
        <v>0.16</v>
      </c>
      <c r="P79" s="463">
        <f t="shared" si="6"/>
        <v>330.60636</v>
      </c>
      <c r="Q79" s="464"/>
      <c r="R79" s="465">
        <v>20</v>
      </c>
      <c r="S79" s="465">
        <v>20</v>
      </c>
      <c r="T79" s="465">
        <v>20</v>
      </c>
      <c r="U79" s="466"/>
      <c r="V79" s="470"/>
      <c r="W79" s="470"/>
      <c r="X79" s="470"/>
      <c r="Y79" s="470"/>
      <c r="Z79" s="470"/>
      <c r="AA79" s="470"/>
      <c r="AB79" s="470"/>
      <c r="AC79" s="470"/>
      <c r="AD79" s="470"/>
      <c r="AE79" s="470"/>
      <c r="AF79" s="470"/>
      <c r="AG79" s="470"/>
      <c r="AH79" s="470"/>
      <c r="AI79" s="470"/>
      <c r="AJ79" s="470"/>
      <c r="AK79" s="470"/>
      <c r="AL79" s="470"/>
      <c r="AM79" s="470"/>
      <c r="AN79" s="470"/>
      <c r="AO79" s="470"/>
      <c r="AP79" s="470"/>
      <c r="AQ79" s="470"/>
      <c r="AR79" s="470"/>
      <c r="AS79" s="470"/>
      <c r="AT79" s="470"/>
      <c r="AU79" s="470"/>
      <c r="AV79" s="470"/>
      <c r="AW79" s="470"/>
      <c r="AX79" s="470"/>
      <c r="AY79" s="470"/>
      <c r="AZ79" s="470"/>
      <c r="BA79" s="470"/>
      <c r="BB79" s="470"/>
      <c r="BC79" s="470"/>
      <c r="BD79" s="470"/>
      <c r="BE79" s="470"/>
      <c r="BF79" s="470"/>
      <c r="BG79" s="470"/>
      <c r="BH79" s="470"/>
      <c r="BI79" s="470"/>
      <c r="BJ79" s="470"/>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70"/>
      <c r="CL79" s="470"/>
      <c r="CM79" s="470"/>
      <c r="CN79" s="470"/>
      <c r="CO79" s="470"/>
      <c r="CP79" s="470"/>
      <c r="CQ79" s="470"/>
      <c r="CR79" s="470"/>
      <c r="CS79" s="470"/>
      <c r="CT79" s="470"/>
      <c r="CU79" s="470"/>
      <c r="CV79" s="470"/>
      <c r="CW79" s="470"/>
      <c r="CX79" s="470"/>
      <c r="CY79" s="470"/>
      <c r="CZ79" s="470"/>
      <c r="DA79" s="470"/>
      <c r="DB79" s="470"/>
      <c r="DC79" s="470"/>
      <c r="DD79" s="470"/>
      <c r="DE79" s="470"/>
      <c r="DF79" s="470"/>
      <c r="DG79" s="470"/>
      <c r="DH79" s="470"/>
      <c r="DI79" s="470"/>
      <c r="DJ79" s="470"/>
      <c r="DK79" s="470"/>
      <c r="DL79" s="470"/>
      <c r="DM79" s="470"/>
      <c r="DN79" s="470"/>
      <c r="DO79" s="470"/>
      <c r="DP79" s="470"/>
      <c r="DQ79" s="470"/>
      <c r="DR79" s="470"/>
      <c r="DS79" s="470"/>
      <c r="DT79" s="470"/>
      <c r="DU79" s="470"/>
      <c r="DV79" s="470"/>
      <c r="DW79" s="470"/>
      <c r="DX79" s="470"/>
      <c r="DY79" s="470"/>
      <c r="DZ79" s="470"/>
      <c r="EA79" s="470"/>
      <c r="EB79" s="470"/>
      <c r="EC79" s="470"/>
      <c r="ED79" s="470"/>
      <c r="EE79" s="470"/>
      <c r="EF79" s="470"/>
      <c r="EG79" s="470"/>
      <c r="EH79" s="470"/>
      <c r="EI79" s="470"/>
      <c r="EJ79" s="470"/>
      <c r="EK79" s="470"/>
      <c r="EL79" s="470"/>
      <c r="EM79" s="470"/>
      <c r="EN79" s="470"/>
      <c r="EO79" s="470"/>
      <c r="EP79" s="470"/>
      <c r="EQ79" s="470"/>
      <c r="ER79" s="470"/>
      <c r="ES79" s="470"/>
      <c r="ET79" s="470"/>
      <c r="EU79" s="470"/>
      <c r="EV79" s="470"/>
      <c r="EW79" s="470"/>
      <c r="EX79" s="470"/>
      <c r="EY79" s="470"/>
      <c r="EZ79" s="470"/>
      <c r="FA79" s="470"/>
      <c r="FB79" s="470"/>
      <c r="FC79" s="470"/>
      <c r="FD79" s="470"/>
      <c r="FE79" s="470"/>
      <c r="FF79" s="470"/>
      <c r="FG79" s="470"/>
      <c r="FH79" s="470"/>
      <c r="FI79" s="470"/>
      <c r="FJ79" s="470"/>
      <c r="FK79" s="470"/>
      <c r="FL79" s="470"/>
      <c r="FM79" s="470"/>
      <c r="FN79" s="470"/>
      <c r="FO79" s="470"/>
      <c r="FP79" s="470"/>
      <c r="FQ79" s="470"/>
      <c r="FR79" s="470"/>
      <c r="FS79" s="470"/>
      <c r="FT79" s="470"/>
      <c r="FU79" s="470"/>
      <c r="FV79" s="470"/>
      <c r="FW79" s="470"/>
      <c r="FX79" s="470"/>
      <c r="FY79" s="470"/>
      <c r="FZ79" s="470"/>
      <c r="GA79" s="470"/>
      <c r="GB79" s="470"/>
      <c r="GC79" s="470"/>
      <c r="GD79" s="470"/>
      <c r="GE79" s="470"/>
      <c r="GF79" s="470"/>
      <c r="GG79" s="470"/>
      <c r="GH79" s="470"/>
      <c r="GI79" s="470"/>
      <c r="GJ79" s="470"/>
      <c r="GK79" s="470"/>
      <c r="GL79" s="470"/>
      <c r="GM79" s="470"/>
      <c r="GN79" s="470"/>
      <c r="GO79" s="470"/>
      <c r="GP79" s="470"/>
      <c r="GQ79" s="470"/>
      <c r="GR79" s="470"/>
      <c r="GS79" s="470"/>
      <c r="GT79" s="470"/>
      <c r="GU79" s="470"/>
      <c r="GV79" s="470"/>
      <c r="GW79" s="470"/>
      <c r="GX79" s="470"/>
      <c r="GY79" s="470"/>
      <c r="GZ79" s="470"/>
      <c r="HA79" s="470"/>
      <c r="HB79" s="470"/>
      <c r="HC79" s="470"/>
      <c r="HD79" s="470"/>
      <c r="HE79" s="470"/>
      <c r="HF79" s="470"/>
      <c r="HG79" s="470"/>
      <c r="HH79" s="470"/>
      <c r="HI79" s="470"/>
      <c r="HJ79" s="470"/>
      <c r="HK79" s="470"/>
      <c r="HL79" s="470"/>
      <c r="HM79" s="470"/>
      <c r="HN79" s="470"/>
      <c r="HO79" s="470"/>
      <c r="HP79" s="470"/>
      <c r="HQ79" s="470"/>
      <c r="HR79" s="470"/>
      <c r="HS79" s="470"/>
      <c r="HT79" s="470"/>
      <c r="HU79" s="470"/>
      <c r="HV79" s="470"/>
      <c r="HW79" s="470"/>
      <c r="HX79" s="470"/>
      <c r="HY79" s="470"/>
      <c r="HZ79" s="470"/>
      <c r="IA79" s="470"/>
      <c r="IB79" s="470"/>
      <c r="IC79" s="470"/>
      <c r="ID79" s="470"/>
      <c r="IE79" s="470"/>
      <c r="IF79" s="470"/>
      <c r="IG79" s="470"/>
      <c r="IH79" s="470"/>
      <c r="II79" s="470"/>
      <c r="IJ79" s="470"/>
      <c r="IK79" s="470"/>
      <c r="IL79" s="470"/>
      <c r="IM79" s="470"/>
      <c r="IN79" s="470"/>
      <c r="IO79" s="470"/>
      <c r="IP79" s="470"/>
      <c r="IQ79" s="470"/>
    </row>
    <row r="80" spans="1:251" x14ac:dyDescent="0.2">
      <c r="A80" s="471" t="s">
        <v>9866</v>
      </c>
      <c r="B80" s="472" t="s">
        <v>9867</v>
      </c>
      <c r="C80" s="454" t="s">
        <v>386</v>
      </c>
      <c r="D80" s="455" t="s">
        <v>9709</v>
      </c>
      <c r="E80" s="456" t="s">
        <v>9739</v>
      </c>
      <c r="F80" s="456" t="s">
        <v>6232</v>
      </c>
      <c r="G80" s="456" t="s">
        <v>9843</v>
      </c>
      <c r="H80" s="457">
        <v>366.12</v>
      </c>
      <c r="I80" s="457">
        <f t="shared" si="7"/>
        <v>393.57900000000001</v>
      </c>
      <c r="J80" s="457" t="s">
        <v>9706</v>
      </c>
      <c r="K80" s="458">
        <v>0.33</v>
      </c>
      <c r="L80" s="459">
        <f t="shared" si="4"/>
        <v>245.30039999999997</v>
      </c>
      <c r="M80" s="460">
        <v>0.23</v>
      </c>
      <c r="N80" s="461">
        <f t="shared" si="5"/>
        <v>303.05583000000001</v>
      </c>
      <c r="O80" s="462">
        <v>0.16</v>
      </c>
      <c r="P80" s="463">
        <f t="shared" si="6"/>
        <v>330.60636</v>
      </c>
      <c r="Q80" s="464"/>
      <c r="R80" s="465">
        <v>20</v>
      </c>
      <c r="S80" s="465">
        <v>20</v>
      </c>
      <c r="T80" s="465">
        <v>20</v>
      </c>
      <c r="U80" s="466"/>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70"/>
      <c r="CM80" s="470"/>
      <c r="CN80" s="470"/>
      <c r="CO80" s="470"/>
      <c r="CP80" s="470"/>
      <c r="CQ80" s="470"/>
      <c r="CR80" s="470"/>
      <c r="CS80" s="470"/>
      <c r="CT80" s="470"/>
      <c r="CU80" s="470"/>
      <c r="CV80" s="470"/>
      <c r="CW80" s="470"/>
      <c r="CX80" s="470"/>
      <c r="CY80" s="470"/>
      <c r="CZ80" s="470"/>
      <c r="DA80" s="470"/>
      <c r="DB80" s="470"/>
      <c r="DC80" s="470"/>
      <c r="DD80" s="470"/>
      <c r="DE80" s="470"/>
      <c r="DF80" s="470"/>
      <c r="DG80" s="470"/>
      <c r="DH80" s="470"/>
      <c r="DI80" s="470"/>
      <c r="DJ80" s="470"/>
      <c r="DK80" s="470"/>
      <c r="DL80" s="470"/>
      <c r="DM80" s="470"/>
      <c r="DN80" s="470"/>
      <c r="DO80" s="470"/>
      <c r="DP80" s="470"/>
      <c r="DQ80" s="470"/>
      <c r="DR80" s="470"/>
      <c r="DS80" s="470"/>
      <c r="DT80" s="470"/>
      <c r="DU80" s="470"/>
      <c r="DV80" s="470"/>
      <c r="DW80" s="470"/>
      <c r="DX80" s="470"/>
      <c r="DY80" s="470"/>
      <c r="DZ80" s="470"/>
      <c r="EA80" s="470"/>
      <c r="EB80" s="470"/>
      <c r="EC80" s="470"/>
      <c r="ED80" s="470"/>
      <c r="EE80" s="470"/>
      <c r="EF80" s="470"/>
      <c r="EG80" s="470"/>
      <c r="EH80" s="470"/>
      <c r="EI80" s="470"/>
      <c r="EJ80" s="470"/>
      <c r="EK80" s="470"/>
      <c r="EL80" s="470"/>
      <c r="EM80" s="470"/>
      <c r="EN80" s="470"/>
      <c r="EO80" s="470"/>
      <c r="EP80" s="470"/>
      <c r="EQ80" s="470"/>
      <c r="ER80" s="470"/>
      <c r="ES80" s="470"/>
      <c r="ET80" s="470"/>
      <c r="EU80" s="470"/>
      <c r="EV80" s="470"/>
      <c r="EW80" s="470"/>
      <c r="EX80" s="470"/>
      <c r="EY80" s="470"/>
      <c r="EZ80" s="470"/>
      <c r="FA80" s="470"/>
      <c r="FB80" s="470"/>
      <c r="FC80" s="470"/>
      <c r="FD80" s="470"/>
      <c r="FE80" s="470"/>
      <c r="FF80" s="470"/>
      <c r="FG80" s="470"/>
      <c r="FH80" s="470"/>
      <c r="FI80" s="470"/>
      <c r="FJ80" s="470"/>
      <c r="FK80" s="470"/>
      <c r="FL80" s="470"/>
      <c r="FM80" s="470"/>
      <c r="FN80" s="470"/>
      <c r="FO80" s="470"/>
      <c r="FP80" s="470"/>
      <c r="FQ80" s="470"/>
      <c r="FR80" s="470"/>
      <c r="FS80" s="470"/>
      <c r="FT80" s="470"/>
      <c r="FU80" s="470"/>
      <c r="FV80" s="470"/>
      <c r="FW80" s="470"/>
      <c r="FX80" s="470"/>
      <c r="FY80" s="470"/>
      <c r="FZ80" s="470"/>
      <c r="GA80" s="470"/>
      <c r="GB80" s="470"/>
      <c r="GC80" s="470"/>
      <c r="GD80" s="470"/>
      <c r="GE80" s="470"/>
      <c r="GF80" s="470"/>
      <c r="GG80" s="470"/>
      <c r="GH80" s="470"/>
      <c r="GI80" s="470"/>
      <c r="GJ80" s="470"/>
      <c r="GK80" s="470"/>
      <c r="GL80" s="470"/>
      <c r="GM80" s="470"/>
      <c r="GN80" s="470"/>
      <c r="GO80" s="470"/>
      <c r="GP80" s="470"/>
      <c r="GQ80" s="470"/>
      <c r="GR80" s="470"/>
      <c r="GS80" s="470"/>
      <c r="GT80" s="470"/>
      <c r="GU80" s="470"/>
      <c r="GV80" s="470"/>
      <c r="GW80" s="470"/>
      <c r="GX80" s="470"/>
      <c r="GY80" s="470"/>
      <c r="GZ80" s="470"/>
      <c r="HA80" s="470"/>
      <c r="HB80" s="470"/>
      <c r="HC80" s="470"/>
      <c r="HD80" s="470"/>
      <c r="HE80" s="470"/>
      <c r="HF80" s="470"/>
      <c r="HG80" s="470"/>
      <c r="HH80" s="470"/>
      <c r="HI80" s="470"/>
      <c r="HJ80" s="470"/>
      <c r="HK80" s="470"/>
      <c r="HL80" s="470"/>
      <c r="HM80" s="470"/>
      <c r="HN80" s="470"/>
      <c r="HO80" s="470"/>
      <c r="HP80" s="470"/>
      <c r="HQ80" s="470"/>
      <c r="HR80" s="470"/>
      <c r="HS80" s="470"/>
      <c r="HT80" s="470"/>
      <c r="HU80" s="470"/>
      <c r="HV80" s="470"/>
      <c r="HW80" s="470"/>
      <c r="HX80" s="470"/>
      <c r="HY80" s="470"/>
      <c r="HZ80" s="470"/>
      <c r="IA80" s="470"/>
      <c r="IB80" s="470"/>
      <c r="IC80" s="470"/>
      <c r="ID80" s="470"/>
      <c r="IE80" s="470"/>
      <c r="IF80" s="470"/>
      <c r="IG80" s="470"/>
      <c r="IH80" s="470"/>
      <c r="II80" s="470"/>
      <c r="IJ80" s="470"/>
      <c r="IK80" s="470"/>
      <c r="IL80" s="470"/>
      <c r="IM80" s="470"/>
      <c r="IN80" s="470"/>
      <c r="IO80" s="470"/>
      <c r="IP80" s="470"/>
      <c r="IQ80" s="470"/>
    </row>
    <row r="81" spans="1:251" x14ac:dyDescent="0.2">
      <c r="A81" s="453" t="s">
        <v>9868</v>
      </c>
      <c r="B81" s="453" t="s">
        <v>9869</v>
      </c>
      <c r="C81" s="454" t="s">
        <v>386</v>
      </c>
      <c r="D81" s="455" t="s">
        <v>9870</v>
      </c>
      <c r="E81" s="456" t="s">
        <v>9705</v>
      </c>
      <c r="F81" s="456" t="s">
        <v>6232</v>
      </c>
      <c r="G81" s="456" t="s">
        <v>9871</v>
      </c>
      <c r="H81" s="457">
        <v>349</v>
      </c>
      <c r="I81" s="457">
        <f t="shared" si="7"/>
        <v>375.17500000000001</v>
      </c>
      <c r="J81" s="457" t="s">
        <v>9706</v>
      </c>
      <c r="K81" s="458">
        <v>0.56000000000000005</v>
      </c>
      <c r="L81" s="459">
        <f t="shared" si="4"/>
        <v>153.55999999999997</v>
      </c>
      <c r="M81" s="460">
        <v>0.21</v>
      </c>
      <c r="N81" s="461">
        <f t="shared" si="5"/>
        <v>296.38825000000003</v>
      </c>
      <c r="O81" s="462">
        <v>0.14000000000000001</v>
      </c>
      <c r="P81" s="463">
        <f t="shared" si="6"/>
        <v>322.65050000000002</v>
      </c>
      <c r="Q81" s="464"/>
      <c r="R81" s="465">
        <v>20</v>
      </c>
      <c r="S81" s="465">
        <v>20</v>
      </c>
      <c r="T81" s="465">
        <v>20</v>
      </c>
      <c r="U81" s="466"/>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0"/>
      <c r="CN81" s="470"/>
      <c r="CO81" s="470"/>
      <c r="CP81" s="470"/>
      <c r="CQ81" s="470"/>
      <c r="CR81" s="470"/>
      <c r="CS81" s="470"/>
      <c r="CT81" s="470"/>
      <c r="CU81" s="470"/>
      <c r="CV81" s="470"/>
      <c r="CW81" s="470"/>
      <c r="CX81" s="470"/>
      <c r="CY81" s="470"/>
      <c r="CZ81" s="470"/>
      <c r="DA81" s="470"/>
      <c r="DB81" s="470"/>
      <c r="DC81" s="470"/>
      <c r="DD81" s="470"/>
      <c r="DE81" s="470"/>
      <c r="DF81" s="470"/>
      <c r="DG81" s="470"/>
      <c r="DH81" s="470"/>
      <c r="DI81" s="470"/>
      <c r="DJ81" s="470"/>
      <c r="DK81" s="470"/>
      <c r="DL81" s="470"/>
      <c r="DM81" s="470"/>
      <c r="DN81" s="470"/>
      <c r="DO81" s="470"/>
      <c r="DP81" s="470"/>
      <c r="DQ81" s="470"/>
      <c r="DR81" s="470"/>
      <c r="DS81" s="470"/>
      <c r="DT81" s="470"/>
      <c r="DU81" s="470"/>
      <c r="DV81" s="470"/>
      <c r="DW81" s="470"/>
      <c r="DX81" s="470"/>
      <c r="DY81" s="470"/>
      <c r="DZ81" s="470"/>
      <c r="EA81" s="470"/>
      <c r="EB81" s="470"/>
      <c r="EC81" s="470"/>
      <c r="ED81" s="470"/>
      <c r="EE81" s="470"/>
      <c r="EF81" s="470"/>
      <c r="EG81" s="470"/>
      <c r="EH81" s="470"/>
      <c r="EI81" s="470"/>
      <c r="EJ81" s="470"/>
      <c r="EK81" s="470"/>
      <c r="EL81" s="470"/>
      <c r="EM81" s="470"/>
      <c r="EN81" s="470"/>
      <c r="EO81" s="470"/>
      <c r="EP81" s="470"/>
      <c r="EQ81" s="470"/>
      <c r="ER81" s="470"/>
      <c r="ES81" s="470"/>
      <c r="ET81" s="470"/>
      <c r="EU81" s="470"/>
      <c r="EV81" s="470"/>
      <c r="EW81" s="470"/>
      <c r="EX81" s="470"/>
      <c r="EY81" s="470"/>
      <c r="EZ81" s="470"/>
      <c r="FA81" s="470"/>
      <c r="FB81" s="470"/>
      <c r="FC81" s="470"/>
      <c r="FD81" s="470"/>
      <c r="FE81" s="470"/>
      <c r="FF81" s="470"/>
      <c r="FG81" s="470"/>
      <c r="FH81" s="470"/>
      <c r="FI81" s="470"/>
      <c r="FJ81" s="470"/>
      <c r="FK81" s="470"/>
      <c r="FL81" s="470"/>
      <c r="FM81" s="470"/>
      <c r="FN81" s="470"/>
      <c r="FO81" s="470"/>
      <c r="FP81" s="470"/>
      <c r="FQ81" s="470"/>
      <c r="FR81" s="470"/>
      <c r="FS81" s="470"/>
      <c r="FT81" s="470"/>
      <c r="FU81" s="470"/>
      <c r="FV81" s="470"/>
      <c r="FW81" s="470"/>
      <c r="FX81" s="470"/>
      <c r="FY81" s="470"/>
      <c r="FZ81" s="470"/>
      <c r="GA81" s="470"/>
      <c r="GB81" s="470"/>
      <c r="GC81" s="470"/>
      <c r="GD81" s="470"/>
      <c r="GE81" s="470"/>
      <c r="GF81" s="470"/>
      <c r="GG81" s="470"/>
      <c r="GH81" s="470"/>
      <c r="GI81" s="470"/>
      <c r="GJ81" s="470"/>
      <c r="GK81" s="470"/>
      <c r="GL81" s="470"/>
      <c r="GM81" s="470"/>
      <c r="GN81" s="470"/>
      <c r="GO81" s="470"/>
      <c r="GP81" s="470"/>
      <c r="GQ81" s="470"/>
      <c r="GR81" s="470"/>
      <c r="GS81" s="470"/>
      <c r="GT81" s="470"/>
      <c r="GU81" s="470"/>
      <c r="GV81" s="470"/>
      <c r="GW81" s="470"/>
      <c r="GX81" s="470"/>
      <c r="GY81" s="470"/>
      <c r="GZ81" s="470"/>
      <c r="HA81" s="470"/>
      <c r="HB81" s="470"/>
      <c r="HC81" s="470"/>
      <c r="HD81" s="470"/>
      <c r="HE81" s="470"/>
      <c r="HF81" s="470"/>
      <c r="HG81" s="470"/>
      <c r="HH81" s="470"/>
      <c r="HI81" s="470"/>
      <c r="HJ81" s="470"/>
      <c r="HK81" s="470"/>
      <c r="HL81" s="470"/>
      <c r="HM81" s="470"/>
      <c r="HN81" s="470"/>
      <c r="HO81" s="470"/>
      <c r="HP81" s="470"/>
      <c r="HQ81" s="470"/>
      <c r="HR81" s="470"/>
      <c r="HS81" s="470"/>
      <c r="HT81" s="470"/>
      <c r="HU81" s="470"/>
      <c r="HV81" s="470"/>
      <c r="HW81" s="470"/>
      <c r="HX81" s="470"/>
      <c r="HY81" s="470"/>
      <c r="HZ81" s="470"/>
      <c r="IA81" s="470"/>
      <c r="IB81" s="470"/>
      <c r="IC81" s="470"/>
      <c r="ID81" s="470"/>
      <c r="IE81" s="470"/>
      <c r="IF81" s="470"/>
      <c r="IG81" s="470"/>
      <c r="IH81" s="470"/>
      <c r="II81" s="470"/>
      <c r="IJ81" s="470"/>
      <c r="IK81" s="470"/>
      <c r="IL81" s="470"/>
      <c r="IM81" s="470"/>
      <c r="IN81" s="470"/>
      <c r="IO81" s="470"/>
      <c r="IP81" s="470"/>
      <c r="IQ81" s="470"/>
    </row>
    <row r="82" spans="1:251" x14ac:dyDescent="0.2">
      <c r="A82" s="453" t="s">
        <v>9872</v>
      </c>
      <c r="B82" s="453" t="s">
        <v>9873</v>
      </c>
      <c r="C82" s="473" t="s">
        <v>386</v>
      </c>
      <c r="D82" s="455" t="s">
        <v>9709</v>
      </c>
      <c r="E82" s="456" t="s">
        <v>9716</v>
      </c>
      <c r="F82" s="456" t="s">
        <v>6232</v>
      </c>
      <c r="G82" s="456" t="s">
        <v>9711</v>
      </c>
      <c r="H82" s="457">
        <v>679.32</v>
      </c>
      <c r="I82" s="457">
        <f t="shared" si="7"/>
        <v>730.26900000000001</v>
      </c>
      <c r="J82" s="457" t="s">
        <v>9706</v>
      </c>
      <c r="K82" s="458">
        <v>0.45</v>
      </c>
      <c r="L82" s="459">
        <f t="shared" si="4"/>
        <v>373.62600000000003</v>
      </c>
      <c r="M82" s="460">
        <v>0.21</v>
      </c>
      <c r="N82" s="461">
        <f t="shared" si="5"/>
        <v>576.91251</v>
      </c>
      <c r="O82" s="462">
        <v>0.14000000000000001</v>
      </c>
      <c r="P82" s="463">
        <f t="shared" si="6"/>
        <v>628.03134</v>
      </c>
      <c r="Q82" s="464"/>
      <c r="R82" s="465">
        <v>6</v>
      </c>
      <c r="S82" s="465">
        <v>6</v>
      </c>
      <c r="T82" s="465">
        <v>6</v>
      </c>
      <c r="U82" s="466"/>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70"/>
      <c r="CM82" s="470"/>
      <c r="CN82" s="470"/>
      <c r="CO82" s="470"/>
      <c r="CP82" s="470"/>
      <c r="CQ82" s="470"/>
      <c r="CR82" s="470"/>
      <c r="CS82" s="470"/>
      <c r="CT82" s="470"/>
      <c r="CU82" s="470"/>
      <c r="CV82" s="470"/>
      <c r="CW82" s="470"/>
      <c r="CX82" s="470"/>
      <c r="CY82" s="470"/>
      <c r="CZ82" s="470"/>
      <c r="DA82" s="470"/>
      <c r="DB82" s="470"/>
      <c r="DC82" s="470"/>
      <c r="DD82" s="470"/>
      <c r="DE82" s="470"/>
      <c r="DF82" s="470"/>
      <c r="DG82" s="470"/>
      <c r="DH82" s="470"/>
      <c r="DI82" s="470"/>
      <c r="DJ82" s="470"/>
      <c r="DK82" s="470"/>
      <c r="DL82" s="470"/>
      <c r="DM82" s="470"/>
      <c r="DN82" s="470"/>
      <c r="DO82" s="470"/>
      <c r="DP82" s="470"/>
      <c r="DQ82" s="470"/>
      <c r="DR82" s="470"/>
      <c r="DS82" s="470"/>
      <c r="DT82" s="470"/>
      <c r="DU82" s="470"/>
      <c r="DV82" s="470"/>
      <c r="DW82" s="470"/>
      <c r="DX82" s="470"/>
      <c r="DY82" s="470"/>
      <c r="DZ82" s="470"/>
      <c r="EA82" s="470"/>
      <c r="EB82" s="470"/>
      <c r="EC82" s="470"/>
      <c r="ED82" s="470"/>
      <c r="EE82" s="470"/>
      <c r="EF82" s="470"/>
      <c r="EG82" s="470"/>
      <c r="EH82" s="470"/>
      <c r="EI82" s="470"/>
      <c r="EJ82" s="470"/>
      <c r="EK82" s="470"/>
      <c r="EL82" s="470"/>
      <c r="EM82" s="470"/>
      <c r="EN82" s="470"/>
      <c r="EO82" s="470"/>
      <c r="EP82" s="470"/>
      <c r="EQ82" s="470"/>
      <c r="ER82" s="470"/>
      <c r="ES82" s="470"/>
      <c r="ET82" s="470"/>
      <c r="EU82" s="470"/>
      <c r="EV82" s="470"/>
      <c r="EW82" s="470"/>
      <c r="EX82" s="470"/>
      <c r="EY82" s="470"/>
      <c r="EZ82" s="470"/>
      <c r="FA82" s="470"/>
      <c r="FB82" s="470"/>
      <c r="FC82" s="470"/>
      <c r="FD82" s="470"/>
      <c r="FE82" s="470"/>
      <c r="FF82" s="470"/>
      <c r="FG82" s="470"/>
      <c r="FH82" s="470"/>
      <c r="FI82" s="470"/>
      <c r="FJ82" s="470"/>
      <c r="FK82" s="470"/>
      <c r="FL82" s="470"/>
      <c r="FM82" s="470"/>
      <c r="FN82" s="470"/>
      <c r="FO82" s="470"/>
      <c r="FP82" s="470"/>
      <c r="FQ82" s="470"/>
      <c r="FR82" s="470"/>
      <c r="FS82" s="470"/>
      <c r="FT82" s="470"/>
      <c r="FU82" s="470"/>
      <c r="FV82" s="470"/>
      <c r="FW82" s="470"/>
      <c r="FX82" s="470"/>
      <c r="FY82" s="470"/>
      <c r="FZ82" s="470"/>
      <c r="GA82" s="470"/>
      <c r="GB82" s="470"/>
      <c r="GC82" s="470"/>
      <c r="GD82" s="470"/>
      <c r="GE82" s="470"/>
      <c r="GF82" s="470"/>
      <c r="GG82" s="470"/>
      <c r="GH82" s="470"/>
      <c r="GI82" s="470"/>
      <c r="GJ82" s="470"/>
      <c r="GK82" s="470"/>
      <c r="GL82" s="470"/>
      <c r="GM82" s="470"/>
      <c r="GN82" s="470"/>
      <c r="GO82" s="470"/>
      <c r="GP82" s="470"/>
      <c r="GQ82" s="470"/>
      <c r="GR82" s="470"/>
      <c r="GS82" s="470"/>
      <c r="GT82" s="470"/>
      <c r="GU82" s="470"/>
      <c r="GV82" s="470"/>
      <c r="GW82" s="470"/>
      <c r="GX82" s="470"/>
      <c r="GY82" s="470"/>
      <c r="GZ82" s="470"/>
      <c r="HA82" s="470"/>
      <c r="HB82" s="470"/>
      <c r="HC82" s="470"/>
      <c r="HD82" s="470"/>
      <c r="HE82" s="470"/>
      <c r="HF82" s="470"/>
      <c r="HG82" s="470"/>
      <c r="HH82" s="470"/>
      <c r="HI82" s="470"/>
      <c r="HJ82" s="470"/>
      <c r="HK82" s="470"/>
      <c r="HL82" s="470"/>
      <c r="HM82" s="470"/>
      <c r="HN82" s="470"/>
      <c r="HO82" s="470"/>
      <c r="HP82" s="470"/>
      <c r="HQ82" s="470"/>
      <c r="HR82" s="470"/>
      <c r="HS82" s="470"/>
      <c r="HT82" s="470"/>
      <c r="HU82" s="470"/>
      <c r="HV82" s="470"/>
      <c r="HW82" s="470"/>
      <c r="HX82" s="470"/>
      <c r="HY82" s="470"/>
      <c r="HZ82" s="470"/>
      <c r="IA82" s="470"/>
      <c r="IB82" s="470"/>
      <c r="IC82" s="470"/>
      <c r="ID82" s="470"/>
      <c r="IE82" s="470"/>
      <c r="IF82" s="470"/>
      <c r="IG82" s="470"/>
      <c r="IH82" s="470"/>
      <c r="II82" s="470"/>
      <c r="IJ82" s="470"/>
      <c r="IK82" s="470"/>
      <c r="IL82" s="470"/>
      <c r="IM82" s="470"/>
      <c r="IN82" s="470"/>
      <c r="IO82" s="470"/>
      <c r="IP82" s="470"/>
      <c r="IQ82" s="470"/>
    </row>
    <row r="83" spans="1:251" x14ac:dyDescent="0.2">
      <c r="A83" s="453" t="s">
        <v>9874</v>
      </c>
      <c r="B83" s="453" t="s">
        <v>9875</v>
      </c>
      <c r="C83" s="473" t="s">
        <v>386</v>
      </c>
      <c r="D83" s="455" t="s">
        <v>9709</v>
      </c>
      <c r="E83" s="456" t="s">
        <v>9716</v>
      </c>
      <c r="F83" s="456" t="s">
        <v>6232</v>
      </c>
      <c r="G83" s="456" t="s">
        <v>9843</v>
      </c>
      <c r="H83" s="457">
        <v>366.12</v>
      </c>
      <c r="I83" s="457">
        <f t="shared" si="7"/>
        <v>393.57900000000001</v>
      </c>
      <c r="J83" s="457" t="s">
        <v>9706</v>
      </c>
      <c r="K83" s="458">
        <v>0.33</v>
      </c>
      <c r="L83" s="459">
        <f t="shared" si="4"/>
        <v>245.30039999999997</v>
      </c>
      <c r="M83" s="460">
        <v>0.23</v>
      </c>
      <c r="N83" s="461">
        <f t="shared" si="5"/>
        <v>303.05583000000001</v>
      </c>
      <c r="O83" s="462">
        <v>0.16</v>
      </c>
      <c r="P83" s="463">
        <f t="shared" si="6"/>
        <v>330.60636</v>
      </c>
      <c r="Q83" s="464"/>
      <c r="R83" s="465">
        <v>6</v>
      </c>
      <c r="S83" s="465">
        <v>6</v>
      </c>
      <c r="T83" s="465">
        <v>6</v>
      </c>
      <c r="U83" s="466"/>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70"/>
      <c r="CM83" s="470"/>
      <c r="CN83" s="470"/>
      <c r="CO83" s="470"/>
      <c r="CP83" s="470"/>
      <c r="CQ83" s="470"/>
      <c r="CR83" s="470"/>
      <c r="CS83" s="470"/>
      <c r="CT83" s="470"/>
      <c r="CU83" s="470"/>
      <c r="CV83" s="470"/>
      <c r="CW83" s="470"/>
      <c r="CX83" s="470"/>
      <c r="CY83" s="470"/>
      <c r="CZ83" s="470"/>
      <c r="DA83" s="470"/>
      <c r="DB83" s="470"/>
      <c r="DC83" s="470"/>
      <c r="DD83" s="470"/>
      <c r="DE83" s="470"/>
      <c r="DF83" s="470"/>
      <c r="DG83" s="470"/>
      <c r="DH83" s="470"/>
      <c r="DI83" s="470"/>
      <c r="DJ83" s="470"/>
      <c r="DK83" s="470"/>
      <c r="DL83" s="470"/>
      <c r="DM83" s="470"/>
      <c r="DN83" s="470"/>
      <c r="DO83" s="470"/>
      <c r="DP83" s="470"/>
      <c r="DQ83" s="470"/>
      <c r="DR83" s="470"/>
      <c r="DS83" s="470"/>
      <c r="DT83" s="470"/>
      <c r="DU83" s="470"/>
      <c r="DV83" s="470"/>
      <c r="DW83" s="470"/>
      <c r="DX83" s="470"/>
      <c r="DY83" s="470"/>
      <c r="DZ83" s="470"/>
      <c r="EA83" s="470"/>
      <c r="EB83" s="470"/>
      <c r="EC83" s="470"/>
      <c r="ED83" s="470"/>
      <c r="EE83" s="470"/>
      <c r="EF83" s="470"/>
      <c r="EG83" s="470"/>
      <c r="EH83" s="470"/>
      <c r="EI83" s="470"/>
      <c r="EJ83" s="470"/>
      <c r="EK83" s="470"/>
      <c r="EL83" s="470"/>
      <c r="EM83" s="470"/>
      <c r="EN83" s="470"/>
      <c r="EO83" s="470"/>
      <c r="EP83" s="470"/>
      <c r="EQ83" s="470"/>
      <c r="ER83" s="470"/>
      <c r="ES83" s="470"/>
      <c r="ET83" s="470"/>
      <c r="EU83" s="470"/>
      <c r="EV83" s="470"/>
      <c r="EW83" s="470"/>
      <c r="EX83" s="470"/>
      <c r="EY83" s="470"/>
      <c r="EZ83" s="470"/>
      <c r="FA83" s="470"/>
      <c r="FB83" s="470"/>
      <c r="FC83" s="470"/>
      <c r="FD83" s="470"/>
      <c r="FE83" s="470"/>
      <c r="FF83" s="470"/>
      <c r="FG83" s="470"/>
      <c r="FH83" s="470"/>
      <c r="FI83" s="470"/>
      <c r="FJ83" s="470"/>
      <c r="FK83" s="470"/>
      <c r="FL83" s="470"/>
      <c r="FM83" s="470"/>
      <c r="FN83" s="470"/>
      <c r="FO83" s="470"/>
      <c r="FP83" s="470"/>
      <c r="FQ83" s="470"/>
      <c r="FR83" s="470"/>
      <c r="FS83" s="470"/>
      <c r="FT83" s="470"/>
      <c r="FU83" s="470"/>
      <c r="FV83" s="470"/>
      <c r="FW83" s="470"/>
      <c r="FX83" s="470"/>
      <c r="FY83" s="470"/>
      <c r="FZ83" s="470"/>
      <c r="GA83" s="470"/>
      <c r="GB83" s="470"/>
      <c r="GC83" s="470"/>
      <c r="GD83" s="470"/>
      <c r="GE83" s="470"/>
      <c r="GF83" s="470"/>
      <c r="GG83" s="470"/>
      <c r="GH83" s="470"/>
      <c r="GI83" s="470"/>
      <c r="GJ83" s="470"/>
      <c r="GK83" s="470"/>
      <c r="GL83" s="470"/>
      <c r="GM83" s="470"/>
      <c r="GN83" s="470"/>
      <c r="GO83" s="470"/>
      <c r="GP83" s="470"/>
      <c r="GQ83" s="470"/>
      <c r="GR83" s="470"/>
      <c r="GS83" s="470"/>
      <c r="GT83" s="470"/>
      <c r="GU83" s="470"/>
      <c r="GV83" s="470"/>
      <c r="GW83" s="470"/>
      <c r="GX83" s="470"/>
      <c r="GY83" s="470"/>
      <c r="GZ83" s="470"/>
      <c r="HA83" s="470"/>
      <c r="HB83" s="470"/>
      <c r="HC83" s="470"/>
      <c r="HD83" s="470"/>
      <c r="HE83" s="470"/>
      <c r="HF83" s="470"/>
      <c r="HG83" s="470"/>
      <c r="HH83" s="470"/>
      <c r="HI83" s="470"/>
      <c r="HJ83" s="470"/>
      <c r="HK83" s="470"/>
      <c r="HL83" s="470"/>
      <c r="HM83" s="470"/>
      <c r="HN83" s="470"/>
      <c r="HO83" s="470"/>
      <c r="HP83" s="470"/>
      <c r="HQ83" s="470"/>
      <c r="HR83" s="470"/>
      <c r="HS83" s="470"/>
      <c r="HT83" s="470"/>
      <c r="HU83" s="470"/>
      <c r="HV83" s="470"/>
      <c r="HW83" s="470"/>
      <c r="HX83" s="470"/>
      <c r="HY83" s="470"/>
      <c r="HZ83" s="470"/>
      <c r="IA83" s="470"/>
      <c r="IB83" s="470"/>
      <c r="IC83" s="470"/>
      <c r="ID83" s="470"/>
      <c r="IE83" s="470"/>
      <c r="IF83" s="470"/>
      <c r="IG83" s="470"/>
      <c r="IH83" s="470"/>
      <c r="II83" s="470"/>
      <c r="IJ83" s="470"/>
      <c r="IK83" s="470"/>
      <c r="IL83" s="470"/>
      <c r="IM83" s="470"/>
      <c r="IN83" s="470"/>
      <c r="IO83" s="470"/>
      <c r="IP83" s="470"/>
      <c r="IQ83" s="470"/>
    </row>
    <row r="84" spans="1:251" x14ac:dyDescent="0.2">
      <c r="A84" s="453" t="s">
        <v>9876</v>
      </c>
      <c r="B84" s="453" t="s">
        <v>9877</v>
      </c>
      <c r="C84" s="473" t="s">
        <v>386</v>
      </c>
      <c r="D84" s="455" t="s">
        <v>9709</v>
      </c>
      <c r="E84" s="456" t="s">
        <v>9705</v>
      </c>
      <c r="F84" s="456" t="s">
        <v>6223</v>
      </c>
      <c r="G84" s="456" t="s">
        <v>9711</v>
      </c>
      <c r="H84" s="457">
        <v>577.80000000000007</v>
      </c>
      <c r="I84" s="457">
        <f t="shared" si="7"/>
        <v>621.13499999999999</v>
      </c>
      <c r="J84" s="457" t="s">
        <v>9706</v>
      </c>
      <c r="K84" s="458">
        <v>0.45</v>
      </c>
      <c r="L84" s="459">
        <f t="shared" si="4"/>
        <v>317.79000000000008</v>
      </c>
      <c r="M84" s="460">
        <v>0.21</v>
      </c>
      <c r="N84" s="461">
        <f t="shared" si="5"/>
        <v>490.69665000000003</v>
      </c>
      <c r="O84" s="462">
        <v>0.14000000000000001</v>
      </c>
      <c r="P84" s="463">
        <f t="shared" si="6"/>
        <v>534.17610000000002</v>
      </c>
      <c r="Q84" s="464"/>
      <c r="R84" s="465">
        <v>6</v>
      </c>
      <c r="S84" s="465">
        <v>6</v>
      </c>
      <c r="T84" s="465">
        <v>6</v>
      </c>
      <c r="U84" s="466"/>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c r="CO84" s="470"/>
      <c r="CP84" s="470"/>
      <c r="CQ84" s="470"/>
      <c r="CR84" s="470"/>
      <c r="CS84" s="470"/>
      <c r="CT84" s="470"/>
      <c r="CU84" s="470"/>
      <c r="CV84" s="470"/>
      <c r="CW84" s="470"/>
      <c r="CX84" s="470"/>
      <c r="CY84" s="470"/>
      <c r="CZ84" s="470"/>
      <c r="DA84" s="470"/>
      <c r="DB84" s="470"/>
      <c r="DC84" s="470"/>
      <c r="DD84" s="470"/>
      <c r="DE84" s="470"/>
      <c r="DF84" s="470"/>
      <c r="DG84" s="470"/>
      <c r="DH84" s="470"/>
      <c r="DI84" s="470"/>
      <c r="DJ84" s="470"/>
      <c r="DK84" s="470"/>
      <c r="DL84" s="470"/>
      <c r="DM84" s="470"/>
      <c r="DN84" s="470"/>
      <c r="DO84" s="470"/>
      <c r="DP84" s="470"/>
      <c r="DQ84" s="470"/>
      <c r="DR84" s="470"/>
      <c r="DS84" s="470"/>
      <c r="DT84" s="470"/>
      <c r="DU84" s="470"/>
      <c r="DV84" s="470"/>
      <c r="DW84" s="470"/>
      <c r="DX84" s="470"/>
      <c r="DY84" s="470"/>
      <c r="DZ84" s="470"/>
      <c r="EA84" s="470"/>
      <c r="EB84" s="470"/>
      <c r="EC84" s="470"/>
      <c r="ED84" s="470"/>
      <c r="EE84" s="470"/>
      <c r="EF84" s="470"/>
      <c r="EG84" s="470"/>
      <c r="EH84" s="470"/>
      <c r="EI84" s="470"/>
      <c r="EJ84" s="470"/>
      <c r="EK84" s="470"/>
      <c r="EL84" s="470"/>
      <c r="EM84" s="470"/>
      <c r="EN84" s="470"/>
      <c r="EO84" s="470"/>
      <c r="EP84" s="470"/>
      <c r="EQ84" s="470"/>
      <c r="ER84" s="470"/>
      <c r="ES84" s="470"/>
      <c r="ET84" s="470"/>
      <c r="EU84" s="470"/>
      <c r="EV84" s="470"/>
      <c r="EW84" s="470"/>
      <c r="EX84" s="470"/>
      <c r="EY84" s="470"/>
      <c r="EZ84" s="470"/>
      <c r="FA84" s="470"/>
      <c r="FB84" s="470"/>
      <c r="FC84" s="470"/>
      <c r="FD84" s="470"/>
      <c r="FE84" s="470"/>
      <c r="FF84" s="470"/>
      <c r="FG84" s="470"/>
      <c r="FH84" s="470"/>
      <c r="FI84" s="470"/>
      <c r="FJ84" s="470"/>
      <c r="FK84" s="470"/>
      <c r="FL84" s="470"/>
      <c r="FM84" s="470"/>
      <c r="FN84" s="470"/>
      <c r="FO84" s="470"/>
      <c r="FP84" s="470"/>
      <c r="FQ84" s="470"/>
      <c r="FR84" s="470"/>
      <c r="FS84" s="470"/>
      <c r="FT84" s="470"/>
      <c r="FU84" s="470"/>
      <c r="FV84" s="470"/>
      <c r="FW84" s="470"/>
      <c r="FX84" s="470"/>
      <c r="FY84" s="470"/>
      <c r="FZ84" s="470"/>
      <c r="GA84" s="470"/>
      <c r="GB84" s="470"/>
      <c r="GC84" s="470"/>
      <c r="GD84" s="470"/>
      <c r="GE84" s="470"/>
      <c r="GF84" s="470"/>
      <c r="GG84" s="470"/>
      <c r="GH84" s="470"/>
      <c r="GI84" s="470"/>
      <c r="GJ84" s="470"/>
      <c r="GK84" s="470"/>
      <c r="GL84" s="470"/>
      <c r="GM84" s="470"/>
      <c r="GN84" s="470"/>
      <c r="GO84" s="470"/>
      <c r="GP84" s="470"/>
      <c r="GQ84" s="470"/>
      <c r="GR84" s="470"/>
      <c r="GS84" s="470"/>
      <c r="GT84" s="470"/>
      <c r="GU84" s="470"/>
      <c r="GV84" s="470"/>
      <c r="GW84" s="470"/>
      <c r="GX84" s="470"/>
      <c r="GY84" s="470"/>
      <c r="GZ84" s="470"/>
      <c r="HA84" s="470"/>
      <c r="HB84" s="470"/>
      <c r="HC84" s="470"/>
      <c r="HD84" s="470"/>
      <c r="HE84" s="470"/>
      <c r="HF84" s="470"/>
      <c r="HG84" s="470"/>
      <c r="HH84" s="470"/>
      <c r="HI84" s="470"/>
      <c r="HJ84" s="470"/>
      <c r="HK84" s="470"/>
      <c r="HL84" s="470"/>
      <c r="HM84" s="470"/>
      <c r="HN84" s="470"/>
      <c r="HO84" s="470"/>
      <c r="HP84" s="470"/>
      <c r="HQ84" s="470"/>
      <c r="HR84" s="470"/>
      <c r="HS84" s="470"/>
      <c r="HT84" s="470"/>
      <c r="HU84" s="470"/>
      <c r="HV84" s="470"/>
      <c r="HW84" s="470"/>
      <c r="HX84" s="470"/>
      <c r="HY84" s="470"/>
      <c r="HZ84" s="470"/>
      <c r="IA84" s="470"/>
      <c r="IB84" s="470"/>
      <c r="IC84" s="470"/>
      <c r="ID84" s="470"/>
      <c r="IE84" s="470"/>
      <c r="IF84" s="470"/>
      <c r="IG84" s="470"/>
      <c r="IH84" s="470"/>
      <c r="II84" s="470"/>
      <c r="IJ84" s="470"/>
      <c r="IK84" s="470"/>
      <c r="IL84" s="470"/>
      <c r="IM84" s="470"/>
      <c r="IN84" s="470"/>
      <c r="IO84" s="470"/>
      <c r="IP84" s="470"/>
      <c r="IQ84" s="470"/>
    </row>
    <row r="85" spans="1:251" x14ac:dyDescent="0.2">
      <c r="A85" s="453" t="s">
        <v>9878</v>
      </c>
      <c r="B85" s="453" t="s">
        <v>9879</v>
      </c>
      <c r="C85" s="473" t="s">
        <v>386</v>
      </c>
      <c r="D85" s="455" t="s">
        <v>9709</v>
      </c>
      <c r="E85" s="456" t="s">
        <v>9710</v>
      </c>
      <c r="F85" s="456" t="s">
        <v>6223</v>
      </c>
      <c r="G85" s="456" t="s">
        <v>9711</v>
      </c>
      <c r="H85" s="457">
        <v>577.80000000000007</v>
      </c>
      <c r="I85" s="457">
        <f t="shared" si="7"/>
        <v>621.13499999999999</v>
      </c>
      <c r="J85" s="457" t="s">
        <v>9706</v>
      </c>
      <c r="K85" s="458">
        <v>0.45</v>
      </c>
      <c r="L85" s="459">
        <f t="shared" si="4"/>
        <v>317.79000000000008</v>
      </c>
      <c r="M85" s="460">
        <v>0.21</v>
      </c>
      <c r="N85" s="461">
        <f t="shared" si="5"/>
        <v>490.69665000000003</v>
      </c>
      <c r="O85" s="462">
        <v>0.14000000000000001</v>
      </c>
      <c r="P85" s="463">
        <f t="shared" si="6"/>
        <v>534.17610000000002</v>
      </c>
      <c r="Q85" s="464"/>
      <c r="R85" s="465">
        <v>2</v>
      </c>
      <c r="S85" s="465">
        <v>2</v>
      </c>
      <c r="T85" s="465">
        <v>2</v>
      </c>
      <c r="U85" s="466"/>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c r="CO85" s="470"/>
      <c r="CP85" s="470"/>
      <c r="CQ85" s="470"/>
      <c r="CR85" s="470"/>
      <c r="CS85" s="470"/>
      <c r="CT85" s="470"/>
      <c r="CU85" s="470"/>
      <c r="CV85" s="470"/>
      <c r="CW85" s="470"/>
      <c r="CX85" s="470"/>
      <c r="CY85" s="470"/>
      <c r="CZ85" s="470"/>
      <c r="DA85" s="470"/>
      <c r="DB85" s="470"/>
      <c r="DC85" s="470"/>
      <c r="DD85" s="470"/>
      <c r="DE85" s="470"/>
      <c r="DF85" s="470"/>
      <c r="DG85" s="470"/>
      <c r="DH85" s="470"/>
      <c r="DI85" s="470"/>
      <c r="DJ85" s="470"/>
      <c r="DK85" s="470"/>
      <c r="DL85" s="470"/>
      <c r="DM85" s="470"/>
      <c r="DN85" s="470"/>
      <c r="DO85" s="470"/>
      <c r="DP85" s="470"/>
      <c r="DQ85" s="470"/>
      <c r="DR85" s="470"/>
      <c r="DS85" s="470"/>
      <c r="DT85" s="470"/>
      <c r="DU85" s="470"/>
      <c r="DV85" s="470"/>
      <c r="DW85" s="470"/>
      <c r="DX85" s="470"/>
      <c r="DY85" s="470"/>
      <c r="DZ85" s="470"/>
      <c r="EA85" s="470"/>
      <c r="EB85" s="470"/>
      <c r="EC85" s="470"/>
      <c r="ED85" s="470"/>
      <c r="EE85" s="470"/>
      <c r="EF85" s="470"/>
      <c r="EG85" s="470"/>
      <c r="EH85" s="470"/>
      <c r="EI85" s="470"/>
      <c r="EJ85" s="470"/>
      <c r="EK85" s="470"/>
      <c r="EL85" s="470"/>
      <c r="EM85" s="470"/>
      <c r="EN85" s="470"/>
      <c r="EO85" s="470"/>
      <c r="EP85" s="470"/>
      <c r="EQ85" s="470"/>
      <c r="ER85" s="470"/>
      <c r="ES85" s="470"/>
      <c r="ET85" s="470"/>
      <c r="EU85" s="470"/>
      <c r="EV85" s="470"/>
      <c r="EW85" s="470"/>
      <c r="EX85" s="470"/>
      <c r="EY85" s="470"/>
      <c r="EZ85" s="470"/>
      <c r="FA85" s="470"/>
      <c r="FB85" s="470"/>
      <c r="FC85" s="470"/>
      <c r="FD85" s="470"/>
      <c r="FE85" s="470"/>
      <c r="FF85" s="470"/>
      <c r="FG85" s="470"/>
      <c r="FH85" s="470"/>
      <c r="FI85" s="470"/>
      <c r="FJ85" s="470"/>
      <c r="FK85" s="470"/>
      <c r="FL85" s="470"/>
      <c r="FM85" s="470"/>
      <c r="FN85" s="470"/>
      <c r="FO85" s="470"/>
      <c r="FP85" s="470"/>
      <c r="FQ85" s="470"/>
      <c r="FR85" s="470"/>
      <c r="FS85" s="470"/>
      <c r="FT85" s="470"/>
      <c r="FU85" s="470"/>
      <c r="FV85" s="470"/>
      <c r="FW85" s="470"/>
      <c r="FX85" s="470"/>
      <c r="FY85" s="470"/>
      <c r="FZ85" s="470"/>
      <c r="GA85" s="470"/>
      <c r="GB85" s="470"/>
      <c r="GC85" s="470"/>
      <c r="GD85" s="470"/>
      <c r="GE85" s="470"/>
      <c r="GF85" s="470"/>
      <c r="GG85" s="470"/>
      <c r="GH85" s="470"/>
      <c r="GI85" s="470"/>
      <c r="GJ85" s="470"/>
      <c r="GK85" s="470"/>
      <c r="GL85" s="470"/>
      <c r="GM85" s="470"/>
      <c r="GN85" s="470"/>
      <c r="GO85" s="470"/>
      <c r="GP85" s="470"/>
      <c r="GQ85" s="470"/>
      <c r="GR85" s="470"/>
      <c r="GS85" s="470"/>
      <c r="GT85" s="470"/>
      <c r="GU85" s="470"/>
      <c r="GV85" s="470"/>
      <c r="GW85" s="470"/>
      <c r="GX85" s="470"/>
      <c r="GY85" s="470"/>
      <c r="GZ85" s="470"/>
      <c r="HA85" s="470"/>
      <c r="HB85" s="470"/>
      <c r="HC85" s="470"/>
      <c r="HD85" s="470"/>
      <c r="HE85" s="470"/>
      <c r="HF85" s="470"/>
      <c r="HG85" s="470"/>
      <c r="HH85" s="470"/>
      <c r="HI85" s="470"/>
      <c r="HJ85" s="470"/>
      <c r="HK85" s="470"/>
      <c r="HL85" s="470"/>
      <c r="HM85" s="470"/>
      <c r="HN85" s="470"/>
      <c r="HO85" s="470"/>
      <c r="HP85" s="470"/>
      <c r="HQ85" s="470"/>
      <c r="HR85" s="470"/>
      <c r="HS85" s="470"/>
      <c r="HT85" s="470"/>
      <c r="HU85" s="470"/>
      <c r="HV85" s="470"/>
      <c r="HW85" s="470"/>
      <c r="HX85" s="470"/>
      <c r="HY85" s="470"/>
      <c r="HZ85" s="470"/>
      <c r="IA85" s="470"/>
      <c r="IB85" s="470"/>
      <c r="IC85" s="470"/>
      <c r="ID85" s="470"/>
      <c r="IE85" s="470"/>
      <c r="IF85" s="470"/>
      <c r="IG85" s="470"/>
      <c r="IH85" s="470"/>
      <c r="II85" s="470"/>
      <c r="IJ85" s="470"/>
      <c r="IK85" s="470"/>
      <c r="IL85" s="470"/>
      <c r="IM85" s="470"/>
      <c r="IN85" s="470"/>
      <c r="IO85" s="470"/>
      <c r="IP85" s="470"/>
      <c r="IQ85" s="470"/>
    </row>
    <row r="86" spans="1:251" x14ac:dyDescent="0.2">
      <c r="A86" s="474" t="s">
        <v>9880</v>
      </c>
      <c r="B86" s="474" t="s">
        <v>9881</v>
      </c>
      <c r="C86" s="473" t="s">
        <v>386</v>
      </c>
      <c r="D86" s="455" t="s">
        <v>9709</v>
      </c>
      <c r="E86" s="456" t="s">
        <v>9705</v>
      </c>
      <c r="F86" s="456" t="s">
        <v>6223</v>
      </c>
      <c r="G86" s="456" t="s">
        <v>7180</v>
      </c>
      <c r="H86" s="457">
        <v>114.48</v>
      </c>
      <c r="I86" s="457">
        <f t="shared" si="7"/>
        <v>123.066</v>
      </c>
      <c r="J86" s="457" t="s">
        <v>9706</v>
      </c>
      <c r="K86" s="458">
        <v>0.3</v>
      </c>
      <c r="L86" s="459">
        <f t="shared" si="4"/>
        <v>80.135999999999996</v>
      </c>
      <c r="M86" s="460">
        <v>0.18</v>
      </c>
      <c r="N86" s="461">
        <f t="shared" si="5"/>
        <v>100.91412000000001</v>
      </c>
      <c r="O86" s="462">
        <v>0.1</v>
      </c>
      <c r="P86" s="463">
        <f t="shared" si="6"/>
        <v>110.7594</v>
      </c>
      <c r="Q86" s="464"/>
      <c r="R86" s="465">
        <v>2</v>
      </c>
      <c r="S86" s="465">
        <v>2</v>
      </c>
      <c r="T86" s="465">
        <v>2</v>
      </c>
      <c r="U86" s="466"/>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70"/>
      <c r="CL86" s="470"/>
      <c r="CM86" s="470"/>
      <c r="CN86" s="470"/>
      <c r="CO86" s="470"/>
      <c r="CP86" s="470"/>
      <c r="CQ86" s="470"/>
      <c r="CR86" s="470"/>
      <c r="CS86" s="470"/>
      <c r="CT86" s="470"/>
      <c r="CU86" s="470"/>
      <c r="CV86" s="470"/>
      <c r="CW86" s="470"/>
      <c r="CX86" s="470"/>
      <c r="CY86" s="470"/>
      <c r="CZ86" s="470"/>
      <c r="DA86" s="470"/>
      <c r="DB86" s="470"/>
      <c r="DC86" s="470"/>
      <c r="DD86" s="470"/>
      <c r="DE86" s="470"/>
      <c r="DF86" s="470"/>
      <c r="DG86" s="470"/>
      <c r="DH86" s="470"/>
      <c r="DI86" s="470"/>
      <c r="DJ86" s="470"/>
      <c r="DK86" s="470"/>
      <c r="DL86" s="470"/>
      <c r="DM86" s="470"/>
      <c r="DN86" s="470"/>
      <c r="DO86" s="470"/>
      <c r="DP86" s="470"/>
      <c r="DQ86" s="470"/>
      <c r="DR86" s="470"/>
      <c r="DS86" s="470"/>
      <c r="DT86" s="470"/>
      <c r="DU86" s="470"/>
      <c r="DV86" s="470"/>
      <c r="DW86" s="470"/>
      <c r="DX86" s="470"/>
      <c r="DY86" s="470"/>
      <c r="DZ86" s="470"/>
      <c r="EA86" s="470"/>
      <c r="EB86" s="470"/>
      <c r="EC86" s="470"/>
      <c r="ED86" s="470"/>
      <c r="EE86" s="470"/>
      <c r="EF86" s="470"/>
      <c r="EG86" s="470"/>
      <c r="EH86" s="470"/>
      <c r="EI86" s="470"/>
      <c r="EJ86" s="470"/>
      <c r="EK86" s="470"/>
      <c r="EL86" s="470"/>
      <c r="EM86" s="470"/>
      <c r="EN86" s="470"/>
      <c r="EO86" s="470"/>
      <c r="EP86" s="470"/>
      <c r="EQ86" s="470"/>
      <c r="ER86" s="470"/>
      <c r="ES86" s="470"/>
      <c r="ET86" s="470"/>
      <c r="EU86" s="470"/>
      <c r="EV86" s="470"/>
      <c r="EW86" s="470"/>
      <c r="EX86" s="470"/>
      <c r="EY86" s="470"/>
      <c r="EZ86" s="470"/>
      <c r="FA86" s="470"/>
      <c r="FB86" s="470"/>
      <c r="FC86" s="470"/>
      <c r="FD86" s="470"/>
      <c r="FE86" s="470"/>
      <c r="FF86" s="470"/>
      <c r="FG86" s="470"/>
      <c r="FH86" s="470"/>
      <c r="FI86" s="470"/>
      <c r="FJ86" s="470"/>
      <c r="FK86" s="470"/>
      <c r="FL86" s="470"/>
      <c r="FM86" s="470"/>
      <c r="FN86" s="470"/>
      <c r="FO86" s="470"/>
      <c r="FP86" s="470"/>
      <c r="FQ86" s="470"/>
      <c r="FR86" s="470"/>
      <c r="FS86" s="470"/>
      <c r="FT86" s="470"/>
      <c r="FU86" s="470"/>
      <c r="FV86" s="470"/>
      <c r="FW86" s="470"/>
      <c r="FX86" s="470"/>
      <c r="FY86" s="470"/>
      <c r="FZ86" s="470"/>
      <c r="GA86" s="470"/>
      <c r="GB86" s="470"/>
      <c r="GC86" s="470"/>
      <c r="GD86" s="470"/>
      <c r="GE86" s="470"/>
      <c r="GF86" s="470"/>
      <c r="GG86" s="470"/>
      <c r="GH86" s="470"/>
      <c r="GI86" s="470"/>
      <c r="GJ86" s="470"/>
      <c r="GK86" s="470"/>
      <c r="GL86" s="470"/>
      <c r="GM86" s="470"/>
      <c r="GN86" s="470"/>
      <c r="GO86" s="470"/>
      <c r="GP86" s="470"/>
      <c r="GQ86" s="470"/>
      <c r="GR86" s="470"/>
      <c r="GS86" s="470"/>
      <c r="GT86" s="470"/>
      <c r="GU86" s="470"/>
      <c r="GV86" s="470"/>
      <c r="GW86" s="470"/>
      <c r="GX86" s="470"/>
      <c r="GY86" s="470"/>
      <c r="GZ86" s="470"/>
      <c r="HA86" s="470"/>
      <c r="HB86" s="470"/>
      <c r="HC86" s="470"/>
      <c r="HD86" s="470"/>
      <c r="HE86" s="470"/>
      <c r="HF86" s="470"/>
      <c r="HG86" s="470"/>
      <c r="HH86" s="470"/>
      <c r="HI86" s="470"/>
      <c r="HJ86" s="470"/>
      <c r="HK86" s="470"/>
      <c r="HL86" s="470"/>
      <c r="HM86" s="470"/>
      <c r="HN86" s="470"/>
      <c r="HO86" s="470"/>
      <c r="HP86" s="470"/>
      <c r="HQ86" s="470"/>
      <c r="HR86" s="470"/>
      <c r="HS86" s="470"/>
      <c r="HT86" s="470"/>
      <c r="HU86" s="470"/>
      <c r="HV86" s="470"/>
      <c r="HW86" s="470"/>
      <c r="HX86" s="470"/>
      <c r="HY86" s="470"/>
      <c r="HZ86" s="470"/>
      <c r="IA86" s="470"/>
      <c r="IB86" s="470"/>
      <c r="IC86" s="470"/>
      <c r="ID86" s="470"/>
      <c r="IE86" s="470"/>
      <c r="IF86" s="470"/>
      <c r="IG86" s="470"/>
      <c r="IH86" s="470"/>
      <c r="II86" s="470"/>
      <c r="IJ86" s="470"/>
      <c r="IK86" s="470"/>
      <c r="IL86" s="470"/>
      <c r="IM86" s="470"/>
      <c r="IN86" s="470"/>
      <c r="IO86" s="470"/>
      <c r="IP86" s="470"/>
      <c r="IQ86" s="470"/>
    </row>
    <row r="87" spans="1:251" x14ac:dyDescent="0.2">
      <c r="A87" s="453" t="s">
        <v>9882</v>
      </c>
      <c r="B87" s="453" t="s">
        <v>9883</v>
      </c>
      <c r="C87" s="473" t="s">
        <v>386</v>
      </c>
      <c r="D87" s="455" t="s">
        <v>9709</v>
      </c>
      <c r="E87" s="456" t="s">
        <v>9710</v>
      </c>
      <c r="F87" s="456" t="s">
        <v>6223</v>
      </c>
      <c r="G87" s="456" t="s">
        <v>7180</v>
      </c>
      <c r="H87" s="457">
        <v>114.48</v>
      </c>
      <c r="I87" s="457">
        <f t="shared" si="7"/>
        <v>123.066</v>
      </c>
      <c r="J87" s="457" t="s">
        <v>9706</v>
      </c>
      <c r="K87" s="458">
        <v>0.3</v>
      </c>
      <c r="L87" s="459">
        <f t="shared" si="4"/>
        <v>80.135999999999996</v>
      </c>
      <c r="M87" s="460">
        <v>0.18</v>
      </c>
      <c r="N87" s="461">
        <f t="shared" si="5"/>
        <v>100.91412000000001</v>
      </c>
      <c r="O87" s="462">
        <v>0.1</v>
      </c>
      <c r="P87" s="463">
        <f t="shared" si="6"/>
        <v>110.7594</v>
      </c>
      <c r="Q87" s="464"/>
      <c r="R87" s="465">
        <v>2</v>
      </c>
      <c r="S87" s="465">
        <v>2</v>
      </c>
      <c r="T87" s="465">
        <v>2</v>
      </c>
      <c r="U87" s="466"/>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70"/>
      <c r="CL87" s="470"/>
      <c r="CM87" s="470"/>
      <c r="CN87" s="470"/>
      <c r="CO87" s="470"/>
      <c r="CP87" s="470"/>
      <c r="CQ87" s="470"/>
      <c r="CR87" s="470"/>
      <c r="CS87" s="470"/>
      <c r="CT87" s="470"/>
      <c r="CU87" s="470"/>
      <c r="CV87" s="470"/>
      <c r="CW87" s="470"/>
      <c r="CX87" s="470"/>
      <c r="CY87" s="470"/>
      <c r="CZ87" s="470"/>
      <c r="DA87" s="470"/>
      <c r="DB87" s="470"/>
      <c r="DC87" s="470"/>
      <c r="DD87" s="470"/>
      <c r="DE87" s="470"/>
      <c r="DF87" s="470"/>
      <c r="DG87" s="470"/>
      <c r="DH87" s="470"/>
      <c r="DI87" s="470"/>
      <c r="DJ87" s="470"/>
      <c r="DK87" s="470"/>
      <c r="DL87" s="470"/>
      <c r="DM87" s="470"/>
      <c r="DN87" s="470"/>
      <c r="DO87" s="470"/>
      <c r="DP87" s="470"/>
      <c r="DQ87" s="470"/>
      <c r="DR87" s="470"/>
      <c r="DS87" s="470"/>
      <c r="DT87" s="470"/>
      <c r="DU87" s="470"/>
      <c r="DV87" s="470"/>
      <c r="DW87" s="470"/>
      <c r="DX87" s="470"/>
      <c r="DY87" s="470"/>
      <c r="DZ87" s="470"/>
      <c r="EA87" s="470"/>
      <c r="EB87" s="470"/>
      <c r="EC87" s="470"/>
      <c r="ED87" s="470"/>
      <c r="EE87" s="470"/>
      <c r="EF87" s="470"/>
      <c r="EG87" s="470"/>
      <c r="EH87" s="470"/>
      <c r="EI87" s="470"/>
      <c r="EJ87" s="470"/>
      <c r="EK87" s="470"/>
      <c r="EL87" s="470"/>
      <c r="EM87" s="470"/>
      <c r="EN87" s="470"/>
      <c r="EO87" s="470"/>
      <c r="EP87" s="470"/>
      <c r="EQ87" s="470"/>
      <c r="ER87" s="470"/>
      <c r="ES87" s="470"/>
      <c r="ET87" s="470"/>
      <c r="EU87" s="470"/>
      <c r="EV87" s="470"/>
      <c r="EW87" s="470"/>
      <c r="EX87" s="470"/>
      <c r="EY87" s="470"/>
      <c r="EZ87" s="470"/>
      <c r="FA87" s="470"/>
      <c r="FB87" s="470"/>
      <c r="FC87" s="470"/>
      <c r="FD87" s="470"/>
      <c r="FE87" s="470"/>
      <c r="FF87" s="470"/>
      <c r="FG87" s="470"/>
      <c r="FH87" s="470"/>
      <c r="FI87" s="470"/>
      <c r="FJ87" s="470"/>
      <c r="FK87" s="470"/>
      <c r="FL87" s="470"/>
      <c r="FM87" s="470"/>
      <c r="FN87" s="470"/>
      <c r="FO87" s="470"/>
      <c r="FP87" s="470"/>
      <c r="FQ87" s="470"/>
      <c r="FR87" s="470"/>
      <c r="FS87" s="470"/>
      <c r="FT87" s="470"/>
      <c r="FU87" s="470"/>
      <c r="FV87" s="470"/>
      <c r="FW87" s="470"/>
      <c r="FX87" s="470"/>
      <c r="FY87" s="470"/>
      <c r="FZ87" s="470"/>
      <c r="GA87" s="470"/>
      <c r="GB87" s="470"/>
      <c r="GC87" s="470"/>
      <c r="GD87" s="470"/>
      <c r="GE87" s="470"/>
      <c r="GF87" s="470"/>
      <c r="GG87" s="470"/>
      <c r="GH87" s="470"/>
      <c r="GI87" s="470"/>
      <c r="GJ87" s="470"/>
      <c r="GK87" s="470"/>
      <c r="GL87" s="470"/>
      <c r="GM87" s="470"/>
      <c r="GN87" s="470"/>
      <c r="GO87" s="470"/>
      <c r="GP87" s="470"/>
      <c r="GQ87" s="470"/>
      <c r="GR87" s="470"/>
      <c r="GS87" s="470"/>
      <c r="GT87" s="470"/>
      <c r="GU87" s="470"/>
      <c r="GV87" s="470"/>
      <c r="GW87" s="470"/>
      <c r="GX87" s="470"/>
      <c r="GY87" s="470"/>
      <c r="GZ87" s="470"/>
      <c r="HA87" s="470"/>
      <c r="HB87" s="470"/>
      <c r="HC87" s="470"/>
      <c r="HD87" s="470"/>
      <c r="HE87" s="470"/>
      <c r="HF87" s="470"/>
      <c r="HG87" s="470"/>
      <c r="HH87" s="470"/>
      <c r="HI87" s="470"/>
      <c r="HJ87" s="470"/>
      <c r="HK87" s="470"/>
      <c r="HL87" s="470"/>
      <c r="HM87" s="470"/>
      <c r="HN87" s="470"/>
      <c r="HO87" s="470"/>
      <c r="HP87" s="470"/>
      <c r="HQ87" s="470"/>
      <c r="HR87" s="470"/>
      <c r="HS87" s="470"/>
      <c r="HT87" s="470"/>
      <c r="HU87" s="470"/>
      <c r="HV87" s="470"/>
      <c r="HW87" s="470"/>
      <c r="HX87" s="470"/>
      <c r="HY87" s="470"/>
      <c r="HZ87" s="470"/>
      <c r="IA87" s="470"/>
      <c r="IB87" s="470"/>
      <c r="IC87" s="470"/>
      <c r="ID87" s="470"/>
      <c r="IE87" s="470"/>
      <c r="IF87" s="470"/>
      <c r="IG87" s="470"/>
      <c r="IH87" s="470"/>
      <c r="II87" s="470"/>
      <c r="IJ87" s="470"/>
      <c r="IK87" s="470"/>
      <c r="IL87" s="470"/>
      <c r="IM87" s="470"/>
      <c r="IN87" s="470"/>
      <c r="IO87" s="470"/>
      <c r="IP87" s="470"/>
      <c r="IQ87" s="470"/>
    </row>
    <row r="88" spans="1:251" x14ac:dyDescent="0.2">
      <c r="A88" s="453" t="s">
        <v>9884</v>
      </c>
      <c r="B88" s="453" t="s">
        <v>9885</v>
      </c>
      <c r="C88" s="473" t="s">
        <v>386</v>
      </c>
      <c r="D88" s="455" t="s">
        <v>9709</v>
      </c>
      <c r="E88" s="456" t="s">
        <v>9710</v>
      </c>
      <c r="F88" s="456" t="s">
        <v>6223</v>
      </c>
      <c r="G88" s="456" t="s">
        <v>9711</v>
      </c>
      <c r="H88" s="457">
        <v>577.80000000000007</v>
      </c>
      <c r="I88" s="457">
        <f t="shared" si="7"/>
        <v>621.13499999999999</v>
      </c>
      <c r="J88" s="457" t="s">
        <v>9706</v>
      </c>
      <c r="K88" s="458">
        <v>0.45</v>
      </c>
      <c r="L88" s="459">
        <f t="shared" si="4"/>
        <v>317.79000000000008</v>
      </c>
      <c r="M88" s="460">
        <v>0.21</v>
      </c>
      <c r="N88" s="461">
        <f t="shared" si="5"/>
        <v>490.69665000000003</v>
      </c>
      <c r="O88" s="462">
        <v>0.14000000000000001</v>
      </c>
      <c r="P88" s="463">
        <f t="shared" si="6"/>
        <v>534.17610000000002</v>
      </c>
      <c r="Q88" s="464"/>
      <c r="R88" s="465">
        <v>2</v>
      </c>
      <c r="S88" s="465">
        <v>2</v>
      </c>
      <c r="T88" s="465">
        <v>2</v>
      </c>
      <c r="U88" s="466"/>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70"/>
      <c r="CL88" s="470"/>
      <c r="CM88" s="470"/>
      <c r="CN88" s="470"/>
      <c r="CO88" s="470"/>
      <c r="CP88" s="470"/>
      <c r="CQ88" s="470"/>
      <c r="CR88" s="470"/>
      <c r="CS88" s="470"/>
      <c r="CT88" s="470"/>
      <c r="CU88" s="470"/>
      <c r="CV88" s="470"/>
      <c r="CW88" s="470"/>
      <c r="CX88" s="470"/>
      <c r="CY88" s="470"/>
      <c r="CZ88" s="470"/>
      <c r="DA88" s="470"/>
      <c r="DB88" s="470"/>
      <c r="DC88" s="470"/>
      <c r="DD88" s="470"/>
      <c r="DE88" s="470"/>
      <c r="DF88" s="470"/>
      <c r="DG88" s="470"/>
      <c r="DH88" s="470"/>
      <c r="DI88" s="470"/>
      <c r="DJ88" s="470"/>
      <c r="DK88" s="470"/>
      <c r="DL88" s="470"/>
      <c r="DM88" s="470"/>
      <c r="DN88" s="470"/>
      <c r="DO88" s="470"/>
      <c r="DP88" s="470"/>
      <c r="DQ88" s="470"/>
      <c r="DR88" s="470"/>
      <c r="DS88" s="470"/>
      <c r="DT88" s="470"/>
      <c r="DU88" s="470"/>
      <c r="DV88" s="470"/>
      <c r="DW88" s="470"/>
      <c r="DX88" s="470"/>
      <c r="DY88" s="470"/>
      <c r="DZ88" s="470"/>
      <c r="EA88" s="470"/>
      <c r="EB88" s="470"/>
      <c r="EC88" s="470"/>
      <c r="ED88" s="470"/>
      <c r="EE88" s="470"/>
      <c r="EF88" s="470"/>
      <c r="EG88" s="470"/>
      <c r="EH88" s="470"/>
      <c r="EI88" s="470"/>
      <c r="EJ88" s="470"/>
      <c r="EK88" s="470"/>
      <c r="EL88" s="470"/>
      <c r="EM88" s="470"/>
      <c r="EN88" s="470"/>
      <c r="EO88" s="470"/>
      <c r="EP88" s="470"/>
      <c r="EQ88" s="470"/>
      <c r="ER88" s="470"/>
      <c r="ES88" s="470"/>
      <c r="ET88" s="470"/>
      <c r="EU88" s="470"/>
      <c r="EV88" s="470"/>
      <c r="EW88" s="470"/>
      <c r="EX88" s="470"/>
      <c r="EY88" s="470"/>
      <c r="EZ88" s="470"/>
      <c r="FA88" s="470"/>
      <c r="FB88" s="470"/>
      <c r="FC88" s="470"/>
      <c r="FD88" s="470"/>
      <c r="FE88" s="470"/>
      <c r="FF88" s="470"/>
      <c r="FG88" s="470"/>
      <c r="FH88" s="470"/>
      <c r="FI88" s="470"/>
      <c r="FJ88" s="470"/>
      <c r="FK88" s="470"/>
      <c r="FL88" s="470"/>
      <c r="FM88" s="470"/>
      <c r="FN88" s="470"/>
      <c r="FO88" s="470"/>
      <c r="FP88" s="470"/>
      <c r="FQ88" s="470"/>
      <c r="FR88" s="470"/>
      <c r="FS88" s="470"/>
      <c r="FT88" s="470"/>
      <c r="FU88" s="470"/>
      <c r="FV88" s="470"/>
      <c r="FW88" s="470"/>
      <c r="FX88" s="470"/>
      <c r="FY88" s="470"/>
      <c r="FZ88" s="470"/>
      <c r="GA88" s="470"/>
      <c r="GB88" s="470"/>
      <c r="GC88" s="470"/>
      <c r="GD88" s="470"/>
      <c r="GE88" s="470"/>
      <c r="GF88" s="470"/>
      <c r="GG88" s="470"/>
      <c r="GH88" s="470"/>
      <c r="GI88" s="470"/>
      <c r="GJ88" s="470"/>
      <c r="GK88" s="470"/>
      <c r="GL88" s="470"/>
      <c r="GM88" s="470"/>
      <c r="GN88" s="470"/>
      <c r="GO88" s="470"/>
      <c r="GP88" s="470"/>
      <c r="GQ88" s="470"/>
      <c r="GR88" s="470"/>
      <c r="GS88" s="470"/>
      <c r="GT88" s="470"/>
      <c r="GU88" s="470"/>
      <c r="GV88" s="470"/>
      <c r="GW88" s="470"/>
      <c r="GX88" s="470"/>
      <c r="GY88" s="470"/>
      <c r="GZ88" s="470"/>
      <c r="HA88" s="470"/>
      <c r="HB88" s="470"/>
      <c r="HC88" s="470"/>
      <c r="HD88" s="470"/>
      <c r="HE88" s="470"/>
      <c r="HF88" s="470"/>
      <c r="HG88" s="470"/>
      <c r="HH88" s="470"/>
      <c r="HI88" s="470"/>
      <c r="HJ88" s="470"/>
      <c r="HK88" s="470"/>
      <c r="HL88" s="470"/>
      <c r="HM88" s="470"/>
      <c r="HN88" s="470"/>
      <c r="HO88" s="470"/>
      <c r="HP88" s="470"/>
      <c r="HQ88" s="470"/>
      <c r="HR88" s="470"/>
      <c r="HS88" s="470"/>
      <c r="HT88" s="470"/>
      <c r="HU88" s="470"/>
      <c r="HV88" s="470"/>
      <c r="HW88" s="470"/>
      <c r="HX88" s="470"/>
      <c r="HY88" s="470"/>
      <c r="HZ88" s="470"/>
      <c r="IA88" s="470"/>
      <c r="IB88" s="470"/>
      <c r="IC88" s="470"/>
      <c r="ID88" s="470"/>
      <c r="IE88" s="470"/>
      <c r="IF88" s="470"/>
      <c r="IG88" s="470"/>
      <c r="IH88" s="470"/>
      <c r="II88" s="470"/>
      <c r="IJ88" s="470"/>
      <c r="IK88" s="470"/>
      <c r="IL88" s="470"/>
      <c r="IM88" s="470"/>
      <c r="IN88" s="470"/>
      <c r="IO88" s="470"/>
      <c r="IP88" s="470"/>
      <c r="IQ88" s="470"/>
    </row>
    <row r="89" spans="1:251" x14ac:dyDescent="0.2">
      <c r="A89" s="453" t="s">
        <v>9886</v>
      </c>
      <c r="B89" s="453" t="s">
        <v>9887</v>
      </c>
      <c r="C89" s="473" t="s">
        <v>386</v>
      </c>
      <c r="D89" s="455" t="s">
        <v>9709</v>
      </c>
      <c r="E89" s="456" t="s">
        <v>9710</v>
      </c>
      <c r="F89" s="456" t="s">
        <v>6223</v>
      </c>
      <c r="G89" s="456" t="s">
        <v>7180</v>
      </c>
      <c r="H89" s="457">
        <v>114.48</v>
      </c>
      <c r="I89" s="457">
        <f t="shared" si="7"/>
        <v>123.066</v>
      </c>
      <c r="J89" s="457" t="s">
        <v>9706</v>
      </c>
      <c r="K89" s="458">
        <v>0.3</v>
      </c>
      <c r="L89" s="459">
        <f t="shared" si="4"/>
        <v>80.135999999999996</v>
      </c>
      <c r="M89" s="460">
        <v>0.18</v>
      </c>
      <c r="N89" s="461">
        <f t="shared" si="5"/>
        <v>100.91412000000001</v>
      </c>
      <c r="O89" s="462">
        <v>0.1</v>
      </c>
      <c r="P89" s="463">
        <f t="shared" si="6"/>
        <v>110.7594</v>
      </c>
      <c r="Q89" s="464"/>
      <c r="R89" s="465">
        <v>2</v>
      </c>
      <c r="S89" s="465">
        <v>2</v>
      </c>
      <c r="T89" s="465">
        <v>2</v>
      </c>
      <c r="U89" s="466"/>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70"/>
      <c r="CL89" s="470"/>
      <c r="CM89" s="470"/>
      <c r="CN89" s="470"/>
      <c r="CO89" s="470"/>
      <c r="CP89" s="470"/>
      <c r="CQ89" s="470"/>
      <c r="CR89" s="470"/>
      <c r="CS89" s="470"/>
      <c r="CT89" s="470"/>
      <c r="CU89" s="470"/>
      <c r="CV89" s="470"/>
      <c r="CW89" s="470"/>
      <c r="CX89" s="470"/>
      <c r="CY89" s="470"/>
      <c r="CZ89" s="470"/>
      <c r="DA89" s="470"/>
      <c r="DB89" s="470"/>
      <c r="DC89" s="470"/>
      <c r="DD89" s="470"/>
      <c r="DE89" s="470"/>
      <c r="DF89" s="470"/>
      <c r="DG89" s="470"/>
      <c r="DH89" s="470"/>
      <c r="DI89" s="470"/>
      <c r="DJ89" s="470"/>
      <c r="DK89" s="470"/>
      <c r="DL89" s="470"/>
      <c r="DM89" s="470"/>
      <c r="DN89" s="470"/>
      <c r="DO89" s="470"/>
      <c r="DP89" s="470"/>
      <c r="DQ89" s="470"/>
      <c r="DR89" s="470"/>
      <c r="DS89" s="470"/>
      <c r="DT89" s="470"/>
      <c r="DU89" s="470"/>
      <c r="DV89" s="470"/>
      <c r="DW89" s="470"/>
      <c r="DX89" s="470"/>
      <c r="DY89" s="470"/>
      <c r="DZ89" s="470"/>
      <c r="EA89" s="470"/>
      <c r="EB89" s="470"/>
      <c r="EC89" s="470"/>
      <c r="ED89" s="470"/>
      <c r="EE89" s="470"/>
      <c r="EF89" s="470"/>
      <c r="EG89" s="470"/>
      <c r="EH89" s="470"/>
      <c r="EI89" s="470"/>
      <c r="EJ89" s="470"/>
      <c r="EK89" s="470"/>
      <c r="EL89" s="470"/>
      <c r="EM89" s="470"/>
      <c r="EN89" s="470"/>
      <c r="EO89" s="470"/>
      <c r="EP89" s="470"/>
      <c r="EQ89" s="470"/>
      <c r="ER89" s="470"/>
      <c r="ES89" s="470"/>
      <c r="ET89" s="470"/>
      <c r="EU89" s="470"/>
      <c r="EV89" s="470"/>
      <c r="EW89" s="470"/>
      <c r="EX89" s="470"/>
      <c r="EY89" s="470"/>
      <c r="EZ89" s="470"/>
      <c r="FA89" s="470"/>
      <c r="FB89" s="470"/>
      <c r="FC89" s="470"/>
      <c r="FD89" s="470"/>
      <c r="FE89" s="470"/>
      <c r="FF89" s="470"/>
      <c r="FG89" s="470"/>
      <c r="FH89" s="470"/>
      <c r="FI89" s="470"/>
      <c r="FJ89" s="470"/>
      <c r="FK89" s="470"/>
      <c r="FL89" s="470"/>
      <c r="FM89" s="470"/>
      <c r="FN89" s="470"/>
      <c r="FO89" s="470"/>
      <c r="FP89" s="470"/>
      <c r="FQ89" s="470"/>
      <c r="FR89" s="470"/>
      <c r="FS89" s="470"/>
      <c r="FT89" s="470"/>
      <c r="FU89" s="470"/>
      <c r="FV89" s="470"/>
      <c r="FW89" s="470"/>
      <c r="FX89" s="470"/>
      <c r="FY89" s="470"/>
      <c r="FZ89" s="470"/>
      <c r="GA89" s="470"/>
      <c r="GB89" s="470"/>
      <c r="GC89" s="470"/>
      <c r="GD89" s="470"/>
      <c r="GE89" s="470"/>
      <c r="GF89" s="470"/>
      <c r="GG89" s="470"/>
      <c r="GH89" s="470"/>
      <c r="GI89" s="470"/>
      <c r="GJ89" s="470"/>
      <c r="GK89" s="470"/>
      <c r="GL89" s="470"/>
      <c r="GM89" s="470"/>
      <c r="GN89" s="470"/>
      <c r="GO89" s="470"/>
      <c r="GP89" s="470"/>
      <c r="GQ89" s="470"/>
      <c r="GR89" s="470"/>
      <c r="GS89" s="470"/>
      <c r="GT89" s="470"/>
      <c r="GU89" s="470"/>
      <c r="GV89" s="470"/>
      <c r="GW89" s="470"/>
      <c r="GX89" s="470"/>
      <c r="GY89" s="470"/>
      <c r="GZ89" s="470"/>
      <c r="HA89" s="470"/>
      <c r="HB89" s="470"/>
      <c r="HC89" s="470"/>
      <c r="HD89" s="470"/>
      <c r="HE89" s="470"/>
      <c r="HF89" s="470"/>
      <c r="HG89" s="470"/>
      <c r="HH89" s="470"/>
      <c r="HI89" s="470"/>
      <c r="HJ89" s="470"/>
      <c r="HK89" s="470"/>
      <c r="HL89" s="470"/>
      <c r="HM89" s="470"/>
      <c r="HN89" s="470"/>
      <c r="HO89" s="470"/>
      <c r="HP89" s="470"/>
      <c r="HQ89" s="470"/>
      <c r="HR89" s="470"/>
      <c r="HS89" s="470"/>
      <c r="HT89" s="470"/>
      <c r="HU89" s="470"/>
      <c r="HV89" s="470"/>
      <c r="HW89" s="470"/>
      <c r="HX89" s="470"/>
      <c r="HY89" s="470"/>
      <c r="HZ89" s="470"/>
      <c r="IA89" s="470"/>
      <c r="IB89" s="470"/>
      <c r="IC89" s="470"/>
      <c r="ID89" s="470"/>
      <c r="IE89" s="470"/>
      <c r="IF89" s="470"/>
      <c r="IG89" s="470"/>
      <c r="IH89" s="470"/>
      <c r="II89" s="470"/>
      <c r="IJ89" s="470"/>
      <c r="IK89" s="470"/>
      <c r="IL89" s="470"/>
      <c r="IM89" s="470"/>
      <c r="IN89" s="470"/>
      <c r="IO89" s="470"/>
      <c r="IP89" s="470"/>
      <c r="IQ89" s="470"/>
    </row>
    <row r="90" spans="1:251" x14ac:dyDescent="0.2">
      <c r="A90" s="453" t="s">
        <v>9888</v>
      </c>
      <c r="B90" s="453" t="s">
        <v>9889</v>
      </c>
      <c r="C90" s="473" t="s">
        <v>386</v>
      </c>
      <c r="D90" s="455" t="s">
        <v>9709</v>
      </c>
      <c r="E90" s="456" t="s">
        <v>9734</v>
      </c>
      <c r="F90" s="456" t="s">
        <v>6223</v>
      </c>
      <c r="G90" s="456" t="s">
        <v>9711</v>
      </c>
      <c r="H90" s="457">
        <v>577.80000000000007</v>
      </c>
      <c r="I90" s="457">
        <f t="shared" si="7"/>
        <v>621.13499999999999</v>
      </c>
      <c r="J90" s="457" t="s">
        <v>9706</v>
      </c>
      <c r="K90" s="458">
        <v>0.45</v>
      </c>
      <c r="L90" s="459">
        <f t="shared" si="4"/>
        <v>317.79000000000008</v>
      </c>
      <c r="M90" s="460">
        <v>0.21</v>
      </c>
      <c r="N90" s="461">
        <f t="shared" si="5"/>
        <v>490.69665000000003</v>
      </c>
      <c r="O90" s="462">
        <v>0.14000000000000001</v>
      </c>
      <c r="P90" s="463">
        <f t="shared" si="6"/>
        <v>534.17610000000002</v>
      </c>
      <c r="Q90" s="464"/>
      <c r="R90" s="465">
        <v>2</v>
      </c>
      <c r="S90" s="465">
        <v>2</v>
      </c>
      <c r="T90" s="465">
        <v>2</v>
      </c>
      <c r="U90" s="466"/>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70"/>
      <c r="CL90" s="470"/>
      <c r="CM90" s="470"/>
      <c r="CN90" s="470"/>
      <c r="CO90" s="470"/>
      <c r="CP90" s="470"/>
      <c r="CQ90" s="470"/>
      <c r="CR90" s="470"/>
      <c r="CS90" s="470"/>
      <c r="CT90" s="470"/>
      <c r="CU90" s="470"/>
      <c r="CV90" s="470"/>
      <c r="CW90" s="470"/>
      <c r="CX90" s="470"/>
      <c r="CY90" s="470"/>
      <c r="CZ90" s="470"/>
      <c r="DA90" s="470"/>
      <c r="DB90" s="470"/>
      <c r="DC90" s="470"/>
      <c r="DD90" s="470"/>
      <c r="DE90" s="470"/>
      <c r="DF90" s="470"/>
      <c r="DG90" s="470"/>
      <c r="DH90" s="470"/>
      <c r="DI90" s="470"/>
      <c r="DJ90" s="470"/>
      <c r="DK90" s="470"/>
      <c r="DL90" s="470"/>
      <c r="DM90" s="470"/>
      <c r="DN90" s="470"/>
      <c r="DO90" s="470"/>
      <c r="DP90" s="470"/>
      <c r="DQ90" s="470"/>
      <c r="DR90" s="470"/>
      <c r="DS90" s="470"/>
      <c r="DT90" s="470"/>
      <c r="DU90" s="470"/>
      <c r="DV90" s="470"/>
      <c r="DW90" s="470"/>
      <c r="DX90" s="470"/>
      <c r="DY90" s="470"/>
      <c r="DZ90" s="470"/>
      <c r="EA90" s="470"/>
      <c r="EB90" s="470"/>
      <c r="EC90" s="470"/>
      <c r="ED90" s="470"/>
      <c r="EE90" s="470"/>
      <c r="EF90" s="470"/>
      <c r="EG90" s="470"/>
      <c r="EH90" s="470"/>
      <c r="EI90" s="470"/>
      <c r="EJ90" s="470"/>
      <c r="EK90" s="470"/>
      <c r="EL90" s="470"/>
      <c r="EM90" s="470"/>
      <c r="EN90" s="470"/>
      <c r="EO90" s="470"/>
      <c r="EP90" s="470"/>
      <c r="EQ90" s="470"/>
      <c r="ER90" s="470"/>
      <c r="ES90" s="470"/>
      <c r="ET90" s="470"/>
      <c r="EU90" s="470"/>
      <c r="EV90" s="470"/>
      <c r="EW90" s="470"/>
      <c r="EX90" s="470"/>
      <c r="EY90" s="470"/>
      <c r="EZ90" s="470"/>
      <c r="FA90" s="470"/>
      <c r="FB90" s="470"/>
      <c r="FC90" s="470"/>
      <c r="FD90" s="470"/>
      <c r="FE90" s="470"/>
      <c r="FF90" s="470"/>
      <c r="FG90" s="470"/>
      <c r="FH90" s="470"/>
      <c r="FI90" s="470"/>
      <c r="FJ90" s="470"/>
      <c r="FK90" s="470"/>
      <c r="FL90" s="470"/>
      <c r="FM90" s="470"/>
      <c r="FN90" s="470"/>
      <c r="FO90" s="470"/>
      <c r="FP90" s="470"/>
      <c r="FQ90" s="470"/>
      <c r="FR90" s="470"/>
      <c r="FS90" s="470"/>
      <c r="FT90" s="470"/>
      <c r="FU90" s="470"/>
      <c r="FV90" s="470"/>
      <c r="FW90" s="470"/>
      <c r="FX90" s="470"/>
      <c r="FY90" s="470"/>
      <c r="FZ90" s="470"/>
      <c r="GA90" s="470"/>
      <c r="GB90" s="470"/>
      <c r="GC90" s="470"/>
      <c r="GD90" s="470"/>
      <c r="GE90" s="470"/>
      <c r="GF90" s="470"/>
      <c r="GG90" s="470"/>
      <c r="GH90" s="470"/>
      <c r="GI90" s="470"/>
      <c r="GJ90" s="470"/>
      <c r="GK90" s="470"/>
      <c r="GL90" s="470"/>
      <c r="GM90" s="470"/>
      <c r="GN90" s="470"/>
      <c r="GO90" s="470"/>
      <c r="GP90" s="470"/>
      <c r="GQ90" s="470"/>
      <c r="GR90" s="470"/>
      <c r="GS90" s="470"/>
      <c r="GT90" s="470"/>
      <c r="GU90" s="470"/>
      <c r="GV90" s="470"/>
      <c r="GW90" s="470"/>
      <c r="GX90" s="470"/>
      <c r="GY90" s="470"/>
      <c r="GZ90" s="470"/>
      <c r="HA90" s="470"/>
      <c r="HB90" s="470"/>
      <c r="HC90" s="470"/>
      <c r="HD90" s="470"/>
      <c r="HE90" s="470"/>
      <c r="HF90" s="470"/>
      <c r="HG90" s="470"/>
      <c r="HH90" s="470"/>
      <c r="HI90" s="470"/>
      <c r="HJ90" s="470"/>
      <c r="HK90" s="470"/>
      <c r="HL90" s="470"/>
      <c r="HM90" s="470"/>
      <c r="HN90" s="470"/>
      <c r="HO90" s="470"/>
      <c r="HP90" s="470"/>
      <c r="HQ90" s="470"/>
      <c r="HR90" s="470"/>
      <c r="HS90" s="470"/>
      <c r="HT90" s="470"/>
      <c r="HU90" s="470"/>
      <c r="HV90" s="470"/>
      <c r="HW90" s="470"/>
      <c r="HX90" s="470"/>
      <c r="HY90" s="470"/>
      <c r="HZ90" s="470"/>
      <c r="IA90" s="470"/>
      <c r="IB90" s="470"/>
      <c r="IC90" s="470"/>
      <c r="ID90" s="470"/>
      <c r="IE90" s="470"/>
      <c r="IF90" s="470"/>
      <c r="IG90" s="470"/>
      <c r="IH90" s="470"/>
      <c r="II90" s="470"/>
      <c r="IJ90" s="470"/>
      <c r="IK90" s="470"/>
      <c r="IL90" s="470"/>
      <c r="IM90" s="470"/>
      <c r="IN90" s="470"/>
      <c r="IO90" s="470"/>
      <c r="IP90" s="470"/>
      <c r="IQ90" s="470"/>
    </row>
    <row r="91" spans="1:251" x14ac:dyDescent="0.2">
      <c r="A91" s="453" t="s">
        <v>9890</v>
      </c>
      <c r="B91" s="453" t="s">
        <v>9891</v>
      </c>
      <c r="C91" s="473" t="s">
        <v>386</v>
      </c>
      <c r="D91" s="455" t="s">
        <v>9709</v>
      </c>
      <c r="E91" s="456" t="s">
        <v>9734</v>
      </c>
      <c r="F91" s="456" t="s">
        <v>6223</v>
      </c>
      <c r="G91" s="456" t="s">
        <v>7180</v>
      </c>
      <c r="H91" s="457">
        <v>114.48</v>
      </c>
      <c r="I91" s="457">
        <f t="shared" si="7"/>
        <v>123.066</v>
      </c>
      <c r="J91" s="457" t="s">
        <v>9706</v>
      </c>
      <c r="K91" s="458">
        <v>0.3</v>
      </c>
      <c r="L91" s="459">
        <f t="shared" si="4"/>
        <v>80.135999999999996</v>
      </c>
      <c r="M91" s="460">
        <v>0.18</v>
      </c>
      <c r="N91" s="461">
        <f t="shared" si="5"/>
        <v>100.91412000000001</v>
      </c>
      <c r="O91" s="462">
        <v>0.1</v>
      </c>
      <c r="P91" s="463">
        <f t="shared" si="6"/>
        <v>110.7594</v>
      </c>
      <c r="Q91" s="464"/>
      <c r="R91" s="465">
        <v>2</v>
      </c>
      <c r="S91" s="465">
        <v>2</v>
      </c>
      <c r="T91" s="465">
        <v>2</v>
      </c>
      <c r="U91" s="466"/>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70"/>
      <c r="CJ91" s="470"/>
      <c r="CK91" s="470"/>
      <c r="CL91" s="470"/>
      <c r="CM91" s="470"/>
      <c r="CN91" s="470"/>
      <c r="CO91" s="470"/>
      <c r="CP91" s="470"/>
      <c r="CQ91" s="470"/>
      <c r="CR91" s="470"/>
      <c r="CS91" s="470"/>
      <c r="CT91" s="470"/>
      <c r="CU91" s="470"/>
      <c r="CV91" s="470"/>
      <c r="CW91" s="470"/>
      <c r="CX91" s="470"/>
      <c r="CY91" s="470"/>
      <c r="CZ91" s="470"/>
      <c r="DA91" s="470"/>
      <c r="DB91" s="470"/>
      <c r="DC91" s="470"/>
      <c r="DD91" s="470"/>
      <c r="DE91" s="470"/>
      <c r="DF91" s="470"/>
      <c r="DG91" s="470"/>
      <c r="DH91" s="470"/>
      <c r="DI91" s="470"/>
      <c r="DJ91" s="470"/>
      <c r="DK91" s="470"/>
      <c r="DL91" s="470"/>
      <c r="DM91" s="470"/>
      <c r="DN91" s="470"/>
      <c r="DO91" s="470"/>
      <c r="DP91" s="470"/>
      <c r="DQ91" s="470"/>
      <c r="DR91" s="470"/>
      <c r="DS91" s="470"/>
      <c r="DT91" s="470"/>
      <c r="DU91" s="470"/>
      <c r="DV91" s="470"/>
      <c r="DW91" s="470"/>
      <c r="DX91" s="470"/>
      <c r="DY91" s="470"/>
      <c r="DZ91" s="470"/>
      <c r="EA91" s="470"/>
      <c r="EB91" s="470"/>
      <c r="EC91" s="470"/>
      <c r="ED91" s="470"/>
      <c r="EE91" s="470"/>
      <c r="EF91" s="470"/>
      <c r="EG91" s="470"/>
      <c r="EH91" s="470"/>
      <c r="EI91" s="470"/>
      <c r="EJ91" s="470"/>
      <c r="EK91" s="470"/>
      <c r="EL91" s="470"/>
      <c r="EM91" s="470"/>
      <c r="EN91" s="470"/>
      <c r="EO91" s="470"/>
      <c r="EP91" s="470"/>
      <c r="EQ91" s="470"/>
      <c r="ER91" s="470"/>
      <c r="ES91" s="470"/>
      <c r="ET91" s="470"/>
      <c r="EU91" s="470"/>
      <c r="EV91" s="470"/>
      <c r="EW91" s="470"/>
      <c r="EX91" s="470"/>
      <c r="EY91" s="470"/>
      <c r="EZ91" s="470"/>
      <c r="FA91" s="470"/>
      <c r="FB91" s="470"/>
      <c r="FC91" s="470"/>
      <c r="FD91" s="470"/>
      <c r="FE91" s="470"/>
      <c r="FF91" s="470"/>
      <c r="FG91" s="470"/>
      <c r="FH91" s="470"/>
      <c r="FI91" s="470"/>
      <c r="FJ91" s="470"/>
      <c r="FK91" s="470"/>
      <c r="FL91" s="470"/>
      <c r="FM91" s="470"/>
      <c r="FN91" s="470"/>
      <c r="FO91" s="470"/>
      <c r="FP91" s="470"/>
      <c r="FQ91" s="470"/>
      <c r="FR91" s="470"/>
      <c r="FS91" s="470"/>
      <c r="FT91" s="470"/>
      <c r="FU91" s="470"/>
      <c r="FV91" s="470"/>
      <c r="FW91" s="470"/>
      <c r="FX91" s="470"/>
      <c r="FY91" s="470"/>
      <c r="FZ91" s="470"/>
      <c r="GA91" s="470"/>
      <c r="GB91" s="470"/>
      <c r="GC91" s="470"/>
      <c r="GD91" s="470"/>
      <c r="GE91" s="470"/>
      <c r="GF91" s="470"/>
      <c r="GG91" s="470"/>
      <c r="GH91" s="470"/>
      <c r="GI91" s="470"/>
      <c r="GJ91" s="470"/>
      <c r="GK91" s="470"/>
      <c r="GL91" s="470"/>
      <c r="GM91" s="470"/>
      <c r="GN91" s="470"/>
      <c r="GO91" s="470"/>
      <c r="GP91" s="470"/>
      <c r="GQ91" s="470"/>
      <c r="GR91" s="470"/>
      <c r="GS91" s="470"/>
      <c r="GT91" s="470"/>
      <c r="GU91" s="470"/>
      <c r="GV91" s="470"/>
      <c r="GW91" s="470"/>
      <c r="GX91" s="470"/>
      <c r="GY91" s="470"/>
      <c r="GZ91" s="470"/>
      <c r="HA91" s="470"/>
      <c r="HB91" s="470"/>
      <c r="HC91" s="470"/>
      <c r="HD91" s="470"/>
      <c r="HE91" s="470"/>
      <c r="HF91" s="470"/>
      <c r="HG91" s="470"/>
      <c r="HH91" s="470"/>
      <c r="HI91" s="470"/>
      <c r="HJ91" s="470"/>
      <c r="HK91" s="470"/>
      <c r="HL91" s="470"/>
      <c r="HM91" s="470"/>
      <c r="HN91" s="470"/>
      <c r="HO91" s="470"/>
      <c r="HP91" s="470"/>
      <c r="HQ91" s="470"/>
      <c r="HR91" s="470"/>
      <c r="HS91" s="470"/>
      <c r="HT91" s="470"/>
      <c r="HU91" s="470"/>
      <c r="HV91" s="470"/>
      <c r="HW91" s="470"/>
      <c r="HX91" s="470"/>
      <c r="HY91" s="470"/>
      <c r="HZ91" s="470"/>
      <c r="IA91" s="470"/>
      <c r="IB91" s="470"/>
      <c r="IC91" s="470"/>
      <c r="ID91" s="470"/>
      <c r="IE91" s="470"/>
      <c r="IF91" s="470"/>
      <c r="IG91" s="470"/>
      <c r="IH91" s="470"/>
      <c r="II91" s="470"/>
      <c r="IJ91" s="470"/>
      <c r="IK91" s="470"/>
      <c r="IL91" s="470"/>
      <c r="IM91" s="470"/>
      <c r="IN91" s="470"/>
      <c r="IO91" s="470"/>
      <c r="IP91" s="470"/>
      <c r="IQ91" s="470"/>
    </row>
    <row r="92" spans="1:251" x14ac:dyDescent="0.2">
      <c r="A92" s="453" t="s">
        <v>9892</v>
      </c>
      <c r="B92" s="453" t="s">
        <v>9893</v>
      </c>
      <c r="C92" s="473" t="s">
        <v>386</v>
      </c>
      <c r="D92" s="455" t="s">
        <v>9709</v>
      </c>
      <c r="E92" s="456" t="s">
        <v>9705</v>
      </c>
      <c r="F92" s="456" t="s">
        <v>6223</v>
      </c>
      <c r="G92" s="456" t="s">
        <v>7180</v>
      </c>
      <c r="H92" s="457">
        <v>114.48</v>
      </c>
      <c r="I92" s="457">
        <f t="shared" si="7"/>
        <v>123.066</v>
      </c>
      <c r="J92" s="457" t="s">
        <v>9706</v>
      </c>
      <c r="K92" s="458">
        <v>0.3</v>
      </c>
      <c r="L92" s="459">
        <f t="shared" si="4"/>
        <v>80.135999999999996</v>
      </c>
      <c r="M92" s="460">
        <v>0.18</v>
      </c>
      <c r="N92" s="461">
        <f t="shared" si="5"/>
        <v>100.91412000000001</v>
      </c>
      <c r="O92" s="462">
        <v>0.1</v>
      </c>
      <c r="P92" s="463">
        <f t="shared" si="6"/>
        <v>110.7594</v>
      </c>
      <c r="Q92" s="464"/>
      <c r="R92" s="465">
        <v>2</v>
      </c>
      <c r="S92" s="465">
        <v>2</v>
      </c>
      <c r="T92" s="465">
        <v>2</v>
      </c>
      <c r="U92" s="466"/>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70"/>
      <c r="CJ92" s="470"/>
      <c r="CK92" s="470"/>
      <c r="CL92" s="470"/>
      <c r="CM92" s="470"/>
      <c r="CN92" s="470"/>
      <c r="CO92" s="470"/>
      <c r="CP92" s="470"/>
      <c r="CQ92" s="470"/>
      <c r="CR92" s="470"/>
      <c r="CS92" s="470"/>
      <c r="CT92" s="470"/>
      <c r="CU92" s="470"/>
      <c r="CV92" s="470"/>
      <c r="CW92" s="470"/>
      <c r="CX92" s="470"/>
      <c r="CY92" s="470"/>
      <c r="CZ92" s="470"/>
      <c r="DA92" s="470"/>
      <c r="DB92" s="470"/>
      <c r="DC92" s="470"/>
      <c r="DD92" s="470"/>
      <c r="DE92" s="470"/>
      <c r="DF92" s="470"/>
      <c r="DG92" s="470"/>
      <c r="DH92" s="470"/>
      <c r="DI92" s="470"/>
      <c r="DJ92" s="470"/>
      <c r="DK92" s="470"/>
      <c r="DL92" s="470"/>
      <c r="DM92" s="470"/>
      <c r="DN92" s="470"/>
      <c r="DO92" s="470"/>
      <c r="DP92" s="470"/>
      <c r="DQ92" s="470"/>
      <c r="DR92" s="470"/>
      <c r="DS92" s="470"/>
      <c r="DT92" s="470"/>
      <c r="DU92" s="470"/>
      <c r="DV92" s="470"/>
      <c r="DW92" s="470"/>
      <c r="DX92" s="470"/>
      <c r="DY92" s="470"/>
      <c r="DZ92" s="470"/>
      <c r="EA92" s="470"/>
      <c r="EB92" s="470"/>
      <c r="EC92" s="470"/>
      <c r="ED92" s="470"/>
      <c r="EE92" s="470"/>
      <c r="EF92" s="470"/>
      <c r="EG92" s="470"/>
      <c r="EH92" s="470"/>
      <c r="EI92" s="470"/>
      <c r="EJ92" s="470"/>
      <c r="EK92" s="470"/>
      <c r="EL92" s="470"/>
      <c r="EM92" s="470"/>
      <c r="EN92" s="470"/>
      <c r="EO92" s="470"/>
      <c r="EP92" s="470"/>
      <c r="EQ92" s="470"/>
      <c r="ER92" s="470"/>
      <c r="ES92" s="470"/>
      <c r="ET92" s="470"/>
      <c r="EU92" s="470"/>
      <c r="EV92" s="470"/>
      <c r="EW92" s="470"/>
      <c r="EX92" s="470"/>
      <c r="EY92" s="470"/>
      <c r="EZ92" s="470"/>
      <c r="FA92" s="470"/>
      <c r="FB92" s="470"/>
      <c r="FC92" s="470"/>
      <c r="FD92" s="470"/>
      <c r="FE92" s="470"/>
      <c r="FF92" s="470"/>
      <c r="FG92" s="470"/>
      <c r="FH92" s="470"/>
      <c r="FI92" s="470"/>
      <c r="FJ92" s="470"/>
      <c r="FK92" s="470"/>
      <c r="FL92" s="470"/>
      <c r="FM92" s="470"/>
      <c r="FN92" s="470"/>
      <c r="FO92" s="470"/>
      <c r="FP92" s="470"/>
      <c r="FQ92" s="470"/>
      <c r="FR92" s="470"/>
      <c r="FS92" s="470"/>
      <c r="FT92" s="470"/>
      <c r="FU92" s="470"/>
      <c r="FV92" s="470"/>
      <c r="FW92" s="470"/>
      <c r="FX92" s="470"/>
      <c r="FY92" s="470"/>
      <c r="FZ92" s="470"/>
      <c r="GA92" s="470"/>
      <c r="GB92" s="470"/>
      <c r="GC92" s="470"/>
      <c r="GD92" s="470"/>
      <c r="GE92" s="470"/>
      <c r="GF92" s="470"/>
      <c r="GG92" s="470"/>
      <c r="GH92" s="470"/>
      <c r="GI92" s="470"/>
      <c r="GJ92" s="470"/>
      <c r="GK92" s="470"/>
      <c r="GL92" s="470"/>
      <c r="GM92" s="470"/>
      <c r="GN92" s="470"/>
      <c r="GO92" s="470"/>
      <c r="GP92" s="470"/>
      <c r="GQ92" s="470"/>
      <c r="GR92" s="470"/>
      <c r="GS92" s="470"/>
      <c r="GT92" s="470"/>
      <c r="GU92" s="470"/>
      <c r="GV92" s="470"/>
      <c r="GW92" s="470"/>
      <c r="GX92" s="470"/>
      <c r="GY92" s="470"/>
      <c r="GZ92" s="470"/>
      <c r="HA92" s="470"/>
      <c r="HB92" s="470"/>
      <c r="HC92" s="470"/>
      <c r="HD92" s="470"/>
      <c r="HE92" s="470"/>
      <c r="HF92" s="470"/>
      <c r="HG92" s="470"/>
      <c r="HH92" s="470"/>
      <c r="HI92" s="470"/>
      <c r="HJ92" s="470"/>
      <c r="HK92" s="470"/>
      <c r="HL92" s="470"/>
      <c r="HM92" s="470"/>
      <c r="HN92" s="470"/>
      <c r="HO92" s="470"/>
      <c r="HP92" s="470"/>
      <c r="HQ92" s="470"/>
      <c r="HR92" s="470"/>
      <c r="HS92" s="470"/>
      <c r="HT92" s="470"/>
      <c r="HU92" s="470"/>
      <c r="HV92" s="470"/>
      <c r="HW92" s="470"/>
      <c r="HX92" s="470"/>
      <c r="HY92" s="470"/>
      <c r="HZ92" s="470"/>
      <c r="IA92" s="470"/>
      <c r="IB92" s="470"/>
      <c r="IC92" s="470"/>
      <c r="ID92" s="470"/>
      <c r="IE92" s="470"/>
      <c r="IF92" s="470"/>
      <c r="IG92" s="470"/>
      <c r="IH92" s="470"/>
      <c r="II92" s="470"/>
      <c r="IJ92" s="470"/>
      <c r="IK92" s="470"/>
      <c r="IL92" s="470"/>
      <c r="IM92" s="470"/>
      <c r="IN92" s="470"/>
      <c r="IO92" s="470"/>
      <c r="IP92" s="470"/>
      <c r="IQ92" s="470"/>
    </row>
    <row r="93" spans="1:251" x14ac:dyDescent="0.2">
      <c r="A93" s="453" t="s">
        <v>9894</v>
      </c>
      <c r="B93" s="453" t="s">
        <v>9895</v>
      </c>
      <c r="C93" s="473" t="s">
        <v>386</v>
      </c>
      <c r="D93" s="455" t="s">
        <v>9709</v>
      </c>
      <c r="E93" s="456" t="s">
        <v>9710</v>
      </c>
      <c r="F93" s="456" t="s">
        <v>6223</v>
      </c>
      <c r="G93" s="456" t="s">
        <v>7180</v>
      </c>
      <c r="H93" s="457">
        <v>114.48</v>
      </c>
      <c r="I93" s="457">
        <f t="shared" si="7"/>
        <v>123.066</v>
      </c>
      <c r="J93" s="457" t="s">
        <v>9706</v>
      </c>
      <c r="K93" s="458">
        <v>0.3</v>
      </c>
      <c r="L93" s="459">
        <f t="shared" si="4"/>
        <v>80.135999999999996</v>
      </c>
      <c r="M93" s="460">
        <v>0.18</v>
      </c>
      <c r="N93" s="461">
        <f t="shared" si="5"/>
        <v>100.91412000000001</v>
      </c>
      <c r="O93" s="462">
        <v>0.1</v>
      </c>
      <c r="P93" s="463">
        <f t="shared" si="6"/>
        <v>110.7594</v>
      </c>
      <c r="Q93" s="464"/>
      <c r="R93" s="465">
        <v>2</v>
      </c>
      <c r="S93" s="465">
        <v>2</v>
      </c>
      <c r="T93" s="465">
        <v>2</v>
      </c>
      <c r="U93" s="466"/>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70"/>
      <c r="CJ93" s="470"/>
      <c r="CK93" s="470"/>
      <c r="CL93" s="470"/>
      <c r="CM93" s="470"/>
      <c r="CN93" s="470"/>
      <c r="CO93" s="470"/>
      <c r="CP93" s="470"/>
      <c r="CQ93" s="470"/>
      <c r="CR93" s="470"/>
      <c r="CS93" s="470"/>
      <c r="CT93" s="470"/>
      <c r="CU93" s="470"/>
      <c r="CV93" s="470"/>
      <c r="CW93" s="470"/>
      <c r="CX93" s="470"/>
      <c r="CY93" s="470"/>
      <c r="CZ93" s="470"/>
      <c r="DA93" s="470"/>
      <c r="DB93" s="470"/>
      <c r="DC93" s="470"/>
      <c r="DD93" s="470"/>
      <c r="DE93" s="470"/>
      <c r="DF93" s="470"/>
      <c r="DG93" s="470"/>
      <c r="DH93" s="470"/>
      <c r="DI93" s="470"/>
      <c r="DJ93" s="470"/>
      <c r="DK93" s="470"/>
      <c r="DL93" s="470"/>
      <c r="DM93" s="470"/>
      <c r="DN93" s="470"/>
      <c r="DO93" s="470"/>
      <c r="DP93" s="470"/>
      <c r="DQ93" s="470"/>
      <c r="DR93" s="470"/>
      <c r="DS93" s="470"/>
      <c r="DT93" s="470"/>
      <c r="DU93" s="470"/>
      <c r="DV93" s="470"/>
      <c r="DW93" s="470"/>
      <c r="DX93" s="470"/>
      <c r="DY93" s="470"/>
      <c r="DZ93" s="470"/>
      <c r="EA93" s="470"/>
      <c r="EB93" s="470"/>
      <c r="EC93" s="470"/>
      <c r="ED93" s="470"/>
      <c r="EE93" s="470"/>
      <c r="EF93" s="470"/>
      <c r="EG93" s="470"/>
      <c r="EH93" s="470"/>
      <c r="EI93" s="470"/>
      <c r="EJ93" s="470"/>
      <c r="EK93" s="470"/>
      <c r="EL93" s="470"/>
      <c r="EM93" s="470"/>
      <c r="EN93" s="470"/>
      <c r="EO93" s="470"/>
      <c r="EP93" s="470"/>
      <c r="EQ93" s="470"/>
      <c r="ER93" s="470"/>
      <c r="ES93" s="470"/>
      <c r="ET93" s="470"/>
      <c r="EU93" s="470"/>
      <c r="EV93" s="470"/>
      <c r="EW93" s="470"/>
      <c r="EX93" s="470"/>
      <c r="EY93" s="470"/>
      <c r="EZ93" s="470"/>
      <c r="FA93" s="470"/>
      <c r="FB93" s="470"/>
      <c r="FC93" s="470"/>
      <c r="FD93" s="470"/>
      <c r="FE93" s="470"/>
      <c r="FF93" s="470"/>
      <c r="FG93" s="470"/>
      <c r="FH93" s="470"/>
      <c r="FI93" s="470"/>
      <c r="FJ93" s="470"/>
      <c r="FK93" s="470"/>
      <c r="FL93" s="470"/>
      <c r="FM93" s="470"/>
      <c r="FN93" s="470"/>
      <c r="FO93" s="470"/>
      <c r="FP93" s="470"/>
      <c r="FQ93" s="470"/>
      <c r="FR93" s="470"/>
      <c r="FS93" s="470"/>
      <c r="FT93" s="470"/>
      <c r="FU93" s="470"/>
      <c r="FV93" s="470"/>
      <c r="FW93" s="470"/>
      <c r="FX93" s="470"/>
      <c r="FY93" s="470"/>
      <c r="FZ93" s="470"/>
      <c r="GA93" s="470"/>
      <c r="GB93" s="470"/>
      <c r="GC93" s="470"/>
      <c r="GD93" s="470"/>
      <c r="GE93" s="470"/>
      <c r="GF93" s="470"/>
      <c r="GG93" s="470"/>
      <c r="GH93" s="470"/>
      <c r="GI93" s="470"/>
      <c r="GJ93" s="470"/>
      <c r="GK93" s="470"/>
      <c r="GL93" s="470"/>
      <c r="GM93" s="470"/>
      <c r="GN93" s="470"/>
      <c r="GO93" s="470"/>
      <c r="GP93" s="470"/>
      <c r="GQ93" s="470"/>
      <c r="GR93" s="470"/>
      <c r="GS93" s="470"/>
      <c r="GT93" s="470"/>
      <c r="GU93" s="470"/>
      <c r="GV93" s="470"/>
      <c r="GW93" s="470"/>
      <c r="GX93" s="470"/>
      <c r="GY93" s="470"/>
      <c r="GZ93" s="470"/>
      <c r="HA93" s="470"/>
      <c r="HB93" s="470"/>
      <c r="HC93" s="470"/>
      <c r="HD93" s="470"/>
      <c r="HE93" s="470"/>
      <c r="HF93" s="470"/>
      <c r="HG93" s="470"/>
      <c r="HH93" s="470"/>
      <c r="HI93" s="470"/>
      <c r="HJ93" s="470"/>
      <c r="HK93" s="470"/>
      <c r="HL93" s="470"/>
      <c r="HM93" s="470"/>
      <c r="HN93" s="470"/>
      <c r="HO93" s="470"/>
      <c r="HP93" s="470"/>
      <c r="HQ93" s="470"/>
      <c r="HR93" s="470"/>
      <c r="HS93" s="470"/>
      <c r="HT93" s="470"/>
      <c r="HU93" s="470"/>
      <c r="HV93" s="470"/>
      <c r="HW93" s="470"/>
      <c r="HX93" s="470"/>
      <c r="HY93" s="470"/>
      <c r="HZ93" s="470"/>
      <c r="IA93" s="470"/>
      <c r="IB93" s="470"/>
      <c r="IC93" s="470"/>
      <c r="ID93" s="470"/>
      <c r="IE93" s="470"/>
      <c r="IF93" s="470"/>
      <c r="IG93" s="470"/>
      <c r="IH93" s="470"/>
      <c r="II93" s="470"/>
      <c r="IJ93" s="470"/>
      <c r="IK93" s="470"/>
      <c r="IL93" s="470"/>
      <c r="IM93" s="470"/>
      <c r="IN93" s="470"/>
      <c r="IO93" s="470"/>
      <c r="IP93" s="470"/>
      <c r="IQ93" s="470"/>
    </row>
    <row r="94" spans="1:251" x14ac:dyDescent="0.2">
      <c r="A94" s="453" t="s">
        <v>9896</v>
      </c>
      <c r="B94" s="453" t="s">
        <v>9897</v>
      </c>
      <c r="C94" s="473" t="s">
        <v>386</v>
      </c>
      <c r="D94" s="455" t="s">
        <v>9709</v>
      </c>
      <c r="E94" s="456" t="s">
        <v>9710</v>
      </c>
      <c r="F94" s="456" t="s">
        <v>6223</v>
      </c>
      <c r="G94" s="456" t="s">
        <v>7180</v>
      </c>
      <c r="H94" s="457">
        <v>114.48</v>
      </c>
      <c r="I94" s="457">
        <f t="shared" si="7"/>
        <v>123.066</v>
      </c>
      <c r="J94" s="457" t="s">
        <v>9706</v>
      </c>
      <c r="K94" s="458">
        <v>0.3</v>
      </c>
      <c r="L94" s="459">
        <f t="shared" si="4"/>
        <v>80.135999999999996</v>
      </c>
      <c r="M94" s="460">
        <v>0.18</v>
      </c>
      <c r="N94" s="461">
        <f t="shared" si="5"/>
        <v>100.91412000000001</v>
      </c>
      <c r="O94" s="462">
        <v>0.1</v>
      </c>
      <c r="P94" s="463">
        <f t="shared" si="6"/>
        <v>110.7594</v>
      </c>
      <c r="Q94" s="464"/>
      <c r="R94" s="465">
        <v>2</v>
      </c>
      <c r="S94" s="465">
        <v>2</v>
      </c>
      <c r="T94" s="465">
        <v>2</v>
      </c>
      <c r="U94" s="466"/>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70"/>
      <c r="CJ94" s="470"/>
      <c r="CK94" s="470"/>
      <c r="CL94" s="470"/>
      <c r="CM94" s="470"/>
      <c r="CN94" s="470"/>
      <c r="CO94" s="470"/>
      <c r="CP94" s="470"/>
      <c r="CQ94" s="470"/>
      <c r="CR94" s="470"/>
      <c r="CS94" s="470"/>
      <c r="CT94" s="470"/>
      <c r="CU94" s="470"/>
      <c r="CV94" s="470"/>
      <c r="CW94" s="470"/>
      <c r="CX94" s="470"/>
      <c r="CY94" s="470"/>
      <c r="CZ94" s="470"/>
      <c r="DA94" s="470"/>
      <c r="DB94" s="470"/>
      <c r="DC94" s="470"/>
      <c r="DD94" s="470"/>
      <c r="DE94" s="470"/>
      <c r="DF94" s="470"/>
      <c r="DG94" s="470"/>
      <c r="DH94" s="470"/>
      <c r="DI94" s="470"/>
      <c r="DJ94" s="470"/>
      <c r="DK94" s="470"/>
      <c r="DL94" s="470"/>
      <c r="DM94" s="470"/>
      <c r="DN94" s="470"/>
      <c r="DO94" s="470"/>
      <c r="DP94" s="470"/>
      <c r="DQ94" s="470"/>
      <c r="DR94" s="470"/>
      <c r="DS94" s="470"/>
      <c r="DT94" s="470"/>
      <c r="DU94" s="470"/>
      <c r="DV94" s="470"/>
      <c r="DW94" s="470"/>
      <c r="DX94" s="470"/>
      <c r="DY94" s="470"/>
      <c r="DZ94" s="470"/>
      <c r="EA94" s="470"/>
      <c r="EB94" s="470"/>
      <c r="EC94" s="470"/>
      <c r="ED94" s="470"/>
      <c r="EE94" s="470"/>
      <c r="EF94" s="470"/>
      <c r="EG94" s="470"/>
      <c r="EH94" s="470"/>
      <c r="EI94" s="470"/>
      <c r="EJ94" s="470"/>
      <c r="EK94" s="470"/>
      <c r="EL94" s="470"/>
      <c r="EM94" s="470"/>
      <c r="EN94" s="470"/>
      <c r="EO94" s="470"/>
      <c r="EP94" s="470"/>
      <c r="EQ94" s="470"/>
      <c r="ER94" s="470"/>
      <c r="ES94" s="470"/>
      <c r="ET94" s="470"/>
      <c r="EU94" s="470"/>
      <c r="EV94" s="470"/>
      <c r="EW94" s="470"/>
      <c r="EX94" s="470"/>
      <c r="EY94" s="470"/>
      <c r="EZ94" s="470"/>
      <c r="FA94" s="470"/>
      <c r="FB94" s="470"/>
      <c r="FC94" s="470"/>
      <c r="FD94" s="470"/>
      <c r="FE94" s="470"/>
      <c r="FF94" s="470"/>
      <c r="FG94" s="470"/>
      <c r="FH94" s="470"/>
      <c r="FI94" s="470"/>
      <c r="FJ94" s="470"/>
      <c r="FK94" s="470"/>
      <c r="FL94" s="470"/>
      <c r="FM94" s="470"/>
      <c r="FN94" s="470"/>
      <c r="FO94" s="470"/>
      <c r="FP94" s="470"/>
      <c r="FQ94" s="470"/>
      <c r="FR94" s="470"/>
      <c r="FS94" s="470"/>
      <c r="FT94" s="470"/>
      <c r="FU94" s="470"/>
      <c r="FV94" s="470"/>
      <c r="FW94" s="470"/>
      <c r="FX94" s="470"/>
      <c r="FY94" s="470"/>
      <c r="FZ94" s="470"/>
      <c r="GA94" s="470"/>
      <c r="GB94" s="470"/>
      <c r="GC94" s="470"/>
      <c r="GD94" s="470"/>
      <c r="GE94" s="470"/>
      <c r="GF94" s="470"/>
      <c r="GG94" s="470"/>
      <c r="GH94" s="470"/>
      <c r="GI94" s="470"/>
      <c r="GJ94" s="470"/>
      <c r="GK94" s="470"/>
      <c r="GL94" s="470"/>
      <c r="GM94" s="470"/>
      <c r="GN94" s="470"/>
      <c r="GO94" s="470"/>
      <c r="GP94" s="470"/>
      <c r="GQ94" s="470"/>
      <c r="GR94" s="470"/>
      <c r="GS94" s="470"/>
      <c r="GT94" s="470"/>
      <c r="GU94" s="470"/>
      <c r="GV94" s="470"/>
      <c r="GW94" s="470"/>
      <c r="GX94" s="470"/>
      <c r="GY94" s="470"/>
      <c r="GZ94" s="470"/>
      <c r="HA94" s="470"/>
      <c r="HB94" s="470"/>
      <c r="HC94" s="470"/>
      <c r="HD94" s="470"/>
      <c r="HE94" s="470"/>
      <c r="HF94" s="470"/>
      <c r="HG94" s="470"/>
      <c r="HH94" s="470"/>
      <c r="HI94" s="470"/>
      <c r="HJ94" s="470"/>
      <c r="HK94" s="470"/>
      <c r="HL94" s="470"/>
      <c r="HM94" s="470"/>
      <c r="HN94" s="470"/>
      <c r="HO94" s="470"/>
      <c r="HP94" s="470"/>
      <c r="HQ94" s="470"/>
      <c r="HR94" s="470"/>
      <c r="HS94" s="470"/>
      <c r="HT94" s="470"/>
      <c r="HU94" s="470"/>
      <c r="HV94" s="470"/>
      <c r="HW94" s="470"/>
      <c r="HX94" s="470"/>
      <c r="HY94" s="470"/>
      <c r="HZ94" s="470"/>
      <c r="IA94" s="470"/>
      <c r="IB94" s="470"/>
      <c r="IC94" s="470"/>
      <c r="ID94" s="470"/>
      <c r="IE94" s="470"/>
      <c r="IF94" s="470"/>
      <c r="IG94" s="470"/>
      <c r="IH94" s="470"/>
      <c r="II94" s="470"/>
      <c r="IJ94" s="470"/>
      <c r="IK94" s="470"/>
      <c r="IL94" s="470"/>
      <c r="IM94" s="470"/>
      <c r="IN94" s="470"/>
      <c r="IO94" s="470"/>
      <c r="IP94" s="470"/>
      <c r="IQ94" s="470"/>
    </row>
    <row r="95" spans="1:251" x14ac:dyDescent="0.2">
      <c r="A95" s="453" t="s">
        <v>9898</v>
      </c>
      <c r="B95" s="453" t="s">
        <v>9899</v>
      </c>
      <c r="C95" s="473" t="s">
        <v>386</v>
      </c>
      <c r="D95" s="455" t="s">
        <v>9709</v>
      </c>
      <c r="E95" s="456" t="s">
        <v>9734</v>
      </c>
      <c r="F95" s="456" t="s">
        <v>6223</v>
      </c>
      <c r="G95" s="456" t="s">
        <v>7180</v>
      </c>
      <c r="H95" s="457">
        <v>114.48</v>
      </c>
      <c r="I95" s="457">
        <f t="shared" si="7"/>
        <v>123.066</v>
      </c>
      <c r="J95" s="457" t="s">
        <v>9706</v>
      </c>
      <c r="K95" s="458">
        <v>0.3</v>
      </c>
      <c r="L95" s="459">
        <f t="shared" si="4"/>
        <v>80.135999999999996</v>
      </c>
      <c r="M95" s="460">
        <v>0.18</v>
      </c>
      <c r="N95" s="461">
        <f t="shared" si="5"/>
        <v>100.91412000000001</v>
      </c>
      <c r="O95" s="462">
        <v>0.1</v>
      </c>
      <c r="P95" s="463">
        <f t="shared" si="6"/>
        <v>110.7594</v>
      </c>
      <c r="Q95" s="464"/>
      <c r="R95" s="465">
        <v>2</v>
      </c>
      <c r="S95" s="465">
        <v>2</v>
      </c>
      <c r="T95" s="465">
        <v>2</v>
      </c>
      <c r="U95" s="466"/>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70"/>
      <c r="CJ95" s="470"/>
      <c r="CK95" s="470"/>
      <c r="CL95" s="470"/>
      <c r="CM95" s="470"/>
      <c r="CN95" s="470"/>
      <c r="CO95" s="470"/>
      <c r="CP95" s="470"/>
      <c r="CQ95" s="470"/>
      <c r="CR95" s="470"/>
      <c r="CS95" s="470"/>
      <c r="CT95" s="470"/>
      <c r="CU95" s="470"/>
      <c r="CV95" s="470"/>
      <c r="CW95" s="470"/>
      <c r="CX95" s="470"/>
      <c r="CY95" s="470"/>
      <c r="CZ95" s="470"/>
      <c r="DA95" s="470"/>
      <c r="DB95" s="470"/>
      <c r="DC95" s="470"/>
      <c r="DD95" s="470"/>
      <c r="DE95" s="470"/>
      <c r="DF95" s="470"/>
      <c r="DG95" s="470"/>
      <c r="DH95" s="470"/>
      <c r="DI95" s="470"/>
      <c r="DJ95" s="470"/>
      <c r="DK95" s="470"/>
      <c r="DL95" s="470"/>
      <c r="DM95" s="470"/>
      <c r="DN95" s="470"/>
      <c r="DO95" s="470"/>
      <c r="DP95" s="470"/>
      <c r="DQ95" s="470"/>
      <c r="DR95" s="470"/>
      <c r="DS95" s="470"/>
      <c r="DT95" s="470"/>
      <c r="DU95" s="470"/>
      <c r="DV95" s="470"/>
      <c r="DW95" s="470"/>
      <c r="DX95" s="470"/>
      <c r="DY95" s="470"/>
      <c r="DZ95" s="470"/>
      <c r="EA95" s="470"/>
      <c r="EB95" s="470"/>
      <c r="EC95" s="470"/>
      <c r="ED95" s="470"/>
      <c r="EE95" s="470"/>
      <c r="EF95" s="470"/>
      <c r="EG95" s="470"/>
      <c r="EH95" s="470"/>
      <c r="EI95" s="470"/>
      <c r="EJ95" s="470"/>
      <c r="EK95" s="470"/>
      <c r="EL95" s="470"/>
      <c r="EM95" s="470"/>
      <c r="EN95" s="470"/>
      <c r="EO95" s="470"/>
      <c r="EP95" s="470"/>
      <c r="EQ95" s="470"/>
      <c r="ER95" s="470"/>
      <c r="ES95" s="470"/>
      <c r="ET95" s="470"/>
      <c r="EU95" s="470"/>
      <c r="EV95" s="470"/>
      <c r="EW95" s="470"/>
      <c r="EX95" s="470"/>
      <c r="EY95" s="470"/>
      <c r="EZ95" s="470"/>
      <c r="FA95" s="470"/>
      <c r="FB95" s="470"/>
      <c r="FC95" s="470"/>
      <c r="FD95" s="470"/>
      <c r="FE95" s="470"/>
      <c r="FF95" s="470"/>
      <c r="FG95" s="470"/>
      <c r="FH95" s="470"/>
      <c r="FI95" s="470"/>
      <c r="FJ95" s="470"/>
      <c r="FK95" s="470"/>
      <c r="FL95" s="470"/>
      <c r="FM95" s="470"/>
      <c r="FN95" s="470"/>
      <c r="FO95" s="470"/>
      <c r="FP95" s="470"/>
      <c r="FQ95" s="470"/>
      <c r="FR95" s="470"/>
      <c r="FS95" s="470"/>
      <c r="FT95" s="470"/>
      <c r="FU95" s="470"/>
      <c r="FV95" s="470"/>
      <c r="FW95" s="470"/>
      <c r="FX95" s="470"/>
      <c r="FY95" s="470"/>
      <c r="FZ95" s="470"/>
      <c r="GA95" s="470"/>
      <c r="GB95" s="470"/>
      <c r="GC95" s="470"/>
      <c r="GD95" s="470"/>
      <c r="GE95" s="470"/>
      <c r="GF95" s="470"/>
      <c r="GG95" s="470"/>
      <c r="GH95" s="470"/>
      <c r="GI95" s="470"/>
      <c r="GJ95" s="470"/>
      <c r="GK95" s="470"/>
      <c r="GL95" s="470"/>
      <c r="GM95" s="470"/>
      <c r="GN95" s="470"/>
      <c r="GO95" s="470"/>
      <c r="GP95" s="470"/>
      <c r="GQ95" s="470"/>
      <c r="GR95" s="470"/>
      <c r="GS95" s="470"/>
      <c r="GT95" s="470"/>
      <c r="GU95" s="470"/>
      <c r="GV95" s="470"/>
      <c r="GW95" s="470"/>
      <c r="GX95" s="470"/>
      <c r="GY95" s="470"/>
      <c r="GZ95" s="470"/>
      <c r="HA95" s="470"/>
      <c r="HB95" s="470"/>
      <c r="HC95" s="470"/>
      <c r="HD95" s="470"/>
      <c r="HE95" s="470"/>
      <c r="HF95" s="470"/>
      <c r="HG95" s="470"/>
      <c r="HH95" s="470"/>
      <c r="HI95" s="470"/>
      <c r="HJ95" s="470"/>
      <c r="HK95" s="470"/>
      <c r="HL95" s="470"/>
      <c r="HM95" s="470"/>
      <c r="HN95" s="470"/>
      <c r="HO95" s="470"/>
      <c r="HP95" s="470"/>
      <c r="HQ95" s="470"/>
      <c r="HR95" s="470"/>
      <c r="HS95" s="470"/>
      <c r="HT95" s="470"/>
      <c r="HU95" s="470"/>
      <c r="HV95" s="470"/>
      <c r="HW95" s="470"/>
      <c r="HX95" s="470"/>
      <c r="HY95" s="470"/>
      <c r="HZ95" s="470"/>
      <c r="IA95" s="470"/>
      <c r="IB95" s="470"/>
      <c r="IC95" s="470"/>
      <c r="ID95" s="470"/>
      <c r="IE95" s="470"/>
      <c r="IF95" s="470"/>
      <c r="IG95" s="470"/>
      <c r="IH95" s="470"/>
      <c r="II95" s="470"/>
      <c r="IJ95" s="470"/>
      <c r="IK95" s="470"/>
      <c r="IL95" s="470"/>
      <c r="IM95" s="470"/>
      <c r="IN95" s="470"/>
      <c r="IO95" s="470"/>
      <c r="IP95" s="470"/>
      <c r="IQ95" s="470"/>
    </row>
    <row r="96" spans="1:251" x14ac:dyDescent="0.2">
      <c r="A96" s="453" t="s">
        <v>9900</v>
      </c>
      <c r="B96" s="453" t="s">
        <v>9901</v>
      </c>
      <c r="C96" s="473" t="s">
        <v>386</v>
      </c>
      <c r="D96" s="455" t="s">
        <v>9870</v>
      </c>
      <c r="E96" s="456" t="s">
        <v>9705</v>
      </c>
      <c r="F96" s="456" t="s">
        <v>6223</v>
      </c>
      <c r="G96" s="456" t="s">
        <v>9871</v>
      </c>
      <c r="H96" s="457">
        <v>339</v>
      </c>
      <c r="I96" s="457">
        <f t="shared" si="7"/>
        <v>364.42500000000001</v>
      </c>
      <c r="J96" s="457" t="s">
        <v>9706</v>
      </c>
      <c r="K96" s="458">
        <v>0.56000000000000005</v>
      </c>
      <c r="L96" s="459">
        <f t="shared" si="4"/>
        <v>149.15999999999997</v>
      </c>
      <c r="M96" s="460">
        <v>0.21</v>
      </c>
      <c r="N96" s="461">
        <f t="shared" si="5"/>
        <v>287.89575000000002</v>
      </c>
      <c r="O96" s="462">
        <v>0.14000000000000001</v>
      </c>
      <c r="P96" s="463">
        <f t="shared" si="6"/>
        <v>313.40550000000002</v>
      </c>
      <c r="Q96" s="464"/>
      <c r="R96" s="465">
        <v>2</v>
      </c>
      <c r="S96" s="465">
        <v>2</v>
      </c>
      <c r="T96" s="465">
        <v>2</v>
      </c>
      <c r="U96" s="466"/>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70"/>
      <c r="CJ96" s="470"/>
      <c r="CK96" s="470"/>
      <c r="CL96" s="470"/>
      <c r="CM96" s="470"/>
      <c r="CN96" s="470"/>
      <c r="CO96" s="470"/>
      <c r="CP96" s="470"/>
      <c r="CQ96" s="470"/>
      <c r="CR96" s="470"/>
      <c r="CS96" s="470"/>
      <c r="CT96" s="470"/>
      <c r="CU96" s="470"/>
      <c r="CV96" s="470"/>
      <c r="CW96" s="470"/>
      <c r="CX96" s="470"/>
      <c r="CY96" s="470"/>
      <c r="CZ96" s="470"/>
      <c r="DA96" s="470"/>
      <c r="DB96" s="470"/>
      <c r="DC96" s="470"/>
      <c r="DD96" s="470"/>
      <c r="DE96" s="470"/>
      <c r="DF96" s="470"/>
      <c r="DG96" s="470"/>
      <c r="DH96" s="470"/>
      <c r="DI96" s="470"/>
      <c r="DJ96" s="470"/>
      <c r="DK96" s="470"/>
      <c r="DL96" s="470"/>
      <c r="DM96" s="470"/>
      <c r="DN96" s="470"/>
      <c r="DO96" s="470"/>
      <c r="DP96" s="470"/>
      <c r="DQ96" s="470"/>
      <c r="DR96" s="470"/>
      <c r="DS96" s="470"/>
      <c r="DT96" s="470"/>
      <c r="DU96" s="470"/>
      <c r="DV96" s="470"/>
      <c r="DW96" s="470"/>
      <c r="DX96" s="470"/>
      <c r="DY96" s="470"/>
      <c r="DZ96" s="470"/>
      <c r="EA96" s="470"/>
      <c r="EB96" s="470"/>
      <c r="EC96" s="470"/>
      <c r="ED96" s="470"/>
      <c r="EE96" s="470"/>
      <c r="EF96" s="470"/>
      <c r="EG96" s="470"/>
      <c r="EH96" s="470"/>
      <c r="EI96" s="470"/>
      <c r="EJ96" s="470"/>
      <c r="EK96" s="470"/>
      <c r="EL96" s="470"/>
      <c r="EM96" s="470"/>
      <c r="EN96" s="470"/>
      <c r="EO96" s="470"/>
      <c r="EP96" s="470"/>
      <c r="EQ96" s="470"/>
      <c r="ER96" s="470"/>
      <c r="ES96" s="470"/>
      <c r="ET96" s="470"/>
      <c r="EU96" s="470"/>
      <c r="EV96" s="470"/>
      <c r="EW96" s="470"/>
      <c r="EX96" s="470"/>
      <c r="EY96" s="470"/>
      <c r="EZ96" s="470"/>
      <c r="FA96" s="470"/>
      <c r="FB96" s="470"/>
      <c r="FC96" s="470"/>
      <c r="FD96" s="470"/>
      <c r="FE96" s="470"/>
      <c r="FF96" s="470"/>
      <c r="FG96" s="470"/>
      <c r="FH96" s="470"/>
      <c r="FI96" s="470"/>
      <c r="FJ96" s="470"/>
      <c r="FK96" s="470"/>
      <c r="FL96" s="470"/>
      <c r="FM96" s="470"/>
      <c r="FN96" s="470"/>
      <c r="FO96" s="470"/>
      <c r="FP96" s="470"/>
      <c r="FQ96" s="470"/>
      <c r="FR96" s="470"/>
      <c r="FS96" s="470"/>
      <c r="FT96" s="470"/>
      <c r="FU96" s="470"/>
      <c r="FV96" s="470"/>
      <c r="FW96" s="470"/>
      <c r="FX96" s="470"/>
      <c r="FY96" s="470"/>
      <c r="FZ96" s="470"/>
      <c r="GA96" s="470"/>
      <c r="GB96" s="470"/>
      <c r="GC96" s="470"/>
      <c r="GD96" s="470"/>
      <c r="GE96" s="470"/>
      <c r="GF96" s="470"/>
      <c r="GG96" s="470"/>
      <c r="GH96" s="470"/>
      <c r="GI96" s="470"/>
      <c r="GJ96" s="470"/>
      <c r="GK96" s="470"/>
      <c r="GL96" s="470"/>
      <c r="GM96" s="470"/>
      <c r="GN96" s="470"/>
      <c r="GO96" s="470"/>
      <c r="GP96" s="470"/>
      <c r="GQ96" s="470"/>
      <c r="GR96" s="470"/>
      <c r="GS96" s="470"/>
      <c r="GT96" s="470"/>
      <c r="GU96" s="470"/>
      <c r="GV96" s="470"/>
      <c r="GW96" s="470"/>
      <c r="GX96" s="470"/>
      <c r="GY96" s="470"/>
      <c r="GZ96" s="470"/>
      <c r="HA96" s="470"/>
      <c r="HB96" s="470"/>
      <c r="HC96" s="470"/>
      <c r="HD96" s="470"/>
      <c r="HE96" s="470"/>
      <c r="HF96" s="470"/>
      <c r="HG96" s="470"/>
      <c r="HH96" s="470"/>
      <c r="HI96" s="470"/>
      <c r="HJ96" s="470"/>
      <c r="HK96" s="470"/>
      <c r="HL96" s="470"/>
      <c r="HM96" s="470"/>
      <c r="HN96" s="470"/>
      <c r="HO96" s="470"/>
      <c r="HP96" s="470"/>
      <c r="HQ96" s="470"/>
      <c r="HR96" s="470"/>
      <c r="HS96" s="470"/>
      <c r="HT96" s="470"/>
      <c r="HU96" s="470"/>
      <c r="HV96" s="470"/>
      <c r="HW96" s="470"/>
      <c r="HX96" s="470"/>
      <c r="HY96" s="470"/>
      <c r="HZ96" s="470"/>
      <c r="IA96" s="470"/>
      <c r="IB96" s="470"/>
      <c r="IC96" s="470"/>
      <c r="ID96" s="470"/>
      <c r="IE96" s="470"/>
      <c r="IF96" s="470"/>
      <c r="IG96" s="470"/>
      <c r="IH96" s="470"/>
      <c r="II96" s="470"/>
      <c r="IJ96" s="470"/>
      <c r="IK96" s="470"/>
      <c r="IL96" s="470"/>
      <c r="IM96" s="470"/>
      <c r="IN96" s="470"/>
      <c r="IO96" s="470"/>
      <c r="IP96" s="470"/>
      <c r="IQ96" s="470"/>
    </row>
    <row r="97" spans="1:251" x14ac:dyDescent="0.2">
      <c r="A97" s="475" t="s">
        <v>9902</v>
      </c>
      <c r="B97" s="475" t="s">
        <v>9903</v>
      </c>
      <c r="C97" s="473" t="s">
        <v>386</v>
      </c>
      <c r="D97" s="455" t="s">
        <v>9709</v>
      </c>
      <c r="E97" s="456" t="s">
        <v>9710</v>
      </c>
      <c r="F97" s="456" t="s">
        <v>6223</v>
      </c>
      <c r="G97" s="456" t="s">
        <v>9711</v>
      </c>
      <c r="H97" s="457">
        <v>646.92000000000007</v>
      </c>
      <c r="I97" s="457">
        <f t="shared" si="7"/>
        <v>695.43900000000008</v>
      </c>
      <c r="J97" s="457" t="s">
        <v>9706</v>
      </c>
      <c r="K97" s="458">
        <v>0.45</v>
      </c>
      <c r="L97" s="459">
        <f t="shared" si="4"/>
        <v>355.8060000000001</v>
      </c>
      <c r="M97" s="460">
        <v>0.21</v>
      </c>
      <c r="N97" s="461">
        <f t="shared" si="5"/>
        <v>549.39681000000007</v>
      </c>
      <c r="O97" s="462">
        <v>0.14000000000000001</v>
      </c>
      <c r="P97" s="463">
        <f t="shared" si="6"/>
        <v>598.07754000000011</v>
      </c>
      <c r="Q97" s="464"/>
      <c r="R97" s="465">
        <v>2</v>
      </c>
      <c r="S97" s="465">
        <v>2</v>
      </c>
      <c r="T97" s="465">
        <v>2</v>
      </c>
      <c r="U97" s="466"/>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70"/>
      <c r="CJ97" s="470"/>
      <c r="CK97" s="470"/>
      <c r="CL97" s="470"/>
      <c r="CM97" s="470"/>
      <c r="CN97" s="470"/>
      <c r="CO97" s="470"/>
      <c r="CP97" s="470"/>
      <c r="CQ97" s="470"/>
      <c r="CR97" s="470"/>
      <c r="CS97" s="470"/>
      <c r="CT97" s="470"/>
      <c r="CU97" s="470"/>
      <c r="CV97" s="470"/>
      <c r="CW97" s="470"/>
      <c r="CX97" s="470"/>
      <c r="CY97" s="470"/>
      <c r="CZ97" s="470"/>
      <c r="DA97" s="470"/>
      <c r="DB97" s="470"/>
      <c r="DC97" s="470"/>
      <c r="DD97" s="470"/>
      <c r="DE97" s="470"/>
      <c r="DF97" s="470"/>
      <c r="DG97" s="470"/>
      <c r="DH97" s="470"/>
      <c r="DI97" s="470"/>
      <c r="DJ97" s="470"/>
      <c r="DK97" s="470"/>
      <c r="DL97" s="470"/>
      <c r="DM97" s="470"/>
      <c r="DN97" s="470"/>
      <c r="DO97" s="470"/>
      <c r="DP97" s="470"/>
      <c r="DQ97" s="470"/>
      <c r="DR97" s="470"/>
      <c r="DS97" s="470"/>
      <c r="DT97" s="470"/>
      <c r="DU97" s="470"/>
      <c r="DV97" s="470"/>
      <c r="DW97" s="470"/>
      <c r="DX97" s="470"/>
      <c r="DY97" s="470"/>
      <c r="DZ97" s="470"/>
      <c r="EA97" s="470"/>
      <c r="EB97" s="470"/>
      <c r="EC97" s="470"/>
      <c r="ED97" s="470"/>
      <c r="EE97" s="470"/>
      <c r="EF97" s="470"/>
      <c r="EG97" s="470"/>
      <c r="EH97" s="470"/>
      <c r="EI97" s="470"/>
      <c r="EJ97" s="470"/>
      <c r="EK97" s="470"/>
      <c r="EL97" s="470"/>
      <c r="EM97" s="470"/>
      <c r="EN97" s="470"/>
      <c r="EO97" s="470"/>
      <c r="EP97" s="470"/>
      <c r="EQ97" s="470"/>
      <c r="ER97" s="470"/>
      <c r="ES97" s="470"/>
      <c r="ET97" s="470"/>
      <c r="EU97" s="470"/>
      <c r="EV97" s="470"/>
      <c r="EW97" s="470"/>
      <c r="EX97" s="470"/>
      <c r="EY97" s="470"/>
      <c r="EZ97" s="470"/>
      <c r="FA97" s="470"/>
      <c r="FB97" s="470"/>
      <c r="FC97" s="470"/>
      <c r="FD97" s="470"/>
      <c r="FE97" s="470"/>
      <c r="FF97" s="470"/>
      <c r="FG97" s="470"/>
      <c r="FH97" s="470"/>
      <c r="FI97" s="470"/>
      <c r="FJ97" s="470"/>
      <c r="FK97" s="470"/>
      <c r="FL97" s="470"/>
      <c r="FM97" s="470"/>
      <c r="FN97" s="470"/>
      <c r="FO97" s="470"/>
      <c r="FP97" s="470"/>
      <c r="FQ97" s="470"/>
      <c r="FR97" s="470"/>
      <c r="FS97" s="470"/>
      <c r="FT97" s="470"/>
      <c r="FU97" s="470"/>
      <c r="FV97" s="470"/>
      <c r="FW97" s="470"/>
      <c r="FX97" s="470"/>
      <c r="FY97" s="470"/>
      <c r="FZ97" s="470"/>
      <c r="GA97" s="470"/>
      <c r="GB97" s="470"/>
      <c r="GC97" s="470"/>
      <c r="GD97" s="470"/>
      <c r="GE97" s="470"/>
      <c r="GF97" s="470"/>
      <c r="GG97" s="470"/>
      <c r="GH97" s="470"/>
      <c r="GI97" s="470"/>
      <c r="GJ97" s="470"/>
      <c r="GK97" s="470"/>
      <c r="GL97" s="470"/>
      <c r="GM97" s="470"/>
      <c r="GN97" s="470"/>
      <c r="GO97" s="470"/>
      <c r="GP97" s="470"/>
      <c r="GQ97" s="470"/>
      <c r="GR97" s="470"/>
      <c r="GS97" s="470"/>
      <c r="GT97" s="470"/>
      <c r="GU97" s="470"/>
      <c r="GV97" s="470"/>
      <c r="GW97" s="470"/>
      <c r="GX97" s="470"/>
      <c r="GY97" s="470"/>
      <c r="GZ97" s="470"/>
      <c r="HA97" s="470"/>
      <c r="HB97" s="470"/>
      <c r="HC97" s="470"/>
      <c r="HD97" s="470"/>
      <c r="HE97" s="470"/>
      <c r="HF97" s="470"/>
      <c r="HG97" s="470"/>
      <c r="HH97" s="470"/>
      <c r="HI97" s="470"/>
      <c r="HJ97" s="470"/>
      <c r="HK97" s="470"/>
      <c r="HL97" s="470"/>
      <c r="HM97" s="470"/>
      <c r="HN97" s="470"/>
      <c r="HO97" s="470"/>
      <c r="HP97" s="470"/>
      <c r="HQ97" s="470"/>
      <c r="HR97" s="470"/>
      <c r="HS97" s="470"/>
      <c r="HT97" s="470"/>
      <c r="HU97" s="470"/>
      <c r="HV97" s="470"/>
      <c r="HW97" s="470"/>
      <c r="HX97" s="470"/>
      <c r="HY97" s="470"/>
      <c r="HZ97" s="470"/>
      <c r="IA97" s="470"/>
      <c r="IB97" s="470"/>
      <c r="IC97" s="470"/>
      <c r="ID97" s="470"/>
      <c r="IE97" s="470"/>
      <c r="IF97" s="470"/>
      <c r="IG97" s="470"/>
      <c r="IH97" s="470"/>
      <c r="II97" s="470"/>
      <c r="IJ97" s="470"/>
      <c r="IK97" s="470"/>
      <c r="IL97" s="470"/>
      <c r="IM97" s="470"/>
      <c r="IN97" s="470"/>
      <c r="IO97" s="470"/>
      <c r="IP97" s="470"/>
      <c r="IQ97" s="470"/>
    </row>
    <row r="98" spans="1:251" x14ac:dyDescent="0.2">
      <c r="A98" s="453" t="s">
        <v>9904</v>
      </c>
      <c r="B98" s="453" t="s">
        <v>9905</v>
      </c>
      <c r="C98" s="473" t="s">
        <v>386</v>
      </c>
      <c r="D98" s="455" t="s">
        <v>9709</v>
      </c>
      <c r="E98" s="456" t="s">
        <v>9710</v>
      </c>
      <c r="F98" s="456" t="s">
        <v>9906</v>
      </c>
      <c r="G98" s="456" t="s">
        <v>7180</v>
      </c>
      <c r="H98" s="457">
        <v>430.92</v>
      </c>
      <c r="I98" s="457">
        <f t="shared" si="7"/>
        <v>463.23899999999998</v>
      </c>
      <c r="J98" s="457" t="s">
        <v>9706</v>
      </c>
      <c r="K98" s="458">
        <v>0.3</v>
      </c>
      <c r="L98" s="459">
        <f t="shared" si="4"/>
        <v>301.64400000000001</v>
      </c>
      <c r="M98" s="460">
        <v>0.18</v>
      </c>
      <c r="N98" s="461">
        <f t="shared" si="5"/>
        <v>379.85597999999999</v>
      </c>
      <c r="O98" s="462">
        <v>0.1</v>
      </c>
      <c r="P98" s="463">
        <f t="shared" si="6"/>
        <v>416.9151</v>
      </c>
      <c r="Q98" s="464"/>
      <c r="R98" s="465">
        <v>2</v>
      </c>
      <c r="S98" s="465">
        <v>2</v>
      </c>
      <c r="T98" s="465">
        <v>2</v>
      </c>
      <c r="U98" s="466"/>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70"/>
      <c r="CJ98" s="470"/>
      <c r="CK98" s="470"/>
      <c r="CL98" s="470"/>
      <c r="CM98" s="470"/>
      <c r="CN98" s="470"/>
      <c r="CO98" s="470"/>
      <c r="CP98" s="470"/>
      <c r="CQ98" s="470"/>
      <c r="CR98" s="470"/>
      <c r="CS98" s="470"/>
      <c r="CT98" s="470"/>
      <c r="CU98" s="470"/>
      <c r="CV98" s="470"/>
      <c r="CW98" s="470"/>
      <c r="CX98" s="470"/>
      <c r="CY98" s="470"/>
      <c r="CZ98" s="470"/>
      <c r="DA98" s="470"/>
      <c r="DB98" s="470"/>
      <c r="DC98" s="470"/>
      <c r="DD98" s="470"/>
      <c r="DE98" s="470"/>
      <c r="DF98" s="470"/>
      <c r="DG98" s="470"/>
      <c r="DH98" s="470"/>
      <c r="DI98" s="470"/>
      <c r="DJ98" s="470"/>
      <c r="DK98" s="470"/>
      <c r="DL98" s="470"/>
      <c r="DM98" s="470"/>
      <c r="DN98" s="470"/>
      <c r="DO98" s="470"/>
      <c r="DP98" s="470"/>
      <c r="DQ98" s="470"/>
      <c r="DR98" s="470"/>
      <c r="DS98" s="470"/>
      <c r="DT98" s="470"/>
      <c r="DU98" s="470"/>
      <c r="DV98" s="470"/>
      <c r="DW98" s="470"/>
      <c r="DX98" s="470"/>
      <c r="DY98" s="470"/>
      <c r="DZ98" s="470"/>
      <c r="EA98" s="470"/>
      <c r="EB98" s="470"/>
      <c r="EC98" s="470"/>
      <c r="ED98" s="470"/>
      <c r="EE98" s="470"/>
      <c r="EF98" s="470"/>
      <c r="EG98" s="470"/>
      <c r="EH98" s="470"/>
      <c r="EI98" s="470"/>
      <c r="EJ98" s="470"/>
      <c r="EK98" s="470"/>
      <c r="EL98" s="470"/>
      <c r="EM98" s="470"/>
      <c r="EN98" s="470"/>
      <c r="EO98" s="470"/>
      <c r="EP98" s="470"/>
      <c r="EQ98" s="470"/>
      <c r="ER98" s="470"/>
      <c r="ES98" s="470"/>
      <c r="ET98" s="470"/>
      <c r="EU98" s="470"/>
      <c r="EV98" s="470"/>
      <c r="EW98" s="470"/>
      <c r="EX98" s="470"/>
      <c r="EY98" s="470"/>
      <c r="EZ98" s="470"/>
      <c r="FA98" s="470"/>
      <c r="FB98" s="470"/>
      <c r="FC98" s="470"/>
      <c r="FD98" s="470"/>
      <c r="FE98" s="470"/>
      <c r="FF98" s="470"/>
      <c r="FG98" s="470"/>
      <c r="FH98" s="470"/>
      <c r="FI98" s="470"/>
      <c r="FJ98" s="470"/>
      <c r="FK98" s="470"/>
      <c r="FL98" s="470"/>
      <c r="FM98" s="470"/>
      <c r="FN98" s="470"/>
      <c r="FO98" s="470"/>
      <c r="FP98" s="470"/>
      <c r="FQ98" s="470"/>
      <c r="FR98" s="470"/>
      <c r="FS98" s="470"/>
      <c r="FT98" s="470"/>
      <c r="FU98" s="470"/>
      <c r="FV98" s="470"/>
      <c r="FW98" s="470"/>
      <c r="FX98" s="470"/>
      <c r="FY98" s="470"/>
      <c r="FZ98" s="470"/>
      <c r="GA98" s="470"/>
      <c r="GB98" s="470"/>
      <c r="GC98" s="470"/>
      <c r="GD98" s="470"/>
      <c r="GE98" s="470"/>
      <c r="GF98" s="470"/>
      <c r="GG98" s="470"/>
      <c r="GH98" s="470"/>
      <c r="GI98" s="470"/>
      <c r="GJ98" s="470"/>
      <c r="GK98" s="470"/>
      <c r="GL98" s="470"/>
      <c r="GM98" s="470"/>
      <c r="GN98" s="470"/>
      <c r="GO98" s="470"/>
      <c r="GP98" s="470"/>
      <c r="GQ98" s="470"/>
      <c r="GR98" s="470"/>
      <c r="GS98" s="470"/>
      <c r="GT98" s="470"/>
      <c r="GU98" s="470"/>
      <c r="GV98" s="470"/>
      <c r="GW98" s="470"/>
      <c r="GX98" s="470"/>
      <c r="GY98" s="470"/>
      <c r="GZ98" s="470"/>
      <c r="HA98" s="470"/>
      <c r="HB98" s="470"/>
      <c r="HC98" s="470"/>
      <c r="HD98" s="470"/>
      <c r="HE98" s="470"/>
      <c r="HF98" s="470"/>
      <c r="HG98" s="470"/>
      <c r="HH98" s="470"/>
      <c r="HI98" s="470"/>
      <c r="HJ98" s="470"/>
      <c r="HK98" s="470"/>
      <c r="HL98" s="470"/>
      <c r="HM98" s="470"/>
      <c r="HN98" s="470"/>
      <c r="HO98" s="470"/>
      <c r="HP98" s="470"/>
      <c r="HQ98" s="470"/>
      <c r="HR98" s="470"/>
      <c r="HS98" s="470"/>
      <c r="HT98" s="470"/>
      <c r="HU98" s="470"/>
      <c r="HV98" s="470"/>
      <c r="HW98" s="470"/>
      <c r="HX98" s="470"/>
      <c r="HY98" s="470"/>
      <c r="HZ98" s="470"/>
      <c r="IA98" s="470"/>
      <c r="IB98" s="470"/>
      <c r="IC98" s="470"/>
      <c r="ID98" s="470"/>
      <c r="IE98" s="470"/>
      <c r="IF98" s="470"/>
      <c r="IG98" s="470"/>
      <c r="IH98" s="470"/>
      <c r="II98" s="470"/>
      <c r="IJ98" s="470"/>
      <c r="IK98" s="470"/>
      <c r="IL98" s="470"/>
      <c r="IM98" s="470"/>
      <c r="IN98" s="470"/>
      <c r="IO98" s="470"/>
      <c r="IP98" s="470"/>
      <c r="IQ98" s="470"/>
    </row>
    <row r="99" spans="1:251" x14ac:dyDescent="0.2">
      <c r="A99" s="453" t="s">
        <v>9907</v>
      </c>
      <c r="B99" s="453" t="s">
        <v>9908</v>
      </c>
      <c r="C99" s="473" t="s">
        <v>386</v>
      </c>
      <c r="D99" s="455" t="s">
        <v>9709</v>
      </c>
      <c r="E99" s="456" t="s">
        <v>9758</v>
      </c>
      <c r="F99" s="456" t="s">
        <v>9906</v>
      </c>
      <c r="G99" s="456" t="s">
        <v>7180</v>
      </c>
      <c r="H99" s="457">
        <v>430.92</v>
      </c>
      <c r="I99" s="457">
        <f t="shared" si="7"/>
        <v>463.23899999999998</v>
      </c>
      <c r="J99" s="457" t="s">
        <v>9706</v>
      </c>
      <c r="K99" s="458">
        <v>0.3</v>
      </c>
      <c r="L99" s="459">
        <f t="shared" si="4"/>
        <v>301.64400000000001</v>
      </c>
      <c r="M99" s="460">
        <v>0.18</v>
      </c>
      <c r="N99" s="461">
        <f t="shared" si="5"/>
        <v>379.85597999999999</v>
      </c>
      <c r="O99" s="462">
        <v>0.1</v>
      </c>
      <c r="P99" s="463">
        <f t="shared" si="6"/>
        <v>416.9151</v>
      </c>
      <c r="Q99" s="464"/>
      <c r="R99" s="465">
        <v>2</v>
      </c>
      <c r="S99" s="465">
        <v>2</v>
      </c>
      <c r="T99" s="465">
        <v>2</v>
      </c>
      <c r="U99" s="466"/>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70"/>
      <c r="CL99" s="470"/>
      <c r="CM99" s="470"/>
      <c r="CN99" s="470"/>
      <c r="CO99" s="470"/>
      <c r="CP99" s="470"/>
      <c r="CQ99" s="470"/>
      <c r="CR99" s="470"/>
      <c r="CS99" s="470"/>
      <c r="CT99" s="470"/>
      <c r="CU99" s="470"/>
      <c r="CV99" s="470"/>
      <c r="CW99" s="470"/>
      <c r="CX99" s="470"/>
      <c r="CY99" s="470"/>
      <c r="CZ99" s="470"/>
      <c r="DA99" s="470"/>
      <c r="DB99" s="470"/>
      <c r="DC99" s="470"/>
      <c r="DD99" s="470"/>
      <c r="DE99" s="470"/>
      <c r="DF99" s="470"/>
      <c r="DG99" s="470"/>
      <c r="DH99" s="470"/>
      <c r="DI99" s="470"/>
      <c r="DJ99" s="470"/>
      <c r="DK99" s="470"/>
      <c r="DL99" s="470"/>
      <c r="DM99" s="470"/>
      <c r="DN99" s="470"/>
      <c r="DO99" s="470"/>
      <c r="DP99" s="470"/>
      <c r="DQ99" s="470"/>
      <c r="DR99" s="470"/>
      <c r="DS99" s="470"/>
      <c r="DT99" s="470"/>
      <c r="DU99" s="470"/>
      <c r="DV99" s="470"/>
      <c r="DW99" s="470"/>
      <c r="DX99" s="470"/>
      <c r="DY99" s="470"/>
      <c r="DZ99" s="470"/>
      <c r="EA99" s="470"/>
      <c r="EB99" s="470"/>
      <c r="EC99" s="470"/>
      <c r="ED99" s="470"/>
      <c r="EE99" s="470"/>
      <c r="EF99" s="470"/>
      <c r="EG99" s="470"/>
      <c r="EH99" s="470"/>
      <c r="EI99" s="470"/>
      <c r="EJ99" s="470"/>
      <c r="EK99" s="470"/>
      <c r="EL99" s="470"/>
      <c r="EM99" s="470"/>
      <c r="EN99" s="470"/>
      <c r="EO99" s="470"/>
      <c r="EP99" s="470"/>
      <c r="EQ99" s="470"/>
      <c r="ER99" s="470"/>
      <c r="ES99" s="470"/>
      <c r="ET99" s="470"/>
      <c r="EU99" s="470"/>
      <c r="EV99" s="470"/>
      <c r="EW99" s="470"/>
      <c r="EX99" s="470"/>
      <c r="EY99" s="470"/>
      <c r="EZ99" s="470"/>
      <c r="FA99" s="470"/>
      <c r="FB99" s="470"/>
      <c r="FC99" s="470"/>
      <c r="FD99" s="470"/>
      <c r="FE99" s="470"/>
      <c r="FF99" s="470"/>
      <c r="FG99" s="470"/>
      <c r="FH99" s="470"/>
      <c r="FI99" s="470"/>
      <c r="FJ99" s="470"/>
      <c r="FK99" s="470"/>
      <c r="FL99" s="470"/>
      <c r="FM99" s="470"/>
      <c r="FN99" s="470"/>
      <c r="FO99" s="470"/>
      <c r="FP99" s="470"/>
      <c r="FQ99" s="470"/>
      <c r="FR99" s="470"/>
      <c r="FS99" s="470"/>
      <c r="FT99" s="470"/>
      <c r="FU99" s="470"/>
      <c r="FV99" s="470"/>
      <c r="FW99" s="470"/>
      <c r="FX99" s="470"/>
      <c r="FY99" s="470"/>
      <c r="FZ99" s="470"/>
      <c r="GA99" s="470"/>
      <c r="GB99" s="470"/>
      <c r="GC99" s="470"/>
      <c r="GD99" s="470"/>
      <c r="GE99" s="470"/>
      <c r="GF99" s="470"/>
      <c r="GG99" s="470"/>
      <c r="GH99" s="470"/>
      <c r="GI99" s="470"/>
      <c r="GJ99" s="470"/>
      <c r="GK99" s="470"/>
      <c r="GL99" s="470"/>
      <c r="GM99" s="470"/>
      <c r="GN99" s="470"/>
      <c r="GO99" s="470"/>
      <c r="GP99" s="470"/>
      <c r="GQ99" s="470"/>
      <c r="GR99" s="470"/>
      <c r="GS99" s="470"/>
      <c r="GT99" s="470"/>
      <c r="GU99" s="470"/>
      <c r="GV99" s="470"/>
      <c r="GW99" s="470"/>
      <c r="GX99" s="470"/>
      <c r="GY99" s="470"/>
      <c r="GZ99" s="470"/>
      <c r="HA99" s="470"/>
      <c r="HB99" s="470"/>
      <c r="HC99" s="470"/>
      <c r="HD99" s="470"/>
      <c r="HE99" s="470"/>
      <c r="HF99" s="470"/>
      <c r="HG99" s="470"/>
      <c r="HH99" s="470"/>
      <c r="HI99" s="470"/>
      <c r="HJ99" s="470"/>
      <c r="HK99" s="470"/>
      <c r="HL99" s="470"/>
      <c r="HM99" s="470"/>
      <c r="HN99" s="470"/>
      <c r="HO99" s="470"/>
      <c r="HP99" s="470"/>
      <c r="HQ99" s="470"/>
      <c r="HR99" s="470"/>
      <c r="HS99" s="470"/>
      <c r="HT99" s="470"/>
      <c r="HU99" s="470"/>
      <c r="HV99" s="470"/>
      <c r="HW99" s="470"/>
      <c r="HX99" s="470"/>
      <c r="HY99" s="470"/>
      <c r="HZ99" s="470"/>
      <c r="IA99" s="470"/>
      <c r="IB99" s="470"/>
      <c r="IC99" s="470"/>
      <c r="ID99" s="470"/>
      <c r="IE99" s="470"/>
      <c r="IF99" s="470"/>
      <c r="IG99" s="470"/>
      <c r="IH99" s="470"/>
      <c r="II99" s="470"/>
      <c r="IJ99" s="470"/>
      <c r="IK99" s="470"/>
      <c r="IL99" s="470"/>
      <c r="IM99" s="470"/>
      <c r="IN99" s="470"/>
      <c r="IO99" s="470"/>
      <c r="IP99" s="470"/>
      <c r="IQ99" s="470"/>
    </row>
    <row r="100" spans="1:251" x14ac:dyDescent="0.2">
      <c r="A100" s="453" t="s">
        <v>9909</v>
      </c>
      <c r="B100" s="453" t="s">
        <v>9910</v>
      </c>
      <c r="C100" s="473" t="s">
        <v>386</v>
      </c>
      <c r="D100" s="455" t="s">
        <v>9709</v>
      </c>
      <c r="E100" s="456" t="s">
        <v>9710</v>
      </c>
      <c r="F100" s="456" t="s">
        <v>9906</v>
      </c>
      <c r="G100" s="456" t="s">
        <v>7180</v>
      </c>
      <c r="H100" s="457">
        <v>430.92</v>
      </c>
      <c r="I100" s="457">
        <f t="shared" si="7"/>
        <v>463.23899999999998</v>
      </c>
      <c r="J100" s="457" t="s">
        <v>9706</v>
      </c>
      <c r="K100" s="458">
        <v>0.3</v>
      </c>
      <c r="L100" s="459">
        <f t="shared" si="4"/>
        <v>301.64400000000001</v>
      </c>
      <c r="M100" s="460">
        <v>0.18</v>
      </c>
      <c r="N100" s="461">
        <f t="shared" si="5"/>
        <v>379.85597999999999</v>
      </c>
      <c r="O100" s="462">
        <v>0.1</v>
      </c>
      <c r="P100" s="463">
        <f t="shared" si="6"/>
        <v>416.9151</v>
      </c>
      <c r="Q100" s="464"/>
      <c r="R100" s="465">
        <v>6</v>
      </c>
      <c r="S100" s="465">
        <v>6</v>
      </c>
      <c r="T100" s="465">
        <v>6</v>
      </c>
      <c r="U100" s="466"/>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70"/>
      <c r="CJ100" s="470"/>
      <c r="CK100" s="470"/>
      <c r="CL100" s="470"/>
      <c r="CM100" s="470"/>
      <c r="CN100" s="470"/>
      <c r="CO100" s="470"/>
      <c r="CP100" s="470"/>
      <c r="CQ100" s="470"/>
      <c r="CR100" s="470"/>
      <c r="CS100" s="470"/>
      <c r="CT100" s="470"/>
      <c r="CU100" s="470"/>
      <c r="CV100" s="470"/>
      <c r="CW100" s="470"/>
      <c r="CX100" s="470"/>
      <c r="CY100" s="470"/>
      <c r="CZ100" s="470"/>
      <c r="DA100" s="470"/>
      <c r="DB100" s="470"/>
      <c r="DC100" s="470"/>
      <c r="DD100" s="470"/>
      <c r="DE100" s="470"/>
      <c r="DF100" s="470"/>
      <c r="DG100" s="470"/>
      <c r="DH100" s="470"/>
      <c r="DI100" s="470"/>
      <c r="DJ100" s="470"/>
      <c r="DK100" s="470"/>
      <c r="DL100" s="470"/>
      <c r="DM100" s="470"/>
      <c r="DN100" s="470"/>
      <c r="DO100" s="470"/>
      <c r="DP100" s="470"/>
      <c r="DQ100" s="470"/>
      <c r="DR100" s="470"/>
      <c r="DS100" s="470"/>
      <c r="DT100" s="470"/>
      <c r="DU100" s="470"/>
      <c r="DV100" s="470"/>
      <c r="DW100" s="470"/>
      <c r="DX100" s="470"/>
      <c r="DY100" s="470"/>
      <c r="DZ100" s="470"/>
      <c r="EA100" s="470"/>
      <c r="EB100" s="470"/>
      <c r="EC100" s="470"/>
      <c r="ED100" s="470"/>
      <c r="EE100" s="470"/>
      <c r="EF100" s="470"/>
      <c r="EG100" s="470"/>
      <c r="EH100" s="470"/>
      <c r="EI100" s="470"/>
      <c r="EJ100" s="470"/>
      <c r="EK100" s="470"/>
      <c r="EL100" s="470"/>
      <c r="EM100" s="470"/>
      <c r="EN100" s="470"/>
      <c r="EO100" s="470"/>
      <c r="EP100" s="470"/>
      <c r="EQ100" s="470"/>
      <c r="ER100" s="470"/>
      <c r="ES100" s="470"/>
      <c r="ET100" s="470"/>
      <c r="EU100" s="470"/>
      <c r="EV100" s="470"/>
      <c r="EW100" s="470"/>
      <c r="EX100" s="470"/>
      <c r="EY100" s="470"/>
      <c r="EZ100" s="470"/>
      <c r="FA100" s="470"/>
      <c r="FB100" s="470"/>
      <c r="FC100" s="470"/>
      <c r="FD100" s="470"/>
      <c r="FE100" s="470"/>
      <c r="FF100" s="470"/>
      <c r="FG100" s="470"/>
      <c r="FH100" s="470"/>
      <c r="FI100" s="470"/>
      <c r="FJ100" s="470"/>
      <c r="FK100" s="470"/>
      <c r="FL100" s="470"/>
      <c r="FM100" s="470"/>
      <c r="FN100" s="470"/>
      <c r="FO100" s="470"/>
      <c r="FP100" s="470"/>
      <c r="FQ100" s="470"/>
      <c r="FR100" s="470"/>
      <c r="FS100" s="470"/>
      <c r="FT100" s="470"/>
      <c r="FU100" s="470"/>
      <c r="FV100" s="470"/>
      <c r="FW100" s="470"/>
      <c r="FX100" s="470"/>
      <c r="FY100" s="470"/>
      <c r="FZ100" s="470"/>
      <c r="GA100" s="470"/>
      <c r="GB100" s="470"/>
      <c r="GC100" s="470"/>
      <c r="GD100" s="470"/>
      <c r="GE100" s="470"/>
      <c r="GF100" s="470"/>
      <c r="GG100" s="470"/>
      <c r="GH100" s="470"/>
      <c r="GI100" s="470"/>
      <c r="GJ100" s="470"/>
      <c r="GK100" s="470"/>
      <c r="GL100" s="470"/>
      <c r="GM100" s="470"/>
      <c r="GN100" s="470"/>
      <c r="GO100" s="470"/>
      <c r="GP100" s="470"/>
      <c r="GQ100" s="470"/>
      <c r="GR100" s="470"/>
      <c r="GS100" s="470"/>
      <c r="GT100" s="470"/>
      <c r="GU100" s="470"/>
      <c r="GV100" s="470"/>
      <c r="GW100" s="470"/>
      <c r="GX100" s="470"/>
      <c r="GY100" s="470"/>
      <c r="GZ100" s="470"/>
      <c r="HA100" s="470"/>
      <c r="HB100" s="470"/>
      <c r="HC100" s="470"/>
      <c r="HD100" s="470"/>
      <c r="HE100" s="470"/>
      <c r="HF100" s="470"/>
      <c r="HG100" s="470"/>
      <c r="HH100" s="470"/>
      <c r="HI100" s="470"/>
      <c r="HJ100" s="470"/>
      <c r="HK100" s="470"/>
      <c r="HL100" s="470"/>
      <c r="HM100" s="470"/>
      <c r="HN100" s="470"/>
      <c r="HO100" s="470"/>
      <c r="HP100" s="470"/>
      <c r="HQ100" s="470"/>
      <c r="HR100" s="470"/>
      <c r="HS100" s="470"/>
      <c r="HT100" s="470"/>
      <c r="HU100" s="470"/>
      <c r="HV100" s="470"/>
      <c r="HW100" s="470"/>
      <c r="HX100" s="470"/>
      <c r="HY100" s="470"/>
      <c r="HZ100" s="470"/>
      <c r="IA100" s="470"/>
      <c r="IB100" s="470"/>
      <c r="IC100" s="470"/>
      <c r="ID100" s="470"/>
      <c r="IE100" s="470"/>
      <c r="IF100" s="470"/>
      <c r="IG100" s="470"/>
      <c r="IH100" s="470"/>
      <c r="II100" s="470"/>
      <c r="IJ100" s="470"/>
      <c r="IK100" s="470"/>
      <c r="IL100" s="470"/>
      <c r="IM100" s="470"/>
      <c r="IN100" s="470"/>
      <c r="IO100" s="470"/>
      <c r="IP100" s="470"/>
      <c r="IQ100" s="470"/>
    </row>
    <row r="101" spans="1:251" x14ac:dyDescent="0.2">
      <c r="A101" s="453" t="s">
        <v>9911</v>
      </c>
      <c r="B101" s="453" t="s">
        <v>9912</v>
      </c>
      <c r="C101" s="473" t="s">
        <v>386</v>
      </c>
      <c r="D101" s="455" t="s">
        <v>9709</v>
      </c>
      <c r="E101" s="456" t="s">
        <v>9710</v>
      </c>
      <c r="F101" s="456" t="s">
        <v>9906</v>
      </c>
      <c r="G101" s="456" t="s">
        <v>7180</v>
      </c>
      <c r="H101" s="457">
        <v>484.92</v>
      </c>
      <c r="I101" s="457">
        <f t="shared" si="7"/>
        <v>521.28899999999999</v>
      </c>
      <c r="J101" s="457" t="s">
        <v>9706</v>
      </c>
      <c r="K101" s="458">
        <v>0.3</v>
      </c>
      <c r="L101" s="459">
        <f t="shared" si="4"/>
        <v>339.44400000000002</v>
      </c>
      <c r="M101" s="460">
        <v>0.18</v>
      </c>
      <c r="N101" s="461">
        <f t="shared" si="5"/>
        <v>427.45698000000004</v>
      </c>
      <c r="O101" s="462">
        <v>0.1</v>
      </c>
      <c r="P101" s="463">
        <f t="shared" si="6"/>
        <v>469.1601</v>
      </c>
      <c r="Q101" s="464"/>
      <c r="R101" s="465">
        <v>6</v>
      </c>
      <c r="S101" s="465">
        <v>6</v>
      </c>
      <c r="T101" s="465">
        <v>6</v>
      </c>
      <c r="U101" s="466"/>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70"/>
      <c r="CJ101" s="470"/>
      <c r="CK101" s="470"/>
      <c r="CL101" s="470"/>
      <c r="CM101" s="470"/>
      <c r="CN101" s="470"/>
      <c r="CO101" s="470"/>
      <c r="CP101" s="470"/>
      <c r="CQ101" s="470"/>
      <c r="CR101" s="470"/>
      <c r="CS101" s="470"/>
      <c r="CT101" s="470"/>
      <c r="CU101" s="470"/>
      <c r="CV101" s="470"/>
      <c r="CW101" s="470"/>
      <c r="CX101" s="470"/>
      <c r="CY101" s="470"/>
      <c r="CZ101" s="470"/>
      <c r="DA101" s="470"/>
      <c r="DB101" s="470"/>
      <c r="DC101" s="470"/>
      <c r="DD101" s="470"/>
      <c r="DE101" s="470"/>
      <c r="DF101" s="470"/>
      <c r="DG101" s="470"/>
      <c r="DH101" s="470"/>
      <c r="DI101" s="470"/>
      <c r="DJ101" s="470"/>
      <c r="DK101" s="470"/>
      <c r="DL101" s="470"/>
      <c r="DM101" s="470"/>
      <c r="DN101" s="470"/>
      <c r="DO101" s="470"/>
      <c r="DP101" s="470"/>
      <c r="DQ101" s="470"/>
      <c r="DR101" s="470"/>
      <c r="DS101" s="470"/>
      <c r="DT101" s="470"/>
      <c r="DU101" s="470"/>
      <c r="DV101" s="470"/>
      <c r="DW101" s="470"/>
      <c r="DX101" s="470"/>
      <c r="DY101" s="470"/>
      <c r="DZ101" s="470"/>
      <c r="EA101" s="470"/>
      <c r="EB101" s="470"/>
      <c r="EC101" s="470"/>
      <c r="ED101" s="470"/>
      <c r="EE101" s="470"/>
      <c r="EF101" s="470"/>
      <c r="EG101" s="470"/>
      <c r="EH101" s="470"/>
      <c r="EI101" s="470"/>
      <c r="EJ101" s="470"/>
      <c r="EK101" s="470"/>
      <c r="EL101" s="470"/>
      <c r="EM101" s="470"/>
      <c r="EN101" s="470"/>
      <c r="EO101" s="470"/>
      <c r="EP101" s="470"/>
      <c r="EQ101" s="470"/>
      <c r="ER101" s="470"/>
      <c r="ES101" s="470"/>
      <c r="ET101" s="470"/>
      <c r="EU101" s="470"/>
      <c r="EV101" s="470"/>
      <c r="EW101" s="470"/>
      <c r="EX101" s="470"/>
      <c r="EY101" s="470"/>
      <c r="EZ101" s="470"/>
      <c r="FA101" s="470"/>
      <c r="FB101" s="470"/>
      <c r="FC101" s="470"/>
      <c r="FD101" s="470"/>
      <c r="FE101" s="470"/>
      <c r="FF101" s="470"/>
      <c r="FG101" s="470"/>
      <c r="FH101" s="470"/>
      <c r="FI101" s="470"/>
      <c r="FJ101" s="470"/>
      <c r="FK101" s="470"/>
      <c r="FL101" s="470"/>
      <c r="FM101" s="470"/>
      <c r="FN101" s="470"/>
      <c r="FO101" s="470"/>
      <c r="FP101" s="470"/>
      <c r="FQ101" s="470"/>
      <c r="FR101" s="470"/>
      <c r="FS101" s="470"/>
      <c r="FT101" s="470"/>
      <c r="FU101" s="470"/>
      <c r="FV101" s="470"/>
      <c r="FW101" s="470"/>
      <c r="FX101" s="470"/>
      <c r="FY101" s="470"/>
      <c r="FZ101" s="470"/>
      <c r="GA101" s="470"/>
      <c r="GB101" s="470"/>
      <c r="GC101" s="470"/>
      <c r="GD101" s="470"/>
      <c r="GE101" s="470"/>
      <c r="GF101" s="470"/>
      <c r="GG101" s="470"/>
      <c r="GH101" s="470"/>
      <c r="GI101" s="470"/>
      <c r="GJ101" s="470"/>
      <c r="GK101" s="470"/>
      <c r="GL101" s="470"/>
      <c r="GM101" s="470"/>
      <c r="GN101" s="470"/>
      <c r="GO101" s="470"/>
      <c r="GP101" s="470"/>
      <c r="GQ101" s="470"/>
      <c r="GR101" s="470"/>
      <c r="GS101" s="470"/>
      <c r="GT101" s="470"/>
      <c r="GU101" s="470"/>
      <c r="GV101" s="470"/>
      <c r="GW101" s="470"/>
      <c r="GX101" s="470"/>
      <c r="GY101" s="470"/>
      <c r="GZ101" s="470"/>
      <c r="HA101" s="470"/>
      <c r="HB101" s="470"/>
      <c r="HC101" s="470"/>
      <c r="HD101" s="470"/>
      <c r="HE101" s="470"/>
      <c r="HF101" s="470"/>
      <c r="HG101" s="470"/>
      <c r="HH101" s="470"/>
      <c r="HI101" s="470"/>
      <c r="HJ101" s="470"/>
      <c r="HK101" s="470"/>
      <c r="HL101" s="470"/>
      <c r="HM101" s="470"/>
      <c r="HN101" s="470"/>
      <c r="HO101" s="470"/>
      <c r="HP101" s="470"/>
      <c r="HQ101" s="470"/>
      <c r="HR101" s="470"/>
      <c r="HS101" s="470"/>
      <c r="HT101" s="470"/>
      <c r="HU101" s="470"/>
      <c r="HV101" s="470"/>
      <c r="HW101" s="470"/>
      <c r="HX101" s="470"/>
      <c r="HY101" s="470"/>
      <c r="HZ101" s="470"/>
      <c r="IA101" s="470"/>
      <c r="IB101" s="470"/>
      <c r="IC101" s="470"/>
      <c r="ID101" s="470"/>
      <c r="IE101" s="470"/>
      <c r="IF101" s="470"/>
      <c r="IG101" s="470"/>
      <c r="IH101" s="470"/>
      <c r="II101" s="470"/>
      <c r="IJ101" s="470"/>
      <c r="IK101" s="470"/>
      <c r="IL101" s="470"/>
      <c r="IM101" s="470"/>
      <c r="IN101" s="470"/>
      <c r="IO101" s="470"/>
      <c r="IP101" s="470"/>
      <c r="IQ101" s="470"/>
    </row>
    <row r="102" spans="1:251" x14ac:dyDescent="0.2">
      <c r="A102" s="453" t="s">
        <v>9913</v>
      </c>
      <c r="B102" s="453" t="s">
        <v>9914</v>
      </c>
      <c r="C102" s="473" t="s">
        <v>386</v>
      </c>
      <c r="D102" s="455" t="s">
        <v>1198</v>
      </c>
      <c r="E102" s="456" t="s">
        <v>9705</v>
      </c>
      <c r="F102" s="456" t="s">
        <v>9906</v>
      </c>
      <c r="G102" s="456" t="s">
        <v>7070</v>
      </c>
      <c r="H102" s="457">
        <v>52.92</v>
      </c>
      <c r="I102" s="457">
        <f t="shared" si="7"/>
        <v>56.889000000000003</v>
      </c>
      <c r="J102" s="457" t="s">
        <v>9706</v>
      </c>
      <c r="K102" s="458">
        <v>0.4</v>
      </c>
      <c r="L102" s="459">
        <f t="shared" si="4"/>
        <v>31.751999999999999</v>
      </c>
      <c r="M102" s="460">
        <v>0.23</v>
      </c>
      <c r="N102" s="461">
        <f t="shared" si="5"/>
        <v>43.80453</v>
      </c>
      <c r="O102" s="462">
        <v>0.1</v>
      </c>
      <c r="P102" s="463">
        <f t="shared" si="6"/>
        <v>51.200100000000006</v>
      </c>
      <c r="Q102" s="464"/>
      <c r="R102" s="465">
        <v>2</v>
      </c>
      <c r="S102" s="465">
        <v>2</v>
      </c>
      <c r="T102" s="465">
        <v>2</v>
      </c>
      <c r="U102" s="466"/>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c r="BW102" s="470"/>
      <c r="BX102" s="470"/>
      <c r="BY102" s="470"/>
      <c r="BZ102" s="470"/>
      <c r="CA102" s="470"/>
      <c r="CB102" s="470"/>
      <c r="CC102" s="470"/>
      <c r="CD102" s="470"/>
      <c r="CE102" s="470"/>
      <c r="CF102" s="470"/>
      <c r="CG102" s="470"/>
      <c r="CH102" s="470"/>
      <c r="CI102" s="470"/>
      <c r="CJ102" s="470"/>
      <c r="CK102" s="470"/>
      <c r="CL102" s="470"/>
      <c r="CM102" s="470"/>
      <c r="CN102" s="470"/>
      <c r="CO102" s="470"/>
      <c r="CP102" s="470"/>
      <c r="CQ102" s="470"/>
      <c r="CR102" s="470"/>
      <c r="CS102" s="470"/>
      <c r="CT102" s="470"/>
      <c r="CU102" s="470"/>
      <c r="CV102" s="470"/>
      <c r="CW102" s="470"/>
      <c r="CX102" s="470"/>
      <c r="CY102" s="470"/>
      <c r="CZ102" s="470"/>
      <c r="DA102" s="470"/>
      <c r="DB102" s="470"/>
      <c r="DC102" s="470"/>
      <c r="DD102" s="470"/>
      <c r="DE102" s="470"/>
      <c r="DF102" s="470"/>
      <c r="DG102" s="470"/>
      <c r="DH102" s="470"/>
      <c r="DI102" s="470"/>
      <c r="DJ102" s="470"/>
      <c r="DK102" s="470"/>
      <c r="DL102" s="470"/>
      <c r="DM102" s="470"/>
      <c r="DN102" s="470"/>
      <c r="DO102" s="470"/>
      <c r="DP102" s="470"/>
      <c r="DQ102" s="470"/>
      <c r="DR102" s="470"/>
      <c r="DS102" s="470"/>
      <c r="DT102" s="470"/>
      <c r="DU102" s="470"/>
      <c r="DV102" s="470"/>
      <c r="DW102" s="470"/>
      <c r="DX102" s="470"/>
      <c r="DY102" s="470"/>
      <c r="DZ102" s="470"/>
      <c r="EA102" s="470"/>
      <c r="EB102" s="470"/>
      <c r="EC102" s="470"/>
      <c r="ED102" s="470"/>
      <c r="EE102" s="470"/>
      <c r="EF102" s="470"/>
      <c r="EG102" s="470"/>
      <c r="EH102" s="470"/>
      <c r="EI102" s="470"/>
      <c r="EJ102" s="470"/>
      <c r="EK102" s="470"/>
      <c r="EL102" s="470"/>
      <c r="EM102" s="470"/>
      <c r="EN102" s="470"/>
      <c r="EO102" s="470"/>
      <c r="EP102" s="470"/>
      <c r="EQ102" s="470"/>
      <c r="ER102" s="470"/>
      <c r="ES102" s="470"/>
      <c r="ET102" s="470"/>
      <c r="EU102" s="470"/>
      <c r="EV102" s="470"/>
      <c r="EW102" s="470"/>
      <c r="EX102" s="470"/>
      <c r="EY102" s="470"/>
      <c r="EZ102" s="470"/>
      <c r="FA102" s="470"/>
      <c r="FB102" s="470"/>
      <c r="FC102" s="470"/>
      <c r="FD102" s="470"/>
      <c r="FE102" s="470"/>
      <c r="FF102" s="470"/>
      <c r="FG102" s="470"/>
      <c r="FH102" s="470"/>
      <c r="FI102" s="470"/>
      <c r="FJ102" s="470"/>
      <c r="FK102" s="470"/>
      <c r="FL102" s="470"/>
      <c r="FM102" s="470"/>
      <c r="FN102" s="470"/>
      <c r="FO102" s="470"/>
      <c r="FP102" s="470"/>
      <c r="FQ102" s="470"/>
      <c r="FR102" s="470"/>
      <c r="FS102" s="470"/>
      <c r="FT102" s="470"/>
      <c r="FU102" s="470"/>
      <c r="FV102" s="470"/>
      <c r="FW102" s="470"/>
      <c r="FX102" s="470"/>
      <c r="FY102" s="470"/>
      <c r="FZ102" s="470"/>
      <c r="GA102" s="470"/>
      <c r="GB102" s="470"/>
      <c r="GC102" s="470"/>
      <c r="GD102" s="470"/>
      <c r="GE102" s="470"/>
      <c r="GF102" s="470"/>
      <c r="GG102" s="470"/>
      <c r="GH102" s="470"/>
      <c r="GI102" s="470"/>
      <c r="GJ102" s="470"/>
      <c r="GK102" s="470"/>
      <c r="GL102" s="470"/>
      <c r="GM102" s="470"/>
      <c r="GN102" s="470"/>
      <c r="GO102" s="470"/>
      <c r="GP102" s="470"/>
      <c r="GQ102" s="470"/>
      <c r="GR102" s="470"/>
      <c r="GS102" s="470"/>
      <c r="GT102" s="470"/>
      <c r="GU102" s="470"/>
      <c r="GV102" s="470"/>
      <c r="GW102" s="470"/>
      <c r="GX102" s="470"/>
      <c r="GY102" s="470"/>
      <c r="GZ102" s="470"/>
      <c r="HA102" s="470"/>
      <c r="HB102" s="470"/>
      <c r="HC102" s="470"/>
      <c r="HD102" s="470"/>
      <c r="HE102" s="470"/>
      <c r="HF102" s="470"/>
      <c r="HG102" s="470"/>
      <c r="HH102" s="470"/>
      <c r="HI102" s="470"/>
      <c r="HJ102" s="470"/>
      <c r="HK102" s="470"/>
      <c r="HL102" s="470"/>
      <c r="HM102" s="470"/>
      <c r="HN102" s="470"/>
      <c r="HO102" s="470"/>
      <c r="HP102" s="470"/>
      <c r="HQ102" s="470"/>
      <c r="HR102" s="470"/>
      <c r="HS102" s="470"/>
      <c r="HT102" s="470"/>
      <c r="HU102" s="470"/>
      <c r="HV102" s="470"/>
      <c r="HW102" s="470"/>
      <c r="HX102" s="470"/>
      <c r="HY102" s="470"/>
      <c r="HZ102" s="470"/>
      <c r="IA102" s="470"/>
      <c r="IB102" s="470"/>
      <c r="IC102" s="470"/>
      <c r="ID102" s="470"/>
      <c r="IE102" s="470"/>
      <c r="IF102" s="470"/>
      <c r="IG102" s="470"/>
      <c r="IH102" s="470"/>
      <c r="II102" s="470"/>
      <c r="IJ102" s="470"/>
      <c r="IK102" s="470"/>
      <c r="IL102" s="470"/>
      <c r="IM102" s="470"/>
      <c r="IN102" s="470"/>
      <c r="IO102" s="470"/>
      <c r="IP102" s="470"/>
      <c r="IQ102" s="470"/>
    </row>
    <row r="103" spans="1:251" x14ac:dyDescent="0.2">
      <c r="A103" s="453" t="s">
        <v>9915</v>
      </c>
      <c r="B103" s="453" t="s">
        <v>9916</v>
      </c>
      <c r="C103" s="473" t="s">
        <v>386</v>
      </c>
      <c r="D103" s="455" t="s">
        <v>9709</v>
      </c>
      <c r="E103" s="456" t="s">
        <v>9710</v>
      </c>
      <c r="F103" s="456" t="s">
        <v>9906</v>
      </c>
      <c r="G103" s="456" t="s">
        <v>7180</v>
      </c>
      <c r="H103" s="457">
        <v>484.92</v>
      </c>
      <c r="I103" s="457">
        <f t="shared" si="7"/>
        <v>521.28899999999999</v>
      </c>
      <c r="J103" s="457" t="s">
        <v>9706</v>
      </c>
      <c r="K103" s="458">
        <v>0.3</v>
      </c>
      <c r="L103" s="459">
        <f t="shared" si="4"/>
        <v>339.44400000000002</v>
      </c>
      <c r="M103" s="460">
        <v>0.18</v>
      </c>
      <c r="N103" s="461">
        <f t="shared" si="5"/>
        <v>427.45698000000004</v>
      </c>
      <c r="O103" s="462">
        <v>0.1</v>
      </c>
      <c r="P103" s="463">
        <f t="shared" si="6"/>
        <v>469.1601</v>
      </c>
      <c r="Q103" s="464"/>
      <c r="R103" s="465">
        <v>2</v>
      </c>
      <c r="S103" s="465">
        <v>2</v>
      </c>
      <c r="T103" s="465">
        <v>2</v>
      </c>
      <c r="U103" s="466"/>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c r="CH103" s="470"/>
      <c r="CI103" s="470"/>
      <c r="CJ103" s="470"/>
      <c r="CK103" s="470"/>
      <c r="CL103" s="470"/>
      <c r="CM103" s="470"/>
      <c r="CN103" s="470"/>
      <c r="CO103" s="470"/>
      <c r="CP103" s="470"/>
      <c r="CQ103" s="470"/>
      <c r="CR103" s="470"/>
      <c r="CS103" s="470"/>
      <c r="CT103" s="470"/>
      <c r="CU103" s="470"/>
      <c r="CV103" s="470"/>
      <c r="CW103" s="470"/>
      <c r="CX103" s="470"/>
      <c r="CY103" s="470"/>
      <c r="CZ103" s="470"/>
      <c r="DA103" s="470"/>
      <c r="DB103" s="470"/>
      <c r="DC103" s="470"/>
      <c r="DD103" s="470"/>
      <c r="DE103" s="470"/>
      <c r="DF103" s="470"/>
      <c r="DG103" s="470"/>
      <c r="DH103" s="470"/>
      <c r="DI103" s="470"/>
      <c r="DJ103" s="470"/>
      <c r="DK103" s="470"/>
      <c r="DL103" s="470"/>
      <c r="DM103" s="470"/>
      <c r="DN103" s="470"/>
      <c r="DO103" s="470"/>
      <c r="DP103" s="470"/>
      <c r="DQ103" s="470"/>
      <c r="DR103" s="470"/>
      <c r="DS103" s="470"/>
      <c r="DT103" s="470"/>
      <c r="DU103" s="470"/>
      <c r="DV103" s="470"/>
      <c r="DW103" s="470"/>
      <c r="DX103" s="470"/>
      <c r="DY103" s="470"/>
      <c r="DZ103" s="470"/>
      <c r="EA103" s="470"/>
      <c r="EB103" s="470"/>
      <c r="EC103" s="470"/>
      <c r="ED103" s="470"/>
      <c r="EE103" s="470"/>
      <c r="EF103" s="470"/>
      <c r="EG103" s="470"/>
      <c r="EH103" s="470"/>
      <c r="EI103" s="470"/>
      <c r="EJ103" s="470"/>
      <c r="EK103" s="470"/>
      <c r="EL103" s="470"/>
      <c r="EM103" s="470"/>
      <c r="EN103" s="470"/>
      <c r="EO103" s="470"/>
      <c r="EP103" s="470"/>
      <c r="EQ103" s="470"/>
      <c r="ER103" s="470"/>
      <c r="ES103" s="470"/>
      <c r="ET103" s="470"/>
      <c r="EU103" s="470"/>
      <c r="EV103" s="470"/>
      <c r="EW103" s="470"/>
      <c r="EX103" s="470"/>
      <c r="EY103" s="470"/>
      <c r="EZ103" s="470"/>
      <c r="FA103" s="470"/>
      <c r="FB103" s="470"/>
      <c r="FC103" s="470"/>
      <c r="FD103" s="470"/>
      <c r="FE103" s="470"/>
      <c r="FF103" s="470"/>
      <c r="FG103" s="470"/>
      <c r="FH103" s="470"/>
      <c r="FI103" s="470"/>
      <c r="FJ103" s="470"/>
      <c r="FK103" s="470"/>
      <c r="FL103" s="470"/>
      <c r="FM103" s="470"/>
      <c r="FN103" s="470"/>
      <c r="FO103" s="470"/>
      <c r="FP103" s="470"/>
      <c r="FQ103" s="470"/>
      <c r="FR103" s="470"/>
      <c r="FS103" s="470"/>
      <c r="FT103" s="470"/>
      <c r="FU103" s="470"/>
      <c r="FV103" s="470"/>
      <c r="FW103" s="470"/>
      <c r="FX103" s="470"/>
      <c r="FY103" s="470"/>
      <c r="FZ103" s="470"/>
      <c r="GA103" s="470"/>
      <c r="GB103" s="470"/>
      <c r="GC103" s="470"/>
      <c r="GD103" s="470"/>
      <c r="GE103" s="470"/>
      <c r="GF103" s="470"/>
      <c r="GG103" s="470"/>
      <c r="GH103" s="470"/>
      <c r="GI103" s="470"/>
      <c r="GJ103" s="470"/>
      <c r="GK103" s="470"/>
      <c r="GL103" s="470"/>
      <c r="GM103" s="470"/>
      <c r="GN103" s="470"/>
      <c r="GO103" s="470"/>
      <c r="GP103" s="470"/>
      <c r="GQ103" s="470"/>
      <c r="GR103" s="470"/>
      <c r="GS103" s="470"/>
      <c r="GT103" s="470"/>
      <c r="GU103" s="470"/>
      <c r="GV103" s="470"/>
      <c r="GW103" s="470"/>
      <c r="GX103" s="470"/>
      <c r="GY103" s="470"/>
      <c r="GZ103" s="470"/>
      <c r="HA103" s="470"/>
      <c r="HB103" s="470"/>
      <c r="HC103" s="470"/>
      <c r="HD103" s="470"/>
      <c r="HE103" s="470"/>
      <c r="HF103" s="470"/>
      <c r="HG103" s="470"/>
      <c r="HH103" s="470"/>
      <c r="HI103" s="470"/>
      <c r="HJ103" s="470"/>
      <c r="HK103" s="470"/>
      <c r="HL103" s="470"/>
      <c r="HM103" s="470"/>
      <c r="HN103" s="470"/>
      <c r="HO103" s="470"/>
      <c r="HP103" s="470"/>
      <c r="HQ103" s="470"/>
      <c r="HR103" s="470"/>
      <c r="HS103" s="470"/>
      <c r="HT103" s="470"/>
      <c r="HU103" s="470"/>
      <c r="HV103" s="470"/>
      <c r="HW103" s="470"/>
      <c r="HX103" s="470"/>
      <c r="HY103" s="470"/>
      <c r="HZ103" s="470"/>
      <c r="IA103" s="470"/>
      <c r="IB103" s="470"/>
      <c r="IC103" s="470"/>
      <c r="ID103" s="470"/>
      <c r="IE103" s="470"/>
      <c r="IF103" s="470"/>
      <c r="IG103" s="470"/>
      <c r="IH103" s="470"/>
      <c r="II103" s="470"/>
      <c r="IJ103" s="470"/>
      <c r="IK103" s="470"/>
      <c r="IL103" s="470"/>
      <c r="IM103" s="470"/>
      <c r="IN103" s="470"/>
      <c r="IO103" s="470"/>
      <c r="IP103" s="470"/>
      <c r="IQ103" s="470"/>
    </row>
    <row r="104" spans="1:251" x14ac:dyDescent="0.2">
      <c r="A104" s="453" t="s">
        <v>9917</v>
      </c>
      <c r="B104" s="453" t="s">
        <v>9918</v>
      </c>
      <c r="C104" s="473" t="s">
        <v>386</v>
      </c>
      <c r="D104" s="455" t="s">
        <v>9709</v>
      </c>
      <c r="E104" s="456" t="s">
        <v>9710</v>
      </c>
      <c r="F104" s="456" t="s">
        <v>9906</v>
      </c>
      <c r="G104" s="456" t="s">
        <v>7180</v>
      </c>
      <c r="H104" s="457">
        <v>484.92</v>
      </c>
      <c r="I104" s="457">
        <f t="shared" si="7"/>
        <v>521.28899999999999</v>
      </c>
      <c r="J104" s="457" t="s">
        <v>9706</v>
      </c>
      <c r="K104" s="458">
        <v>0.3</v>
      </c>
      <c r="L104" s="459">
        <f t="shared" si="4"/>
        <v>339.44400000000002</v>
      </c>
      <c r="M104" s="460">
        <v>0.18</v>
      </c>
      <c r="N104" s="461">
        <f t="shared" si="5"/>
        <v>427.45698000000004</v>
      </c>
      <c r="O104" s="462">
        <v>0.1</v>
      </c>
      <c r="P104" s="463">
        <f t="shared" si="6"/>
        <v>469.1601</v>
      </c>
      <c r="Q104" s="464"/>
      <c r="R104" s="465">
        <v>4</v>
      </c>
      <c r="S104" s="465">
        <v>4</v>
      </c>
      <c r="T104" s="465">
        <v>4</v>
      </c>
      <c r="U104" s="466"/>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c r="BW104" s="470"/>
      <c r="BX104" s="470"/>
      <c r="BY104" s="470"/>
      <c r="BZ104" s="470"/>
      <c r="CA104" s="470"/>
      <c r="CB104" s="470"/>
      <c r="CC104" s="470"/>
      <c r="CD104" s="470"/>
      <c r="CE104" s="470"/>
      <c r="CF104" s="470"/>
      <c r="CG104" s="470"/>
      <c r="CH104" s="470"/>
      <c r="CI104" s="470"/>
      <c r="CJ104" s="470"/>
      <c r="CK104" s="470"/>
      <c r="CL104" s="470"/>
      <c r="CM104" s="470"/>
      <c r="CN104" s="470"/>
      <c r="CO104" s="470"/>
      <c r="CP104" s="470"/>
      <c r="CQ104" s="470"/>
      <c r="CR104" s="470"/>
      <c r="CS104" s="470"/>
      <c r="CT104" s="470"/>
      <c r="CU104" s="470"/>
      <c r="CV104" s="470"/>
      <c r="CW104" s="470"/>
      <c r="CX104" s="470"/>
      <c r="CY104" s="470"/>
      <c r="CZ104" s="470"/>
      <c r="DA104" s="470"/>
      <c r="DB104" s="470"/>
      <c r="DC104" s="470"/>
      <c r="DD104" s="470"/>
      <c r="DE104" s="470"/>
      <c r="DF104" s="470"/>
      <c r="DG104" s="470"/>
      <c r="DH104" s="470"/>
      <c r="DI104" s="470"/>
      <c r="DJ104" s="470"/>
      <c r="DK104" s="470"/>
      <c r="DL104" s="470"/>
      <c r="DM104" s="470"/>
      <c r="DN104" s="470"/>
      <c r="DO104" s="470"/>
      <c r="DP104" s="470"/>
      <c r="DQ104" s="470"/>
      <c r="DR104" s="470"/>
      <c r="DS104" s="470"/>
      <c r="DT104" s="470"/>
      <c r="DU104" s="470"/>
      <c r="DV104" s="470"/>
      <c r="DW104" s="470"/>
      <c r="DX104" s="470"/>
      <c r="DY104" s="470"/>
      <c r="DZ104" s="470"/>
      <c r="EA104" s="470"/>
      <c r="EB104" s="470"/>
      <c r="EC104" s="470"/>
      <c r="ED104" s="470"/>
      <c r="EE104" s="470"/>
      <c r="EF104" s="470"/>
      <c r="EG104" s="470"/>
      <c r="EH104" s="470"/>
      <c r="EI104" s="470"/>
      <c r="EJ104" s="470"/>
      <c r="EK104" s="470"/>
      <c r="EL104" s="470"/>
      <c r="EM104" s="470"/>
      <c r="EN104" s="470"/>
      <c r="EO104" s="470"/>
      <c r="EP104" s="470"/>
      <c r="EQ104" s="470"/>
      <c r="ER104" s="470"/>
      <c r="ES104" s="470"/>
      <c r="ET104" s="470"/>
      <c r="EU104" s="470"/>
      <c r="EV104" s="470"/>
      <c r="EW104" s="470"/>
      <c r="EX104" s="470"/>
      <c r="EY104" s="470"/>
      <c r="EZ104" s="470"/>
      <c r="FA104" s="470"/>
      <c r="FB104" s="470"/>
      <c r="FC104" s="470"/>
      <c r="FD104" s="470"/>
      <c r="FE104" s="470"/>
      <c r="FF104" s="470"/>
      <c r="FG104" s="470"/>
      <c r="FH104" s="470"/>
      <c r="FI104" s="470"/>
      <c r="FJ104" s="470"/>
      <c r="FK104" s="470"/>
      <c r="FL104" s="470"/>
      <c r="FM104" s="470"/>
      <c r="FN104" s="470"/>
      <c r="FO104" s="470"/>
      <c r="FP104" s="470"/>
      <c r="FQ104" s="470"/>
      <c r="FR104" s="470"/>
      <c r="FS104" s="470"/>
      <c r="FT104" s="470"/>
      <c r="FU104" s="470"/>
      <c r="FV104" s="470"/>
      <c r="FW104" s="470"/>
      <c r="FX104" s="470"/>
      <c r="FY104" s="470"/>
      <c r="FZ104" s="470"/>
      <c r="GA104" s="470"/>
      <c r="GB104" s="470"/>
      <c r="GC104" s="470"/>
      <c r="GD104" s="470"/>
      <c r="GE104" s="470"/>
      <c r="GF104" s="470"/>
      <c r="GG104" s="470"/>
      <c r="GH104" s="470"/>
      <c r="GI104" s="470"/>
      <c r="GJ104" s="470"/>
      <c r="GK104" s="470"/>
      <c r="GL104" s="470"/>
      <c r="GM104" s="470"/>
      <c r="GN104" s="470"/>
      <c r="GO104" s="470"/>
      <c r="GP104" s="470"/>
      <c r="GQ104" s="470"/>
      <c r="GR104" s="470"/>
      <c r="GS104" s="470"/>
      <c r="GT104" s="470"/>
      <c r="GU104" s="470"/>
      <c r="GV104" s="470"/>
      <c r="GW104" s="470"/>
      <c r="GX104" s="470"/>
      <c r="GY104" s="470"/>
      <c r="GZ104" s="470"/>
      <c r="HA104" s="470"/>
      <c r="HB104" s="470"/>
      <c r="HC104" s="470"/>
      <c r="HD104" s="470"/>
      <c r="HE104" s="470"/>
      <c r="HF104" s="470"/>
      <c r="HG104" s="470"/>
      <c r="HH104" s="470"/>
      <c r="HI104" s="470"/>
      <c r="HJ104" s="470"/>
      <c r="HK104" s="470"/>
      <c r="HL104" s="470"/>
      <c r="HM104" s="470"/>
      <c r="HN104" s="470"/>
      <c r="HO104" s="470"/>
      <c r="HP104" s="470"/>
      <c r="HQ104" s="470"/>
      <c r="HR104" s="470"/>
      <c r="HS104" s="470"/>
      <c r="HT104" s="470"/>
      <c r="HU104" s="470"/>
      <c r="HV104" s="470"/>
      <c r="HW104" s="470"/>
      <c r="HX104" s="470"/>
      <c r="HY104" s="470"/>
      <c r="HZ104" s="470"/>
      <c r="IA104" s="470"/>
      <c r="IB104" s="470"/>
      <c r="IC104" s="470"/>
      <c r="ID104" s="470"/>
      <c r="IE104" s="470"/>
      <c r="IF104" s="470"/>
      <c r="IG104" s="470"/>
      <c r="IH104" s="470"/>
      <c r="II104" s="470"/>
      <c r="IJ104" s="470"/>
      <c r="IK104" s="470"/>
      <c r="IL104" s="470"/>
      <c r="IM104" s="470"/>
      <c r="IN104" s="470"/>
      <c r="IO104" s="470"/>
      <c r="IP104" s="470"/>
      <c r="IQ104" s="470"/>
    </row>
    <row r="105" spans="1:251" x14ac:dyDescent="0.2">
      <c r="A105" s="453" t="s">
        <v>9919</v>
      </c>
      <c r="B105" s="453" t="s">
        <v>9920</v>
      </c>
      <c r="C105" s="473" t="s">
        <v>386</v>
      </c>
      <c r="D105" s="455" t="s">
        <v>9709</v>
      </c>
      <c r="E105" s="456" t="s">
        <v>9758</v>
      </c>
      <c r="F105" s="456" t="s">
        <v>9906</v>
      </c>
      <c r="G105" s="456" t="s">
        <v>7180</v>
      </c>
      <c r="H105" s="457">
        <v>484.92</v>
      </c>
      <c r="I105" s="457">
        <f t="shared" si="7"/>
        <v>521.28899999999999</v>
      </c>
      <c r="J105" s="457" t="s">
        <v>9706</v>
      </c>
      <c r="K105" s="458">
        <v>0.3</v>
      </c>
      <c r="L105" s="459">
        <f t="shared" si="4"/>
        <v>339.44400000000002</v>
      </c>
      <c r="M105" s="460">
        <v>0.18</v>
      </c>
      <c r="N105" s="461">
        <f t="shared" si="5"/>
        <v>427.45698000000004</v>
      </c>
      <c r="O105" s="462">
        <v>0.1</v>
      </c>
      <c r="P105" s="463">
        <f t="shared" si="6"/>
        <v>469.1601</v>
      </c>
      <c r="Q105" s="464"/>
      <c r="R105" s="465">
        <v>6</v>
      </c>
      <c r="S105" s="465">
        <v>6</v>
      </c>
      <c r="T105" s="465">
        <v>6</v>
      </c>
      <c r="U105" s="466"/>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c r="CH105" s="470"/>
      <c r="CI105" s="470"/>
      <c r="CJ105" s="470"/>
      <c r="CK105" s="470"/>
      <c r="CL105" s="470"/>
      <c r="CM105" s="470"/>
      <c r="CN105" s="470"/>
      <c r="CO105" s="470"/>
      <c r="CP105" s="470"/>
      <c r="CQ105" s="470"/>
      <c r="CR105" s="470"/>
      <c r="CS105" s="470"/>
      <c r="CT105" s="470"/>
      <c r="CU105" s="470"/>
      <c r="CV105" s="470"/>
      <c r="CW105" s="470"/>
      <c r="CX105" s="470"/>
      <c r="CY105" s="470"/>
      <c r="CZ105" s="470"/>
      <c r="DA105" s="470"/>
      <c r="DB105" s="470"/>
      <c r="DC105" s="470"/>
      <c r="DD105" s="470"/>
      <c r="DE105" s="470"/>
      <c r="DF105" s="470"/>
      <c r="DG105" s="470"/>
      <c r="DH105" s="470"/>
      <c r="DI105" s="470"/>
      <c r="DJ105" s="470"/>
      <c r="DK105" s="470"/>
      <c r="DL105" s="470"/>
      <c r="DM105" s="470"/>
      <c r="DN105" s="470"/>
      <c r="DO105" s="470"/>
      <c r="DP105" s="470"/>
      <c r="DQ105" s="470"/>
      <c r="DR105" s="470"/>
      <c r="DS105" s="470"/>
      <c r="DT105" s="470"/>
      <c r="DU105" s="470"/>
      <c r="DV105" s="470"/>
      <c r="DW105" s="470"/>
      <c r="DX105" s="470"/>
      <c r="DY105" s="470"/>
      <c r="DZ105" s="470"/>
      <c r="EA105" s="470"/>
      <c r="EB105" s="470"/>
      <c r="EC105" s="470"/>
      <c r="ED105" s="470"/>
      <c r="EE105" s="470"/>
      <c r="EF105" s="470"/>
      <c r="EG105" s="470"/>
      <c r="EH105" s="470"/>
      <c r="EI105" s="470"/>
      <c r="EJ105" s="470"/>
      <c r="EK105" s="470"/>
      <c r="EL105" s="470"/>
      <c r="EM105" s="470"/>
      <c r="EN105" s="470"/>
      <c r="EO105" s="470"/>
      <c r="EP105" s="470"/>
      <c r="EQ105" s="470"/>
      <c r="ER105" s="470"/>
      <c r="ES105" s="470"/>
      <c r="ET105" s="470"/>
      <c r="EU105" s="470"/>
      <c r="EV105" s="470"/>
      <c r="EW105" s="470"/>
      <c r="EX105" s="470"/>
      <c r="EY105" s="470"/>
      <c r="EZ105" s="470"/>
      <c r="FA105" s="470"/>
      <c r="FB105" s="470"/>
      <c r="FC105" s="470"/>
      <c r="FD105" s="470"/>
      <c r="FE105" s="470"/>
      <c r="FF105" s="470"/>
      <c r="FG105" s="470"/>
      <c r="FH105" s="470"/>
      <c r="FI105" s="470"/>
      <c r="FJ105" s="470"/>
      <c r="FK105" s="470"/>
      <c r="FL105" s="470"/>
      <c r="FM105" s="470"/>
      <c r="FN105" s="470"/>
      <c r="FO105" s="470"/>
      <c r="FP105" s="470"/>
      <c r="FQ105" s="470"/>
      <c r="FR105" s="470"/>
      <c r="FS105" s="470"/>
      <c r="FT105" s="470"/>
      <c r="FU105" s="470"/>
      <c r="FV105" s="470"/>
      <c r="FW105" s="470"/>
      <c r="FX105" s="470"/>
      <c r="FY105" s="470"/>
      <c r="FZ105" s="470"/>
      <c r="GA105" s="470"/>
      <c r="GB105" s="470"/>
      <c r="GC105" s="470"/>
      <c r="GD105" s="470"/>
      <c r="GE105" s="470"/>
      <c r="GF105" s="470"/>
      <c r="GG105" s="470"/>
      <c r="GH105" s="470"/>
      <c r="GI105" s="470"/>
      <c r="GJ105" s="470"/>
      <c r="GK105" s="470"/>
      <c r="GL105" s="470"/>
      <c r="GM105" s="470"/>
      <c r="GN105" s="470"/>
      <c r="GO105" s="470"/>
      <c r="GP105" s="470"/>
      <c r="GQ105" s="470"/>
      <c r="GR105" s="470"/>
      <c r="GS105" s="470"/>
      <c r="GT105" s="470"/>
      <c r="GU105" s="470"/>
      <c r="GV105" s="470"/>
      <c r="GW105" s="470"/>
      <c r="GX105" s="470"/>
      <c r="GY105" s="470"/>
      <c r="GZ105" s="470"/>
      <c r="HA105" s="470"/>
      <c r="HB105" s="470"/>
      <c r="HC105" s="470"/>
      <c r="HD105" s="470"/>
      <c r="HE105" s="470"/>
      <c r="HF105" s="470"/>
      <c r="HG105" s="470"/>
      <c r="HH105" s="470"/>
      <c r="HI105" s="470"/>
      <c r="HJ105" s="470"/>
      <c r="HK105" s="470"/>
      <c r="HL105" s="470"/>
      <c r="HM105" s="470"/>
      <c r="HN105" s="470"/>
      <c r="HO105" s="470"/>
      <c r="HP105" s="470"/>
      <c r="HQ105" s="470"/>
      <c r="HR105" s="470"/>
      <c r="HS105" s="470"/>
      <c r="HT105" s="470"/>
      <c r="HU105" s="470"/>
      <c r="HV105" s="470"/>
      <c r="HW105" s="470"/>
      <c r="HX105" s="470"/>
      <c r="HY105" s="470"/>
      <c r="HZ105" s="470"/>
      <c r="IA105" s="470"/>
      <c r="IB105" s="470"/>
      <c r="IC105" s="470"/>
      <c r="ID105" s="470"/>
      <c r="IE105" s="470"/>
      <c r="IF105" s="470"/>
      <c r="IG105" s="470"/>
      <c r="IH105" s="470"/>
      <c r="II105" s="470"/>
      <c r="IJ105" s="470"/>
      <c r="IK105" s="470"/>
      <c r="IL105" s="470"/>
      <c r="IM105" s="470"/>
      <c r="IN105" s="470"/>
      <c r="IO105" s="470"/>
      <c r="IP105" s="470"/>
      <c r="IQ105" s="470"/>
    </row>
    <row r="106" spans="1:251" x14ac:dyDescent="0.2">
      <c r="A106" s="453" t="s">
        <v>9921</v>
      </c>
      <c r="B106" s="453" t="s">
        <v>9922</v>
      </c>
      <c r="C106" s="473" t="s">
        <v>386</v>
      </c>
      <c r="D106" s="455" t="s">
        <v>9709</v>
      </c>
      <c r="E106" s="456" t="s">
        <v>9710</v>
      </c>
      <c r="F106" s="456" t="s">
        <v>9906</v>
      </c>
      <c r="G106" s="456" t="s">
        <v>7180</v>
      </c>
      <c r="H106" s="457">
        <v>484.92</v>
      </c>
      <c r="I106" s="457">
        <f t="shared" si="7"/>
        <v>521.28899999999999</v>
      </c>
      <c r="J106" s="457" t="s">
        <v>9706</v>
      </c>
      <c r="K106" s="458">
        <v>0.3</v>
      </c>
      <c r="L106" s="459">
        <f t="shared" si="4"/>
        <v>339.44400000000002</v>
      </c>
      <c r="M106" s="460">
        <v>0.18</v>
      </c>
      <c r="N106" s="461">
        <f t="shared" si="5"/>
        <v>427.45698000000004</v>
      </c>
      <c r="O106" s="462">
        <v>0.1</v>
      </c>
      <c r="P106" s="463">
        <f t="shared" si="6"/>
        <v>469.1601</v>
      </c>
      <c r="Q106" s="464"/>
      <c r="R106" s="465">
        <v>6</v>
      </c>
      <c r="S106" s="465">
        <v>6</v>
      </c>
      <c r="T106" s="465">
        <v>6</v>
      </c>
      <c r="U106" s="466"/>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70"/>
      <c r="CJ106" s="470"/>
      <c r="CK106" s="470"/>
      <c r="CL106" s="470"/>
      <c r="CM106" s="470"/>
      <c r="CN106" s="470"/>
      <c r="CO106" s="470"/>
      <c r="CP106" s="470"/>
      <c r="CQ106" s="470"/>
      <c r="CR106" s="470"/>
      <c r="CS106" s="470"/>
      <c r="CT106" s="470"/>
      <c r="CU106" s="470"/>
      <c r="CV106" s="470"/>
      <c r="CW106" s="470"/>
      <c r="CX106" s="470"/>
      <c r="CY106" s="470"/>
      <c r="CZ106" s="470"/>
      <c r="DA106" s="470"/>
      <c r="DB106" s="470"/>
      <c r="DC106" s="470"/>
      <c r="DD106" s="470"/>
      <c r="DE106" s="470"/>
      <c r="DF106" s="470"/>
      <c r="DG106" s="470"/>
      <c r="DH106" s="470"/>
      <c r="DI106" s="470"/>
      <c r="DJ106" s="470"/>
      <c r="DK106" s="470"/>
      <c r="DL106" s="470"/>
      <c r="DM106" s="470"/>
      <c r="DN106" s="470"/>
      <c r="DO106" s="470"/>
      <c r="DP106" s="470"/>
      <c r="DQ106" s="470"/>
      <c r="DR106" s="470"/>
      <c r="DS106" s="470"/>
      <c r="DT106" s="470"/>
      <c r="DU106" s="470"/>
      <c r="DV106" s="470"/>
      <c r="DW106" s="470"/>
      <c r="DX106" s="470"/>
      <c r="DY106" s="470"/>
      <c r="DZ106" s="470"/>
      <c r="EA106" s="470"/>
      <c r="EB106" s="470"/>
      <c r="EC106" s="470"/>
      <c r="ED106" s="470"/>
      <c r="EE106" s="470"/>
      <c r="EF106" s="470"/>
      <c r="EG106" s="470"/>
      <c r="EH106" s="470"/>
      <c r="EI106" s="470"/>
      <c r="EJ106" s="470"/>
      <c r="EK106" s="470"/>
      <c r="EL106" s="470"/>
      <c r="EM106" s="470"/>
      <c r="EN106" s="470"/>
      <c r="EO106" s="470"/>
      <c r="EP106" s="470"/>
      <c r="EQ106" s="470"/>
      <c r="ER106" s="470"/>
      <c r="ES106" s="470"/>
      <c r="ET106" s="470"/>
      <c r="EU106" s="470"/>
      <c r="EV106" s="470"/>
      <c r="EW106" s="470"/>
      <c r="EX106" s="470"/>
      <c r="EY106" s="470"/>
      <c r="EZ106" s="470"/>
      <c r="FA106" s="470"/>
      <c r="FB106" s="470"/>
      <c r="FC106" s="470"/>
      <c r="FD106" s="470"/>
      <c r="FE106" s="470"/>
      <c r="FF106" s="470"/>
      <c r="FG106" s="470"/>
      <c r="FH106" s="470"/>
      <c r="FI106" s="470"/>
      <c r="FJ106" s="470"/>
      <c r="FK106" s="470"/>
      <c r="FL106" s="470"/>
      <c r="FM106" s="470"/>
      <c r="FN106" s="470"/>
      <c r="FO106" s="470"/>
      <c r="FP106" s="470"/>
      <c r="FQ106" s="470"/>
      <c r="FR106" s="470"/>
      <c r="FS106" s="470"/>
      <c r="FT106" s="470"/>
      <c r="FU106" s="470"/>
      <c r="FV106" s="470"/>
      <c r="FW106" s="470"/>
      <c r="FX106" s="470"/>
      <c r="FY106" s="470"/>
      <c r="FZ106" s="470"/>
      <c r="GA106" s="470"/>
      <c r="GB106" s="470"/>
      <c r="GC106" s="470"/>
      <c r="GD106" s="470"/>
      <c r="GE106" s="470"/>
      <c r="GF106" s="470"/>
      <c r="GG106" s="470"/>
      <c r="GH106" s="470"/>
      <c r="GI106" s="470"/>
      <c r="GJ106" s="470"/>
      <c r="GK106" s="470"/>
      <c r="GL106" s="470"/>
      <c r="GM106" s="470"/>
      <c r="GN106" s="470"/>
      <c r="GO106" s="470"/>
      <c r="GP106" s="470"/>
      <c r="GQ106" s="470"/>
      <c r="GR106" s="470"/>
      <c r="GS106" s="470"/>
      <c r="GT106" s="470"/>
      <c r="GU106" s="470"/>
      <c r="GV106" s="470"/>
      <c r="GW106" s="470"/>
      <c r="GX106" s="470"/>
      <c r="GY106" s="470"/>
      <c r="GZ106" s="470"/>
      <c r="HA106" s="470"/>
      <c r="HB106" s="470"/>
      <c r="HC106" s="470"/>
      <c r="HD106" s="470"/>
      <c r="HE106" s="470"/>
      <c r="HF106" s="470"/>
      <c r="HG106" s="470"/>
      <c r="HH106" s="470"/>
      <c r="HI106" s="470"/>
      <c r="HJ106" s="470"/>
      <c r="HK106" s="470"/>
      <c r="HL106" s="470"/>
      <c r="HM106" s="470"/>
      <c r="HN106" s="470"/>
      <c r="HO106" s="470"/>
      <c r="HP106" s="470"/>
      <c r="HQ106" s="470"/>
      <c r="HR106" s="470"/>
      <c r="HS106" s="470"/>
      <c r="HT106" s="470"/>
      <c r="HU106" s="470"/>
      <c r="HV106" s="470"/>
      <c r="HW106" s="470"/>
      <c r="HX106" s="470"/>
      <c r="HY106" s="470"/>
      <c r="HZ106" s="470"/>
      <c r="IA106" s="470"/>
      <c r="IB106" s="470"/>
      <c r="IC106" s="470"/>
      <c r="ID106" s="470"/>
      <c r="IE106" s="470"/>
      <c r="IF106" s="470"/>
      <c r="IG106" s="470"/>
      <c r="IH106" s="470"/>
      <c r="II106" s="470"/>
      <c r="IJ106" s="470"/>
      <c r="IK106" s="470"/>
      <c r="IL106" s="470"/>
      <c r="IM106" s="470"/>
      <c r="IN106" s="470"/>
      <c r="IO106" s="470"/>
      <c r="IP106" s="470"/>
      <c r="IQ106" s="470"/>
    </row>
    <row r="107" spans="1:251" x14ac:dyDescent="0.2">
      <c r="A107" s="453" t="s">
        <v>9923</v>
      </c>
      <c r="B107" s="453" t="s">
        <v>9924</v>
      </c>
      <c r="C107" s="473" t="s">
        <v>386</v>
      </c>
      <c r="D107" s="455" t="s">
        <v>9709</v>
      </c>
      <c r="E107" s="456" t="s">
        <v>9758</v>
      </c>
      <c r="F107" s="456" t="s">
        <v>9906</v>
      </c>
      <c r="G107" s="456" t="s">
        <v>7180</v>
      </c>
      <c r="H107" s="457">
        <v>484.92</v>
      </c>
      <c r="I107" s="457">
        <f t="shared" si="7"/>
        <v>521.28899999999999</v>
      </c>
      <c r="J107" s="457" t="s">
        <v>9706</v>
      </c>
      <c r="K107" s="458">
        <v>0.3</v>
      </c>
      <c r="L107" s="459">
        <f t="shared" si="4"/>
        <v>339.44400000000002</v>
      </c>
      <c r="M107" s="460">
        <v>0.18</v>
      </c>
      <c r="N107" s="461">
        <f t="shared" si="5"/>
        <v>427.45698000000004</v>
      </c>
      <c r="O107" s="462">
        <v>0.1</v>
      </c>
      <c r="P107" s="463">
        <f t="shared" si="6"/>
        <v>469.1601</v>
      </c>
      <c r="Q107" s="464"/>
      <c r="R107" s="465">
        <v>6</v>
      </c>
      <c r="S107" s="465">
        <v>6</v>
      </c>
      <c r="T107" s="465">
        <v>6</v>
      </c>
      <c r="U107" s="466"/>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c r="BW107" s="470"/>
      <c r="BX107" s="470"/>
      <c r="BY107" s="470"/>
      <c r="BZ107" s="470"/>
      <c r="CA107" s="470"/>
      <c r="CB107" s="470"/>
      <c r="CC107" s="470"/>
      <c r="CD107" s="470"/>
      <c r="CE107" s="470"/>
      <c r="CF107" s="470"/>
      <c r="CG107" s="470"/>
      <c r="CH107" s="470"/>
      <c r="CI107" s="470"/>
      <c r="CJ107" s="470"/>
      <c r="CK107" s="470"/>
      <c r="CL107" s="470"/>
      <c r="CM107" s="470"/>
      <c r="CN107" s="470"/>
      <c r="CO107" s="470"/>
      <c r="CP107" s="470"/>
      <c r="CQ107" s="470"/>
      <c r="CR107" s="470"/>
      <c r="CS107" s="470"/>
      <c r="CT107" s="470"/>
      <c r="CU107" s="470"/>
      <c r="CV107" s="470"/>
      <c r="CW107" s="470"/>
      <c r="CX107" s="470"/>
      <c r="CY107" s="470"/>
      <c r="CZ107" s="470"/>
      <c r="DA107" s="470"/>
      <c r="DB107" s="470"/>
      <c r="DC107" s="470"/>
      <c r="DD107" s="470"/>
      <c r="DE107" s="470"/>
      <c r="DF107" s="470"/>
      <c r="DG107" s="470"/>
      <c r="DH107" s="470"/>
      <c r="DI107" s="470"/>
      <c r="DJ107" s="470"/>
      <c r="DK107" s="470"/>
      <c r="DL107" s="470"/>
      <c r="DM107" s="470"/>
      <c r="DN107" s="470"/>
      <c r="DO107" s="470"/>
      <c r="DP107" s="470"/>
      <c r="DQ107" s="470"/>
      <c r="DR107" s="470"/>
      <c r="DS107" s="470"/>
      <c r="DT107" s="470"/>
      <c r="DU107" s="470"/>
      <c r="DV107" s="470"/>
      <c r="DW107" s="470"/>
      <c r="DX107" s="470"/>
      <c r="DY107" s="470"/>
      <c r="DZ107" s="470"/>
      <c r="EA107" s="470"/>
      <c r="EB107" s="470"/>
      <c r="EC107" s="470"/>
      <c r="ED107" s="470"/>
      <c r="EE107" s="470"/>
      <c r="EF107" s="470"/>
      <c r="EG107" s="470"/>
      <c r="EH107" s="470"/>
      <c r="EI107" s="470"/>
      <c r="EJ107" s="470"/>
      <c r="EK107" s="470"/>
      <c r="EL107" s="470"/>
      <c r="EM107" s="470"/>
      <c r="EN107" s="470"/>
      <c r="EO107" s="470"/>
      <c r="EP107" s="470"/>
      <c r="EQ107" s="470"/>
      <c r="ER107" s="470"/>
      <c r="ES107" s="470"/>
      <c r="ET107" s="470"/>
      <c r="EU107" s="470"/>
      <c r="EV107" s="470"/>
      <c r="EW107" s="470"/>
      <c r="EX107" s="470"/>
      <c r="EY107" s="470"/>
      <c r="EZ107" s="470"/>
      <c r="FA107" s="470"/>
      <c r="FB107" s="470"/>
      <c r="FC107" s="470"/>
      <c r="FD107" s="470"/>
      <c r="FE107" s="470"/>
      <c r="FF107" s="470"/>
      <c r="FG107" s="470"/>
      <c r="FH107" s="470"/>
      <c r="FI107" s="470"/>
      <c r="FJ107" s="470"/>
      <c r="FK107" s="470"/>
      <c r="FL107" s="470"/>
      <c r="FM107" s="470"/>
      <c r="FN107" s="470"/>
      <c r="FO107" s="470"/>
      <c r="FP107" s="470"/>
      <c r="FQ107" s="470"/>
      <c r="FR107" s="470"/>
      <c r="FS107" s="470"/>
      <c r="FT107" s="470"/>
      <c r="FU107" s="470"/>
      <c r="FV107" s="470"/>
      <c r="FW107" s="470"/>
      <c r="FX107" s="470"/>
      <c r="FY107" s="470"/>
      <c r="FZ107" s="470"/>
      <c r="GA107" s="470"/>
      <c r="GB107" s="470"/>
      <c r="GC107" s="470"/>
      <c r="GD107" s="470"/>
      <c r="GE107" s="470"/>
      <c r="GF107" s="470"/>
      <c r="GG107" s="470"/>
      <c r="GH107" s="470"/>
      <c r="GI107" s="470"/>
      <c r="GJ107" s="470"/>
      <c r="GK107" s="470"/>
      <c r="GL107" s="470"/>
      <c r="GM107" s="470"/>
      <c r="GN107" s="470"/>
      <c r="GO107" s="470"/>
      <c r="GP107" s="470"/>
      <c r="GQ107" s="470"/>
      <c r="GR107" s="470"/>
      <c r="GS107" s="470"/>
      <c r="GT107" s="470"/>
      <c r="GU107" s="470"/>
      <c r="GV107" s="470"/>
      <c r="GW107" s="470"/>
      <c r="GX107" s="470"/>
      <c r="GY107" s="470"/>
      <c r="GZ107" s="470"/>
      <c r="HA107" s="470"/>
      <c r="HB107" s="470"/>
      <c r="HC107" s="470"/>
      <c r="HD107" s="470"/>
      <c r="HE107" s="470"/>
      <c r="HF107" s="470"/>
      <c r="HG107" s="470"/>
      <c r="HH107" s="470"/>
      <c r="HI107" s="470"/>
      <c r="HJ107" s="470"/>
      <c r="HK107" s="470"/>
      <c r="HL107" s="470"/>
      <c r="HM107" s="470"/>
      <c r="HN107" s="470"/>
      <c r="HO107" s="470"/>
      <c r="HP107" s="470"/>
      <c r="HQ107" s="470"/>
      <c r="HR107" s="470"/>
      <c r="HS107" s="470"/>
      <c r="HT107" s="470"/>
      <c r="HU107" s="470"/>
      <c r="HV107" s="470"/>
      <c r="HW107" s="470"/>
      <c r="HX107" s="470"/>
      <c r="HY107" s="470"/>
      <c r="HZ107" s="470"/>
      <c r="IA107" s="470"/>
      <c r="IB107" s="470"/>
      <c r="IC107" s="470"/>
      <c r="ID107" s="470"/>
      <c r="IE107" s="470"/>
      <c r="IF107" s="470"/>
      <c r="IG107" s="470"/>
      <c r="IH107" s="470"/>
      <c r="II107" s="470"/>
      <c r="IJ107" s="470"/>
      <c r="IK107" s="470"/>
      <c r="IL107" s="470"/>
      <c r="IM107" s="470"/>
      <c r="IN107" s="470"/>
      <c r="IO107" s="470"/>
      <c r="IP107" s="470"/>
      <c r="IQ107" s="470"/>
    </row>
    <row r="108" spans="1:251" x14ac:dyDescent="0.2">
      <c r="A108" s="453" t="s">
        <v>9925</v>
      </c>
      <c r="B108" s="453" t="s">
        <v>9926</v>
      </c>
      <c r="C108" s="473" t="s">
        <v>386</v>
      </c>
      <c r="D108" s="455" t="s">
        <v>9709</v>
      </c>
      <c r="E108" s="456" t="s">
        <v>9710</v>
      </c>
      <c r="F108" s="456" t="s">
        <v>9906</v>
      </c>
      <c r="G108" s="456" t="s">
        <v>7180</v>
      </c>
      <c r="H108" s="457">
        <v>484.92</v>
      </c>
      <c r="I108" s="457">
        <f t="shared" si="7"/>
        <v>521.28899999999999</v>
      </c>
      <c r="J108" s="457" t="s">
        <v>9706</v>
      </c>
      <c r="K108" s="458">
        <v>0.3</v>
      </c>
      <c r="L108" s="459">
        <f t="shared" si="4"/>
        <v>339.44400000000002</v>
      </c>
      <c r="M108" s="460">
        <v>0.18</v>
      </c>
      <c r="N108" s="461">
        <f t="shared" si="5"/>
        <v>427.45698000000004</v>
      </c>
      <c r="O108" s="462">
        <v>0.1</v>
      </c>
      <c r="P108" s="463">
        <f t="shared" si="6"/>
        <v>469.1601</v>
      </c>
      <c r="Q108" s="464"/>
      <c r="R108" s="465">
        <v>6</v>
      </c>
      <c r="S108" s="465">
        <v>6</v>
      </c>
      <c r="T108" s="465">
        <v>6</v>
      </c>
      <c r="U108" s="466"/>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c r="BW108" s="470"/>
      <c r="BX108" s="470"/>
      <c r="BY108" s="470"/>
      <c r="BZ108" s="470"/>
      <c r="CA108" s="470"/>
      <c r="CB108" s="470"/>
      <c r="CC108" s="470"/>
      <c r="CD108" s="470"/>
      <c r="CE108" s="470"/>
      <c r="CF108" s="470"/>
      <c r="CG108" s="470"/>
      <c r="CH108" s="470"/>
      <c r="CI108" s="470"/>
      <c r="CJ108" s="470"/>
      <c r="CK108" s="470"/>
      <c r="CL108" s="470"/>
      <c r="CM108" s="470"/>
      <c r="CN108" s="470"/>
      <c r="CO108" s="470"/>
      <c r="CP108" s="470"/>
      <c r="CQ108" s="470"/>
      <c r="CR108" s="470"/>
      <c r="CS108" s="470"/>
      <c r="CT108" s="470"/>
      <c r="CU108" s="470"/>
      <c r="CV108" s="470"/>
      <c r="CW108" s="470"/>
      <c r="CX108" s="470"/>
      <c r="CY108" s="470"/>
      <c r="CZ108" s="470"/>
      <c r="DA108" s="470"/>
      <c r="DB108" s="470"/>
      <c r="DC108" s="470"/>
      <c r="DD108" s="470"/>
      <c r="DE108" s="470"/>
      <c r="DF108" s="470"/>
      <c r="DG108" s="470"/>
      <c r="DH108" s="470"/>
      <c r="DI108" s="470"/>
      <c r="DJ108" s="470"/>
      <c r="DK108" s="470"/>
      <c r="DL108" s="470"/>
      <c r="DM108" s="470"/>
      <c r="DN108" s="470"/>
      <c r="DO108" s="470"/>
      <c r="DP108" s="470"/>
      <c r="DQ108" s="470"/>
      <c r="DR108" s="470"/>
      <c r="DS108" s="470"/>
      <c r="DT108" s="470"/>
      <c r="DU108" s="470"/>
      <c r="DV108" s="470"/>
      <c r="DW108" s="470"/>
      <c r="DX108" s="470"/>
      <c r="DY108" s="470"/>
      <c r="DZ108" s="470"/>
      <c r="EA108" s="470"/>
      <c r="EB108" s="470"/>
      <c r="EC108" s="470"/>
      <c r="ED108" s="470"/>
      <c r="EE108" s="470"/>
      <c r="EF108" s="470"/>
      <c r="EG108" s="470"/>
      <c r="EH108" s="470"/>
      <c r="EI108" s="470"/>
      <c r="EJ108" s="470"/>
      <c r="EK108" s="470"/>
      <c r="EL108" s="470"/>
      <c r="EM108" s="470"/>
      <c r="EN108" s="470"/>
      <c r="EO108" s="470"/>
      <c r="EP108" s="470"/>
      <c r="EQ108" s="470"/>
      <c r="ER108" s="470"/>
      <c r="ES108" s="470"/>
      <c r="ET108" s="470"/>
      <c r="EU108" s="470"/>
      <c r="EV108" s="470"/>
      <c r="EW108" s="470"/>
      <c r="EX108" s="470"/>
      <c r="EY108" s="470"/>
      <c r="EZ108" s="470"/>
      <c r="FA108" s="470"/>
      <c r="FB108" s="470"/>
      <c r="FC108" s="470"/>
      <c r="FD108" s="470"/>
      <c r="FE108" s="470"/>
      <c r="FF108" s="470"/>
      <c r="FG108" s="470"/>
      <c r="FH108" s="470"/>
      <c r="FI108" s="470"/>
      <c r="FJ108" s="470"/>
      <c r="FK108" s="470"/>
      <c r="FL108" s="470"/>
      <c r="FM108" s="470"/>
      <c r="FN108" s="470"/>
      <c r="FO108" s="470"/>
      <c r="FP108" s="470"/>
      <c r="FQ108" s="470"/>
      <c r="FR108" s="470"/>
      <c r="FS108" s="470"/>
      <c r="FT108" s="470"/>
      <c r="FU108" s="470"/>
      <c r="FV108" s="470"/>
      <c r="FW108" s="470"/>
      <c r="FX108" s="470"/>
      <c r="FY108" s="470"/>
      <c r="FZ108" s="470"/>
      <c r="GA108" s="470"/>
      <c r="GB108" s="470"/>
      <c r="GC108" s="470"/>
      <c r="GD108" s="470"/>
      <c r="GE108" s="470"/>
      <c r="GF108" s="470"/>
      <c r="GG108" s="470"/>
      <c r="GH108" s="470"/>
      <c r="GI108" s="470"/>
      <c r="GJ108" s="470"/>
      <c r="GK108" s="470"/>
      <c r="GL108" s="470"/>
      <c r="GM108" s="470"/>
      <c r="GN108" s="470"/>
      <c r="GO108" s="470"/>
      <c r="GP108" s="470"/>
      <c r="GQ108" s="470"/>
      <c r="GR108" s="470"/>
      <c r="GS108" s="470"/>
      <c r="GT108" s="470"/>
      <c r="GU108" s="470"/>
      <c r="GV108" s="470"/>
      <c r="GW108" s="470"/>
      <c r="GX108" s="470"/>
      <c r="GY108" s="470"/>
      <c r="GZ108" s="470"/>
      <c r="HA108" s="470"/>
      <c r="HB108" s="470"/>
      <c r="HC108" s="470"/>
      <c r="HD108" s="470"/>
      <c r="HE108" s="470"/>
      <c r="HF108" s="470"/>
      <c r="HG108" s="470"/>
      <c r="HH108" s="470"/>
      <c r="HI108" s="470"/>
      <c r="HJ108" s="470"/>
      <c r="HK108" s="470"/>
      <c r="HL108" s="470"/>
      <c r="HM108" s="470"/>
      <c r="HN108" s="470"/>
      <c r="HO108" s="470"/>
      <c r="HP108" s="470"/>
      <c r="HQ108" s="470"/>
      <c r="HR108" s="470"/>
      <c r="HS108" s="470"/>
      <c r="HT108" s="470"/>
      <c r="HU108" s="470"/>
      <c r="HV108" s="470"/>
      <c r="HW108" s="470"/>
      <c r="HX108" s="470"/>
      <c r="HY108" s="470"/>
      <c r="HZ108" s="470"/>
      <c r="IA108" s="470"/>
      <c r="IB108" s="470"/>
      <c r="IC108" s="470"/>
      <c r="ID108" s="470"/>
      <c r="IE108" s="470"/>
      <c r="IF108" s="470"/>
      <c r="IG108" s="470"/>
      <c r="IH108" s="470"/>
      <c r="II108" s="470"/>
      <c r="IJ108" s="470"/>
      <c r="IK108" s="470"/>
      <c r="IL108" s="470"/>
      <c r="IM108" s="470"/>
      <c r="IN108" s="470"/>
      <c r="IO108" s="470"/>
      <c r="IP108" s="470"/>
      <c r="IQ108" s="470"/>
    </row>
    <row r="109" spans="1:251" x14ac:dyDescent="0.2">
      <c r="A109" s="453" t="s">
        <v>9927</v>
      </c>
      <c r="B109" s="453" t="s">
        <v>9928</v>
      </c>
      <c r="C109" s="473" t="s">
        <v>386</v>
      </c>
      <c r="D109" s="455" t="s">
        <v>9709</v>
      </c>
      <c r="E109" s="456" t="s">
        <v>9710</v>
      </c>
      <c r="F109" s="456" t="s">
        <v>9906</v>
      </c>
      <c r="G109" s="456" t="s">
        <v>7180</v>
      </c>
      <c r="H109" s="457">
        <v>484.92</v>
      </c>
      <c r="I109" s="457">
        <f t="shared" si="7"/>
        <v>521.28899999999999</v>
      </c>
      <c r="J109" s="457" t="s">
        <v>9706</v>
      </c>
      <c r="K109" s="458">
        <v>0.3</v>
      </c>
      <c r="L109" s="459">
        <f t="shared" si="4"/>
        <v>339.44400000000002</v>
      </c>
      <c r="M109" s="460">
        <v>0.18</v>
      </c>
      <c r="N109" s="461">
        <f t="shared" si="5"/>
        <v>427.45698000000004</v>
      </c>
      <c r="O109" s="462">
        <v>0.1</v>
      </c>
      <c r="P109" s="463">
        <f t="shared" si="6"/>
        <v>469.1601</v>
      </c>
      <c r="Q109" s="464"/>
      <c r="R109" s="465">
        <v>6</v>
      </c>
      <c r="S109" s="465">
        <v>6</v>
      </c>
      <c r="T109" s="465">
        <v>6</v>
      </c>
      <c r="U109" s="466"/>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row>
    <row r="110" spans="1:251" x14ac:dyDescent="0.2">
      <c r="A110" s="453" t="s">
        <v>9929</v>
      </c>
      <c r="B110" s="453" t="s">
        <v>9930</v>
      </c>
      <c r="C110" s="473" t="s">
        <v>386</v>
      </c>
      <c r="D110" s="455" t="s">
        <v>9709</v>
      </c>
      <c r="E110" s="456" t="s">
        <v>9710</v>
      </c>
      <c r="F110" s="456" t="s">
        <v>9906</v>
      </c>
      <c r="G110" s="456" t="s">
        <v>7180</v>
      </c>
      <c r="H110" s="457">
        <v>484.92</v>
      </c>
      <c r="I110" s="457">
        <f t="shared" si="7"/>
        <v>521.28899999999999</v>
      </c>
      <c r="J110" s="457" t="s">
        <v>9706</v>
      </c>
      <c r="K110" s="458">
        <v>0.3</v>
      </c>
      <c r="L110" s="459">
        <f t="shared" si="4"/>
        <v>339.44400000000002</v>
      </c>
      <c r="M110" s="460">
        <v>0.18</v>
      </c>
      <c r="N110" s="461">
        <f t="shared" si="5"/>
        <v>427.45698000000004</v>
      </c>
      <c r="O110" s="462">
        <v>0.1</v>
      </c>
      <c r="P110" s="463">
        <f t="shared" si="6"/>
        <v>469.1601</v>
      </c>
      <c r="Q110" s="464"/>
      <c r="R110" s="465">
        <v>6</v>
      </c>
      <c r="S110" s="465">
        <v>6</v>
      </c>
      <c r="T110" s="465">
        <v>6</v>
      </c>
      <c r="U110" s="466"/>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70"/>
      <c r="CJ110" s="470"/>
      <c r="CK110" s="470"/>
      <c r="CL110" s="470"/>
      <c r="CM110" s="470"/>
      <c r="CN110" s="470"/>
      <c r="CO110" s="470"/>
      <c r="CP110" s="470"/>
      <c r="CQ110" s="470"/>
      <c r="CR110" s="470"/>
      <c r="CS110" s="470"/>
      <c r="CT110" s="470"/>
      <c r="CU110" s="470"/>
      <c r="CV110" s="470"/>
      <c r="CW110" s="470"/>
      <c r="CX110" s="470"/>
      <c r="CY110" s="470"/>
      <c r="CZ110" s="470"/>
      <c r="DA110" s="470"/>
      <c r="DB110" s="470"/>
      <c r="DC110" s="470"/>
      <c r="DD110" s="470"/>
      <c r="DE110" s="470"/>
      <c r="DF110" s="470"/>
      <c r="DG110" s="470"/>
      <c r="DH110" s="470"/>
      <c r="DI110" s="470"/>
      <c r="DJ110" s="470"/>
      <c r="DK110" s="470"/>
      <c r="DL110" s="470"/>
      <c r="DM110" s="470"/>
      <c r="DN110" s="470"/>
      <c r="DO110" s="470"/>
      <c r="DP110" s="470"/>
      <c r="DQ110" s="470"/>
      <c r="DR110" s="470"/>
      <c r="DS110" s="470"/>
      <c r="DT110" s="470"/>
      <c r="DU110" s="470"/>
      <c r="DV110" s="470"/>
      <c r="DW110" s="470"/>
      <c r="DX110" s="470"/>
      <c r="DY110" s="470"/>
      <c r="DZ110" s="470"/>
      <c r="EA110" s="470"/>
      <c r="EB110" s="470"/>
      <c r="EC110" s="470"/>
      <c r="ED110" s="470"/>
      <c r="EE110" s="470"/>
      <c r="EF110" s="470"/>
      <c r="EG110" s="470"/>
      <c r="EH110" s="470"/>
      <c r="EI110" s="470"/>
      <c r="EJ110" s="470"/>
      <c r="EK110" s="470"/>
      <c r="EL110" s="470"/>
      <c r="EM110" s="470"/>
      <c r="EN110" s="470"/>
      <c r="EO110" s="470"/>
      <c r="EP110" s="470"/>
      <c r="EQ110" s="470"/>
      <c r="ER110" s="470"/>
      <c r="ES110" s="470"/>
      <c r="ET110" s="470"/>
      <c r="EU110" s="470"/>
      <c r="EV110" s="470"/>
      <c r="EW110" s="470"/>
      <c r="EX110" s="470"/>
      <c r="EY110" s="470"/>
      <c r="EZ110" s="470"/>
      <c r="FA110" s="470"/>
      <c r="FB110" s="470"/>
      <c r="FC110" s="470"/>
      <c r="FD110" s="470"/>
      <c r="FE110" s="470"/>
      <c r="FF110" s="470"/>
      <c r="FG110" s="470"/>
      <c r="FH110" s="470"/>
      <c r="FI110" s="470"/>
      <c r="FJ110" s="470"/>
      <c r="FK110" s="470"/>
      <c r="FL110" s="470"/>
      <c r="FM110" s="470"/>
      <c r="FN110" s="470"/>
      <c r="FO110" s="470"/>
      <c r="FP110" s="470"/>
      <c r="FQ110" s="470"/>
      <c r="FR110" s="470"/>
      <c r="FS110" s="470"/>
      <c r="FT110" s="470"/>
      <c r="FU110" s="470"/>
      <c r="FV110" s="470"/>
      <c r="FW110" s="470"/>
      <c r="FX110" s="470"/>
      <c r="FY110" s="470"/>
      <c r="FZ110" s="470"/>
      <c r="GA110" s="470"/>
      <c r="GB110" s="470"/>
      <c r="GC110" s="470"/>
      <c r="GD110" s="470"/>
      <c r="GE110" s="470"/>
      <c r="GF110" s="470"/>
      <c r="GG110" s="470"/>
      <c r="GH110" s="470"/>
      <c r="GI110" s="470"/>
      <c r="GJ110" s="470"/>
      <c r="GK110" s="470"/>
      <c r="GL110" s="470"/>
      <c r="GM110" s="470"/>
      <c r="GN110" s="470"/>
      <c r="GO110" s="470"/>
      <c r="GP110" s="470"/>
      <c r="GQ110" s="470"/>
      <c r="GR110" s="470"/>
      <c r="GS110" s="470"/>
      <c r="GT110" s="470"/>
      <c r="GU110" s="470"/>
      <c r="GV110" s="470"/>
      <c r="GW110" s="470"/>
      <c r="GX110" s="470"/>
      <c r="GY110" s="470"/>
      <c r="GZ110" s="470"/>
      <c r="HA110" s="470"/>
      <c r="HB110" s="470"/>
      <c r="HC110" s="470"/>
      <c r="HD110" s="470"/>
      <c r="HE110" s="470"/>
      <c r="HF110" s="470"/>
      <c r="HG110" s="470"/>
      <c r="HH110" s="470"/>
      <c r="HI110" s="470"/>
      <c r="HJ110" s="470"/>
      <c r="HK110" s="470"/>
      <c r="HL110" s="470"/>
      <c r="HM110" s="470"/>
      <c r="HN110" s="470"/>
      <c r="HO110" s="470"/>
      <c r="HP110" s="470"/>
      <c r="HQ110" s="470"/>
      <c r="HR110" s="470"/>
      <c r="HS110" s="470"/>
      <c r="HT110" s="470"/>
      <c r="HU110" s="470"/>
      <c r="HV110" s="470"/>
      <c r="HW110" s="470"/>
      <c r="HX110" s="470"/>
      <c r="HY110" s="470"/>
      <c r="HZ110" s="470"/>
      <c r="IA110" s="470"/>
      <c r="IB110" s="470"/>
      <c r="IC110" s="470"/>
      <c r="ID110" s="470"/>
      <c r="IE110" s="470"/>
      <c r="IF110" s="470"/>
      <c r="IG110" s="470"/>
      <c r="IH110" s="470"/>
      <c r="II110" s="470"/>
      <c r="IJ110" s="470"/>
      <c r="IK110" s="470"/>
      <c r="IL110" s="470"/>
      <c r="IM110" s="470"/>
      <c r="IN110" s="470"/>
      <c r="IO110" s="470"/>
      <c r="IP110" s="470"/>
      <c r="IQ110" s="470"/>
    </row>
    <row r="111" spans="1:251" x14ac:dyDescent="0.2">
      <c r="A111" s="453" t="s">
        <v>9931</v>
      </c>
      <c r="B111" s="453" t="s">
        <v>9932</v>
      </c>
      <c r="C111" s="473" t="s">
        <v>386</v>
      </c>
      <c r="D111" s="455" t="s">
        <v>9709</v>
      </c>
      <c r="E111" s="456" t="s">
        <v>9734</v>
      </c>
      <c r="F111" s="456" t="s">
        <v>9906</v>
      </c>
      <c r="G111" s="456" t="s">
        <v>7180</v>
      </c>
      <c r="H111" s="457">
        <v>484.92</v>
      </c>
      <c r="I111" s="457">
        <f t="shared" si="7"/>
        <v>521.28899999999999</v>
      </c>
      <c r="J111" s="457" t="s">
        <v>9706</v>
      </c>
      <c r="K111" s="458">
        <v>0.3</v>
      </c>
      <c r="L111" s="459">
        <f t="shared" si="4"/>
        <v>339.44400000000002</v>
      </c>
      <c r="M111" s="460">
        <v>0.18</v>
      </c>
      <c r="N111" s="461">
        <f t="shared" si="5"/>
        <v>427.45698000000004</v>
      </c>
      <c r="O111" s="462">
        <v>0.1</v>
      </c>
      <c r="P111" s="463">
        <f t="shared" si="6"/>
        <v>469.1601</v>
      </c>
      <c r="Q111" s="464"/>
      <c r="R111" s="465">
        <v>6</v>
      </c>
      <c r="S111" s="465">
        <v>6</v>
      </c>
      <c r="T111" s="465">
        <v>6</v>
      </c>
      <c r="U111" s="466"/>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70"/>
      <c r="CJ111" s="470"/>
      <c r="CK111" s="470"/>
      <c r="CL111" s="470"/>
      <c r="CM111" s="470"/>
      <c r="CN111" s="470"/>
      <c r="CO111" s="470"/>
      <c r="CP111" s="470"/>
      <c r="CQ111" s="470"/>
      <c r="CR111" s="470"/>
      <c r="CS111" s="470"/>
      <c r="CT111" s="470"/>
      <c r="CU111" s="470"/>
      <c r="CV111" s="470"/>
      <c r="CW111" s="470"/>
      <c r="CX111" s="470"/>
      <c r="CY111" s="470"/>
      <c r="CZ111" s="470"/>
      <c r="DA111" s="470"/>
      <c r="DB111" s="470"/>
      <c r="DC111" s="470"/>
      <c r="DD111" s="470"/>
      <c r="DE111" s="470"/>
      <c r="DF111" s="470"/>
      <c r="DG111" s="470"/>
      <c r="DH111" s="470"/>
      <c r="DI111" s="470"/>
      <c r="DJ111" s="470"/>
      <c r="DK111" s="470"/>
      <c r="DL111" s="470"/>
      <c r="DM111" s="470"/>
      <c r="DN111" s="470"/>
      <c r="DO111" s="470"/>
      <c r="DP111" s="470"/>
      <c r="DQ111" s="470"/>
      <c r="DR111" s="470"/>
      <c r="DS111" s="470"/>
      <c r="DT111" s="470"/>
      <c r="DU111" s="470"/>
      <c r="DV111" s="470"/>
      <c r="DW111" s="470"/>
      <c r="DX111" s="470"/>
      <c r="DY111" s="470"/>
      <c r="DZ111" s="470"/>
      <c r="EA111" s="470"/>
      <c r="EB111" s="470"/>
      <c r="EC111" s="470"/>
      <c r="ED111" s="470"/>
      <c r="EE111" s="470"/>
      <c r="EF111" s="470"/>
      <c r="EG111" s="470"/>
      <c r="EH111" s="470"/>
      <c r="EI111" s="470"/>
      <c r="EJ111" s="470"/>
      <c r="EK111" s="470"/>
      <c r="EL111" s="470"/>
      <c r="EM111" s="470"/>
      <c r="EN111" s="470"/>
      <c r="EO111" s="470"/>
      <c r="EP111" s="470"/>
      <c r="EQ111" s="470"/>
      <c r="ER111" s="470"/>
      <c r="ES111" s="470"/>
      <c r="ET111" s="470"/>
      <c r="EU111" s="470"/>
      <c r="EV111" s="470"/>
      <c r="EW111" s="470"/>
      <c r="EX111" s="470"/>
      <c r="EY111" s="470"/>
      <c r="EZ111" s="470"/>
      <c r="FA111" s="470"/>
      <c r="FB111" s="470"/>
      <c r="FC111" s="470"/>
      <c r="FD111" s="470"/>
      <c r="FE111" s="470"/>
      <c r="FF111" s="470"/>
      <c r="FG111" s="470"/>
      <c r="FH111" s="470"/>
      <c r="FI111" s="470"/>
      <c r="FJ111" s="470"/>
      <c r="FK111" s="470"/>
      <c r="FL111" s="470"/>
      <c r="FM111" s="470"/>
      <c r="FN111" s="470"/>
      <c r="FO111" s="470"/>
      <c r="FP111" s="470"/>
      <c r="FQ111" s="470"/>
      <c r="FR111" s="470"/>
      <c r="FS111" s="470"/>
      <c r="FT111" s="470"/>
      <c r="FU111" s="470"/>
      <c r="FV111" s="470"/>
      <c r="FW111" s="470"/>
      <c r="FX111" s="470"/>
      <c r="FY111" s="470"/>
      <c r="FZ111" s="470"/>
      <c r="GA111" s="470"/>
      <c r="GB111" s="470"/>
      <c r="GC111" s="470"/>
      <c r="GD111" s="470"/>
      <c r="GE111" s="470"/>
      <c r="GF111" s="470"/>
      <c r="GG111" s="470"/>
      <c r="GH111" s="470"/>
      <c r="GI111" s="470"/>
      <c r="GJ111" s="470"/>
      <c r="GK111" s="470"/>
      <c r="GL111" s="470"/>
      <c r="GM111" s="470"/>
      <c r="GN111" s="470"/>
      <c r="GO111" s="470"/>
      <c r="GP111" s="470"/>
      <c r="GQ111" s="470"/>
      <c r="GR111" s="470"/>
      <c r="GS111" s="470"/>
      <c r="GT111" s="470"/>
      <c r="GU111" s="470"/>
      <c r="GV111" s="470"/>
      <c r="GW111" s="470"/>
      <c r="GX111" s="470"/>
      <c r="GY111" s="470"/>
      <c r="GZ111" s="470"/>
      <c r="HA111" s="470"/>
      <c r="HB111" s="470"/>
      <c r="HC111" s="470"/>
      <c r="HD111" s="470"/>
      <c r="HE111" s="470"/>
      <c r="HF111" s="470"/>
      <c r="HG111" s="470"/>
      <c r="HH111" s="470"/>
      <c r="HI111" s="470"/>
      <c r="HJ111" s="470"/>
      <c r="HK111" s="470"/>
      <c r="HL111" s="470"/>
      <c r="HM111" s="470"/>
      <c r="HN111" s="470"/>
      <c r="HO111" s="470"/>
      <c r="HP111" s="470"/>
      <c r="HQ111" s="470"/>
      <c r="HR111" s="470"/>
      <c r="HS111" s="470"/>
      <c r="HT111" s="470"/>
      <c r="HU111" s="470"/>
      <c r="HV111" s="470"/>
      <c r="HW111" s="470"/>
      <c r="HX111" s="470"/>
      <c r="HY111" s="470"/>
      <c r="HZ111" s="470"/>
      <c r="IA111" s="470"/>
      <c r="IB111" s="470"/>
      <c r="IC111" s="470"/>
      <c r="ID111" s="470"/>
      <c r="IE111" s="470"/>
      <c r="IF111" s="470"/>
      <c r="IG111" s="470"/>
      <c r="IH111" s="470"/>
      <c r="II111" s="470"/>
      <c r="IJ111" s="470"/>
      <c r="IK111" s="470"/>
      <c r="IL111" s="470"/>
      <c r="IM111" s="470"/>
      <c r="IN111" s="470"/>
      <c r="IO111" s="470"/>
      <c r="IP111" s="470"/>
      <c r="IQ111" s="470"/>
    </row>
    <row r="112" spans="1:251" x14ac:dyDescent="0.2">
      <c r="A112" s="453" t="s">
        <v>9933</v>
      </c>
      <c r="B112" s="453" t="s">
        <v>9934</v>
      </c>
      <c r="C112" s="473" t="s">
        <v>386</v>
      </c>
      <c r="D112" s="455" t="s">
        <v>9709</v>
      </c>
      <c r="E112" s="456" t="s">
        <v>9734</v>
      </c>
      <c r="F112" s="456" t="s">
        <v>9906</v>
      </c>
      <c r="G112" s="456" t="s">
        <v>7180</v>
      </c>
      <c r="H112" s="457">
        <v>484.92</v>
      </c>
      <c r="I112" s="457">
        <f t="shared" si="7"/>
        <v>521.28899999999999</v>
      </c>
      <c r="J112" s="457" t="s">
        <v>9706</v>
      </c>
      <c r="K112" s="458">
        <v>0.3</v>
      </c>
      <c r="L112" s="459">
        <f t="shared" si="4"/>
        <v>339.44400000000002</v>
      </c>
      <c r="M112" s="460">
        <v>0.18</v>
      </c>
      <c r="N112" s="461">
        <f t="shared" si="5"/>
        <v>427.45698000000004</v>
      </c>
      <c r="O112" s="462">
        <v>0.1</v>
      </c>
      <c r="P112" s="463">
        <f t="shared" si="6"/>
        <v>469.1601</v>
      </c>
      <c r="Q112" s="464"/>
      <c r="R112" s="465">
        <v>6</v>
      </c>
      <c r="S112" s="465">
        <v>6</v>
      </c>
      <c r="T112" s="465">
        <v>6</v>
      </c>
      <c r="U112" s="466"/>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70"/>
      <c r="CJ112" s="470"/>
      <c r="CK112" s="470"/>
      <c r="CL112" s="470"/>
      <c r="CM112" s="470"/>
      <c r="CN112" s="470"/>
      <c r="CO112" s="470"/>
      <c r="CP112" s="470"/>
      <c r="CQ112" s="470"/>
      <c r="CR112" s="470"/>
      <c r="CS112" s="470"/>
      <c r="CT112" s="470"/>
      <c r="CU112" s="470"/>
      <c r="CV112" s="470"/>
      <c r="CW112" s="470"/>
      <c r="CX112" s="470"/>
      <c r="CY112" s="470"/>
      <c r="CZ112" s="470"/>
      <c r="DA112" s="470"/>
      <c r="DB112" s="470"/>
      <c r="DC112" s="470"/>
      <c r="DD112" s="470"/>
      <c r="DE112" s="470"/>
      <c r="DF112" s="470"/>
      <c r="DG112" s="470"/>
      <c r="DH112" s="470"/>
      <c r="DI112" s="470"/>
      <c r="DJ112" s="470"/>
      <c r="DK112" s="470"/>
      <c r="DL112" s="470"/>
      <c r="DM112" s="470"/>
      <c r="DN112" s="470"/>
      <c r="DO112" s="470"/>
      <c r="DP112" s="470"/>
      <c r="DQ112" s="470"/>
      <c r="DR112" s="470"/>
      <c r="DS112" s="470"/>
      <c r="DT112" s="470"/>
      <c r="DU112" s="470"/>
      <c r="DV112" s="470"/>
      <c r="DW112" s="470"/>
      <c r="DX112" s="470"/>
      <c r="DY112" s="470"/>
      <c r="DZ112" s="470"/>
      <c r="EA112" s="470"/>
      <c r="EB112" s="470"/>
      <c r="EC112" s="470"/>
      <c r="ED112" s="470"/>
      <c r="EE112" s="470"/>
      <c r="EF112" s="470"/>
      <c r="EG112" s="470"/>
      <c r="EH112" s="470"/>
      <c r="EI112" s="470"/>
      <c r="EJ112" s="470"/>
      <c r="EK112" s="470"/>
      <c r="EL112" s="470"/>
      <c r="EM112" s="470"/>
      <c r="EN112" s="470"/>
      <c r="EO112" s="470"/>
      <c r="EP112" s="470"/>
      <c r="EQ112" s="470"/>
      <c r="ER112" s="470"/>
      <c r="ES112" s="470"/>
      <c r="ET112" s="470"/>
      <c r="EU112" s="470"/>
      <c r="EV112" s="470"/>
      <c r="EW112" s="470"/>
      <c r="EX112" s="470"/>
      <c r="EY112" s="470"/>
      <c r="EZ112" s="470"/>
      <c r="FA112" s="470"/>
      <c r="FB112" s="470"/>
      <c r="FC112" s="470"/>
      <c r="FD112" s="470"/>
      <c r="FE112" s="470"/>
      <c r="FF112" s="470"/>
      <c r="FG112" s="470"/>
      <c r="FH112" s="470"/>
      <c r="FI112" s="470"/>
      <c r="FJ112" s="470"/>
      <c r="FK112" s="470"/>
      <c r="FL112" s="470"/>
      <c r="FM112" s="470"/>
      <c r="FN112" s="470"/>
      <c r="FO112" s="470"/>
      <c r="FP112" s="470"/>
      <c r="FQ112" s="470"/>
      <c r="FR112" s="470"/>
      <c r="FS112" s="470"/>
      <c r="FT112" s="470"/>
      <c r="FU112" s="470"/>
      <c r="FV112" s="470"/>
      <c r="FW112" s="470"/>
      <c r="FX112" s="470"/>
      <c r="FY112" s="470"/>
      <c r="FZ112" s="470"/>
      <c r="GA112" s="470"/>
      <c r="GB112" s="470"/>
      <c r="GC112" s="470"/>
      <c r="GD112" s="470"/>
      <c r="GE112" s="470"/>
      <c r="GF112" s="470"/>
      <c r="GG112" s="470"/>
      <c r="GH112" s="470"/>
      <c r="GI112" s="470"/>
      <c r="GJ112" s="470"/>
      <c r="GK112" s="470"/>
      <c r="GL112" s="470"/>
      <c r="GM112" s="470"/>
      <c r="GN112" s="470"/>
      <c r="GO112" s="470"/>
      <c r="GP112" s="470"/>
      <c r="GQ112" s="470"/>
      <c r="GR112" s="470"/>
      <c r="GS112" s="470"/>
      <c r="GT112" s="470"/>
      <c r="GU112" s="470"/>
      <c r="GV112" s="470"/>
      <c r="GW112" s="470"/>
      <c r="GX112" s="470"/>
      <c r="GY112" s="470"/>
      <c r="GZ112" s="470"/>
      <c r="HA112" s="470"/>
      <c r="HB112" s="470"/>
      <c r="HC112" s="470"/>
      <c r="HD112" s="470"/>
      <c r="HE112" s="470"/>
      <c r="HF112" s="470"/>
      <c r="HG112" s="470"/>
      <c r="HH112" s="470"/>
      <c r="HI112" s="470"/>
      <c r="HJ112" s="470"/>
      <c r="HK112" s="470"/>
      <c r="HL112" s="470"/>
      <c r="HM112" s="470"/>
      <c r="HN112" s="470"/>
      <c r="HO112" s="470"/>
      <c r="HP112" s="470"/>
      <c r="HQ112" s="470"/>
      <c r="HR112" s="470"/>
      <c r="HS112" s="470"/>
      <c r="HT112" s="470"/>
      <c r="HU112" s="470"/>
      <c r="HV112" s="470"/>
      <c r="HW112" s="470"/>
      <c r="HX112" s="470"/>
      <c r="HY112" s="470"/>
      <c r="HZ112" s="470"/>
      <c r="IA112" s="470"/>
      <c r="IB112" s="470"/>
      <c r="IC112" s="470"/>
      <c r="ID112" s="470"/>
      <c r="IE112" s="470"/>
      <c r="IF112" s="470"/>
      <c r="IG112" s="470"/>
      <c r="IH112" s="470"/>
      <c r="II112" s="470"/>
      <c r="IJ112" s="470"/>
      <c r="IK112" s="470"/>
      <c r="IL112" s="470"/>
      <c r="IM112" s="470"/>
      <c r="IN112" s="470"/>
      <c r="IO112" s="470"/>
      <c r="IP112" s="470"/>
      <c r="IQ112" s="470"/>
    </row>
    <row r="113" spans="1:251" x14ac:dyDescent="0.2">
      <c r="A113" s="453" t="s">
        <v>9935</v>
      </c>
      <c r="B113" s="453" t="s">
        <v>9936</v>
      </c>
      <c r="C113" s="473" t="s">
        <v>386</v>
      </c>
      <c r="D113" s="455" t="s">
        <v>9709</v>
      </c>
      <c r="E113" s="456" t="s">
        <v>9710</v>
      </c>
      <c r="F113" s="456" t="s">
        <v>9906</v>
      </c>
      <c r="G113" s="456" t="s">
        <v>7180</v>
      </c>
      <c r="H113" s="457">
        <v>484.92</v>
      </c>
      <c r="I113" s="457">
        <f t="shared" si="7"/>
        <v>521.28899999999999</v>
      </c>
      <c r="J113" s="457" t="s">
        <v>9706</v>
      </c>
      <c r="K113" s="458">
        <v>0.3</v>
      </c>
      <c r="L113" s="459">
        <f t="shared" si="4"/>
        <v>339.44400000000002</v>
      </c>
      <c r="M113" s="460">
        <v>0.18</v>
      </c>
      <c r="N113" s="461">
        <f t="shared" si="5"/>
        <v>427.45698000000004</v>
      </c>
      <c r="O113" s="462">
        <v>0.1</v>
      </c>
      <c r="P113" s="463">
        <f t="shared" si="6"/>
        <v>469.1601</v>
      </c>
      <c r="Q113" s="464"/>
      <c r="R113" s="465">
        <v>6</v>
      </c>
      <c r="S113" s="465">
        <v>6</v>
      </c>
      <c r="T113" s="465">
        <v>6</v>
      </c>
      <c r="U113" s="466"/>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70"/>
      <c r="CJ113" s="470"/>
      <c r="CK113" s="470"/>
      <c r="CL113" s="470"/>
      <c r="CM113" s="470"/>
      <c r="CN113" s="470"/>
      <c r="CO113" s="470"/>
      <c r="CP113" s="470"/>
      <c r="CQ113" s="470"/>
      <c r="CR113" s="470"/>
      <c r="CS113" s="470"/>
      <c r="CT113" s="470"/>
      <c r="CU113" s="470"/>
      <c r="CV113" s="470"/>
      <c r="CW113" s="470"/>
      <c r="CX113" s="470"/>
      <c r="CY113" s="470"/>
      <c r="CZ113" s="470"/>
      <c r="DA113" s="470"/>
      <c r="DB113" s="470"/>
      <c r="DC113" s="470"/>
      <c r="DD113" s="470"/>
      <c r="DE113" s="470"/>
      <c r="DF113" s="470"/>
      <c r="DG113" s="470"/>
      <c r="DH113" s="470"/>
      <c r="DI113" s="470"/>
      <c r="DJ113" s="470"/>
      <c r="DK113" s="470"/>
      <c r="DL113" s="470"/>
      <c r="DM113" s="470"/>
      <c r="DN113" s="470"/>
      <c r="DO113" s="470"/>
      <c r="DP113" s="470"/>
      <c r="DQ113" s="470"/>
      <c r="DR113" s="470"/>
      <c r="DS113" s="470"/>
      <c r="DT113" s="470"/>
      <c r="DU113" s="470"/>
      <c r="DV113" s="470"/>
      <c r="DW113" s="470"/>
      <c r="DX113" s="470"/>
      <c r="DY113" s="470"/>
      <c r="DZ113" s="470"/>
      <c r="EA113" s="470"/>
      <c r="EB113" s="470"/>
      <c r="EC113" s="470"/>
      <c r="ED113" s="470"/>
      <c r="EE113" s="470"/>
      <c r="EF113" s="470"/>
      <c r="EG113" s="470"/>
      <c r="EH113" s="470"/>
      <c r="EI113" s="470"/>
      <c r="EJ113" s="470"/>
      <c r="EK113" s="470"/>
      <c r="EL113" s="470"/>
      <c r="EM113" s="470"/>
      <c r="EN113" s="470"/>
      <c r="EO113" s="470"/>
      <c r="EP113" s="470"/>
      <c r="EQ113" s="470"/>
      <c r="ER113" s="470"/>
      <c r="ES113" s="470"/>
      <c r="ET113" s="470"/>
      <c r="EU113" s="470"/>
      <c r="EV113" s="470"/>
      <c r="EW113" s="470"/>
      <c r="EX113" s="470"/>
      <c r="EY113" s="470"/>
      <c r="EZ113" s="470"/>
      <c r="FA113" s="470"/>
      <c r="FB113" s="470"/>
      <c r="FC113" s="470"/>
      <c r="FD113" s="470"/>
      <c r="FE113" s="470"/>
      <c r="FF113" s="470"/>
      <c r="FG113" s="470"/>
      <c r="FH113" s="470"/>
      <c r="FI113" s="470"/>
      <c r="FJ113" s="470"/>
      <c r="FK113" s="470"/>
      <c r="FL113" s="470"/>
      <c r="FM113" s="470"/>
      <c r="FN113" s="470"/>
      <c r="FO113" s="470"/>
      <c r="FP113" s="470"/>
      <c r="FQ113" s="470"/>
      <c r="FR113" s="470"/>
      <c r="FS113" s="470"/>
      <c r="FT113" s="470"/>
      <c r="FU113" s="470"/>
      <c r="FV113" s="470"/>
      <c r="FW113" s="470"/>
      <c r="FX113" s="470"/>
      <c r="FY113" s="470"/>
      <c r="FZ113" s="470"/>
      <c r="GA113" s="470"/>
      <c r="GB113" s="470"/>
      <c r="GC113" s="470"/>
      <c r="GD113" s="470"/>
      <c r="GE113" s="470"/>
      <c r="GF113" s="470"/>
      <c r="GG113" s="470"/>
      <c r="GH113" s="470"/>
      <c r="GI113" s="470"/>
      <c r="GJ113" s="470"/>
      <c r="GK113" s="470"/>
      <c r="GL113" s="470"/>
      <c r="GM113" s="470"/>
      <c r="GN113" s="470"/>
      <c r="GO113" s="470"/>
      <c r="GP113" s="470"/>
      <c r="GQ113" s="470"/>
      <c r="GR113" s="470"/>
      <c r="GS113" s="470"/>
      <c r="GT113" s="470"/>
      <c r="GU113" s="470"/>
      <c r="GV113" s="470"/>
      <c r="GW113" s="470"/>
      <c r="GX113" s="470"/>
      <c r="GY113" s="470"/>
      <c r="GZ113" s="470"/>
      <c r="HA113" s="470"/>
      <c r="HB113" s="470"/>
      <c r="HC113" s="470"/>
      <c r="HD113" s="470"/>
      <c r="HE113" s="470"/>
      <c r="HF113" s="470"/>
      <c r="HG113" s="470"/>
      <c r="HH113" s="470"/>
      <c r="HI113" s="470"/>
      <c r="HJ113" s="470"/>
      <c r="HK113" s="470"/>
      <c r="HL113" s="470"/>
      <c r="HM113" s="470"/>
      <c r="HN113" s="470"/>
      <c r="HO113" s="470"/>
      <c r="HP113" s="470"/>
      <c r="HQ113" s="470"/>
      <c r="HR113" s="470"/>
      <c r="HS113" s="470"/>
      <c r="HT113" s="470"/>
      <c r="HU113" s="470"/>
      <c r="HV113" s="470"/>
      <c r="HW113" s="470"/>
      <c r="HX113" s="470"/>
      <c r="HY113" s="470"/>
      <c r="HZ113" s="470"/>
      <c r="IA113" s="470"/>
      <c r="IB113" s="470"/>
      <c r="IC113" s="470"/>
      <c r="ID113" s="470"/>
      <c r="IE113" s="470"/>
      <c r="IF113" s="470"/>
      <c r="IG113" s="470"/>
      <c r="IH113" s="470"/>
      <c r="II113" s="470"/>
      <c r="IJ113" s="470"/>
      <c r="IK113" s="470"/>
      <c r="IL113" s="470"/>
      <c r="IM113" s="470"/>
      <c r="IN113" s="470"/>
      <c r="IO113" s="470"/>
      <c r="IP113" s="470"/>
      <c r="IQ113" s="470"/>
    </row>
    <row r="114" spans="1:251" x14ac:dyDescent="0.2">
      <c r="A114" s="453" t="s">
        <v>9937</v>
      </c>
      <c r="B114" s="453" t="s">
        <v>9938</v>
      </c>
      <c r="C114" s="473" t="s">
        <v>386</v>
      </c>
      <c r="D114" s="455" t="s">
        <v>9709</v>
      </c>
      <c r="E114" s="456" t="s">
        <v>9710</v>
      </c>
      <c r="F114" s="456" t="s">
        <v>9906</v>
      </c>
      <c r="G114" s="456" t="s">
        <v>7180</v>
      </c>
      <c r="H114" s="457">
        <v>484.92</v>
      </c>
      <c r="I114" s="457">
        <f t="shared" si="7"/>
        <v>521.28899999999999</v>
      </c>
      <c r="J114" s="457" t="s">
        <v>9706</v>
      </c>
      <c r="K114" s="458">
        <v>0.3</v>
      </c>
      <c r="L114" s="459">
        <f t="shared" si="4"/>
        <v>339.44400000000002</v>
      </c>
      <c r="M114" s="460">
        <v>0.18</v>
      </c>
      <c r="N114" s="461">
        <f t="shared" si="5"/>
        <v>427.45698000000004</v>
      </c>
      <c r="O114" s="462">
        <v>0.1</v>
      </c>
      <c r="P114" s="463">
        <f t="shared" si="6"/>
        <v>469.1601</v>
      </c>
      <c r="Q114" s="464"/>
      <c r="R114" s="465">
        <v>6</v>
      </c>
      <c r="S114" s="465">
        <v>6</v>
      </c>
      <c r="T114" s="465">
        <v>6</v>
      </c>
      <c r="U114" s="466"/>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70"/>
      <c r="CJ114" s="470"/>
      <c r="CK114" s="470"/>
      <c r="CL114" s="470"/>
      <c r="CM114" s="470"/>
      <c r="CN114" s="470"/>
      <c r="CO114" s="470"/>
      <c r="CP114" s="470"/>
      <c r="CQ114" s="470"/>
      <c r="CR114" s="470"/>
      <c r="CS114" s="470"/>
      <c r="CT114" s="470"/>
      <c r="CU114" s="470"/>
      <c r="CV114" s="470"/>
      <c r="CW114" s="470"/>
      <c r="CX114" s="470"/>
      <c r="CY114" s="470"/>
      <c r="CZ114" s="470"/>
      <c r="DA114" s="470"/>
      <c r="DB114" s="470"/>
      <c r="DC114" s="470"/>
      <c r="DD114" s="470"/>
      <c r="DE114" s="470"/>
      <c r="DF114" s="470"/>
      <c r="DG114" s="470"/>
      <c r="DH114" s="470"/>
      <c r="DI114" s="470"/>
      <c r="DJ114" s="470"/>
      <c r="DK114" s="470"/>
      <c r="DL114" s="470"/>
      <c r="DM114" s="470"/>
      <c r="DN114" s="470"/>
      <c r="DO114" s="470"/>
      <c r="DP114" s="470"/>
      <c r="DQ114" s="470"/>
      <c r="DR114" s="470"/>
      <c r="DS114" s="470"/>
      <c r="DT114" s="470"/>
      <c r="DU114" s="470"/>
      <c r="DV114" s="470"/>
      <c r="DW114" s="470"/>
      <c r="DX114" s="470"/>
      <c r="DY114" s="470"/>
      <c r="DZ114" s="470"/>
      <c r="EA114" s="470"/>
      <c r="EB114" s="470"/>
      <c r="EC114" s="470"/>
      <c r="ED114" s="470"/>
      <c r="EE114" s="470"/>
      <c r="EF114" s="470"/>
      <c r="EG114" s="470"/>
      <c r="EH114" s="470"/>
      <c r="EI114" s="470"/>
      <c r="EJ114" s="470"/>
      <c r="EK114" s="470"/>
      <c r="EL114" s="470"/>
      <c r="EM114" s="470"/>
      <c r="EN114" s="470"/>
      <c r="EO114" s="470"/>
      <c r="EP114" s="470"/>
      <c r="EQ114" s="470"/>
      <c r="ER114" s="470"/>
      <c r="ES114" s="470"/>
      <c r="ET114" s="470"/>
      <c r="EU114" s="470"/>
      <c r="EV114" s="470"/>
      <c r="EW114" s="470"/>
      <c r="EX114" s="470"/>
      <c r="EY114" s="470"/>
      <c r="EZ114" s="470"/>
      <c r="FA114" s="470"/>
      <c r="FB114" s="470"/>
      <c r="FC114" s="470"/>
      <c r="FD114" s="470"/>
      <c r="FE114" s="470"/>
      <c r="FF114" s="470"/>
      <c r="FG114" s="470"/>
      <c r="FH114" s="470"/>
      <c r="FI114" s="470"/>
      <c r="FJ114" s="470"/>
      <c r="FK114" s="470"/>
      <c r="FL114" s="470"/>
      <c r="FM114" s="470"/>
      <c r="FN114" s="470"/>
      <c r="FO114" s="470"/>
      <c r="FP114" s="470"/>
      <c r="FQ114" s="470"/>
      <c r="FR114" s="470"/>
      <c r="FS114" s="470"/>
      <c r="FT114" s="470"/>
      <c r="FU114" s="470"/>
      <c r="FV114" s="470"/>
      <c r="FW114" s="470"/>
      <c r="FX114" s="470"/>
      <c r="FY114" s="470"/>
      <c r="FZ114" s="470"/>
      <c r="GA114" s="470"/>
      <c r="GB114" s="470"/>
      <c r="GC114" s="470"/>
      <c r="GD114" s="470"/>
      <c r="GE114" s="470"/>
      <c r="GF114" s="470"/>
      <c r="GG114" s="470"/>
      <c r="GH114" s="470"/>
      <c r="GI114" s="470"/>
      <c r="GJ114" s="470"/>
      <c r="GK114" s="470"/>
      <c r="GL114" s="470"/>
      <c r="GM114" s="470"/>
      <c r="GN114" s="470"/>
      <c r="GO114" s="470"/>
      <c r="GP114" s="470"/>
      <c r="GQ114" s="470"/>
      <c r="GR114" s="470"/>
      <c r="GS114" s="470"/>
      <c r="GT114" s="470"/>
      <c r="GU114" s="470"/>
      <c r="GV114" s="470"/>
      <c r="GW114" s="470"/>
      <c r="GX114" s="470"/>
      <c r="GY114" s="470"/>
      <c r="GZ114" s="470"/>
      <c r="HA114" s="470"/>
      <c r="HB114" s="470"/>
      <c r="HC114" s="470"/>
      <c r="HD114" s="470"/>
      <c r="HE114" s="470"/>
      <c r="HF114" s="470"/>
      <c r="HG114" s="470"/>
      <c r="HH114" s="470"/>
      <c r="HI114" s="470"/>
      <c r="HJ114" s="470"/>
      <c r="HK114" s="470"/>
      <c r="HL114" s="470"/>
      <c r="HM114" s="470"/>
      <c r="HN114" s="470"/>
      <c r="HO114" s="470"/>
      <c r="HP114" s="470"/>
      <c r="HQ114" s="470"/>
      <c r="HR114" s="470"/>
      <c r="HS114" s="470"/>
      <c r="HT114" s="470"/>
      <c r="HU114" s="470"/>
      <c r="HV114" s="470"/>
      <c r="HW114" s="470"/>
      <c r="HX114" s="470"/>
      <c r="HY114" s="470"/>
      <c r="HZ114" s="470"/>
      <c r="IA114" s="470"/>
      <c r="IB114" s="470"/>
      <c r="IC114" s="470"/>
      <c r="ID114" s="470"/>
      <c r="IE114" s="470"/>
      <c r="IF114" s="470"/>
      <c r="IG114" s="470"/>
      <c r="IH114" s="470"/>
      <c r="II114" s="470"/>
      <c r="IJ114" s="470"/>
      <c r="IK114" s="470"/>
      <c r="IL114" s="470"/>
      <c r="IM114" s="470"/>
      <c r="IN114" s="470"/>
      <c r="IO114" s="470"/>
      <c r="IP114" s="470"/>
      <c r="IQ114" s="470"/>
    </row>
    <row r="115" spans="1:251" x14ac:dyDescent="0.2">
      <c r="A115" s="453" t="s">
        <v>9939</v>
      </c>
      <c r="B115" s="453" t="s">
        <v>9940</v>
      </c>
      <c r="C115" s="473" t="s">
        <v>386</v>
      </c>
      <c r="D115" s="455" t="s">
        <v>9709</v>
      </c>
      <c r="E115" s="456" t="s">
        <v>9710</v>
      </c>
      <c r="F115" s="456" t="s">
        <v>9906</v>
      </c>
      <c r="G115" s="456" t="s">
        <v>7180</v>
      </c>
      <c r="H115" s="457">
        <v>484.92</v>
      </c>
      <c r="I115" s="457">
        <f t="shared" si="7"/>
        <v>521.28899999999999</v>
      </c>
      <c r="J115" s="457" t="s">
        <v>9706</v>
      </c>
      <c r="K115" s="458">
        <v>0.3</v>
      </c>
      <c r="L115" s="459">
        <f t="shared" si="4"/>
        <v>339.44400000000002</v>
      </c>
      <c r="M115" s="460">
        <v>0.18</v>
      </c>
      <c r="N115" s="461">
        <f t="shared" si="5"/>
        <v>427.45698000000004</v>
      </c>
      <c r="O115" s="462">
        <v>0.1</v>
      </c>
      <c r="P115" s="463">
        <f t="shared" si="6"/>
        <v>469.1601</v>
      </c>
      <c r="Q115" s="464"/>
      <c r="R115" s="465">
        <v>6</v>
      </c>
      <c r="S115" s="465">
        <v>6</v>
      </c>
      <c r="T115" s="465">
        <v>6</v>
      </c>
      <c r="U115" s="466"/>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70"/>
      <c r="CJ115" s="470"/>
      <c r="CK115" s="470"/>
      <c r="CL115" s="470"/>
      <c r="CM115" s="470"/>
      <c r="CN115" s="470"/>
      <c r="CO115" s="470"/>
      <c r="CP115" s="470"/>
      <c r="CQ115" s="470"/>
      <c r="CR115" s="470"/>
      <c r="CS115" s="470"/>
      <c r="CT115" s="470"/>
      <c r="CU115" s="470"/>
      <c r="CV115" s="470"/>
      <c r="CW115" s="470"/>
      <c r="CX115" s="470"/>
      <c r="CY115" s="470"/>
      <c r="CZ115" s="470"/>
      <c r="DA115" s="470"/>
      <c r="DB115" s="470"/>
      <c r="DC115" s="470"/>
      <c r="DD115" s="470"/>
      <c r="DE115" s="470"/>
      <c r="DF115" s="470"/>
      <c r="DG115" s="470"/>
      <c r="DH115" s="470"/>
      <c r="DI115" s="470"/>
      <c r="DJ115" s="470"/>
      <c r="DK115" s="470"/>
      <c r="DL115" s="470"/>
      <c r="DM115" s="470"/>
      <c r="DN115" s="470"/>
      <c r="DO115" s="470"/>
      <c r="DP115" s="470"/>
      <c r="DQ115" s="470"/>
      <c r="DR115" s="470"/>
      <c r="DS115" s="470"/>
      <c r="DT115" s="470"/>
      <c r="DU115" s="470"/>
      <c r="DV115" s="470"/>
      <c r="DW115" s="470"/>
      <c r="DX115" s="470"/>
      <c r="DY115" s="470"/>
      <c r="DZ115" s="470"/>
      <c r="EA115" s="470"/>
      <c r="EB115" s="470"/>
      <c r="EC115" s="470"/>
      <c r="ED115" s="470"/>
      <c r="EE115" s="470"/>
      <c r="EF115" s="470"/>
      <c r="EG115" s="470"/>
      <c r="EH115" s="470"/>
      <c r="EI115" s="470"/>
      <c r="EJ115" s="470"/>
      <c r="EK115" s="470"/>
      <c r="EL115" s="470"/>
      <c r="EM115" s="470"/>
      <c r="EN115" s="470"/>
      <c r="EO115" s="470"/>
      <c r="EP115" s="470"/>
      <c r="EQ115" s="470"/>
      <c r="ER115" s="470"/>
      <c r="ES115" s="470"/>
      <c r="ET115" s="470"/>
      <c r="EU115" s="470"/>
      <c r="EV115" s="470"/>
      <c r="EW115" s="470"/>
      <c r="EX115" s="470"/>
      <c r="EY115" s="470"/>
      <c r="EZ115" s="470"/>
      <c r="FA115" s="470"/>
      <c r="FB115" s="470"/>
      <c r="FC115" s="470"/>
      <c r="FD115" s="470"/>
      <c r="FE115" s="470"/>
      <c r="FF115" s="470"/>
      <c r="FG115" s="470"/>
      <c r="FH115" s="470"/>
      <c r="FI115" s="470"/>
      <c r="FJ115" s="470"/>
      <c r="FK115" s="470"/>
      <c r="FL115" s="470"/>
      <c r="FM115" s="470"/>
      <c r="FN115" s="470"/>
      <c r="FO115" s="470"/>
      <c r="FP115" s="470"/>
      <c r="FQ115" s="470"/>
      <c r="FR115" s="470"/>
      <c r="FS115" s="470"/>
      <c r="FT115" s="470"/>
      <c r="FU115" s="470"/>
      <c r="FV115" s="470"/>
      <c r="FW115" s="470"/>
      <c r="FX115" s="470"/>
      <c r="FY115" s="470"/>
      <c r="FZ115" s="470"/>
      <c r="GA115" s="470"/>
      <c r="GB115" s="470"/>
      <c r="GC115" s="470"/>
      <c r="GD115" s="470"/>
      <c r="GE115" s="470"/>
      <c r="GF115" s="470"/>
      <c r="GG115" s="470"/>
      <c r="GH115" s="470"/>
      <c r="GI115" s="470"/>
      <c r="GJ115" s="470"/>
      <c r="GK115" s="470"/>
      <c r="GL115" s="470"/>
      <c r="GM115" s="470"/>
      <c r="GN115" s="470"/>
      <c r="GO115" s="470"/>
      <c r="GP115" s="470"/>
      <c r="GQ115" s="470"/>
      <c r="GR115" s="470"/>
      <c r="GS115" s="470"/>
      <c r="GT115" s="470"/>
      <c r="GU115" s="470"/>
      <c r="GV115" s="470"/>
      <c r="GW115" s="470"/>
      <c r="GX115" s="470"/>
      <c r="GY115" s="470"/>
      <c r="GZ115" s="470"/>
      <c r="HA115" s="470"/>
      <c r="HB115" s="470"/>
      <c r="HC115" s="470"/>
      <c r="HD115" s="470"/>
      <c r="HE115" s="470"/>
      <c r="HF115" s="470"/>
      <c r="HG115" s="470"/>
      <c r="HH115" s="470"/>
      <c r="HI115" s="470"/>
      <c r="HJ115" s="470"/>
      <c r="HK115" s="470"/>
      <c r="HL115" s="470"/>
      <c r="HM115" s="470"/>
      <c r="HN115" s="470"/>
      <c r="HO115" s="470"/>
      <c r="HP115" s="470"/>
      <c r="HQ115" s="470"/>
      <c r="HR115" s="470"/>
      <c r="HS115" s="470"/>
      <c r="HT115" s="470"/>
      <c r="HU115" s="470"/>
      <c r="HV115" s="470"/>
      <c r="HW115" s="470"/>
      <c r="HX115" s="470"/>
      <c r="HY115" s="470"/>
      <c r="HZ115" s="470"/>
      <c r="IA115" s="470"/>
      <c r="IB115" s="470"/>
      <c r="IC115" s="470"/>
      <c r="ID115" s="470"/>
      <c r="IE115" s="470"/>
      <c r="IF115" s="470"/>
      <c r="IG115" s="470"/>
      <c r="IH115" s="470"/>
      <c r="II115" s="470"/>
      <c r="IJ115" s="470"/>
      <c r="IK115" s="470"/>
      <c r="IL115" s="470"/>
      <c r="IM115" s="470"/>
      <c r="IN115" s="470"/>
      <c r="IO115" s="470"/>
      <c r="IP115" s="470"/>
      <c r="IQ115" s="470"/>
    </row>
    <row r="116" spans="1:251" x14ac:dyDescent="0.2">
      <c r="A116" s="453" t="s">
        <v>9941</v>
      </c>
      <c r="B116" s="453" t="s">
        <v>9942</v>
      </c>
      <c r="C116" s="473" t="s">
        <v>386</v>
      </c>
      <c r="D116" s="455" t="s">
        <v>9709</v>
      </c>
      <c r="E116" s="456" t="s">
        <v>9716</v>
      </c>
      <c r="F116" s="456" t="s">
        <v>9906</v>
      </c>
      <c r="G116" s="456" t="s">
        <v>7180</v>
      </c>
      <c r="H116" s="457">
        <v>430.92</v>
      </c>
      <c r="I116" s="457">
        <f t="shared" si="7"/>
        <v>463.23899999999998</v>
      </c>
      <c r="J116" s="457" t="s">
        <v>9706</v>
      </c>
      <c r="K116" s="458">
        <v>0.3</v>
      </c>
      <c r="L116" s="459">
        <f t="shared" si="4"/>
        <v>301.64400000000001</v>
      </c>
      <c r="M116" s="460">
        <v>0.18</v>
      </c>
      <c r="N116" s="461">
        <f t="shared" si="5"/>
        <v>379.85597999999999</v>
      </c>
      <c r="O116" s="462">
        <v>0.1</v>
      </c>
      <c r="P116" s="463">
        <f t="shared" si="6"/>
        <v>416.9151</v>
      </c>
      <c r="Q116" s="464"/>
      <c r="R116" s="465">
        <v>6</v>
      </c>
      <c r="S116" s="465">
        <v>6</v>
      </c>
      <c r="T116" s="465">
        <v>6</v>
      </c>
      <c r="U116" s="466"/>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70"/>
      <c r="CL116" s="470"/>
      <c r="CM116" s="470"/>
      <c r="CN116" s="470"/>
      <c r="CO116" s="470"/>
      <c r="CP116" s="470"/>
      <c r="CQ116" s="470"/>
      <c r="CR116" s="470"/>
      <c r="CS116" s="470"/>
      <c r="CT116" s="470"/>
      <c r="CU116" s="470"/>
      <c r="CV116" s="470"/>
      <c r="CW116" s="470"/>
      <c r="CX116" s="470"/>
      <c r="CY116" s="470"/>
      <c r="CZ116" s="470"/>
      <c r="DA116" s="470"/>
      <c r="DB116" s="470"/>
      <c r="DC116" s="470"/>
      <c r="DD116" s="470"/>
      <c r="DE116" s="470"/>
      <c r="DF116" s="470"/>
      <c r="DG116" s="470"/>
      <c r="DH116" s="470"/>
      <c r="DI116" s="470"/>
      <c r="DJ116" s="470"/>
      <c r="DK116" s="470"/>
      <c r="DL116" s="470"/>
      <c r="DM116" s="470"/>
      <c r="DN116" s="470"/>
      <c r="DO116" s="470"/>
      <c r="DP116" s="470"/>
      <c r="DQ116" s="470"/>
      <c r="DR116" s="470"/>
      <c r="DS116" s="470"/>
      <c r="DT116" s="470"/>
      <c r="DU116" s="470"/>
      <c r="DV116" s="470"/>
      <c r="DW116" s="470"/>
      <c r="DX116" s="470"/>
      <c r="DY116" s="470"/>
      <c r="DZ116" s="470"/>
      <c r="EA116" s="470"/>
      <c r="EB116" s="470"/>
      <c r="EC116" s="470"/>
      <c r="ED116" s="470"/>
      <c r="EE116" s="470"/>
      <c r="EF116" s="470"/>
      <c r="EG116" s="470"/>
      <c r="EH116" s="470"/>
      <c r="EI116" s="470"/>
      <c r="EJ116" s="470"/>
      <c r="EK116" s="470"/>
      <c r="EL116" s="470"/>
      <c r="EM116" s="470"/>
      <c r="EN116" s="470"/>
      <c r="EO116" s="470"/>
      <c r="EP116" s="470"/>
      <c r="EQ116" s="470"/>
      <c r="ER116" s="470"/>
      <c r="ES116" s="470"/>
      <c r="ET116" s="470"/>
      <c r="EU116" s="470"/>
      <c r="EV116" s="470"/>
      <c r="EW116" s="470"/>
      <c r="EX116" s="470"/>
      <c r="EY116" s="470"/>
      <c r="EZ116" s="470"/>
      <c r="FA116" s="470"/>
      <c r="FB116" s="470"/>
      <c r="FC116" s="470"/>
      <c r="FD116" s="470"/>
      <c r="FE116" s="470"/>
      <c r="FF116" s="470"/>
      <c r="FG116" s="470"/>
      <c r="FH116" s="470"/>
      <c r="FI116" s="470"/>
      <c r="FJ116" s="470"/>
      <c r="FK116" s="470"/>
      <c r="FL116" s="470"/>
      <c r="FM116" s="470"/>
      <c r="FN116" s="470"/>
      <c r="FO116" s="470"/>
      <c r="FP116" s="470"/>
      <c r="FQ116" s="470"/>
      <c r="FR116" s="470"/>
      <c r="FS116" s="470"/>
      <c r="FT116" s="470"/>
      <c r="FU116" s="470"/>
      <c r="FV116" s="470"/>
      <c r="FW116" s="470"/>
      <c r="FX116" s="470"/>
      <c r="FY116" s="470"/>
      <c r="FZ116" s="470"/>
      <c r="GA116" s="470"/>
      <c r="GB116" s="470"/>
      <c r="GC116" s="470"/>
      <c r="GD116" s="470"/>
      <c r="GE116" s="470"/>
      <c r="GF116" s="470"/>
      <c r="GG116" s="470"/>
      <c r="GH116" s="470"/>
      <c r="GI116" s="470"/>
      <c r="GJ116" s="470"/>
      <c r="GK116" s="470"/>
      <c r="GL116" s="470"/>
      <c r="GM116" s="470"/>
      <c r="GN116" s="470"/>
      <c r="GO116" s="470"/>
      <c r="GP116" s="470"/>
      <c r="GQ116" s="470"/>
      <c r="GR116" s="470"/>
      <c r="GS116" s="470"/>
      <c r="GT116" s="470"/>
      <c r="GU116" s="470"/>
      <c r="GV116" s="470"/>
      <c r="GW116" s="470"/>
      <c r="GX116" s="470"/>
      <c r="GY116" s="470"/>
      <c r="GZ116" s="470"/>
      <c r="HA116" s="470"/>
      <c r="HB116" s="470"/>
      <c r="HC116" s="470"/>
      <c r="HD116" s="470"/>
      <c r="HE116" s="470"/>
      <c r="HF116" s="470"/>
      <c r="HG116" s="470"/>
      <c r="HH116" s="470"/>
      <c r="HI116" s="470"/>
      <c r="HJ116" s="470"/>
      <c r="HK116" s="470"/>
      <c r="HL116" s="470"/>
      <c r="HM116" s="470"/>
      <c r="HN116" s="470"/>
      <c r="HO116" s="470"/>
      <c r="HP116" s="470"/>
      <c r="HQ116" s="470"/>
      <c r="HR116" s="470"/>
      <c r="HS116" s="470"/>
      <c r="HT116" s="470"/>
      <c r="HU116" s="470"/>
      <c r="HV116" s="470"/>
      <c r="HW116" s="470"/>
      <c r="HX116" s="470"/>
      <c r="HY116" s="470"/>
      <c r="HZ116" s="470"/>
      <c r="IA116" s="470"/>
      <c r="IB116" s="470"/>
      <c r="IC116" s="470"/>
      <c r="ID116" s="470"/>
      <c r="IE116" s="470"/>
      <c r="IF116" s="470"/>
      <c r="IG116" s="470"/>
      <c r="IH116" s="470"/>
      <c r="II116" s="470"/>
      <c r="IJ116" s="470"/>
      <c r="IK116" s="470"/>
      <c r="IL116" s="470"/>
      <c r="IM116" s="470"/>
      <c r="IN116" s="470"/>
      <c r="IO116" s="470"/>
      <c r="IP116" s="470"/>
      <c r="IQ116" s="470"/>
    </row>
    <row r="117" spans="1:251" x14ac:dyDescent="0.2">
      <c r="A117" s="453" t="s">
        <v>9943</v>
      </c>
      <c r="B117" s="453" t="s">
        <v>9944</v>
      </c>
      <c r="C117" s="473" t="s">
        <v>386</v>
      </c>
      <c r="D117" s="455" t="s">
        <v>9709</v>
      </c>
      <c r="E117" s="456" t="s">
        <v>9716</v>
      </c>
      <c r="F117" s="456" t="s">
        <v>9906</v>
      </c>
      <c r="G117" s="456" t="s">
        <v>7180</v>
      </c>
      <c r="H117" s="457">
        <v>430.92</v>
      </c>
      <c r="I117" s="457">
        <f t="shared" si="7"/>
        <v>463.23899999999998</v>
      </c>
      <c r="J117" s="457" t="s">
        <v>9706</v>
      </c>
      <c r="K117" s="458">
        <v>0.3</v>
      </c>
      <c r="L117" s="459">
        <f t="shared" si="4"/>
        <v>301.64400000000001</v>
      </c>
      <c r="M117" s="460">
        <v>0.18</v>
      </c>
      <c r="N117" s="461">
        <f t="shared" si="5"/>
        <v>379.85597999999999</v>
      </c>
      <c r="O117" s="462">
        <v>0.1</v>
      </c>
      <c r="P117" s="463">
        <f t="shared" si="6"/>
        <v>416.9151</v>
      </c>
      <c r="Q117" s="464"/>
      <c r="R117" s="465">
        <v>6</v>
      </c>
      <c r="S117" s="465">
        <v>6</v>
      </c>
      <c r="T117" s="465">
        <v>6</v>
      </c>
      <c r="U117" s="466"/>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70"/>
      <c r="CL117" s="470"/>
      <c r="CM117" s="470"/>
      <c r="CN117" s="470"/>
      <c r="CO117" s="470"/>
      <c r="CP117" s="470"/>
      <c r="CQ117" s="470"/>
      <c r="CR117" s="470"/>
      <c r="CS117" s="470"/>
      <c r="CT117" s="470"/>
      <c r="CU117" s="470"/>
      <c r="CV117" s="470"/>
      <c r="CW117" s="470"/>
      <c r="CX117" s="470"/>
      <c r="CY117" s="470"/>
      <c r="CZ117" s="470"/>
      <c r="DA117" s="470"/>
      <c r="DB117" s="470"/>
      <c r="DC117" s="470"/>
      <c r="DD117" s="470"/>
      <c r="DE117" s="470"/>
      <c r="DF117" s="470"/>
      <c r="DG117" s="470"/>
      <c r="DH117" s="470"/>
      <c r="DI117" s="470"/>
      <c r="DJ117" s="470"/>
      <c r="DK117" s="470"/>
      <c r="DL117" s="470"/>
      <c r="DM117" s="470"/>
      <c r="DN117" s="470"/>
      <c r="DO117" s="470"/>
      <c r="DP117" s="470"/>
      <c r="DQ117" s="470"/>
      <c r="DR117" s="470"/>
      <c r="DS117" s="470"/>
      <c r="DT117" s="470"/>
      <c r="DU117" s="470"/>
      <c r="DV117" s="470"/>
      <c r="DW117" s="470"/>
      <c r="DX117" s="470"/>
      <c r="DY117" s="470"/>
      <c r="DZ117" s="470"/>
      <c r="EA117" s="470"/>
      <c r="EB117" s="470"/>
      <c r="EC117" s="470"/>
      <c r="ED117" s="470"/>
      <c r="EE117" s="470"/>
      <c r="EF117" s="470"/>
      <c r="EG117" s="470"/>
      <c r="EH117" s="470"/>
      <c r="EI117" s="470"/>
      <c r="EJ117" s="470"/>
      <c r="EK117" s="470"/>
      <c r="EL117" s="470"/>
      <c r="EM117" s="470"/>
      <c r="EN117" s="470"/>
      <c r="EO117" s="470"/>
      <c r="EP117" s="470"/>
      <c r="EQ117" s="470"/>
      <c r="ER117" s="470"/>
      <c r="ES117" s="470"/>
      <c r="ET117" s="470"/>
      <c r="EU117" s="470"/>
      <c r="EV117" s="470"/>
      <c r="EW117" s="470"/>
      <c r="EX117" s="470"/>
      <c r="EY117" s="470"/>
      <c r="EZ117" s="470"/>
      <c r="FA117" s="470"/>
      <c r="FB117" s="470"/>
      <c r="FC117" s="470"/>
      <c r="FD117" s="470"/>
      <c r="FE117" s="470"/>
      <c r="FF117" s="470"/>
      <c r="FG117" s="470"/>
      <c r="FH117" s="470"/>
      <c r="FI117" s="470"/>
      <c r="FJ117" s="470"/>
      <c r="FK117" s="470"/>
      <c r="FL117" s="470"/>
      <c r="FM117" s="470"/>
      <c r="FN117" s="470"/>
      <c r="FO117" s="470"/>
      <c r="FP117" s="470"/>
      <c r="FQ117" s="470"/>
      <c r="FR117" s="470"/>
      <c r="FS117" s="470"/>
      <c r="FT117" s="470"/>
      <c r="FU117" s="470"/>
      <c r="FV117" s="470"/>
      <c r="FW117" s="470"/>
      <c r="FX117" s="470"/>
      <c r="FY117" s="470"/>
      <c r="FZ117" s="470"/>
      <c r="GA117" s="470"/>
      <c r="GB117" s="470"/>
      <c r="GC117" s="470"/>
      <c r="GD117" s="470"/>
      <c r="GE117" s="470"/>
      <c r="GF117" s="470"/>
      <c r="GG117" s="470"/>
      <c r="GH117" s="470"/>
      <c r="GI117" s="470"/>
      <c r="GJ117" s="470"/>
      <c r="GK117" s="470"/>
      <c r="GL117" s="470"/>
      <c r="GM117" s="470"/>
      <c r="GN117" s="470"/>
      <c r="GO117" s="470"/>
      <c r="GP117" s="470"/>
      <c r="GQ117" s="470"/>
      <c r="GR117" s="470"/>
      <c r="GS117" s="470"/>
      <c r="GT117" s="470"/>
      <c r="GU117" s="470"/>
      <c r="GV117" s="470"/>
      <c r="GW117" s="470"/>
      <c r="GX117" s="470"/>
      <c r="GY117" s="470"/>
      <c r="GZ117" s="470"/>
      <c r="HA117" s="470"/>
      <c r="HB117" s="470"/>
      <c r="HC117" s="470"/>
      <c r="HD117" s="470"/>
      <c r="HE117" s="470"/>
      <c r="HF117" s="470"/>
      <c r="HG117" s="470"/>
      <c r="HH117" s="470"/>
      <c r="HI117" s="470"/>
      <c r="HJ117" s="470"/>
      <c r="HK117" s="470"/>
      <c r="HL117" s="470"/>
      <c r="HM117" s="470"/>
      <c r="HN117" s="470"/>
      <c r="HO117" s="470"/>
      <c r="HP117" s="470"/>
      <c r="HQ117" s="470"/>
      <c r="HR117" s="470"/>
      <c r="HS117" s="470"/>
      <c r="HT117" s="470"/>
      <c r="HU117" s="470"/>
      <c r="HV117" s="470"/>
      <c r="HW117" s="470"/>
      <c r="HX117" s="470"/>
      <c r="HY117" s="470"/>
      <c r="HZ117" s="470"/>
      <c r="IA117" s="470"/>
      <c r="IB117" s="470"/>
      <c r="IC117" s="470"/>
      <c r="ID117" s="470"/>
      <c r="IE117" s="470"/>
      <c r="IF117" s="470"/>
      <c r="IG117" s="470"/>
      <c r="IH117" s="470"/>
      <c r="II117" s="470"/>
      <c r="IJ117" s="470"/>
      <c r="IK117" s="470"/>
      <c r="IL117" s="470"/>
      <c r="IM117" s="470"/>
      <c r="IN117" s="470"/>
      <c r="IO117" s="470"/>
      <c r="IP117" s="470"/>
      <c r="IQ117" s="470"/>
    </row>
    <row r="118" spans="1:251" x14ac:dyDescent="0.2">
      <c r="A118" s="453" t="s">
        <v>9945</v>
      </c>
      <c r="B118" s="453" t="s">
        <v>9946</v>
      </c>
      <c r="C118" s="473" t="s">
        <v>386</v>
      </c>
      <c r="D118" s="455" t="s">
        <v>9709</v>
      </c>
      <c r="E118" s="456" t="s">
        <v>9716</v>
      </c>
      <c r="F118" s="456" t="s">
        <v>9906</v>
      </c>
      <c r="G118" s="456" t="s">
        <v>7180</v>
      </c>
      <c r="H118" s="457">
        <v>506.52000000000004</v>
      </c>
      <c r="I118" s="457">
        <f t="shared" si="7"/>
        <v>544.50900000000001</v>
      </c>
      <c r="J118" s="457" t="s">
        <v>9706</v>
      </c>
      <c r="K118" s="458">
        <v>0.3</v>
      </c>
      <c r="L118" s="459">
        <f t="shared" si="4"/>
        <v>354.56400000000002</v>
      </c>
      <c r="M118" s="460">
        <v>0.18</v>
      </c>
      <c r="N118" s="461">
        <f t="shared" si="5"/>
        <v>446.49738000000002</v>
      </c>
      <c r="O118" s="462">
        <v>0.1</v>
      </c>
      <c r="P118" s="463">
        <f t="shared" si="6"/>
        <v>490.05810000000002</v>
      </c>
      <c r="Q118" s="464"/>
      <c r="R118" s="465">
        <v>6</v>
      </c>
      <c r="S118" s="465">
        <v>6</v>
      </c>
      <c r="T118" s="465">
        <v>6</v>
      </c>
      <c r="U118" s="466"/>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70"/>
      <c r="CL118" s="470"/>
      <c r="CM118" s="470"/>
      <c r="CN118" s="470"/>
      <c r="CO118" s="470"/>
      <c r="CP118" s="470"/>
      <c r="CQ118" s="470"/>
      <c r="CR118" s="470"/>
      <c r="CS118" s="470"/>
      <c r="CT118" s="470"/>
      <c r="CU118" s="470"/>
      <c r="CV118" s="470"/>
      <c r="CW118" s="470"/>
      <c r="CX118" s="470"/>
      <c r="CY118" s="470"/>
      <c r="CZ118" s="470"/>
      <c r="DA118" s="470"/>
      <c r="DB118" s="470"/>
      <c r="DC118" s="470"/>
      <c r="DD118" s="470"/>
      <c r="DE118" s="470"/>
      <c r="DF118" s="470"/>
      <c r="DG118" s="470"/>
      <c r="DH118" s="470"/>
      <c r="DI118" s="470"/>
      <c r="DJ118" s="470"/>
      <c r="DK118" s="470"/>
      <c r="DL118" s="470"/>
      <c r="DM118" s="470"/>
      <c r="DN118" s="470"/>
      <c r="DO118" s="470"/>
      <c r="DP118" s="470"/>
      <c r="DQ118" s="470"/>
      <c r="DR118" s="470"/>
      <c r="DS118" s="470"/>
      <c r="DT118" s="470"/>
      <c r="DU118" s="470"/>
      <c r="DV118" s="470"/>
      <c r="DW118" s="470"/>
      <c r="DX118" s="470"/>
      <c r="DY118" s="470"/>
      <c r="DZ118" s="470"/>
      <c r="EA118" s="470"/>
      <c r="EB118" s="470"/>
      <c r="EC118" s="470"/>
      <c r="ED118" s="470"/>
      <c r="EE118" s="470"/>
      <c r="EF118" s="470"/>
      <c r="EG118" s="470"/>
      <c r="EH118" s="470"/>
      <c r="EI118" s="470"/>
      <c r="EJ118" s="470"/>
      <c r="EK118" s="470"/>
      <c r="EL118" s="470"/>
      <c r="EM118" s="470"/>
      <c r="EN118" s="470"/>
      <c r="EO118" s="470"/>
      <c r="EP118" s="470"/>
      <c r="EQ118" s="470"/>
      <c r="ER118" s="470"/>
      <c r="ES118" s="470"/>
      <c r="ET118" s="470"/>
      <c r="EU118" s="470"/>
      <c r="EV118" s="470"/>
      <c r="EW118" s="470"/>
      <c r="EX118" s="470"/>
      <c r="EY118" s="470"/>
      <c r="EZ118" s="470"/>
      <c r="FA118" s="470"/>
      <c r="FB118" s="470"/>
      <c r="FC118" s="470"/>
      <c r="FD118" s="470"/>
      <c r="FE118" s="470"/>
      <c r="FF118" s="470"/>
      <c r="FG118" s="470"/>
      <c r="FH118" s="470"/>
      <c r="FI118" s="470"/>
      <c r="FJ118" s="470"/>
      <c r="FK118" s="470"/>
      <c r="FL118" s="470"/>
      <c r="FM118" s="470"/>
      <c r="FN118" s="470"/>
      <c r="FO118" s="470"/>
      <c r="FP118" s="470"/>
      <c r="FQ118" s="470"/>
      <c r="FR118" s="470"/>
      <c r="FS118" s="470"/>
      <c r="FT118" s="470"/>
      <c r="FU118" s="470"/>
      <c r="FV118" s="470"/>
      <c r="FW118" s="470"/>
      <c r="FX118" s="470"/>
      <c r="FY118" s="470"/>
      <c r="FZ118" s="470"/>
      <c r="GA118" s="470"/>
      <c r="GB118" s="470"/>
      <c r="GC118" s="470"/>
      <c r="GD118" s="470"/>
      <c r="GE118" s="470"/>
      <c r="GF118" s="470"/>
      <c r="GG118" s="470"/>
      <c r="GH118" s="470"/>
      <c r="GI118" s="470"/>
      <c r="GJ118" s="470"/>
      <c r="GK118" s="470"/>
      <c r="GL118" s="470"/>
      <c r="GM118" s="470"/>
      <c r="GN118" s="470"/>
      <c r="GO118" s="470"/>
      <c r="GP118" s="470"/>
      <c r="GQ118" s="470"/>
      <c r="GR118" s="470"/>
      <c r="GS118" s="470"/>
      <c r="GT118" s="470"/>
      <c r="GU118" s="470"/>
      <c r="GV118" s="470"/>
      <c r="GW118" s="470"/>
      <c r="GX118" s="470"/>
      <c r="GY118" s="470"/>
      <c r="GZ118" s="470"/>
      <c r="HA118" s="470"/>
      <c r="HB118" s="470"/>
      <c r="HC118" s="470"/>
      <c r="HD118" s="470"/>
      <c r="HE118" s="470"/>
      <c r="HF118" s="470"/>
      <c r="HG118" s="470"/>
      <c r="HH118" s="470"/>
      <c r="HI118" s="470"/>
      <c r="HJ118" s="470"/>
      <c r="HK118" s="470"/>
      <c r="HL118" s="470"/>
      <c r="HM118" s="470"/>
      <c r="HN118" s="470"/>
      <c r="HO118" s="470"/>
      <c r="HP118" s="470"/>
      <c r="HQ118" s="470"/>
      <c r="HR118" s="470"/>
      <c r="HS118" s="470"/>
      <c r="HT118" s="470"/>
      <c r="HU118" s="470"/>
      <c r="HV118" s="470"/>
      <c r="HW118" s="470"/>
      <c r="HX118" s="470"/>
      <c r="HY118" s="470"/>
      <c r="HZ118" s="470"/>
      <c r="IA118" s="470"/>
      <c r="IB118" s="470"/>
      <c r="IC118" s="470"/>
      <c r="ID118" s="470"/>
      <c r="IE118" s="470"/>
      <c r="IF118" s="470"/>
      <c r="IG118" s="470"/>
      <c r="IH118" s="470"/>
      <c r="II118" s="470"/>
      <c r="IJ118" s="470"/>
      <c r="IK118" s="470"/>
      <c r="IL118" s="470"/>
      <c r="IM118" s="470"/>
      <c r="IN118" s="470"/>
      <c r="IO118" s="470"/>
      <c r="IP118" s="470"/>
      <c r="IQ118" s="470"/>
    </row>
    <row r="119" spans="1:251" x14ac:dyDescent="0.2">
      <c r="A119" s="453" t="s">
        <v>9947</v>
      </c>
      <c r="B119" s="453" t="s">
        <v>9948</v>
      </c>
      <c r="C119" s="473" t="s">
        <v>386</v>
      </c>
      <c r="D119" s="455" t="s">
        <v>9709</v>
      </c>
      <c r="E119" s="456" t="s">
        <v>9716</v>
      </c>
      <c r="F119" s="456" t="s">
        <v>9906</v>
      </c>
      <c r="G119" s="456" t="s">
        <v>7180</v>
      </c>
      <c r="H119" s="457">
        <v>506.52000000000004</v>
      </c>
      <c r="I119" s="457">
        <f t="shared" si="7"/>
        <v>544.50900000000001</v>
      </c>
      <c r="J119" s="457" t="s">
        <v>9706</v>
      </c>
      <c r="K119" s="458">
        <v>0.3</v>
      </c>
      <c r="L119" s="459">
        <f t="shared" si="4"/>
        <v>354.56400000000002</v>
      </c>
      <c r="M119" s="460">
        <v>0.18</v>
      </c>
      <c r="N119" s="461">
        <f t="shared" si="5"/>
        <v>446.49738000000002</v>
      </c>
      <c r="O119" s="462">
        <v>0.1</v>
      </c>
      <c r="P119" s="463">
        <f t="shared" si="6"/>
        <v>490.05810000000002</v>
      </c>
      <c r="Q119" s="464"/>
      <c r="R119" s="465">
        <v>6</v>
      </c>
      <c r="S119" s="465">
        <v>6</v>
      </c>
      <c r="T119" s="465">
        <v>6</v>
      </c>
      <c r="U119" s="466"/>
      <c r="V119" s="470"/>
      <c r="W119" s="470"/>
      <c r="X119" s="470"/>
      <c r="Y119" s="470"/>
      <c r="Z119" s="470"/>
      <c r="AA119" s="470"/>
      <c r="AB119" s="470"/>
      <c r="AC119" s="470"/>
      <c r="AD119" s="470"/>
      <c r="AE119" s="470"/>
      <c r="AF119" s="470"/>
      <c r="AG119" s="470"/>
      <c r="AH119" s="470"/>
      <c r="AI119" s="470"/>
      <c r="AJ119" s="470"/>
      <c r="AK119" s="470"/>
      <c r="AL119" s="470"/>
      <c r="AM119" s="470"/>
      <c r="AN119" s="470"/>
      <c r="AO119" s="470"/>
      <c r="AP119" s="470"/>
      <c r="AQ119" s="470"/>
      <c r="AR119" s="470"/>
      <c r="AS119" s="470"/>
      <c r="AT119" s="470"/>
      <c r="AU119" s="470"/>
      <c r="AV119" s="470"/>
      <c r="AW119" s="470"/>
      <c r="AX119" s="470"/>
      <c r="AY119" s="470"/>
      <c r="AZ119" s="470"/>
      <c r="BA119" s="470"/>
      <c r="BB119" s="470"/>
      <c r="BC119" s="470"/>
      <c r="BD119" s="470"/>
      <c r="BE119" s="470"/>
      <c r="BF119" s="470"/>
      <c r="BG119" s="470"/>
      <c r="BH119" s="470"/>
      <c r="BI119" s="470"/>
      <c r="BJ119" s="470"/>
      <c r="BK119" s="470"/>
      <c r="BL119" s="470"/>
      <c r="BM119" s="470"/>
      <c r="BN119" s="470"/>
      <c r="BO119" s="470"/>
      <c r="BP119" s="470"/>
      <c r="BQ119" s="470"/>
      <c r="BR119" s="470"/>
      <c r="BS119" s="470"/>
      <c r="BT119" s="470"/>
      <c r="BU119" s="470"/>
      <c r="BV119" s="470"/>
      <c r="BW119" s="470"/>
      <c r="BX119" s="470"/>
      <c r="BY119" s="470"/>
      <c r="BZ119" s="470"/>
      <c r="CA119" s="470"/>
      <c r="CB119" s="470"/>
      <c r="CC119" s="470"/>
      <c r="CD119" s="470"/>
      <c r="CE119" s="470"/>
      <c r="CF119" s="470"/>
      <c r="CG119" s="470"/>
      <c r="CH119" s="470"/>
      <c r="CI119" s="470"/>
      <c r="CJ119" s="470"/>
      <c r="CK119" s="470"/>
      <c r="CL119" s="470"/>
      <c r="CM119" s="470"/>
      <c r="CN119" s="470"/>
      <c r="CO119" s="470"/>
      <c r="CP119" s="470"/>
      <c r="CQ119" s="470"/>
      <c r="CR119" s="470"/>
      <c r="CS119" s="470"/>
      <c r="CT119" s="470"/>
      <c r="CU119" s="470"/>
      <c r="CV119" s="470"/>
      <c r="CW119" s="470"/>
      <c r="CX119" s="470"/>
      <c r="CY119" s="470"/>
      <c r="CZ119" s="470"/>
      <c r="DA119" s="470"/>
      <c r="DB119" s="470"/>
      <c r="DC119" s="470"/>
      <c r="DD119" s="470"/>
      <c r="DE119" s="470"/>
      <c r="DF119" s="470"/>
      <c r="DG119" s="470"/>
      <c r="DH119" s="470"/>
      <c r="DI119" s="470"/>
      <c r="DJ119" s="470"/>
      <c r="DK119" s="470"/>
      <c r="DL119" s="470"/>
      <c r="DM119" s="470"/>
      <c r="DN119" s="470"/>
      <c r="DO119" s="470"/>
      <c r="DP119" s="470"/>
      <c r="DQ119" s="470"/>
      <c r="DR119" s="470"/>
      <c r="DS119" s="470"/>
      <c r="DT119" s="470"/>
      <c r="DU119" s="470"/>
      <c r="DV119" s="470"/>
      <c r="DW119" s="470"/>
      <c r="DX119" s="470"/>
      <c r="DY119" s="470"/>
      <c r="DZ119" s="470"/>
      <c r="EA119" s="470"/>
      <c r="EB119" s="470"/>
      <c r="EC119" s="470"/>
      <c r="ED119" s="470"/>
      <c r="EE119" s="470"/>
      <c r="EF119" s="470"/>
      <c r="EG119" s="470"/>
      <c r="EH119" s="470"/>
      <c r="EI119" s="470"/>
      <c r="EJ119" s="470"/>
      <c r="EK119" s="470"/>
      <c r="EL119" s="470"/>
      <c r="EM119" s="470"/>
      <c r="EN119" s="470"/>
      <c r="EO119" s="470"/>
      <c r="EP119" s="470"/>
      <c r="EQ119" s="470"/>
      <c r="ER119" s="470"/>
      <c r="ES119" s="470"/>
      <c r="ET119" s="470"/>
      <c r="EU119" s="470"/>
      <c r="EV119" s="470"/>
      <c r="EW119" s="470"/>
      <c r="EX119" s="470"/>
      <c r="EY119" s="470"/>
      <c r="EZ119" s="470"/>
      <c r="FA119" s="470"/>
      <c r="FB119" s="470"/>
      <c r="FC119" s="470"/>
      <c r="FD119" s="470"/>
      <c r="FE119" s="470"/>
      <c r="FF119" s="470"/>
      <c r="FG119" s="470"/>
      <c r="FH119" s="470"/>
      <c r="FI119" s="470"/>
      <c r="FJ119" s="470"/>
      <c r="FK119" s="470"/>
      <c r="FL119" s="470"/>
      <c r="FM119" s="470"/>
      <c r="FN119" s="470"/>
      <c r="FO119" s="470"/>
      <c r="FP119" s="470"/>
      <c r="FQ119" s="470"/>
      <c r="FR119" s="470"/>
      <c r="FS119" s="470"/>
      <c r="FT119" s="470"/>
      <c r="FU119" s="470"/>
      <c r="FV119" s="470"/>
      <c r="FW119" s="470"/>
      <c r="FX119" s="470"/>
      <c r="FY119" s="470"/>
      <c r="FZ119" s="470"/>
      <c r="GA119" s="470"/>
      <c r="GB119" s="470"/>
      <c r="GC119" s="470"/>
      <c r="GD119" s="470"/>
      <c r="GE119" s="470"/>
      <c r="GF119" s="470"/>
      <c r="GG119" s="470"/>
      <c r="GH119" s="470"/>
      <c r="GI119" s="470"/>
      <c r="GJ119" s="470"/>
      <c r="GK119" s="470"/>
      <c r="GL119" s="470"/>
      <c r="GM119" s="470"/>
      <c r="GN119" s="470"/>
      <c r="GO119" s="470"/>
      <c r="GP119" s="470"/>
      <c r="GQ119" s="470"/>
      <c r="GR119" s="470"/>
      <c r="GS119" s="470"/>
      <c r="GT119" s="470"/>
      <c r="GU119" s="470"/>
      <c r="GV119" s="470"/>
      <c r="GW119" s="470"/>
      <c r="GX119" s="470"/>
      <c r="GY119" s="470"/>
      <c r="GZ119" s="470"/>
      <c r="HA119" s="470"/>
      <c r="HB119" s="470"/>
      <c r="HC119" s="470"/>
      <c r="HD119" s="470"/>
      <c r="HE119" s="470"/>
      <c r="HF119" s="470"/>
      <c r="HG119" s="470"/>
      <c r="HH119" s="470"/>
      <c r="HI119" s="470"/>
      <c r="HJ119" s="470"/>
      <c r="HK119" s="470"/>
      <c r="HL119" s="470"/>
      <c r="HM119" s="470"/>
      <c r="HN119" s="470"/>
      <c r="HO119" s="470"/>
      <c r="HP119" s="470"/>
      <c r="HQ119" s="470"/>
      <c r="HR119" s="470"/>
      <c r="HS119" s="470"/>
      <c r="HT119" s="470"/>
      <c r="HU119" s="470"/>
      <c r="HV119" s="470"/>
      <c r="HW119" s="470"/>
      <c r="HX119" s="470"/>
      <c r="HY119" s="470"/>
      <c r="HZ119" s="470"/>
      <c r="IA119" s="470"/>
      <c r="IB119" s="470"/>
      <c r="IC119" s="470"/>
      <c r="ID119" s="470"/>
      <c r="IE119" s="470"/>
      <c r="IF119" s="470"/>
      <c r="IG119" s="470"/>
      <c r="IH119" s="470"/>
      <c r="II119" s="470"/>
      <c r="IJ119" s="470"/>
      <c r="IK119" s="470"/>
      <c r="IL119" s="470"/>
      <c r="IM119" s="470"/>
      <c r="IN119" s="470"/>
      <c r="IO119" s="470"/>
      <c r="IP119" s="470"/>
      <c r="IQ119" s="470"/>
    </row>
    <row r="120" spans="1:251" x14ac:dyDescent="0.2">
      <c r="A120" s="453" t="s">
        <v>9949</v>
      </c>
      <c r="B120" s="453" t="s">
        <v>9950</v>
      </c>
      <c r="C120" s="473" t="s">
        <v>386</v>
      </c>
      <c r="D120" s="455" t="s">
        <v>1198</v>
      </c>
      <c r="E120" s="456" t="s">
        <v>9705</v>
      </c>
      <c r="F120" s="456" t="s">
        <v>9906</v>
      </c>
      <c r="G120" s="456" t="s">
        <v>7180</v>
      </c>
      <c r="H120" s="457">
        <v>85.320000000000007</v>
      </c>
      <c r="I120" s="457">
        <f t="shared" si="7"/>
        <v>91.719000000000008</v>
      </c>
      <c r="J120" s="457" t="s">
        <v>9706</v>
      </c>
      <c r="K120" s="458">
        <v>0.3</v>
      </c>
      <c r="L120" s="459">
        <f t="shared" si="4"/>
        <v>59.724000000000004</v>
      </c>
      <c r="M120" s="460">
        <v>0.18</v>
      </c>
      <c r="N120" s="461">
        <f t="shared" si="5"/>
        <v>75.209580000000017</v>
      </c>
      <c r="O120" s="462">
        <v>0.1</v>
      </c>
      <c r="P120" s="463">
        <f t="shared" si="6"/>
        <v>82.547100000000015</v>
      </c>
      <c r="Q120" s="464"/>
      <c r="R120" s="465">
        <v>6</v>
      </c>
      <c r="S120" s="465">
        <v>6</v>
      </c>
      <c r="T120" s="465">
        <v>6</v>
      </c>
      <c r="U120" s="466"/>
      <c r="V120" s="470"/>
      <c r="W120" s="470"/>
      <c r="X120" s="470"/>
      <c r="Y120" s="470"/>
      <c r="Z120" s="470"/>
      <c r="AA120" s="470"/>
      <c r="AB120" s="470"/>
      <c r="AC120" s="470"/>
      <c r="AD120" s="470"/>
      <c r="AE120" s="470"/>
      <c r="AF120" s="470"/>
      <c r="AG120" s="470"/>
      <c r="AH120" s="470"/>
      <c r="AI120" s="470"/>
      <c r="AJ120" s="470"/>
      <c r="AK120" s="470"/>
      <c r="AL120" s="470"/>
      <c r="AM120" s="470"/>
      <c r="AN120" s="470"/>
      <c r="AO120" s="470"/>
      <c r="AP120" s="470"/>
      <c r="AQ120" s="470"/>
      <c r="AR120" s="470"/>
      <c r="AS120" s="470"/>
      <c r="AT120" s="470"/>
      <c r="AU120" s="470"/>
      <c r="AV120" s="470"/>
      <c r="AW120" s="470"/>
      <c r="AX120" s="470"/>
      <c r="AY120" s="470"/>
      <c r="AZ120" s="470"/>
      <c r="BA120" s="470"/>
      <c r="BB120" s="470"/>
      <c r="BC120" s="470"/>
      <c r="BD120" s="470"/>
      <c r="BE120" s="470"/>
      <c r="BF120" s="470"/>
      <c r="BG120" s="470"/>
      <c r="BH120" s="470"/>
      <c r="BI120" s="470"/>
      <c r="BJ120" s="470"/>
      <c r="BK120" s="470"/>
      <c r="BL120" s="470"/>
      <c r="BM120" s="470"/>
      <c r="BN120" s="470"/>
      <c r="BO120" s="470"/>
      <c r="BP120" s="470"/>
      <c r="BQ120" s="470"/>
      <c r="BR120" s="470"/>
      <c r="BS120" s="470"/>
      <c r="BT120" s="470"/>
      <c r="BU120" s="470"/>
      <c r="BV120" s="470"/>
      <c r="BW120" s="470"/>
      <c r="BX120" s="470"/>
      <c r="BY120" s="470"/>
      <c r="BZ120" s="470"/>
      <c r="CA120" s="470"/>
      <c r="CB120" s="470"/>
      <c r="CC120" s="470"/>
      <c r="CD120" s="470"/>
      <c r="CE120" s="470"/>
      <c r="CF120" s="470"/>
      <c r="CG120" s="470"/>
      <c r="CH120" s="470"/>
      <c r="CI120" s="470"/>
      <c r="CJ120" s="470"/>
      <c r="CK120" s="470"/>
      <c r="CL120" s="470"/>
      <c r="CM120" s="470"/>
      <c r="CN120" s="470"/>
      <c r="CO120" s="470"/>
      <c r="CP120" s="470"/>
      <c r="CQ120" s="470"/>
      <c r="CR120" s="470"/>
      <c r="CS120" s="470"/>
      <c r="CT120" s="470"/>
      <c r="CU120" s="470"/>
      <c r="CV120" s="470"/>
      <c r="CW120" s="470"/>
      <c r="CX120" s="470"/>
      <c r="CY120" s="470"/>
      <c r="CZ120" s="470"/>
      <c r="DA120" s="470"/>
      <c r="DB120" s="470"/>
      <c r="DC120" s="470"/>
      <c r="DD120" s="470"/>
      <c r="DE120" s="470"/>
      <c r="DF120" s="470"/>
      <c r="DG120" s="470"/>
      <c r="DH120" s="470"/>
      <c r="DI120" s="470"/>
      <c r="DJ120" s="470"/>
      <c r="DK120" s="470"/>
      <c r="DL120" s="470"/>
      <c r="DM120" s="470"/>
      <c r="DN120" s="470"/>
      <c r="DO120" s="470"/>
      <c r="DP120" s="470"/>
      <c r="DQ120" s="470"/>
      <c r="DR120" s="470"/>
      <c r="DS120" s="470"/>
      <c r="DT120" s="470"/>
      <c r="DU120" s="470"/>
      <c r="DV120" s="470"/>
      <c r="DW120" s="470"/>
      <c r="DX120" s="470"/>
      <c r="DY120" s="470"/>
      <c r="DZ120" s="470"/>
      <c r="EA120" s="470"/>
      <c r="EB120" s="470"/>
      <c r="EC120" s="470"/>
      <c r="ED120" s="470"/>
      <c r="EE120" s="470"/>
      <c r="EF120" s="470"/>
      <c r="EG120" s="470"/>
      <c r="EH120" s="470"/>
      <c r="EI120" s="470"/>
      <c r="EJ120" s="470"/>
      <c r="EK120" s="470"/>
      <c r="EL120" s="470"/>
      <c r="EM120" s="470"/>
      <c r="EN120" s="470"/>
      <c r="EO120" s="470"/>
      <c r="EP120" s="470"/>
      <c r="EQ120" s="470"/>
      <c r="ER120" s="470"/>
      <c r="ES120" s="470"/>
      <c r="ET120" s="470"/>
      <c r="EU120" s="470"/>
      <c r="EV120" s="470"/>
      <c r="EW120" s="470"/>
      <c r="EX120" s="470"/>
      <c r="EY120" s="470"/>
      <c r="EZ120" s="470"/>
      <c r="FA120" s="470"/>
      <c r="FB120" s="470"/>
      <c r="FC120" s="470"/>
      <c r="FD120" s="470"/>
      <c r="FE120" s="470"/>
      <c r="FF120" s="470"/>
      <c r="FG120" s="470"/>
      <c r="FH120" s="470"/>
      <c r="FI120" s="470"/>
      <c r="FJ120" s="470"/>
      <c r="FK120" s="470"/>
      <c r="FL120" s="470"/>
      <c r="FM120" s="470"/>
      <c r="FN120" s="470"/>
      <c r="FO120" s="470"/>
      <c r="FP120" s="470"/>
      <c r="FQ120" s="470"/>
      <c r="FR120" s="470"/>
      <c r="FS120" s="470"/>
      <c r="FT120" s="470"/>
      <c r="FU120" s="470"/>
      <c r="FV120" s="470"/>
      <c r="FW120" s="470"/>
      <c r="FX120" s="470"/>
      <c r="FY120" s="470"/>
      <c r="FZ120" s="470"/>
      <c r="GA120" s="470"/>
      <c r="GB120" s="470"/>
      <c r="GC120" s="470"/>
      <c r="GD120" s="470"/>
      <c r="GE120" s="470"/>
      <c r="GF120" s="470"/>
      <c r="GG120" s="470"/>
      <c r="GH120" s="470"/>
      <c r="GI120" s="470"/>
      <c r="GJ120" s="470"/>
      <c r="GK120" s="470"/>
      <c r="GL120" s="470"/>
      <c r="GM120" s="470"/>
      <c r="GN120" s="470"/>
      <c r="GO120" s="470"/>
      <c r="GP120" s="470"/>
      <c r="GQ120" s="470"/>
      <c r="GR120" s="470"/>
      <c r="GS120" s="470"/>
      <c r="GT120" s="470"/>
      <c r="GU120" s="470"/>
      <c r="GV120" s="470"/>
      <c r="GW120" s="470"/>
      <c r="GX120" s="470"/>
      <c r="GY120" s="470"/>
      <c r="GZ120" s="470"/>
      <c r="HA120" s="470"/>
      <c r="HB120" s="470"/>
      <c r="HC120" s="470"/>
      <c r="HD120" s="470"/>
      <c r="HE120" s="470"/>
      <c r="HF120" s="470"/>
      <c r="HG120" s="470"/>
      <c r="HH120" s="470"/>
      <c r="HI120" s="470"/>
      <c r="HJ120" s="470"/>
      <c r="HK120" s="470"/>
      <c r="HL120" s="470"/>
      <c r="HM120" s="470"/>
      <c r="HN120" s="470"/>
      <c r="HO120" s="470"/>
      <c r="HP120" s="470"/>
      <c r="HQ120" s="470"/>
      <c r="HR120" s="470"/>
      <c r="HS120" s="470"/>
      <c r="HT120" s="470"/>
      <c r="HU120" s="470"/>
      <c r="HV120" s="470"/>
      <c r="HW120" s="470"/>
      <c r="HX120" s="470"/>
      <c r="HY120" s="470"/>
      <c r="HZ120" s="470"/>
      <c r="IA120" s="470"/>
      <c r="IB120" s="470"/>
      <c r="IC120" s="470"/>
      <c r="ID120" s="470"/>
      <c r="IE120" s="470"/>
      <c r="IF120" s="470"/>
      <c r="IG120" s="470"/>
      <c r="IH120" s="470"/>
      <c r="II120" s="470"/>
      <c r="IJ120" s="470"/>
      <c r="IK120" s="470"/>
      <c r="IL120" s="470"/>
      <c r="IM120" s="470"/>
      <c r="IN120" s="470"/>
      <c r="IO120" s="470"/>
      <c r="IP120" s="470"/>
      <c r="IQ120" s="470"/>
    </row>
    <row r="121" spans="1:251" x14ac:dyDescent="0.2">
      <c r="A121" s="453" t="s">
        <v>9951</v>
      </c>
      <c r="B121" s="453" t="s">
        <v>9952</v>
      </c>
      <c r="C121" s="473" t="s">
        <v>386</v>
      </c>
      <c r="D121" s="455" t="s">
        <v>9709</v>
      </c>
      <c r="E121" s="456" t="s">
        <v>9710</v>
      </c>
      <c r="F121" s="456" t="s">
        <v>9953</v>
      </c>
      <c r="G121" s="456" t="s">
        <v>7180</v>
      </c>
      <c r="H121" s="457">
        <v>474.12</v>
      </c>
      <c r="I121" s="457">
        <f t="shared" si="7"/>
        <v>509.67899999999997</v>
      </c>
      <c r="J121" s="457" t="s">
        <v>9706</v>
      </c>
      <c r="K121" s="458">
        <v>0.3</v>
      </c>
      <c r="L121" s="459">
        <f t="shared" si="4"/>
        <v>331.88399999999996</v>
      </c>
      <c r="M121" s="460">
        <v>0.18</v>
      </c>
      <c r="N121" s="461">
        <f t="shared" si="5"/>
        <v>417.93678</v>
      </c>
      <c r="O121" s="462">
        <v>0.1</v>
      </c>
      <c r="P121" s="463">
        <f t="shared" si="6"/>
        <v>458.71109999999999</v>
      </c>
      <c r="Q121" s="464"/>
      <c r="R121" s="465">
        <v>1</v>
      </c>
      <c r="S121" s="465">
        <v>1</v>
      </c>
      <c r="T121" s="465">
        <v>1</v>
      </c>
      <c r="U121" s="466"/>
      <c r="V121" s="470"/>
      <c r="W121" s="470"/>
      <c r="X121" s="470"/>
      <c r="Y121" s="470"/>
      <c r="Z121" s="470"/>
      <c r="AA121" s="470"/>
      <c r="AB121" s="470"/>
      <c r="AC121" s="470"/>
      <c r="AD121" s="470"/>
      <c r="AE121" s="470"/>
      <c r="AF121" s="470"/>
      <c r="AG121" s="470"/>
      <c r="AH121" s="470"/>
      <c r="AI121" s="470"/>
      <c r="AJ121" s="470"/>
      <c r="AK121" s="470"/>
      <c r="AL121" s="470"/>
      <c r="AM121" s="470"/>
      <c r="AN121" s="470"/>
      <c r="AO121" s="470"/>
      <c r="AP121" s="470"/>
      <c r="AQ121" s="470"/>
      <c r="AR121" s="470"/>
      <c r="AS121" s="470"/>
      <c r="AT121" s="470"/>
      <c r="AU121" s="470"/>
      <c r="AV121" s="470"/>
      <c r="AW121" s="470"/>
      <c r="AX121" s="470"/>
      <c r="AY121" s="470"/>
      <c r="AZ121" s="470"/>
      <c r="BA121" s="470"/>
      <c r="BB121" s="470"/>
      <c r="BC121" s="470"/>
      <c r="BD121" s="470"/>
      <c r="BE121" s="470"/>
      <c r="BF121" s="470"/>
      <c r="BG121" s="470"/>
      <c r="BH121" s="470"/>
      <c r="BI121" s="470"/>
      <c r="BJ121" s="470"/>
      <c r="BK121" s="470"/>
      <c r="BL121" s="470"/>
      <c r="BM121" s="470"/>
      <c r="BN121" s="470"/>
      <c r="BO121" s="470"/>
      <c r="BP121" s="470"/>
      <c r="BQ121" s="470"/>
      <c r="BR121" s="470"/>
      <c r="BS121" s="470"/>
      <c r="BT121" s="470"/>
      <c r="BU121" s="470"/>
      <c r="BV121" s="470"/>
      <c r="BW121" s="470"/>
      <c r="BX121" s="470"/>
      <c r="BY121" s="470"/>
      <c r="BZ121" s="470"/>
      <c r="CA121" s="470"/>
      <c r="CB121" s="470"/>
      <c r="CC121" s="470"/>
      <c r="CD121" s="470"/>
      <c r="CE121" s="470"/>
      <c r="CF121" s="470"/>
      <c r="CG121" s="470"/>
      <c r="CH121" s="470"/>
      <c r="CI121" s="470"/>
      <c r="CJ121" s="470"/>
      <c r="CK121" s="470"/>
      <c r="CL121" s="470"/>
      <c r="CM121" s="470"/>
      <c r="CN121" s="470"/>
      <c r="CO121" s="470"/>
      <c r="CP121" s="470"/>
      <c r="CQ121" s="470"/>
      <c r="CR121" s="470"/>
      <c r="CS121" s="470"/>
      <c r="CT121" s="470"/>
      <c r="CU121" s="470"/>
      <c r="CV121" s="470"/>
      <c r="CW121" s="470"/>
      <c r="CX121" s="470"/>
      <c r="CY121" s="470"/>
      <c r="CZ121" s="470"/>
      <c r="DA121" s="470"/>
      <c r="DB121" s="470"/>
      <c r="DC121" s="470"/>
      <c r="DD121" s="470"/>
      <c r="DE121" s="470"/>
      <c r="DF121" s="470"/>
      <c r="DG121" s="470"/>
      <c r="DH121" s="470"/>
      <c r="DI121" s="470"/>
      <c r="DJ121" s="470"/>
      <c r="DK121" s="470"/>
      <c r="DL121" s="470"/>
      <c r="DM121" s="470"/>
      <c r="DN121" s="470"/>
      <c r="DO121" s="470"/>
      <c r="DP121" s="470"/>
      <c r="DQ121" s="470"/>
      <c r="DR121" s="470"/>
      <c r="DS121" s="470"/>
      <c r="DT121" s="470"/>
      <c r="DU121" s="470"/>
      <c r="DV121" s="470"/>
      <c r="DW121" s="470"/>
      <c r="DX121" s="470"/>
      <c r="DY121" s="470"/>
      <c r="DZ121" s="470"/>
      <c r="EA121" s="470"/>
      <c r="EB121" s="470"/>
      <c r="EC121" s="470"/>
      <c r="ED121" s="470"/>
      <c r="EE121" s="470"/>
      <c r="EF121" s="470"/>
      <c r="EG121" s="470"/>
      <c r="EH121" s="470"/>
      <c r="EI121" s="470"/>
      <c r="EJ121" s="470"/>
      <c r="EK121" s="470"/>
      <c r="EL121" s="470"/>
      <c r="EM121" s="470"/>
      <c r="EN121" s="470"/>
      <c r="EO121" s="470"/>
      <c r="EP121" s="470"/>
      <c r="EQ121" s="470"/>
      <c r="ER121" s="470"/>
      <c r="ES121" s="470"/>
      <c r="ET121" s="470"/>
      <c r="EU121" s="470"/>
      <c r="EV121" s="470"/>
      <c r="EW121" s="470"/>
      <c r="EX121" s="470"/>
      <c r="EY121" s="470"/>
      <c r="EZ121" s="470"/>
      <c r="FA121" s="470"/>
      <c r="FB121" s="470"/>
      <c r="FC121" s="470"/>
      <c r="FD121" s="470"/>
      <c r="FE121" s="470"/>
      <c r="FF121" s="470"/>
      <c r="FG121" s="470"/>
      <c r="FH121" s="470"/>
      <c r="FI121" s="470"/>
      <c r="FJ121" s="470"/>
      <c r="FK121" s="470"/>
      <c r="FL121" s="470"/>
      <c r="FM121" s="470"/>
      <c r="FN121" s="470"/>
      <c r="FO121" s="470"/>
      <c r="FP121" s="470"/>
      <c r="FQ121" s="470"/>
      <c r="FR121" s="470"/>
      <c r="FS121" s="470"/>
      <c r="FT121" s="470"/>
      <c r="FU121" s="470"/>
      <c r="FV121" s="470"/>
      <c r="FW121" s="470"/>
      <c r="FX121" s="470"/>
      <c r="FY121" s="470"/>
      <c r="FZ121" s="470"/>
      <c r="GA121" s="470"/>
      <c r="GB121" s="470"/>
      <c r="GC121" s="470"/>
      <c r="GD121" s="470"/>
      <c r="GE121" s="470"/>
      <c r="GF121" s="470"/>
      <c r="GG121" s="470"/>
      <c r="GH121" s="470"/>
      <c r="GI121" s="470"/>
      <c r="GJ121" s="470"/>
      <c r="GK121" s="470"/>
      <c r="GL121" s="470"/>
      <c r="GM121" s="470"/>
      <c r="GN121" s="470"/>
      <c r="GO121" s="470"/>
      <c r="GP121" s="470"/>
      <c r="GQ121" s="470"/>
      <c r="GR121" s="470"/>
      <c r="GS121" s="470"/>
      <c r="GT121" s="470"/>
      <c r="GU121" s="470"/>
      <c r="GV121" s="470"/>
      <c r="GW121" s="470"/>
      <c r="GX121" s="470"/>
      <c r="GY121" s="470"/>
      <c r="GZ121" s="470"/>
      <c r="HA121" s="470"/>
      <c r="HB121" s="470"/>
      <c r="HC121" s="470"/>
      <c r="HD121" s="470"/>
      <c r="HE121" s="470"/>
      <c r="HF121" s="470"/>
      <c r="HG121" s="470"/>
      <c r="HH121" s="470"/>
      <c r="HI121" s="470"/>
      <c r="HJ121" s="470"/>
      <c r="HK121" s="470"/>
      <c r="HL121" s="470"/>
      <c r="HM121" s="470"/>
      <c r="HN121" s="470"/>
      <c r="HO121" s="470"/>
      <c r="HP121" s="470"/>
      <c r="HQ121" s="470"/>
      <c r="HR121" s="470"/>
      <c r="HS121" s="470"/>
      <c r="HT121" s="470"/>
      <c r="HU121" s="470"/>
      <c r="HV121" s="470"/>
      <c r="HW121" s="470"/>
      <c r="HX121" s="470"/>
      <c r="HY121" s="470"/>
      <c r="HZ121" s="470"/>
      <c r="IA121" s="470"/>
      <c r="IB121" s="470"/>
      <c r="IC121" s="470"/>
      <c r="ID121" s="470"/>
      <c r="IE121" s="470"/>
      <c r="IF121" s="470"/>
      <c r="IG121" s="470"/>
      <c r="IH121" s="470"/>
      <c r="II121" s="470"/>
      <c r="IJ121" s="470"/>
      <c r="IK121" s="470"/>
      <c r="IL121" s="470"/>
      <c r="IM121" s="470"/>
      <c r="IN121" s="470"/>
      <c r="IO121" s="470"/>
      <c r="IP121" s="470"/>
      <c r="IQ121" s="470"/>
    </row>
    <row r="122" spans="1:251" x14ac:dyDescent="0.2">
      <c r="A122" s="453" t="s">
        <v>9954</v>
      </c>
      <c r="B122" s="453" t="s">
        <v>9955</v>
      </c>
      <c r="C122" s="473" t="s">
        <v>386</v>
      </c>
      <c r="D122" s="455" t="s">
        <v>9709</v>
      </c>
      <c r="E122" s="456" t="s">
        <v>9710</v>
      </c>
      <c r="F122" s="456" t="s">
        <v>9953</v>
      </c>
      <c r="G122" s="456" t="s">
        <v>7180</v>
      </c>
      <c r="H122" s="457">
        <v>474.12</v>
      </c>
      <c r="I122" s="457">
        <f t="shared" si="7"/>
        <v>509.67899999999997</v>
      </c>
      <c r="J122" s="457" t="s">
        <v>9706</v>
      </c>
      <c r="K122" s="458">
        <v>0.3</v>
      </c>
      <c r="L122" s="459">
        <f t="shared" si="4"/>
        <v>331.88399999999996</v>
      </c>
      <c r="M122" s="460">
        <v>0.18</v>
      </c>
      <c r="N122" s="461">
        <f t="shared" si="5"/>
        <v>417.93678</v>
      </c>
      <c r="O122" s="462">
        <v>0.1</v>
      </c>
      <c r="P122" s="463">
        <f t="shared" si="6"/>
        <v>458.71109999999999</v>
      </c>
      <c r="Q122" s="464"/>
      <c r="R122" s="465">
        <v>1</v>
      </c>
      <c r="S122" s="465">
        <v>1</v>
      </c>
      <c r="T122" s="465">
        <v>1</v>
      </c>
      <c r="U122" s="466"/>
      <c r="V122" s="470"/>
      <c r="W122" s="470"/>
      <c r="X122" s="470"/>
      <c r="Y122" s="470"/>
      <c r="Z122" s="470"/>
      <c r="AA122" s="470"/>
      <c r="AB122" s="470"/>
      <c r="AC122" s="470"/>
      <c r="AD122" s="470"/>
      <c r="AE122" s="470"/>
      <c r="AF122" s="470"/>
      <c r="AG122" s="470"/>
      <c r="AH122" s="470"/>
      <c r="AI122" s="470"/>
      <c r="AJ122" s="470"/>
      <c r="AK122" s="470"/>
      <c r="AL122" s="470"/>
      <c r="AM122" s="470"/>
      <c r="AN122" s="470"/>
      <c r="AO122" s="470"/>
      <c r="AP122" s="470"/>
      <c r="AQ122" s="470"/>
      <c r="AR122" s="470"/>
      <c r="AS122" s="470"/>
      <c r="AT122" s="470"/>
      <c r="AU122" s="470"/>
      <c r="AV122" s="470"/>
      <c r="AW122" s="470"/>
      <c r="AX122" s="470"/>
      <c r="AY122" s="470"/>
      <c r="AZ122" s="470"/>
      <c r="BA122" s="470"/>
      <c r="BB122" s="470"/>
      <c r="BC122" s="470"/>
      <c r="BD122" s="470"/>
      <c r="BE122" s="470"/>
      <c r="BF122" s="470"/>
      <c r="BG122" s="470"/>
      <c r="BH122" s="470"/>
      <c r="BI122" s="470"/>
      <c r="BJ122" s="470"/>
      <c r="BK122" s="470"/>
      <c r="BL122" s="470"/>
      <c r="BM122" s="470"/>
      <c r="BN122" s="470"/>
      <c r="BO122" s="470"/>
      <c r="BP122" s="470"/>
      <c r="BQ122" s="470"/>
      <c r="BR122" s="470"/>
      <c r="BS122" s="470"/>
      <c r="BT122" s="470"/>
      <c r="BU122" s="470"/>
      <c r="BV122" s="470"/>
      <c r="BW122" s="470"/>
      <c r="BX122" s="470"/>
      <c r="BY122" s="470"/>
      <c r="BZ122" s="470"/>
      <c r="CA122" s="470"/>
      <c r="CB122" s="470"/>
      <c r="CC122" s="470"/>
      <c r="CD122" s="470"/>
      <c r="CE122" s="470"/>
      <c r="CF122" s="470"/>
      <c r="CG122" s="470"/>
      <c r="CH122" s="470"/>
      <c r="CI122" s="470"/>
      <c r="CJ122" s="470"/>
      <c r="CK122" s="470"/>
      <c r="CL122" s="470"/>
      <c r="CM122" s="470"/>
      <c r="CN122" s="470"/>
      <c r="CO122" s="470"/>
      <c r="CP122" s="470"/>
      <c r="CQ122" s="470"/>
      <c r="CR122" s="470"/>
      <c r="CS122" s="470"/>
      <c r="CT122" s="470"/>
      <c r="CU122" s="470"/>
      <c r="CV122" s="470"/>
      <c r="CW122" s="470"/>
      <c r="CX122" s="470"/>
      <c r="CY122" s="470"/>
      <c r="CZ122" s="470"/>
      <c r="DA122" s="470"/>
      <c r="DB122" s="470"/>
      <c r="DC122" s="470"/>
      <c r="DD122" s="470"/>
      <c r="DE122" s="470"/>
      <c r="DF122" s="470"/>
      <c r="DG122" s="470"/>
      <c r="DH122" s="470"/>
      <c r="DI122" s="470"/>
      <c r="DJ122" s="470"/>
      <c r="DK122" s="470"/>
      <c r="DL122" s="470"/>
      <c r="DM122" s="470"/>
      <c r="DN122" s="470"/>
      <c r="DO122" s="470"/>
      <c r="DP122" s="470"/>
      <c r="DQ122" s="470"/>
      <c r="DR122" s="470"/>
      <c r="DS122" s="470"/>
      <c r="DT122" s="470"/>
      <c r="DU122" s="470"/>
      <c r="DV122" s="470"/>
      <c r="DW122" s="470"/>
      <c r="DX122" s="470"/>
      <c r="DY122" s="470"/>
      <c r="DZ122" s="470"/>
      <c r="EA122" s="470"/>
      <c r="EB122" s="470"/>
      <c r="EC122" s="470"/>
      <c r="ED122" s="470"/>
      <c r="EE122" s="470"/>
      <c r="EF122" s="470"/>
      <c r="EG122" s="470"/>
      <c r="EH122" s="470"/>
      <c r="EI122" s="470"/>
      <c r="EJ122" s="470"/>
      <c r="EK122" s="470"/>
      <c r="EL122" s="470"/>
      <c r="EM122" s="470"/>
      <c r="EN122" s="470"/>
      <c r="EO122" s="470"/>
      <c r="EP122" s="470"/>
      <c r="EQ122" s="470"/>
      <c r="ER122" s="470"/>
      <c r="ES122" s="470"/>
      <c r="ET122" s="470"/>
      <c r="EU122" s="470"/>
      <c r="EV122" s="470"/>
      <c r="EW122" s="470"/>
      <c r="EX122" s="470"/>
      <c r="EY122" s="470"/>
      <c r="EZ122" s="470"/>
      <c r="FA122" s="470"/>
      <c r="FB122" s="470"/>
      <c r="FC122" s="470"/>
      <c r="FD122" s="470"/>
      <c r="FE122" s="470"/>
      <c r="FF122" s="470"/>
      <c r="FG122" s="470"/>
      <c r="FH122" s="470"/>
      <c r="FI122" s="470"/>
      <c r="FJ122" s="470"/>
      <c r="FK122" s="470"/>
      <c r="FL122" s="470"/>
      <c r="FM122" s="470"/>
      <c r="FN122" s="470"/>
      <c r="FO122" s="470"/>
      <c r="FP122" s="470"/>
      <c r="FQ122" s="470"/>
      <c r="FR122" s="470"/>
      <c r="FS122" s="470"/>
      <c r="FT122" s="470"/>
      <c r="FU122" s="470"/>
      <c r="FV122" s="470"/>
      <c r="FW122" s="470"/>
      <c r="FX122" s="470"/>
      <c r="FY122" s="470"/>
      <c r="FZ122" s="470"/>
      <c r="GA122" s="470"/>
      <c r="GB122" s="470"/>
      <c r="GC122" s="470"/>
      <c r="GD122" s="470"/>
      <c r="GE122" s="470"/>
      <c r="GF122" s="470"/>
      <c r="GG122" s="470"/>
      <c r="GH122" s="470"/>
      <c r="GI122" s="470"/>
      <c r="GJ122" s="470"/>
      <c r="GK122" s="470"/>
      <c r="GL122" s="470"/>
      <c r="GM122" s="470"/>
      <c r="GN122" s="470"/>
      <c r="GO122" s="470"/>
      <c r="GP122" s="470"/>
      <c r="GQ122" s="470"/>
      <c r="GR122" s="470"/>
      <c r="GS122" s="470"/>
      <c r="GT122" s="470"/>
      <c r="GU122" s="470"/>
      <c r="GV122" s="470"/>
      <c r="GW122" s="470"/>
      <c r="GX122" s="470"/>
      <c r="GY122" s="470"/>
      <c r="GZ122" s="470"/>
      <c r="HA122" s="470"/>
      <c r="HB122" s="470"/>
      <c r="HC122" s="470"/>
      <c r="HD122" s="470"/>
      <c r="HE122" s="470"/>
      <c r="HF122" s="470"/>
      <c r="HG122" s="470"/>
      <c r="HH122" s="470"/>
      <c r="HI122" s="470"/>
      <c r="HJ122" s="470"/>
      <c r="HK122" s="470"/>
      <c r="HL122" s="470"/>
      <c r="HM122" s="470"/>
      <c r="HN122" s="470"/>
      <c r="HO122" s="470"/>
      <c r="HP122" s="470"/>
      <c r="HQ122" s="470"/>
      <c r="HR122" s="470"/>
      <c r="HS122" s="470"/>
      <c r="HT122" s="470"/>
      <c r="HU122" s="470"/>
      <c r="HV122" s="470"/>
      <c r="HW122" s="470"/>
      <c r="HX122" s="470"/>
      <c r="HY122" s="470"/>
      <c r="HZ122" s="470"/>
      <c r="IA122" s="470"/>
      <c r="IB122" s="470"/>
      <c r="IC122" s="470"/>
      <c r="ID122" s="470"/>
      <c r="IE122" s="470"/>
      <c r="IF122" s="470"/>
      <c r="IG122" s="470"/>
      <c r="IH122" s="470"/>
      <c r="II122" s="470"/>
      <c r="IJ122" s="470"/>
      <c r="IK122" s="470"/>
      <c r="IL122" s="470"/>
      <c r="IM122" s="470"/>
      <c r="IN122" s="470"/>
      <c r="IO122" s="470"/>
      <c r="IP122" s="470"/>
      <c r="IQ122" s="470"/>
    </row>
    <row r="123" spans="1:251" x14ac:dyDescent="0.2">
      <c r="A123" s="453" t="s">
        <v>9956</v>
      </c>
      <c r="B123" s="453" t="s">
        <v>9957</v>
      </c>
      <c r="C123" s="473" t="s">
        <v>386</v>
      </c>
      <c r="D123" s="455" t="s">
        <v>9709</v>
      </c>
      <c r="E123" s="456" t="s">
        <v>9710</v>
      </c>
      <c r="F123" s="456" t="s">
        <v>9953</v>
      </c>
      <c r="G123" s="456" t="s">
        <v>7180</v>
      </c>
      <c r="H123" s="457">
        <v>474.12</v>
      </c>
      <c r="I123" s="457">
        <f t="shared" si="7"/>
        <v>509.67899999999997</v>
      </c>
      <c r="J123" s="457" t="s">
        <v>9706</v>
      </c>
      <c r="K123" s="458">
        <v>0.3</v>
      </c>
      <c r="L123" s="459">
        <f t="shared" si="4"/>
        <v>331.88399999999996</v>
      </c>
      <c r="M123" s="460">
        <v>0.18</v>
      </c>
      <c r="N123" s="461">
        <f t="shared" si="5"/>
        <v>417.93678</v>
      </c>
      <c r="O123" s="462">
        <v>0.1</v>
      </c>
      <c r="P123" s="463">
        <f t="shared" si="6"/>
        <v>458.71109999999999</v>
      </c>
      <c r="Q123" s="464"/>
      <c r="R123" s="465">
        <v>1</v>
      </c>
      <c r="S123" s="465">
        <v>1</v>
      </c>
      <c r="T123" s="465">
        <v>1</v>
      </c>
      <c r="U123" s="466"/>
      <c r="V123" s="470"/>
      <c r="W123" s="470"/>
      <c r="X123" s="470"/>
      <c r="Y123" s="470"/>
      <c r="Z123" s="470"/>
      <c r="AA123" s="470"/>
      <c r="AB123" s="470"/>
      <c r="AC123" s="470"/>
      <c r="AD123" s="470"/>
      <c r="AE123" s="470"/>
      <c r="AF123" s="470"/>
      <c r="AG123" s="470"/>
      <c r="AH123" s="470"/>
      <c r="AI123" s="470"/>
      <c r="AJ123" s="470"/>
      <c r="AK123" s="470"/>
      <c r="AL123" s="470"/>
      <c r="AM123" s="470"/>
      <c r="AN123" s="470"/>
      <c r="AO123" s="470"/>
      <c r="AP123" s="470"/>
      <c r="AQ123" s="470"/>
      <c r="AR123" s="470"/>
      <c r="AS123" s="470"/>
      <c r="AT123" s="470"/>
      <c r="AU123" s="470"/>
      <c r="AV123" s="470"/>
      <c r="AW123" s="470"/>
      <c r="AX123" s="470"/>
      <c r="AY123" s="470"/>
      <c r="AZ123" s="470"/>
      <c r="BA123" s="470"/>
      <c r="BB123" s="470"/>
      <c r="BC123" s="470"/>
      <c r="BD123" s="470"/>
      <c r="BE123" s="470"/>
      <c r="BF123" s="470"/>
      <c r="BG123" s="470"/>
      <c r="BH123" s="470"/>
      <c r="BI123" s="470"/>
      <c r="BJ123" s="470"/>
      <c r="BK123" s="470"/>
      <c r="BL123" s="470"/>
      <c r="BM123" s="470"/>
      <c r="BN123" s="470"/>
      <c r="BO123" s="470"/>
      <c r="BP123" s="470"/>
      <c r="BQ123" s="470"/>
      <c r="BR123" s="470"/>
      <c r="BS123" s="470"/>
      <c r="BT123" s="470"/>
      <c r="BU123" s="470"/>
      <c r="BV123" s="470"/>
      <c r="BW123" s="470"/>
      <c r="BX123" s="470"/>
      <c r="BY123" s="470"/>
      <c r="BZ123" s="470"/>
      <c r="CA123" s="470"/>
      <c r="CB123" s="470"/>
      <c r="CC123" s="470"/>
      <c r="CD123" s="470"/>
      <c r="CE123" s="470"/>
      <c r="CF123" s="470"/>
      <c r="CG123" s="470"/>
      <c r="CH123" s="470"/>
      <c r="CI123" s="470"/>
      <c r="CJ123" s="470"/>
      <c r="CK123" s="470"/>
      <c r="CL123" s="470"/>
      <c r="CM123" s="470"/>
      <c r="CN123" s="470"/>
      <c r="CO123" s="470"/>
      <c r="CP123" s="470"/>
      <c r="CQ123" s="470"/>
      <c r="CR123" s="470"/>
      <c r="CS123" s="470"/>
      <c r="CT123" s="470"/>
      <c r="CU123" s="470"/>
      <c r="CV123" s="470"/>
      <c r="CW123" s="470"/>
      <c r="CX123" s="470"/>
      <c r="CY123" s="470"/>
      <c r="CZ123" s="470"/>
      <c r="DA123" s="470"/>
      <c r="DB123" s="470"/>
      <c r="DC123" s="470"/>
      <c r="DD123" s="470"/>
      <c r="DE123" s="470"/>
      <c r="DF123" s="470"/>
      <c r="DG123" s="470"/>
      <c r="DH123" s="470"/>
      <c r="DI123" s="470"/>
      <c r="DJ123" s="470"/>
      <c r="DK123" s="470"/>
      <c r="DL123" s="470"/>
      <c r="DM123" s="470"/>
      <c r="DN123" s="470"/>
      <c r="DO123" s="470"/>
      <c r="DP123" s="470"/>
      <c r="DQ123" s="470"/>
      <c r="DR123" s="470"/>
      <c r="DS123" s="470"/>
      <c r="DT123" s="470"/>
      <c r="DU123" s="470"/>
      <c r="DV123" s="470"/>
      <c r="DW123" s="470"/>
      <c r="DX123" s="470"/>
      <c r="DY123" s="470"/>
      <c r="DZ123" s="470"/>
      <c r="EA123" s="470"/>
      <c r="EB123" s="470"/>
      <c r="EC123" s="470"/>
      <c r="ED123" s="470"/>
      <c r="EE123" s="470"/>
      <c r="EF123" s="470"/>
      <c r="EG123" s="470"/>
      <c r="EH123" s="470"/>
      <c r="EI123" s="470"/>
      <c r="EJ123" s="470"/>
      <c r="EK123" s="470"/>
      <c r="EL123" s="470"/>
      <c r="EM123" s="470"/>
      <c r="EN123" s="470"/>
      <c r="EO123" s="470"/>
      <c r="EP123" s="470"/>
      <c r="EQ123" s="470"/>
      <c r="ER123" s="470"/>
      <c r="ES123" s="470"/>
      <c r="ET123" s="470"/>
      <c r="EU123" s="470"/>
      <c r="EV123" s="470"/>
      <c r="EW123" s="470"/>
      <c r="EX123" s="470"/>
      <c r="EY123" s="470"/>
      <c r="EZ123" s="470"/>
      <c r="FA123" s="470"/>
      <c r="FB123" s="470"/>
      <c r="FC123" s="470"/>
      <c r="FD123" s="470"/>
      <c r="FE123" s="470"/>
      <c r="FF123" s="470"/>
      <c r="FG123" s="470"/>
      <c r="FH123" s="470"/>
      <c r="FI123" s="470"/>
      <c r="FJ123" s="470"/>
      <c r="FK123" s="470"/>
      <c r="FL123" s="470"/>
      <c r="FM123" s="470"/>
      <c r="FN123" s="470"/>
      <c r="FO123" s="470"/>
      <c r="FP123" s="470"/>
      <c r="FQ123" s="470"/>
      <c r="FR123" s="470"/>
      <c r="FS123" s="470"/>
      <c r="FT123" s="470"/>
      <c r="FU123" s="470"/>
      <c r="FV123" s="470"/>
      <c r="FW123" s="470"/>
      <c r="FX123" s="470"/>
      <c r="FY123" s="470"/>
      <c r="FZ123" s="470"/>
      <c r="GA123" s="470"/>
      <c r="GB123" s="470"/>
      <c r="GC123" s="470"/>
      <c r="GD123" s="470"/>
      <c r="GE123" s="470"/>
      <c r="GF123" s="470"/>
      <c r="GG123" s="470"/>
      <c r="GH123" s="470"/>
      <c r="GI123" s="470"/>
      <c r="GJ123" s="470"/>
      <c r="GK123" s="470"/>
      <c r="GL123" s="470"/>
      <c r="GM123" s="470"/>
      <c r="GN123" s="470"/>
      <c r="GO123" s="470"/>
      <c r="GP123" s="470"/>
      <c r="GQ123" s="470"/>
      <c r="GR123" s="470"/>
      <c r="GS123" s="470"/>
      <c r="GT123" s="470"/>
      <c r="GU123" s="470"/>
      <c r="GV123" s="470"/>
      <c r="GW123" s="470"/>
      <c r="GX123" s="470"/>
      <c r="GY123" s="470"/>
      <c r="GZ123" s="470"/>
      <c r="HA123" s="470"/>
      <c r="HB123" s="470"/>
      <c r="HC123" s="470"/>
      <c r="HD123" s="470"/>
      <c r="HE123" s="470"/>
      <c r="HF123" s="470"/>
      <c r="HG123" s="470"/>
      <c r="HH123" s="470"/>
      <c r="HI123" s="470"/>
      <c r="HJ123" s="470"/>
      <c r="HK123" s="470"/>
      <c r="HL123" s="470"/>
      <c r="HM123" s="470"/>
      <c r="HN123" s="470"/>
      <c r="HO123" s="470"/>
      <c r="HP123" s="470"/>
      <c r="HQ123" s="470"/>
      <c r="HR123" s="470"/>
      <c r="HS123" s="470"/>
      <c r="HT123" s="470"/>
      <c r="HU123" s="470"/>
      <c r="HV123" s="470"/>
      <c r="HW123" s="470"/>
      <c r="HX123" s="470"/>
      <c r="HY123" s="470"/>
      <c r="HZ123" s="470"/>
      <c r="IA123" s="470"/>
      <c r="IB123" s="470"/>
      <c r="IC123" s="470"/>
      <c r="ID123" s="470"/>
      <c r="IE123" s="470"/>
      <c r="IF123" s="470"/>
      <c r="IG123" s="470"/>
      <c r="IH123" s="470"/>
      <c r="II123" s="470"/>
      <c r="IJ123" s="470"/>
      <c r="IK123" s="470"/>
      <c r="IL123" s="470"/>
      <c r="IM123" s="470"/>
      <c r="IN123" s="470"/>
      <c r="IO123" s="470"/>
      <c r="IP123" s="470"/>
      <c r="IQ123" s="470"/>
    </row>
    <row r="124" spans="1:251" x14ac:dyDescent="0.2">
      <c r="A124" s="453" t="s">
        <v>9958</v>
      </c>
      <c r="B124" s="453" t="s">
        <v>9959</v>
      </c>
      <c r="C124" s="473" t="s">
        <v>386</v>
      </c>
      <c r="D124" s="455" t="s">
        <v>9709</v>
      </c>
      <c r="E124" s="456" t="s">
        <v>9758</v>
      </c>
      <c r="F124" s="456" t="s">
        <v>9953</v>
      </c>
      <c r="G124" s="456" t="s">
        <v>7180</v>
      </c>
      <c r="H124" s="457">
        <v>474.12</v>
      </c>
      <c r="I124" s="457">
        <f t="shared" si="7"/>
        <v>509.67899999999997</v>
      </c>
      <c r="J124" s="457" t="s">
        <v>9706</v>
      </c>
      <c r="K124" s="458">
        <v>0.3</v>
      </c>
      <c r="L124" s="459">
        <f t="shared" si="4"/>
        <v>331.88399999999996</v>
      </c>
      <c r="M124" s="460">
        <v>0.18</v>
      </c>
      <c r="N124" s="461">
        <f t="shared" si="5"/>
        <v>417.93678</v>
      </c>
      <c r="O124" s="462">
        <v>0.1</v>
      </c>
      <c r="P124" s="463">
        <f t="shared" si="6"/>
        <v>458.71109999999999</v>
      </c>
      <c r="Q124" s="464"/>
      <c r="R124" s="465">
        <v>1</v>
      </c>
      <c r="S124" s="465">
        <v>1</v>
      </c>
      <c r="T124" s="465">
        <v>1</v>
      </c>
      <c r="U124" s="466"/>
      <c r="V124" s="470"/>
      <c r="W124" s="470"/>
      <c r="X124" s="470"/>
      <c r="Y124" s="470"/>
      <c r="Z124" s="470"/>
      <c r="AA124" s="470"/>
      <c r="AB124" s="470"/>
      <c r="AC124" s="470"/>
      <c r="AD124" s="470"/>
      <c r="AE124" s="470"/>
      <c r="AF124" s="470"/>
      <c r="AG124" s="470"/>
      <c r="AH124" s="470"/>
      <c r="AI124" s="470"/>
      <c r="AJ124" s="470"/>
      <c r="AK124" s="470"/>
      <c r="AL124" s="470"/>
      <c r="AM124" s="470"/>
      <c r="AN124" s="470"/>
      <c r="AO124" s="470"/>
      <c r="AP124" s="470"/>
      <c r="AQ124" s="470"/>
      <c r="AR124" s="470"/>
      <c r="AS124" s="470"/>
      <c r="AT124" s="470"/>
      <c r="AU124" s="470"/>
      <c r="AV124" s="470"/>
      <c r="AW124" s="470"/>
      <c r="AX124" s="470"/>
      <c r="AY124" s="470"/>
      <c r="AZ124" s="470"/>
      <c r="BA124" s="470"/>
      <c r="BB124" s="470"/>
      <c r="BC124" s="470"/>
      <c r="BD124" s="470"/>
      <c r="BE124" s="470"/>
      <c r="BF124" s="470"/>
      <c r="BG124" s="470"/>
      <c r="BH124" s="470"/>
      <c r="BI124" s="470"/>
      <c r="BJ124" s="470"/>
      <c r="BK124" s="470"/>
      <c r="BL124" s="470"/>
      <c r="BM124" s="470"/>
      <c r="BN124" s="470"/>
      <c r="BO124" s="470"/>
      <c r="BP124" s="470"/>
      <c r="BQ124" s="470"/>
      <c r="BR124" s="470"/>
      <c r="BS124" s="470"/>
      <c r="BT124" s="470"/>
      <c r="BU124" s="470"/>
      <c r="BV124" s="470"/>
      <c r="BW124" s="470"/>
      <c r="BX124" s="470"/>
      <c r="BY124" s="470"/>
      <c r="BZ124" s="470"/>
      <c r="CA124" s="470"/>
      <c r="CB124" s="470"/>
      <c r="CC124" s="470"/>
      <c r="CD124" s="470"/>
      <c r="CE124" s="470"/>
      <c r="CF124" s="470"/>
      <c r="CG124" s="470"/>
      <c r="CH124" s="470"/>
      <c r="CI124" s="470"/>
      <c r="CJ124" s="470"/>
      <c r="CK124" s="470"/>
      <c r="CL124" s="470"/>
      <c r="CM124" s="470"/>
      <c r="CN124" s="470"/>
      <c r="CO124" s="470"/>
      <c r="CP124" s="470"/>
      <c r="CQ124" s="470"/>
      <c r="CR124" s="470"/>
      <c r="CS124" s="470"/>
      <c r="CT124" s="470"/>
      <c r="CU124" s="470"/>
      <c r="CV124" s="470"/>
      <c r="CW124" s="470"/>
      <c r="CX124" s="470"/>
      <c r="CY124" s="470"/>
      <c r="CZ124" s="470"/>
      <c r="DA124" s="470"/>
      <c r="DB124" s="470"/>
      <c r="DC124" s="470"/>
      <c r="DD124" s="470"/>
      <c r="DE124" s="470"/>
      <c r="DF124" s="470"/>
      <c r="DG124" s="470"/>
      <c r="DH124" s="470"/>
      <c r="DI124" s="470"/>
      <c r="DJ124" s="470"/>
      <c r="DK124" s="470"/>
      <c r="DL124" s="470"/>
      <c r="DM124" s="470"/>
      <c r="DN124" s="470"/>
      <c r="DO124" s="470"/>
      <c r="DP124" s="470"/>
      <c r="DQ124" s="470"/>
      <c r="DR124" s="470"/>
      <c r="DS124" s="470"/>
      <c r="DT124" s="470"/>
      <c r="DU124" s="470"/>
      <c r="DV124" s="470"/>
      <c r="DW124" s="470"/>
      <c r="DX124" s="470"/>
      <c r="DY124" s="470"/>
      <c r="DZ124" s="470"/>
      <c r="EA124" s="470"/>
      <c r="EB124" s="470"/>
      <c r="EC124" s="470"/>
      <c r="ED124" s="470"/>
      <c r="EE124" s="470"/>
      <c r="EF124" s="470"/>
      <c r="EG124" s="470"/>
      <c r="EH124" s="470"/>
      <c r="EI124" s="470"/>
      <c r="EJ124" s="470"/>
      <c r="EK124" s="470"/>
      <c r="EL124" s="470"/>
      <c r="EM124" s="470"/>
      <c r="EN124" s="470"/>
      <c r="EO124" s="470"/>
      <c r="EP124" s="470"/>
      <c r="EQ124" s="470"/>
      <c r="ER124" s="470"/>
      <c r="ES124" s="470"/>
      <c r="ET124" s="470"/>
      <c r="EU124" s="470"/>
      <c r="EV124" s="470"/>
      <c r="EW124" s="470"/>
      <c r="EX124" s="470"/>
      <c r="EY124" s="470"/>
      <c r="EZ124" s="470"/>
      <c r="FA124" s="470"/>
      <c r="FB124" s="470"/>
      <c r="FC124" s="470"/>
      <c r="FD124" s="470"/>
      <c r="FE124" s="470"/>
      <c r="FF124" s="470"/>
      <c r="FG124" s="470"/>
      <c r="FH124" s="470"/>
      <c r="FI124" s="470"/>
      <c r="FJ124" s="470"/>
      <c r="FK124" s="470"/>
      <c r="FL124" s="470"/>
      <c r="FM124" s="470"/>
      <c r="FN124" s="470"/>
      <c r="FO124" s="470"/>
      <c r="FP124" s="470"/>
      <c r="FQ124" s="470"/>
      <c r="FR124" s="470"/>
      <c r="FS124" s="470"/>
      <c r="FT124" s="470"/>
      <c r="FU124" s="470"/>
      <c r="FV124" s="470"/>
      <c r="FW124" s="470"/>
      <c r="FX124" s="470"/>
      <c r="FY124" s="470"/>
      <c r="FZ124" s="470"/>
      <c r="GA124" s="470"/>
      <c r="GB124" s="470"/>
      <c r="GC124" s="470"/>
      <c r="GD124" s="470"/>
      <c r="GE124" s="470"/>
      <c r="GF124" s="470"/>
      <c r="GG124" s="470"/>
      <c r="GH124" s="470"/>
      <c r="GI124" s="470"/>
      <c r="GJ124" s="470"/>
      <c r="GK124" s="470"/>
      <c r="GL124" s="470"/>
      <c r="GM124" s="470"/>
      <c r="GN124" s="470"/>
      <c r="GO124" s="470"/>
      <c r="GP124" s="470"/>
      <c r="GQ124" s="470"/>
      <c r="GR124" s="470"/>
      <c r="GS124" s="470"/>
      <c r="GT124" s="470"/>
      <c r="GU124" s="470"/>
      <c r="GV124" s="470"/>
      <c r="GW124" s="470"/>
      <c r="GX124" s="470"/>
      <c r="GY124" s="470"/>
      <c r="GZ124" s="470"/>
      <c r="HA124" s="470"/>
      <c r="HB124" s="470"/>
      <c r="HC124" s="470"/>
      <c r="HD124" s="470"/>
      <c r="HE124" s="470"/>
      <c r="HF124" s="470"/>
      <c r="HG124" s="470"/>
      <c r="HH124" s="470"/>
      <c r="HI124" s="470"/>
      <c r="HJ124" s="470"/>
      <c r="HK124" s="470"/>
      <c r="HL124" s="470"/>
      <c r="HM124" s="470"/>
      <c r="HN124" s="470"/>
      <c r="HO124" s="470"/>
      <c r="HP124" s="470"/>
      <c r="HQ124" s="470"/>
      <c r="HR124" s="470"/>
      <c r="HS124" s="470"/>
      <c r="HT124" s="470"/>
      <c r="HU124" s="470"/>
      <c r="HV124" s="470"/>
      <c r="HW124" s="470"/>
      <c r="HX124" s="470"/>
      <c r="HY124" s="470"/>
      <c r="HZ124" s="470"/>
      <c r="IA124" s="470"/>
      <c r="IB124" s="470"/>
      <c r="IC124" s="470"/>
      <c r="ID124" s="470"/>
      <c r="IE124" s="470"/>
      <c r="IF124" s="470"/>
      <c r="IG124" s="470"/>
      <c r="IH124" s="470"/>
      <c r="II124" s="470"/>
      <c r="IJ124" s="470"/>
      <c r="IK124" s="470"/>
      <c r="IL124" s="470"/>
      <c r="IM124" s="470"/>
      <c r="IN124" s="470"/>
      <c r="IO124" s="470"/>
      <c r="IP124" s="470"/>
      <c r="IQ124" s="470"/>
    </row>
    <row r="125" spans="1:251" x14ac:dyDescent="0.2">
      <c r="A125" s="453" t="s">
        <v>9960</v>
      </c>
      <c r="B125" s="453" t="s">
        <v>9961</v>
      </c>
      <c r="C125" s="473" t="s">
        <v>386</v>
      </c>
      <c r="D125" s="455" t="s">
        <v>9709</v>
      </c>
      <c r="E125" s="456" t="s">
        <v>9710</v>
      </c>
      <c r="F125" s="456" t="s">
        <v>9953</v>
      </c>
      <c r="G125" s="456" t="s">
        <v>7180</v>
      </c>
      <c r="H125" s="457">
        <v>474.12</v>
      </c>
      <c r="I125" s="457">
        <f t="shared" si="7"/>
        <v>509.67899999999997</v>
      </c>
      <c r="J125" s="457" t="s">
        <v>9706</v>
      </c>
      <c r="K125" s="458">
        <v>0.3</v>
      </c>
      <c r="L125" s="459">
        <f t="shared" si="4"/>
        <v>331.88399999999996</v>
      </c>
      <c r="M125" s="460">
        <v>0.18</v>
      </c>
      <c r="N125" s="461">
        <f t="shared" si="5"/>
        <v>417.93678</v>
      </c>
      <c r="O125" s="462">
        <v>0.1</v>
      </c>
      <c r="P125" s="463">
        <f t="shared" si="6"/>
        <v>458.71109999999999</v>
      </c>
      <c r="Q125" s="464"/>
      <c r="R125" s="465">
        <v>1</v>
      </c>
      <c r="S125" s="465">
        <v>1</v>
      </c>
      <c r="T125" s="465">
        <v>1</v>
      </c>
      <c r="U125" s="466"/>
      <c r="V125" s="470"/>
      <c r="W125" s="470"/>
      <c r="X125" s="470"/>
      <c r="Y125" s="470"/>
      <c r="Z125" s="470"/>
      <c r="AA125" s="470"/>
      <c r="AB125" s="470"/>
      <c r="AC125" s="470"/>
      <c r="AD125" s="470"/>
      <c r="AE125" s="470"/>
      <c r="AF125" s="470"/>
      <c r="AG125" s="470"/>
      <c r="AH125" s="470"/>
      <c r="AI125" s="470"/>
      <c r="AJ125" s="470"/>
      <c r="AK125" s="470"/>
      <c r="AL125" s="470"/>
      <c r="AM125" s="470"/>
      <c r="AN125" s="470"/>
      <c r="AO125" s="470"/>
      <c r="AP125" s="470"/>
      <c r="AQ125" s="470"/>
      <c r="AR125" s="470"/>
      <c r="AS125" s="470"/>
      <c r="AT125" s="470"/>
      <c r="AU125" s="470"/>
      <c r="AV125" s="470"/>
      <c r="AW125" s="470"/>
      <c r="AX125" s="470"/>
      <c r="AY125" s="470"/>
      <c r="AZ125" s="470"/>
      <c r="BA125" s="470"/>
      <c r="BB125" s="470"/>
      <c r="BC125" s="470"/>
      <c r="BD125" s="470"/>
      <c r="BE125" s="470"/>
      <c r="BF125" s="470"/>
      <c r="BG125" s="470"/>
      <c r="BH125" s="470"/>
      <c r="BI125" s="470"/>
      <c r="BJ125" s="470"/>
      <c r="BK125" s="470"/>
      <c r="BL125" s="470"/>
      <c r="BM125" s="470"/>
      <c r="BN125" s="470"/>
      <c r="BO125" s="470"/>
      <c r="BP125" s="470"/>
      <c r="BQ125" s="470"/>
      <c r="BR125" s="470"/>
      <c r="BS125" s="470"/>
      <c r="BT125" s="470"/>
      <c r="BU125" s="470"/>
      <c r="BV125" s="470"/>
      <c r="BW125" s="470"/>
      <c r="BX125" s="470"/>
      <c r="BY125" s="470"/>
      <c r="BZ125" s="470"/>
      <c r="CA125" s="470"/>
      <c r="CB125" s="470"/>
      <c r="CC125" s="470"/>
      <c r="CD125" s="470"/>
      <c r="CE125" s="470"/>
      <c r="CF125" s="470"/>
      <c r="CG125" s="470"/>
      <c r="CH125" s="470"/>
      <c r="CI125" s="470"/>
      <c r="CJ125" s="470"/>
      <c r="CK125" s="470"/>
      <c r="CL125" s="470"/>
      <c r="CM125" s="470"/>
      <c r="CN125" s="470"/>
      <c r="CO125" s="470"/>
      <c r="CP125" s="470"/>
      <c r="CQ125" s="470"/>
      <c r="CR125" s="470"/>
      <c r="CS125" s="470"/>
      <c r="CT125" s="470"/>
      <c r="CU125" s="470"/>
      <c r="CV125" s="470"/>
      <c r="CW125" s="470"/>
      <c r="CX125" s="470"/>
      <c r="CY125" s="470"/>
      <c r="CZ125" s="470"/>
      <c r="DA125" s="470"/>
      <c r="DB125" s="470"/>
      <c r="DC125" s="470"/>
      <c r="DD125" s="470"/>
      <c r="DE125" s="470"/>
      <c r="DF125" s="470"/>
      <c r="DG125" s="470"/>
      <c r="DH125" s="470"/>
      <c r="DI125" s="470"/>
      <c r="DJ125" s="470"/>
      <c r="DK125" s="470"/>
      <c r="DL125" s="470"/>
      <c r="DM125" s="470"/>
      <c r="DN125" s="470"/>
      <c r="DO125" s="470"/>
      <c r="DP125" s="470"/>
      <c r="DQ125" s="470"/>
      <c r="DR125" s="470"/>
      <c r="DS125" s="470"/>
      <c r="DT125" s="470"/>
      <c r="DU125" s="470"/>
      <c r="DV125" s="470"/>
      <c r="DW125" s="470"/>
      <c r="DX125" s="470"/>
      <c r="DY125" s="470"/>
      <c r="DZ125" s="470"/>
      <c r="EA125" s="470"/>
      <c r="EB125" s="470"/>
      <c r="EC125" s="470"/>
      <c r="ED125" s="470"/>
      <c r="EE125" s="470"/>
      <c r="EF125" s="470"/>
      <c r="EG125" s="470"/>
      <c r="EH125" s="470"/>
      <c r="EI125" s="470"/>
      <c r="EJ125" s="470"/>
      <c r="EK125" s="470"/>
      <c r="EL125" s="470"/>
      <c r="EM125" s="470"/>
      <c r="EN125" s="470"/>
      <c r="EO125" s="470"/>
      <c r="EP125" s="470"/>
      <c r="EQ125" s="470"/>
      <c r="ER125" s="470"/>
      <c r="ES125" s="470"/>
      <c r="ET125" s="470"/>
      <c r="EU125" s="470"/>
      <c r="EV125" s="470"/>
      <c r="EW125" s="470"/>
      <c r="EX125" s="470"/>
      <c r="EY125" s="470"/>
      <c r="EZ125" s="470"/>
      <c r="FA125" s="470"/>
      <c r="FB125" s="470"/>
      <c r="FC125" s="470"/>
      <c r="FD125" s="470"/>
      <c r="FE125" s="470"/>
      <c r="FF125" s="470"/>
      <c r="FG125" s="470"/>
      <c r="FH125" s="470"/>
      <c r="FI125" s="470"/>
      <c r="FJ125" s="470"/>
      <c r="FK125" s="470"/>
      <c r="FL125" s="470"/>
      <c r="FM125" s="470"/>
      <c r="FN125" s="470"/>
      <c r="FO125" s="470"/>
      <c r="FP125" s="470"/>
      <c r="FQ125" s="470"/>
      <c r="FR125" s="470"/>
      <c r="FS125" s="470"/>
      <c r="FT125" s="470"/>
      <c r="FU125" s="470"/>
      <c r="FV125" s="470"/>
      <c r="FW125" s="470"/>
      <c r="FX125" s="470"/>
      <c r="FY125" s="470"/>
      <c r="FZ125" s="470"/>
      <c r="GA125" s="470"/>
      <c r="GB125" s="470"/>
      <c r="GC125" s="470"/>
      <c r="GD125" s="470"/>
      <c r="GE125" s="470"/>
      <c r="GF125" s="470"/>
      <c r="GG125" s="470"/>
      <c r="GH125" s="470"/>
      <c r="GI125" s="470"/>
      <c r="GJ125" s="470"/>
      <c r="GK125" s="470"/>
      <c r="GL125" s="470"/>
      <c r="GM125" s="470"/>
      <c r="GN125" s="470"/>
      <c r="GO125" s="470"/>
      <c r="GP125" s="470"/>
      <c r="GQ125" s="470"/>
      <c r="GR125" s="470"/>
      <c r="GS125" s="470"/>
      <c r="GT125" s="470"/>
      <c r="GU125" s="470"/>
      <c r="GV125" s="470"/>
      <c r="GW125" s="470"/>
      <c r="GX125" s="470"/>
      <c r="GY125" s="470"/>
      <c r="GZ125" s="470"/>
      <c r="HA125" s="470"/>
      <c r="HB125" s="470"/>
      <c r="HC125" s="470"/>
      <c r="HD125" s="470"/>
      <c r="HE125" s="470"/>
      <c r="HF125" s="470"/>
      <c r="HG125" s="470"/>
      <c r="HH125" s="470"/>
      <c r="HI125" s="470"/>
      <c r="HJ125" s="470"/>
      <c r="HK125" s="470"/>
      <c r="HL125" s="470"/>
      <c r="HM125" s="470"/>
      <c r="HN125" s="470"/>
      <c r="HO125" s="470"/>
      <c r="HP125" s="470"/>
      <c r="HQ125" s="470"/>
      <c r="HR125" s="470"/>
      <c r="HS125" s="470"/>
      <c r="HT125" s="470"/>
      <c r="HU125" s="470"/>
      <c r="HV125" s="470"/>
      <c r="HW125" s="470"/>
      <c r="HX125" s="470"/>
      <c r="HY125" s="470"/>
      <c r="HZ125" s="470"/>
      <c r="IA125" s="470"/>
      <c r="IB125" s="470"/>
      <c r="IC125" s="470"/>
      <c r="ID125" s="470"/>
      <c r="IE125" s="470"/>
      <c r="IF125" s="470"/>
      <c r="IG125" s="470"/>
      <c r="IH125" s="470"/>
      <c r="II125" s="470"/>
      <c r="IJ125" s="470"/>
      <c r="IK125" s="470"/>
      <c r="IL125" s="470"/>
      <c r="IM125" s="470"/>
      <c r="IN125" s="470"/>
      <c r="IO125" s="470"/>
      <c r="IP125" s="470"/>
      <c r="IQ125" s="470"/>
    </row>
    <row r="126" spans="1:251" x14ac:dyDescent="0.2">
      <c r="A126" s="453" t="s">
        <v>9962</v>
      </c>
      <c r="B126" s="453" t="s">
        <v>9963</v>
      </c>
      <c r="C126" s="473" t="s">
        <v>386</v>
      </c>
      <c r="D126" s="455" t="s">
        <v>9709</v>
      </c>
      <c r="E126" s="456" t="s">
        <v>9758</v>
      </c>
      <c r="F126" s="456" t="s">
        <v>9953</v>
      </c>
      <c r="G126" s="456" t="s">
        <v>7180</v>
      </c>
      <c r="H126" s="457">
        <v>474.12</v>
      </c>
      <c r="I126" s="457">
        <f t="shared" si="7"/>
        <v>509.67899999999997</v>
      </c>
      <c r="J126" s="457" t="s">
        <v>9706</v>
      </c>
      <c r="K126" s="458">
        <v>0.3</v>
      </c>
      <c r="L126" s="459">
        <f t="shared" si="4"/>
        <v>331.88399999999996</v>
      </c>
      <c r="M126" s="460">
        <v>0.18</v>
      </c>
      <c r="N126" s="461">
        <f t="shared" si="5"/>
        <v>417.93678</v>
      </c>
      <c r="O126" s="462">
        <v>0.1</v>
      </c>
      <c r="P126" s="463">
        <f t="shared" si="6"/>
        <v>458.71109999999999</v>
      </c>
      <c r="Q126" s="464"/>
      <c r="R126" s="465">
        <v>1</v>
      </c>
      <c r="S126" s="465">
        <v>1</v>
      </c>
      <c r="T126" s="465">
        <v>1</v>
      </c>
      <c r="U126" s="466"/>
      <c r="V126" s="470"/>
      <c r="W126" s="470"/>
      <c r="X126" s="470"/>
      <c r="Y126" s="470"/>
      <c r="Z126" s="470"/>
      <c r="AA126" s="470"/>
      <c r="AB126" s="470"/>
      <c r="AC126" s="470"/>
      <c r="AD126" s="470"/>
      <c r="AE126" s="470"/>
      <c r="AF126" s="470"/>
      <c r="AG126" s="470"/>
      <c r="AH126" s="470"/>
      <c r="AI126" s="470"/>
      <c r="AJ126" s="470"/>
      <c r="AK126" s="470"/>
      <c r="AL126" s="470"/>
      <c r="AM126" s="470"/>
      <c r="AN126" s="470"/>
      <c r="AO126" s="470"/>
      <c r="AP126" s="470"/>
      <c r="AQ126" s="470"/>
      <c r="AR126" s="470"/>
      <c r="AS126" s="470"/>
      <c r="AT126" s="470"/>
      <c r="AU126" s="470"/>
      <c r="AV126" s="470"/>
      <c r="AW126" s="470"/>
      <c r="AX126" s="470"/>
      <c r="AY126" s="470"/>
      <c r="AZ126" s="470"/>
      <c r="BA126" s="470"/>
      <c r="BB126" s="470"/>
      <c r="BC126" s="470"/>
      <c r="BD126" s="470"/>
      <c r="BE126" s="470"/>
      <c r="BF126" s="470"/>
      <c r="BG126" s="470"/>
      <c r="BH126" s="470"/>
      <c r="BI126" s="470"/>
      <c r="BJ126" s="470"/>
      <c r="BK126" s="470"/>
      <c r="BL126" s="470"/>
      <c r="BM126" s="470"/>
      <c r="BN126" s="470"/>
      <c r="BO126" s="470"/>
      <c r="BP126" s="470"/>
      <c r="BQ126" s="470"/>
      <c r="BR126" s="470"/>
      <c r="BS126" s="470"/>
      <c r="BT126" s="470"/>
      <c r="BU126" s="470"/>
      <c r="BV126" s="470"/>
      <c r="BW126" s="470"/>
      <c r="BX126" s="470"/>
      <c r="BY126" s="470"/>
      <c r="BZ126" s="470"/>
      <c r="CA126" s="470"/>
      <c r="CB126" s="470"/>
      <c r="CC126" s="470"/>
      <c r="CD126" s="470"/>
      <c r="CE126" s="470"/>
      <c r="CF126" s="470"/>
      <c r="CG126" s="470"/>
      <c r="CH126" s="470"/>
      <c r="CI126" s="470"/>
      <c r="CJ126" s="470"/>
      <c r="CK126" s="470"/>
      <c r="CL126" s="470"/>
      <c r="CM126" s="470"/>
      <c r="CN126" s="470"/>
      <c r="CO126" s="470"/>
      <c r="CP126" s="470"/>
      <c r="CQ126" s="470"/>
      <c r="CR126" s="470"/>
      <c r="CS126" s="470"/>
      <c r="CT126" s="470"/>
      <c r="CU126" s="470"/>
      <c r="CV126" s="470"/>
      <c r="CW126" s="470"/>
      <c r="CX126" s="470"/>
      <c r="CY126" s="470"/>
      <c r="CZ126" s="470"/>
      <c r="DA126" s="470"/>
      <c r="DB126" s="470"/>
      <c r="DC126" s="470"/>
      <c r="DD126" s="470"/>
      <c r="DE126" s="470"/>
      <c r="DF126" s="470"/>
      <c r="DG126" s="470"/>
      <c r="DH126" s="470"/>
      <c r="DI126" s="470"/>
      <c r="DJ126" s="470"/>
      <c r="DK126" s="470"/>
      <c r="DL126" s="470"/>
      <c r="DM126" s="470"/>
      <c r="DN126" s="470"/>
      <c r="DO126" s="470"/>
      <c r="DP126" s="470"/>
      <c r="DQ126" s="470"/>
      <c r="DR126" s="470"/>
      <c r="DS126" s="470"/>
      <c r="DT126" s="470"/>
      <c r="DU126" s="470"/>
      <c r="DV126" s="470"/>
      <c r="DW126" s="470"/>
      <c r="DX126" s="470"/>
      <c r="DY126" s="470"/>
      <c r="DZ126" s="470"/>
      <c r="EA126" s="470"/>
      <c r="EB126" s="470"/>
      <c r="EC126" s="470"/>
      <c r="ED126" s="470"/>
      <c r="EE126" s="470"/>
      <c r="EF126" s="470"/>
      <c r="EG126" s="470"/>
      <c r="EH126" s="470"/>
      <c r="EI126" s="470"/>
      <c r="EJ126" s="470"/>
      <c r="EK126" s="470"/>
      <c r="EL126" s="470"/>
      <c r="EM126" s="470"/>
      <c r="EN126" s="470"/>
      <c r="EO126" s="470"/>
      <c r="EP126" s="470"/>
      <c r="EQ126" s="470"/>
      <c r="ER126" s="470"/>
      <c r="ES126" s="470"/>
      <c r="ET126" s="470"/>
      <c r="EU126" s="470"/>
      <c r="EV126" s="470"/>
      <c r="EW126" s="470"/>
      <c r="EX126" s="470"/>
      <c r="EY126" s="470"/>
      <c r="EZ126" s="470"/>
      <c r="FA126" s="470"/>
      <c r="FB126" s="470"/>
      <c r="FC126" s="470"/>
      <c r="FD126" s="470"/>
      <c r="FE126" s="470"/>
      <c r="FF126" s="470"/>
      <c r="FG126" s="470"/>
      <c r="FH126" s="470"/>
      <c r="FI126" s="470"/>
      <c r="FJ126" s="470"/>
      <c r="FK126" s="470"/>
      <c r="FL126" s="470"/>
      <c r="FM126" s="470"/>
      <c r="FN126" s="470"/>
      <c r="FO126" s="470"/>
      <c r="FP126" s="470"/>
      <c r="FQ126" s="470"/>
      <c r="FR126" s="470"/>
      <c r="FS126" s="470"/>
      <c r="FT126" s="470"/>
      <c r="FU126" s="470"/>
      <c r="FV126" s="470"/>
      <c r="FW126" s="470"/>
      <c r="FX126" s="470"/>
      <c r="FY126" s="470"/>
      <c r="FZ126" s="470"/>
      <c r="GA126" s="470"/>
      <c r="GB126" s="470"/>
      <c r="GC126" s="470"/>
      <c r="GD126" s="470"/>
      <c r="GE126" s="470"/>
      <c r="GF126" s="470"/>
      <c r="GG126" s="470"/>
      <c r="GH126" s="470"/>
      <c r="GI126" s="470"/>
      <c r="GJ126" s="470"/>
      <c r="GK126" s="470"/>
      <c r="GL126" s="470"/>
      <c r="GM126" s="470"/>
      <c r="GN126" s="470"/>
      <c r="GO126" s="470"/>
      <c r="GP126" s="470"/>
      <c r="GQ126" s="470"/>
      <c r="GR126" s="470"/>
      <c r="GS126" s="470"/>
      <c r="GT126" s="470"/>
      <c r="GU126" s="470"/>
      <c r="GV126" s="470"/>
      <c r="GW126" s="470"/>
      <c r="GX126" s="470"/>
      <c r="GY126" s="470"/>
      <c r="GZ126" s="470"/>
      <c r="HA126" s="470"/>
      <c r="HB126" s="470"/>
      <c r="HC126" s="470"/>
      <c r="HD126" s="470"/>
      <c r="HE126" s="470"/>
      <c r="HF126" s="470"/>
      <c r="HG126" s="470"/>
      <c r="HH126" s="470"/>
      <c r="HI126" s="470"/>
      <c r="HJ126" s="470"/>
      <c r="HK126" s="470"/>
      <c r="HL126" s="470"/>
      <c r="HM126" s="470"/>
      <c r="HN126" s="470"/>
      <c r="HO126" s="470"/>
      <c r="HP126" s="470"/>
      <c r="HQ126" s="470"/>
      <c r="HR126" s="470"/>
      <c r="HS126" s="470"/>
      <c r="HT126" s="470"/>
      <c r="HU126" s="470"/>
      <c r="HV126" s="470"/>
      <c r="HW126" s="470"/>
      <c r="HX126" s="470"/>
      <c r="HY126" s="470"/>
      <c r="HZ126" s="470"/>
      <c r="IA126" s="470"/>
      <c r="IB126" s="470"/>
      <c r="IC126" s="470"/>
      <c r="ID126" s="470"/>
      <c r="IE126" s="470"/>
      <c r="IF126" s="470"/>
      <c r="IG126" s="470"/>
      <c r="IH126" s="470"/>
      <c r="II126" s="470"/>
      <c r="IJ126" s="470"/>
      <c r="IK126" s="470"/>
      <c r="IL126" s="470"/>
      <c r="IM126" s="470"/>
      <c r="IN126" s="470"/>
      <c r="IO126" s="470"/>
      <c r="IP126" s="470"/>
      <c r="IQ126" s="470"/>
    </row>
    <row r="127" spans="1:251" x14ac:dyDescent="0.2">
      <c r="A127" s="453" t="s">
        <v>9964</v>
      </c>
      <c r="B127" s="453" t="s">
        <v>9965</v>
      </c>
      <c r="C127" s="473" t="s">
        <v>386</v>
      </c>
      <c r="D127" s="455" t="s">
        <v>9709</v>
      </c>
      <c r="E127" s="456" t="s">
        <v>9710</v>
      </c>
      <c r="F127" s="456" t="s">
        <v>9953</v>
      </c>
      <c r="G127" s="456" t="s">
        <v>7180</v>
      </c>
      <c r="H127" s="457">
        <v>474.12</v>
      </c>
      <c r="I127" s="457">
        <f t="shared" si="7"/>
        <v>509.67899999999997</v>
      </c>
      <c r="J127" s="457" t="s">
        <v>9706</v>
      </c>
      <c r="K127" s="458">
        <v>0.3</v>
      </c>
      <c r="L127" s="459">
        <f t="shared" si="4"/>
        <v>331.88399999999996</v>
      </c>
      <c r="M127" s="460">
        <v>0.18</v>
      </c>
      <c r="N127" s="461">
        <f t="shared" si="5"/>
        <v>417.93678</v>
      </c>
      <c r="O127" s="462">
        <v>0.1</v>
      </c>
      <c r="P127" s="463">
        <f t="shared" si="6"/>
        <v>458.71109999999999</v>
      </c>
      <c r="Q127" s="464"/>
      <c r="R127" s="465">
        <v>1</v>
      </c>
      <c r="S127" s="465">
        <v>1</v>
      </c>
      <c r="T127" s="465">
        <v>1</v>
      </c>
      <c r="U127" s="466"/>
      <c r="V127" s="470"/>
      <c r="W127" s="470"/>
      <c r="X127" s="470"/>
      <c r="Y127" s="470"/>
      <c r="Z127" s="470"/>
      <c r="AA127" s="470"/>
      <c r="AB127" s="470"/>
      <c r="AC127" s="470"/>
      <c r="AD127" s="470"/>
      <c r="AE127" s="470"/>
      <c r="AF127" s="470"/>
      <c r="AG127" s="470"/>
      <c r="AH127" s="470"/>
      <c r="AI127" s="470"/>
      <c r="AJ127" s="470"/>
      <c r="AK127" s="470"/>
      <c r="AL127" s="470"/>
      <c r="AM127" s="470"/>
      <c r="AN127" s="470"/>
      <c r="AO127" s="470"/>
      <c r="AP127" s="470"/>
      <c r="AQ127" s="470"/>
      <c r="AR127" s="470"/>
      <c r="AS127" s="470"/>
      <c r="AT127" s="470"/>
      <c r="AU127" s="470"/>
      <c r="AV127" s="470"/>
      <c r="AW127" s="470"/>
      <c r="AX127" s="470"/>
      <c r="AY127" s="470"/>
      <c r="AZ127" s="470"/>
      <c r="BA127" s="470"/>
      <c r="BB127" s="470"/>
      <c r="BC127" s="470"/>
      <c r="BD127" s="470"/>
      <c r="BE127" s="470"/>
      <c r="BF127" s="470"/>
      <c r="BG127" s="470"/>
      <c r="BH127" s="470"/>
      <c r="BI127" s="470"/>
      <c r="BJ127" s="470"/>
      <c r="BK127" s="470"/>
      <c r="BL127" s="470"/>
      <c r="BM127" s="470"/>
      <c r="BN127" s="470"/>
      <c r="BO127" s="470"/>
      <c r="BP127" s="470"/>
      <c r="BQ127" s="470"/>
      <c r="BR127" s="470"/>
      <c r="BS127" s="470"/>
      <c r="BT127" s="470"/>
      <c r="BU127" s="470"/>
      <c r="BV127" s="470"/>
      <c r="BW127" s="470"/>
      <c r="BX127" s="470"/>
      <c r="BY127" s="470"/>
      <c r="BZ127" s="470"/>
      <c r="CA127" s="470"/>
      <c r="CB127" s="470"/>
      <c r="CC127" s="470"/>
      <c r="CD127" s="470"/>
      <c r="CE127" s="470"/>
      <c r="CF127" s="470"/>
      <c r="CG127" s="470"/>
      <c r="CH127" s="470"/>
      <c r="CI127" s="470"/>
      <c r="CJ127" s="470"/>
      <c r="CK127" s="470"/>
      <c r="CL127" s="470"/>
      <c r="CM127" s="470"/>
      <c r="CN127" s="470"/>
      <c r="CO127" s="470"/>
      <c r="CP127" s="470"/>
      <c r="CQ127" s="470"/>
      <c r="CR127" s="470"/>
      <c r="CS127" s="470"/>
      <c r="CT127" s="470"/>
      <c r="CU127" s="470"/>
      <c r="CV127" s="470"/>
      <c r="CW127" s="470"/>
      <c r="CX127" s="470"/>
      <c r="CY127" s="470"/>
      <c r="CZ127" s="470"/>
      <c r="DA127" s="470"/>
      <c r="DB127" s="470"/>
      <c r="DC127" s="470"/>
      <c r="DD127" s="470"/>
      <c r="DE127" s="470"/>
      <c r="DF127" s="470"/>
      <c r="DG127" s="470"/>
      <c r="DH127" s="470"/>
      <c r="DI127" s="470"/>
      <c r="DJ127" s="470"/>
      <c r="DK127" s="470"/>
      <c r="DL127" s="470"/>
      <c r="DM127" s="470"/>
      <c r="DN127" s="470"/>
      <c r="DO127" s="470"/>
      <c r="DP127" s="470"/>
      <c r="DQ127" s="470"/>
      <c r="DR127" s="470"/>
      <c r="DS127" s="470"/>
      <c r="DT127" s="470"/>
      <c r="DU127" s="470"/>
      <c r="DV127" s="470"/>
      <c r="DW127" s="470"/>
      <c r="DX127" s="470"/>
      <c r="DY127" s="470"/>
      <c r="DZ127" s="470"/>
      <c r="EA127" s="470"/>
      <c r="EB127" s="470"/>
      <c r="EC127" s="470"/>
      <c r="ED127" s="470"/>
      <c r="EE127" s="470"/>
      <c r="EF127" s="470"/>
      <c r="EG127" s="470"/>
      <c r="EH127" s="470"/>
      <c r="EI127" s="470"/>
      <c r="EJ127" s="470"/>
      <c r="EK127" s="470"/>
      <c r="EL127" s="470"/>
      <c r="EM127" s="470"/>
      <c r="EN127" s="470"/>
      <c r="EO127" s="470"/>
      <c r="EP127" s="470"/>
      <c r="EQ127" s="470"/>
      <c r="ER127" s="470"/>
      <c r="ES127" s="470"/>
      <c r="ET127" s="470"/>
      <c r="EU127" s="470"/>
      <c r="EV127" s="470"/>
      <c r="EW127" s="470"/>
      <c r="EX127" s="470"/>
      <c r="EY127" s="470"/>
      <c r="EZ127" s="470"/>
      <c r="FA127" s="470"/>
      <c r="FB127" s="470"/>
      <c r="FC127" s="470"/>
      <c r="FD127" s="470"/>
      <c r="FE127" s="470"/>
      <c r="FF127" s="470"/>
      <c r="FG127" s="470"/>
      <c r="FH127" s="470"/>
      <c r="FI127" s="470"/>
      <c r="FJ127" s="470"/>
      <c r="FK127" s="470"/>
      <c r="FL127" s="470"/>
      <c r="FM127" s="470"/>
      <c r="FN127" s="470"/>
      <c r="FO127" s="470"/>
      <c r="FP127" s="470"/>
      <c r="FQ127" s="470"/>
      <c r="FR127" s="470"/>
      <c r="FS127" s="470"/>
      <c r="FT127" s="470"/>
      <c r="FU127" s="470"/>
      <c r="FV127" s="470"/>
      <c r="FW127" s="470"/>
      <c r="FX127" s="470"/>
      <c r="FY127" s="470"/>
      <c r="FZ127" s="470"/>
      <c r="GA127" s="470"/>
      <c r="GB127" s="470"/>
      <c r="GC127" s="470"/>
      <c r="GD127" s="470"/>
      <c r="GE127" s="470"/>
      <c r="GF127" s="470"/>
      <c r="GG127" s="470"/>
      <c r="GH127" s="470"/>
      <c r="GI127" s="470"/>
      <c r="GJ127" s="470"/>
      <c r="GK127" s="470"/>
      <c r="GL127" s="470"/>
      <c r="GM127" s="470"/>
      <c r="GN127" s="470"/>
      <c r="GO127" s="470"/>
      <c r="GP127" s="470"/>
      <c r="GQ127" s="470"/>
      <c r="GR127" s="470"/>
      <c r="GS127" s="470"/>
      <c r="GT127" s="470"/>
      <c r="GU127" s="470"/>
      <c r="GV127" s="470"/>
      <c r="GW127" s="470"/>
      <c r="GX127" s="470"/>
      <c r="GY127" s="470"/>
      <c r="GZ127" s="470"/>
      <c r="HA127" s="470"/>
      <c r="HB127" s="470"/>
      <c r="HC127" s="470"/>
      <c r="HD127" s="470"/>
      <c r="HE127" s="470"/>
      <c r="HF127" s="470"/>
      <c r="HG127" s="470"/>
      <c r="HH127" s="470"/>
      <c r="HI127" s="470"/>
      <c r="HJ127" s="470"/>
      <c r="HK127" s="470"/>
      <c r="HL127" s="470"/>
      <c r="HM127" s="470"/>
      <c r="HN127" s="470"/>
      <c r="HO127" s="470"/>
      <c r="HP127" s="470"/>
      <c r="HQ127" s="470"/>
      <c r="HR127" s="470"/>
      <c r="HS127" s="470"/>
      <c r="HT127" s="470"/>
      <c r="HU127" s="470"/>
      <c r="HV127" s="470"/>
      <c r="HW127" s="470"/>
      <c r="HX127" s="470"/>
      <c r="HY127" s="470"/>
      <c r="HZ127" s="470"/>
      <c r="IA127" s="470"/>
      <c r="IB127" s="470"/>
      <c r="IC127" s="470"/>
      <c r="ID127" s="470"/>
      <c r="IE127" s="470"/>
      <c r="IF127" s="470"/>
      <c r="IG127" s="470"/>
      <c r="IH127" s="470"/>
      <c r="II127" s="470"/>
      <c r="IJ127" s="470"/>
      <c r="IK127" s="470"/>
      <c r="IL127" s="470"/>
      <c r="IM127" s="470"/>
      <c r="IN127" s="470"/>
      <c r="IO127" s="470"/>
      <c r="IP127" s="470"/>
      <c r="IQ127" s="470"/>
    </row>
    <row r="128" spans="1:251" x14ac:dyDescent="0.2">
      <c r="A128" s="453" t="s">
        <v>9966</v>
      </c>
      <c r="B128" s="453" t="s">
        <v>9967</v>
      </c>
      <c r="C128" s="473" t="s">
        <v>386</v>
      </c>
      <c r="D128" s="455" t="s">
        <v>9709</v>
      </c>
      <c r="E128" s="456" t="s">
        <v>9710</v>
      </c>
      <c r="F128" s="456" t="s">
        <v>9953</v>
      </c>
      <c r="G128" s="456" t="s">
        <v>7180</v>
      </c>
      <c r="H128" s="457">
        <v>474.12</v>
      </c>
      <c r="I128" s="457">
        <f t="shared" si="7"/>
        <v>509.67899999999997</v>
      </c>
      <c r="J128" s="457" t="s">
        <v>9706</v>
      </c>
      <c r="K128" s="458">
        <v>0.3</v>
      </c>
      <c r="L128" s="459">
        <f t="shared" si="4"/>
        <v>331.88399999999996</v>
      </c>
      <c r="M128" s="460">
        <v>0.18</v>
      </c>
      <c r="N128" s="461">
        <f t="shared" si="5"/>
        <v>417.93678</v>
      </c>
      <c r="O128" s="462">
        <v>0.1</v>
      </c>
      <c r="P128" s="463">
        <f t="shared" si="6"/>
        <v>458.71109999999999</v>
      </c>
      <c r="Q128" s="464"/>
      <c r="R128" s="465">
        <v>1</v>
      </c>
      <c r="S128" s="465">
        <v>1</v>
      </c>
      <c r="T128" s="465">
        <v>1</v>
      </c>
      <c r="U128" s="466"/>
      <c r="V128" s="470"/>
      <c r="W128" s="470"/>
      <c r="X128" s="470"/>
      <c r="Y128" s="470"/>
      <c r="Z128" s="470"/>
      <c r="AA128" s="470"/>
      <c r="AB128" s="470"/>
      <c r="AC128" s="470"/>
      <c r="AD128" s="470"/>
      <c r="AE128" s="470"/>
      <c r="AF128" s="470"/>
      <c r="AG128" s="470"/>
      <c r="AH128" s="470"/>
      <c r="AI128" s="470"/>
      <c r="AJ128" s="470"/>
      <c r="AK128" s="470"/>
      <c r="AL128" s="470"/>
      <c r="AM128" s="470"/>
      <c r="AN128" s="470"/>
      <c r="AO128" s="470"/>
      <c r="AP128" s="470"/>
      <c r="AQ128" s="470"/>
      <c r="AR128" s="470"/>
      <c r="AS128" s="470"/>
      <c r="AT128" s="470"/>
      <c r="AU128" s="470"/>
      <c r="AV128" s="470"/>
      <c r="AW128" s="470"/>
      <c r="AX128" s="470"/>
      <c r="AY128" s="470"/>
      <c r="AZ128" s="470"/>
      <c r="BA128" s="470"/>
      <c r="BB128" s="470"/>
      <c r="BC128" s="470"/>
      <c r="BD128" s="470"/>
      <c r="BE128" s="470"/>
      <c r="BF128" s="470"/>
      <c r="BG128" s="470"/>
      <c r="BH128" s="470"/>
      <c r="BI128" s="470"/>
      <c r="BJ128" s="470"/>
      <c r="BK128" s="470"/>
      <c r="BL128" s="470"/>
      <c r="BM128" s="470"/>
      <c r="BN128" s="470"/>
      <c r="BO128" s="470"/>
      <c r="BP128" s="470"/>
      <c r="BQ128" s="470"/>
      <c r="BR128" s="470"/>
      <c r="BS128" s="470"/>
      <c r="BT128" s="470"/>
      <c r="BU128" s="470"/>
      <c r="BV128" s="470"/>
      <c r="BW128" s="470"/>
      <c r="BX128" s="470"/>
      <c r="BY128" s="470"/>
      <c r="BZ128" s="470"/>
      <c r="CA128" s="470"/>
      <c r="CB128" s="470"/>
      <c r="CC128" s="470"/>
      <c r="CD128" s="470"/>
      <c r="CE128" s="470"/>
      <c r="CF128" s="470"/>
      <c r="CG128" s="470"/>
      <c r="CH128" s="470"/>
      <c r="CI128" s="470"/>
      <c r="CJ128" s="470"/>
      <c r="CK128" s="470"/>
      <c r="CL128" s="470"/>
      <c r="CM128" s="470"/>
      <c r="CN128" s="470"/>
      <c r="CO128" s="470"/>
      <c r="CP128" s="470"/>
      <c r="CQ128" s="470"/>
      <c r="CR128" s="470"/>
      <c r="CS128" s="470"/>
      <c r="CT128" s="470"/>
      <c r="CU128" s="470"/>
      <c r="CV128" s="470"/>
      <c r="CW128" s="470"/>
      <c r="CX128" s="470"/>
      <c r="CY128" s="470"/>
      <c r="CZ128" s="470"/>
      <c r="DA128" s="470"/>
      <c r="DB128" s="470"/>
      <c r="DC128" s="470"/>
      <c r="DD128" s="470"/>
      <c r="DE128" s="470"/>
      <c r="DF128" s="470"/>
      <c r="DG128" s="470"/>
      <c r="DH128" s="470"/>
      <c r="DI128" s="470"/>
      <c r="DJ128" s="470"/>
      <c r="DK128" s="470"/>
      <c r="DL128" s="470"/>
      <c r="DM128" s="470"/>
      <c r="DN128" s="470"/>
      <c r="DO128" s="470"/>
      <c r="DP128" s="470"/>
      <c r="DQ128" s="470"/>
      <c r="DR128" s="470"/>
      <c r="DS128" s="470"/>
      <c r="DT128" s="470"/>
      <c r="DU128" s="470"/>
      <c r="DV128" s="470"/>
      <c r="DW128" s="470"/>
      <c r="DX128" s="470"/>
      <c r="DY128" s="470"/>
      <c r="DZ128" s="470"/>
      <c r="EA128" s="470"/>
      <c r="EB128" s="470"/>
      <c r="EC128" s="470"/>
      <c r="ED128" s="470"/>
      <c r="EE128" s="470"/>
      <c r="EF128" s="470"/>
      <c r="EG128" s="470"/>
      <c r="EH128" s="470"/>
      <c r="EI128" s="470"/>
      <c r="EJ128" s="470"/>
      <c r="EK128" s="470"/>
      <c r="EL128" s="470"/>
      <c r="EM128" s="470"/>
      <c r="EN128" s="470"/>
      <c r="EO128" s="470"/>
      <c r="EP128" s="470"/>
      <c r="EQ128" s="470"/>
      <c r="ER128" s="470"/>
      <c r="ES128" s="470"/>
      <c r="ET128" s="470"/>
      <c r="EU128" s="470"/>
      <c r="EV128" s="470"/>
      <c r="EW128" s="470"/>
      <c r="EX128" s="470"/>
      <c r="EY128" s="470"/>
      <c r="EZ128" s="470"/>
      <c r="FA128" s="470"/>
      <c r="FB128" s="470"/>
      <c r="FC128" s="470"/>
      <c r="FD128" s="470"/>
      <c r="FE128" s="470"/>
      <c r="FF128" s="470"/>
      <c r="FG128" s="470"/>
      <c r="FH128" s="470"/>
      <c r="FI128" s="470"/>
      <c r="FJ128" s="470"/>
      <c r="FK128" s="470"/>
      <c r="FL128" s="470"/>
      <c r="FM128" s="470"/>
      <c r="FN128" s="470"/>
      <c r="FO128" s="470"/>
      <c r="FP128" s="470"/>
      <c r="FQ128" s="470"/>
      <c r="FR128" s="470"/>
      <c r="FS128" s="470"/>
      <c r="FT128" s="470"/>
      <c r="FU128" s="470"/>
      <c r="FV128" s="470"/>
      <c r="FW128" s="470"/>
      <c r="FX128" s="470"/>
      <c r="FY128" s="470"/>
      <c r="FZ128" s="470"/>
      <c r="GA128" s="470"/>
      <c r="GB128" s="470"/>
      <c r="GC128" s="470"/>
      <c r="GD128" s="470"/>
      <c r="GE128" s="470"/>
      <c r="GF128" s="470"/>
      <c r="GG128" s="470"/>
      <c r="GH128" s="470"/>
      <c r="GI128" s="470"/>
      <c r="GJ128" s="470"/>
      <c r="GK128" s="470"/>
      <c r="GL128" s="470"/>
      <c r="GM128" s="470"/>
      <c r="GN128" s="470"/>
      <c r="GO128" s="470"/>
      <c r="GP128" s="470"/>
      <c r="GQ128" s="470"/>
      <c r="GR128" s="470"/>
      <c r="GS128" s="470"/>
      <c r="GT128" s="470"/>
      <c r="GU128" s="470"/>
      <c r="GV128" s="470"/>
      <c r="GW128" s="470"/>
      <c r="GX128" s="470"/>
      <c r="GY128" s="470"/>
      <c r="GZ128" s="470"/>
      <c r="HA128" s="470"/>
      <c r="HB128" s="470"/>
      <c r="HC128" s="470"/>
      <c r="HD128" s="470"/>
      <c r="HE128" s="470"/>
      <c r="HF128" s="470"/>
      <c r="HG128" s="470"/>
      <c r="HH128" s="470"/>
      <c r="HI128" s="470"/>
      <c r="HJ128" s="470"/>
      <c r="HK128" s="470"/>
      <c r="HL128" s="470"/>
      <c r="HM128" s="470"/>
      <c r="HN128" s="470"/>
      <c r="HO128" s="470"/>
      <c r="HP128" s="470"/>
      <c r="HQ128" s="470"/>
      <c r="HR128" s="470"/>
      <c r="HS128" s="470"/>
      <c r="HT128" s="470"/>
      <c r="HU128" s="470"/>
      <c r="HV128" s="470"/>
      <c r="HW128" s="470"/>
      <c r="HX128" s="470"/>
      <c r="HY128" s="470"/>
      <c r="HZ128" s="470"/>
      <c r="IA128" s="470"/>
      <c r="IB128" s="470"/>
      <c r="IC128" s="470"/>
      <c r="ID128" s="470"/>
      <c r="IE128" s="470"/>
      <c r="IF128" s="470"/>
      <c r="IG128" s="470"/>
      <c r="IH128" s="470"/>
      <c r="II128" s="470"/>
      <c r="IJ128" s="470"/>
      <c r="IK128" s="470"/>
      <c r="IL128" s="470"/>
      <c r="IM128" s="470"/>
      <c r="IN128" s="470"/>
      <c r="IO128" s="470"/>
      <c r="IP128" s="470"/>
      <c r="IQ128" s="470"/>
    </row>
    <row r="129" spans="1:251" x14ac:dyDescent="0.2">
      <c r="A129" s="453" t="s">
        <v>9968</v>
      </c>
      <c r="B129" s="453" t="s">
        <v>9969</v>
      </c>
      <c r="C129" s="473" t="s">
        <v>386</v>
      </c>
      <c r="D129" s="455" t="s">
        <v>9709</v>
      </c>
      <c r="E129" s="456" t="s">
        <v>9710</v>
      </c>
      <c r="F129" s="456" t="s">
        <v>9953</v>
      </c>
      <c r="G129" s="456" t="s">
        <v>7180</v>
      </c>
      <c r="H129" s="457">
        <v>474.12</v>
      </c>
      <c r="I129" s="457">
        <f t="shared" si="7"/>
        <v>509.67899999999997</v>
      </c>
      <c r="J129" s="457" t="s">
        <v>9706</v>
      </c>
      <c r="K129" s="458">
        <v>0.3</v>
      </c>
      <c r="L129" s="459">
        <f t="shared" si="4"/>
        <v>331.88399999999996</v>
      </c>
      <c r="M129" s="460">
        <v>0.18</v>
      </c>
      <c r="N129" s="461">
        <f t="shared" si="5"/>
        <v>417.93678</v>
      </c>
      <c r="O129" s="462">
        <v>0.1</v>
      </c>
      <c r="P129" s="463">
        <f t="shared" si="6"/>
        <v>458.71109999999999</v>
      </c>
      <c r="Q129" s="464"/>
      <c r="R129" s="465">
        <v>1</v>
      </c>
      <c r="S129" s="465">
        <v>1</v>
      </c>
      <c r="T129" s="465">
        <v>1</v>
      </c>
      <c r="U129" s="466"/>
      <c r="V129" s="470"/>
      <c r="W129" s="470"/>
      <c r="X129" s="470"/>
      <c r="Y129" s="470"/>
      <c r="Z129" s="470"/>
      <c r="AA129" s="470"/>
      <c r="AB129" s="470"/>
      <c r="AC129" s="470"/>
      <c r="AD129" s="470"/>
      <c r="AE129" s="470"/>
      <c r="AF129" s="470"/>
      <c r="AG129" s="470"/>
      <c r="AH129" s="470"/>
      <c r="AI129" s="470"/>
      <c r="AJ129" s="470"/>
      <c r="AK129" s="470"/>
      <c r="AL129" s="470"/>
      <c r="AM129" s="470"/>
      <c r="AN129" s="470"/>
      <c r="AO129" s="470"/>
      <c r="AP129" s="470"/>
      <c r="AQ129" s="470"/>
      <c r="AR129" s="470"/>
      <c r="AS129" s="470"/>
      <c r="AT129" s="470"/>
      <c r="AU129" s="470"/>
      <c r="AV129" s="470"/>
      <c r="AW129" s="470"/>
      <c r="AX129" s="470"/>
      <c r="AY129" s="470"/>
      <c r="AZ129" s="470"/>
      <c r="BA129" s="470"/>
      <c r="BB129" s="470"/>
      <c r="BC129" s="470"/>
      <c r="BD129" s="470"/>
      <c r="BE129" s="470"/>
      <c r="BF129" s="470"/>
      <c r="BG129" s="470"/>
      <c r="BH129" s="470"/>
      <c r="BI129" s="470"/>
      <c r="BJ129" s="470"/>
      <c r="BK129" s="470"/>
      <c r="BL129" s="470"/>
      <c r="BM129" s="470"/>
      <c r="BN129" s="470"/>
      <c r="BO129" s="470"/>
      <c r="BP129" s="470"/>
      <c r="BQ129" s="470"/>
      <c r="BR129" s="470"/>
      <c r="BS129" s="470"/>
      <c r="BT129" s="470"/>
      <c r="BU129" s="470"/>
      <c r="BV129" s="470"/>
      <c r="BW129" s="470"/>
      <c r="BX129" s="470"/>
      <c r="BY129" s="470"/>
      <c r="BZ129" s="470"/>
      <c r="CA129" s="470"/>
      <c r="CB129" s="470"/>
      <c r="CC129" s="470"/>
      <c r="CD129" s="470"/>
      <c r="CE129" s="470"/>
      <c r="CF129" s="470"/>
      <c r="CG129" s="470"/>
      <c r="CH129" s="470"/>
      <c r="CI129" s="470"/>
      <c r="CJ129" s="470"/>
      <c r="CK129" s="470"/>
      <c r="CL129" s="470"/>
      <c r="CM129" s="470"/>
      <c r="CN129" s="470"/>
      <c r="CO129" s="470"/>
      <c r="CP129" s="470"/>
      <c r="CQ129" s="470"/>
      <c r="CR129" s="470"/>
      <c r="CS129" s="470"/>
      <c r="CT129" s="470"/>
      <c r="CU129" s="470"/>
      <c r="CV129" s="470"/>
      <c r="CW129" s="470"/>
      <c r="CX129" s="470"/>
      <c r="CY129" s="470"/>
      <c r="CZ129" s="470"/>
      <c r="DA129" s="470"/>
      <c r="DB129" s="470"/>
      <c r="DC129" s="470"/>
      <c r="DD129" s="470"/>
      <c r="DE129" s="470"/>
      <c r="DF129" s="470"/>
      <c r="DG129" s="470"/>
      <c r="DH129" s="470"/>
      <c r="DI129" s="470"/>
      <c r="DJ129" s="470"/>
      <c r="DK129" s="470"/>
      <c r="DL129" s="470"/>
      <c r="DM129" s="470"/>
      <c r="DN129" s="470"/>
      <c r="DO129" s="470"/>
      <c r="DP129" s="470"/>
      <c r="DQ129" s="470"/>
      <c r="DR129" s="470"/>
      <c r="DS129" s="470"/>
      <c r="DT129" s="470"/>
      <c r="DU129" s="470"/>
      <c r="DV129" s="470"/>
      <c r="DW129" s="470"/>
      <c r="DX129" s="470"/>
      <c r="DY129" s="470"/>
      <c r="DZ129" s="470"/>
      <c r="EA129" s="470"/>
      <c r="EB129" s="470"/>
      <c r="EC129" s="470"/>
      <c r="ED129" s="470"/>
      <c r="EE129" s="470"/>
      <c r="EF129" s="470"/>
      <c r="EG129" s="470"/>
      <c r="EH129" s="470"/>
      <c r="EI129" s="470"/>
      <c r="EJ129" s="470"/>
      <c r="EK129" s="470"/>
      <c r="EL129" s="470"/>
      <c r="EM129" s="470"/>
      <c r="EN129" s="470"/>
      <c r="EO129" s="470"/>
      <c r="EP129" s="470"/>
      <c r="EQ129" s="470"/>
      <c r="ER129" s="470"/>
      <c r="ES129" s="470"/>
      <c r="ET129" s="470"/>
      <c r="EU129" s="470"/>
      <c r="EV129" s="470"/>
      <c r="EW129" s="470"/>
      <c r="EX129" s="470"/>
      <c r="EY129" s="470"/>
      <c r="EZ129" s="470"/>
      <c r="FA129" s="470"/>
      <c r="FB129" s="470"/>
      <c r="FC129" s="470"/>
      <c r="FD129" s="470"/>
      <c r="FE129" s="470"/>
      <c r="FF129" s="470"/>
      <c r="FG129" s="470"/>
      <c r="FH129" s="470"/>
      <c r="FI129" s="470"/>
      <c r="FJ129" s="470"/>
      <c r="FK129" s="470"/>
      <c r="FL129" s="470"/>
      <c r="FM129" s="470"/>
      <c r="FN129" s="470"/>
      <c r="FO129" s="470"/>
      <c r="FP129" s="470"/>
      <c r="FQ129" s="470"/>
      <c r="FR129" s="470"/>
      <c r="FS129" s="470"/>
      <c r="FT129" s="470"/>
      <c r="FU129" s="470"/>
      <c r="FV129" s="470"/>
      <c r="FW129" s="470"/>
      <c r="FX129" s="470"/>
      <c r="FY129" s="470"/>
      <c r="FZ129" s="470"/>
      <c r="GA129" s="470"/>
      <c r="GB129" s="470"/>
      <c r="GC129" s="470"/>
      <c r="GD129" s="470"/>
      <c r="GE129" s="470"/>
      <c r="GF129" s="470"/>
      <c r="GG129" s="470"/>
      <c r="GH129" s="470"/>
      <c r="GI129" s="470"/>
      <c r="GJ129" s="470"/>
      <c r="GK129" s="470"/>
      <c r="GL129" s="470"/>
      <c r="GM129" s="470"/>
      <c r="GN129" s="470"/>
      <c r="GO129" s="470"/>
      <c r="GP129" s="470"/>
      <c r="GQ129" s="470"/>
      <c r="GR129" s="470"/>
      <c r="GS129" s="470"/>
      <c r="GT129" s="470"/>
      <c r="GU129" s="470"/>
      <c r="GV129" s="470"/>
      <c r="GW129" s="470"/>
      <c r="GX129" s="470"/>
      <c r="GY129" s="470"/>
      <c r="GZ129" s="470"/>
      <c r="HA129" s="470"/>
      <c r="HB129" s="470"/>
      <c r="HC129" s="470"/>
      <c r="HD129" s="470"/>
      <c r="HE129" s="470"/>
      <c r="HF129" s="470"/>
      <c r="HG129" s="470"/>
      <c r="HH129" s="470"/>
      <c r="HI129" s="470"/>
      <c r="HJ129" s="470"/>
      <c r="HK129" s="470"/>
      <c r="HL129" s="470"/>
      <c r="HM129" s="470"/>
      <c r="HN129" s="470"/>
      <c r="HO129" s="470"/>
      <c r="HP129" s="470"/>
      <c r="HQ129" s="470"/>
      <c r="HR129" s="470"/>
      <c r="HS129" s="470"/>
      <c r="HT129" s="470"/>
      <c r="HU129" s="470"/>
      <c r="HV129" s="470"/>
      <c r="HW129" s="470"/>
      <c r="HX129" s="470"/>
      <c r="HY129" s="470"/>
      <c r="HZ129" s="470"/>
      <c r="IA129" s="470"/>
      <c r="IB129" s="470"/>
      <c r="IC129" s="470"/>
      <c r="ID129" s="470"/>
      <c r="IE129" s="470"/>
      <c r="IF129" s="470"/>
      <c r="IG129" s="470"/>
      <c r="IH129" s="470"/>
      <c r="II129" s="470"/>
      <c r="IJ129" s="470"/>
      <c r="IK129" s="470"/>
      <c r="IL129" s="470"/>
      <c r="IM129" s="470"/>
      <c r="IN129" s="470"/>
      <c r="IO129" s="470"/>
      <c r="IP129" s="470"/>
      <c r="IQ129" s="470"/>
    </row>
    <row r="130" spans="1:251" x14ac:dyDescent="0.2">
      <c r="A130" s="453" t="s">
        <v>9970</v>
      </c>
      <c r="B130" s="453" t="s">
        <v>9971</v>
      </c>
      <c r="C130" s="473" t="s">
        <v>386</v>
      </c>
      <c r="D130" s="455" t="s">
        <v>9709</v>
      </c>
      <c r="E130" s="456" t="s">
        <v>9734</v>
      </c>
      <c r="F130" s="456" t="s">
        <v>9953</v>
      </c>
      <c r="G130" s="456" t="s">
        <v>7180</v>
      </c>
      <c r="H130" s="457">
        <v>474.12</v>
      </c>
      <c r="I130" s="457">
        <f t="shared" si="7"/>
        <v>509.67899999999997</v>
      </c>
      <c r="J130" s="457" t="s">
        <v>9706</v>
      </c>
      <c r="K130" s="458">
        <v>0.3</v>
      </c>
      <c r="L130" s="459">
        <f t="shared" si="4"/>
        <v>331.88399999999996</v>
      </c>
      <c r="M130" s="460">
        <v>0.18</v>
      </c>
      <c r="N130" s="461">
        <f t="shared" si="5"/>
        <v>417.93678</v>
      </c>
      <c r="O130" s="462">
        <v>0.1</v>
      </c>
      <c r="P130" s="463">
        <f t="shared" si="6"/>
        <v>458.71109999999999</v>
      </c>
      <c r="Q130" s="464"/>
      <c r="R130" s="465">
        <v>1</v>
      </c>
      <c r="S130" s="465">
        <v>1</v>
      </c>
      <c r="T130" s="465">
        <v>1</v>
      </c>
      <c r="U130" s="466"/>
      <c r="V130" s="470"/>
      <c r="W130" s="470"/>
      <c r="X130" s="470"/>
      <c r="Y130" s="470"/>
      <c r="Z130" s="470"/>
      <c r="AA130" s="470"/>
      <c r="AB130" s="470"/>
      <c r="AC130" s="470"/>
      <c r="AD130" s="470"/>
      <c r="AE130" s="470"/>
      <c r="AF130" s="470"/>
      <c r="AG130" s="470"/>
      <c r="AH130" s="470"/>
      <c r="AI130" s="470"/>
      <c r="AJ130" s="470"/>
      <c r="AK130" s="470"/>
      <c r="AL130" s="470"/>
      <c r="AM130" s="470"/>
      <c r="AN130" s="470"/>
      <c r="AO130" s="470"/>
      <c r="AP130" s="470"/>
      <c r="AQ130" s="470"/>
      <c r="AR130" s="470"/>
      <c r="AS130" s="470"/>
      <c r="AT130" s="470"/>
      <c r="AU130" s="470"/>
      <c r="AV130" s="470"/>
      <c r="AW130" s="470"/>
      <c r="AX130" s="470"/>
      <c r="AY130" s="470"/>
      <c r="AZ130" s="470"/>
      <c r="BA130" s="470"/>
      <c r="BB130" s="470"/>
      <c r="BC130" s="470"/>
      <c r="BD130" s="470"/>
      <c r="BE130" s="470"/>
      <c r="BF130" s="470"/>
      <c r="BG130" s="470"/>
      <c r="BH130" s="470"/>
      <c r="BI130" s="470"/>
      <c r="BJ130" s="470"/>
      <c r="BK130" s="470"/>
      <c r="BL130" s="470"/>
      <c r="BM130" s="470"/>
      <c r="BN130" s="470"/>
      <c r="BO130" s="470"/>
      <c r="BP130" s="470"/>
      <c r="BQ130" s="470"/>
      <c r="BR130" s="470"/>
      <c r="BS130" s="470"/>
      <c r="BT130" s="470"/>
      <c r="BU130" s="470"/>
      <c r="BV130" s="470"/>
      <c r="BW130" s="470"/>
      <c r="BX130" s="470"/>
      <c r="BY130" s="470"/>
      <c r="BZ130" s="470"/>
      <c r="CA130" s="470"/>
      <c r="CB130" s="470"/>
      <c r="CC130" s="470"/>
      <c r="CD130" s="470"/>
      <c r="CE130" s="470"/>
      <c r="CF130" s="470"/>
      <c r="CG130" s="470"/>
      <c r="CH130" s="470"/>
      <c r="CI130" s="470"/>
      <c r="CJ130" s="470"/>
      <c r="CK130" s="470"/>
      <c r="CL130" s="470"/>
      <c r="CM130" s="470"/>
      <c r="CN130" s="470"/>
      <c r="CO130" s="470"/>
      <c r="CP130" s="470"/>
      <c r="CQ130" s="470"/>
      <c r="CR130" s="470"/>
      <c r="CS130" s="470"/>
      <c r="CT130" s="470"/>
      <c r="CU130" s="470"/>
      <c r="CV130" s="470"/>
      <c r="CW130" s="470"/>
      <c r="CX130" s="470"/>
      <c r="CY130" s="470"/>
      <c r="CZ130" s="470"/>
      <c r="DA130" s="470"/>
      <c r="DB130" s="470"/>
      <c r="DC130" s="470"/>
      <c r="DD130" s="470"/>
      <c r="DE130" s="470"/>
      <c r="DF130" s="470"/>
      <c r="DG130" s="470"/>
      <c r="DH130" s="470"/>
      <c r="DI130" s="470"/>
      <c r="DJ130" s="470"/>
      <c r="DK130" s="470"/>
      <c r="DL130" s="470"/>
      <c r="DM130" s="470"/>
      <c r="DN130" s="470"/>
      <c r="DO130" s="470"/>
      <c r="DP130" s="470"/>
      <c r="DQ130" s="470"/>
      <c r="DR130" s="470"/>
      <c r="DS130" s="470"/>
      <c r="DT130" s="470"/>
      <c r="DU130" s="470"/>
      <c r="DV130" s="470"/>
      <c r="DW130" s="470"/>
      <c r="DX130" s="470"/>
      <c r="DY130" s="470"/>
      <c r="DZ130" s="470"/>
      <c r="EA130" s="470"/>
      <c r="EB130" s="470"/>
      <c r="EC130" s="470"/>
      <c r="ED130" s="470"/>
      <c r="EE130" s="470"/>
      <c r="EF130" s="470"/>
      <c r="EG130" s="470"/>
      <c r="EH130" s="470"/>
      <c r="EI130" s="470"/>
      <c r="EJ130" s="470"/>
      <c r="EK130" s="470"/>
      <c r="EL130" s="470"/>
      <c r="EM130" s="470"/>
      <c r="EN130" s="470"/>
      <c r="EO130" s="470"/>
      <c r="EP130" s="470"/>
      <c r="EQ130" s="470"/>
      <c r="ER130" s="470"/>
      <c r="ES130" s="470"/>
      <c r="ET130" s="470"/>
      <c r="EU130" s="470"/>
      <c r="EV130" s="470"/>
      <c r="EW130" s="470"/>
      <c r="EX130" s="470"/>
      <c r="EY130" s="470"/>
      <c r="EZ130" s="470"/>
      <c r="FA130" s="470"/>
      <c r="FB130" s="470"/>
      <c r="FC130" s="470"/>
      <c r="FD130" s="470"/>
      <c r="FE130" s="470"/>
      <c r="FF130" s="470"/>
      <c r="FG130" s="470"/>
      <c r="FH130" s="470"/>
      <c r="FI130" s="470"/>
      <c r="FJ130" s="470"/>
      <c r="FK130" s="470"/>
      <c r="FL130" s="470"/>
      <c r="FM130" s="470"/>
      <c r="FN130" s="470"/>
      <c r="FO130" s="470"/>
      <c r="FP130" s="470"/>
      <c r="FQ130" s="470"/>
      <c r="FR130" s="470"/>
      <c r="FS130" s="470"/>
      <c r="FT130" s="470"/>
      <c r="FU130" s="470"/>
      <c r="FV130" s="470"/>
      <c r="FW130" s="470"/>
      <c r="FX130" s="470"/>
      <c r="FY130" s="470"/>
      <c r="FZ130" s="470"/>
      <c r="GA130" s="470"/>
      <c r="GB130" s="470"/>
      <c r="GC130" s="470"/>
      <c r="GD130" s="470"/>
      <c r="GE130" s="470"/>
      <c r="GF130" s="470"/>
      <c r="GG130" s="470"/>
      <c r="GH130" s="470"/>
      <c r="GI130" s="470"/>
      <c r="GJ130" s="470"/>
      <c r="GK130" s="470"/>
      <c r="GL130" s="470"/>
      <c r="GM130" s="470"/>
      <c r="GN130" s="470"/>
      <c r="GO130" s="470"/>
      <c r="GP130" s="470"/>
      <c r="GQ130" s="470"/>
      <c r="GR130" s="470"/>
      <c r="GS130" s="470"/>
      <c r="GT130" s="470"/>
      <c r="GU130" s="470"/>
      <c r="GV130" s="470"/>
      <c r="GW130" s="470"/>
      <c r="GX130" s="470"/>
      <c r="GY130" s="470"/>
      <c r="GZ130" s="470"/>
      <c r="HA130" s="470"/>
      <c r="HB130" s="470"/>
      <c r="HC130" s="470"/>
      <c r="HD130" s="470"/>
      <c r="HE130" s="470"/>
      <c r="HF130" s="470"/>
      <c r="HG130" s="470"/>
      <c r="HH130" s="470"/>
      <c r="HI130" s="470"/>
      <c r="HJ130" s="470"/>
      <c r="HK130" s="470"/>
      <c r="HL130" s="470"/>
      <c r="HM130" s="470"/>
      <c r="HN130" s="470"/>
      <c r="HO130" s="470"/>
      <c r="HP130" s="470"/>
      <c r="HQ130" s="470"/>
      <c r="HR130" s="470"/>
      <c r="HS130" s="470"/>
      <c r="HT130" s="470"/>
      <c r="HU130" s="470"/>
      <c r="HV130" s="470"/>
      <c r="HW130" s="470"/>
      <c r="HX130" s="470"/>
      <c r="HY130" s="470"/>
      <c r="HZ130" s="470"/>
      <c r="IA130" s="470"/>
      <c r="IB130" s="470"/>
      <c r="IC130" s="470"/>
      <c r="ID130" s="470"/>
      <c r="IE130" s="470"/>
      <c r="IF130" s="470"/>
      <c r="IG130" s="470"/>
      <c r="IH130" s="470"/>
      <c r="II130" s="470"/>
      <c r="IJ130" s="470"/>
      <c r="IK130" s="470"/>
      <c r="IL130" s="470"/>
      <c r="IM130" s="470"/>
      <c r="IN130" s="470"/>
      <c r="IO130" s="470"/>
      <c r="IP130" s="470"/>
      <c r="IQ130" s="470"/>
    </row>
    <row r="131" spans="1:251" x14ac:dyDescent="0.2">
      <c r="A131" s="453" t="s">
        <v>9972</v>
      </c>
      <c r="B131" s="453" t="s">
        <v>9973</v>
      </c>
      <c r="C131" s="473" t="s">
        <v>386</v>
      </c>
      <c r="D131" s="455" t="s">
        <v>9709</v>
      </c>
      <c r="E131" s="456" t="s">
        <v>9734</v>
      </c>
      <c r="F131" s="456" t="s">
        <v>9953</v>
      </c>
      <c r="G131" s="456" t="s">
        <v>7180</v>
      </c>
      <c r="H131" s="457">
        <v>474.12</v>
      </c>
      <c r="I131" s="457">
        <f t="shared" si="7"/>
        <v>509.67899999999997</v>
      </c>
      <c r="J131" s="457" t="s">
        <v>9706</v>
      </c>
      <c r="K131" s="458">
        <v>0.3</v>
      </c>
      <c r="L131" s="459">
        <f t="shared" si="4"/>
        <v>331.88399999999996</v>
      </c>
      <c r="M131" s="460">
        <v>0.18</v>
      </c>
      <c r="N131" s="461">
        <f t="shared" si="5"/>
        <v>417.93678</v>
      </c>
      <c r="O131" s="462">
        <v>0.1</v>
      </c>
      <c r="P131" s="463">
        <f t="shared" si="6"/>
        <v>458.71109999999999</v>
      </c>
      <c r="Q131" s="464"/>
      <c r="R131" s="465">
        <v>1</v>
      </c>
      <c r="S131" s="465">
        <v>1</v>
      </c>
      <c r="T131" s="465">
        <v>1</v>
      </c>
      <c r="U131" s="466"/>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c r="BW131" s="470"/>
      <c r="BX131" s="470"/>
      <c r="BY131" s="470"/>
      <c r="BZ131" s="470"/>
      <c r="CA131" s="470"/>
      <c r="CB131" s="470"/>
      <c r="CC131" s="470"/>
      <c r="CD131" s="470"/>
      <c r="CE131" s="470"/>
      <c r="CF131" s="470"/>
      <c r="CG131" s="470"/>
      <c r="CH131" s="470"/>
      <c r="CI131" s="470"/>
      <c r="CJ131" s="470"/>
      <c r="CK131" s="470"/>
      <c r="CL131" s="470"/>
      <c r="CM131" s="470"/>
      <c r="CN131" s="470"/>
      <c r="CO131" s="470"/>
      <c r="CP131" s="470"/>
      <c r="CQ131" s="470"/>
      <c r="CR131" s="470"/>
      <c r="CS131" s="470"/>
      <c r="CT131" s="470"/>
      <c r="CU131" s="470"/>
      <c r="CV131" s="470"/>
      <c r="CW131" s="470"/>
      <c r="CX131" s="470"/>
      <c r="CY131" s="470"/>
      <c r="CZ131" s="470"/>
      <c r="DA131" s="470"/>
      <c r="DB131" s="470"/>
      <c r="DC131" s="470"/>
      <c r="DD131" s="470"/>
      <c r="DE131" s="470"/>
      <c r="DF131" s="470"/>
      <c r="DG131" s="470"/>
      <c r="DH131" s="470"/>
      <c r="DI131" s="470"/>
      <c r="DJ131" s="470"/>
      <c r="DK131" s="470"/>
      <c r="DL131" s="470"/>
      <c r="DM131" s="470"/>
      <c r="DN131" s="470"/>
      <c r="DO131" s="470"/>
      <c r="DP131" s="470"/>
      <c r="DQ131" s="470"/>
      <c r="DR131" s="470"/>
      <c r="DS131" s="470"/>
      <c r="DT131" s="470"/>
      <c r="DU131" s="470"/>
      <c r="DV131" s="470"/>
      <c r="DW131" s="470"/>
      <c r="DX131" s="470"/>
      <c r="DY131" s="470"/>
      <c r="DZ131" s="470"/>
      <c r="EA131" s="470"/>
      <c r="EB131" s="470"/>
      <c r="EC131" s="470"/>
      <c r="ED131" s="470"/>
      <c r="EE131" s="470"/>
      <c r="EF131" s="470"/>
      <c r="EG131" s="470"/>
      <c r="EH131" s="470"/>
      <c r="EI131" s="470"/>
      <c r="EJ131" s="470"/>
      <c r="EK131" s="470"/>
      <c r="EL131" s="470"/>
      <c r="EM131" s="470"/>
      <c r="EN131" s="470"/>
      <c r="EO131" s="470"/>
      <c r="EP131" s="470"/>
      <c r="EQ131" s="470"/>
      <c r="ER131" s="470"/>
      <c r="ES131" s="470"/>
      <c r="ET131" s="470"/>
      <c r="EU131" s="470"/>
      <c r="EV131" s="470"/>
      <c r="EW131" s="470"/>
      <c r="EX131" s="470"/>
      <c r="EY131" s="470"/>
      <c r="EZ131" s="470"/>
      <c r="FA131" s="470"/>
      <c r="FB131" s="470"/>
      <c r="FC131" s="470"/>
      <c r="FD131" s="470"/>
      <c r="FE131" s="470"/>
      <c r="FF131" s="470"/>
      <c r="FG131" s="470"/>
      <c r="FH131" s="470"/>
      <c r="FI131" s="470"/>
      <c r="FJ131" s="470"/>
      <c r="FK131" s="470"/>
      <c r="FL131" s="470"/>
      <c r="FM131" s="470"/>
      <c r="FN131" s="470"/>
      <c r="FO131" s="470"/>
      <c r="FP131" s="470"/>
      <c r="FQ131" s="470"/>
      <c r="FR131" s="470"/>
      <c r="FS131" s="470"/>
      <c r="FT131" s="470"/>
      <c r="FU131" s="470"/>
      <c r="FV131" s="470"/>
      <c r="FW131" s="470"/>
      <c r="FX131" s="470"/>
      <c r="FY131" s="470"/>
      <c r="FZ131" s="470"/>
      <c r="GA131" s="470"/>
      <c r="GB131" s="470"/>
      <c r="GC131" s="470"/>
      <c r="GD131" s="470"/>
      <c r="GE131" s="470"/>
      <c r="GF131" s="470"/>
      <c r="GG131" s="470"/>
      <c r="GH131" s="470"/>
      <c r="GI131" s="470"/>
      <c r="GJ131" s="470"/>
      <c r="GK131" s="470"/>
      <c r="GL131" s="470"/>
      <c r="GM131" s="470"/>
      <c r="GN131" s="470"/>
      <c r="GO131" s="470"/>
      <c r="GP131" s="470"/>
      <c r="GQ131" s="470"/>
      <c r="GR131" s="470"/>
      <c r="GS131" s="470"/>
      <c r="GT131" s="470"/>
      <c r="GU131" s="470"/>
      <c r="GV131" s="470"/>
      <c r="GW131" s="470"/>
      <c r="GX131" s="470"/>
      <c r="GY131" s="470"/>
      <c r="GZ131" s="470"/>
      <c r="HA131" s="470"/>
      <c r="HB131" s="470"/>
      <c r="HC131" s="470"/>
      <c r="HD131" s="470"/>
      <c r="HE131" s="470"/>
      <c r="HF131" s="470"/>
      <c r="HG131" s="470"/>
      <c r="HH131" s="470"/>
      <c r="HI131" s="470"/>
      <c r="HJ131" s="470"/>
      <c r="HK131" s="470"/>
      <c r="HL131" s="470"/>
      <c r="HM131" s="470"/>
      <c r="HN131" s="470"/>
      <c r="HO131" s="470"/>
      <c r="HP131" s="470"/>
      <c r="HQ131" s="470"/>
      <c r="HR131" s="470"/>
      <c r="HS131" s="470"/>
      <c r="HT131" s="470"/>
      <c r="HU131" s="470"/>
      <c r="HV131" s="470"/>
      <c r="HW131" s="470"/>
      <c r="HX131" s="470"/>
      <c r="HY131" s="470"/>
      <c r="HZ131" s="470"/>
      <c r="IA131" s="470"/>
      <c r="IB131" s="470"/>
      <c r="IC131" s="470"/>
      <c r="ID131" s="470"/>
      <c r="IE131" s="470"/>
      <c r="IF131" s="470"/>
      <c r="IG131" s="470"/>
      <c r="IH131" s="470"/>
      <c r="II131" s="470"/>
      <c r="IJ131" s="470"/>
      <c r="IK131" s="470"/>
      <c r="IL131" s="470"/>
      <c r="IM131" s="470"/>
      <c r="IN131" s="470"/>
      <c r="IO131" s="470"/>
      <c r="IP131" s="470"/>
      <c r="IQ131" s="470"/>
    </row>
    <row r="132" spans="1:251" x14ac:dyDescent="0.2">
      <c r="A132" s="453" t="s">
        <v>9974</v>
      </c>
      <c r="B132" s="453" t="s">
        <v>9975</v>
      </c>
      <c r="C132" s="473" t="s">
        <v>386</v>
      </c>
      <c r="D132" s="455" t="s">
        <v>9709</v>
      </c>
      <c r="E132" s="456" t="s">
        <v>9710</v>
      </c>
      <c r="F132" s="456" t="s">
        <v>9953</v>
      </c>
      <c r="G132" s="456" t="s">
        <v>7180</v>
      </c>
      <c r="H132" s="457">
        <v>474.12</v>
      </c>
      <c r="I132" s="457">
        <f t="shared" si="7"/>
        <v>509.67899999999997</v>
      </c>
      <c r="J132" s="457" t="s">
        <v>9706</v>
      </c>
      <c r="K132" s="458">
        <v>0.3</v>
      </c>
      <c r="L132" s="459">
        <f t="shared" si="4"/>
        <v>331.88399999999996</v>
      </c>
      <c r="M132" s="460">
        <v>0.18</v>
      </c>
      <c r="N132" s="461">
        <f t="shared" si="5"/>
        <v>417.93678</v>
      </c>
      <c r="O132" s="462">
        <v>0.1</v>
      </c>
      <c r="P132" s="463">
        <f t="shared" si="6"/>
        <v>458.71109999999999</v>
      </c>
      <c r="Q132" s="464"/>
      <c r="R132" s="465">
        <v>1</v>
      </c>
      <c r="S132" s="465">
        <v>1</v>
      </c>
      <c r="T132" s="465">
        <v>1</v>
      </c>
      <c r="U132" s="466"/>
      <c r="V132" s="470"/>
      <c r="W132" s="470"/>
      <c r="X132" s="470"/>
      <c r="Y132" s="470"/>
      <c r="Z132" s="470"/>
      <c r="AA132" s="470"/>
      <c r="AB132" s="470"/>
      <c r="AC132" s="470"/>
      <c r="AD132" s="470"/>
      <c r="AE132" s="470"/>
      <c r="AF132" s="470"/>
      <c r="AG132" s="470"/>
      <c r="AH132" s="470"/>
      <c r="AI132" s="470"/>
      <c r="AJ132" s="470"/>
      <c r="AK132" s="470"/>
      <c r="AL132" s="470"/>
      <c r="AM132" s="470"/>
      <c r="AN132" s="470"/>
      <c r="AO132" s="470"/>
      <c r="AP132" s="470"/>
      <c r="AQ132" s="470"/>
      <c r="AR132" s="470"/>
      <c r="AS132" s="470"/>
      <c r="AT132" s="470"/>
      <c r="AU132" s="470"/>
      <c r="AV132" s="470"/>
      <c r="AW132" s="470"/>
      <c r="AX132" s="470"/>
      <c r="AY132" s="470"/>
      <c r="AZ132" s="470"/>
      <c r="BA132" s="470"/>
      <c r="BB132" s="470"/>
      <c r="BC132" s="470"/>
      <c r="BD132" s="470"/>
      <c r="BE132" s="470"/>
      <c r="BF132" s="470"/>
      <c r="BG132" s="470"/>
      <c r="BH132" s="470"/>
      <c r="BI132" s="470"/>
      <c r="BJ132" s="470"/>
      <c r="BK132" s="470"/>
      <c r="BL132" s="470"/>
      <c r="BM132" s="470"/>
      <c r="BN132" s="470"/>
      <c r="BO132" s="470"/>
      <c r="BP132" s="470"/>
      <c r="BQ132" s="470"/>
      <c r="BR132" s="470"/>
      <c r="BS132" s="470"/>
      <c r="BT132" s="470"/>
      <c r="BU132" s="470"/>
      <c r="BV132" s="470"/>
      <c r="BW132" s="470"/>
      <c r="BX132" s="470"/>
      <c r="BY132" s="470"/>
      <c r="BZ132" s="470"/>
      <c r="CA132" s="470"/>
      <c r="CB132" s="470"/>
      <c r="CC132" s="470"/>
      <c r="CD132" s="470"/>
      <c r="CE132" s="470"/>
      <c r="CF132" s="470"/>
      <c r="CG132" s="470"/>
      <c r="CH132" s="470"/>
      <c r="CI132" s="470"/>
      <c r="CJ132" s="470"/>
      <c r="CK132" s="470"/>
      <c r="CL132" s="470"/>
      <c r="CM132" s="470"/>
      <c r="CN132" s="470"/>
      <c r="CO132" s="470"/>
      <c r="CP132" s="470"/>
      <c r="CQ132" s="470"/>
      <c r="CR132" s="470"/>
      <c r="CS132" s="470"/>
      <c r="CT132" s="470"/>
      <c r="CU132" s="470"/>
      <c r="CV132" s="470"/>
      <c r="CW132" s="470"/>
      <c r="CX132" s="470"/>
      <c r="CY132" s="470"/>
      <c r="CZ132" s="470"/>
      <c r="DA132" s="470"/>
      <c r="DB132" s="470"/>
      <c r="DC132" s="470"/>
      <c r="DD132" s="470"/>
      <c r="DE132" s="470"/>
      <c r="DF132" s="470"/>
      <c r="DG132" s="470"/>
      <c r="DH132" s="470"/>
      <c r="DI132" s="470"/>
      <c r="DJ132" s="470"/>
      <c r="DK132" s="470"/>
      <c r="DL132" s="470"/>
      <c r="DM132" s="470"/>
      <c r="DN132" s="470"/>
      <c r="DO132" s="470"/>
      <c r="DP132" s="470"/>
      <c r="DQ132" s="470"/>
      <c r="DR132" s="470"/>
      <c r="DS132" s="470"/>
      <c r="DT132" s="470"/>
      <c r="DU132" s="470"/>
      <c r="DV132" s="470"/>
      <c r="DW132" s="470"/>
      <c r="DX132" s="470"/>
      <c r="DY132" s="470"/>
      <c r="DZ132" s="470"/>
      <c r="EA132" s="470"/>
      <c r="EB132" s="470"/>
      <c r="EC132" s="470"/>
      <c r="ED132" s="470"/>
      <c r="EE132" s="470"/>
      <c r="EF132" s="470"/>
      <c r="EG132" s="470"/>
      <c r="EH132" s="470"/>
      <c r="EI132" s="470"/>
      <c r="EJ132" s="470"/>
      <c r="EK132" s="470"/>
      <c r="EL132" s="470"/>
      <c r="EM132" s="470"/>
      <c r="EN132" s="470"/>
      <c r="EO132" s="470"/>
      <c r="EP132" s="470"/>
      <c r="EQ132" s="470"/>
      <c r="ER132" s="470"/>
      <c r="ES132" s="470"/>
      <c r="ET132" s="470"/>
      <c r="EU132" s="470"/>
      <c r="EV132" s="470"/>
      <c r="EW132" s="470"/>
      <c r="EX132" s="470"/>
      <c r="EY132" s="470"/>
      <c r="EZ132" s="470"/>
      <c r="FA132" s="470"/>
      <c r="FB132" s="470"/>
      <c r="FC132" s="470"/>
      <c r="FD132" s="470"/>
      <c r="FE132" s="470"/>
      <c r="FF132" s="470"/>
      <c r="FG132" s="470"/>
      <c r="FH132" s="470"/>
      <c r="FI132" s="470"/>
      <c r="FJ132" s="470"/>
      <c r="FK132" s="470"/>
      <c r="FL132" s="470"/>
      <c r="FM132" s="470"/>
      <c r="FN132" s="470"/>
      <c r="FO132" s="470"/>
      <c r="FP132" s="470"/>
      <c r="FQ132" s="470"/>
      <c r="FR132" s="470"/>
      <c r="FS132" s="470"/>
      <c r="FT132" s="470"/>
      <c r="FU132" s="470"/>
      <c r="FV132" s="470"/>
      <c r="FW132" s="470"/>
      <c r="FX132" s="470"/>
      <c r="FY132" s="470"/>
      <c r="FZ132" s="470"/>
      <c r="GA132" s="470"/>
      <c r="GB132" s="470"/>
      <c r="GC132" s="470"/>
      <c r="GD132" s="470"/>
      <c r="GE132" s="470"/>
      <c r="GF132" s="470"/>
      <c r="GG132" s="470"/>
      <c r="GH132" s="470"/>
      <c r="GI132" s="470"/>
      <c r="GJ132" s="470"/>
      <c r="GK132" s="470"/>
      <c r="GL132" s="470"/>
      <c r="GM132" s="470"/>
      <c r="GN132" s="470"/>
      <c r="GO132" s="470"/>
      <c r="GP132" s="470"/>
      <c r="GQ132" s="470"/>
      <c r="GR132" s="470"/>
      <c r="GS132" s="470"/>
      <c r="GT132" s="470"/>
      <c r="GU132" s="470"/>
      <c r="GV132" s="470"/>
      <c r="GW132" s="470"/>
      <c r="GX132" s="470"/>
      <c r="GY132" s="470"/>
      <c r="GZ132" s="470"/>
      <c r="HA132" s="470"/>
      <c r="HB132" s="470"/>
      <c r="HC132" s="470"/>
      <c r="HD132" s="470"/>
      <c r="HE132" s="470"/>
      <c r="HF132" s="470"/>
      <c r="HG132" s="470"/>
      <c r="HH132" s="470"/>
      <c r="HI132" s="470"/>
      <c r="HJ132" s="470"/>
      <c r="HK132" s="470"/>
      <c r="HL132" s="470"/>
      <c r="HM132" s="470"/>
      <c r="HN132" s="470"/>
      <c r="HO132" s="470"/>
      <c r="HP132" s="470"/>
      <c r="HQ132" s="470"/>
      <c r="HR132" s="470"/>
      <c r="HS132" s="470"/>
      <c r="HT132" s="470"/>
      <c r="HU132" s="470"/>
      <c r="HV132" s="470"/>
      <c r="HW132" s="470"/>
      <c r="HX132" s="470"/>
      <c r="HY132" s="470"/>
      <c r="HZ132" s="470"/>
      <c r="IA132" s="470"/>
      <c r="IB132" s="470"/>
      <c r="IC132" s="470"/>
      <c r="ID132" s="470"/>
      <c r="IE132" s="470"/>
      <c r="IF132" s="470"/>
      <c r="IG132" s="470"/>
      <c r="IH132" s="470"/>
      <c r="II132" s="470"/>
      <c r="IJ132" s="470"/>
      <c r="IK132" s="470"/>
      <c r="IL132" s="470"/>
      <c r="IM132" s="470"/>
      <c r="IN132" s="470"/>
      <c r="IO132" s="470"/>
      <c r="IP132" s="470"/>
      <c r="IQ132" s="470"/>
    </row>
    <row r="133" spans="1:251" x14ac:dyDescent="0.2">
      <c r="A133" s="453" t="s">
        <v>9976</v>
      </c>
      <c r="B133" s="453" t="s">
        <v>9977</v>
      </c>
      <c r="C133" s="473" t="s">
        <v>386</v>
      </c>
      <c r="D133" s="455" t="s">
        <v>9709</v>
      </c>
      <c r="E133" s="456" t="s">
        <v>9710</v>
      </c>
      <c r="F133" s="456" t="s">
        <v>9953</v>
      </c>
      <c r="G133" s="456" t="s">
        <v>7180</v>
      </c>
      <c r="H133" s="457">
        <v>474.12</v>
      </c>
      <c r="I133" s="457">
        <f t="shared" si="7"/>
        <v>509.67899999999997</v>
      </c>
      <c r="J133" s="457" t="s">
        <v>9706</v>
      </c>
      <c r="K133" s="458">
        <v>0.3</v>
      </c>
      <c r="L133" s="459">
        <f t="shared" ref="L133:L196" si="8">H133*(1-K133)</f>
        <v>331.88399999999996</v>
      </c>
      <c r="M133" s="460">
        <v>0.18</v>
      </c>
      <c r="N133" s="461">
        <f t="shared" ref="N133:N196" si="9">I133*(1-M133)</f>
        <v>417.93678</v>
      </c>
      <c r="O133" s="462">
        <v>0.1</v>
      </c>
      <c r="P133" s="463">
        <f t="shared" ref="P133:P196" si="10">I133*(1-O133)</f>
        <v>458.71109999999999</v>
      </c>
      <c r="Q133" s="464"/>
      <c r="R133" s="465">
        <v>1</v>
      </c>
      <c r="S133" s="465">
        <v>1</v>
      </c>
      <c r="T133" s="465">
        <v>1</v>
      </c>
      <c r="U133" s="466"/>
      <c r="V133" s="470"/>
      <c r="W133" s="470"/>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c r="AU133" s="470"/>
      <c r="AV133" s="470"/>
      <c r="AW133" s="470"/>
      <c r="AX133" s="470"/>
      <c r="AY133" s="470"/>
      <c r="AZ133" s="470"/>
      <c r="BA133" s="470"/>
      <c r="BB133" s="470"/>
      <c r="BC133" s="470"/>
      <c r="BD133" s="470"/>
      <c r="BE133" s="470"/>
      <c r="BF133" s="470"/>
      <c r="BG133" s="470"/>
      <c r="BH133" s="470"/>
      <c r="BI133" s="470"/>
      <c r="BJ133" s="470"/>
      <c r="BK133" s="470"/>
      <c r="BL133" s="470"/>
      <c r="BM133" s="470"/>
      <c r="BN133" s="470"/>
      <c r="BO133" s="470"/>
      <c r="BP133" s="470"/>
      <c r="BQ133" s="470"/>
      <c r="BR133" s="470"/>
      <c r="BS133" s="470"/>
      <c r="BT133" s="470"/>
      <c r="BU133" s="470"/>
      <c r="BV133" s="470"/>
      <c r="BW133" s="470"/>
      <c r="BX133" s="470"/>
      <c r="BY133" s="470"/>
      <c r="BZ133" s="470"/>
      <c r="CA133" s="470"/>
      <c r="CB133" s="470"/>
      <c r="CC133" s="470"/>
      <c r="CD133" s="470"/>
      <c r="CE133" s="470"/>
      <c r="CF133" s="470"/>
      <c r="CG133" s="470"/>
      <c r="CH133" s="470"/>
      <c r="CI133" s="470"/>
      <c r="CJ133" s="470"/>
      <c r="CK133" s="470"/>
      <c r="CL133" s="470"/>
      <c r="CM133" s="470"/>
      <c r="CN133" s="470"/>
      <c r="CO133" s="470"/>
      <c r="CP133" s="470"/>
      <c r="CQ133" s="470"/>
      <c r="CR133" s="470"/>
      <c r="CS133" s="470"/>
      <c r="CT133" s="470"/>
      <c r="CU133" s="470"/>
      <c r="CV133" s="470"/>
      <c r="CW133" s="470"/>
      <c r="CX133" s="470"/>
      <c r="CY133" s="470"/>
      <c r="CZ133" s="470"/>
      <c r="DA133" s="470"/>
      <c r="DB133" s="470"/>
      <c r="DC133" s="470"/>
      <c r="DD133" s="470"/>
      <c r="DE133" s="470"/>
      <c r="DF133" s="470"/>
      <c r="DG133" s="470"/>
      <c r="DH133" s="470"/>
      <c r="DI133" s="470"/>
      <c r="DJ133" s="470"/>
      <c r="DK133" s="470"/>
      <c r="DL133" s="470"/>
      <c r="DM133" s="470"/>
      <c r="DN133" s="470"/>
      <c r="DO133" s="470"/>
      <c r="DP133" s="470"/>
      <c r="DQ133" s="470"/>
      <c r="DR133" s="470"/>
      <c r="DS133" s="470"/>
      <c r="DT133" s="470"/>
      <c r="DU133" s="470"/>
      <c r="DV133" s="470"/>
      <c r="DW133" s="470"/>
      <c r="DX133" s="470"/>
      <c r="DY133" s="470"/>
      <c r="DZ133" s="470"/>
      <c r="EA133" s="470"/>
      <c r="EB133" s="470"/>
      <c r="EC133" s="470"/>
      <c r="ED133" s="470"/>
      <c r="EE133" s="470"/>
      <c r="EF133" s="470"/>
      <c r="EG133" s="470"/>
      <c r="EH133" s="470"/>
      <c r="EI133" s="470"/>
      <c r="EJ133" s="470"/>
      <c r="EK133" s="470"/>
      <c r="EL133" s="470"/>
      <c r="EM133" s="470"/>
      <c r="EN133" s="470"/>
      <c r="EO133" s="470"/>
      <c r="EP133" s="470"/>
      <c r="EQ133" s="470"/>
      <c r="ER133" s="470"/>
      <c r="ES133" s="470"/>
      <c r="ET133" s="470"/>
      <c r="EU133" s="470"/>
      <c r="EV133" s="470"/>
      <c r="EW133" s="470"/>
      <c r="EX133" s="470"/>
      <c r="EY133" s="470"/>
      <c r="EZ133" s="470"/>
      <c r="FA133" s="470"/>
      <c r="FB133" s="470"/>
      <c r="FC133" s="470"/>
      <c r="FD133" s="470"/>
      <c r="FE133" s="470"/>
      <c r="FF133" s="470"/>
      <c r="FG133" s="470"/>
      <c r="FH133" s="470"/>
      <c r="FI133" s="470"/>
      <c r="FJ133" s="470"/>
      <c r="FK133" s="470"/>
      <c r="FL133" s="470"/>
      <c r="FM133" s="470"/>
      <c r="FN133" s="470"/>
      <c r="FO133" s="470"/>
      <c r="FP133" s="470"/>
      <c r="FQ133" s="470"/>
      <c r="FR133" s="470"/>
      <c r="FS133" s="470"/>
      <c r="FT133" s="470"/>
      <c r="FU133" s="470"/>
      <c r="FV133" s="470"/>
      <c r="FW133" s="470"/>
      <c r="FX133" s="470"/>
      <c r="FY133" s="470"/>
      <c r="FZ133" s="470"/>
      <c r="GA133" s="470"/>
      <c r="GB133" s="470"/>
      <c r="GC133" s="470"/>
      <c r="GD133" s="470"/>
      <c r="GE133" s="470"/>
      <c r="GF133" s="470"/>
      <c r="GG133" s="470"/>
      <c r="GH133" s="470"/>
      <c r="GI133" s="470"/>
      <c r="GJ133" s="470"/>
      <c r="GK133" s="470"/>
      <c r="GL133" s="470"/>
      <c r="GM133" s="470"/>
      <c r="GN133" s="470"/>
      <c r="GO133" s="470"/>
      <c r="GP133" s="470"/>
      <c r="GQ133" s="470"/>
      <c r="GR133" s="470"/>
      <c r="GS133" s="470"/>
      <c r="GT133" s="470"/>
      <c r="GU133" s="470"/>
      <c r="GV133" s="470"/>
      <c r="GW133" s="470"/>
      <c r="GX133" s="470"/>
      <c r="GY133" s="470"/>
      <c r="GZ133" s="470"/>
      <c r="HA133" s="470"/>
      <c r="HB133" s="470"/>
      <c r="HC133" s="470"/>
      <c r="HD133" s="470"/>
      <c r="HE133" s="470"/>
      <c r="HF133" s="470"/>
      <c r="HG133" s="470"/>
      <c r="HH133" s="470"/>
      <c r="HI133" s="470"/>
      <c r="HJ133" s="470"/>
      <c r="HK133" s="470"/>
      <c r="HL133" s="470"/>
      <c r="HM133" s="470"/>
      <c r="HN133" s="470"/>
      <c r="HO133" s="470"/>
      <c r="HP133" s="470"/>
      <c r="HQ133" s="470"/>
      <c r="HR133" s="470"/>
      <c r="HS133" s="470"/>
      <c r="HT133" s="470"/>
      <c r="HU133" s="470"/>
      <c r="HV133" s="470"/>
      <c r="HW133" s="470"/>
      <c r="HX133" s="470"/>
      <c r="HY133" s="470"/>
      <c r="HZ133" s="470"/>
      <c r="IA133" s="470"/>
      <c r="IB133" s="470"/>
      <c r="IC133" s="470"/>
      <c r="ID133" s="470"/>
      <c r="IE133" s="470"/>
      <c r="IF133" s="470"/>
      <c r="IG133" s="470"/>
      <c r="IH133" s="470"/>
      <c r="II133" s="470"/>
      <c r="IJ133" s="470"/>
      <c r="IK133" s="470"/>
      <c r="IL133" s="470"/>
      <c r="IM133" s="470"/>
      <c r="IN133" s="470"/>
      <c r="IO133" s="470"/>
      <c r="IP133" s="470"/>
      <c r="IQ133" s="470"/>
    </row>
    <row r="134" spans="1:251" x14ac:dyDescent="0.2">
      <c r="A134" s="453" t="s">
        <v>9978</v>
      </c>
      <c r="B134" s="453" t="s">
        <v>9979</v>
      </c>
      <c r="C134" s="473" t="s">
        <v>386</v>
      </c>
      <c r="D134" s="455" t="s">
        <v>9709</v>
      </c>
      <c r="E134" s="456" t="s">
        <v>9710</v>
      </c>
      <c r="F134" s="456" t="s">
        <v>9953</v>
      </c>
      <c r="G134" s="456" t="s">
        <v>7180</v>
      </c>
      <c r="H134" s="457">
        <v>474.12</v>
      </c>
      <c r="I134" s="457">
        <f t="shared" ref="I134:I197" si="11">H134*(1+0.075)</f>
        <v>509.67899999999997</v>
      </c>
      <c r="J134" s="457" t="s">
        <v>9706</v>
      </c>
      <c r="K134" s="458">
        <v>0.3</v>
      </c>
      <c r="L134" s="459">
        <f t="shared" si="8"/>
        <v>331.88399999999996</v>
      </c>
      <c r="M134" s="460">
        <v>0.18</v>
      </c>
      <c r="N134" s="461">
        <f t="shared" si="9"/>
        <v>417.93678</v>
      </c>
      <c r="O134" s="462">
        <v>0.1</v>
      </c>
      <c r="P134" s="463">
        <f t="shared" si="10"/>
        <v>458.71109999999999</v>
      </c>
      <c r="Q134" s="464"/>
      <c r="R134" s="476">
        <v>1</v>
      </c>
      <c r="S134" s="476">
        <v>1</v>
      </c>
      <c r="T134" s="476">
        <v>1</v>
      </c>
      <c r="U134" s="477"/>
      <c r="V134" s="470"/>
      <c r="W134" s="470"/>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c r="AU134" s="470"/>
      <c r="AV134" s="470"/>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470"/>
      <c r="CB134" s="470"/>
      <c r="CC134" s="470"/>
      <c r="CD134" s="470"/>
      <c r="CE134" s="470"/>
      <c r="CF134" s="470"/>
      <c r="CG134" s="470"/>
      <c r="CH134" s="470"/>
      <c r="CI134" s="470"/>
      <c r="CJ134" s="470"/>
      <c r="CK134" s="470"/>
      <c r="CL134" s="470"/>
      <c r="CM134" s="470"/>
      <c r="CN134" s="470"/>
      <c r="CO134" s="470"/>
      <c r="CP134" s="470"/>
      <c r="CQ134" s="470"/>
      <c r="CR134" s="470"/>
      <c r="CS134" s="470"/>
      <c r="CT134" s="470"/>
      <c r="CU134" s="470"/>
      <c r="CV134" s="470"/>
      <c r="CW134" s="470"/>
      <c r="CX134" s="470"/>
      <c r="CY134" s="470"/>
      <c r="CZ134" s="470"/>
      <c r="DA134" s="470"/>
      <c r="DB134" s="470"/>
      <c r="DC134" s="470"/>
      <c r="DD134" s="470"/>
      <c r="DE134" s="470"/>
      <c r="DF134" s="470"/>
      <c r="DG134" s="470"/>
      <c r="DH134" s="470"/>
      <c r="DI134" s="470"/>
      <c r="DJ134" s="470"/>
      <c r="DK134" s="470"/>
      <c r="DL134" s="470"/>
      <c r="DM134" s="470"/>
      <c r="DN134" s="470"/>
      <c r="DO134" s="470"/>
      <c r="DP134" s="470"/>
      <c r="DQ134" s="470"/>
      <c r="DR134" s="470"/>
      <c r="DS134" s="470"/>
      <c r="DT134" s="470"/>
      <c r="DU134" s="470"/>
      <c r="DV134" s="470"/>
      <c r="DW134" s="470"/>
      <c r="DX134" s="470"/>
      <c r="DY134" s="470"/>
      <c r="DZ134" s="470"/>
      <c r="EA134" s="470"/>
      <c r="EB134" s="470"/>
      <c r="EC134" s="470"/>
      <c r="ED134" s="470"/>
      <c r="EE134" s="470"/>
      <c r="EF134" s="470"/>
      <c r="EG134" s="470"/>
      <c r="EH134" s="470"/>
      <c r="EI134" s="470"/>
      <c r="EJ134" s="470"/>
      <c r="EK134" s="470"/>
      <c r="EL134" s="470"/>
      <c r="EM134" s="470"/>
      <c r="EN134" s="470"/>
      <c r="EO134" s="470"/>
      <c r="EP134" s="470"/>
      <c r="EQ134" s="470"/>
      <c r="ER134" s="470"/>
      <c r="ES134" s="470"/>
      <c r="ET134" s="470"/>
      <c r="EU134" s="470"/>
      <c r="EV134" s="470"/>
      <c r="EW134" s="470"/>
      <c r="EX134" s="470"/>
      <c r="EY134" s="470"/>
      <c r="EZ134" s="470"/>
      <c r="FA134" s="470"/>
      <c r="FB134" s="470"/>
      <c r="FC134" s="470"/>
      <c r="FD134" s="470"/>
      <c r="FE134" s="470"/>
      <c r="FF134" s="470"/>
      <c r="FG134" s="470"/>
      <c r="FH134" s="470"/>
      <c r="FI134" s="470"/>
      <c r="FJ134" s="470"/>
      <c r="FK134" s="470"/>
      <c r="FL134" s="470"/>
      <c r="FM134" s="470"/>
      <c r="FN134" s="470"/>
      <c r="FO134" s="470"/>
      <c r="FP134" s="470"/>
      <c r="FQ134" s="470"/>
      <c r="FR134" s="470"/>
      <c r="FS134" s="470"/>
      <c r="FT134" s="470"/>
      <c r="FU134" s="470"/>
      <c r="FV134" s="470"/>
      <c r="FW134" s="470"/>
      <c r="FX134" s="470"/>
      <c r="FY134" s="470"/>
      <c r="FZ134" s="470"/>
      <c r="GA134" s="470"/>
      <c r="GB134" s="470"/>
      <c r="GC134" s="470"/>
      <c r="GD134" s="470"/>
      <c r="GE134" s="470"/>
      <c r="GF134" s="470"/>
      <c r="GG134" s="470"/>
      <c r="GH134" s="470"/>
      <c r="GI134" s="470"/>
      <c r="GJ134" s="470"/>
      <c r="GK134" s="470"/>
      <c r="GL134" s="470"/>
      <c r="GM134" s="470"/>
      <c r="GN134" s="470"/>
      <c r="GO134" s="470"/>
      <c r="GP134" s="470"/>
      <c r="GQ134" s="470"/>
      <c r="GR134" s="470"/>
      <c r="GS134" s="470"/>
      <c r="GT134" s="470"/>
      <c r="GU134" s="470"/>
      <c r="GV134" s="470"/>
      <c r="GW134" s="470"/>
      <c r="GX134" s="470"/>
      <c r="GY134" s="470"/>
      <c r="GZ134" s="470"/>
      <c r="HA134" s="470"/>
      <c r="HB134" s="470"/>
      <c r="HC134" s="470"/>
      <c r="HD134" s="470"/>
      <c r="HE134" s="470"/>
      <c r="HF134" s="470"/>
      <c r="HG134" s="470"/>
      <c r="HH134" s="470"/>
      <c r="HI134" s="470"/>
      <c r="HJ134" s="470"/>
      <c r="HK134" s="470"/>
      <c r="HL134" s="470"/>
      <c r="HM134" s="470"/>
      <c r="HN134" s="470"/>
      <c r="HO134" s="470"/>
      <c r="HP134" s="470"/>
      <c r="HQ134" s="470"/>
      <c r="HR134" s="470"/>
      <c r="HS134" s="470"/>
      <c r="HT134" s="470"/>
      <c r="HU134" s="470"/>
      <c r="HV134" s="470"/>
      <c r="HW134" s="470"/>
      <c r="HX134" s="470"/>
      <c r="HY134" s="470"/>
      <c r="HZ134" s="470"/>
      <c r="IA134" s="470"/>
      <c r="IB134" s="470"/>
      <c r="IC134" s="470"/>
      <c r="ID134" s="470"/>
      <c r="IE134" s="470"/>
      <c r="IF134" s="470"/>
      <c r="IG134" s="470"/>
      <c r="IH134" s="470"/>
      <c r="II134" s="470"/>
      <c r="IJ134" s="470"/>
      <c r="IK134" s="470"/>
      <c r="IL134" s="470"/>
      <c r="IM134" s="470"/>
      <c r="IN134" s="470"/>
      <c r="IO134" s="470"/>
      <c r="IP134" s="470"/>
      <c r="IQ134" s="470"/>
    </row>
    <row r="135" spans="1:251" x14ac:dyDescent="0.2">
      <c r="A135" s="453" t="s">
        <v>9980</v>
      </c>
      <c r="B135" s="453" t="s">
        <v>9981</v>
      </c>
      <c r="C135" s="473" t="s">
        <v>386</v>
      </c>
      <c r="D135" s="455" t="s">
        <v>9709</v>
      </c>
      <c r="E135" s="456" t="s">
        <v>9716</v>
      </c>
      <c r="F135" s="456" t="s">
        <v>9953</v>
      </c>
      <c r="G135" s="456" t="s">
        <v>7180</v>
      </c>
      <c r="H135" s="457">
        <v>495.72</v>
      </c>
      <c r="I135" s="457">
        <f t="shared" si="11"/>
        <v>532.899</v>
      </c>
      <c r="J135" s="457" t="s">
        <v>9706</v>
      </c>
      <c r="K135" s="458">
        <v>0.3</v>
      </c>
      <c r="L135" s="459">
        <f t="shared" si="8"/>
        <v>347.00400000000002</v>
      </c>
      <c r="M135" s="460">
        <v>0.18</v>
      </c>
      <c r="N135" s="461">
        <f t="shared" si="9"/>
        <v>436.97718000000003</v>
      </c>
      <c r="O135" s="462">
        <v>0.1</v>
      </c>
      <c r="P135" s="463">
        <f t="shared" si="10"/>
        <v>479.60910000000001</v>
      </c>
      <c r="Q135" s="464"/>
      <c r="R135" s="465">
        <v>1</v>
      </c>
      <c r="S135" s="465">
        <v>1</v>
      </c>
      <c r="T135" s="465">
        <v>1</v>
      </c>
      <c r="U135" s="466"/>
      <c r="V135" s="470"/>
      <c r="W135" s="470"/>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c r="BW135" s="470"/>
      <c r="BX135" s="470"/>
      <c r="BY135" s="470"/>
      <c r="BZ135" s="470"/>
      <c r="CA135" s="470"/>
      <c r="CB135" s="470"/>
      <c r="CC135" s="470"/>
      <c r="CD135" s="470"/>
      <c r="CE135" s="470"/>
      <c r="CF135" s="470"/>
      <c r="CG135" s="470"/>
      <c r="CH135" s="470"/>
      <c r="CI135" s="470"/>
      <c r="CJ135" s="470"/>
      <c r="CK135" s="470"/>
      <c r="CL135" s="470"/>
      <c r="CM135" s="470"/>
      <c r="CN135" s="470"/>
      <c r="CO135" s="470"/>
      <c r="CP135" s="470"/>
      <c r="CQ135" s="470"/>
      <c r="CR135" s="470"/>
      <c r="CS135" s="470"/>
      <c r="CT135" s="470"/>
      <c r="CU135" s="470"/>
      <c r="CV135" s="470"/>
      <c r="CW135" s="470"/>
      <c r="CX135" s="470"/>
      <c r="CY135" s="470"/>
      <c r="CZ135" s="470"/>
      <c r="DA135" s="470"/>
      <c r="DB135" s="470"/>
      <c r="DC135" s="470"/>
      <c r="DD135" s="470"/>
      <c r="DE135" s="470"/>
      <c r="DF135" s="470"/>
      <c r="DG135" s="470"/>
      <c r="DH135" s="470"/>
      <c r="DI135" s="470"/>
      <c r="DJ135" s="470"/>
      <c r="DK135" s="470"/>
      <c r="DL135" s="470"/>
      <c r="DM135" s="470"/>
      <c r="DN135" s="470"/>
      <c r="DO135" s="470"/>
      <c r="DP135" s="470"/>
      <c r="DQ135" s="470"/>
      <c r="DR135" s="470"/>
      <c r="DS135" s="470"/>
      <c r="DT135" s="470"/>
      <c r="DU135" s="470"/>
      <c r="DV135" s="470"/>
      <c r="DW135" s="470"/>
      <c r="DX135" s="470"/>
      <c r="DY135" s="470"/>
      <c r="DZ135" s="470"/>
      <c r="EA135" s="470"/>
      <c r="EB135" s="470"/>
      <c r="EC135" s="470"/>
      <c r="ED135" s="470"/>
      <c r="EE135" s="470"/>
      <c r="EF135" s="470"/>
      <c r="EG135" s="470"/>
      <c r="EH135" s="470"/>
      <c r="EI135" s="470"/>
      <c r="EJ135" s="470"/>
      <c r="EK135" s="470"/>
      <c r="EL135" s="470"/>
      <c r="EM135" s="470"/>
      <c r="EN135" s="470"/>
      <c r="EO135" s="470"/>
      <c r="EP135" s="470"/>
      <c r="EQ135" s="470"/>
      <c r="ER135" s="470"/>
      <c r="ES135" s="470"/>
      <c r="ET135" s="470"/>
      <c r="EU135" s="470"/>
      <c r="EV135" s="470"/>
      <c r="EW135" s="470"/>
      <c r="EX135" s="470"/>
      <c r="EY135" s="470"/>
      <c r="EZ135" s="470"/>
      <c r="FA135" s="470"/>
      <c r="FB135" s="470"/>
      <c r="FC135" s="470"/>
      <c r="FD135" s="470"/>
      <c r="FE135" s="470"/>
      <c r="FF135" s="470"/>
      <c r="FG135" s="470"/>
      <c r="FH135" s="470"/>
      <c r="FI135" s="470"/>
      <c r="FJ135" s="470"/>
      <c r="FK135" s="470"/>
      <c r="FL135" s="470"/>
      <c r="FM135" s="470"/>
      <c r="FN135" s="470"/>
      <c r="FO135" s="470"/>
      <c r="FP135" s="470"/>
      <c r="FQ135" s="470"/>
      <c r="FR135" s="470"/>
      <c r="FS135" s="470"/>
      <c r="FT135" s="470"/>
      <c r="FU135" s="470"/>
      <c r="FV135" s="470"/>
      <c r="FW135" s="470"/>
      <c r="FX135" s="470"/>
      <c r="FY135" s="470"/>
      <c r="FZ135" s="470"/>
      <c r="GA135" s="470"/>
      <c r="GB135" s="470"/>
      <c r="GC135" s="470"/>
      <c r="GD135" s="470"/>
      <c r="GE135" s="470"/>
      <c r="GF135" s="470"/>
      <c r="GG135" s="470"/>
      <c r="GH135" s="470"/>
      <c r="GI135" s="470"/>
      <c r="GJ135" s="470"/>
      <c r="GK135" s="470"/>
      <c r="GL135" s="470"/>
      <c r="GM135" s="470"/>
      <c r="GN135" s="470"/>
      <c r="GO135" s="470"/>
      <c r="GP135" s="470"/>
      <c r="GQ135" s="470"/>
      <c r="GR135" s="470"/>
      <c r="GS135" s="470"/>
      <c r="GT135" s="470"/>
      <c r="GU135" s="470"/>
      <c r="GV135" s="470"/>
      <c r="GW135" s="470"/>
      <c r="GX135" s="470"/>
      <c r="GY135" s="470"/>
      <c r="GZ135" s="470"/>
      <c r="HA135" s="470"/>
      <c r="HB135" s="470"/>
      <c r="HC135" s="470"/>
      <c r="HD135" s="470"/>
      <c r="HE135" s="470"/>
      <c r="HF135" s="470"/>
      <c r="HG135" s="470"/>
      <c r="HH135" s="470"/>
      <c r="HI135" s="470"/>
      <c r="HJ135" s="470"/>
      <c r="HK135" s="470"/>
      <c r="HL135" s="470"/>
      <c r="HM135" s="470"/>
      <c r="HN135" s="470"/>
      <c r="HO135" s="470"/>
      <c r="HP135" s="470"/>
      <c r="HQ135" s="470"/>
      <c r="HR135" s="470"/>
      <c r="HS135" s="470"/>
      <c r="HT135" s="470"/>
      <c r="HU135" s="470"/>
      <c r="HV135" s="470"/>
      <c r="HW135" s="470"/>
      <c r="HX135" s="470"/>
      <c r="HY135" s="470"/>
      <c r="HZ135" s="470"/>
      <c r="IA135" s="470"/>
      <c r="IB135" s="470"/>
      <c r="IC135" s="470"/>
      <c r="ID135" s="470"/>
      <c r="IE135" s="470"/>
      <c r="IF135" s="470"/>
      <c r="IG135" s="470"/>
      <c r="IH135" s="470"/>
      <c r="II135" s="470"/>
      <c r="IJ135" s="470"/>
      <c r="IK135" s="470"/>
      <c r="IL135" s="470"/>
      <c r="IM135" s="470"/>
      <c r="IN135" s="470"/>
      <c r="IO135" s="470"/>
      <c r="IP135" s="470"/>
      <c r="IQ135" s="470"/>
    </row>
    <row r="136" spans="1:251" x14ac:dyDescent="0.2">
      <c r="A136" s="453" t="s">
        <v>9982</v>
      </c>
      <c r="B136" s="453" t="s">
        <v>9983</v>
      </c>
      <c r="C136" s="473" t="s">
        <v>386</v>
      </c>
      <c r="D136" s="455" t="s">
        <v>9709</v>
      </c>
      <c r="E136" s="456" t="s">
        <v>9716</v>
      </c>
      <c r="F136" s="456" t="s">
        <v>9953</v>
      </c>
      <c r="G136" s="456" t="s">
        <v>7180</v>
      </c>
      <c r="H136" s="457">
        <v>495.72</v>
      </c>
      <c r="I136" s="457">
        <f t="shared" si="11"/>
        <v>532.899</v>
      </c>
      <c r="J136" s="457" t="s">
        <v>9706</v>
      </c>
      <c r="K136" s="458">
        <v>0.3</v>
      </c>
      <c r="L136" s="459">
        <f t="shared" si="8"/>
        <v>347.00400000000002</v>
      </c>
      <c r="M136" s="460">
        <v>0.18</v>
      </c>
      <c r="N136" s="461">
        <f t="shared" si="9"/>
        <v>436.97718000000003</v>
      </c>
      <c r="O136" s="462">
        <v>0.1</v>
      </c>
      <c r="P136" s="463">
        <f t="shared" si="10"/>
        <v>479.60910000000001</v>
      </c>
      <c r="Q136" s="464"/>
      <c r="R136" s="465">
        <v>4</v>
      </c>
      <c r="S136" s="465">
        <v>4</v>
      </c>
      <c r="T136" s="465">
        <v>4</v>
      </c>
      <c r="U136" s="466"/>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c r="BW136" s="470"/>
      <c r="BX136" s="470"/>
      <c r="BY136" s="470"/>
      <c r="BZ136" s="470"/>
      <c r="CA136" s="470"/>
      <c r="CB136" s="470"/>
      <c r="CC136" s="470"/>
      <c r="CD136" s="470"/>
      <c r="CE136" s="470"/>
      <c r="CF136" s="470"/>
      <c r="CG136" s="470"/>
      <c r="CH136" s="470"/>
      <c r="CI136" s="470"/>
      <c r="CJ136" s="470"/>
      <c r="CK136" s="470"/>
      <c r="CL136" s="470"/>
      <c r="CM136" s="470"/>
      <c r="CN136" s="470"/>
      <c r="CO136" s="470"/>
      <c r="CP136" s="470"/>
      <c r="CQ136" s="470"/>
      <c r="CR136" s="470"/>
      <c r="CS136" s="470"/>
      <c r="CT136" s="470"/>
      <c r="CU136" s="470"/>
      <c r="CV136" s="470"/>
      <c r="CW136" s="470"/>
      <c r="CX136" s="470"/>
      <c r="CY136" s="470"/>
      <c r="CZ136" s="470"/>
      <c r="DA136" s="470"/>
      <c r="DB136" s="470"/>
      <c r="DC136" s="470"/>
      <c r="DD136" s="470"/>
      <c r="DE136" s="470"/>
      <c r="DF136" s="470"/>
      <c r="DG136" s="470"/>
      <c r="DH136" s="470"/>
      <c r="DI136" s="470"/>
      <c r="DJ136" s="470"/>
      <c r="DK136" s="470"/>
      <c r="DL136" s="470"/>
      <c r="DM136" s="470"/>
      <c r="DN136" s="470"/>
      <c r="DO136" s="470"/>
      <c r="DP136" s="470"/>
      <c r="DQ136" s="470"/>
      <c r="DR136" s="470"/>
      <c r="DS136" s="470"/>
      <c r="DT136" s="470"/>
      <c r="DU136" s="470"/>
      <c r="DV136" s="470"/>
      <c r="DW136" s="470"/>
      <c r="DX136" s="470"/>
      <c r="DY136" s="470"/>
      <c r="DZ136" s="470"/>
      <c r="EA136" s="470"/>
      <c r="EB136" s="470"/>
      <c r="EC136" s="470"/>
      <c r="ED136" s="470"/>
      <c r="EE136" s="470"/>
      <c r="EF136" s="470"/>
      <c r="EG136" s="470"/>
      <c r="EH136" s="470"/>
      <c r="EI136" s="470"/>
      <c r="EJ136" s="470"/>
      <c r="EK136" s="470"/>
      <c r="EL136" s="470"/>
      <c r="EM136" s="470"/>
      <c r="EN136" s="470"/>
      <c r="EO136" s="470"/>
      <c r="EP136" s="470"/>
      <c r="EQ136" s="470"/>
      <c r="ER136" s="470"/>
      <c r="ES136" s="470"/>
      <c r="ET136" s="470"/>
      <c r="EU136" s="470"/>
      <c r="EV136" s="470"/>
      <c r="EW136" s="470"/>
      <c r="EX136" s="470"/>
      <c r="EY136" s="470"/>
      <c r="EZ136" s="470"/>
      <c r="FA136" s="470"/>
      <c r="FB136" s="470"/>
      <c r="FC136" s="470"/>
      <c r="FD136" s="470"/>
      <c r="FE136" s="470"/>
      <c r="FF136" s="470"/>
      <c r="FG136" s="470"/>
      <c r="FH136" s="470"/>
      <c r="FI136" s="470"/>
      <c r="FJ136" s="470"/>
      <c r="FK136" s="470"/>
      <c r="FL136" s="470"/>
      <c r="FM136" s="470"/>
      <c r="FN136" s="470"/>
      <c r="FO136" s="470"/>
      <c r="FP136" s="470"/>
      <c r="FQ136" s="470"/>
      <c r="FR136" s="470"/>
      <c r="FS136" s="470"/>
      <c r="FT136" s="470"/>
      <c r="FU136" s="470"/>
      <c r="FV136" s="470"/>
      <c r="FW136" s="470"/>
      <c r="FX136" s="470"/>
      <c r="FY136" s="470"/>
      <c r="FZ136" s="470"/>
      <c r="GA136" s="470"/>
      <c r="GB136" s="470"/>
      <c r="GC136" s="470"/>
      <c r="GD136" s="470"/>
      <c r="GE136" s="470"/>
      <c r="GF136" s="470"/>
      <c r="GG136" s="470"/>
      <c r="GH136" s="470"/>
      <c r="GI136" s="470"/>
      <c r="GJ136" s="470"/>
      <c r="GK136" s="470"/>
      <c r="GL136" s="470"/>
      <c r="GM136" s="470"/>
      <c r="GN136" s="470"/>
      <c r="GO136" s="470"/>
      <c r="GP136" s="470"/>
      <c r="GQ136" s="470"/>
      <c r="GR136" s="470"/>
      <c r="GS136" s="470"/>
      <c r="GT136" s="470"/>
      <c r="GU136" s="470"/>
      <c r="GV136" s="470"/>
      <c r="GW136" s="470"/>
      <c r="GX136" s="470"/>
      <c r="GY136" s="470"/>
      <c r="GZ136" s="470"/>
      <c r="HA136" s="470"/>
      <c r="HB136" s="470"/>
      <c r="HC136" s="470"/>
      <c r="HD136" s="470"/>
      <c r="HE136" s="470"/>
      <c r="HF136" s="470"/>
      <c r="HG136" s="470"/>
      <c r="HH136" s="470"/>
      <c r="HI136" s="470"/>
      <c r="HJ136" s="470"/>
      <c r="HK136" s="470"/>
      <c r="HL136" s="470"/>
      <c r="HM136" s="470"/>
      <c r="HN136" s="470"/>
      <c r="HO136" s="470"/>
      <c r="HP136" s="470"/>
      <c r="HQ136" s="470"/>
      <c r="HR136" s="470"/>
      <c r="HS136" s="470"/>
      <c r="HT136" s="470"/>
      <c r="HU136" s="470"/>
      <c r="HV136" s="470"/>
      <c r="HW136" s="470"/>
      <c r="HX136" s="470"/>
      <c r="HY136" s="470"/>
      <c r="HZ136" s="470"/>
      <c r="IA136" s="470"/>
      <c r="IB136" s="470"/>
      <c r="IC136" s="470"/>
      <c r="ID136" s="470"/>
      <c r="IE136" s="470"/>
      <c r="IF136" s="470"/>
      <c r="IG136" s="470"/>
      <c r="IH136" s="470"/>
      <c r="II136" s="470"/>
      <c r="IJ136" s="470"/>
      <c r="IK136" s="470"/>
      <c r="IL136" s="470"/>
      <c r="IM136" s="470"/>
      <c r="IN136" s="470"/>
      <c r="IO136" s="470"/>
      <c r="IP136" s="470"/>
      <c r="IQ136" s="470"/>
    </row>
    <row r="137" spans="1:251" x14ac:dyDescent="0.2">
      <c r="A137" s="453" t="s">
        <v>9984</v>
      </c>
      <c r="B137" s="453" t="s">
        <v>9985</v>
      </c>
      <c r="C137" s="473" t="s">
        <v>386</v>
      </c>
      <c r="D137" s="455" t="s">
        <v>11</v>
      </c>
      <c r="E137" s="456" t="s">
        <v>9705</v>
      </c>
      <c r="F137" s="478" t="s">
        <v>11</v>
      </c>
      <c r="G137" s="456" t="s">
        <v>7070</v>
      </c>
      <c r="H137" s="457">
        <v>182.52</v>
      </c>
      <c r="I137" s="457">
        <f t="shared" si="11"/>
        <v>196.209</v>
      </c>
      <c r="J137" s="457" t="s">
        <v>9706</v>
      </c>
      <c r="K137" s="458">
        <v>0.4</v>
      </c>
      <c r="L137" s="459">
        <f t="shared" si="8"/>
        <v>109.512</v>
      </c>
      <c r="M137" s="479">
        <v>0.3</v>
      </c>
      <c r="N137" s="461">
        <f t="shared" si="9"/>
        <v>137.34629999999999</v>
      </c>
      <c r="O137" s="480">
        <v>0.2</v>
      </c>
      <c r="P137" s="463">
        <f t="shared" si="10"/>
        <v>156.96720000000002</v>
      </c>
      <c r="Q137" s="464"/>
      <c r="R137" s="465">
        <v>4</v>
      </c>
      <c r="S137" s="465">
        <v>4</v>
      </c>
      <c r="T137" s="465">
        <v>4</v>
      </c>
      <c r="U137" s="466"/>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0"/>
      <c r="BF137" s="470"/>
      <c r="BG137" s="470"/>
      <c r="BH137" s="470"/>
      <c r="BI137" s="470"/>
      <c r="BJ137" s="470"/>
      <c r="BK137" s="470"/>
      <c r="BL137" s="470"/>
      <c r="BM137" s="470"/>
      <c r="BN137" s="470"/>
      <c r="BO137" s="470"/>
      <c r="BP137" s="470"/>
      <c r="BQ137" s="470"/>
      <c r="BR137" s="470"/>
      <c r="BS137" s="470"/>
      <c r="BT137" s="470"/>
      <c r="BU137" s="470"/>
      <c r="BV137" s="470"/>
      <c r="BW137" s="470"/>
      <c r="BX137" s="470"/>
      <c r="BY137" s="470"/>
      <c r="BZ137" s="470"/>
      <c r="CA137" s="470"/>
      <c r="CB137" s="470"/>
      <c r="CC137" s="470"/>
      <c r="CD137" s="470"/>
      <c r="CE137" s="470"/>
      <c r="CF137" s="470"/>
      <c r="CG137" s="470"/>
      <c r="CH137" s="470"/>
      <c r="CI137" s="470"/>
      <c r="CJ137" s="470"/>
      <c r="CK137" s="470"/>
      <c r="CL137" s="470"/>
      <c r="CM137" s="470"/>
      <c r="CN137" s="470"/>
      <c r="CO137" s="470"/>
      <c r="CP137" s="470"/>
      <c r="CQ137" s="470"/>
      <c r="CR137" s="470"/>
      <c r="CS137" s="470"/>
      <c r="CT137" s="470"/>
      <c r="CU137" s="470"/>
      <c r="CV137" s="470"/>
      <c r="CW137" s="470"/>
      <c r="CX137" s="470"/>
      <c r="CY137" s="470"/>
      <c r="CZ137" s="470"/>
      <c r="DA137" s="470"/>
      <c r="DB137" s="470"/>
      <c r="DC137" s="470"/>
      <c r="DD137" s="470"/>
      <c r="DE137" s="470"/>
      <c r="DF137" s="470"/>
      <c r="DG137" s="470"/>
      <c r="DH137" s="470"/>
      <c r="DI137" s="470"/>
      <c r="DJ137" s="470"/>
      <c r="DK137" s="470"/>
      <c r="DL137" s="470"/>
      <c r="DM137" s="470"/>
      <c r="DN137" s="470"/>
      <c r="DO137" s="470"/>
      <c r="DP137" s="470"/>
      <c r="DQ137" s="470"/>
      <c r="DR137" s="470"/>
      <c r="DS137" s="470"/>
      <c r="DT137" s="470"/>
      <c r="DU137" s="470"/>
      <c r="DV137" s="470"/>
      <c r="DW137" s="470"/>
      <c r="DX137" s="470"/>
      <c r="DY137" s="470"/>
      <c r="DZ137" s="470"/>
      <c r="EA137" s="470"/>
      <c r="EB137" s="470"/>
      <c r="EC137" s="470"/>
      <c r="ED137" s="470"/>
      <c r="EE137" s="470"/>
      <c r="EF137" s="470"/>
      <c r="EG137" s="470"/>
      <c r="EH137" s="470"/>
      <c r="EI137" s="470"/>
      <c r="EJ137" s="470"/>
      <c r="EK137" s="470"/>
      <c r="EL137" s="470"/>
      <c r="EM137" s="470"/>
      <c r="EN137" s="470"/>
      <c r="EO137" s="470"/>
      <c r="EP137" s="470"/>
      <c r="EQ137" s="470"/>
      <c r="ER137" s="470"/>
      <c r="ES137" s="470"/>
      <c r="ET137" s="470"/>
      <c r="EU137" s="470"/>
      <c r="EV137" s="470"/>
      <c r="EW137" s="470"/>
      <c r="EX137" s="470"/>
      <c r="EY137" s="470"/>
      <c r="EZ137" s="470"/>
      <c r="FA137" s="470"/>
      <c r="FB137" s="470"/>
      <c r="FC137" s="470"/>
      <c r="FD137" s="470"/>
      <c r="FE137" s="470"/>
      <c r="FF137" s="470"/>
      <c r="FG137" s="470"/>
      <c r="FH137" s="470"/>
      <c r="FI137" s="470"/>
      <c r="FJ137" s="470"/>
      <c r="FK137" s="470"/>
      <c r="FL137" s="470"/>
      <c r="FM137" s="470"/>
      <c r="FN137" s="470"/>
      <c r="FO137" s="470"/>
      <c r="FP137" s="470"/>
      <c r="FQ137" s="470"/>
      <c r="FR137" s="470"/>
      <c r="FS137" s="470"/>
      <c r="FT137" s="470"/>
      <c r="FU137" s="470"/>
      <c r="FV137" s="470"/>
      <c r="FW137" s="470"/>
      <c r="FX137" s="470"/>
      <c r="FY137" s="470"/>
      <c r="FZ137" s="470"/>
      <c r="GA137" s="470"/>
      <c r="GB137" s="470"/>
      <c r="GC137" s="470"/>
      <c r="GD137" s="470"/>
      <c r="GE137" s="470"/>
      <c r="GF137" s="470"/>
      <c r="GG137" s="470"/>
      <c r="GH137" s="470"/>
      <c r="GI137" s="470"/>
      <c r="GJ137" s="470"/>
      <c r="GK137" s="470"/>
      <c r="GL137" s="470"/>
      <c r="GM137" s="470"/>
      <c r="GN137" s="470"/>
      <c r="GO137" s="470"/>
      <c r="GP137" s="470"/>
      <c r="GQ137" s="470"/>
      <c r="GR137" s="470"/>
      <c r="GS137" s="470"/>
      <c r="GT137" s="470"/>
      <c r="GU137" s="470"/>
      <c r="GV137" s="470"/>
      <c r="GW137" s="470"/>
      <c r="GX137" s="470"/>
      <c r="GY137" s="470"/>
      <c r="GZ137" s="470"/>
      <c r="HA137" s="470"/>
      <c r="HB137" s="470"/>
      <c r="HC137" s="470"/>
      <c r="HD137" s="470"/>
      <c r="HE137" s="470"/>
      <c r="HF137" s="470"/>
      <c r="HG137" s="470"/>
      <c r="HH137" s="470"/>
      <c r="HI137" s="470"/>
      <c r="HJ137" s="470"/>
      <c r="HK137" s="470"/>
      <c r="HL137" s="470"/>
      <c r="HM137" s="470"/>
      <c r="HN137" s="470"/>
      <c r="HO137" s="470"/>
      <c r="HP137" s="470"/>
      <c r="HQ137" s="470"/>
      <c r="HR137" s="470"/>
      <c r="HS137" s="470"/>
      <c r="HT137" s="470"/>
      <c r="HU137" s="470"/>
      <c r="HV137" s="470"/>
      <c r="HW137" s="470"/>
      <c r="HX137" s="470"/>
      <c r="HY137" s="470"/>
      <c r="HZ137" s="470"/>
      <c r="IA137" s="470"/>
      <c r="IB137" s="470"/>
      <c r="IC137" s="470"/>
      <c r="ID137" s="470"/>
      <c r="IE137" s="470"/>
      <c r="IF137" s="470"/>
      <c r="IG137" s="470"/>
      <c r="IH137" s="470"/>
      <c r="II137" s="470"/>
      <c r="IJ137" s="470"/>
      <c r="IK137" s="470"/>
      <c r="IL137" s="470"/>
      <c r="IM137" s="470"/>
      <c r="IN137" s="470"/>
      <c r="IO137" s="470"/>
      <c r="IP137" s="470"/>
      <c r="IQ137" s="470"/>
    </row>
    <row r="138" spans="1:251" x14ac:dyDescent="0.2">
      <c r="A138" s="452" t="s">
        <v>9986</v>
      </c>
      <c r="B138" s="453" t="s">
        <v>9987</v>
      </c>
      <c r="C138" s="473" t="s">
        <v>386</v>
      </c>
      <c r="D138" s="455" t="s">
        <v>9783</v>
      </c>
      <c r="E138" s="456" t="s">
        <v>9710</v>
      </c>
      <c r="F138" s="456" t="s">
        <v>9988</v>
      </c>
      <c r="G138" s="456" t="s">
        <v>7180</v>
      </c>
      <c r="H138" s="457">
        <v>198.72000000000003</v>
      </c>
      <c r="I138" s="457">
        <f t="shared" si="11"/>
        <v>213.62400000000002</v>
      </c>
      <c r="J138" s="457" t="s">
        <v>9706</v>
      </c>
      <c r="K138" s="458">
        <v>0.3</v>
      </c>
      <c r="L138" s="459">
        <f t="shared" si="8"/>
        <v>139.10400000000001</v>
      </c>
      <c r="M138" s="460">
        <v>0.18</v>
      </c>
      <c r="N138" s="461">
        <f t="shared" si="9"/>
        <v>175.17168000000004</v>
      </c>
      <c r="O138" s="462">
        <v>0.1</v>
      </c>
      <c r="P138" s="463">
        <f t="shared" si="10"/>
        <v>192.26160000000002</v>
      </c>
      <c r="Q138" s="464"/>
      <c r="R138" s="465">
        <v>4</v>
      </c>
      <c r="S138" s="465">
        <v>4</v>
      </c>
      <c r="T138" s="465">
        <v>4</v>
      </c>
      <c r="U138" s="466"/>
      <c r="V138" s="470"/>
      <c r="W138" s="470"/>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c r="BW138" s="470"/>
      <c r="BX138" s="470"/>
      <c r="BY138" s="470"/>
      <c r="BZ138" s="470"/>
      <c r="CA138" s="470"/>
      <c r="CB138" s="470"/>
      <c r="CC138" s="470"/>
      <c r="CD138" s="470"/>
      <c r="CE138" s="470"/>
      <c r="CF138" s="470"/>
      <c r="CG138" s="470"/>
      <c r="CH138" s="470"/>
      <c r="CI138" s="470"/>
      <c r="CJ138" s="470"/>
      <c r="CK138" s="470"/>
      <c r="CL138" s="470"/>
      <c r="CM138" s="470"/>
      <c r="CN138" s="470"/>
      <c r="CO138" s="470"/>
      <c r="CP138" s="470"/>
      <c r="CQ138" s="470"/>
      <c r="CR138" s="470"/>
      <c r="CS138" s="470"/>
      <c r="CT138" s="470"/>
      <c r="CU138" s="470"/>
      <c r="CV138" s="470"/>
      <c r="CW138" s="470"/>
      <c r="CX138" s="470"/>
      <c r="CY138" s="470"/>
      <c r="CZ138" s="470"/>
      <c r="DA138" s="470"/>
      <c r="DB138" s="470"/>
      <c r="DC138" s="470"/>
      <c r="DD138" s="470"/>
      <c r="DE138" s="470"/>
      <c r="DF138" s="470"/>
      <c r="DG138" s="470"/>
      <c r="DH138" s="470"/>
      <c r="DI138" s="470"/>
      <c r="DJ138" s="470"/>
      <c r="DK138" s="470"/>
      <c r="DL138" s="470"/>
      <c r="DM138" s="470"/>
      <c r="DN138" s="470"/>
      <c r="DO138" s="470"/>
      <c r="DP138" s="470"/>
      <c r="DQ138" s="470"/>
      <c r="DR138" s="470"/>
      <c r="DS138" s="470"/>
      <c r="DT138" s="470"/>
      <c r="DU138" s="470"/>
      <c r="DV138" s="470"/>
      <c r="DW138" s="470"/>
      <c r="DX138" s="470"/>
      <c r="DY138" s="470"/>
      <c r="DZ138" s="470"/>
      <c r="EA138" s="470"/>
      <c r="EB138" s="470"/>
      <c r="EC138" s="470"/>
      <c r="ED138" s="470"/>
      <c r="EE138" s="470"/>
      <c r="EF138" s="470"/>
      <c r="EG138" s="470"/>
      <c r="EH138" s="470"/>
      <c r="EI138" s="470"/>
      <c r="EJ138" s="470"/>
      <c r="EK138" s="470"/>
      <c r="EL138" s="470"/>
      <c r="EM138" s="470"/>
      <c r="EN138" s="470"/>
      <c r="EO138" s="470"/>
      <c r="EP138" s="470"/>
      <c r="EQ138" s="470"/>
      <c r="ER138" s="470"/>
      <c r="ES138" s="470"/>
      <c r="ET138" s="470"/>
      <c r="EU138" s="470"/>
      <c r="EV138" s="470"/>
      <c r="EW138" s="470"/>
      <c r="EX138" s="470"/>
      <c r="EY138" s="470"/>
      <c r="EZ138" s="470"/>
      <c r="FA138" s="470"/>
      <c r="FB138" s="470"/>
      <c r="FC138" s="470"/>
      <c r="FD138" s="470"/>
      <c r="FE138" s="470"/>
      <c r="FF138" s="470"/>
      <c r="FG138" s="470"/>
      <c r="FH138" s="470"/>
      <c r="FI138" s="470"/>
      <c r="FJ138" s="470"/>
      <c r="FK138" s="470"/>
      <c r="FL138" s="470"/>
      <c r="FM138" s="470"/>
      <c r="FN138" s="470"/>
      <c r="FO138" s="470"/>
      <c r="FP138" s="470"/>
      <c r="FQ138" s="470"/>
      <c r="FR138" s="470"/>
      <c r="FS138" s="470"/>
      <c r="FT138" s="470"/>
      <c r="FU138" s="470"/>
      <c r="FV138" s="470"/>
      <c r="FW138" s="470"/>
      <c r="FX138" s="470"/>
      <c r="FY138" s="470"/>
      <c r="FZ138" s="470"/>
      <c r="GA138" s="470"/>
      <c r="GB138" s="470"/>
      <c r="GC138" s="470"/>
      <c r="GD138" s="470"/>
      <c r="GE138" s="470"/>
      <c r="GF138" s="470"/>
      <c r="GG138" s="470"/>
      <c r="GH138" s="470"/>
      <c r="GI138" s="470"/>
      <c r="GJ138" s="470"/>
      <c r="GK138" s="470"/>
      <c r="GL138" s="470"/>
      <c r="GM138" s="470"/>
      <c r="GN138" s="470"/>
      <c r="GO138" s="470"/>
      <c r="GP138" s="470"/>
      <c r="GQ138" s="470"/>
      <c r="GR138" s="470"/>
      <c r="GS138" s="470"/>
      <c r="GT138" s="470"/>
      <c r="GU138" s="470"/>
      <c r="GV138" s="470"/>
      <c r="GW138" s="470"/>
      <c r="GX138" s="470"/>
      <c r="GY138" s="470"/>
      <c r="GZ138" s="470"/>
      <c r="HA138" s="470"/>
      <c r="HB138" s="470"/>
      <c r="HC138" s="470"/>
      <c r="HD138" s="470"/>
      <c r="HE138" s="470"/>
      <c r="HF138" s="470"/>
      <c r="HG138" s="470"/>
      <c r="HH138" s="470"/>
      <c r="HI138" s="470"/>
      <c r="HJ138" s="470"/>
      <c r="HK138" s="470"/>
      <c r="HL138" s="470"/>
      <c r="HM138" s="470"/>
      <c r="HN138" s="470"/>
      <c r="HO138" s="470"/>
      <c r="HP138" s="470"/>
      <c r="HQ138" s="470"/>
      <c r="HR138" s="470"/>
      <c r="HS138" s="470"/>
      <c r="HT138" s="470"/>
      <c r="HU138" s="470"/>
      <c r="HV138" s="470"/>
      <c r="HW138" s="470"/>
      <c r="HX138" s="470"/>
      <c r="HY138" s="470"/>
      <c r="HZ138" s="470"/>
      <c r="IA138" s="470"/>
      <c r="IB138" s="470"/>
      <c r="IC138" s="470"/>
      <c r="ID138" s="470"/>
      <c r="IE138" s="470"/>
      <c r="IF138" s="470"/>
      <c r="IG138" s="470"/>
      <c r="IH138" s="470"/>
      <c r="II138" s="470"/>
      <c r="IJ138" s="470"/>
      <c r="IK138" s="470"/>
      <c r="IL138" s="470"/>
      <c r="IM138" s="470"/>
      <c r="IN138" s="470"/>
      <c r="IO138" s="470"/>
      <c r="IP138" s="470"/>
      <c r="IQ138" s="470"/>
    </row>
    <row r="139" spans="1:251" x14ac:dyDescent="0.2">
      <c r="A139" s="452" t="s">
        <v>9989</v>
      </c>
      <c r="B139" s="453" t="s">
        <v>9990</v>
      </c>
      <c r="C139" s="473" t="s">
        <v>386</v>
      </c>
      <c r="D139" s="455" t="s">
        <v>9783</v>
      </c>
      <c r="E139" s="456" t="s">
        <v>9710</v>
      </c>
      <c r="F139" s="456" t="s">
        <v>9988</v>
      </c>
      <c r="G139" s="456" t="s">
        <v>7180</v>
      </c>
      <c r="H139" s="457">
        <v>198.72000000000003</v>
      </c>
      <c r="I139" s="457">
        <f t="shared" si="11"/>
        <v>213.62400000000002</v>
      </c>
      <c r="J139" s="457" t="s">
        <v>9706</v>
      </c>
      <c r="K139" s="458">
        <v>0.3</v>
      </c>
      <c r="L139" s="459">
        <f t="shared" si="8"/>
        <v>139.10400000000001</v>
      </c>
      <c r="M139" s="460">
        <v>0.18</v>
      </c>
      <c r="N139" s="461">
        <f t="shared" si="9"/>
        <v>175.17168000000004</v>
      </c>
      <c r="O139" s="462">
        <v>0.1</v>
      </c>
      <c r="P139" s="463">
        <f t="shared" si="10"/>
        <v>192.26160000000002</v>
      </c>
      <c r="Q139" s="464"/>
      <c r="R139" s="465">
        <v>4</v>
      </c>
      <c r="S139" s="465">
        <v>4</v>
      </c>
      <c r="T139" s="465">
        <v>4</v>
      </c>
      <c r="U139" s="466"/>
      <c r="V139" s="470"/>
      <c r="W139" s="470"/>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470"/>
      <c r="AS139" s="470"/>
      <c r="AT139" s="470"/>
      <c r="AU139" s="470"/>
      <c r="AV139" s="470"/>
      <c r="AW139" s="470"/>
      <c r="AX139" s="470"/>
      <c r="AY139" s="470"/>
      <c r="AZ139" s="470"/>
      <c r="BA139" s="470"/>
      <c r="BB139" s="470"/>
      <c r="BC139" s="470"/>
      <c r="BD139" s="470"/>
      <c r="BE139" s="470"/>
      <c r="BF139" s="470"/>
      <c r="BG139" s="470"/>
      <c r="BH139" s="470"/>
      <c r="BI139" s="470"/>
      <c r="BJ139" s="470"/>
      <c r="BK139" s="470"/>
      <c r="BL139" s="470"/>
      <c r="BM139" s="470"/>
      <c r="BN139" s="470"/>
      <c r="BO139" s="470"/>
      <c r="BP139" s="470"/>
      <c r="BQ139" s="470"/>
      <c r="BR139" s="470"/>
      <c r="BS139" s="470"/>
      <c r="BT139" s="470"/>
      <c r="BU139" s="470"/>
      <c r="BV139" s="470"/>
      <c r="BW139" s="470"/>
      <c r="BX139" s="470"/>
      <c r="BY139" s="470"/>
      <c r="BZ139" s="470"/>
      <c r="CA139" s="470"/>
      <c r="CB139" s="470"/>
      <c r="CC139" s="470"/>
      <c r="CD139" s="470"/>
      <c r="CE139" s="470"/>
      <c r="CF139" s="470"/>
      <c r="CG139" s="470"/>
      <c r="CH139" s="470"/>
      <c r="CI139" s="470"/>
      <c r="CJ139" s="470"/>
      <c r="CK139" s="470"/>
      <c r="CL139" s="470"/>
      <c r="CM139" s="470"/>
      <c r="CN139" s="470"/>
      <c r="CO139" s="470"/>
      <c r="CP139" s="470"/>
      <c r="CQ139" s="470"/>
      <c r="CR139" s="470"/>
      <c r="CS139" s="470"/>
      <c r="CT139" s="470"/>
      <c r="CU139" s="470"/>
      <c r="CV139" s="470"/>
      <c r="CW139" s="470"/>
      <c r="CX139" s="470"/>
      <c r="CY139" s="470"/>
      <c r="CZ139" s="470"/>
      <c r="DA139" s="470"/>
      <c r="DB139" s="470"/>
      <c r="DC139" s="470"/>
      <c r="DD139" s="470"/>
      <c r="DE139" s="470"/>
      <c r="DF139" s="470"/>
      <c r="DG139" s="470"/>
      <c r="DH139" s="470"/>
      <c r="DI139" s="470"/>
      <c r="DJ139" s="470"/>
      <c r="DK139" s="470"/>
      <c r="DL139" s="470"/>
      <c r="DM139" s="470"/>
      <c r="DN139" s="470"/>
      <c r="DO139" s="470"/>
      <c r="DP139" s="470"/>
      <c r="DQ139" s="470"/>
      <c r="DR139" s="470"/>
      <c r="DS139" s="470"/>
      <c r="DT139" s="470"/>
      <c r="DU139" s="470"/>
      <c r="DV139" s="470"/>
      <c r="DW139" s="470"/>
      <c r="DX139" s="470"/>
      <c r="DY139" s="470"/>
      <c r="DZ139" s="470"/>
      <c r="EA139" s="470"/>
      <c r="EB139" s="470"/>
      <c r="EC139" s="470"/>
      <c r="ED139" s="470"/>
      <c r="EE139" s="470"/>
      <c r="EF139" s="470"/>
      <c r="EG139" s="470"/>
      <c r="EH139" s="470"/>
      <c r="EI139" s="470"/>
      <c r="EJ139" s="470"/>
      <c r="EK139" s="470"/>
      <c r="EL139" s="470"/>
      <c r="EM139" s="470"/>
      <c r="EN139" s="470"/>
      <c r="EO139" s="470"/>
      <c r="EP139" s="470"/>
      <c r="EQ139" s="470"/>
      <c r="ER139" s="470"/>
      <c r="ES139" s="470"/>
      <c r="ET139" s="470"/>
      <c r="EU139" s="470"/>
      <c r="EV139" s="470"/>
      <c r="EW139" s="470"/>
      <c r="EX139" s="470"/>
      <c r="EY139" s="470"/>
      <c r="EZ139" s="470"/>
      <c r="FA139" s="470"/>
      <c r="FB139" s="470"/>
      <c r="FC139" s="470"/>
      <c r="FD139" s="470"/>
      <c r="FE139" s="470"/>
      <c r="FF139" s="470"/>
      <c r="FG139" s="470"/>
      <c r="FH139" s="470"/>
      <c r="FI139" s="470"/>
      <c r="FJ139" s="470"/>
      <c r="FK139" s="470"/>
      <c r="FL139" s="470"/>
      <c r="FM139" s="470"/>
      <c r="FN139" s="470"/>
      <c r="FO139" s="470"/>
      <c r="FP139" s="470"/>
      <c r="FQ139" s="470"/>
      <c r="FR139" s="470"/>
      <c r="FS139" s="470"/>
      <c r="FT139" s="470"/>
      <c r="FU139" s="470"/>
      <c r="FV139" s="470"/>
      <c r="FW139" s="470"/>
      <c r="FX139" s="470"/>
      <c r="FY139" s="470"/>
      <c r="FZ139" s="470"/>
      <c r="GA139" s="470"/>
      <c r="GB139" s="470"/>
      <c r="GC139" s="470"/>
      <c r="GD139" s="470"/>
      <c r="GE139" s="470"/>
      <c r="GF139" s="470"/>
      <c r="GG139" s="470"/>
      <c r="GH139" s="470"/>
      <c r="GI139" s="470"/>
      <c r="GJ139" s="470"/>
      <c r="GK139" s="470"/>
      <c r="GL139" s="470"/>
      <c r="GM139" s="470"/>
      <c r="GN139" s="470"/>
      <c r="GO139" s="470"/>
      <c r="GP139" s="470"/>
      <c r="GQ139" s="470"/>
      <c r="GR139" s="470"/>
      <c r="GS139" s="470"/>
      <c r="GT139" s="470"/>
      <c r="GU139" s="470"/>
      <c r="GV139" s="470"/>
      <c r="GW139" s="470"/>
      <c r="GX139" s="470"/>
      <c r="GY139" s="470"/>
      <c r="GZ139" s="470"/>
      <c r="HA139" s="470"/>
      <c r="HB139" s="470"/>
      <c r="HC139" s="470"/>
      <c r="HD139" s="470"/>
      <c r="HE139" s="470"/>
      <c r="HF139" s="470"/>
      <c r="HG139" s="470"/>
      <c r="HH139" s="470"/>
      <c r="HI139" s="470"/>
      <c r="HJ139" s="470"/>
      <c r="HK139" s="470"/>
      <c r="HL139" s="470"/>
      <c r="HM139" s="470"/>
      <c r="HN139" s="470"/>
      <c r="HO139" s="470"/>
      <c r="HP139" s="470"/>
      <c r="HQ139" s="470"/>
      <c r="HR139" s="470"/>
      <c r="HS139" s="470"/>
      <c r="HT139" s="470"/>
      <c r="HU139" s="470"/>
      <c r="HV139" s="470"/>
      <c r="HW139" s="470"/>
      <c r="HX139" s="470"/>
      <c r="HY139" s="470"/>
      <c r="HZ139" s="470"/>
      <c r="IA139" s="470"/>
      <c r="IB139" s="470"/>
      <c r="IC139" s="470"/>
      <c r="ID139" s="470"/>
      <c r="IE139" s="470"/>
      <c r="IF139" s="470"/>
      <c r="IG139" s="470"/>
      <c r="IH139" s="470"/>
      <c r="II139" s="470"/>
      <c r="IJ139" s="470"/>
      <c r="IK139" s="470"/>
      <c r="IL139" s="470"/>
      <c r="IM139" s="470"/>
      <c r="IN139" s="470"/>
      <c r="IO139" s="470"/>
      <c r="IP139" s="470"/>
      <c r="IQ139" s="470"/>
    </row>
    <row r="140" spans="1:251" x14ac:dyDescent="0.2">
      <c r="A140" s="453" t="s">
        <v>9991</v>
      </c>
      <c r="B140" s="453" t="s">
        <v>9992</v>
      </c>
      <c r="C140" s="473" t="s">
        <v>386</v>
      </c>
      <c r="D140" s="455" t="s">
        <v>9783</v>
      </c>
      <c r="E140" s="456" t="s">
        <v>9716</v>
      </c>
      <c r="F140" s="456" t="s">
        <v>9988</v>
      </c>
      <c r="G140" s="456" t="s">
        <v>7180</v>
      </c>
      <c r="H140" s="457">
        <v>198.72000000000003</v>
      </c>
      <c r="I140" s="457">
        <f t="shared" si="11"/>
        <v>213.62400000000002</v>
      </c>
      <c r="J140" s="457" t="s">
        <v>9706</v>
      </c>
      <c r="K140" s="458">
        <v>0.3</v>
      </c>
      <c r="L140" s="459">
        <f t="shared" si="8"/>
        <v>139.10400000000001</v>
      </c>
      <c r="M140" s="460">
        <v>0.18</v>
      </c>
      <c r="N140" s="461">
        <f t="shared" si="9"/>
        <v>175.17168000000004</v>
      </c>
      <c r="O140" s="462">
        <v>0.1</v>
      </c>
      <c r="P140" s="463">
        <f t="shared" si="10"/>
        <v>192.26160000000002</v>
      </c>
      <c r="Q140" s="464"/>
      <c r="R140" s="465">
        <v>4</v>
      </c>
      <c r="S140" s="465">
        <v>4</v>
      </c>
      <c r="T140" s="465">
        <v>4</v>
      </c>
      <c r="U140" s="466"/>
      <c r="V140" s="470"/>
      <c r="W140" s="470"/>
      <c r="X140" s="470"/>
      <c r="Y140" s="470"/>
      <c r="Z140" s="470"/>
      <c r="AA140" s="470"/>
      <c r="AB140" s="470"/>
      <c r="AC140" s="470"/>
      <c r="AD140" s="470"/>
      <c r="AE140" s="470"/>
      <c r="AF140" s="470"/>
      <c r="AG140" s="470"/>
      <c r="AH140" s="470"/>
      <c r="AI140" s="470"/>
      <c r="AJ140" s="470"/>
      <c r="AK140" s="470"/>
      <c r="AL140" s="470"/>
      <c r="AM140" s="470"/>
      <c r="AN140" s="470"/>
      <c r="AO140" s="470"/>
      <c r="AP140" s="470"/>
      <c r="AQ140" s="470"/>
      <c r="AR140" s="470"/>
      <c r="AS140" s="470"/>
      <c r="AT140" s="470"/>
      <c r="AU140" s="470"/>
      <c r="AV140" s="470"/>
      <c r="AW140" s="470"/>
      <c r="AX140" s="470"/>
      <c r="AY140" s="470"/>
      <c r="AZ140" s="470"/>
      <c r="BA140" s="470"/>
      <c r="BB140" s="470"/>
      <c r="BC140" s="470"/>
      <c r="BD140" s="470"/>
      <c r="BE140" s="470"/>
      <c r="BF140" s="470"/>
      <c r="BG140" s="470"/>
      <c r="BH140" s="470"/>
      <c r="BI140" s="470"/>
      <c r="BJ140" s="470"/>
      <c r="BK140" s="470"/>
      <c r="BL140" s="470"/>
      <c r="BM140" s="470"/>
      <c r="BN140" s="470"/>
      <c r="BO140" s="470"/>
      <c r="BP140" s="470"/>
      <c r="BQ140" s="470"/>
      <c r="BR140" s="470"/>
      <c r="BS140" s="470"/>
      <c r="BT140" s="470"/>
      <c r="BU140" s="470"/>
      <c r="BV140" s="470"/>
      <c r="BW140" s="470"/>
      <c r="BX140" s="470"/>
      <c r="BY140" s="470"/>
      <c r="BZ140" s="470"/>
      <c r="CA140" s="470"/>
      <c r="CB140" s="470"/>
      <c r="CC140" s="470"/>
      <c r="CD140" s="470"/>
      <c r="CE140" s="470"/>
      <c r="CF140" s="470"/>
      <c r="CG140" s="470"/>
      <c r="CH140" s="470"/>
      <c r="CI140" s="470"/>
      <c r="CJ140" s="470"/>
      <c r="CK140" s="470"/>
      <c r="CL140" s="470"/>
      <c r="CM140" s="470"/>
      <c r="CN140" s="470"/>
      <c r="CO140" s="470"/>
      <c r="CP140" s="470"/>
      <c r="CQ140" s="470"/>
      <c r="CR140" s="470"/>
      <c r="CS140" s="470"/>
      <c r="CT140" s="470"/>
      <c r="CU140" s="470"/>
      <c r="CV140" s="470"/>
      <c r="CW140" s="470"/>
      <c r="CX140" s="470"/>
      <c r="CY140" s="470"/>
      <c r="CZ140" s="470"/>
      <c r="DA140" s="470"/>
      <c r="DB140" s="470"/>
      <c r="DC140" s="470"/>
      <c r="DD140" s="470"/>
      <c r="DE140" s="470"/>
      <c r="DF140" s="470"/>
      <c r="DG140" s="470"/>
      <c r="DH140" s="470"/>
      <c r="DI140" s="470"/>
      <c r="DJ140" s="470"/>
      <c r="DK140" s="470"/>
      <c r="DL140" s="470"/>
      <c r="DM140" s="470"/>
      <c r="DN140" s="470"/>
      <c r="DO140" s="470"/>
      <c r="DP140" s="470"/>
      <c r="DQ140" s="470"/>
      <c r="DR140" s="470"/>
      <c r="DS140" s="470"/>
      <c r="DT140" s="470"/>
      <c r="DU140" s="470"/>
      <c r="DV140" s="470"/>
      <c r="DW140" s="470"/>
      <c r="DX140" s="470"/>
      <c r="DY140" s="470"/>
      <c r="DZ140" s="470"/>
      <c r="EA140" s="470"/>
      <c r="EB140" s="470"/>
      <c r="EC140" s="470"/>
      <c r="ED140" s="470"/>
      <c r="EE140" s="470"/>
      <c r="EF140" s="470"/>
      <c r="EG140" s="470"/>
      <c r="EH140" s="470"/>
      <c r="EI140" s="470"/>
      <c r="EJ140" s="470"/>
      <c r="EK140" s="470"/>
      <c r="EL140" s="470"/>
      <c r="EM140" s="470"/>
      <c r="EN140" s="470"/>
      <c r="EO140" s="470"/>
      <c r="EP140" s="470"/>
      <c r="EQ140" s="470"/>
      <c r="ER140" s="470"/>
      <c r="ES140" s="470"/>
      <c r="ET140" s="470"/>
      <c r="EU140" s="470"/>
      <c r="EV140" s="470"/>
      <c r="EW140" s="470"/>
      <c r="EX140" s="470"/>
      <c r="EY140" s="470"/>
      <c r="EZ140" s="470"/>
      <c r="FA140" s="470"/>
      <c r="FB140" s="470"/>
      <c r="FC140" s="470"/>
      <c r="FD140" s="470"/>
      <c r="FE140" s="470"/>
      <c r="FF140" s="470"/>
      <c r="FG140" s="470"/>
      <c r="FH140" s="470"/>
      <c r="FI140" s="470"/>
      <c r="FJ140" s="470"/>
      <c r="FK140" s="470"/>
      <c r="FL140" s="470"/>
      <c r="FM140" s="470"/>
      <c r="FN140" s="470"/>
      <c r="FO140" s="470"/>
      <c r="FP140" s="470"/>
      <c r="FQ140" s="470"/>
      <c r="FR140" s="470"/>
      <c r="FS140" s="470"/>
      <c r="FT140" s="470"/>
      <c r="FU140" s="470"/>
      <c r="FV140" s="470"/>
      <c r="FW140" s="470"/>
      <c r="FX140" s="470"/>
      <c r="FY140" s="470"/>
      <c r="FZ140" s="470"/>
      <c r="GA140" s="470"/>
      <c r="GB140" s="470"/>
      <c r="GC140" s="470"/>
      <c r="GD140" s="470"/>
      <c r="GE140" s="470"/>
      <c r="GF140" s="470"/>
      <c r="GG140" s="470"/>
      <c r="GH140" s="470"/>
      <c r="GI140" s="470"/>
      <c r="GJ140" s="470"/>
      <c r="GK140" s="470"/>
      <c r="GL140" s="470"/>
      <c r="GM140" s="470"/>
      <c r="GN140" s="470"/>
      <c r="GO140" s="470"/>
      <c r="GP140" s="470"/>
      <c r="GQ140" s="470"/>
      <c r="GR140" s="470"/>
      <c r="GS140" s="470"/>
      <c r="GT140" s="470"/>
      <c r="GU140" s="470"/>
      <c r="GV140" s="470"/>
      <c r="GW140" s="470"/>
      <c r="GX140" s="470"/>
      <c r="GY140" s="470"/>
      <c r="GZ140" s="470"/>
      <c r="HA140" s="470"/>
      <c r="HB140" s="470"/>
      <c r="HC140" s="470"/>
      <c r="HD140" s="470"/>
      <c r="HE140" s="470"/>
      <c r="HF140" s="470"/>
      <c r="HG140" s="470"/>
      <c r="HH140" s="470"/>
      <c r="HI140" s="470"/>
      <c r="HJ140" s="470"/>
      <c r="HK140" s="470"/>
      <c r="HL140" s="470"/>
      <c r="HM140" s="470"/>
      <c r="HN140" s="470"/>
      <c r="HO140" s="470"/>
      <c r="HP140" s="470"/>
      <c r="HQ140" s="470"/>
      <c r="HR140" s="470"/>
      <c r="HS140" s="470"/>
      <c r="HT140" s="470"/>
      <c r="HU140" s="470"/>
      <c r="HV140" s="470"/>
      <c r="HW140" s="470"/>
      <c r="HX140" s="470"/>
      <c r="HY140" s="470"/>
      <c r="HZ140" s="470"/>
      <c r="IA140" s="470"/>
      <c r="IB140" s="470"/>
      <c r="IC140" s="470"/>
      <c r="ID140" s="470"/>
      <c r="IE140" s="470"/>
      <c r="IF140" s="470"/>
      <c r="IG140" s="470"/>
      <c r="IH140" s="470"/>
      <c r="II140" s="470"/>
      <c r="IJ140" s="470"/>
      <c r="IK140" s="470"/>
      <c r="IL140" s="470"/>
      <c r="IM140" s="470"/>
      <c r="IN140" s="470"/>
      <c r="IO140" s="470"/>
      <c r="IP140" s="470"/>
      <c r="IQ140" s="470"/>
    </row>
    <row r="141" spans="1:251" x14ac:dyDescent="0.2">
      <c r="A141" s="453" t="s">
        <v>9993</v>
      </c>
      <c r="B141" s="453" t="s">
        <v>9994</v>
      </c>
      <c r="C141" s="473" t="s">
        <v>386</v>
      </c>
      <c r="D141" s="455" t="s">
        <v>9783</v>
      </c>
      <c r="E141" s="456" t="s">
        <v>9710</v>
      </c>
      <c r="F141" s="456" t="s">
        <v>9988</v>
      </c>
      <c r="G141" s="456" t="s">
        <v>7180</v>
      </c>
      <c r="H141" s="457">
        <v>198.72000000000003</v>
      </c>
      <c r="I141" s="457">
        <f t="shared" si="11"/>
        <v>213.62400000000002</v>
      </c>
      <c r="J141" s="457" t="s">
        <v>9706</v>
      </c>
      <c r="K141" s="458">
        <v>0.3</v>
      </c>
      <c r="L141" s="459">
        <f t="shared" si="8"/>
        <v>139.10400000000001</v>
      </c>
      <c r="M141" s="460">
        <v>0.18</v>
      </c>
      <c r="N141" s="461">
        <f t="shared" si="9"/>
        <v>175.17168000000004</v>
      </c>
      <c r="O141" s="462">
        <v>0.1</v>
      </c>
      <c r="P141" s="463">
        <f t="shared" si="10"/>
        <v>192.26160000000002</v>
      </c>
      <c r="Q141" s="464"/>
      <c r="R141" s="465">
        <v>4</v>
      </c>
      <c r="S141" s="465">
        <v>4</v>
      </c>
      <c r="T141" s="465">
        <v>4</v>
      </c>
      <c r="U141" s="466"/>
      <c r="V141" s="470"/>
      <c r="W141" s="470"/>
      <c r="X141" s="470"/>
      <c r="Y141" s="470"/>
      <c r="Z141" s="470"/>
      <c r="AA141" s="470"/>
      <c r="AB141" s="470"/>
      <c r="AC141" s="470"/>
      <c r="AD141" s="470"/>
      <c r="AE141" s="470"/>
      <c r="AF141" s="470"/>
      <c r="AG141" s="470"/>
      <c r="AH141" s="470"/>
      <c r="AI141" s="470"/>
      <c r="AJ141" s="470"/>
      <c r="AK141" s="470"/>
      <c r="AL141" s="470"/>
      <c r="AM141" s="470"/>
      <c r="AN141" s="470"/>
      <c r="AO141" s="470"/>
      <c r="AP141" s="470"/>
      <c r="AQ141" s="470"/>
      <c r="AR141" s="470"/>
      <c r="AS141" s="470"/>
      <c r="AT141" s="470"/>
      <c r="AU141" s="470"/>
      <c r="AV141" s="470"/>
      <c r="AW141" s="470"/>
      <c r="AX141" s="470"/>
      <c r="AY141" s="470"/>
      <c r="AZ141" s="470"/>
      <c r="BA141" s="470"/>
      <c r="BB141" s="470"/>
      <c r="BC141" s="470"/>
      <c r="BD141" s="470"/>
      <c r="BE141" s="470"/>
      <c r="BF141" s="470"/>
      <c r="BG141" s="470"/>
      <c r="BH141" s="470"/>
      <c r="BI141" s="470"/>
      <c r="BJ141" s="470"/>
      <c r="BK141" s="470"/>
      <c r="BL141" s="470"/>
      <c r="BM141" s="470"/>
      <c r="BN141" s="470"/>
      <c r="BO141" s="470"/>
      <c r="BP141" s="470"/>
      <c r="BQ141" s="470"/>
      <c r="BR141" s="470"/>
      <c r="BS141" s="470"/>
      <c r="BT141" s="470"/>
      <c r="BU141" s="470"/>
      <c r="BV141" s="470"/>
      <c r="BW141" s="470"/>
      <c r="BX141" s="470"/>
      <c r="BY141" s="470"/>
      <c r="BZ141" s="470"/>
      <c r="CA141" s="470"/>
      <c r="CB141" s="470"/>
      <c r="CC141" s="470"/>
      <c r="CD141" s="470"/>
      <c r="CE141" s="470"/>
      <c r="CF141" s="470"/>
      <c r="CG141" s="470"/>
      <c r="CH141" s="470"/>
      <c r="CI141" s="470"/>
      <c r="CJ141" s="470"/>
      <c r="CK141" s="470"/>
      <c r="CL141" s="470"/>
      <c r="CM141" s="470"/>
      <c r="CN141" s="470"/>
      <c r="CO141" s="470"/>
      <c r="CP141" s="470"/>
      <c r="CQ141" s="470"/>
      <c r="CR141" s="470"/>
      <c r="CS141" s="470"/>
      <c r="CT141" s="470"/>
      <c r="CU141" s="470"/>
      <c r="CV141" s="470"/>
      <c r="CW141" s="470"/>
      <c r="CX141" s="470"/>
      <c r="CY141" s="470"/>
      <c r="CZ141" s="470"/>
      <c r="DA141" s="470"/>
      <c r="DB141" s="470"/>
      <c r="DC141" s="470"/>
      <c r="DD141" s="470"/>
      <c r="DE141" s="470"/>
      <c r="DF141" s="470"/>
      <c r="DG141" s="470"/>
      <c r="DH141" s="470"/>
      <c r="DI141" s="470"/>
      <c r="DJ141" s="470"/>
      <c r="DK141" s="470"/>
      <c r="DL141" s="470"/>
      <c r="DM141" s="470"/>
      <c r="DN141" s="470"/>
      <c r="DO141" s="470"/>
      <c r="DP141" s="470"/>
      <c r="DQ141" s="470"/>
      <c r="DR141" s="470"/>
      <c r="DS141" s="470"/>
      <c r="DT141" s="470"/>
      <c r="DU141" s="470"/>
      <c r="DV141" s="470"/>
      <c r="DW141" s="470"/>
      <c r="DX141" s="470"/>
      <c r="DY141" s="470"/>
      <c r="DZ141" s="470"/>
      <c r="EA141" s="470"/>
      <c r="EB141" s="470"/>
      <c r="EC141" s="470"/>
      <c r="ED141" s="470"/>
      <c r="EE141" s="470"/>
      <c r="EF141" s="470"/>
      <c r="EG141" s="470"/>
      <c r="EH141" s="470"/>
      <c r="EI141" s="470"/>
      <c r="EJ141" s="470"/>
      <c r="EK141" s="470"/>
      <c r="EL141" s="470"/>
      <c r="EM141" s="470"/>
      <c r="EN141" s="470"/>
      <c r="EO141" s="470"/>
      <c r="EP141" s="470"/>
      <c r="EQ141" s="470"/>
      <c r="ER141" s="470"/>
      <c r="ES141" s="470"/>
      <c r="ET141" s="470"/>
      <c r="EU141" s="470"/>
      <c r="EV141" s="470"/>
      <c r="EW141" s="470"/>
      <c r="EX141" s="470"/>
      <c r="EY141" s="470"/>
      <c r="EZ141" s="470"/>
      <c r="FA141" s="470"/>
      <c r="FB141" s="470"/>
      <c r="FC141" s="470"/>
      <c r="FD141" s="470"/>
      <c r="FE141" s="470"/>
      <c r="FF141" s="470"/>
      <c r="FG141" s="470"/>
      <c r="FH141" s="470"/>
      <c r="FI141" s="470"/>
      <c r="FJ141" s="470"/>
      <c r="FK141" s="470"/>
      <c r="FL141" s="470"/>
      <c r="FM141" s="470"/>
      <c r="FN141" s="470"/>
      <c r="FO141" s="470"/>
      <c r="FP141" s="470"/>
      <c r="FQ141" s="470"/>
      <c r="FR141" s="470"/>
      <c r="FS141" s="470"/>
      <c r="FT141" s="470"/>
      <c r="FU141" s="470"/>
      <c r="FV141" s="470"/>
      <c r="FW141" s="470"/>
      <c r="FX141" s="470"/>
      <c r="FY141" s="470"/>
      <c r="FZ141" s="470"/>
      <c r="GA141" s="470"/>
      <c r="GB141" s="470"/>
      <c r="GC141" s="470"/>
      <c r="GD141" s="470"/>
      <c r="GE141" s="470"/>
      <c r="GF141" s="470"/>
      <c r="GG141" s="470"/>
      <c r="GH141" s="470"/>
      <c r="GI141" s="470"/>
      <c r="GJ141" s="470"/>
      <c r="GK141" s="470"/>
      <c r="GL141" s="470"/>
      <c r="GM141" s="470"/>
      <c r="GN141" s="470"/>
      <c r="GO141" s="470"/>
      <c r="GP141" s="470"/>
      <c r="GQ141" s="470"/>
      <c r="GR141" s="470"/>
      <c r="GS141" s="470"/>
      <c r="GT141" s="470"/>
      <c r="GU141" s="470"/>
      <c r="GV141" s="470"/>
      <c r="GW141" s="470"/>
      <c r="GX141" s="470"/>
      <c r="GY141" s="470"/>
      <c r="GZ141" s="470"/>
      <c r="HA141" s="470"/>
      <c r="HB141" s="470"/>
      <c r="HC141" s="470"/>
      <c r="HD141" s="470"/>
      <c r="HE141" s="470"/>
      <c r="HF141" s="470"/>
      <c r="HG141" s="470"/>
      <c r="HH141" s="470"/>
      <c r="HI141" s="470"/>
      <c r="HJ141" s="470"/>
      <c r="HK141" s="470"/>
      <c r="HL141" s="470"/>
      <c r="HM141" s="470"/>
      <c r="HN141" s="470"/>
      <c r="HO141" s="470"/>
      <c r="HP141" s="470"/>
      <c r="HQ141" s="470"/>
      <c r="HR141" s="470"/>
      <c r="HS141" s="470"/>
      <c r="HT141" s="470"/>
      <c r="HU141" s="470"/>
      <c r="HV141" s="470"/>
      <c r="HW141" s="470"/>
      <c r="HX141" s="470"/>
      <c r="HY141" s="470"/>
      <c r="HZ141" s="470"/>
      <c r="IA141" s="470"/>
      <c r="IB141" s="470"/>
      <c r="IC141" s="470"/>
      <c r="ID141" s="470"/>
      <c r="IE141" s="470"/>
      <c r="IF141" s="470"/>
      <c r="IG141" s="470"/>
      <c r="IH141" s="470"/>
      <c r="II141" s="470"/>
      <c r="IJ141" s="470"/>
      <c r="IK141" s="470"/>
      <c r="IL141" s="470"/>
      <c r="IM141" s="470"/>
      <c r="IN141" s="470"/>
      <c r="IO141" s="470"/>
      <c r="IP141" s="470"/>
      <c r="IQ141" s="470"/>
    </row>
    <row r="142" spans="1:251" x14ac:dyDescent="0.2">
      <c r="A142" s="453" t="s">
        <v>9995</v>
      </c>
      <c r="B142" s="453" t="s">
        <v>9996</v>
      </c>
      <c r="C142" s="473" t="s">
        <v>386</v>
      </c>
      <c r="D142" s="455" t="s">
        <v>9783</v>
      </c>
      <c r="E142" s="456" t="s">
        <v>9758</v>
      </c>
      <c r="F142" s="456" t="s">
        <v>9988</v>
      </c>
      <c r="G142" s="456" t="s">
        <v>7180</v>
      </c>
      <c r="H142" s="457">
        <v>198.72000000000003</v>
      </c>
      <c r="I142" s="457">
        <f t="shared" si="11"/>
        <v>213.62400000000002</v>
      </c>
      <c r="J142" s="457" t="s">
        <v>9706</v>
      </c>
      <c r="K142" s="458">
        <v>0.3</v>
      </c>
      <c r="L142" s="459">
        <f t="shared" si="8"/>
        <v>139.10400000000001</v>
      </c>
      <c r="M142" s="460">
        <v>0.18</v>
      </c>
      <c r="N142" s="461">
        <f t="shared" si="9"/>
        <v>175.17168000000004</v>
      </c>
      <c r="O142" s="462">
        <v>0.1</v>
      </c>
      <c r="P142" s="463">
        <f t="shared" si="10"/>
        <v>192.26160000000002</v>
      </c>
      <c r="Q142" s="464"/>
      <c r="R142" s="465">
        <v>4</v>
      </c>
      <c r="S142" s="465">
        <v>4</v>
      </c>
      <c r="T142" s="465">
        <v>4</v>
      </c>
      <c r="U142" s="466"/>
      <c r="V142" s="470"/>
      <c r="W142" s="470"/>
      <c r="X142" s="470"/>
      <c r="Y142" s="470"/>
      <c r="Z142" s="470"/>
      <c r="AA142" s="470"/>
      <c r="AB142" s="470"/>
      <c r="AC142" s="470"/>
      <c r="AD142" s="470"/>
      <c r="AE142" s="470"/>
      <c r="AF142" s="470"/>
      <c r="AG142" s="470"/>
      <c r="AH142" s="470"/>
      <c r="AI142" s="470"/>
      <c r="AJ142" s="470"/>
      <c r="AK142" s="470"/>
      <c r="AL142" s="470"/>
      <c r="AM142" s="470"/>
      <c r="AN142" s="470"/>
      <c r="AO142" s="470"/>
      <c r="AP142" s="470"/>
      <c r="AQ142" s="470"/>
      <c r="AR142" s="470"/>
      <c r="AS142" s="470"/>
      <c r="AT142" s="470"/>
      <c r="AU142" s="470"/>
      <c r="AV142" s="470"/>
      <c r="AW142" s="470"/>
      <c r="AX142" s="470"/>
      <c r="AY142" s="470"/>
      <c r="AZ142" s="470"/>
      <c r="BA142" s="470"/>
      <c r="BB142" s="470"/>
      <c r="BC142" s="470"/>
      <c r="BD142" s="470"/>
      <c r="BE142" s="470"/>
      <c r="BF142" s="470"/>
      <c r="BG142" s="470"/>
      <c r="BH142" s="470"/>
      <c r="BI142" s="470"/>
      <c r="BJ142" s="470"/>
      <c r="BK142" s="470"/>
      <c r="BL142" s="470"/>
      <c r="BM142" s="470"/>
      <c r="BN142" s="470"/>
      <c r="BO142" s="470"/>
      <c r="BP142" s="470"/>
      <c r="BQ142" s="470"/>
      <c r="BR142" s="470"/>
      <c r="BS142" s="470"/>
      <c r="BT142" s="470"/>
      <c r="BU142" s="470"/>
      <c r="BV142" s="470"/>
      <c r="BW142" s="470"/>
      <c r="BX142" s="470"/>
      <c r="BY142" s="470"/>
      <c r="BZ142" s="470"/>
      <c r="CA142" s="470"/>
      <c r="CB142" s="470"/>
      <c r="CC142" s="470"/>
      <c r="CD142" s="470"/>
      <c r="CE142" s="470"/>
      <c r="CF142" s="470"/>
      <c r="CG142" s="470"/>
      <c r="CH142" s="470"/>
      <c r="CI142" s="470"/>
      <c r="CJ142" s="470"/>
      <c r="CK142" s="470"/>
      <c r="CL142" s="470"/>
      <c r="CM142" s="470"/>
      <c r="CN142" s="470"/>
      <c r="CO142" s="470"/>
      <c r="CP142" s="470"/>
      <c r="CQ142" s="470"/>
      <c r="CR142" s="470"/>
      <c r="CS142" s="470"/>
      <c r="CT142" s="470"/>
      <c r="CU142" s="470"/>
      <c r="CV142" s="470"/>
      <c r="CW142" s="470"/>
      <c r="CX142" s="470"/>
      <c r="CY142" s="470"/>
      <c r="CZ142" s="470"/>
      <c r="DA142" s="470"/>
      <c r="DB142" s="470"/>
      <c r="DC142" s="470"/>
      <c r="DD142" s="470"/>
      <c r="DE142" s="470"/>
      <c r="DF142" s="470"/>
      <c r="DG142" s="470"/>
      <c r="DH142" s="470"/>
      <c r="DI142" s="470"/>
      <c r="DJ142" s="470"/>
      <c r="DK142" s="470"/>
      <c r="DL142" s="470"/>
      <c r="DM142" s="470"/>
      <c r="DN142" s="470"/>
      <c r="DO142" s="470"/>
      <c r="DP142" s="470"/>
      <c r="DQ142" s="470"/>
      <c r="DR142" s="470"/>
      <c r="DS142" s="470"/>
      <c r="DT142" s="470"/>
      <c r="DU142" s="470"/>
      <c r="DV142" s="470"/>
      <c r="DW142" s="470"/>
      <c r="DX142" s="470"/>
      <c r="DY142" s="470"/>
      <c r="DZ142" s="470"/>
      <c r="EA142" s="470"/>
      <c r="EB142" s="470"/>
      <c r="EC142" s="470"/>
      <c r="ED142" s="470"/>
      <c r="EE142" s="470"/>
      <c r="EF142" s="470"/>
      <c r="EG142" s="470"/>
      <c r="EH142" s="470"/>
      <c r="EI142" s="470"/>
      <c r="EJ142" s="470"/>
      <c r="EK142" s="470"/>
      <c r="EL142" s="470"/>
      <c r="EM142" s="470"/>
      <c r="EN142" s="470"/>
      <c r="EO142" s="470"/>
      <c r="EP142" s="470"/>
      <c r="EQ142" s="470"/>
      <c r="ER142" s="470"/>
      <c r="ES142" s="470"/>
      <c r="ET142" s="470"/>
      <c r="EU142" s="470"/>
      <c r="EV142" s="470"/>
      <c r="EW142" s="470"/>
      <c r="EX142" s="470"/>
      <c r="EY142" s="470"/>
      <c r="EZ142" s="470"/>
      <c r="FA142" s="470"/>
      <c r="FB142" s="470"/>
      <c r="FC142" s="470"/>
      <c r="FD142" s="470"/>
      <c r="FE142" s="470"/>
      <c r="FF142" s="470"/>
      <c r="FG142" s="470"/>
      <c r="FH142" s="470"/>
      <c r="FI142" s="470"/>
      <c r="FJ142" s="470"/>
      <c r="FK142" s="470"/>
      <c r="FL142" s="470"/>
      <c r="FM142" s="470"/>
      <c r="FN142" s="470"/>
      <c r="FO142" s="470"/>
      <c r="FP142" s="470"/>
      <c r="FQ142" s="470"/>
      <c r="FR142" s="470"/>
      <c r="FS142" s="470"/>
      <c r="FT142" s="470"/>
      <c r="FU142" s="470"/>
      <c r="FV142" s="470"/>
      <c r="FW142" s="470"/>
      <c r="FX142" s="470"/>
      <c r="FY142" s="470"/>
      <c r="FZ142" s="470"/>
      <c r="GA142" s="470"/>
      <c r="GB142" s="470"/>
      <c r="GC142" s="470"/>
      <c r="GD142" s="470"/>
      <c r="GE142" s="470"/>
      <c r="GF142" s="470"/>
      <c r="GG142" s="470"/>
      <c r="GH142" s="470"/>
      <c r="GI142" s="470"/>
      <c r="GJ142" s="470"/>
      <c r="GK142" s="470"/>
      <c r="GL142" s="470"/>
      <c r="GM142" s="470"/>
      <c r="GN142" s="470"/>
      <c r="GO142" s="470"/>
      <c r="GP142" s="470"/>
      <c r="GQ142" s="470"/>
      <c r="GR142" s="470"/>
      <c r="GS142" s="470"/>
      <c r="GT142" s="470"/>
      <c r="GU142" s="470"/>
      <c r="GV142" s="470"/>
      <c r="GW142" s="470"/>
      <c r="GX142" s="470"/>
      <c r="GY142" s="470"/>
      <c r="GZ142" s="470"/>
      <c r="HA142" s="470"/>
      <c r="HB142" s="470"/>
      <c r="HC142" s="470"/>
      <c r="HD142" s="470"/>
      <c r="HE142" s="470"/>
      <c r="HF142" s="470"/>
      <c r="HG142" s="470"/>
      <c r="HH142" s="470"/>
      <c r="HI142" s="470"/>
      <c r="HJ142" s="470"/>
      <c r="HK142" s="470"/>
      <c r="HL142" s="470"/>
      <c r="HM142" s="470"/>
      <c r="HN142" s="470"/>
      <c r="HO142" s="470"/>
      <c r="HP142" s="470"/>
      <c r="HQ142" s="470"/>
      <c r="HR142" s="470"/>
      <c r="HS142" s="470"/>
      <c r="HT142" s="470"/>
      <c r="HU142" s="470"/>
      <c r="HV142" s="470"/>
      <c r="HW142" s="470"/>
      <c r="HX142" s="470"/>
      <c r="HY142" s="470"/>
      <c r="HZ142" s="470"/>
      <c r="IA142" s="470"/>
      <c r="IB142" s="470"/>
      <c r="IC142" s="470"/>
      <c r="ID142" s="470"/>
      <c r="IE142" s="470"/>
      <c r="IF142" s="470"/>
      <c r="IG142" s="470"/>
      <c r="IH142" s="470"/>
      <c r="II142" s="470"/>
      <c r="IJ142" s="470"/>
      <c r="IK142" s="470"/>
      <c r="IL142" s="470"/>
      <c r="IM142" s="470"/>
      <c r="IN142" s="470"/>
      <c r="IO142" s="470"/>
      <c r="IP142" s="470"/>
      <c r="IQ142" s="470"/>
    </row>
    <row r="143" spans="1:251" x14ac:dyDescent="0.2">
      <c r="A143" s="453" t="s">
        <v>9997</v>
      </c>
      <c r="B143" s="453" t="s">
        <v>9998</v>
      </c>
      <c r="C143" s="473" t="s">
        <v>386</v>
      </c>
      <c r="D143" s="455" t="s">
        <v>9783</v>
      </c>
      <c r="E143" s="456" t="s">
        <v>9710</v>
      </c>
      <c r="F143" s="456" t="s">
        <v>9988</v>
      </c>
      <c r="G143" s="456" t="s">
        <v>7180</v>
      </c>
      <c r="H143" s="457">
        <v>198.72000000000003</v>
      </c>
      <c r="I143" s="457">
        <f t="shared" si="11"/>
        <v>213.62400000000002</v>
      </c>
      <c r="J143" s="457" t="s">
        <v>9706</v>
      </c>
      <c r="K143" s="458">
        <v>0.3</v>
      </c>
      <c r="L143" s="459">
        <f t="shared" si="8"/>
        <v>139.10400000000001</v>
      </c>
      <c r="M143" s="460">
        <v>0.18</v>
      </c>
      <c r="N143" s="461">
        <f t="shared" si="9"/>
        <v>175.17168000000004</v>
      </c>
      <c r="O143" s="462">
        <v>0.1</v>
      </c>
      <c r="P143" s="463">
        <f t="shared" si="10"/>
        <v>192.26160000000002</v>
      </c>
      <c r="Q143" s="464"/>
      <c r="R143" s="465">
        <v>4</v>
      </c>
      <c r="S143" s="465">
        <v>4</v>
      </c>
      <c r="T143" s="465">
        <v>4</v>
      </c>
      <c r="U143" s="466"/>
      <c r="V143" s="470"/>
      <c r="W143" s="470"/>
      <c r="X143" s="470"/>
      <c r="Y143" s="470"/>
      <c r="Z143" s="470"/>
      <c r="AA143" s="470"/>
      <c r="AB143" s="470"/>
      <c r="AC143" s="470"/>
      <c r="AD143" s="470"/>
      <c r="AE143" s="470"/>
      <c r="AF143" s="470"/>
      <c r="AG143" s="470"/>
      <c r="AH143" s="470"/>
      <c r="AI143" s="470"/>
      <c r="AJ143" s="470"/>
      <c r="AK143" s="470"/>
      <c r="AL143" s="470"/>
      <c r="AM143" s="470"/>
      <c r="AN143" s="470"/>
      <c r="AO143" s="470"/>
      <c r="AP143" s="470"/>
      <c r="AQ143" s="470"/>
      <c r="AR143" s="470"/>
      <c r="AS143" s="470"/>
      <c r="AT143" s="470"/>
      <c r="AU143" s="470"/>
      <c r="AV143" s="470"/>
      <c r="AW143" s="470"/>
      <c r="AX143" s="470"/>
      <c r="AY143" s="470"/>
      <c r="AZ143" s="470"/>
      <c r="BA143" s="470"/>
      <c r="BB143" s="470"/>
      <c r="BC143" s="470"/>
      <c r="BD143" s="470"/>
      <c r="BE143" s="470"/>
      <c r="BF143" s="470"/>
      <c r="BG143" s="470"/>
      <c r="BH143" s="470"/>
      <c r="BI143" s="470"/>
      <c r="BJ143" s="470"/>
      <c r="BK143" s="470"/>
      <c r="BL143" s="470"/>
      <c r="BM143" s="470"/>
      <c r="BN143" s="470"/>
      <c r="BO143" s="470"/>
      <c r="BP143" s="470"/>
      <c r="BQ143" s="470"/>
      <c r="BR143" s="470"/>
      <c r="BS143" s="470"/>
      <c r="BT143" s="470"/>
      <c r="BU143" s="470"/>
      <c r="BV143" s="470"/>
      <c r="BW143" s="470"/>
      <c r="BX143" s="470"/>
      <c r="BY143" s="470"/>
      <c r="BZ143" s="470"/>
      <c r="CA143" s="470"/>
      <c r="CB143" s="470"/>
      <c r="CC143" s="470"/>
      <c r="CD143" s="470"/>
      <c r="CE143" s="470"/>
      <c r="CF143" s="470"/>
      <c r="CG143" s="470"/>
      <c r="CH143" s="470"/>
      <c r="CI143" s="470"/>
      <c r="CJ143" s="470"/>
      <c r="CK143" s="470"/>
      <c r="CL143" s="470"/>
      <c r="CM143" s="470"/>
      <c r="CN143" s="470"/>
      <c r="CO143" s="470"/>
      <c r="CP143" s="470"/>
      <c r="CQ143" s="470"/>
      <c r="CR143" s="470"/>
      <c r="CS143" s="470"/>
      <c r="CT143" s="470"/>
      <c r="CU143" s="470"/>
      <c r="CV143" s="470"/>
      <c r="CW143" s="470"/>
      <c r="CX143" s="470"/>
      <c r="CY143" s="470"/>
      <c r="CZ143" s="470"/>
      <c r="DA143" s="470"/>
      <c r="DB143" s="470"/>
      <c r="DC143" s="470"/>
      <c r="DD143" s="470"/>
      <c r="DE143" s="470"/>
      <c r="DF143" s="470"/>
      <c r="DG143" s="470"/>
      <c r="DH143" s="470"/>
      <c r="DI143" s="470"/>
      <c r="DJ143" s="470"/>
      <c r="DK143" s="470"/>
      <c r="DL143" s="470"/>
      <c r="DM143" s="470"/>
      <c r="DN143" s="470"/>
      <c r="DO143" s="470"/>
      <c r="DP143" s="470"/>
      <c r="DQ143" s="470"/>
      <c r="DR143" s="470"/>
      <c r="DS143" s="470"/>
      <c r="DT143" s="470"/>
      <c r="DU143" s="470"/>
      <c r="DV143" s="470"/>
      <c r="DW143" s="470"/>
      <c r="DX143" s="470"/>
      <c r="DY143" s="470"/>
      <c r="DZ143" s="470"/>
      <c r="EA143" s="470"/>
      <c r="EB143" s="470"/>
      <c r="EC143" s="470"/>
      <c r="ED143" s="470"/>
      <c r="EE143" s="470"/>
      <c r="EF143" s="470"/>
      <c r="EG143" s="470"/>
      <c r="EH143" s="470"/>
      <c r="EI143" s="470"/>
      <c r="EJ143" s="470"/>
      <c r="EK143" s="470"/>
      <c r="EL143" s="470"/>
      <c r="EM143" s="470"/>
      <c r="EN143" s="470"/>
      <c r="EO143" s="470"/>
      <c r="EP143" s="470"/>
      <c r="EQ143" s="470"/>
      <c r="ER143" s="470"/>
      <c r="ES143" s="470"/>
      <c r="ET143" s="470"/>
      <c r="EU143" s="470"/>
      <c r="EV143" s="470"/>
      <c r="EW143" s="470"/>
      <c r="EX143" s="470"/>
      <c r="EY143" s="470"/>
      <c r="EZ143" s="470"/>
      <c r="FA143" s="470"/>
      <c r="FB143" s="470"/>
      <c r="FC143" s="470"/>
      <c r="FD143" s="470"/>
      <c r="FE143" s="470"/>
      <c r="FF143" s="470"/>
      <c r="FG143" s="470"/>
      <c r="FH143" s="470"/>
      <c r="FI143" s="470"/>
      <c r="FJ143" s="470"/>
      <c r="FK143" s="470"/>
      <c r="FL143" s="470"/>
      <c r="FM143" s="470"/>
      <c r="FN143" s="470"/>
      <c r="FO143" s="470"/>
      <c r="FP143" s="470"/>
      <c r="FQ143" s="470"/>
      <c r="FR143" s="470"/>
      <c r="FS143" s="470"/>
      <c r="FT143" s="470"/>
      <c r="FU143" s="470"/>
      <c r="FV143" s="470"/>
      <c r="FW143" s="470"/>
      <c r="FX143" s="470"/>
      <c r="FY143" s="470"/>
      <c r="FZ143" s="470"/>
      <c r="GA143" s="470"/>
      <c r="GB143" s="470"/>
      <c r="GC143" s="470"/>
      <c r="GD143" s="470"/>
      <c r="GE143" s="470"/>
      <c r="GF143" s="470"/>
      <c r="GG143" s="470"/>
      <c r="GH143" s="470"/>
      <c r="GI143" s="470"/>
      <c r="GJ143" s="470"/>
      <c r="GK143" s="470"/>
      <c r="GL143" s="470"/>
      <c r="GM143" s="470"/>
      <c r="GN143" s="470"/>
      <c r="GO143" s="470"/>
      <c r="GP143" s="470"/>
      <c r="GQ143" s="470"/>
      <c r="GR143" s="470"/>
      <c r="GS143" s="470"/>
      <c r="GT143" s="470"/>
      <c r="GU143" s="470"/>
      <c r="GV143" s="470"/>
      <c r="GW143" s="470"/>
      <c r="GX143" s="470"/>
      <c r="GY143" s="470"/>
      <c r="GZ143" s="470"/>
      <c r="HA143" s="470"/>
      <c r="HB143" s="470"/>
      <c r="HC143" s="470"/>
      <c r="HD143" s="470"/>
      <c r="HE143" s="470"/>
      <c r="HF143" s="470"/>
      <c r="HG143" s="470"/>
      <c r="HH143" s="470"/>
      <c r="HI143" s="470"/>
      <c r="HJ143" s="470"/>
      <c r="HK143" s="470"/>
      <c r="HL143" s="470"/>
      <c r="HM143" s="470"/>
      <c r="HN143" s="470"/>
      <c r="HO143" s="470"/>
      <c r="HP143" s="470"/>
      <c r="HQ143" s="470"/>
      <c r="HR143" s="470"/>
      <c r="HS143" s="470"/>
      <c r="HT143" s="470"/>
      <c r="HU143" s="470"/>
      <c r="HV143" s="470"/>
      <c r="HW143" s="470"/>
      <c r="HX143" s="470"/>
      <c r="HY143" s="470"/>
      <c r="HZ143" s="470"/>
      <c r="IA143" s="470"/>
      <c r="IB143" s="470"/>
      <c r="IC143" s="470"/>
      <c r="ID143" s="470"/>
      <c r="IE143" s="470"/>
      <c r="IF143" s="470"/>
      <c r="IG143" s="470"/>
      <c r="IH143" s="470"/>
      <c r="II143" s="470"/>
      <c r="IJ143" s="470"/>
      <c r="IK143" s="470"/>
      <c r="IL143" s="470"/>
      <c r="IM143" s="470"/>
      <c r="IN143" s="470"/>
      <c r="IO143" s="470"/>
      <c r="IP143" s="470"/>
      <c r="IQ143" s="470"/>
    </row>
    <row r="144" spans="1:251" x14ac:dyDescent="0.2">
      <c r="A144" s="453" t="s">
        <v>9999</v>
      </c>
      <c r="B144" s="453" t="s">
        <v>10000</v>
      </c>
      <c r="C144" s="473" t="s">
        <v>386</v>
      </c>
      <c r="D144" s="455" t="s">
        <v>9783</v>
      </c>
      <c r="E144" s="456" t="s">
        <v>9758</v>
      </c>
      <c r="F144" s="456" t="s">
        <v>9988</v>
      </c>
      <c r="G144" s="456" t="s">
        <v>7180</v>
      </c>
      <c r="H144" s="457">
        <v>198.72000000000003</v>
      </c>
      <c r="I144" s="457">
        <f t="shared" si="11"/>
        <v>213.62400000000002</v>
      </c>
      <c r="J144" s="457" t="s">
        <v>9706</v>
      </c>
      <c r="K144" s="458">
        <v>0.3</v>
      </c>
      <c r="L144" s="459">
        <f t="shared" si="8"/>
        <v>139.10400000000001</v>
      </c>
      <c r="M144" s="460">
        <v>0.18</v>
      </c>
      <c r="N144" s="461">
        <f t="shared" si="9"/>
        <v>175.17168000000004</v>
      </c>
      <c r="O144" s="462">
        <v>0.1</v>
      </c>
      <c r="P144" s="463">
        <f t="shared" si="10"/>
        <v>192.26160000000002</v>
      </c>
      <c r="Q144" s="464"/>
      <c r="R144" s="465">
        <v>4</v>
      </c>
      <c r="S144" s="465">
        <v>4</v>
      </c>
      <c r="T144" s="465">
        <v>4</v>
      </c>
      <c r="U144" s="466"/>
      <c r="V144" s="470"/>
      <c r="W144" s="470"/>
      <c r="X144" s="470"/>
      <c r="Y144" s="470"/>
      <c r="Z144" s="470"/>
      <c r="AA144" s="470"/>
      <c r="AB144" s="470"/>
      <c r="AC144" s="470"/>
      <c r="AD144" s="470"/>
      <c r="AE144" s="470"/>
      <c r="AF144" s="470"/>
      <c r="AG144" s="470"/>
      <c r="AH144" s="470"/>
      <c r="AI144" s="470"/>
      <c r="AJ144" s="470"/>
      <c r="AK144" s="470"/>
      <c r="AL144" s="470"/>
      <c r="AM144" s="470"/>
      <c r="AN144" s="470"/>
      <c r="AO144" s="470"/>
      <c r="AP144" s="470"/>
      <c r="AQ144" s="470"/>
      <c r="AR144" s="470"/>
      <c r="AS144" s="470"/>
      <c r="AT144" s="470"/>
      <c r="AU144" s="470"/>
      <c r="AV144" s="470"/>
      <c r="AW144" s="470"/>
      <c r="AX144" s="470"/>
      <c r="AY144" s="470"/>
      <c r="AZ144" s="470"/>
      <c r="BA144" s="470"/>
      <c r="BB144" s="470"/>
      <c r="BC144" s="470"/>
      <c r="BD144" s="470"/>
      <c r="BE144" s="470"/>
      <c r="BF144" s="470"/>
      <c r="BG144" s="470"/>
      <c r="BH144" s="470"/>
      <c r="BI144" s="470"/>
      <c r="BJ144" s="470"/>
      <c r="BK144" s="470"/>
      <c r="BL144" s="470"/>
      <c r="BM144" s="470"/>
      <c r="BN144" s="470"/>
      <c r="BO144" s="470"/>
      <c r="BP144" s="470"/>
      <c r="BQ144" s="470"/>
      <c r="BR144" s="470"/>
      <c r="BS144" s="470"/>
      <c r="BT144" s="470"/>
      <c r="BU144" s="470"/>
      <c r="BV144" s="470"/>
      <c r="BW144" s="470"/>
      <c r="BX144" s="470"/>
      <c r="BY144" s="470"/>
      <c r="BZ144" s="470"/>
      <c r="CA144" s="470"/>
      <c r="CB144" s="470"/>
      <c r="CC144" s="470"/>
      <c r="CD144" s="470"/>
      <c r="CE144" s="470"/>
      <c r="CF144" s="470"/>
      <c r="CG144" s="470"/>
      <c r="CH144" s="470"/>
      <c r="CI144" s="470"/>
      <c r="CJ144" s="470"/>
      <c r="CK144" s="470"/>
      <c r="CL144" s="470"/>
      <c r="CM144" s="470"/>
      <c r="CN144" s="470"/>
      <c r="CO144" s="470"/>
      <c r="CP144" s="470"/>
      <c r="CQ144" s="470"/>
      <c r="CR144" s="470"/>
      <c r="CS144" s="470"/>
      <c r="CT144" s="470"/>
      <c r="CU144" s="470"/>
      <c r="CV144" s="470"/>
      <c r="CW144" s="470"/>
      <c r="CX144" s="470"/>
      <c r="CY144" s="470"/>
      <c r="CZ144" s="470"/>
      <c r="DA144" s="470"/>
      <c r="DB144" s="470"/>
      <c r="DC144" s="470"/>
      <c r="DD144" s="470"/>
      <c r="DE144" s="470"/>
      <c r="DF144" s="470"/>
      <c r="DG144" s="470"/>
      <c r="DH144" s="470"/>
      <c r="DI144" s="470"/>
      <c r="DJ144" s="470"/>
      <c r="DK144" s="470"/>
      <c r="DL144" s="470"/>
      <c r="DM144" s="470"/>
      <c r="DN144" s="470"/>
      <c r="DO144" s="470"/>
      <c r="DP144" s="470"/>
      <c r="DQ144" s="470"/>
      <c r="DR144" s="470"/>
      <c r="DS144" s="470"/>
      <c r="DT144" s="470"/>
      <c r="DU144" s="470"/>
      <c r="DV144" s="470"/>
      <c r="DW144" s="470"/>
      <c r="DX144" s="470"/>
      <c r="DY144" s="470"/>
      <c r="DZ144" s="470"/>
      <c r="EA144" s="470"/>
      <c r="EB144" s="470"/>
      <c r="EC144" s="470"/>
      <c r="ED144" s="470"/>
      <c r="EE144" s="470"/>
      <c r="EF144" s="470"/>
      <c r="EG144" s="470"/>
      <c r="EH144" s="470"/>
      <c r="EI144" s="470"/>
      <c r="EJ144" s="470"/>
      <c r="EK144" s="470"/>
      <c r="EL144" s="470"/>
      <c r="EM144" s="470"/>
      <c r="EN144" s="470"/>
      <c r="EO144" s="470"/>
      <c r="EP144" s="470"/>
      <c r="EQ144" s="470"/>
      <c r="ER144" s="470"/>
      <c r="ES144" s="470"/>
      <c r="ET144" s="470"/>
      <c r="EU144" s="470"/>
      <c r="EV144" s="470"/>
      <c r="EW144" s="470"/>
      <c r="EX144" s="470"/>
      <c r="EY144" s="470"/>
      <c r="EZ144" s="470"/>
      <c r="FA144" s="470"/>
      <c r="FB144" s="470"/>
      <c r="FC144" s="470"/>
      <c r="FD144" s="470"/>
      <c r="FE144" s="470"/>
      <c r="FF144" s="470"/>
      <c r="FG144" s="470"/>
      <c r="FH144" s="470"/>
      <c r="FI144" s="470"/>
      <c r="FJ144" s="470"/>
      <c r="FK144" s="470"/>
      <c r="FL144" s="470"/>
      <c r="FM144" s="470"/>
      <c r="FN144" s="470"/>
      <c r="FO144" s="470"/>
      <c r="FP144" s="470"/>
      <c r="FQ144" s="470"/>
      <c r="FR144" s="470"/>
      <c r="FS144" s="470"/>
      <c r="FT144" s="470"/>
      <c r="FU144" s="470"/>
      <c r="FV144" s="470"/>
      <c r="FW144" s="470"/>
      <c r="FX144" s="470"/>
      <c r="FY144" s="470"/>
      <c r="FZ144" s="470"/>
      <c r="GA144" s="470"/>
      <c r="GB144" s="470"/>
      <c r="GC144" s="470"/>
      <c r="GD144" s="470"/>
      <c r="GE144" s="470"/>
      <c r="GF144" s="470"/>
      <c r="GG144" s="470"/>
      <c r="GH144" s="470"/>
      <c r="GI144" s="470"/>
      <c r="GJ144" s="470"/>
      <c r="GK144" s="470"/>
      <c r="GL144" s="470"/>
      <c r="GM144" s="470"/>
      <c r="GN144" s="470"/>
      <c r="GO144" s="470"/>
      <c r="GP144" s="470"/>
      <c r="GQ144" s="470"/>
      <c r="GR144" s="470"/>
      <c r="GS144" s="470"/>
      <c r="GT144" s="470"/>
      <c r="GU144" s="470"/>
      <c r="GV144" s="470"/>
      <c r="GW144" s="470"/>
      <c r="GX144" s="470"/>
      <c r="GY144" s="470"/>
      <c r="GZ144" s="470"/>
      <c r="HA144" s="470"/>
      <c r="HB144" s="470"/>
      <c r="HC144" s="470"/>
      <c r="HD144" s="470"/>
      <c r="HE144" s="470"/>
      <c r="HF144" s="470"/>
      <c r="HG144" s="470"/>
      <c r="HH144" s="470"/>
      <c r="HI144" s="470"/>
      <c r="HJ144" s="470"/>
      <c r="HK144" s="470"/>
      <c r="HL144" s="470"/>
      <c r="HM144" s="470"/>
      <c r="HN144" s="470"/>
      <c r="HO144" s="470"/>
      <c r="HP144" s="470"/>
      <c r="HQ144" s="470"/>
      <c r="HR144" s="470"/>
      <c r="HS144" s="470"/>
      <c r="HT144" s="470"/>
      <c r="HU144" s="470"/>
      <c r="HV144" s="470"/>
      <c r="HW144" s="470"/>
      <c r="HX144" s="470"/>
      <c r="HY144" s="470"/>
      <c r="HZ144" s="470"/>
      <c r="IA144" s="470"/>
      <c r="IB144" s="470"/>
      <c r="IC144" s="470"/>
      <c r="ID144" s="470"/>
      <c r="IE144" s="470"/>
      <c r="IF144" s="470"/>
      <c r="IG144" s="470"/>
      <c r="IH144" s="470"/>
      <c r="II144" s="470"/>
      <c r="IJ144" s="470"/>
      <c r="IK144" s="470"/>
      <c r="IL144" s="470"/>
      <c r="IM144" s="470"/>
      <c r="IN144" s="470"/>
      <c r="IO144" s="470"/>
      <c r="IP144" s="470"/>
      <c r="IQ144" s="470"/>
    </row>
    <row r="145" spans="1:251" x14ac:dyDescent="0.2">
      <c r="A145" s="453" t="s">
        <v>10001</v>
      </c>
      <c r="B145" s="453" t="s">
        <v>10002</v>
      </c>
      <c r="C145" s="473" t="s">
        <v>386</v>
      </c>
      <c r="D145" s="455" t="s">
        <v>9783</v>
      </c>
      <c r="E145" s="456" t="s">
        <v>9710</v>
      </c>
      <c r="F145" s="456" t="s">
        <v>9988</v>
      </c>
      <c r="G145" s="456" t="s">
        <v>7180</v>
      </c>
      <c r="H145" s="457">
        <v>198.72000000000003</v>
      </c>
      <c r="I145" s="457">
        <f t="shared" si="11"/>
        <v>213.62400000000002</v>
      </c>
      <c r="J145" s="457" t="s">
        <v>9706</v>
      </c>
      <c r="K145" s="458">
        <v>0.3</v>
      </c>
      <c r="L145" s="459">
        <f t="shared" si="8"/>
        <v>139.10400000000001</v>
      </c>
      <c r="M145" s="460">
        <v>0.18</v>
      </c>
      <c r="N145" s="461">
        <f t="shared" si="9"/>
        <v>175.17168000000004</v>
      </c>
      <c r="O145" s="462">
        <v>0.1</v>
      </c>
      <c r="P145" s="463">
        <f t="shared" si="10"/>
        <v>192.26160000000002</v>
      </c>
      <c r="Q145" s="464"/>
      <c r="R145" s="465">
        <v>4</v>
      </c>
      <c r="S145" s="465">
        <v>4</v>
      </c>
      <c r="T145" s="465">
        <v>4</v>
      </c>
      <c r="U145" s="466"/>
      <c r="V145" s="470"/>
      <c r="W145" s="470"/>
      <c r="X145" s="470"/>
      <c r="Y145" s="470"/>
      <c r="Z145" s="470"/>
      <c r="AA145" s="470"/>
      <c r="AB145" s="470"/>
      <c r="AC145" s="470"/>
      <c r="AD145" s="470"/>
      <c r="AE145" s="470"/>
      <c r="AF145" s="470"/>
      <c r="AG145" s="470"/>
      <c r="AH145" s="470"/>
      <c r="AI145" s="470"/>
      <c r="AJ145" s="470"/>
      <c r="AK145" s="470"/>
      <c r="AL145" s="470"/>
      <c r="AM145" s="470"/>
      <c r="AN145" s="470"/>
      <c r="AO145" s="470"/>
      <c r="AP145" s="470"/>
      <c r="AQ145" s="470"/>
      <c r="AR145" s="470"/>
      <c r="AS145" s="470"/>
      <c r="AT145" s="470"/>
      <c r="AU145" s="470"/>
      <c r="AV145" s="470"/>
      <c r="AW145" s="470"/>
      <c r="AX145" s="470"/>
      <c r="AY145" s="470"/>
      <c r="AZ145" s="470"/>
      <c r="BA145" s="470"/>
      <c r="BB145" s="470"/>
      <c r="BC145" s="470"/>
      <c r="BD145" s="470"/>
      <c r="BE145" s="470"/>
      <c r="BF145" s="470"/>
      <c r="BG145" s="470"/>
      <c r="BH145" s="470"/>
      <c r="BI145" s="470"/>
      <c r="BJ145" s="470"/>
      <c r="BK145" s="470"/>
      <c r="BL145" s="470"/>
      <c r="BM145" s="470"/>
      <c r="BN145" s="470"/>
      <c r="BO145" s="470"/>
      <c r="BP145" s="470"/>
      <c r="BQ145" s="470"/>
      <c r="BR145" s="470"/>
      <c r="BS145" s="470"/>
      <c r="BT145" s="470"/>
      <c r="BU145" s="470"/>
      <c r="BV145" s="470"/>
      <c r="BW145" s="470"/>
      <c r="BX145" s="470"/>
      <c r="BY145" s="470"/>
      <c r="BZ145" s="470"/>
      <c r="CA145" s="470"/>
      <c r="CB145" s="470"/>
      <c r="CC145" s="470"/>
      <c r="CD145" s="470"/>
      <c r="CE145" s="470"/>
      <c r="CF145" s="470"/>
      <c r="CG145" s="470"/>
      <c r="CH145" s="470"/>
      <c r="CI145" s="470"/>
      <c r="CJ145" s="470"/>
      <c r="CK145" s="470"/>
      <c r="CL145" s="470"/>
      <c r="CM145" s="470"/>
      <c r="CN145" s="470"/>
      <c r="CO145" s="470"/>
      <c r="CP145" s="470"/>
      <c r="CQ145" s="470"/>
      <c r="CR145" s="470"/>
      <c r="CS145" s="470"/>
      <c r="CT145" s="470"/>
      <c r="CU145" s="470"/>
      <c r="CV145" s="470"/>
      <c r="CW145" s="470"/>
      <c r="CX145" s="470"/>
      <c r="CY145" s="470"/>
      <c r="CZ145" s="470"/>
      <c r="DA145" s="470"/>
      <c r="DB145" s="470"/>
      <c r="DC145" s="470"/>
      <c r="DD145" s="470"/>
      <c r="DE145" s="470"/>
      <c r="DF145" s="470"/>
      <c r="DG145" s="470"/>
      <c r="DH145" s="470"/>
      <c r="DI145" s="470"/>
      <c r="DJ145" s="470"/>
      <c r="DK145" s="470"/>
      <c r="DL145" s="470"/>
      <c r="DM145" s="470"/>
      <c r="DN145" s="470"/>
      <c r="DO145" s="470"/>
      <c r="DP145" s="470"/>
      <c r="DQ145" s="470"/>
      <c r="DR145" s="470"/>
      <c r="DS145" s="470"/>
      <c r="DT145" s="470"/>
      <c r="DU145" s="470"/>
      <c r="DV145" s="470"/>
      <c r="DW145" s="470"/>
      <c r="DX145" s="470"/>
      <c r="DY145" s="470"/>
      <c r="DZ145" s="470"/>
      <c r="EA145" s="470"/>
      <c r="EB145" s="470"/>
      <c r="EC145" s="470"/>
      <c r="ED145" s="470"/>
      <c r="EE145" s="470"/>
      <c r="EF145" s="470"/>
      <c r="EG145" s="470"/>
      <c r="EH145" s="470"/>
      <c r="EI145" s="470"/>
      <c r="EJ145" s="470"/>
      <c r="EK145" s="470"/>
      <c r="EL145" s="470"/>
      <c r="EM145" s="470"/>
      <c r="EN145" s="470"/>
      <c r="EO145" s="470"/>
      <c r="EP145" s="470"/>
      <c r="EQ145" s="470"/>
      <c r="ER145" s="470"/>
      <c r="ES145" s="470"/>
      <c r="ET145" s="470"/>
      <c r="EU145" s="470"/>
      <c r="EV145" s="470"/>
      <c r="EW145" s="470"/>
      <c r="EX145" s="470"/>
      <c r="EY145" s="470"/>
      <c r="EZ145" s="470"/>
      <c r="FA145" s="470"/>
      <c r="FB145" s="470"/>
      <c r="FC145" s="470"/>
      <c r="FD145" s="470"/>
      <c r="FE145" s="470"/>
      <c r="FF145" s="470"/>
      <c r="FG145" s="470"/>
      <c r="FH145" s="470"/>
      <c r="FI145" s="470"/>
      <c r="FJ145" s="470"/>
      <c r="FK145" s="470"/>
      <c r="FL145" s="470"/>
      <c r="FM145" s="470"/>
      <c r="FN145" s="470"/>
      <c r="FO145" s="470"/>
      <c r="FP145" s="470"/>
      <c r="FQ145" s="470"/>
      <c r="FR145" s="470"/>
      <c r="FS145" s="470"/>
      <c r="FT145" s="470"/>
      <c r="FU145" s="470"/>
      <c r="FV145" s="470"/>
      <c r="FW145" s="470"/>
      <c r="FX145" s="470"/>
      <c r="FY145" s="470"/>
      <c r="FZ145" s="470"/>
      <c r="GA145" s="470"/>
      <c r="GB145" s="470"/>
      <c r="GC145" s="470"/>
      <c r="GD145" s="470"/>
      <c r="GE145" s="470"/>
      <c r="GF145" s="470"/>
      <c r="GG145" s="470"/>
      <c r="GH145" s="470"/>
      <c r="GI145" s="470"/>
      <c r="GJ145" s="470"/>
      <c r="GK145" s="470"/>
      <c r="GL145" s="470"/>
      <c r="GM145" s="470"/>
      <c r="GN145" s="470"/>
      <c r="GO145" s="470"/>
      <c r="GP145" s="470"/>
      <c r="GQ145" s="470"/>
      <c r="GR145" s="470"/>
      <c r="GS145" s="470"/>
      <c r="GT145" s="470"/>
      <c r="GU145" s="470"/>
      <c r="GV145" s="470"/>
      <c r="GW145" s="470"/>
      <c r="GX145" s="470"/>
      <c r="GY145" s="470"/>
      <c r="GZ145" s="470"/>
      <c r="HA145" s="470"/>
      <c r="HB145" s="470"/>
      <c r="HC145" s="470"/>
      <c r="HD145" s="470"/>
      <c r="HE145" s="470"/>
      <c r="HF145" s="470"/>
      <c r="HG145" s="470"/>
      <c r="HH145" s="470"/>
      <c r="HI145" s="470"/>
      <c r="HJ145" s="470"/>
      <c r="HK145" s="470"/>
      <c r="HL145" s="470"/>
      <c r="HM145" s="470"/>
      <c r="HN145" s="470"/>
      <c r="HO145" s="470"/>
      <c r="HP145" s="470"/>
      <c r="HQ145" s="470"/>
      <c r="HR145" s="470"/>
      <c r="HS145" s="470"/>
      <c r="HT145" s="470"/>
      <c r="HU145" s="470"/>
      <c r="HV145" s="470"/>
      <c r="HW145" s="470"/>
      <c r="HX145" s="470"/>
      <c r="HY145" s="470"/>
      <c r="HZ145" s="470"/>
      <c r="IA145" s="470"/>
      <c r="IB145" s="470"/>
      <c r="IC145" s="470"/>
      <c r="ID145" s="470"/>
      <c r="IE145" s="470"/>
      <c r="IF145" s="470"/>
      <c r="IG145" s="470"/>
      <c r="IH145" s="470"/>
      <c r="II145" s="470"/>
      <c r="IJ145" s="470"/>
      <c r="IK145" s="470"/>
      <c r="IL145" s="470"/>
      <c r="IM145" s="470"/>
      <c r="IN145" s="470"/>
      <c r="IO145" s="470"/>
      <c r="IP145" s="470"/>
      <c r="IQ145" s="470"/>
    </row>
    <row r="146" spans="1:251" x14ac:dyDescent="0.2">
      <c r="A146" s="453" t="s">
        <v>10003</v>
      </c>
      <c r="B146" s="453" t="s">
        <v>10004</v>
      </c>
      <c r="C146" s="473" t="s">
        <v>386</v>
      </c>
      <c r="D146" s="455" t="s">
        <v>9783</v>
      </c>
      <c r="E146" s="456" t="s">
        <v>9710</v>
      </c>
      <c r="F146" s="456" t="s">
        <v>9988</v>
      </c>
      <c r="G146" s="456" t="s">
        <v>7180</v>
      </c>
      <c r="H146" s="457">
        <v>198.72000000000003</v>
      </c>
      <c r="I146" s="457">
        <f t="shared" si="11"/>
        <v>213.62400000000002</v>
      </c>
      <c r="J146" s="457" t="s">
        <v>9706</v>
      </c>
      <c r="K146" s="458">
        <v>0.3</v>
      </c>
      <c r="L146" s="459">
        <f t="shared" si="8"/>
        <v>139.10400000000001</v>
      </c>
      <c r="M146" s="460">
        <v>0.18</v>
      </c>
      <c r="N146" s="461">
        <f t="shared" si="9"/>
        <v>175.17168000000004</v>
      </c>
      <c r="O146" s="462">
        <v>0.1</v>
      </c>
      <c r="P146" s="463">
        <f t="shared" si="10"/>
        <v>192.26160000000002</v>
      </c>
      <c r="Q146" s="464"/>
      <c r="R146" s="465">
        <v>4</v>
      </c>
      <c r="S146" s="465">
        <v>4</v>
      </c>
      <c r="T146" s="465">
        <v>4</v>
      </c>
      <c r="U146" s="466"/>
      <c r="V146" s="470"/>
      <c r="W146" s="470"/>
      <c r="X146" s="470"/>
      <c r="Y146" s="470"/>
      <c r="Z146" s="470"/>
      <c r="AA146" s="470"/>
      <c r="AB146" s="470"/>
      <c r="AC146" s="470"/>
      <c r="AD146" s="470"/>
      <c r="AE146" s="470"/>
      <c r="AF146" s="470"/>
      <c r="AG146" s="470"/>
      <c r="AH146" s="470"/>
      <c r="AI146" s="470"/>
      <c r="AJ146" s="470"/>
      <c r="AK146" s="470"/>
      <c r="AL146" s="470"/>
      <c r="AM146" s="470"/>
      <c r="AN146" s="470"/>
      <c r="AO146" s="470"/>
      <c r="AP146" s="470"/>
      <c r="AQ146" s="470"/>
      <c r="AR146" s="470"/>
      <c r="AS146" s="470"/>
      <c r="AT146" s="470"/>
      <c r="AU146" s="470"/>
      <c r="AV146" s="470"/>
      <c r="AW146" s="470"/>
      <c r="AX146" s="470"/>
      <c r="AY146" s="470"/>
      <c r="AZ146" s="470"/>
      <c r="BA146" s="470"/>
      <c r="BB146" s="470"/>
      <c r="BC146" s="470"/>
      <c r="BD146" s="470"/>
      <c r="BE146" s="470"/>
      <c r="BF146" s="470"/>
      <c r="BG146" s="470"/>
      <c r="BH146" s="470"/>
      <c r="BI146" s="470"/>
      <c r="BJ146" s="470"/>
      <c r="BK146" s="470"/>
      <c r="BL146" s="470"/>
      <c r="BM146" s="470"/>
      <c r="BN146" s="470"/>
      <c r="BO146" s="470"/>
      <c r="BP146" s="470"/>
      <c r="BQ146" s="470"/>
      <c r="BR146" s="470"/>
      <c r="BS146" s="470"/>
      <c r="BT146" s="470"/>
      <c r="BU146" s="470"/>
      <c r="BV146" s="470"/>
      <c r="BW146" s="470"/>
      <c r="BX146" s="470"/>
      <c r="BY146" s="470"/>
      <c r="BZ146" s="470"/>
      <c r="CA146" s="470"/>
      <c r="CB146" s="470"/>
      <c r="CC146" s="470"/>
      <c r="CD146" s="470"/>
      <c r="CE146" s="470"/>
      <c r="CF146" s="470"/>
      <c r="CG146" s="470"/>
      <c r="CH146" s="470"/>
      <c r="CI146" s="470"/>
      <c r="CJ146" s="470"/>
      <c r="CK146" s="470"/>
      <c r="CL146" s="470"/>
      <c r="CM146" s="470"/>
      <c r="CN146" s="470"/>
      <c r="CO146" s="470"/>
      <c r="CP146" s="470"/>
      <c r="CQ146" s="470"/>
      <c r="CR146" s="470"/>
      <c r="CS146" s="470"/>
      <c r="CT146" s="470"/>
      <c r="CU146" s="470"/>
      <c r="CV146" s="470"/>
      <c r="CW146" s="470"/>
      <c r="CX146" s="470"/>
      <c r="CY146" s="470"/>
      <c r="CZ146" s="470"/>
      <c r="DA146" s="470"/>
      <c r="DB146" s="470"/>
      <c r="DC146" s="470"/>
      <c r="DD146" s="470"/>
      <c r="DE146" s="470"/>
      <c r="DF146" s="470"/>
      <c r="DG146" s="470"/>
      <c r="DH146" s="470"/>
      <c r="DI146" s="470"/>
      <c r="DJ146" s="470"/>
      <c r="DK146" s="470"/>
      <c r="DL146" s="470"/>
      <c r="DM146" s="470"/>
      <c r="DN146" s="470"/>
      <c r="DO146" s="470"/>
      <c r="DP146" s="470"/>
      <c r="DQ146" s="470"/>
      <c r="DR146" s="470"/>
      <c r="DS146" s="470"/>
      <c r="DT146" s="470"/>
      <c r="DU146" s="470"/>
      <c r="DV146" s="470"/>
      <c r="DW146" s="470"/>
      <c r="DX146" s="470"/>
      <c r="DY146" s="470"/>
      <c r="DZ146" s="470"/>
      <c r="EA146" s="470"/>
      <c r="EB146" s="470"/>
      <c r="EC146" s="470"/>
      <c r="ED146" s="470"/>
      <c r="EE146" s="470"/>
      <c r="EF146" s="470"/>
      <c r="EG146" s="470"/>
      <c r="EH146" s="470"/>
      <c r="EI146" s="470"/>
      <c r="EJ146" s="470"/>
      <c r="EK146" s="470"/>
      <c r="EL146" s="470"/>
      <c r="EM146" s="470"/>
      <c r="EN146" s="470"/>
      <c r="EO146" s="470"/>
      <c r="EP146" s="470"/>
      <c r="EQ146" s="470"/>
      <c r="ER146" s="470"/>
      <c r="ES146" s="470"/>
      <c r="ET146" s="470"/>
      <c r="EU146" s="470"/>
      <c r="EV146" s="470"/>
      <c r="EW146" s="470"/>
      <c r="EX146" s="470"/>
      <c r="EY146" s="470"/>
      <c r="EZ146" s="470"/>
      <c r="FA146" s="470"/>
      <c r="FB146" s="470"/>
      <c r="FC146" s="470"/>
      <c r="FD146" s="470"/>
      <c r="FE146" s="470"/>
      <c r="FF146" s="470"/>
      <c r="FG146" s="470"/>
      <c r="FH146" s="470"/>
      <c r="FI146" s="470"/>
      <c r="FJ146" s="470"/>
      <c r="FK146" s="470"/>
      <c r="FL146" s="470"/>
      <c r="FM146" s="470"/>
      <c r="FN146" s="470"/>
      <c r="FO146" s="470"/>
      <c r="FP146" s="470"/>
      <c r="FQ146" s="470"/>
      <c r="FR146" s="470"/>
      <c r="FS146" s="470"/>
      <c r="FT146" s="470"/>
      <c r="FU146" s="470"/>
      <c r="FV146" s="470"/>
      <c r="FW146" s="470"/>
      <c r="FX146" s="470"/>
      <c r="FY146" s="470"/>
      <c r="FZ146" s="470"/>
      <c r="GA146" s="470"/>
      <c r="GB146" s="470"/>
      <c r="GC146" s="470"/>
      <c r="GD146" s="470"/>
      <c r="GE146" s="470"/>
      <c r="GF146" s="470"/>
      <c r="GG146" s="470"/>
      <c r="GH146" s="470"/>
      <c r="GI146" s="470"/>
      <c r="GJ146" s="470"/>
      <c r="GK146" s="470"/>
      <c r="GL146" s="470"/>
      <c r="GM146" s="470"/>
      <c r="GN146" s="470"/>
      <c r="GO146" s="470"/>
      <c r="GP146" s="470"/>
      <c r="GQ146" s="470"/>
      <c r="GR146" s="470"/>
      <c r="GS146" s="470"/>
      <c r="GT146" s="470"/>
      <c r="GU146" s="470"/>
      <c r="GV146" s="470"/>
      <c r="GW146" s="470"/>
      <c r="GX146" s="470"/>
      <c r="GY146" s="470"/>
      <c r="GZ146" s="470"/>
      <c r="HA146" s="470"/>
      <c r="HB146" s="470"/>
      <c r="HC146" s="470"/>
      <c r="HD146" s="470"/>
      <c r="HE146" s="470"/>
      <c r="HF146" s="470"/>
      <c r="HG146" s="470"/>
      <c r="HH146" s="470"/>
      <c r="HI146" s="470"/>
      <c r="HJ146" s="470"/>
      <c r="HK146" s="470"/>
      <c r="HL146" s="470"/>
      <c r="HM146" s="470"/>
      <c r="HN146" s="470"/>
      <c r="HO146" s="470"/>
      <c r="HP146" s="470"/>
      <c r="HQ146" s="470"/>
      <c r="HR146" s="470"/>
      <c r="HS146" s="470"/>
      <c r="HT146" s="470"/>
      <c r="HU146" s="470"/>
      <c r="HV146" s="470"/>
      <c r="HW146" s="470"/>
      <c r="HX146" s="470"/>
      <c r="HY146" s="470"/>
      <c r="HZ146" s="470"/>
      <c r="IA146" s="470"/>
      <c r="IB146" s="470"/>
      <c r="IC146" s="470"/>
      <c r="ID146" s="470"/>
      <c r="IE146" s="470"/>
      <c r="IF146" s="470"/>
      <c r="IG146" s="470"/>
      <c r="IH146" s="470"/>
      <c r="II146" s="470"/>
      <c r="IJ146" s="470"/>
      <c r="IK146" s="470"/>
      <c r="IL146" s="470"/>
      <c r="IM146" s="470"/>
      <c r="IN146" s="470"/>
      <c r="IO146" s="470"/>
      <c r="IP146" s="470"/>
      <c r="IQ146" s="470"/>
    </row>
    <row r="147" spans="1:251" x14ac:dyDescent="0.2">
      <c r="A147" s="453" t="s">
        <v>10005</v>
      </c>
      <c r="B147" s="453" t="s">
        <v>10006</v>
      </c>
      <c r="C147" s="473" t="s">
        <v>386</v>
      </c>
      <c r="D147" s="455" t="s">
        <v>9783</v>
      </c>
      <c r="E147" s="456" t="s">
        <v>9734</v>
      </c>
      <c r="F147" s="456" t="s">
        <v>9988</v>
      </c>
      <c r="G147" s="456" t="s">
        <v>7180</v>
      </c>
      <c r="H147" s="457">
        <v>198.72000000000003</v>
      </c>
      <c r="I147" s="457">
        <f t="shared" si="11"/>
        <v>213.62400000000002</v>
      </c>
      <c r="J147" s="457" t="s">
        <v>9706</v>
      </c>
      <c r="K147" s="458">
        <v>0.3</v>
      </c>
      <c r="L147" s="459">
        <f t="shared" si="8"/>
        <v>139.10400000000001</v>
      </c>
      <c r="M147" s="460">
        <v>0.18</v>
      </c>
      <c r="N147" s="461">
        <f t="shared" si="9"/>
        <v>175.17168000000004</v>
      </c>
      <c r="O147" s="462">
        <v>0.1</v>
      </c>
      <c r="P147" s="463">
        <f t="shared" si="10"/>
        <v>192.26160000000002</v>
      </c>
      <c r="Q147" s="464"/>
      <c r="R147" s="465">
        <v>4</v>
      </c>
      <c r="S147" s="465">
        <v>4</v>
      </c>
      <c r="T147" s="465">
        <v>4</v>
      </c>
      <c r="U147" s="466"/>
      <c r="V147" s="470"/>
      <c r="W147" s="470"/>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470"/>
      <c r="AZ147" s="470"/>
      <c r="BA147" s="470"/>
      <c r="BB147" s="470"/>
      <c r="BC147" s="470"/>
      <c r="BD147" s="470"/>
      <c r="BE147" s="470"/>
      <c r="BF147" s="470"/>
      <c r="BG147" s="470"/>
      <c r="BH147" s="470"/>
      <c r="BI147" s="470"/>
      <c r="BJ147" s="470"/>
      <c r="BK147" s="470"/>
      <c r="BL147" s="470"/>
      <c r="BM147" s="470"/>
      <c r="BN147" s="470"/>
      <c r="BO147" s="470"/>
      <c r="BP147" s="470"/>
      <c r="BQ147" s="470"/>
      <c r="BR147" s="470"/>
      <c r="BS147" s="470"/>
      <c r="BT147" s="470"/>
      <c r="BU147" s="470"/>
      <c r="BV147" s="470"/>
      <c r="BW147" s="470"/>
      <c r="BX147" s="470"/>
      <c r="BY147" s="470"/>
      <c r="BZ147" s="470"/>
      <c r="CA147" s="470"/>
      <c r="CB147" s="470"/>
      <c r="CC147" s="470"/>
      <c r="CD147" s="470"/>
      <c r="CE147" s="470"/>
      <c r="CF147" s="470"/>
      <c r="CG147" s="470"/>
      <c r="CH147" s="470"/>
      <c r="CI147" s="470"/>
      <c r="CJ147" s="470"/>
      <c r="CK147" s="470"/>
      <c r="CL147" s="470"/>
      <c r="CM147" s="470"/>
      <c r="CN147" s="470"/>
      <c r="CO147" s="470"/>
      <c r="CP147" s="470"/>
      <c r="CQ147" s="470"/>
      <c r="CR147" s="470"/>
      <c r="CS147" s="470"/>
      <c r="CT147" s="470"/>
      <c r="CU147" s="470"/>
      <c r="CV147" s="470"/>
      <c r="CW147" s="470"/>
      <c r="CX147" s="470"/>
      <c r="CY147" s="470"/>
      <c r="CZ147" s="470"/>
      <c r="DA147" s="470"/>
      <c r="DB147" s="470"/>
      <c r="DC147" s="470"/>
      <c r="DD147" s="470"/>
      <c r="DE147" s="470"/>
      <c r="DF147" s="470"/>
      <c r="DG147" s="470"/>
      <c r="DH147" s="470"/>
      <c r="DI147" s="470"/>
      <c r="DJ147" s="470"/>
      <c r="DK147" s="470"/>
      <c r="DL147" s="470"/>
      <c r="DM147" s="470"/>
      <c r="DN147" s="470"/>
      <c r="DO147" s="470"/>
      <c r="DP147" s="470"/>
      <c r="DQ147" s="470"/>
      <c r="DR147" s="470"/>
      <c r="DS147" s="470"/>
      <c r="DT147" s="470"/>
      <c r="DU147" s="470"/>
      <c r="DV147" s="470"/>
      <c r="DW147" s="470"/>
      <c r="DX147" s="470"/>
      <c r="DY147" s="470"/>
      <c r="DZ147" s="470"/>
      <c r="EA147" s="470"/>
      <c r="EB147" s="470"/>
      <c r="EC147" s="470"/>
      <c r="ED147" s="470"/>
      <c r="EE147" s="470"/>
      <c r="EF147" s="470"/>
      <c r="EG147" s="470"/>
      <c r="EH147" s="470"/>
      <c r="EI147" s="470"/>
      <c r="EJ147" s="470"/>
      <c r="EK147" s="470"/>
      <c r="EL147" s="470"/>
      <c r="EM147" s="470"/>
      <c r="EN147" s="470"/>
      <c r="EO147" s="470"/>
      <c r="EP147" s="470"/>
      <c r="EQ147" s="470"/>
      <c r="ER147" s="470"/>
      <c r="ES147" s="470"/>
      <c r="ET147" s="470"/>
      <c r="EU147" s="470"/>
      <c r="EV147" s="470"/>
      <c r="EW147" s="470"/>
      <c r="EX147" s="470"/>
      <c r="EY147" s="470"/>
      <c r="EZ147" s="470"/>
      <c r="FA147" s="470"/>
      <c r="FB147" s="470"/>
      <c r="FC147" s="470"/>
      <c r="FD147" s="470"/>
      <c r="FE147" s="470"/>
      <c r="FF147" s="470"/>
      <c r="FG147" s="470"/>
      <c r="FH147" s="470"/>
      <c r="FI147" s="470"/>
      <c r="FJ147" s="470"/>
      <c r="FK147" s="470"/>
      <c r="FL147" s="470"/>
      <c r="FM147" s="470"/>
      <c r="FN147" s="470"/>
      <c r="FO147" s="470"/>
      <c r="FP147" s="470"/>
      <c r="FQ147" s="470"/>
      <c r="FR147" s="470"/>
      <c r="FS147" s="470"/>
      <c r="FT147" s="470"/>
      <c r="FU147" s="470"/>
      <c r="FV147" s="470"/>
      <c r="FW147" s="470"/>
      <c r="FX147" s="470"/>
      <c r="FY147" s="470"/>
      <c r="FZ147" s="470"/>
      <c r="GA147" s="470"/>
      <c r="GB147" s="470"/>
      <c r="GC147" s="470"/>
      <c r="GD147" s="470"/>
      <c r="GE147" s="470"/>
      <c r="GF147" s="470"/>
      <c r="GG147" s="470"/>
      <c r="GH147" s="470"/>
      <c r="GI147" s="470"/>
      <c r="GJ147" s="470"/>
      <c r="GK147" s="470"/>
      <c r="GL147" s="470"/>
      <c r="GM147" s="470"/>
      <c r="GN147" s="470"/>
      <c r="GO147" s="470"/>
      <c r="GP147" s="470"/>
      <c r="GQ147" s="470"/>
      <c r="GR147" s="470"/>
      <c r="GS147" s="470"/>
      <c r="GT147" s="470"/>
      <c r="GU147" s="470"/>
      <c r="GV147" s="470"/>
      <c r="GW147" s="470"/>
      <c r="GX147" s="470"/>
      <c r="GY147" s="470"/>
      <c r="GZ147" s="470"/>
      <c r="HA147" s="470"/>
      <c r="HB147" s="470"/>
      <c r="HC147" s="470"/>
      <c r="HD147" s="470"/>
      <c r="HE147" s="470"/>
      <c r="HF147" s="470"/>
      <c r="HG147" s="470"/>
      <c r="HH147" s="470"/>
      <c r="HI147" s="470"/>
      <c r="HJ147" s="470"/>
      <c r="HK147" s="470"/>
      <c r="HL147" s="470"/>
      <c r="HM147" s="470"/>
      <c r="HN147" s="470"/>
      <c r="HO147" s="470"/>
      <c r="HP147" s="470"/>
      <c r="HQ147" s="470"/>
      <c r="HR147" s="470"/>
      <c r="HS147" s="470"/>
      <c r="HT147" s="470"/>
      <c r="HU147" s="470"/>
      <c r="HV147" s="470"/>
      <c r="HW147" s="470"/>
      <c r="HX147" s="470"/>
      <c r="HY147" s="470"/>
      <c r="HZ147" s="470"/>
      <c r="IA147" s="470"/>
      <c r="IB147" s="470"/>
      <c r="IC147" s="470"/>
      <c r="ID147" s="470"/>
      <c r="IE147" s="470"/>
      <c r="IF147" s="470"/>
      <c r="IG147" s="470"/>
      <c r="IH147" s="470"/>
      <c r="II147" s="470"/>
      <c r="IJ147" s="470"/>
      <c r="IK147" s="470"/>
      <c r="IL147" s="470"/>
      <c r="IM147" s="470"/>
      <c r="IN147" s="470"/>
      <c r="IO147" s="470"/>
      <c r="IP147" s="470"/>
      <c r="IQ147" s="470"/>
    </row>
    <row r="148" spans="1:251" x14ac:dyDescent="0.2">
      <c r="A148" s="453" t="s">
        <v>10007</v>
      </c>
      <c r="B148" s="453" t="s">
        <v>10008</v>
      </c>
      <c r="C148" s="473" t="s">
        <v>386</v>
      </c>
      <c r="D148" s="455" t="s">
        <v>9783</v>
      </c>
      <c r="E148" s="456" t="s">
        <v>9734</v>
      </c>
      <c r="F148" s="456" t="s">
        <v>9988</v>
      </c>
      <c r="G148" s="456" t="s">
        <v>7180</v>
      </c>
      <c r="H148" s="457">
        <v>198.72000000000003</v>
      </c>
      <c r="I148" s="457">
        <f t="shared" si="11"/>
        <v>213.62400000000002</v>
      </c>
      <c r="J148" s="457" t="s">
        <v>9706</v>
      </c>
      <c r="K148" s="458">
        <v>0.3</v>
      </c>
      <c r="L148" s="459">
        <f t="shared" si="8"/>
        <v>139.10400000000001</v>
      </c>
      <c r="M148" s="460">
        <v>0.18</v>
      </c>
      <c r="N148" s="461">
        <f t="shared" si="9"/>
        <v>175.17168000000004</v>
      </c>
      <c r="O148" s="462">
        <v>0.1</v>
      </c>
      <c r="P148" s="463">
        <f t="shared" si="10"/>
        <v>192.26160000000002</v>
      </c>
      <c r="Q148" s="464"/>
      <c r="R148" s="465">
        <v>4</v>
      </c>
      <c r="S148" s="465">
        <v>4</v>
      </c>
      <c r="T148" s="465">
        <v>4</v>
      </c>
      <c r="U148" s="477"/>
      <c r="V148" s="470"/>
      <c r="W148" s="470"/>
      <c r="X148" s="470"/>
      <c r="Y148" s="470"/>
      <c r="Z148" s="470"/>
      <c r="AA148" s="470"/>
      <c r="AB148" s="470"/>
      <c r="AC148" s="470"/>
      <c r="AD148" s="470"/>
      <c r="AE148" s="470"/>
      <c r="AF148" s="470"/>
      <c r="AG148" s="470"/>
      <c r="AH148" s="470"/>
      <c r="AI148" s="470"/>
      <c r="AJ148" s="470"/>
      <c r="AK148" s="470"/>
      <c r="AL148" s="470"/>
      <c r="AM148" s="470"/>
      <c r="AN148" s="470"/>
      <c r="AO148" s="470"/>
      <c r="AP148" s="470"/>
      <c r="AQ148" s="470"/>
      <c r="AR148" s="470"/>
      <c r="AS148" s="470"/>
      <c r="AT148" s="470"/>
      <c r="AU148" s="470"/>
      <c r="AV148" s="470"/>
      <c r="AW148" s="470"/>
      <c r="AX148" s="470"/>
      <c r="AY148" s="470"/>
      <c r="AZ148" s="470"/>
      <c r="BA148" s="470"/>
      <c r="BB148" s="470"/>
      <c r="BC148" s="470"/>
      <c r="BD148" s="470"/>
      <c r="BE148" s="470"/>
      <c r="BF148" s="470"/>
      <c r="BG148" s="470"/>
      <c r="BH148" s="470"/>
      <c r="BI148" s="470"/>
      <c r="BJ148" s="470"/>
      <c r="BK148" s="470"/>
      <c r="BL148" s="470"/>
      <c r="BM148" s="470"/>
      <c r="BN148" s="470"/>
      <c r="BO148" s="470"/>
      <c r="BP148" s="470"/>
      <c r="BQ148" s="470"/>
      <c r="BR148" s="470"/>
      <c r="BS148" s="470"/>
      <c r="BT148" s="470"/>
      <c r="BU148" s="470"/>
      <c r="BV148" s="470"/>
      <c r="BW148" s="470"/>
      <c r="BX148" s="470"/>
      <c r="BY148" s="470"/>
      <c r="BZ148" s="470"/>
      <c r="CA148" s="470"/>
      <c r="CB148" s="470"/>
      <c r="CC148" s="470"/>
      <c r="CD148" s="470"/>
      <c r="CE148" s="470"/>
      <c r="CF148" s="470"/>
      <c r="CG148" s="470"/>
      <c r="CH148" s="470"/>
      <c r="CI148" s="470"/>
      <c r="CJ148" s="470"/>
      <c r="CK148" s="470"/>
      <c r="CL148" s="470"/>
      <c r="CM148" s="470"/>
      <c r="CN148" s="470"/>
      <c r="CO148" s="470"/>
      <c r="CP148" s="470"/>
      <c r="CQ148" s="470"/>
      <c r="CR148" s="470"/>
      <c r="CS148" s="470"/>
      <c r="CT148" s="470"/>
      <c r="CU148" s="470"/>
      <c r="CV148" s="470"/>
      <c r="CW148" s="470"/>
      <c r="CX148" s="470"/>
      <c r="CY148" s="470"/>
      <c r="CZ148" s="470"/>
      <c r="DA148" s="470"/>
      <c r="DB148" s="470"/>
      <c r="DC148" s="470"/>
      <c r="DD148" s="470"/>
      <c r="DE148" s="470"/>
      <c r="DF148" s="470"/>
      <c r="DG148" s="470"/>
      <c r="DH148" s="470"/>
      <c r="DI148" s="470"/>
      <c r="DJ148" s="470"/>
      <c r="DK148" s="470"/>
      <c r="DL148" s="470"/>
      <c r="DM148" s="470"/>
      <c r="DN148" s="470"/>
      <c r="DO148" s="470"/>
      <c r="DP148" s="470"/>
      <c r="DQ148" s="470"/>
      <c r="DR148" s="470"/>
      <c r="DS148" s="470"/>
      <c r="DT148" s="470"/>
      <c r="DU148" s="470"/>
      <c r="DV148" s="470"/>
      <c r="DW148" s="470"/>
      <c r="DX148" s="470"/>
      <c r="DY148" s="470"/>
      <c r="DZ148" s="470"/>
      <c r="EA148" s="470"/>
      <c r="EB148" s="470"/>
      <c r="EC148" s="470"/>
      <c r="ED148" s="470"/>
      <c r="EE148" s="470"/>
      <c r="EF148" s="470"/>
      <c r="EG148" s="470"/>
      <c r="EH148" s="470"/>
      <c r="EI148" s="470"/>
      <c r="EJ148" s="470"/>
      <c r="EK148" s="470"/>
      <c r="EL148" s="470"/>
      <c r="EM148" s="470"/>
      <c r="EN148" s="470"/>
      <c r="EO148" s="470"/>
      <c r="EP148" s="470"/>
      <c r="EQ148" s="470"/>
      <c r="ER148" s="470"/>
      <c r="ES148" s="470"/>
      <c r="ET148" s="470"/>
      <c r="EU148" s="470"/>
      <c r="EV148" s="470"/>
      <c r="EW148" s="470"/>
      <c r="EX148" s="470"/>
      <c r="EY148" s="470"/>
      <c r="EZ148" s="470"/>
      <c r="FA148" s="470"/>
      <c r="FB148" s="470"/>
      <c r="FC148" s="470"/>
      <c r="FD148" s="470"/>
      <c r="FE148" s="470"/>
      <c r="FF148" s="470"/>
      <c r="FG148" s="470"/>
      <c r="FH148" s="470"/>
      <c r="FI148" s="470"/>
      <c r="FJ148" s="470"/>
      <c r="FK148" s="470"/>
      <c r="FL148" s="470"/>
      <c r="FM148" s="470"/>
      <c r="FN148" s="470"/>
      <c r="FO148" s="470"/>
      <c r="FP148" s="470"/>
      <c r="FQ148" s="470"/>
      <c r="FR148" s="470"/>
      <c r="FS148" s="470"/>
      <c r="FT148" s="470"/>
      <c r="FU148" s="470"/>
      <c r="FV148" s="470"/>
      <c r="FW148" s="470"/>
      <c r="FX148" s="470"/>
      <c r="FY148" s="470"/>
      <c r="FZ148" s="470"/>
      <c r="GA148" s="470"/>
      <c r="GB148" s="470"/>
      <c r="GC148" s="470"/>
      <c r="GD148" s="470"/>
      <c r="GE148" s="470"/>
      <c r="GF148" s="470"/>
      <c r="GG148" s="470"/>
      <c r="GH148" s="470"/>
      <c r="GI148" s="470"/>
      <c r="GJ148" s="470"/>
      <c r="GK148" s="470"/>
      <c r="GL148" s="470"/>
      <c r="GM148" s="470"/>
      <c r="GN148" s="470"/>
      <c r="GO148" s="470"/>
      <c r="GP148" s="470"/>
      <c r="GQ148" s="470"/>
      <c r="GR148" s="470"/>
      <c r="GS148" s="470"/>
      <c r="GT148" s="470"/>
      <c r="GU148" s="470"/>
      <c r="GV148" s="470"/>
      <c r="GW148" s="470"/>
      <c r="GX148" s="470"/>
      <c r="GY148" s="470"/>
      <c r="GZ148" s="470"/>
      <c r="HA148" s="470"/>
      <c r="HB148" s="470"/>
      <c r="HC148" s="470"/>
      <c r="HD148" s="470"/>
      <c r="HE148" s="470"/>
      <c r="HF148" s="470"/>
      <c r="HG148" s="470"/>
      <c r="HH148" s="470"/>
      <c r="HI148" s="470"/>
      <c r="HJ148" s="470"/>
      <c r="HK148" s="470"/>
      <c r="HL148" s="470"/>
      <c r="HM148" s="470"/>
      <c r="HN148" s="470"/>
      <c r="HO148" s="470"/>
      <c r="HP148" s="470"/>
      <c r="HQ148" s="470"/>
      <c r="HR148" s="470"/>
      <c r="HS148" s="470"/>
      <c r="HT148" s="470"/>
      <c r="HU148" s="470"/>
      <c r="HV148" s="470"/>
      <c r="HW148" s="470"/>
      <c r="HX148" s="470"/>
      <c r="HY148" s="470"/>
      <c r="HZ148" s="470"/>
      <c r="IA148" s="470"/>
      <c r="IB148" s="470"/>
      <c r="IC148" s="470"/>
      <c r="ID148" s="470"/>
      <c r="IE148" s="470"/>
      <c r="IF148" s="470"/>
      <c r="IG148" s="470"/>
      <c r="IH148" s="470"/>
      <c r="II148" s="470"/>
      <c r="IJ148" s="470"/>
      <c r="IK148" s="470"/>
      <c r="IL148" s="470"/>
      <c r="IM148" s="470"/>
      <c r="IN148" s="470"/>
      <c r="IO148" s="470"/>
      <c r="IP148" s="470"/>
      <c r="IQ148" s="470"/>
    </row>
    <row r="149" spans="1:251" x14ac:dyDescent="0.2">
      <c r="A149" s="453" t="s">
        <v>10009</v>
      </c>
      <c r="B149" s="453" t="s">
        <v>10010</v>
      </c>
      <c r="C149" s="473" t="s">
        <v>386</v>
      </c>
      <c r="D149" s="455" t="s">
        <v>9783</v>
      </c>
      <c r="E149" s="456" t="s">
        <v>9739</v>
      </c>
      <c r="F149" s="456" t="s">
        <v>9988</v>
      </c>
      <c r="G149" s="456" t="s">
        <v>7180</v>
      </c>
      <c r="H149" s="457">
        <v>198.72000000000003</v>
      </c>
      <c r="I149" s="457">
        <f t="shared" si="11"/>
        <v>213.62400000000002</v>
      </c>
      <c r="J149" s="457" t="s">
        <v>9706</v>
      </c>
      <c r="K149" s="458">
        <v>0.3</v>
      </c>
      <c r="L149" s="459">
        <f t="shared" si="8"/>
        <v>139.10400000000001</v>
      </c>
      <c r="M149" s="460">
        <v>0.18</v>
      </c>
      <c r="N149" s="461">
        <f t="shared" si="9"/>
        <v>175.17168000000004</v>
      </c>
      <c r="O149" s="462">
        <v>0.1</v>
      </c>
      <c r="P149" s="463">
        <f t="shared" si="10"/>
        <v>192.26160000000002</v>
      </c>
      <c r="Q149" s="464"/>
      <c r="R149" s="465">
        <v>4</v>
      </c>
      <c r="S149" s="465">
        <v>4</v>
      </c>
      <c r="T149" s="465">
        <v>4</v>
      </c>
      <c r="U149" s="466"/>
      <c r="V149" s="470"/>
      <c r="W149" s="470"/>
      <c r="X149" s="470"/>
      <c r="Y149" s="470"/>
      <c r="Z149" s="470"/>
      <c r="AA149" s="470"/>
      <c r="AB149" s="470"/>
      <c r="AC149" s="470"/>
      <c r="AD149" s="470"/>
      <c r="AE149" s="470"/>
      <c r="AF149" s="470"/>
      <c r="AG149" s="470"/>
      <c r="AH149" s="470"/>
      <c r="AI149" s="470"/>
      <c r="AJ149" s="470"/>
      <c r="AK149" s="470"/>
      <c r="AL149" s="470"/>
      <c r="AM149" s="470"/>
      <c r="AN149" s="470"/>
      <c r="AO149" s="470"/>
      <c r="AP149" s="470"/>
      <c r="AQ149" s="470"/>
      <c r="AR149" s="470"/>
      <c r="AS149" s="470"/>
      <c r="AT149" s="470"/>
      <c r="AU149" s="470"/>
      <c r="AV149" s="470"/>
      <c r="AW149" s="470"/>
      <c r="AX149" s="470"/>
      <c r="AY149" s="470"/>
      <c r="AZ149" s="470"/>
      <c r="BA149" s="470"/>
      <c r="BB149" s="470"/>
      <c r="BC149" s="470"/>
      <c r="BD149" s="470"/>
      <c r="BE149" s="470"/>
      <c r="BF149" s="470"/>
      <c r="BG149" s="470"/>
      <c r="BH149" s="470"/>
      <c r="BI149" s="470"/>
      <c r="BJ149" s="470"/>
      <c r="BK149" s="470"/>
      <c r="BL149" s="470"/>
      <c r="BM149" s="470"/>
      <c r="BN149" s="470"/>
      <c r="BO149" s="470"/>
      <c r="BP149" s="470"/>
      <c r="BQ149" s="470"/>
      <c r="BR149" s="470"/>
      <c r="BS149" s="470"/>
      <c r="BT149" s="470"/>
      <c r="BU149" s="470"/>
      <c r="BV149" s="470"/>
      <c r="BW149" s="470"/>
      <c r="BX149" s="470"/>
      <c r="BY149" s="470"/>
      <c r="BZ149" s="470"/>
      <c r="CA149" s="470"/>
      <c r="CB149" s="470"/>
      <c r="CC149" s="470"/>
      <c r="CD149" s="470"/>
      <c r="CE149" s="470"/>
      <c r="CF149" s="470"/>
      <c r="CG149" s="470"/>
      <c r="CH149" s="470"/>
      <c r="CI149" s="470"/>
      <c r="CJ149" s="470"/>
      <c r="CK149" s="470"/>
      <c r="CL149" s="470"/>
      <c r="CM149" s="470"/>
      <c r="CN149" s="470"/>
      <c r="CO149" s="470"/>
      <c r="CP149" s="470"/>
      <c r="CQ149" s="470"/>
      <c r="CR149" s="470"/>
      <c r="CS149" s="470"/>
      <c r="CT149" s="470"/>
      <c r="CU149" s="470"/>
      <c r="CV149" s="470"/>
      <c r="CW149" s="470"/>
      <c r="CX149" s="470"/>
      <c r="CY149" s="470"/>
      <c r="CZ149" s="470"/>
      <c r="DA149" s="470"/>
      <c r="DB149" s="470"/>
      <c r="DC149" s="470"/>
      <c r="DD149" s="470"/>
      <c r="DE149" s="470"/>
      <c r="DF149" s="470"/>
      <c r="DG149" s="470"/>
      <c r="DH149" s="470"/>
      <c r="DI149" s="470"/>
      <c r="DJ149" s="470"/>
      <c r="DK149" s="470"/>
      <c r="DL149" s="470"/>
      <c r="DM149" s="470"/>
      <c r="DN149" s="470"/>
      <c r="DO149" s="470"/>
      <c r="DP149" s="470"/>
      <c r="DQ149" s="470"/>
      <c r="DR149" s="470"/>
      <c r="DS149" s="470"/>
      <c r="DT149" s="470"/>
      <c r="DU149" s="470"/>
      <c r="DV149" s="470"/>
      <c r="DW149" s="470"/>
      <c r="DX149" s="470"/>
      <c r="DY149" s="470"/>
      <c r="DZ149" s="470"/>
      <c r="EA149" s="470"/>
      <c r="EB149" s="470"/>
      <c r="EC149" s="470"/>
      <c r="ED149" s="470"/>
      <c r="EE149" s="470"/>
      <c r="EF149" s="470"/>
      <c r="EG149" s="470"/>
      <c r="EH149" s="470"/>
      <c r="EI149" s="470"/>
      <c r="EJ149" s="470"/>
      <c r="EK149" s="470"/>
      <c r="EL149" s="470"/>
      <c r="EM149" s="470"/>
      <c r="EN149" s="470"/>
      <c r="EO149" s="470"/>
      <c r="EP149" s="470"/>
      <c r="EQ149" s="470"/>
      <c r="ER149" s="470"/>
      <c r="ES149" s="470"/>
      <c r="ET149" s="470"/>
      <c r="EU149" s="470"/>
      <c r="EV149" s="470"/>
      <c r="EW149" s="470"/>
      <c r="EX149" s="470"/>
      <c r="EY149" s="470"/>
      <c r="EZ149" s="470"/>
      <c r="FA149" s="470"/>
      <c r="FB149" s="470"/>
      <c r="FC149" s="470"/>
      <c r="FD149" s="470"/>
      <c r="FE149" s="470"/>
      <c r="FF149" s="470"/>
      <c r="FG149" s="470"/>
      <c r="FH149" s="470"/>
      <c r="FI149" s="470"/>
      <c r="FJ149" s="470"/>
      <c r="FK149" s="470"/>
      <c r="FL149" s="470"/>
      <c r="FM149" s="470"/>
      <c r="FN149" s="470"/>
      <c r="FO149" s="470"/>
      <c r="FP149" s="470"/>
      <c r="FQ149" s="470"/>
      <c r="FR149" s="470"/>
      <c r="FS149" s="470"/>
      <c r="FT149" s="470"/>
      <c r="FU149" s="470"/>
      <c r="FV149" s="470"/>
      <c r="FW149" s="470"/>
      <c r="FX149" s="470"/>
      <c r="FY149" s="470"/>
      <c r="FZ149" s="470"/>
      <c r="GA149" s="470"/>
      <c r="GB149" s="470"/>
      <c r="GC149" s="470"/>
      <c r="GD149" s="470"/>
      <c r="GE149" s="470"/>
      <c r="GF149" s="470"/>
      <c r="GG149" s="470"/>
      <c r="GH149" s="470"/>
      <c r="GI149" s="470"/>
      <c r="GJ149" s="470"/>
      <c r="GK149" s="470"/>
      <c r="GL149" s="470"/>
      <c r="GM149" s="470"/>
      <c r="GN149" s="470"/>
      <c r="GO149" s="470"/>
      <c r="GP149" s="470"/>
      <c r="GQ149" s="470"/>
      <c r="GR149" s="470"/>
      <c r="GS149" s="470"/>
      <c r="GT149" s="470"/>
      <c r="GU149" s="470"/>
      <c r="GV149" s="470"/>
      <c r="GW149" s="470"/>
      <c r="GX149" s="470"/>
      <c r="GY149" s="470"/>
      <c r="GZ149" s="470"/>
      <c r="HA149" s="470"/>
      <c r="HB149" s="470"/>
      <c r="HC149" s="470"/>
      <c r="HD149" s="470"/>
      <c r="HE149" s="470"/>
      <c r="HF149" s="470"/>
      <c r="HG149" s="470"/>
      <c r="HH149" s="470"/>
      <c r="HI149" s="470"/>
      <c r="HJ149" s="470"/>
      <c r="HK149" s="470"/>
      <c r="HL149" s="470"/>
      <c r="HM149" s="470"/>
      <c r="HN149" s="470"/>
      <c r="HO149" s="470"/>
      <c r="HP149" s="470"/>
      <c r="HQ149" s="470"/>
      <c r="HR149" s="470"/>
      <c r="HS149" s="470"/>
      <c r="HT149" s="470"/>
      <c r="HU149" s="470"/>
      <c r="HV149" s="470"/>
      <c r="HW149" s="470"/>
      <c r="HX149" s="470"/>
      <c r="HY149" s="470"/>
      <c r="HZ149" s="470"/>
      <c r="IA149" s="470"/>
      <c r="IB149" s="470"/>
      <c r="IC149" s="470"/>
      <c r="ID149" s="470"/>
      <c r="IE149" s="470"/>
      <c r="IF149" s="470"/>
      <c r="IG149" s="470"/>
      <c r="IH149" s="470"/>
      <c r="II149" s="470"/>
      <c r="IJ149" s="470"/>
      <c r="IK149" s="470"/>
      <c r="IL149" s="470"/>
      <c r="IM149" s="470"/>
      <c r="IN149" s="470"/>
      <c r="IO149" s="470"/>
      <c r="IP149" s="470"/>
      <c r="IQ149" s="470"/>
    </row>
    <row r="150" spans="1:251" x14ac:dyDescent="0.2">
      <c r="A150" s="453" t="s">
        <v>10011</v>
      </c>
      <c r="B150" s="453" t="s">
        <v>10012</v>
      </c>
      <c r="C150" s="473" t="s">
        <v>386</v>
      </c>
      <c r="D150" s="455" t="s">
        <v>9783</v>
      </c>
      <c r="E150" s="456" t="s">
        <v>9710</v>
      </c>
      <c r="F150" s="456" t="s">
        <v>9988</v>
      </c>
      <c r="G150" s="456" t="s">
        <v>7180</v>
      </c>
      <c r="H150" s="457">
        <v>198.72000000000003</v>
      </c>
      <c r="I150" s="457">
        <f t="shared" si="11"/>
        <v>213.62400000000002</v>
      </c>
      <c r="J150" s="457" t="s">
        <v>9706</v>
      </c>
      <c r="K150" s="458">
        <v>0.3</v>
      </c>
      <c r="L150" s="459">
        <f t="shared" si="8"/>
        <v>139.10400000000001</v>
      </c>
      <c r="M150" s="460">
        <v>0.18</v>
      </c>
      <c r="N150" s="461">
        <f t="shared" si="9"/>
        <v>175.17168000000004</v>
      </c>
      <c r="O150" s="462">
        <v>0.1</v>
      </c>
      <c r="P150" s="463">
        <f t="shared" si="10"/>
        <v>192.26160000000002</v>
      </c>
      <c r="Q150" s="464"/>
      <c r="R150" s="476">
        <v>1</v>
      </c>
      <c r="S150" s="476">
        <v>1</v>
      </c>
      <c r="T150" s="476">
        <v>1</v>
      </c>
      <c r="U150" s="477"/>
      <c r="V150" s="470"/>
      <c r="W150" s="470"/>
      <c r="X150" s="470"/>
      <c r="Y150" s="470"/>
      <c r="Z150" s="470"/>
      <c r="AA150" s="470"/>
      <c r="AB150" s="470"/>
      <c r="AC150" s="470"/>
      <c r="AD150" s="470"/>
      <c r="AE150" s="470"/>
      <c r="AF150" s="470"/>
      <c r="AG150" s="470"/>
      <c r="AH150" s="470"/>
      <c r="AI150" s="470"/>
      <c r="AJ150" s="470"/>
      <c r="AK150" s="470"/>
      <c r="AL150" s="470"/>
      <c r="AM150" s="470"/>
      <c r="AN150" s="470"/>
      <c r="AO150" s="470"/>
      <c r="AP150" s="470"/>
      <c r="AQ150" s="470"/>
      <c r="AR150" s="470"/>
      <c r="AS150" s="470"/>
      <c r="AT150" s="470"/>
      <c r="AU150" s="470"/>
      <c r="AV150" s="470"/>
      <c r="AW150" s="470"/>
      <c r="AX150" s="470"/>
      <c r="AY150" s="470"/>
      <c r="AZ150" s="470"/>
      <c r="BA150" s="470"/>
      <c r="BB150" s="470"/>
      <c r="BC150" s="470"/>
      <c r="BD150" s="470"/>
      <c r="BE150" s="470"/>
      <c r="BF150" s="470"/>
      <c r="BG150" s="470"/>
      <c r="BH150" s="470"/>
      <c r="BI150" s="470"/>
      <c r="BJ150" s="470"/>
      <c r="BK150" s="470"/>
      <c r="BL150" s="470"/>
      <c r="BM150" s="470"/>
      <c r="BN150" s="470"/>
      <c r="BO150" s="470"/>
      <c r="BP150" s="470"/>
      <c r="BQ150" s="470"/>
      <c r="BR150" s="470"/>
      <c r="BS150" s="470"/>
      <c r="BT150" s="470"/>
      <c r="BU150" s="470"/>
      <c r="BV150" s="470"/>
      <c r="BW150" s="470"/>
      <c r="BX150" s="470"/>
      <c r="BY150" s="470"/>
      <c r="BZ150" s="470"/>
      <c r="CA150" s="470"/>
      <c r="CB150" s="470"/>
      <c r="CC150" s="470"/>
      <c r="CD150" s="470"/>
      <c r="CE150" s="470"/>
      <c r="CF150" s="470"/>
      <c r="CG150" s="470"/>
      <c r="CH150" s="470"/>
      <c r="CI150" s="470"/>
      <c r="CJ150" s="470"/>
      <c r="CK150" s="470"/>
      <c r="CL150" s="470"/>
      <c r="CM150" s="470"/>
      <c r="CN150" s="470"/>
      <c r="CO150" s="470"/>
      <c r="CP150" s="470"/>
      <c r="CQ150" s="470"/>
      <c r="CR150" s="470"/>
      <c r="CS150" s="470"/>
      <c r="CT150" s="470"/>
      <c r="CU150" s="470"/>
      <c r="CV150" s="470"/>
      <c r="CW150" s="470"/>
      <c r="CX150" s="470"/>
      <c r="CY150" s="470"/>
      <c r="CZ150" s="470"/>
      <c r="DA150" s="470"/>
      <c r="DB150" s="470"/>
      <c r="DC150" s="470"/>
      <c r="DD150" s="470"/>
      <c r="DE150" s="470"/>
      <c r="DF150" s="470"/>
      <c r="DG150" s="470"/>
      <c r="DH150" s="470"/>
      <c r="DI150" s="470"/>
      <c r="DJ150" s="470"/>
      <c r="DK150" s="470"/>
      <c r="DL150" s="470"/>
      <c r="DM150" s="470"/>
      <c r="DN150" s="470"/>
      <c r="DO150" s="470"/>
      <c r="DP150" s="470"/>
      <c r="DQ150" s="470"/>
      <c r="DR150" s="470"/>
      <c r="DS150" s="470"/>
      <c r="DT150" s="470"/>
      <c r="DU150" s="470"/>
      <c r="DV150" s="470"/>
      <c r="DW150" s="470"/>
      <c r="DX150" s="470"/>
      <c r="DY150" s="470"/>
      <c r="DZ150" s="470"/>
      <c r="EA150" s="470"/>
      <c r="EB150" s="470"/>
      <c r="EC150" s="470"/>
      <c r="ED150" s="470"/>
      <c r="EE150" s="470"/>
      <c r="EF150" s="470"/>
      <c r="EG150" s="470"/>
      <c r="EH150" s="470"/>
      <c r="EI150" s="470"/>
      <c r="EJ150" s="470"/>
      <c r="EK150" s="470"/>
      <c r="EL150" s="470"/>
      <c r="EM150" s="470"/>
      <c r="EN150" s="470"/>
      <c r="EO150" s="470"/>
      <c r="EP150" s="470"/>
      <c r="EQ150" s="470"/>
      <c r="ER150" s="470"/>
      <c r="ES150" s="470"/>
      <c r="ET150" s="470"/>
      <c r="EU150" s="470"/>
      <c r="EV150" s="470"/>
      <c r="EW150" s="470"/>
      <c r="EX150" s="470"/>
      <c r="EY150" s="470"/>
      <c r="EZ150" s="470"/>
      <c r="FA150" s="470"/>
      <c r="FB150" s="470"/>
      <c r="FC150" s="470"/>
      <c r="FD150" s="470"/>
      <c r="FE150" s="470"/>
      <c r="FF150" s="470"/>
      <c r="FG150" s="470"/>
      <c r="FH150" s="470"/>
      <c r="FI150" s="470"/>
      <c r="FJ150" s="470"/>
      <c r="FK150" s="470"/>
      <c r="FL150" s="470"/>
      <c r="FM150" s="470"/>
      <c r="FN150" s="470"/>
      <c r="FO150" s="470"/>
      <c r="FP150" s="470"/>
      <c r="FQ150" s="470"/>
      <c r="FR150" s="470"/>
      <c r="FS150" s="470"/>
      <c r="FT150" s="470"/>
      <c r="FU150" s="470"/>
      <c r="FV150" s="470"/>
      <c r="FW150" s="470"/>
      <c r="FX150" s="470"/>
      <c r="FY150" s="470"/>
      <c r="FZ150" s="470"/>
      <c r="GA150" s="470"/>
      <c r="GB150" s="470"/>
      <c r="GC150" s="470"/>
      <c r="GD150" s="470"/>
      <c r="GE150" s="470"/>
      <c r="GF150" s="470"/>
      <c r="GG150" s="470"/>
      <c r="GH150" s="470"/>
      <c r="GI150" s="470"/>
      <c r="GJ150" s="470"/>
      <c r="GK150" s="470"/>
      <c r="GL150" s="470"/>
      <c r="GM150" s="470"/>
      <c r="GN150" s="470"/>
      <c r="GO150" s="470"/>
      <c r="GP150" s="470"/>
      <c r="GQ150" s="470"/>
      <c r="GR150" s="470"/>
      <c r="GS150" s="470"/>
      <c r="GT150" s="470"/>
      <c r="GU150" s="470"/>
      <c r="GV150" s="470"/>
      <c r="GW150" s="470"/>
      <c r="GX150" s="470"/>
      <c r="GY150" s="470"/>
      <c r="GZ150" s="470"/>
      <c r="HA150" s="470"/>
      <c r="HB150" s="470"/>
      <c r="HC150" s="470"/>
      <c r="HD150" s="470"/>
      <c r="HE150" s="470"/>
      <c r="HF150" s="470"/>
      <c r="HG150" s="470"/>
      <c r="HH150" s="470"/>
      <c r="HI150" s="470"/>
      <c r="HJ150" s="470"/>
      <c r="HK150" s="470"/>
      <c r="HL150" s="470"/>
      <c r="HM150" s="470"/>
      <c r="HN150" s="470"/>
      <c r="HO150" s="470"/>
      <c r="HP150" s="470"/>
      <c r="HQ150" s="470"/>
      <c r="HR150" s="470"/>
      <c r="HS150" s="470"/>
      <c r="HT150" s="470"/>
      <c r="HU150" s="470"/>
      <c r="HV150" s="470"/>
      <c r="HW150" s="470"/>
      <c r="HX150" s="470"/>
      <c r="HY150" s="470"/>
      <c r="HZ150" s="470"/>
      <c r="IA150" s="470"/>
      <c r="IB150" s="470"/>
      <c r="IC150" s="470"/>
      <c r="ID150" s="470"/>
      <c r="IE150" s="470"/>
      <c r="IF150" s="470"/>
      <c r="IG150" s="470"/>
      <c r="IH150" s="470"/>
      <c r="II150" s="470"/>
      <c r="IJ150" s="470"/>
      <c r="IK150" s="470"/>
      <c r="IL150" s="470"/>
      <c r="IM150" s="470"/>
      <c r="IN150" s="470"/>
      <c r="IO150" s="470"/>
      <c r="IP150" s="470"/>
      <c r="IQ150" s="470"/>
    </row>
    <row r="151" spans="1:251" x14ac:dyDescent="0.2">
      <c r="A151" s="453" t="s">
        <v>10013</v>
      </c>
      <c r="B151" s="453" t="s">
        <v>10014</v>
      </c>
      <c r="C151" s="473" t="s">
        <v>386</v>
      </c>
      <c r="D151" s="455" t="s">
        <v>9783</v>
      </c>
      <c r="E151" s="456" t="s">
        <v>9710</v>
      </c>
      <c r="F151" s="456" t="s">
        <v>9988</v>
      </c>
      <c r="G151" s="456" t="s">
        <v>7180</v>
      </c>
      <c r="H151" s="457">
        <v>198.72000000000003</v>
      </c>
      <c r="I151" s="457">
        <f t="shared" si="11"/>
        <v>213.62400000000002</v>
      </c>
      <c r="J151" s="457" t="s">
        <v>9706</v>
      </c>
      <c r="K151" s="458">
        <v>0.3</v>
      </c>
      <c r="L151" s="459">
        <f t="shared" si="8"/>
        <v>139.10400000000001</v>
      </c>
      <c r="M151" s="460">
        <v>0.18</v>
      </c>
      <c r="N151" s="461">
        <f t="shared" si="9"/>
        <v>175.17168000000004</v>
      </c>
      <c r="O151" s="462">
        <v>0.1</v>
      </c>
      <c r="P151" s="463">
        <f t="shared" si="10"/>
        <v>192.26160000000002</v>
      </c>
      <c r="Q151" s="464"/>
      <c r="R151" s="465">
        <v>4</v>
      </c>
      <c r="S151" s="465">
        <v>4</v>
      </c>
      <c r="T151" s="465">
        <v>4</v>
      </c>
      <c r="U151" s="477"/>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470"/>
      <c r="AZ151" s="470"/>
      <c r="BA151" s="470"/>
      <c r="BB151" s="470"/>
      <c r="BC151" s="470"/>
      <c r="BD151" s="470"/>
      <c r="BE151" s="470"/>
      <c r="BF151" s="470"/>
      <c r="BG151" s="470"/>
      <c r="BH151" s="470"/>
      <c r="BI151" s="470"/>
      <c r="BJ151" s="470"/>
      <c r="BK151" s="470"/>
      <c r="BL151" s="470"/>
      <c r="BM151" s="470"/>
      <c r="BN151" s="470"/>
      <c r="BO151" s="470"/>
      <c r="BP151" s="470"/>
      <c r="BQ151" s="470"/>
      <c r="BR151" s="470"/>
      <c r="BS151" s="470"/>
      <c r="BT151" s="470"/>
      <c r="BU151" s="470"/>
      <c r="BV151" s="470"/>
      <c r="BW151" s="470"/>
      <c r="BX151" s="470"/>
      <c r="BY151" s="470"/>
      <c r="BZ151" s="470"/>
      <c r="CA151" s="470"/>
      <c r="CB151" s="470"/>
      <c r="CC151" s="470"/>
      <c r="CD151" s="470"/>
      <c r="CE151" s="470"/>
      <c r="CF151" s="470"/>
      <c r="CG151" s="470"/>
      <c r="CH151" s="470"/>
      <c r="CI151" s="470"/>
      <c r="CJ151" s="470"/>
      <c r="CK151" s="470"/>
      <c r="CL151" s="470"/>
      <c r="CM151" s="470"/>
      <c r="CN151" s="470"/>
      <c r="CO151" s="470"/>
      <c r="CP151" s="470"/>
      <c r="CQ151" s="470"/>
      <c r="CR151" s="470"/>
      <c r="CS151" s="470"/>
      <c r="CT151" s="470"/>
      <c r="CU151" s="470"/>
      <c r="CV151" s="470"/>
      <c r="CW151" s="470"/>
      <c r="CX151" s="470"/>
      <c r="CY151" s="470"/>
      <c r="CZ151" s="470"/>
      <c r="DA151" s="470"/>
      <c r="DB151" s="470"/>
      <c r="DC151" s="470"/>
      <c r="DD151" s="470"/>
      <c r="DE151" s="470"/>
      <c r="DF151" s="470"/>
      <c r="DG151" s="470"/>
      <c r="DH151" s="470"/>
      <c r="DI151" s="470"/>
      <c r="DJ151" s="470"/>
      <c r="DK151" s="470"/>
      <c r="DL151" s="470"/>
      <c r="DM151" s="470"/>
      <c r="DN151" s="470"/>
      <c r="DO151" s="470"/>
      <c r="DP151" s="470"/>
      <c r="DQ151" s="470"/>
      <c r="DR151" s="470"/>
      <c r="DS151" s="470"/>
      <c r="DT151" s="470"/>
      <c r="DU151" s="470"/>
      <c r="DV151" s="470"/>
      <c r="DW151" s="470"/>
      <c r="DX151" s="470"/>
      <c r="DY151" s="470"/>
      <c r="DZ151" s="470"/>
      <c r="EA151" s="470"/>
      <c r="EB151" s="470"/>
      <c r="EC151" s="470"/>
      <c r="ED151" s="470"/>
      <c r="EE151" s="470"/>
      <c r="EF151" s="470"/>
      <c r="EG151" s="470"/>
      <c r="EH151" s="470"/>
      <c r="EI151" s="470"/>
      <c r="EJ151" s="470"/>
      <c r="EK151" s="470"/>
      <c r="EL151" s="470"/>
      <c r="EM151" s="470"/>
      <c r="EN151" s="470"/>
      <c r="EO151" s="470"/>
      <c r="EP151" s="470"/>
      <c r="EQ151" s="470"/>
      <c r="ER151" s="470"/>
      <c r="ES151" s="470"/>
      <c r="ET151" s="470"/>
      <c r="EU151" s="470"/>
      <c r="EV151" s="470"/>
      <c r="EW151" s="470"/>
      <c r="EX151" s="470"/>
      <c r="EY151" s="470"/>
      <c r="EZ151" s="470"/>
      <c r="FA151" s="470"/>
      <c r="FB151" s="470"/>
      <c r="FC151" s="470"/>
      <c r="FD151" s="470"/>
      <c r="FE151" s="470"/>
      <c r="FF151" s="470"/>
      <c r="FG151" s="470"/>
      <c r="FH151" s="470"/>
      <c r="FI151" s="470"/>
      <c r="FJ151" s="470"/>
      <c r="FK151" s="470"/>
      <c r="FL151" s="470"/>
      <c r="FM151" s="470"/>
      <c r="FN151" s="470"/>
      <c r="FO151" s="470"/>
      <c r="FP151" s="470"/>
      <c r="FQ151" s="470"/>
      <c r="FR151" s="470"/>
      <c r="FS151" s="470"/>
      <c r="FT151" s="470"/>
      <c r="FU151" s="470"/>
      <c r="FV151" s="470"/>
      <c r="FW151" s="470"/>
      <c r="FX151" s="470"/>
      <c r="FY151" s="470"/>
      <c r="FZ151" s="470"/>
      <c r="GA151" s="470"/>
      <c r="GB151" s="470"/>
      <c r="GC151" s="470"/>
      <c r="GD151" s="470"/>
      <c r="GE151" s="470"/>
      <c r="GF151" s="470"/>
      <c r="GG151" s="470"/>
      <c r="GH151" s="470"/>
      <c r="GI151" s="470"/>
      <c r="GJ151" s="470"/>
      <c r="GK151" s="470"/>
      <c r="GL151" s="470"/>
      <c r="GM151" s="470"/>
      <c r="GN151" s="470"/>
      <c r="GO151" s="470"/>
      <c r="GP151" s="470"/>
      <c r="GQ151" s="470"/>
      <c r="GR151" s="470"/>
      <c r="GS151" s="470"/>
      <c r="GT151" s="470"/>
      <c r="GU151" s="470"/>
      <c r="GV151" s="470"/>
      <c r="GW151" s="470"/>
      <c r="GX151" s="470"/>
      <c r="GY151" s="470"/>
      <c r="GZ151" s="470"/>
      <c r="HA151" s="470"/>
      <c r="HB151" s="470"/>
      <c r="HC151" s="470"/>
      <c r="HD151" s="470"/>
      <c r="HE151" s="470"/>
      <c r="HF151" s="470"/>
      <c r="HG151" s="470"/>
      <c r="HH151" s="470"/>
      <c r="HI151" s="470"/>
      <c r="HJ151" s="470"/>
      <c r="HK151" s="470"/>
      <c r="HL151" s="470"/>
      <c r="HM151" s="470"/>
      <c r="HN151" s="470"/>
      <c r="HO151" s="470"/>
      <c r="HP151" s="470"/>
      <c r="HQ151" s="470"/>
      <c r="HR151" s="470"/>
      <c r="HS151" s="470"/>
      <c r="HT151" s="470"/>
      <c r="HU151" s="470"/>
      <c r="HV151" s="470"/>
      <c r="HW151" s="470"/>
      <c r="HX151" s="470"/>
      <c r="HY151" s="470"/>
      <c r="HZ151" s="470"/>
      <c r="IA151" s="470"/>
      <c r="IB151" s="470"/>
      <c r="IC151" s="470"/>
      <c r="ID151" s="470"/>
      <c r="IE151" s="470"/>
      <c r="IF151" s="470"/>
      <c r="IG151" s="470"/>
      <c r="IH151" s="470"/>
      <c r="II151" s="470"/>
      <c r="IJ151" s="470"/>
      <c r="IK151" s="470"/>
      <c r="IL151" s="470"/>
      <c r="IM151" s="470"/>
      <c r="IN151" s="470"/>
      <c r="IO151" s="470"/>
      <c r="IP151" s="470"/>
      <c r="IQ151" s="470"/>
    </row>
    <row r="152" spans="1:251" x14ac:dyDescent="0.2">
      <c r="A152" s="452" t="s">
        <v>10015</v>
      </c>
      <c r="B152" s="453" t="s">
        <v>10016</v>
      </c>
      <c r="C152" s="454" t="s">
        <v>386</v>
      </c>
      <c r="D152" s="455" t="s">
        <v>9783</v>
      </c>
      <c r="E152" s="456" t="s">
        <v>9710</v>
      </c>
      <c r="F152" s="456" t="s">
        <v>9988</v>
      </c>
      <c r="G152" s="456" t="s">
        <v>7180</v>
      </c>
      <c r="H152" s="457">
        <v>193.32000000000002</v>
      </c>
      <c r="I152" s="457">
        <f t="shared" si="11"/>
        <v>207.81900000000002</v>
      </c>
      <c r="J152" s="457" t="s">
        <v>9706</v>
      </c>
      <c r="K152" s="458">
        <v>0.3</v>
      </c>
      <c r="L152" s="459">
        <f t="shared" si="8"/>
        <v>135.32400000000001</v>
      </c>
      <c r="M152" s="460">
        <v>0.18</v>
      </c>
      <c r="N152" s="461">
        <f t="shared" si="9"/>
        <v>170.41158000000001</v>
      </c>
      <c r="O152" s="462">
        <v>0.1</v>
      </c>
      <c r="P152" s="463">
        <f t="shared" si="10"/>
        <v>187.03710000000001</v>
      </c>
      <c r="Q152" s="464"/>
      <c r="R152" s="476">
        <v>3</v>
      </c>
      <c r="S152" s="476">
        <v>3</v>
      </c>
      <c r="T152" s="476">
        <v>3</v>
      </c>
      <c r="U152" s="477"/>
      <c r="V152" s="470"/>
      <c r="W152" s="470"/>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c r="AS152" s="470"/>
      <c r="AT152" s="470"/>
      <c r="AU152" s="470"/>
      <c r="AV152" s="470"/>
      <c r="AW152" s="470"/>
      <c r="AX152" s="470"/>
      <c r="AY152" s="470"/>
      <c r="AZ152" s="470"/>
      <c r="BA152" s="470"/>
      <c r="BB152" s="470"/>
      <c r="BC152" s="470"/>
      <c r="BD152" s="470"/>
      <c r="BE152" s="470"/>
      <c r="BF152" s="470"/>
      <c r="BG152" s="470"/>
      <c r="BH152" s="470"/>
      <c r="BI152" s="470"/>
      <c r="BJ152" s="470"/>
      <c r="BK152" s="470"/>
      <c r="BL152" s="470"/>
      <c r="BM152" s="470"/>
      <c r="BN152" s="470"/>
      <c r="BO152" s="470"/>
      <c r="BP152" s="470"/>
      <c r="BQ152" s="470"/>
      <c r="BR152" s="470"/>
      <c r="BS152" s="470"/>
      <c r="BT152" s="470"/>
      <c r="BU152" s="470"/>
      <c r="BV152" s="470"/>
      <c r="BW152" s="470"/>
      <c r="BX152" s="470"/>
      <c r="BY152" s="470"/>
      <c r="BZ152" s="470"/>
      <c r="CA152" s="470"/>
      <c r="CB152" s="470"/>
      <c r="CC152" s="470"/>
      <c r="CD152" s="470"/>
      <c r="CE152" s="470"/>
      <c r="CF152" s="470"/>
      <c r="CG152" s="470"/>
      <c r="CH152" s="470"/>
      <c r="CI152" s="470"/>
      <c r="CJ152" s="470"/>
      <c r="CK152" s="470"/>
      <c r="CL152" s="470"/>
      <c r="CM152" s="470"/>
      <c r="CN152" s="470"/>
      <c r="CO152" s="470"/>
      <c r="CP152" s="470"/>
      <c r="CQ152" s="470"/>
      <c r="CR152" s="470"/>
      <c r="CS152" s="470"/>
      <c r="CT152" s="470"/>
      <c r="CU152" s="470"/>
      <c r="CV152" s="470"/>
      <c r="CW152" s="470"/>
      <c r="CX152" s="470"/>
      <c r="CY152" s="470"/>
      <c r="CZ152" s="470"/>
      <c r="DA152" s="470"/>
      <c r="DB152" s="470"/>
      <c r="DC152" s="470"/>
      <c r="DD152" s="470"/>
      <c r="DE152" s="470"/>
      <c r="DF152" s="470"/>
      <c r="DG152" s="470"/>
      <c r="DH152" s="470"/>
      <c r="DI152" s="470"/>
      <c r="DJ152" s="470"/>
      <c r="DK152" s="470"/>
      <c r="DL152" s="470"/>
      <c r="DM152" s="470"/>
      <c r="DN152" s="470"/>
      <c r="DO152" s="470"/>
      <c r="DP152" s="470"/>
      <c r="DQ152" s="470"/>
      <c r="DR152" s="470"/>
      <c r="DS152" s="470"/>
      <c r="DT152" s="470"/>
      <c r="DU152" s="470"/>
      <c r="DV152" s="470"/>
      <c r="DW152" s="470"/>
      <c r="DX152" s="470"/>
      <c r="DY152" s="470"/>
      <c r="DZ152" s="470"/>
      <c r="EA152" s="470"/>
      <c r="EB152" s="470"/>
      <c r="EC152" s="470"/>
      <c r="ED152" s="470"/>
      <c r="EE152" s="470"/>
      <c r="EF152" s="470"/>
      <c r="EG152" s="470"/>
      <c r="EH152" s="470"/>
      <c r="EI152" s="470"/>
      <c r="EJ152" s="470"/>
      <c r="EK152" s="470"/>
      <c r="EL152" s="470"/>
      <c r="EM152" s="470"/>
      <c r="EN152" s="470"/>
      <c r="EO152" s="470"/>
      <c r="EP152" s="470"/>
      <c r="EQ152" s="470"/>
      <c r="ER152" s="470"/>
      <c r="ES152" s="470"/>
      <c r="ET152" s="470"/>
      <c r="EU152" s="470"/>
      <c r="EV152" s="470"/>
      <c r="EW152" s="470"/>
      <c r="EX152" s="470"/>
      <c r="EY152" s="470"/>
      <c r="EZ152" s="470"/>
      <c r="FA152" s="470"/>
      <c r="FB152" s="470"/>
      <c r="FC152" s="470"/>
      <c r="FD152" s="470"/>
      <c r="FE152" s="470"/>
      <c r="FF152" s="470"/>
      <c r="FG152" s="470"/>
      <c r="FH152" s="470"/>
      <c r="FI152" s="470"/>
      <c r="FJ152" s="470"/>
      <c r="FK152" s="470"/>
      <c r="FL152" s="470"/>
      <c r="FM152" s="470"/>
      <c r="FN152" s="470"/>
      <c r="FO152" s="470"/>
      <c r="FP152" s="470"/>
      <c r="FQ152" s="470"/>
      <c r="FR152" s="470"/>
      <c r="FS152" s="470"/>
      <c r="FT152" s="470"/>
      <c r="FU152" s="470"/>
      <c r="FV152" s="470"/>
      <c r="FW152" s="470"/>
      <c r="FX152" s="470"/>
      <c r="FY152" s="470"/>
      <c r="FZ152" s="470"/>
      <c r="GA152" s="470"/>
      <c r="GB152" s="470"/>
      <c r="GC152" s="470"/>
      <c r="GD152" s="470"/>
      <c r="GE152" s="470"/>
      <c r="GF152" s="470"/>
      <c r="GG152" s="470"/>
      <c r="GH152" s="470"/>
      <c r="GI152" s="470"/>
      <c r="GJ152" s="470"/>
      <c r="GK152" s="470"/>
      <c r="GL152" s="470"/>
      <c r="GM152" s="470"/>
      <c r="GN152" s="470"/>
      <c r="GO152" s="470"/>
      <c r="GP152" s="470"/>
      <c r="GQ152" s="470"/>
      <c r="GR152" s="470"/>
      <c r="GS152" s="470"/>
      <c r="GT152" s="470"/>
      <c r="GU152" s="470"/>
      <c r="GV152" s="470"/>
      <c r="GW152" s="470"/>
      <c r="GX152" s="470"/>
      <c r="GY152" s="470"/>
      <c r="GZ152" s="470"/>
      <c r="HA152" s="470"/>
      <c r="HB152" s="470"/>
      <c r="HC152" s="470"/>
      <c r="HD152" s="470"/>
      <c r="HE152" s="470"/>
      <c r="HF152" s="470"/>
      <c r="HG152" s="470"/>
      <c r="HH152" s="470"/>
      <c r="HI152" s="470"/>
      <c r="HJ152" s="470"/>
      <c r="HK152" s="470"/>
      <c r="HL152" s="470"/>
      <c r="HM152" s="470"/>
      <c r="HN152" s="470"/>
      <c r="HO152" s="470"/>
      <c r="HP152" s="470"/>
      <c r="HQ152" s="470"/>
      <c r="HR152" s="470"/>
      <c r="HS152" s="470"/>
      <c r="HT152" s="470"/>
      <c r="HU152" s="470"/>
      <c r="HV152" s="470"/>
      <c r="HW152" s="470"/>
      <c r="HX152" s="470"/>
      <c r="HY152" s="470"/>
      <c r="HZ152" s="470"/>
      <c r="IA152" s="470"/>
      <c r="IB152" s="470"/>
      <c r="IC152" s="470"/>
      <c r="ID152" s="470"/>
      <c r="IE152" s="470"/>
      <c r="IF152" s="470"/>
      <c r="IG152" s="470"/>
      <c r="IH152" s="470"/>
      <c r="II152" s="470"/>
      <c r="IJ152" s="470"/>
      <c r="IK152" s="470"/>
      <c r="IL152" s="470"/>
      <c r="IM152" s="470"/>
      <c r="IN152" s="470"/>
      <c r="IO152" s="470"/>
      <c r="IP152" s="470"/>
      <c r="IQ152" s="470"/>
    </row>
    <row r="153" spans="1:251" x14ac:dyDescent="0.2">
      <c r="A153" s="452" t="s">
        <v>10017</v>
      </c>
      <c r="B153" s="453" t="s">
        <v>10018</v>
      </c>
      <c r="C153" s="473" t="s">
        <v>386</v>
      </c>
      <c r="D153" s="455" t="s">
        <v>9783</v>
      </c>
      <c r="E153" s="456" t="s">
        <v>9710</v>
      </c>
      <c r="F153" s="456" t="s">
        <v>9988</v>
      </c>
      <c r="G153" s="456" t="s">
        <v>7180</v>
      </c>
      <c r="H153" s="457">
        <v>193.32000000000002</v>
      </c>
      <c r="I153" s="457">
        <f t="shared" si="11"/>
        <v>207.81900000000002</v>
      </c>
      <c r="J153" s="457" t="s">
        <v>9706</v>
      </c>
      <c r="K153" s="458">
        <v>0.3</v>
      </c>
      <c r="L153" s="459">
        <f t="shared" si="8"/>
        <v>135.32400000000001</v>
      </c>
      <c r="M153" s="460">
        <v>0.18</v>
      </c>
      <c r="N153" s="461">
        <f t="shared" si="9"/>
        <v>170.41158000000001</v>
      </c>
      <c r="O153" s="462">
        <v>0.1</v>
      </c>
      <c r="P153" s="463">
        <f t="shared" si="10"/>
        <v>187.03710000000001</v>
      </c>
      <c r="Q153" s="464"/>
      <c r="R153" s="476">
        <v>3</v>
      </c>
      <c r="S153" s="476">
        <v>3</v>
      </c>
      <c r="T153" s="476">
        <v>3</v>
      </c>
      <c r="U153" s="477"/>
      <c r="V153" s="470"/>
      <c r="W153" s="470"/>
      <c r="X153" s="470"/>
      <c r="Y153" s="470"/>
      <c r="Z153" s="470"/>
      <c r="AA153" s="470"/>
      <c r="AB153" s="470"/>
      <c r="AC153" s="470"/>
      <c r="AD153" s="470"/>
      <c r="AE153" s="470"/>
      <c r="AF153" s="470"/>
      <c r="AG153" s="470"/>
      <c r="AH153" s="470"/>
      <c r="AI153" s="470"/>
      <c r="AJ153" s="470"/>
      <c r="AK153" s="470"/>
      <c r="AL153" s="470"/>
      <c r="AM153" s="470"/>
      <c r="AN153" s="470"/>
      <c r="AO153" s="470"/>
      <c r="AP153" s="470"/>
      <c r="AQ153" s="470"/>
      <c r="AR153" s="470"/>
      <c r="AS153" s="470"/>
      <c r="AT153" s="470"/>
      <c r="AU153" s="470"/>
      <c r="AV153" s="470"/>
      <c r="AW153" s="470"/>
      <c r="AX153" s="470"/>
      <c r="AY153" s="470"/>
      <c r="AZ153" s="470"/>
      <c r="BA153" s="470"/>
      <c r="BB153" s="470"/>
      <c r="BC153" s="470"/>
      <c r="BD153" s="470"/>
      <c r="BE153" s="470"/>
      <c r="BF153" s="470"/>
      <c r="BG153" s="470"/>
      <c r="BH153" s="470"/>
      <c r="BI153" s="470"/>
      <c r="BJ153" s="470"/>
      <c r="BK153" s="470"/>
      <c r="BL153" s="470"/>
      <c r="BM153" s="470"/>
      <c r="BN153" s="470"/>
      <c r="BO153" s="470"/>
      <c r="BP153" s="470"/>
      <c r="BQ153" s="470"/>
      <c r="BR153" s="470"/>
      <c r="BS153" s="470"/>
      <c r="BT153" s="470"/>
      <c r="BU153" s="470"/>
      <c r="BV153" s="470"/>
      <c r="BW153" s="470"/>
      <c r="BX153" s="470"/>
      <c r="BY153" s="470"/>
      <c r="BZ153" s="470"/>
      <c r="CA153" s="470"/>
      <c r="CB153" s="470"/>
      <c r="CC153" s="470"/>
      <c r="CD153" s="470"/>
      <c r="CE153" s="470"/>
      <c r="CF153" s="470"/>
      <c r="CG153" s="470"/>
      <c r="CH153" s="470"/>
      <c r="CI153" s="470"/>
      <c r="CJ153" s="470"/>
      <c r="CK153" s="470"/>
      <c r="CL153" s="470"/>
      <c r="CM153" s="470"/>
      <c r="CN153" s="470"/>
      <c r="CO153" s="470"/>
      <c r="CP153" s="470"/>
      <c r="CQ153" s="470"/>
      <c r="CR153" s="470"/>
      <c r="CS153" s="470"/>
      <c r="CT153" s="470"/>
      <c r="CU153" s="470"/>
      <c r="CV153" s="470"/>
      <c r="CW153" s="470"/>
      <c r="CX153" s="470"/>
      <c r="CY153" s="470"/>
      <c r="CZ153" s="470"/>
      <c r="DA153" s="470"/>
      <c r="DB153" s="470"/>
      <c r="DC153" s="470"/>
      <c r="DD153" s="470"/>
      <c r="DE153" s="470"/>
      <c r="DF153" s="470"/>
      <c r="DG153" s="470"/>
      <c r="DH153" s="470"/>
      <c r="DI153" s="470"/>
      <c r="DJ153" s="470"/>
      <c r="DK153" s="470"/>
      <c r="DL153" s="470"/>
      <c r="DM153" s="470"/>
      <c r="DN153" s="470"/>
      <c r="DO153" s="470"/>
      <c r="DP153" s="470"/>
      <c r="DQ153" s="470"/>
      <c r="DR153" s="470"/>
      <c r="DS153" s="470"/>
      <c r="DT153" s="470"/>
      <c r="DU153" s="470"/>
      <c r="DV153" s="470"/>
      <c r="DW153" s="470"/>
      <c r="DX153" s="470"/>
      <c r="DY153" s="470"/>
      <c r="DZ153" s="470"/>
      <c r="EA153" s="470"/>
      <c r="EB153" s="470"/>
      <c r="EC153" s="470"/>
      <c r="ED153" s="470"/>
      <c r="EE153" s="470"/>
      <c r="EF153" s="470"/>
      <c r="EG153" s="470"/>
      <c r="EH153" s="470"/>
      <c r="EI153" s="470"/>
      <c r="EJ153" s="470"/>
      <c r="EK153" s="470"/>
      <c r="EL153" s="470"/>
      <c r="EM153" s="470"/>
      <c r="EN153" s="470"/>
      <c r="EO153" s="470"/>
      <c r="EP153" s="470"/>
      <c r="EQ153" s="470"/>
      <c r="ER153" s="470"/>
      <c r="ES153" s="470"/>
      <c r="ET153" s="470"/>
      <c r="EU153" s="470"/>
      <c r="EV153" s="470"/>
      <c r="EW153" s="470"/>
      <c r="EX153" s="470"/>
      <c r="EY153" s="470"/>
      <c r="EZ153" s="470"/>
      <c r="FA153" s="470"/>
      <c r="FB153" s="470"/>
      <c r="FC153" s="470"/>
      <c r="FD153" s="470"/>
      <c r="FE153" s="470"/>
      <c r="FF153" s="470"/>
      <c r="FG153" s="470"/>
      <c r="FH153" s="470"/>
      <c r="FI153" s="470"/>
      <c r="FJ153" s="470"/>
      <c r="FK153" s="470"/>
      <c r="FL153" s="470"/>
      <c r="FM153" s="470"/>
      <c r="FN153" s="470"/>
      <c r="FO153" s="470"/>
      <c r="FP153" s="470"/>
      <c r="FQ153" s="470"/>
      <c r="FR153" s="470"/>
      <c r="FS153" s="470"/>
      <c r="FT153" s="470"/>
      <c r="FU153" s="470"/>
      <c r="FV153" s="470"/>
      <c r="FW153" s="470"/>
      <c r="FX153" s="470"/>
      <c r="FY153" s="470"/>
      <c r="FZ153" s="470"/>
      <c r="GA153" s="470"/>
      <c r="GB153" s="470"/>
      <c r="GC153" s="470"/>
      <c r="GD153" s="470"/>
      <c r="GE153" s="470"/>
      <c r="GF153" s="470"/>
      <c r="GG153" s="470"/>
      <c r="GH153" s="470"/>
      <c r="GI153" s="470"/>
      <c r="GJ153" s="470"/>
      <c r="GK153" s="470"/>
      <c r="GL153" s="470"/>
      <c r="GM153" s="470"/>
      <c r="GN153" s="470"/>
      <c r="GO153" s="470"/>
      <c r="GP153" s="470"/>
      <c r="GQ153" s="470"/>
      <c r="GR153" s="470"/>
      <c r="GS153" s="470"/>
      <c r="GT153" s="470"/>
      <c r="GU153" s="470"/>
      <c r="GV153" s="470"/>
      <c r="GW153" s="470"/>
      <c r="GX153" s="470"/>
      <c r="GY153" s="470"/>
      <c r="GZ153" s="470"/>
      <c r="HA153" s="470"/>
      <c r="HB153" s="470"/>
      <c r="HC153" s="470"/>
      <c r="HD153" s="470"/>
      <c r="HE153" s="470"/>
      <c r="HF153" s="470"/>
      <c r="HG153" s="470"/>
      <c r="HH153" s="470"/>
      <c r="HI153" s="470"/>
      <c r="HJ153" s="470"/>
      <c r="HK153" s="470"/>
      <c r="HL153" s="470"/>
      <c r="HM153" s="470"/>
      <c r="HN153" s="470"/>
      <c r="HO153" s="470"/>
      <c r="HP153" s="470"/>
      <c r="HQ153" s="470"/>
      <c r="HR153" s="470"/>
      <c r="HS153" s="470"/>
      <c r="HT153" s="470"/>
      <c r="HU153" s="470"/>
      <c r="HV153" s="470"/>
      <c r="HW153" s="470"/>
      <c r="HX153" s="470"/>
      <c r="HY153" s="470"/>
      <c r="HZ153" s="470"/>
      <c r="IA153" s="470"/>
      <c r="IB153" s="470"/>
      <c r="IC153" s="470"/>
      <c r="ID153" s="470"/>
      <c r="IE153" s="470"/>
      <c r="IF153" s="470"/>
      <c r="IG153" s="470"/>
      <c r="IH153" s="470"/>
      <c r="II153" s="470"/>
      <c r="IJ153" s="470"/>
      <c r="IK153" s="470"/>
      <c r="IL153" s="470"/>
      <c r="IM153" s="470"/>
      <c r="IN153" s="470"/>
      <c r="IO153" s="470"/>
      <c r="IP153" s="470"/>
      <c r="IQ153" s="470"/>
    </row>
    <row r="154" spans="1:251" x14ac:dyDescent="0.2">
      <c r="A154" s="452" t="s">
        <v>10019</v>
      </c>
      <c r="B154" s="453" t="s">
        <v>10020</v>
      </c>
      <c r="C154" s="473" t="s">
        <v>386</v>
      </c>
      <c r="D154" s="455" t="s">
        <v>9783</v>
      </c>
      <c r="E154" s="456" t="s">
        <v>9716</v>
      </c>
      <c r="F154" s="456" t="s">
        <v>9988</v>
      </c>
      <c r="G154" s="456" t="s">
        <v>7180</v>
      </c>
      <c r="H154" s="457">
        <v>193.32000000000002</v>
      </c>
      <c r="I154" s="457">
        <f t="shared" si="11"/>
        <v>207.81900000000002</v>
      </c>
      <c r="J154" s="457" t="s">
        <v>9706</v>
      </c>
      <c r="K154" s="458">
        <v>0.3</v>
      </c>
      <c r="L154" s="459">
        <f t="shared" si="8"/>
        <v>135.32400000000001</v>
      </c>
      <c r="M154" s="460">
        <v>0.18</v>
      </c>
      <c r="N154" s="461">
        <f t="shared" si="9"/>
        <v>170.41158000000001</v>
      </c>
      <c r="O154" s="462">
        <v>0.1</v>
      </c>
      <c r="P154" s="463">
        <f t="shared" si="10"/>
        <v>187.03710000000001</v>
      </c>
      <c r="Q154" s="464"/>
      <c r="R154" s="476">
        <v>3</v>
      </c>
      <c r="S154" s="476">
        <v>3</v>
      </c>
      <c r="T154" s="476">
        <v>3</v>
      </c>
      <c r="U154" s="477"/>
      <c r="V154" s="470"/>
      <c r="W154" s="470"/>
      <c r="X154" s="470"/>
      <c r="Y154" s="470"/>
      <c r="Z154" s="470"/>
      <c r="AA154" s="470"/>
      <c r="AB154" s="470"/>
      <c r="AC154" s="470"/>
      <c r="AD154" s="470"/>
      <c r="AE154" s="470"/>
      <c r="AF154" s="470"/>
      <c r="AG154" s="470"/>
      <c r="AH154" s="470"/>
      <c r="AI154" s="470"/>
      <c r="AJ154" s="470"/>
      <c r="AK154" s="470"/>
      <c r="AL154" s="470"/>
      <c r="AM154" s="470"/>
      <c r="AN154" s="470"/>
      <c r="AO154" s="470"/>
      <c r="AP154" s="470"/>
      <c r="AQ154" s="470"/>
      <c r="AR154" s="470"/>
      <c r="AS154" s="470"/>
      <c r="AT154" s="470"/>
      <c r="AU154" s="470"/>
      <c r="AV154" s="470"/>
      <c r="AW154" s="470"/>
      <c r="AX154" s="470"/>
      <c r="AY154" s="470"/>
      <c r="AZ154" s="470"/>
      <c r="BA154" s="470"/>
      <c r="BB154" s="470"/>
      <c r="BC154" s="470"/>
      <c r="BD154" s="470"/>
      <c r="BE154" s="470"/>
      <c r="BF154" s="470"/>
      <c r="BG154" s="470"/>
      <c r="BH154" s="470"/>
      <c r="BI154" s="470"/>
      <c r="BJ154" s="470"/>
      <c r="BK154" s="470"/>
      <c r="BL154" s="470"/>
      <c r="BM154" s="470"/>
      <c r="BN154" s="470"/>
      <c r="BO154" s="470"/>
      <c r="BP154" s="470"/>
      <c r="BQ154" s="470"/>
      <c r="BR154" s="470"/>
      <c r="BS154" s="470"/>
      <c r="BT154" s="470"/>
      <c r="BU154" s="470"/>
      <c r="BV154" s="470"/>
      <c r="BW154" s="470"/>
      <c r="BX154" s="470"/>
      <c r="BY154" s="470"/>
      <c r="BZ154" s="470"/>
      <c r="CA154" s="470"/>
      <c r="CB154" s="470"/>
      <c r="CC154" s="470"/>
      <c r="CD154" s="470"/>
      <c r="CE154" s="470"/>
      <c r="CF154" s="470"/>
      <c r="CG154" s="470"/>
      <c r="CH154" s="470"/>
      <c r="CI154" s="470"/>
      <c r="CJ154" s="470"/>
      <c r="CK154" s="470"/>
      <c r="CL154" s="470"/>
      <c r="CM154" s="470"/>
      <c r="CN154" s="470"/>
      <c r="CO154" s="470"/>
      <c r="CP154" s="470"/>
      <c r="CQ154" s="470"/>
      <c r="CR154" s="470"/>
      <c r="CS154" s="470"/>
      <c r="CT154" s="470"/>
      <c r="CU154" s="470"/>
      <c r="CV154" s="470"/>
      <c r="CW154" s="470"/>
      <c r="CX154" s="470"/>
      <c r="CY154" s="470"/>
      <c r="CZ154" s="470"/>
      <c r="DA154" s="470"/>
      <c r="DB154" s="470"/>
      <c r="DC154" s="470"/>
      <c r="DD154" s="470"/>
      <c r="DE154" s="470"/>
      <c r="DF154" s="470"/>
      <c r="DG154" s="470"/>
      <c r="DH154" s="470"/>
      <c r="DI154" s="470"/>
      <c r="DJ154" s="470"/>
      <c r="DK154" s="470"/>
      <c r="DL154" s="470"/>
      <c r="DM154" s="470"/>
      <c r="DN154" s="470"/>
      <c r="DO154" s="470"/>
      <c r="DP154" s="470"/>
      <c r="DQ154" s="470"/>
      <c r="DR154" s="470"/>
      <c r="DS154" s="470"/>
      <c r="DT154" s="470"/>
      <c r="DU154" s="470"/>
      <c r="DV154" s="470"/>
      <c r="DW154" s="470"/>
      <c r="DX154" s="470"/>
      <c r="DY154" s="470"/>
      <c r="DZ154" s="470"/>
      <c r="EA154" s="470"/>
      <c r="EB154" s="470"/>
      <c r="EC154" s="470"/>
      <c r="ED154" s="470"/>
      <c r="EE154" s="470"/>
      <c r="EF154" s="470"/>
      <c r="EG154" s="470"/>
      <c r="EH154" s="470"/>
      <c r="EI154" s="470"/>
      <c r="EJ154" s="470"/>
      <c r="EK154" s="470"/>
      <c r="EL154" s="470"/>
      <c r="EM154" s="470"/>
      <c r="EN154" s="470"/>
      <c r="EO154" s="470"/>
      <c r="EP154" s="470"/>
      <c r="EQ154" s="470"/>
      <c r="ER154" s="470"/>
      <c r="ES154" s="470"/>
      <c r="ET154" s="470"/>
      <c r="EU154" s="470"/>
      <c r="EV154" s="470"/>
      <c r="EW154" s="470"/>
      <c r="EX154" s="470"/>
      <c r="EY154" s="470"/>
      <c r="EZ154" s="470"/>
      <c r="FA154" s="470"/>
      <c r="FB154" s="470"/>
      <c r="FC154" s="470"/>
      <c r="FD154" s="470"/>
      <c r="FE154" s="470"/>
      <c r="FF154" s="470"/>
      <c r="FG154" s="470"/>
      <c r="FH154" s="470"/>
      <c r="FI154" s="470"/>
      <c r="FJ154" s="470"/>
      <c r="FK154" s="470"/>
      <c r="FL154" s="470"/>
      <c r="FM154" s="470"/>
      <c r="FN154" s="470"/>
      <c r="FO154" s="470"/>
      <c r="FP154" s="470"/>
      <c r="FQ154" s="470"/>
      <c r="FR154" s="470"/>
      <c r="FS154" s="470"/>
      <c r="FT154" s="470"/>
      <c r="FU154" s="470"/>
      <c r="FV154" s="470"/>
      <c r="FW154" s="470"/>
      <c r="FX154" s="470"/>
      <c r="FY154" s="470"/>
      <c r="FZ154" s="470"/>
      <c r="GA154" s="470"/>
      <c r="GB154" s="470"/>
      <c r="GC154" s="470"/>
      <c r="GD154" s="470"/>
      <c r="GE154" s="470"/>
      <c r="GF154" s="470"/>
      <c r="GG154" s="470"/>
      <c r="GH154" s="470"/>
      <c r="GI154" s="470"/>
      <c r="GJ154" s="470"/>
      <c r="GK154" s="470"/>
      <c r="GL154" s="470"/>
      <c r="GM154" s="470"/>
      <c r="GN154" s="470"/>
      <c r="GO154" s="470"/>
      <c r="GP154" s="470"/>
      <c r="GQ154" s="470"/>
      <c r="GR154" s="470"/>
      <c r="GS154" s="470"/>
      <c r="GT154" s="470"/>
      <c r="GU154" s="470"/>
      <c r="GV154" s="470"/>
      <c r="GW154" s="470"/>
      <c r="GX154" s="470"/>
      <c r="GY154" s="470"/>
      <c r="GZ154" s="470"/>
      <c r="HA154" s="470"/>
      <c r="HB154" s="470"/>
      <c r="HC154" s="470"/>
      <c r="HD154" s="470"/>
      <c r="HE154" s="470"/>
      <c r="HF154" s="470"/>
      <c r="HG154" s="470"/>
      <c r="HH154" s="470"/>
      <c r="HI154" s="470"/>
      <c r="HJ154" s="470"/>
      <c r="HK154" s="470"/>
      <c r="HL154" s="470"/>
      <c r="HM154" s="470"/>
      <c r="HN154" s="470"/>
      <c r="HO154" s="470"/>
      <c r="HP154" s="470"/>
      <c r="HQ154" s="470"/>
      <c r="HR154" s="470"/>
      <c r="HS154" s="470"/>
      <c r="HT154" s="470"/>
      <c r="HU154" s="470"/>
      <c r="HV154" s="470"/>
      <c r="HW154" s="470"/>
      <c r="HX154" s="470"/>
      <c r="HY154" s="470"/>
      <c r="HZ154" s="470"/>
      <c r="IA154" s="470"/>
      <c r="IB154" s="470"/>
      <c r="IC154" s="470"/>
      <c r="ID154" s="470"/>
      <c r="IE154" s="470"/>
      <c r="IF154" s="470"/>
      <c r="IG154" s="470"/>
      <c r="IH154" s="470"/>
      <c r="II154" s="470"/>
      <c r="IJ154" s="470"/>
      <c r="IK154" s="470"/>
      <c r="IL154" s="470"/>
      <c r="IM154" s="470"/>
      <c r="IN154" s="470"/>
      <c r="IO154" s="470"/>
      <c r="IP154" s="470"/>
      <c r="IQ154" s="470"/>
    </row>
    <row r="155" spans="1:251" x14ac:dyDescent="0.2">
      <c r="A155" s="452" t="s">
        <v>10021</v>
      </c>
      <c r="B155" s="453" t="s">
        <v>10022</v>
      </c>
      <c r="C155" s="473" t="s">
        <v>386</v>
      </c>
      <c r="D155" s="455" t="s">
        <v>9783</v>
      </c>
      <c r="E155" s="456" t="s">
        <v>9710</v>
      </c>
      <c r="F155" s="456" t="s">
        <v>9988</v>
      </c>
      <c r="G155" s="456" t="s">
        <v>7180</v>
      </c>
      <c r="H155" s="457">
        <v>193.32000000000002</v>
      </c>
      <c r="I155" s="457">
        <f t="shared" si="11"/>
        <v>207.81900000000002</v>
      </c>
      <c r="J155" s="457" t="s">
        <v>9706</v>
      </c>
      <c r="K155" s="458">
        <v>0.3</v>
      </c>
      <c r="L155" s="459">
        <f t="shared" si="8"/>
        <v>135.32400000000001</v>
      </c>
      <c r="M155" s="460">
        <v>0.18</v>
      </c>
      <c r="N155" s="461">
        <f t="shared" si="9"/>
        <v>170.41158000000001</v>
      </c>
      <c r="O155" s="462">
        <v>0.1</v>
      </c>
      <c r="P155" s="463">
        <f t="shared" si="10"/>
        <v>187.03710000000001</v>
      </c>
      <c r="Q155" s="464"/>
      <c r="R155" s="476">
        <v>3</v>
      </c>
      <c r="S155" s="476">
        <v>3</v>
      </c>
      <c r="T155" s="476">
        <v>3</v>
      </c>
      <c r="U155" s="477"/>
      <c r="V155" s="470"/>
      <c r="W155" s="470"/>
      <c r="X155" s="470"/>
      <c r="Y155" s="470"/>
      <c r="Z155" s="470"/>
      <c r="AA155" s="470"/>
      <c r="AB155" s="470"/>
      <c r="AC155" s="470"/>
      <c r="AD155" s="470"/>
      <c r="AE155" s="470"/>
      <c r="AF155" s="470"/>
      <c r="AG155" s="470"/>
      <c r="AH155" s="470"/>
      <c r="AI155" s="470"/>
      <c r="AJ155" s="470"/>
      <c r="AK155" s="470"/>
      <c r="AL155" s="470"/>
      <c r="AM155" s="470"/>
      <c r="AN155" s="470"/>
      <c r="AO155" s="470"/>
      <c r="AP155" s="470"/>
      <c r="AQ155" s="470"/>
      <c r="AR155" s="470"/>
      <c r="AS155" s="470"/>
      <c r="AT155" s="470"/>
      <c r="AU155" s="470"/>
      <c r="AV155" s="470"/>
      <c r="AW155" s="470"/>
      <c r="AX155" s="470"/>
      <c r="AY155" s="470"/>
      <c r="AZ155" s="470"/>
      <c r="BA155" s="470"/>
      <c r="BB155" s="470"/>
      <c r="BC155" s="470"/>
      <c r="BD155" s="470"/>
      <c r="BE155" s="470"/>
      <c r="BF155" s="470"/>
      <c r="BG155" s="470"/>
      <c r="BH155" s="470"/>
      <c r="BI155" s="470"/>
      <c r="BJ155" s="470"/>
      <c r="BK155" s="470"/>
      <c r="BL155" s="470"/>
      <c r="BM155" s="470"/>
      <c r="BN155" s="470"/>
      <c r="BO155" s="470"/>
      <c r="BP155" s="470"/>
      <c r="BQ155" s="470"/>
      <c r="BR155" s="470"/>
      <c r="BS155" s="470"/>
      <c r="BT155" s="470"/>
      <c r="BU155" s="470"/>
      <c r="BV155" s="470"/>
      <c r="BW155" s="470"/>
      <c r="BX155" s="470"/>
      <c r="BY155" s="470"/>
      <c r="BZ155" s="470"/>
      <c r="CA155" s="470"/>
      <c r="CB155" s="470"/>
      <c r="CC155" s="470"/>
      <c r="CD155" s="470"/>
      <c r="CE155" s="470"/>
      <c r="CF155" s="470"/>
      <c r="CG155" s="470"/>
      <c r="CH155" s="470"/>
      <c r="CI155" s="470"/>
      <c r="CJ155" s="470"/>
      <c r="CK155" s="470"/>
      <c r="CL155" s="470"/>
      <c r="CM155" s="470"/>
      <c r="CN155" s="470"/>
      <c r="CO155" s="470"/>
      <c r="CP155" s="470"/>
      <c r="CQ155" s="470"/>
      <c r="CR155" s="470"/>
      <c r="CS155" s="470"/>
      <c r="CT155" s="470"/>
      <c r="CU155" s="470"/>
      <c r="CV155" s="470"/>
      <c r="CW155" s="470"/>
      <c r="CX155" s="470"/>
      <c r="CY155" s="470"/>
      <c r="CZ155" s="470"/>
      <c r="DA155" s="470"/>
      <c r="DB155" s="470"/>
      <c r="DC155" s="470"/>
      <c r="DD155" s="470"/>
      <c r="DE155" s="470"/>
      <c r="DF155" s="470"/>
      <c r="DG155" s="470"/>
      <c r="DH155" s="470"/>
      <c r="DI155" s="470"/>
      <c r="DJ155" s="470"/>
      <c r="DK155" s="470"/>
      <c r="DL155" s="470"/>
      <c r="DM155" s="470"/>
      <c r="DN155" s="470"/>
      <c r="DO155" s="470"/>
      <c r="DP155" s="470"/>
      <c r="DQ155" s="470"/>
      <c r="DR155" s="470"/>
      <c r="DS155" s="470"/>
      <c r="DT155" s="470"/>
      <c r="DU155" s="470"/>
      <c r="DV155" s="470"/>
      <c r="DW155" s="470"/>
      <c r="DX155" s="470"/>
      <c r="DY155" s="470"/>
      <c r="DZ155" s="470"/>
      <c r="EA155" s="470"/>
      <c r="EB155" s="470"/>
      <c r="EC155" s="470"/>
      <c r="ED155" s="470"/>
      <c r="EE155" s="470"/>
      <c r="EF155" s="470"/>
      <c r="EG155" s="470"/>
      <c r="EH155" s="470"/>
      <c r="EI155" s="470"/>
      <c r="EJ155" s="470"/>
      <c r="EK155" s="470"/>
      <c r="EL155" s="470"/>
      <c r="EM155" s="470"/>
      <c r="EN155" s="470"/>
      <c r="EO155" s="470"/>
      <c r="EP155" s="470"/>
      <c r="EQ155" s="470"/>
      <c r="ER155" s="470"/>
      <c r="ES155" s="470"/>
      <c r="ET155" s="470"/>
      <c r="EU155" s="470"/>
      <c r="EV155" s="470"/>
      <c r="EW155" s="470"/>
      <c r="EX155" s="470"/>
      <c r="EY155" s="470"/>
      <c r="EZ155" s="470"/>
      <c r="FA155" s="470"/>
      <c r="FB155" s="470"/>
      <c r="FC155" s="470"/>
      <c r="FD155" s="470"/>
      <c r="FE155" s="470"/>
      <c r="FF155" s="470"/>
      <c r="FG155" s="470"/>
      <c r="FH155" s="470"/>
      <c r="FI155" s="470"/>
      <c r="FJ155" s="470"/>
      <c r="FK155" s="470"/>
      <c r="FL155" s="470"/>
      <c r="FM155" s="470"/>
      <c r="FN155" s="470"/>
      <c r="FO155" s="470"/>
      <c r="FP155" s="470"/>
      <c r="FQ155" s="470"/>
      <c r="FR155" s="470"/>
      <c r="FS155" s="470"/>
      <c r="FT155" s="470"/>
      <c r="FU155" s="470"/>
      <c r="FV155" s="470"/>
      <c r="FW155" s="470"/>
      <c r="FX155" s="470"/>
      <c r="FY155" s="470"/>
      <c r="FZ155" s="470"/>
      <c r="GA155" s="470"/>
      <c r="GB155" s="470"/>
      <c r="GC155" s="470"/>
      <c r="GD155" s="470"/>
      <c r="GE155" s="470"/>
      <c r="GF155" s="470"/>
      <c r="GG155" s="470"/>
      <c r="GH155" s="470"/>
      <c r="GI155" s="470"/>
      <c r="GJ155" s="470"/>
      <c r="GK155" s="470"/>
      <c r="GL155" s="470"/>
      <c r="GM155" s="470"/>
      <c r="GN155" s="470"/>
      <c r="GO155" s="470"/>
      <c r="GP155" s="470"/>
      <c r="GQ155" s="470"/>
      <c r="GR155" s="470"/>
      <c r="GS155" s="470"/>
      <c r="GT155" s="470"/>
      <c r="GU155" s="470"/>
      <c r="GV155" s="470"/>
      <c r="GW155" s="470"/>
      <c r="GX155" s="470"/>
      <c r="GY155" s="470"/>
      <c r="GZ155" s="470"/>
      <c r="HA155" s="470"/>
      <c r="HB155" s="470"/>
      <c r="HC155" s="470"/>
      <c r="HD155" s="470"/>
      <c r="HE155" s="470"/>
      <c r="HF155" s="470"/>
      <c r="HG155" s="470"/>
      <c r="HH155" s="470"/>
      <c r="HI155" s="470"/>
      <c r="HJ155" s="470"/>
      <c r="HK155" s="470"/>
      <c r="HL155" s="470"/>
      <c r="HM155" s="470"/>
      <c r="HN155" s="470"/>
      <c r="HO155" s="470"/>
      <c r="HP155" s="470"/>
      <c r="HQ155" s="470"/>
      <c r="HR155" s="470"/>
      <c r="HS155" s="470"/>
      <c r="HT155" s="470"/>
      <c r="HU155" s="470"/>
      <c r="HV155" s="470"/>
      <c r="HW155" s="470"/>
      <c r="HX155" s="470"/>
      <c r="HY155" s="470"/>
      <c r="HZ155" s="470"/>
      <c r="IA155" s="470"/>
      <c r="IB155" s="470"/>
      <c r="IC155" s="470"/>
      <c r="ID155" s="470"/>
      <c r="IE155" s="470"/>
      <c r="IF155" s="470"/>
      <c r="IG155" s="470"/>
      <c r="IH155" s="470"/>
      <c r="II155" s="470"/>
      <c r="IJ155" s="470"/>
      <c r="IK155" s="470"/>
      <c r="IL155" s="470"/>
      <c r="IM155" s="470"/>
      <c r="IN155" s="470"/>
      <c r="IO155" s="470"/>
      <c r="IP155" s="470"/>
      <c r="IQ155" s="470"/>
    </row>
    <row r="156" spans="1:251" x14ac:dyDescent="0.2">
      <c r="A156" s="452" t="s">
        <v>10023</v>
      </c>
      <c r="B156" s="453" t="s">
        <v>10024</v>
      </c>
      <c r="C156" s="473" t="s">
        <v>386</v>
      </c>
      <c r="D156" s="455" t="s">
        <v>9783</v>
      </c>
      <c r="E156" s="456" t="s">
        <v>9758</v>
      </c>
      <c r="F156" s="456" t="s">
        <v>9988</v>
      </c>
      <c r="G156" s="456" t="s">
        <v>7180</v>
      </c>
      <c r="H156" s="457">
        <v>193.32000000000002</v>
      </c>
      <c r="I156" s="457">
        <f t="shared" si="11"/>
        <v>207.81900000000002</v>
      </c>
      <c r="J156" s="457" t="s">
        <v>9706</v>
      </c>
      <c r="K156" s="458">
        <v>0.3</v>
      </c>
      <c r="L156" s="459">
        <f t="shared" si="8"/>
        <v>135.32400000000001</v>
      </c>
      <c r="M156" s="460">
        <v>0.18</v>
      </c>
      <c r="N156" s="461">
        <f t="shared" si="9"/>
        <v>170.41158000000001</v>
      </c>
      <c r="O156" s="462">
        <v>0.1</v>
      </c>
      <c r="P156" s="463">
        <f t="shared" si="10"/>
        <v>187.03710000000001</v>
      </c>
      <c r="Q156" s="464"/>
      <c r="R156" s="476">
        <v>3</v>
      </c>
      <c r="S156" s="476">
        <v>3</v>
      </c>
      <c r="T156" s="476">
        <v>3</v>
      </c>
      <c r="U156" s="477"/>
      <c r="V156" s="470"/>
      <c r="W156" s="470"/>
      <c r="X156" s="470"/>
      <c r="Y156" s="470"/>
      <c r="Z156" s="470"/>
      <c r="AA156" s="470"/>
      <c r="AB156" s="470"/>
      <c r="AC156" s="470"/>
      <c r="AD156" s="470"/>
      <c r="AE156" s="470"/>
      <c r="AF156" s="470"/>
      <c r="AG156" s="470"/>
      <c r="AH156" s="470"/>
      <c r="AI156" s="470"/>
      <c r="AJ156" s="470"/>
      <c r="AK156" s="470"/>
      <c r="AL156" s="470"/>
      <c r="AM156" s="470"/>
      <c r="AN156" s="470"/>
      <c r="AO156" s="470"/>
      <c r="AP156" s="470"/>
      <c r="AQ156" s="470"/>
      <c r="AR156" s="470"/>
      <c r="AS156" s="470"/>
      <c r="AT156" s="470"/>
      <c r="AU156" s="470"/>
      <c r="AV156" s="470"/>
      <c r="AW156" s="470"/>
      <c r="AX156" s="470"/>
      <c r="AY156" s="470"/>
      <c r="AZ156" s="470"/>
      <c r="BA156" s="470"/>
      <c r="BB156" s="470"/>
      <c r="BC156" s="470"/>
      <c r="BD156" s="470"/>
      <c r="BE156" s="470"/>
      <c r="BF156" s="470"/>
      <c r="BG156" s="470"/>
      <c r="BH156" s="470"/>
      <c r="BI156" s="470"/>
      <c r="BJ156" s="470"/>
      <c r="BK156" s="470"/>
      <c r="BL156" s="470"/>
      <c r="BM156" s="470"/>
      <c r="BN156" s="470"/>
      <c r="BO156" s="470"/>
      <c r="BP156" s="470"/>
      <c r="BQ156" s="470"/>
      <c r="BR156" s="470"/>
      <c r="BS156" s="470"/>
      <c r="BT156" s="470"/>
      <c r="BU156" s="470"/>
      <c r="BV156" s="470"/>
      <c r="BW156" s="470"/>
      <c r="BX156" s="470"/>
      <c r="BY156" s="470"/>
      <c r="BZ156" s="470"/>
      <c r="CA156" s="470"/>
      <c r="CB156" s="470"/>
      <c r="CC156" s="470"/>
      <c r="CD156" s="470"/>
      <c r="CE156" s="470"/>
      <c r="CF156" s="470"/>
      <c r="CG156" s="470"/>
      <c r="CH156" s="470"/>
      <c r="CI156" s="470"/>
      <c r="CJ156" s="470"/>
      <c r="CK156" s="470"/>
      <c r="CL156" s="470"/>
      <c r="CM156" s="470"/>
      <c r="CN156" s="470"/>
      <c r="CO156" s="470"/>
      <c r="CP156" s="470"/>
      <c r="CQ156" s="470"/>
      <c r="CR156" s="470"/>
      <c r="CS156" s="470"/>
      <c r="CT156" s="470"/>
      <c r="CU156" s="470"/>
      <c r="CV156" s="470"/>
      <c r="CW156" s="470"/>
      <c r="CX156" s="470"/>
      <c r="CY156" s="470"/>
      <c r="CZ156" s="470"/>
      <c r="DA156" s="470"/>
      <c r="DB156" s="470"/>
      <c r="DC156" s="470"/>
      <c r="DD156" s="470"/>
      <c r="DE156" s="470"/>
      <c r="DF156" s="470"/>
      <c r="DG156" s="470"/>
      <c r="DH156" s="470"/>
      <c r="DI156" s="470"/>
      <c r="DJ156" s="470"/>
      <c r="DK156" s="470"/>
      <c r="DL156" s="470"/>
      <c r="DM156" s="470"/>
      <c r="DN156" s="470"/>
      <c r="DO156" s="470"/>
      <c r="DP156" s="470"/>
      <c r="DQ156" s="470"/>
      <c r="DR156" s="470"/>
      <c r="DS156" s="470"/>
      <c r="DT156" s="470"/>
      <c r="DU156" s="470"/>
      <c r="DV156" s="470"/>
      <c r="DW156" s="470"/>
      <c r="DX156" s="470"/>
      <c r="DY156" s="470"/>
      <c r="DZ156" s="470"/>
      <c r="EA156" s="470"/>
      <c r="EB156" s="470"/>
      <c r="EC156" s="470"/>
      <c r="ED156" s="470"/>
      <c r="EE156" s="470"/>
      <c r="EF156" s="470"/>
      <c r="EG156" s="470"/>
      <c r="EH156" s="470"/>
      <c r="EI156" s="470"/>
      <c r="EJ156" s="470"/>
      <c r="EK156" s="470"/>
      <c r="EL156" s="470"/>
      <c r="EM156" s="470"/>
      <c r="EN156" s="470"/>
      <c r="EO156" s="470"/>
      <c r="EP156" s="470"/>
      <c r="EQ156" s="470"/>
      <c r="ER156" s="470"/>
      <c r="ES156" s="470"/>
      <c r="ET156" s="470"/>
      <c r="EU156" s="470"/>
      <c r="EV156" s="470"/>
      <c r="EW156" s="470"/>
      <c r="EX156" s="470"/>
      <c r="EY156" s="470"/>
      <c r="EZ156" s="470"/>
      <c r="FA156" s="470"/>
      <c r="FB156" s="470"/>
      <c r="FC156" s="470"/>
      <c r="FD156" s="470"/>
      <c r="FE156" s="470"/>
      <c r="FF156" s="470"/>
      <c r="FG156" s="470"/>
      <c r="FH156" s="470"/>
      <c r="FI156" s="470"/>
      <c r="FJ156" s="470"/>
      <c r="FK156" s="470"/>
      <c r="FL156" s="470"/>
      <c r="FM156" s="470"/>
      <c r="FN156" s="470"/>
      <c r="FO156" s="470"/>
      <c r="FP156" s="470"/>
      <c r="FQ156" s="470"/>
      <c r="FR156" s="470"/>
      <c r="FS156" s="470"/>
      <c r="FT156" s="470"/>
      <c r="FU156" s="470"/>
      <c r="FV156" s="470"/>
      <c r="FW156" s="470"/>
      <c r="FX156" s="470"/>
      <c r="FY156" s="470"/>
      <c r="FZ156" s="470"/>
      <c r="GA156" s="470"/>
      <c r="GB156" s="470"/>
      <c r="GC156" s="470"/>
      <c r="GD156" s="470"/>
      <c r="GE156" s="470"/>
      <c r="GF156" s="470"/>
      <c r="GG156" s="470"/>
      <c r="GH156" s="470"/>
      <c r="GI156" s="470"/>
      <c r="GJ156" s="470"/>
      <c r="GK156" s="470"/>
      <c r="GL156" s="470"/>
      <c r="GM156" s="470"/>
      <c r="GN156" s="470"/>
      <c r="GO156" s="470"/>
      <c r="GP156" s="470"/>
      <c r="GQ156" s="470"/>
      <c r="GR156" s="470"/>
      <c r="GS156" s="470"/>
      <c r="GT156" s="470"/>
      <c r="GU156" s="470"/>
      <c r="GV156" s="470"/>
      <c r="GW156" s="470"/>
      <c r="GX156" s="470"/>
      <c r="GY156" s="470"/>
      <c r="GZ156" s="470"/>
      <c r="HA156" s="470"/>
      <c r="HB156" s="470"/>
      <c r="HC156" s="470"/>
      <c r="HD156" s="470"/>
      <c r="HE156" s="470"/>
      <c r="HF156" s="470"/>
      <c r="HG156" s="470"/>
      <c r="HH156" s="470"/>
      <c r="HI156" s="470"/>
      <c r="HJ156" s="470"/>
      <c r="HK156" s="470"/>
      <c r="HL156" s="470"/>
      <c r="HM156" s="470"/>
      <c r="HN156" s="470"/>
      <c r="HO156" s="470"/>
      <c r="HP156" s="470"/>
      <c r="HQ156" s="470"/>
      <c r="HR156" s="470"/>
      <c r="HS156" s="470"/>
      <c r="HT156" s="470"/>
      <c r="HU156" s="470"/>
      <c r="HV156" s="470"/>
      <c r="HW156" s="470"/>
      <c r="HX156" s="470"/>
      <c r="HY156" s="470"/>
      <c r="HZ156" s="470"/>
      <c r="IA156" s="470"/>
      <c r="IB156" s="470"/>
      <c r="IC156" s="470"/>
      <c r="ID156" s="470"/>
      <c r="IE156" s="470"/>
      <c r="IF156" s="470"/>
      <c r="IG156" s="470"/>
      <c r="IH156" s="470"/>
      <c r="II156" s="470"/>
      <c r="IJ156" s="470"/>
      <c r="IK156" s="470"/>
      <c r="IL156" s="470"/>
      <c r="IM156" s="470"/>
      <c r="IN156" s="470"/>
      <c r="IO156" s="470"/>
      <c r="IP156" s="470"/>
      <c r="IQ156" s="470"/>
    </row>
    <row r="157" spans="1:251" x14ac:dyDescent="0.2">
      <c r="A157" s="452" t="s">
        <v>10025</v>
      </c>
      <c r="B157" s="453" t="s">
        <v>10026</v>
      </c>
      <c r="C157" s="473" t="s">
        <v>386</v>
      </c>
      <c r="D157" s="455" t="s">
        <v>9783</v>
      </c>
      <c r="E157" s="456" t="s">
        <v>9710</v>
      </c>
      <c r="F157" s="456" t="s">
        <v>9988</v>
      </c>
      <c r="G157" s="456" t="s">
        <v>7180</v>
      </c>
      <c r="H157" s="457">
        <v>193.32000000000002</v>
      </c>
      <c r="I157" s="457">
        <f t="shared" si="11"/>
        <v>207.81900000000002</v>
      </c>
      <c r="J157" s="457" t="s">
        <v>9706</v>
      </c>
      <c r="K157" s="458">
        <v>0.3</v>
      </c>
      <c r="L157" s="459">
        <f t="shared" si="8"/>
        <v>135.32400000000001</v>
      </c>
      <c r="M157" s="460">
        <v>0.18</v>
      </c>
      <c r="N157" s="461">
        <f t="shared" si="9"/>
        <v>170.41158000000001</v>
      </c>
      <c r="O157" s="462">
        <v>0.1</v>
      </c>
      <c r="P157" s="463">
        <f t="shared" si="10"/>
        <v>187.03710000000001</v>
      </c>
      <c r="Q157" s="464"/>
      <c r="R157" s="476">
        <v>3</v>
      </c>
      <c r="S157" s="476">
        <v>3</v>
      </c>
      <c r="T157" s="476">
        <v>3</v>
      </c>
      <c r="U157" s="477"/>
      <c r="V157" s="470"/>
      <c r="W157" s="470"/>
      <c r="X157" s="470"/>
      <c r="Y157" s="470"/>
      <c r="Z157" s="470"/>
      <c r="AA157" s="470"/>
      <c r="AB157" s="470"/>
      <c r="AC157" s="470"/>
      <c r="AD157" s="470"/>
      <c r="AE157" s="470"/>
      <c r="AF157" s="470"/>
      <c r="AG157" s="470"/>
      <c r="AH157" s="470"/>
      <c r="AI157" s="470"/>
      <c r="AJ157" s="470"/>
      <c r="AK157" s="470"/>
      <c r="AL157" s="470"/>
      <c r="AM157" s="470"/>
      <c r="AN157" s="470"/>
      <c r="AO157" s="470"/>
      <c r="AP157" s="470"/>
      <c r="AQ157" s="470"/>
      <c r="AR157" s="470"/>
      <c r="AS157" s="470"/>
      <c r="AT157" s="470"/>
      <c r="AU157" s="470"/>
      <c r="AV157" s="470"/>
      <c r="AW157" s="470"/>
      <c r="AX157" s="470"/>
      <c r="AY157" s="470"/>
      <c r="AZ157" s="470"/>
      <c r="BA157" s="470"/>
      <c r="BB157" s="470"/>
      <c r="BC157" s="470"/>
      <c r="BD157" s="470"/>
      <c r="BE157" s="470"/>
      <c r="BF157" s="470"/>
      <c r="BG157" s="470"/>
      <c r="BH157" s="470"/>
      <c r="BI157" s="470"/>
      <c r="BJ157" s="470"/>
      <c r="BK157" s="470"/>
      <c r="BL157" s="470"/>
      <c r="BM157" s="470"/>
      <c r="BN157" s="470"/>
      <c r="BO157" s="470"/>
      <c r="BP157" s="470"/>
      <c r="BQ157" s="470"/>
      <c r="BR157" s="470"/>
      <c r="BS157" s="470"/>
      <c r="BT157" s="470"/>
      <c r="BU157" s="470"/>
      <c r="BV157" s="470"/>
      <c r="BW157" s="470"/>
      <c r="BX157" s="470"/>
      <c r="BY157" s="470"/>
      <c r="BZ157" s="470"/>
      <c r="CA157" s="470"/>
      <c r="CB157" s="470"/>
      <c r="CC157" s="470"/>
      <c r="CD157" s="470"/>
      <c r="CE157" s="470"/>
      <c r="CF157" s="470"/>
      <c r="CG157" s="470"/>
      <c r="CH157" s="470"/>
      <c r="CI157" s="470"/>
      <c r="CJ157" s="470"/>
      <c r="CK157" s="470"/>
      <c r="CL157" s="470"/>
      <c r="CM157" s="470"/>
      <c r="CN157" s="470"/>
      <c r="CO157" s="470"/>
      <c r="CP157" s="470"/>
      <c r="CQ157" s="470"/>
      <c r="CR157" s="470"/>
      <c r="CS157" s="470"/>
      <c r="CT157" s="470"/>
      <c r="CU157" s="470"/>
      <c r="CV157" s="470"/>
      <c r="CW157" s="470"/>
      <c r="CX157" s="470"/>
      <c r="CY157" s="470"/>
      <c r="CZ157" s="470"/>
      <c r="DA157" s="470"/>
      <c r="DB157" s="470"/>
      <c r="DC157" s="470"/>
      <c r="DD157" s="470"/>
      <c r="DE157" s="470"/>
      <c r="DF157" s="470"/>
      <c r="DG157" s="470"/>
      <c r="DH157" s="470"/>
      <c r="DI157" s="470"/>
      <c r="DJ157" s="470"/>
      <c r="DK157" s="470"/>
      <c r="DL157" s="470"/>
      <c r="DM157" s="470"/>
      <c r="DN157" s="470"/>
      <c r="DO157" s="470"/>
      <c r="DP157" s="470"/>
      <c r="DQ157" s="470"/>
      <c r="DR157" s="470"/>
      <c r="DS157" s="470"/>
      <c r="DT157" s="470"/>
      <c r="DU157" s="470"/>
      <c r="DV157" s="470"/>
      <c r="DW157" s="470"/>
      <c r="DX157" s="470"/>
      <c r="DY157" s="470"/>
      <c r="DZ157" s="470"/>
      <c r="EA157" s="470"/>
      <c r="EB157" s="470"/>
      <c r="EC157" s="470"/>
      <c r="ED157" s="470"/>
      <c r="EE157" s="470"/>
      <c r="EF157" s="470"/>
      <c r="EG157" s="470"/>
      <c r="EH157" s="470"/>
      <c r="EI157" s="470"/>
      <c r="EJ157" s="470"/>
      <c r="EK157" s="470"/>
      <c r="EL157" s="470"/>
      <c r="EM157" s="470"/>
      <c r="EN157" s="470"/>
      <c r="EO157" s="470"/>
      <c r="EP157" s="470"/>
      <c r="EQ157" s="470"/>
      <c r="ER157" s="470"/>
      <c r="ES157" s="470"/>
      <c r="ET157" s="470"/>
      <c r="EU157" s="470"/>
      <c r="EV157" s="470"/>
      <c r="EW157" s="470"/>
      <c r="EX157" s="470"/>
      <c r="EY157" s="470"/>
      <c r="EZ157" s="470"/>
      <c r="FA157" s="470"/>
      <c r="FB157" s="470"/>
      <c r="FC157" s="470"/>
      <c r="FD157" s="470"/>
      <c r="FE157" s="470"/>
      <c r="FF157" s="470"/>
      <c r="FG157" s="470"/>
      <c r="FH157" s="470"/>
      <c r="FI157" s="470"/>
      <c r="FJ157" s="470"/>
      <c r="FK157" s="470"/>
      <c r="FL157" s="470"/>
      <c r="FM157" s="470"/>
      <c r="FN157" s="470"/>
      <c r="FO157" s="470"/>
      <c r="FP157" s="470"/>
      <c r="FQ157" s="470"/>
      <c r="FR157" s="470"/>
      <c r="FS157" s="470"/>
      <c r="FT157" s="470"/>
      <c r="FU157" s="470"/>
      <c r="FV157" s="470"/>
      <c r="FW157" s="470"/>
      <c r="FX157" s="470"/>
      <c r="FY157" s="470"/>
      <c r="FZ157" s="470"/>
      <c r="GA157" s="470"/>
      <c r="GB157" s="470"/>
      <c r="GC157" s="470"/>
      <c r="GD157" s="470"/>
      <c r="GE157" s="470"/>
      <c r="GF157" s="470"/>
      <c r="GG157" s="470"/>
      <c r="GH157" s="470"/>
      <c r="GI157" s="470"/>
      <c r="GJ157" s="470"/>
      <c r="GK157" s="470"/>
      <c r="GL157" s="470"/>
      <c r="GM157" s="470"/>
      <c r="GN157" s="470"/>
      <c r="GO157" s="470"/>
      <c r="GP157" s="470"/>
      <c r="GQ157" s="470"/>
      <c r="GR157" s="470"/>
      <c r="GS157" s="470"/>
      <c r="GT157" s="470"/>
      <c r="GU157" s="470"/>
      <c r="GV157" s="470"/>
      <c r="GW157" s="470"/>
      <c r="GX157" s="470"/>
      <c r="GY157" s="470"/>
      <c r="GZ157" s="470"/>
      <c r="HA157" s="470"/>
      <c r="HB157" s="470"/>
      <c r="HC157" s="470"/>
      <c r="HD157" s="470"/>
      <c r="HE157" s="470"/>
      <c r="HF157" s="470"/>
      <c r="HG157" s="470"/>
      <c r="HH157" s="470"/>
      <c r="HI157" s="470"/>
      <c r="HJ157" s="470"/>
      <c r="HK157" s="470"/>
      <c r="HL157" s="470"/>
      <c r="HM157" s="470"/>
      <c r="HN157" s="470"/>
      <c r="HO157" s="470"/>
      <c r="HP157" s="470"/>
      <c r="HQ157" s="470"/>
      <c r="HR157" s="470"/>
      <c r="HS157" s="470"/>
      <c r="HT157" s="470"/>
      <c r="HU157" s="470"/>
      <c r="HV157" s="470"/>
      <c r="HW157" s="470"/>
      <c r="HX157" s="470"/>
      <c r="HY157" s="470"/>
      <c r="HZ157" s="470"/>
      <c r="IA157" s="470"/>
      <c r="IB157" s="470"/>
      <c r="IC157" s="470"/>
      <c r="ID157" s="470"/>
      <c r="IE157" s="470"/>
      <c r="IF157" s="470"/>
      <c r="IG157" s="470"/>
      <c r="IH157" s="470"/>
      <c r="II157" s="470"/>
      <c r="IJ157" s="470"/>
      <c r="IK157" s="470"/>
      <c r="IL157" s="470"/>
      <c r="IM157" s="470"/>
      <c r="IN157" s="470"/>
      <c r="IO157" s="470"/>
      <c r="IP157" s="470"/>
      <c r="IQ157" s="470"/>
    </row>
    <row r="158" spans="1:251" x14ac:dyDescent="0.2">
      <c r="A158" s="452" t="s">
        <v>10027</v>
      </c>
      <c r="B158" s="453" t="s">
        <v>10028</v>
      </c>
      <c r="C158" s="473" t="s">
        <v>386</v>
      </c>
      <c r="D158" s="455" t="s">
        <v>9783</v>
      </c>
      <c r="E158" s="456" t="s">
        <v>9758</v>
      </c>
      <c r="F158" s="456" t="s">
        <v>9988</v>
      </c>
      <c r="G158" s="456" t="s">
        <v>7180</v>
      </c>
      <c r="H158" s="457">
        <v>193.32000000000002</v>
      </c>
      <c r="I158" s="457">
        <f t="shared" si="11"/>
        <v>207.81900000000002</v>
      </c>
      <c r="J158" s="457" t="s">
        <v>9706</v>
      </c>
      <c r="K158" s="458">
        <v>0.3</v>
      </c>
      <c r="L158" s="459">
        <f t="shared" si="8"/>
        <v>135.32400000000001</v>
      </c>
      <c r="M158" s="460">
        <v>0.18</v>
      </c>
      <c r="N158" s="461">
        <f t="shared" si="9"/>
        <v>170.41158000000001</v>
      </c>
      <c r="O158" s="462">
        <v>0.1</v>
      </c>
      <c r="P158" s="463">
        <f t="shared" si="10"/>
        <v>187.03710000000001</v>
      </c>
      <c r="Q158" s="464"/>
      <c r="R158" s="476">
        <v>3</v>
      </c>
      <c r="S158" s="476">
        <v>3</v>
      </c>
      <c r="T158" s="476">
        <v>3</v>
      </c>
      <c r="U158" s="477"/>
      <c r="V158" s="470"/>
      <c r="W158" s="470"/>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c r="AS158" s="470"/>
      <c r="AT158" s="470"/>
      <c r="AU158" s="470"/>
      <c r="AV158" s="470"/>
      <c r="AW158" s="470"/>
      <c r="AX158" s="470"/>
      <c r="AY158" s="470"/>
      <c r="AZ158" s="470"/>
      <c r="BA158" s="470"/>
      <c r="BB158" s="470"/>
      <c r="BC158" s="470"/>
      <c r="BD158" s="470"/>
      <c r="BE158" s="470"/>
      <c r="BF158" s="470"/>
      <c r="BG158" s="470"/>
      <c r="BH158" s="470"/>
      <c r="BI158" s="470"/>
      <c r="BJ158" s="470"/>
      <c r="BK158" s="470"/>
      <c r="BL158" s="470"/>
      <c r="BM158" s="470"/>
      <c r="BN158" s="470"/>
      <c r="BO158" s="470"/>
      <c r="BP158" s="470"/>
      <c r="BQ158" s="470"/>
      <c r="BR158" s="470"/>
      <c r="BS158" s="470"/>
      <c r="BT158" s="470"/>
      <c r="BU158" s="470"/>
      <c r="BV158" s="470"/>
      <c r="BW158" s="470"/>
      <c r="BX158" s="470"/>
      <c r="BY158" s="470"/>
      <c r="BZ158" s="470"/>
      <c r="CA158" s="470"/>
      <c r="CB158" s="470"/>
      <c r="CC158" s="470"/>
      <c r="CD158" s="470"/>
      <c r="CE158" s="470"/>
      <c r="CF158" s="470"/>
      <c r="CG158" s="470"/>
      <c r="CH158" s="470"/>
      <c r="CI158" s="470"/>
      <c r="CJ158" s="470"/>
      <c r="CK158" s="470"/>
      <c r="CL158" s="470"/>
      <c r="CM158" s="470"/>
      <c r="CN158" s="470"/>
      <c r="CO158" s="470"/>
      <c r="CP158" s="470"/>
      <c r="CQ158" s="470"/>
      <c r="CR158" s="470"/>
      <c r="CS158" s="470"/>
      <c r="CT158" s="470"/>
      <c r="CU158" s="470"/>
      <c r="CV158" s="470"/>
      <c r="CW158" s="470"/>
      <c r="CX158" s="470"/>
      <c r="CY158" s="470"/>
      <c r="CZ158" s="470"/>
      <c r="DA158" s="470"/>
      <c r="DB158" s="470"/>
      <c r="DC158" s="470"/>
      <c r="DD158" s="470"/>
      <c r="DE158" s="470"/>
      <c r="DF158" s="470"/>
      <c r="DG158" s="470"/>
      <c r="DH158" s="470"/>
      <c r="DI158" s="470"/>
      <c r="DJ158" s="470"/>
      <c r="DK158" s="470"/>
      <c r="DL158" s="470"/>
      <c r="DM158" s="470"/>
      <c r="DN158" s="470"/>
      <c r="DO158" s="470"/>
      <c r="DP158" s="470"/>
      <c r="DQ158" s="470"/>
      <c r="DR158" s="470"/>
      <c r="DS158" s="470"/>
      <c r="DT158" s="470"/>
      <c r="DU158" s="470"/>
      <c r="DV158" s="470"/>
      <c r="DW158" s="470"/>
      <c r="DX158" s="470"/>
      <c r="DY158" s="470"/>
      <c r="DZ158" s="470"/>
      <c r="EA158" s="470"/>
      <c r="EB158" s="470"/>
      <c r="EC158" s="470"/>
      <c r="ED158" s="470"/>
      <c r="EE158" s="470"/>
      <c r="EF158" s="470"/>
      <c r="EG158" s="470"/>
      <c r="EH158" s="470"/>
      <c r="EI158" s="470"/>
      <c r="EJ158" s="470"/>
      <c r="EK158" s="470"/>
      <c r="EL158" s="470"/>
      <c r="EM158" s="470"/>
      <c r="EN158" s="470"/>
      <c r="EO158" s="470"/>
      <c r="EP158" s="470"/>
      <c r="EQ158" s="470"/>
      <c r="ER158" s="470"/>
      <c r="ES158" s="470"/>
      <c r="ET158" s="470"/>
      <c r="EU158" s="470"/>
      <c r="EV158" s="470"/>
      <c r="EW158" s="470"/>
      <c r="EX158" s="470"/>
      <c r="EY158" s="470"/>
      <c r="EZ158" s="470"/>
      <c r="FA158" s="470"/>
      <c r="FB158" s="470"/>
      <c r="FC158" s="470"/>
      <c r="FD158" s="470"/>
      <c r="FE158" s="470"/>
      <c r="FF158" s="470"/>
      <c r="FG158" s="470"/>
      <c r="FH158" s="470"/>
      <c r="FI158" s="470"/>
      <c r="FJ158" s="470"/>
      <c r="FK158" s="470"/>
      <c r="FL158" s="470"/>
      <c r="FM158" s="470"/>
      <c r="FN158" s="470"/>
      <c r="FO158" s="470"/>
      <c r="FP158" s="470"/>
      <c r="FQ158" s="470"/>
      <c r="FR158" s="470"/>
      <c r="FS158" s="470"/>
      <c r="FT158" s="470"/>
      <c r="FU158" s="470"/>
      <c r="FV158" s="470"/>
      <c r="FW158" s="470"/>
      <c r="FX158" s="470"/>
      <c r="FY158" s="470"/>
      <c r="FZ158" s="470"/>
      <c r="GA158" s="470"/>
      <c r="GB158" s="470"/>
      <c r="GC158" s="470"/>
      <c r="GD158" s="470"/>
      <c r="GE158" s="470"/>
      <c r="GF158" s="470"/>
      <c r="GG158" s="470"/>
      <c r="GH158" s="470"/>
      <c r="GI158" s="470"/>
      <c r="GJ158" s="470"/>
      <c r="GK158" s="470"/>
      <c r="GL158" s="470"/>
      <c r="GM158" s="470"/>
      <c r="GN158" s="470"/>
      <c r="GO158" s="470"/>
      <c r="GP158" s="470"/>
      <c r="GQ158" s="470"/>
      <c r="GR158" s="470"/>
      <c r="GS158" s="470"/>
      <c r="GT158" s="470"/>
      <c r="GU158" s="470"/>
      <c r="GV158" s="470"/>
      <c r="GW158" s="470"/>
      <c r="GX158" s="470"/>
      <c r="GY158" s="470"/>
      <c r="GZ158" s="470"/>
      <c r="HA158" s="470"/>
      <c r="HB158" s="470"/>
      <c r="HC158" s="470"/>
      <c r="HD158" s="470"/>
      <c r="HE158" s="470"/>
      <c r="HF158" s="470"/>
      <c r="HG158" s="470"/>
      <c r="HH158" s="470"/>
      <c r="HI158" s="470"/>
      <c r="HJ158" s="470"/>
      <c r="HK158" s="470"/>
      <c r="HL158" s="470"/>
      <c r="HM158" s="470"/>
      <c r="HN158" s="470"/>
      <c r="HO158" s="470"/>
      <c r="HP158" s="470"/>
      <c r="HQ158" s="470"/>
      <c r="HR158" s="470"/>
      <c r="HS158" s="470"/>
      <c r="HT158" s="470"/>
      <c r="HU158" s="470"/>
      <c r="HV158" s="470"/>
      <c r="HW158" s="470"/>
      <c r="HX158" s="470"/>
      <c r="HY158" s="470"/>
      <c r="HZ158" s="470"/>
      <c r="IA158" s="470"/>
      <c r="IB158" s="470"/>
      <c r="IC158" s="470"/>
      <c r="ID158" s="470"/>
      <c r="IE158" s="470"/>
      <c r="IF158" s="470"/>
      <c r="IG158" s="470"/>
      <c r="IH158" s="470"/>
      <c r="II158" s="470"/>
      <c r="IJ158" s="470"/>
      <c r="IK158" s="470"/>
      <c r="IL158" s="470"/>
      <c r="IM158" s="470"/>
      <c r="IN158" s="470"/>
      <c r="IO158" s="470"/>
      <c r="IP158" s="470"/>
      <c r="IQ158" s="470"/>
    </row>
    <row r="159" spans="1:251" x14ac:dyDescent="0.2">
      <c r="A159" s="452" t="s">
        <v>10029</v>
      </c>
      <c r="B159" s="453" t="s">
        <v>10030</v>
      </c>
      <c r="C159" s="473" t="s">
        <v>386</v>
      </c>
      <c r="D159" s="455" t="s">
        <v>9783</v>
      </c>
      <c r="E159" s="456" t="s">
        <v>9710</v>
      </c>
      <c r="F159" s="456" t="s">
        <v>9988</v>
      </c>
      <c r="G159" s="456" t="s">
        <v>7180</v>
      </c>
      <c r="H159" s="457">
        <v>193.32000000000002</v>
      </c>
      <c r="I159" s="457">
        <f t="shared" si="11"/>
        <v>207.81900000000002</v>
      </c>
      <c r="J159" s="457" t="s">
        <v>9706</v>
      </c>
      <c r="K159" s="458">
        <v>0.3</v>
      </c>
      <c r="L159" s="459">
        <f t="shared" si="8"/>
        <v>135.32400000000001</v>
      </c>
      <c r="M159" s="460">
        <v>0.18</v>
      </c>
      <c r="N159" s="461">
        <f t="shared" si="9"/>
        <v>170.41158000000001</v>
      </c>
      <c r="O159" s="462">
        <v>0.1</v>
      </c>
      <c r="P159" s="463">
        <f t="shared" si="10"/>
        <v>187.03710000000001</v>
      </c>
      <c r="Q159" s="464"/>
      <c r="R159" s="476">
        <v>3</v>
      </c>
      <c r="S159" s="476">
        <v>3</v>
      </c>
      <c r="T159" s="476">
        <v>3</v>
      </c>
      <c r="U159" s="477"/>
      <c r="V159" s="470"/>
      <c r="W159" s="470"/>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c r="AS159" s="470"/>
      <c r="AT159" s="470"/>
      <c r="AU159" s="470"/>
      <c r="AV159" s="470"/>
      <c r="AW159" s="470"/>
      <c r="AX159" s="470"/>
      <c r="AY159" s="470"/>
      <c r="AZ159" s="470"/>
      <c r="BA159" s="470"/>
      <c r="BB159" s="470"/>
      <c r="BC159" s="470"/>
      <c r="BD159" s="470"/>
      <c r="BE159" s="470"/>
      <c r="BF159" s="470"/>
      <c r="BG159" s="470"/>
      <c r="BH159" s="470"/>
      <c r="BI159" s="470"/>
      <c r="BJ159" s="470"/>
      <c r="BK159" s="470"/>
      <c r="BL159" s="470"/>
      <c r="BM159" s="470"/>
      <c r="BN159" s="470"/>
      <c r="BO159" s="470"/>
      <c r="BP159" s="470"/>
      <c r="BQ159" s="470"/>
      <c r="BR159" s="470"/>
      <c r="BS159" s="470"/>
      <c r="BT159" s="470"/>
      <c r="BU159" s="470"/>
      <c r="BV159" s="470"/>
      <c r="BW159" s="470"/>
      <c r="BX159" s="470"/>
      <c r="BY159" s="470"/>
      <c r="BZ159" s="470"/>
      <c r="CA159" s="470"/>
      <c r="CB159" s="470"/>
      <c r="CC159" s="470"/>
      <c r="CD159" s="470"/>
      <c r="CE159" s="470"/>
      <c r="CF159" s="470"/>
      <c r="CG159" s="470"/>
      <c r="CH159" s="470"/>
      <c r="CI159" s="470"/>
      <c r="CJ159" s="470"/>
      <c r="CK159" s="470"/>
      <c r="CL159" s="470"/>
      <c r="CM159" s="470"/>
      <c r="CN159" s="470"/>
      <c r="CO159" s="470"/>
      <c r="CP159" s="470"/>
      <c r="CQ159" s="470"/>
      <c r="CR159" s="470"/>
      <c r="CS159" s="470"/>
      <c r="CT159" s="470"/>
      <c r="CU159" s="470"/>
      <c r="CV159" s="470"/>
      <c r="CW159" s="470"/>
      <c r="CX159" s="470"/>
      <c r="CY159" s="470"/>
      <c r="CZ159" s="470"/>
      <c r="DA159" s="470"/>
      <c r="DB159" s="470"/>
      <c r="DC159" s="470"/>
      <c r="DD159" s="470"/>
      <c r="DE159" s="470"/>
      <c r="DF159" s="470"/>
      <c r="DG159" s="470"/>
      <c r="DH159" s="470"/>
      <c r="DI159" s="470"/>
      <c r="DJ159" s="470"/>
      <c r="DK159" s="470"/>
      <c r="DL159" s="470"/>
      <c r="DM159" s="470"/>
      <c r="DN159" s="470"/>
      <c r="DO159" s="470"/>
      <c r="DP159" s="470"/>
      <c r="DQ159" s="470"/>
      <c r="DR159" s="470"/>
      <c r="DS159" s="470"/>
      <c r="DT159" s="470"/>
      <c r="DU159" s="470"/>
      <c r="DV159" s="470"/>
      <c r="DW159" s="470"/>
      <c r="DX159" s="470"/>
      <c r="DY159" s="470"/>
      <c r="DZ159" s="470"/>
      <c r="EA159" s="470"/>
      <c r="EB159" s="470"/>
      <c r="EC159" s="470"/>
      <c r="ED159" s="470"/>
      <c r="EE159" s="470"/>
      <c r="EF159" s="470"/>
      <c r="EG159" s="470"/>
      <c r="EH159" s="470"/>
      <c r="EI159" s="470"/>
      <c r="EJ159" s="470"/>
      <c r="EK159" s="470"/>
      <c r="EL159" s="470"/>
      <c r="EM159" s="470"/>
      <c r="EN159" s="470"/>
      <c r="EO159" s="470"/>
      <c r="EP159" s="470"/>
      <c r="EQ159" s="470"/>
      <c r="ER159" s="470"/>
      <c r="ES159" s="470"/>
      <c r="ET159" s="470"/>
      <c r="EU159" s="470"/>
      <c r="EV159" s="470"/>
      <c r="EW159" s="470"/>
      <c r="EX159" s="470"/>
      <c r="EY159" s="470"/>
      <c r="EZ159" s="470"/>
      <c r="FA159" s="470"/>
      <c r="FB159" s="470"/>
      <c r="FC159" s="470"/>
      <c r="FD159" s="470"/>
      <c r="FE159" s="470"/>
      <c r="FF159" s="470"/>
      <c r="FG159" s="470"/>
      <c r="FH159" s="470"/>
      <c r="FI159" s="470"/>
      <c r="FJ159" s="470"/>
      <c r="FK159" s="470"/>
      <c r="FL159" s="470"/>
      <c r="FM159" s="470"/>
      <c r="FN159" s="470"/>
      <c r="FO159" s="470"/>
      <c r="FP159" s="470"/>
      <c r="FQ159" s="470"/>
      <c r="FR159" s="470"/>
      <c r="FS159" s="470"/>
      <c r="FT159" s="470"/>
      <c r="FU159" s="470"/>
      <c r="FV159" s="470"/>
      <c r="FW159" s="470"/>
      <c r="FX159" s="470"/>
      <c r="FY159" s="470"/>
      <c r="FZ159" s="470"/>
      <c r="GA159" s="470"/>
      <c r="GB159" s="470"/>
      <c r="GC159" s="470"/>
      <c r="GD159" s="470"/>
      <c r="GE159" s="470"/>
      <c r="GF159" s="470"/>
      <c r="GG159" s="470"/>
      <c r="GH159" s="470"/>
      <c r="GI159" s="470"/>
      <c r="GJ159" s="470"/>
      <c r="GK159" s="470"/>
      <c r="GL159" s="470"/>
      <c r="GM159" s="470"/>
      <c r="GN159" s="470"/>
      <c r="GO159" s="470"/>
      <c r="GP159" s="470"/>
      <c r="GQ159" s="470"/>
      <c r="GR159" s="470"/>
      <c r="GS159" s="470"/>
      <c r="GT159" s="470"/>
      <c r="GU159" s="470"/>
      <c r="GV159" s="470"/>
      <c r="GW159" s="470"/>
      <c r="GX159" s="470"/>
      <c r="GY159" s="470"/>
      <c r="GZ159" s="470"/>
      <c r="HA159" s="470"/>
      <c r="HB159" s="470"/>
      <c r="HC159" s="470"/>
      <c r="HD159" s="470"/>
      <c r="HE159" s="470"/>
      <c r="HF159" s="470"/>
      <c r="HG159" s="470"/>
      <c r="HH159" s="470"/>
      <c r="HI159" s="470"/>
      <c r="HJ159" s="470"/>
      <c r="HK159" s="470"/>
      <c r="HL159" s="470"/>
      <c r="HM159" s="470"/>
      <c r="HN159" s="470"/>
      <c r="HO159" s="470"/>
      <c r="HP159" s="470"/>
      <c r="HQ159" s="470"/>
      <c r="HR159" s="470"/>
      <c r="HS159" s="470"/>
      <c r="HT159" s="470"/>
      <c r="HU159" s="470"/>
      <c r="HV159" s="470"/>
      <c r="HW159" s="470"/>
      <c r="HX159" s="470"/>
      <c r="HY159" s="470"/>
      <c r="HZ159" s="470"/>
      <c r="IA159" s="470"/>
      <c r="IB159" s="470"/>
      <c r="IC159" s="470"/>
      <c r="ID159" s="470"/>
      <c r="IE159" s="470"/>
      <c r="IF159" s="470"/>
      <c r="IG159" s="470"/>
      <c r="IH159" s="470"/>
      <c r="II159" s="470"/>
      <c r="IJ159" s="470"/>
      <c r="IK159" s="470"/>
      <c r="IL159" s="470"/>
      <c r="IM159" s="470"/>
      <c r="IN159" s="470"/>
      <c r="IO159" s="470"/>
      <c r="IP159" s="470"/>
      <c r="IQ159" s="470"/>
    </row>
    <row r="160" spans="1:251" x14ac:dyDescent="0.2">
      <c r="A160" s="452" t="s">
        <v>10031</v>
      </c>
      <c r="B160" s="453" t="s">
        <v>10032</v>
      </c>
      <c r="C160" s="473" t="s">
        <v>386</v>
      </c>
      <c r="D160" s="455" t="s">
        <v>9783</v>
      </c>
      <c r="E160" s="456" t="s">
        <v>9710</v>
      </c>
      <c r="F160" s="456" t="s">
        <v>9988</v>
      </c>
      <c r="G160" s="456" t="s">
        <v>7180</v>
      </c>
      <c r="H160" s="457">
        <v>193.32000000000002</v>
      </c>
      <c r="I160" s="457">
        <f t="shared" si="11"/>
        <v>207.81900000000002</v>
      </c>
      <c r="J160" s="457" t="s">
        <v>9706</v>
      </c>
      <c r="K160" s="458">
        <v>0.3</v>
      </c>
      <c r="L160" s="459">
        <f t="shared" si="8"/>
        <v>135.32400000000001</v>
      </c>
      <c r="M160" s="460">
        <v>0.18</v>
      </c>
      <c r="N160" s="461">
        <f t="shared" si="9"/>
        <v>170.41158000000001</v>
      </c>
      <c r="O160" s="462">
        <v>0.1</v>
      </c>
      <c r="P160" s="463">
        <f t="shared" si="10"/>
        <v>187.03710000000001</v>
      </c>
      <c r="Q160" s="464"/>
      <c r="R160" s="476">
        <v>3</v>
      </c>
      <c r="S160" s="476">
        <v>3</v>
      </c>
      <c r="T160" s="476">
        <v>3</v>
      </c>
      <c r="U160" s="477"/>
      <c r="V160" s="470"/>
      <c r="W160" s="470"/>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c r="AS160" s="470"/>
      <c r="AT160" s="470"/>
      <c r="AU160" s="470"/>
      <c r="AV160" s="470"/>
      <c r="AW160" s="470"/>
      <c r="AX160" s="470"/>
      <c r="AY160" s="470"/>
      <c r="AZ160" s="470"/>
      <c r="BA160" s="470"/>
      <c r="BB160" s="470"/>
      <c r="BC160" s="470"/>
      <c r="BD160" s="470"/>
      <c r="BE160" s="470"/>
      <c r="BF160" s="470"/>
      <c r="BG160" s="470"/>
      <c r="BH160" s="470"/>
      <c r="BI160" s="470"/>
      <c r="BJ160" s="470"/>
      <c r="BK160" s="470"/>
      <c r="BL160" s="470"/>
      <c r="BM160" s="470"/>
      <c r="BN160" s="470"/>
      <c r="BO160" s="470"/>
      <c r="BP160" s="470"/>
      <c r="BQ160" s="470"/>
      <c r="BR160" s="470"/>
      <c r="BS160" s="470"/>
      <c r="BT160" s="470"/>
      <c r="BU160" s="470"/>
      <c r="BV160" s="470"/>
      <c r="BW160" s="470"/>
      <c r="BX160" s="470"/>
      <c r="BY160" s="470"/>
      <c r="BZ160" s="470"/>
      <c r="CA160" s="470"/>
      <c r="CB160" s="470"/>
      <c r="CC160" s="470"/>
      <c r="CD160" s="470"/>
      <c r="CE160" s="470"/>
      <c r="CF160" s="470"/>
      <c r="CG160" s="470"/>
      <c r="CH160" s="470"/>
      <c r="CI160" s="470"/>
      <c r="CJ160" s="470"/>
      <c r="CK160" s="470"/>
      <c r="CL160" s="470"/>
      <c r="CM160" s="470"/>
      <c r="CN160" s="470"/>
      <c r="CO160" s="470"/>
      <c r="CP160" s="470"/>
      <c r="CQ160" s="470"/>
      <c r="CR160" s="470"/>
      <c r="CS160" s="470"/>
      <c r="CT160" s="470"/>
      <c r="CU160" s="470"/>
      <c r="CV160" s="470"/>
      <c r="CW160" s="470"/>
      <c r="CX160" s="470"/>
      <c r="CY160" s="470"/>
      <c r="CZ160" s="470"/>
      <c r="DA160" s="470"/>
      <c r="DB160" s="470"/>
      <c r="DC160" s="470"/>
      <c r="DD160" s="470"/>
      <c r="DE160" s="470"/>
      <c r="DF160" s="470"/>
      <c r="DG160" s="470"/>
      <c r="DH160" s="470"/>
      <c r="DI160" s="470"/>
      <c r="DJ160" s="470"/>
      <c r="DK160" s="470"/>
      <c r="DL160" s="470"/>
      <c r="DM160" s="470"/>
      <c r="DN160" s="470"/>
      <c r="DO160" s="470"/>
      <c r="DP160" s="470"/>
      <c r="DQ160" s="470"/>
      <c r="DR160" s="470"/>
      <c r="DS160" s="470"/>
      <c r="DT160" s="470"/>
      <c r="DU160" s="470"/>
      <c r="DV160" s="470"/>
      <c r="DW160" s="470"/>
      <c r="DX160" s="470"/>
      <c r="DY160" s="470"/>
      <c r="DZ160" s="470"/>
      <c r="EA160" s="470"/>
      <c r="EB160" s="470"/>
      <c r="EC160" s="470"/>
      <c r="ED160" s="470"/>
      <c r="EE160" s="470"/>
      <c r="EF160" s="470"/>
      <c r="EG160" s="470"/>
      <c r="EH160" s="470"/>
      <c r="EI160" s="470"/>
      <c r="EJ160" s="470"/>
      <c r="EK160" s="470"/>
      <c r="EL160" s="470"/>
      <c r="EM160" s="470"/>
      <c r="EN160" s="470"/>
      <c r="EO160" s="470"/>
      <c r="EP160" s="470"/>
      <c r="EQ160" s="470"/>
      <c r="ER160" s="470"/>
      <c r="ES160" s="470"/>
      <c r="ET160" s="470"/>
      <c r="EU160" s="470"/>
      <c r="EV160" s="470"/>
      <c r="EW160" s="470"/>
      <c r="EX160" s="470"/>
      <c r="EY160" s="470"/>
      <c r="EZ160" s="470"/>
      <c r="FA160" s="470"/>
      <c r="FB160" s="470"/>
      <c r="FC160" s="470"/>
      <c r="FD160" s="470"/>
      <c r="FE160" s="470"/>
      <c r="FF160" s="470"/>
      <c r="FG160" s="470"/>
      <c r="FH160" s="470"/>
      <c r="FI160" s="470"/>
      <c r="FJ160" s="470"/>
      <c r="FK160" s="470"/>
      <c r="FL160" s="470"/>
      <c r="FM160" s="470"/>
      <c r="FN160" s="470"/>
      <c r="FO160" s="470"/>
      <c r="FP160" s="470"/>
      <c r="FQ160" s="470"/>
      <c r="FR160" s="470"/>
      <c r="FS160" s="470"/>
      <c r="FT160" s="470"/>
      <c r="FU160" s="470"/>
      <c r="FV160" s="470"/>
      <c r="FW160" s="470"/>
      <c r="FX160" s="470"/>
      <c r="FY160" s="470"/>
      <c r="FZ160" s="470"/>
      <c r="GA160" s="470"/>
      <c r="GB160" s="470"/>
      <c r="GC160" s="470"/>
      <c r="GD160" s="470"/>
      <c r="GE160" s="470"/>
      <c r="GF160" s="470"/>
      <c r="GG160" s="470"/>
      <c r="GH160" s="470"/>
      <c r="GI160" s="470"/>
      <c r="GJ160" s="470"/>
      <c r="GK160" s="470"/>
      <c r="GL160" s="470"/>
      <c r="GM160" s="470"/>
      <c r="GN160" s="470"/>
      <c r="GO160" s="470"/>
      <c r="GP160" s="470"/>
      <c r="GQ160" s="470"/>
      <c r="GR160" s="470"/>
      <c r="GS160" s="470"/>
      <c r="GT160" s="470"/>
      <c r="GU160" s="470"/>
      <c r="GV160" s="470"/>
      <c r="GW160" s="470"/>
      <c r="GX160" s="470"/>
      <c r="GY160" s="470"/>
      <c r="GZ160" s="470"/>
      <c r="HA160" s="470"/>
      <c r="HB160" s="470"/>
      <c r="HC160" s="470"/>
      <c r="HD160" s="470"/>
      <c r="HE160" s="470"/>
      <c r="HF160" s="470"/>
      <c r="HG160" s="470"/>
      <c r="HH160" s="470"/>
      <c r="HI160" s="470"/>
      <c r="HJ160" s="470"/>
      <c r="HK160" s="470"/>
      <c r="HL160" s="470"/>
      <c r="HM160" s="470"/>
      <c r="HN160" s="470"/>
      <c r="HO160" s="470"/>
      <c r="HP160" s="470"/>
      <c r="HQ160" s="470"/>
      <c r="HR160" s="470"/>
      <c r="HS160" s="470"/>
      <c r="HT160" s="470"/>
      <c r="HU160" s="470"/>
      <c r="HV160" s="470"/>
      <c r="HW160" s="470"/>
      <c r="HX160" s="470"/>
      <c r="HY160" s="470"/>
      <c r="HZ160" s="470"/>
      <c r="IA160" s="470"/>
      <c r="IB160" s="470"/>
      <c r="IC160" s="470"/>
      <c r="ID160" s="470"/>
      <c r="IE160" s="470"/>
      <c r="IF160" s="470"/>
      <c r="IG160" s="470"/>
      <c r="IH160" s="470"/>
      <c r="II160" s="470"/>
      <c r="IJ160" s="470"/>
      <c r="IK160" s="470"/>
      <c r="IL160" s="470"/>
      <c r="IM160" s="470"/>
      <c r="IN160" s="470"/>
      <c r="IO160" s="470"/>
      <c r="IP160" s="470"/>
      <c r="IQ160" s="470"/>
    </row>
    <row r="161" spans="1:251" x14ac:dyDescent="0.2">
      <c r="A161" s="452" t="s">
        <v>10033</v>
      </c>
      <c r="B161" s="453" t="s">
        <v>10034</v>
      </c>
      <c r="C161" s="473" t="s">
        <v>386</v>
      </c>
      <c r="D161" s="455" t="s">
        <v>9783</v>
      </c>
      <c r="E161" s="456" t="s">
        <v>9734</v>
      </c>
      <c r="F161" s="456" t="s">
        <v>9988</v>
      </c>
      <c r="G161" s="456" t="s">
        <v>7180</v>
      </c>
      <c r="H161" s="457">
        <v>193.32000000000002</v>
      </c>
      <c r="I161" s="457">
        <f t="shared" si="11"/>
        <v>207.81900000000002</v>
      </c>
      <c r="J161" s="457" t="s">
        <v>9706</v>
      </c>
      <c r="K161" s="458">
        <v>0.3</v>
      </c>
      <c r="L161" s="459">
        <f t="shared" si="8"/>
        <v>135.32400000000001</v>
      </c>
      <c r="M161" s="460">
        <v>0.18</v>
      </c>
      <c r="N161" s="461">
        <f t="shared" si="9"/>
        <v>170.41158000000001</v>
      </c>
      <c r="O161" s="462">
        <v>0.1</v>
      </c>
      <c r="P161" s="463">
        <f t="shared" si="10"/>
        <v>187.03710000000001</v>
      </c>
      <c r="Q161" s="464"/>
      <c r="R161" s="476">
        <v>3</v>
      </c>
      <c r="S161" s="476">
        <v>3</v>
      </c>
      <c r="T161" s="476">
        <v>3</v>
      </c>
      <c r="U161" s="477"/>
      <c r="V161" s="470"/>
      <c r="W161" s="470"/>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470"/>
      <c r="AZ161" s="470"/>
      <c r="BA161" s="470"/>
      <c r="BB161" s="470"/>
      <c r="BC161" s="470"/>
      <c r="BD161" s="470"/>
      <c r="BE161" s="470"/>
      <c r="BF161" s="470"/>
      <c r="BG161" s="470"/>
      <c r="BH161" s="470"/>
      <c r="BI161" s="470"/>
      <c r="BJ161" s="470"/>
      <c r="BK161" s="470"/>
      <c r="BL161" s="470"/>
      <c r="BM161" s="470"/>
      <c r="BN161" s="470"/>
      <c r="BO161" s="470"/>
      <c r="BP161" s="470"/>
      <c r="BQ161" s="470"/>
      <c r="BR161" s="470"/>
      <c r="BS161" s="470"/>
      <c r="BT161" s="470"/>
      <c r="BU161" s="470"/>
      <c r="BV161" s="470"/>
      <c r="BW161" s="470"/>
      <c r="BX161" s="470"/>
      <c r="BY161" s="470"/>
      <c r="BZ161" s="470"/>
      <c r="CA161" s="470"/>
      <c r="CB161" s="470"/>
      <c r="CC161" s="470"/>
      <c r="CD161" s="470"/>
      <c r="CE161" s="470"/>
      <c r="CF161" s="470"/>
      <c r="CG161" s="470"/>
      <c r="CH161" s="470"/>
      <c r="CI161" s="470"/>
      <c r="CJ161" s="470"/>
      <c r="CK161" s="470"/>
      <c r="CL161" s="470"/>
      <c r="CM161" s="470"/>
      <c r="CN161" s="470"/>
      <c r="CO161" s="470"/>
      <c r="CP161" s="470"/>
      <c r="CQ161" s="470"/>
      <c r="CR161" s="470"/>
      <c r="CS161" s="470"/>
      <c r="CT161" s="470"/>
      <c r="CU161" s="470"/>
      <c r="CV161" s="470"/>
      <c r="CW161" s="470"/>
      <c r="CX161" s="470"/>
      <c r="CY161" s="470"/>
      <c r="CZ161" s="470"/>
      <c r="DA161" s="470"/>
      <c r="DB161" s="470"/>
      <c r="DC161" s="470"/>
      <c r="DD161" s="470"/>
      <c r="DE161" s="470"/>
      <c r="DF161" s="470"/>
      <c r="DG161" s="470"/>
      <c r="DH161" s="470"/>
      <c r="DI161" s="470"/>
      <c r="DJ161" s="470"/>
      <c r="DK161" s="470"/>
      <c r="DL161" s="470"/>
      <c r="DM161" s="470"/>
      <c r="DN161" s="470"/>
      <c r="DO161" s="470"/>
      <c r="DP161" s="470"/>
      <c r="DQ161" s="470"/>
      <c r="DR161" s="470"/>
      <c r="DS161" s="470"/>
      <c r="DT161" s="470"/>
      <c r="DU161" s="470"/>
      <c r="DV161" s="470"/>
      <c r="DW161" s="470"/>
      <c r="DX161" s="470"/>
      <c r="DY161" s="470"/>
      <c r="DZ161" s="470"/>
      <c r="EA161" s="470"/>
      <c r="EB161" s="470"/>
      <c r="EC161" s="470"/>
      <c r="ED161" s="470"/>
      <c r="EE161" s="470"/>
      <c r="EF161" s="470"/>
      <c r="EG161" s="470"/>
      <c r="EH161" s="470"/>
      <c r="EI161" s="470"/>
      <c r="EJ161" s="470"/>
      <c r="EK161" s="470"/>
      <c r="EL161" s="470"/>
      <c r="EM161" s="470"/>
      <c r="EN161" s="470"/>
      <c r="EO161" s="470"/>
      <c r="EP161" s="470"/>
      <c r="EQ161" s="470"/>
      <c r="ER161" s="470"/>
      <c r="ES161" s="470"/>
      <c r="ET161" s="470"/>
      <c r="EU161" s="470"/>
      <c r="EV161" s="470"/>
      <c r="EW161" s="470"/>
      <c r="EX161" s="470"/>
      <c r="EY161" s="470"/>
      <c r="EZ161" s="470"/>
      <c r="FA161" s="470"/>
      <c r="FB161" s="470"/>
      <c r="FC161" s="470"/>
      <c r="FD161" s="470"/>
      <c r="FE161" s="470"/>
      <c r="FF161" s="470"/>
      <c r="FG161" s="470"/>
      <c r="FH161" s="470"/>
      <c r="FI161" s="470"/>
      <c r="FJ161" s="470"/>
      <c r="FK161" s="470"/>
      <c r="FL161" s="470"/>
      <c r="FM161" s="470"/>
      <c r="FN161" s="470"/>
      <c r="FO161" s="470"/>
      <c r="FP161" s="470"/>
      <c r="FQ161" s="470"/>
      <c r="FR161" s="470"/>
      <c r="FS161" s="470"/>
      <c r="FT161" s="470"/>
      <c r="FU161" s="470"/>
      <c r="FV161" s="470"/>
      <c r="FW161" s="470"/>
      <c r="FX161" s="470"/>
      <c r="FY161" s="470"/>
      <c r="FZ161" s="470"/>
      <c r="GA161" s="470"/>
      <c r="GB161" s="470"/>
      <c r="GC161" s="470"/>
      <c r="GD161" s="470"/>
      <c r="GE161" s="470"/>
      <c r="GF161" s="470"/>
      <c r="GG161" s="470"/>
      <c r="GH161" s="470"/>
      <c r="GI161" s="470"/>
      <c r="GJ161" s="470"/>
      <c r="GK161" s="470"/>
      <c r="GL161" s="470"/>
      <c r="GM161" s="470"/>
      <c r="GN161" s="470"/>
      <c r="GO161" s="470"/>
      <c r="GP161" s="470"/>
      <c r="GQ161" s="470"/>
      <c r="GR161" s="470"/>
      <c r="GS161" s="470"/>
      <c r="GT161" s="470"/>
      <c r="GU161" s="470"/>
      <c r="GV161" s="470"/>
      <c r="GW161" s="470"/>
      <c r="GX161" s="470"/>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70"/>
      <c r="IF161" s="470"/>
      <c r="IG161" s="470"/>
      <c r="IH161" s="470"/>
      <c r="II161" s="470"/>
      <c r="IJ161" s="470"/>
      <c r="IK161" s="470"/>
      <c r="IL161" s="470"/>
      <c r="IM161" s="470"/>
      <c r="IN161" s="470"/>
      <c r="IO161" s="470"/>
      <c r="IP161" s="470"/>
      <c r="IQ161" s="470"/>
    </row>
    <row r="162" spans="1:251" x14ac:dyDescent="0.2">
      <c r="A162" s="452" t="s">
        <v>10035</v>
      </c>
      <c r="B162" s="453" t="s">
        <v>10036</v>
      </c>
      <c r="C162" s="473" t="s">
        <v>386</v>
      </c>
      <c r="D162" s="455" t="s">
        <v>9783</v>
      </c>
      <c r="E162" s="456" t="s">
        <v>9734</v>
      </c>
      <c r="F162" s="456" t="s">
        <v>9988</v>
      </c>
      <c r="G162" s="456" t="s">
        <v>7180</v>
      </c>
      <c r="H162" s="457">
        <v>193.32000000000002</v>
      </c>
      <c r="I162" s="457">
        <f t="shared" si="11"/>
        <v>207.81900000000002</v>
      </c>
      <c r="J162" s="457" t="s">
        <v>9706</v>
      </c>
      <c r="K162" s="458">
        <v>0.3</v>
      </c>
      <c r="L162" s="459">
        <f t="shared" si="8"/>
        <v>135.32400000000001</v>
      </c>
      <c r="M162" s="460">
        <v>0.18</v>
      </c>
      <c r="N162" s="461">
        <f t="shared" si="9"/>
        <v>170.41158000000001</v>
      </c>
      <c r="O162" s="462">
        <v>0.1</v>
      </c>
      <c r="P162" s="463">
        <f t="shared" si="10"/>
        <v>187.03710000000001</v>
      </c>
      <c r="Q162" s="464"/>
      <c r="R162" s="476">
        <v>3</v>
      </c>
      <c r="S162" s="476">
        <v>3</v>
      </c>
      <c r="T162" s="476">
        <v>3</v>
      </c>
      <c r="U162" s="477"/>
      <c r="V162" s="470"/>
      <c r="W162" s="470"/>
      <c r="X162" s="470"/>
      <c r="Y162" s="470"/>
      <c r="Z162" s="470"/>
      <c r="AA162" s="470"/>
      <c r="AB162" s="470"/>
      <c r="AC162" s="470"/>
      <c r="AD162" s="470"/>
      <c r="AE162" s="470"/>
      <c r="AF162" s="470"/>
      <c r="AG162" s="470"/>
      <c r="AH162" s="470"/>
      <c r="AI162" s="470"/>
      <c r="AJ162" s="470"/>
      <c r="AK162" s="470"/>
      <c r="AL162" s="470"/>
      <c r="AM162" s="470"/>
      <c r="AN162" s="470"/>
      <c r="AO162" s="470"/>
      <c r="AP162" s="470"/>
      <c r="AQ162" s="470"/>
      <c r="AR162" s="470"/>
      <c r="AS162" s="470"/>
      <c r="AT162" s="470"/>
      <c r="AU162" s="470"/>
      <c r="AV162" s="470"/>
      <c r="AW162" s="470"/>
      <c r="AX162" s="470"/>
      <c r="AY162" s="470"/>
      <c r="AZ162" s="470"/>
      <c r="BA162" s="470"/>
      <c r="BB162" s="470"/>
      <c r="BC162" s="470"/>
      <c r="BD162" s="470"/>
      <c r="BE162" s="470"/>
      <c r="BF162" s="470"/>
      <c r="BG162" s="470"/>
      <c r="BH162" s="470"/>
      <c r="BI162" s="470"/>
      <c r="BJ162" s="470"/>
      <c r="BK162" s="470"/>
      <c r="BL162" s="470"/>
      <c r="BM162" s="470"/>
      <c r="BN162" s="470"/>
      <c r="BO162" s="470"/>
      <c r="BP162" s="470"/>
      <c r="BQ162" s="470"/>
      <c r="BR162" s="470"/>
      <c r="BS162" s="470"/>
      <c r="BT162" s="470"/>
      <c r="BU162" s="470"/>
      <c r="BV162" s="470"/>
      <c r="BW162" s="470"/>
      <c r="BX162" s="470"/>
      <c r="BY162" s="470"/>
      <c r="BZ162" s="470"/>
      <c r="CA162" s="470"/>
      <c r="CB162" s="470"/>
      <c r="CC162" s="470"/>
      <c r="CD162" s="470"/>
      <c r="CE162" s="470"/>
      <c r="CF162" s="470"/>
      <c r="CG162" s="470"/>
      <c r="CH162" s="470"/>
      <c r="CI162" s="470"/>
      <c r="CJ162" s="470"/>
      <c r="CK162" s="470"/>
      <c r="CL162" s="470"/>
      <c r="CM162" s="470"/>
      <c r="CN162" s="470"/>
      <c r="CO162" s="470"/>
      <c r="CP162" s="470"/>
      <c r="CQ162" s="470"/>
      <c r="CR162" s="470"/>
      <c r="CS162" s="470"/>
      <c r="CT162" s="470"/>
      <c r="CU162" s="470"/>
      <c r="CV162" s="470"/>
      <c r="CW162" s="470"/>
      <c r="CX162" s="470"/>
      <c r="CY162" s="470"/>
      <c r="CZ162" s="470"/>
      <c r="DA162" s="470"/>
      <c r="DB162" s="470"/>
      <c r="DC162" s="470"/>
      <c r="DD162" s="470"/>
      <c r="DE162" s="470"/>
      <c r="DF162" s="470"/>
      <c r="DG162" s="470"/>
      <c r="DH162" s="470"/>
      <c r="DI162" s="470"/>
      <c r="DJ162" s="470"/>
      <c r="DK162" s="470"/>
      <c r="DL162" s="470"/>
      <c r="DM162" s="470"/>
      <c r="DN162" s="470"/>
      <c r="DO162" s="470"/>
      <c r="DP162" s="470"/>
      <c r="DQ162" s="470"/>
      <c r="DR162" s="470"/>
      <c r="DS162" s="470"/>
      <c r="DT162" s="470"/>
      <c r="DU162" s="470"/>
      <c r="DV162" s="470"/>
      <c r="DW162" s="470"/>
      <c r="DX162" s="470"/>
      <c r="DY162" s="470"/>
      <c r="DZ162" s="470"/>
      <c r="EA162" s="470"/>
      <c r="EB162" s="470"/>
      <c r="EC162" s="470"/>
      <c r="ED162" s="470"/>
      <c r="EE162" s="470"/>
      <c r="EF162" s="470"/>
      <c r="EG162" s="470"/>
      <c r="EH162" s="470"/>
      <c r="EI162" s="470"/>
      <c r="EJ162" s="470"/>
      <c r="EK162" s="470"/>
      <c r="EL162" s="470"/>
      <c r="EM162" s="470"/>
      <c r="EN162" s="470"/>
      <c r="EO162" s="470"/>
      <c r="EP162" s="470"/>
      <c r="EQ162" s="470"/>
      <c r="ER162" s="470"/>
      <c r="ES162" s="470"/>
      <c r="ET162" s="470"/>
      <c r="EU162" s="470"/>
      <c r="EV162" s="470"/>
      <c r="EW162" s="470"/>
      <c r="EX162" s="470"/>
      <c r="EY162" s="470"/>
      <c r="EZ162" s="470"/>
      <c r="FA162" s="470"/>
      <c r="FB162" s="470"/>
      <c r="FC162" s="470"/>
      <c r="FD162" s="470"/>
      <c r="FE162" s="470"/>
      <c r="FF162" s="470"/>
      <c r="FG162" s="470"/>
      <c r="FH162" s="470"/>
      <c r="FI162" s="470"/>
      <c r="FJ162" s="470"/>
      <c r="FK162" s="470"/>
      <c r="FL162" s="470"/>
      <c r="FM162" s="470"/>
      <c r="FN162" s="470"/>
      <c r="FO162" s="470"/>
      <c r="FP162" s="470"/>
      <c r="FQ162" s="470"/>
      <c r="FR162" s="470"/>
      <c r="FS162" s="470"/>
      <c r="FT162" s="470"/>
      <c r="FU162" s="470"/>
      <c r="FV162" s="470"/>
      <c r="FW162" s="470"/>
      <c r="FX162" s="470"/>
      <c r="FY162" s="470"/>
      <c r="FZ162" s="470"/>
      <c r="GA162" s="470"/>
      <c r="GB162" s="470"/>
      <c r="GC162" s="470"/>
      <c r="GD162" s="470"/>
      <c r="GE162" s="470"/>
      <c r="GF162" s="470"/>
      <c r="GG162" s="470"/>
      <c r="GH162" s="470"/>
      <c r="GI162" s="470"/>
      <c r="GJ162" s="470"/>
      <c r="GK162" s="470"/>
      <c r="GL162" s="470"/>
      <c r="GM162" s="470"/>
      <c r="GN162" s="470"/>
      <c r="GO162" s="470"/>
      <c r="GP162" s="470"/>
      <c r="GQ162" s="470"/>
      <c r="GR162" s="470"/>
      <c r="GS162" s="470"/>
      <c r="GT162" s="470"/>
      <c r="GU162" s="470"/>
      <c r="GV162" s="470"/>
      <c r="GW162" s="470"/>
      <c r="GX162" s="470"/>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70"/>
      <c r="IF162" s="470"/>
      <c r="IG162" s="470"/>
      <c r="IH162" s="470"/>
      <c r="II162" s="470"/>
      <c r="IJ162" s="470"/>
      <c r="IK162" s="470"/>
      <c r="IL162" s="470"/>
      <c r="IM162" s="470"/>
      <c r="IN162" s="470"/>
      <c r="IO162" s="470"/>
      <c r="IP162" s="470"/>
      <c r="IQ162" s="470"/>
    </row>
    <row r="163" spans="1:251" x14ac:dyDescent="0.2">
      <c r="A163" s="452" t="s">
        <v>10037</v>
      </c>
      <c r="B163" s="453" t="s">
        <v>10038</v>
      </c>
      <c r="C163" s="473" t="s">
        <v>386</v>
      </c>
      <c r="D163" s="455" t="s">
        <v>9783</v>
      </c>
      <c r="E163" s="456" t="s">
        <v>9739</v>
      </c>
      <c r="F163" s="456" t="s">
        <v>9988</v>
      </c>
      <c r="G163" s="456" t="s">
        <v>7180</v>
      </c>
      <c r="H163" s="457">
        <v>193.32000000000002</v>
      </c>
      <c r="I163" s="457">
        <f t="shared" si="11"/>
        <v>207.81900000000002</v>
      </c>
      <c r="J163" s="457" t="s">
        <v>9706</v>
      </c>
      <c r="K163" s="458">
        <v>0.3</v>
      </c>
      <c r="L163" s="459">
        <f t="shared" si="8"/>
        <v>135.32400000000001</v>
      </c>
      <c r="M163" s="460">
        <v>0.18</v>
      </c>
      <c r="N163" s="461">
        <f t="shared" si="9"/>
        <v>170.41158000000001</v>
      </c>
      <c r="O163" s="462">
        <v>0.1</v>
      </c>
      <c r="P163" s="463">
        <f t="shared" si="10"/>
        <v>187.03710000000001</v>
      </c>
      <c r="Q163" s="464"/>
      <c r="R163" s="476">
        <v>3</v>
      </c>
      <c r="S163" s="476">
        <v>3</v>
      </c>
      <c r="T163" s="476">
        <v>3</v>
      </c>
      <c r="U163" s="477"/>
      <c r="V163" s="470"/>
      <c r="W163" s="470"/>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c r="AS163" s="470"/>
      <c r="AT163" s="470"/>
      <c r="AU163" s="470"/>
      <c r="AV163" s="470"/>
      <c r="AW163" s="470"/>
      <c r="AX163" s="470"/>
      <c r="AY163" s="470"/>
      <c r="AZ163" s="470"/>
      <c r="BA163" s="470"/>
      <c r="BB163" s="470"/>
      <c r="BC163" s="470"/>
      <c r="BD163" s="470"/>
      <c r="BE163" s="470"/>
      <c r="BF163" s="470"/>
      <c r="BG163" s="470"/>
      <c r="BH163" s="470"/>
      <c r="BI163" s="470"/>
      <c r="BJ163" s="470"/>
      <c r="BK163" s="470"/>
      <c r="BL163" s="470"/>
      <c r="BM163" s="470"/>
      <c r="BN163" s="470"/>
      <c r="BO163" s="470"/>
      <c r="BP163" s="470"/>
      <c r="BQ163" s="470"/>
      <c r="BR163" s="470"/>
      <c r="BS163" s="470"/>
      <c r="BT163" s="470"/>
      <c r="BU163" s="470"/>
      <c r="BV163" s="470"/>
      <c r="BW163" s="470"/>
      <c r="BX163" s="470"/>
      <c r="BY163" s="470"/>
      <c r="BZ163" s="470"/>
      <c r="CA163" s="470"/>
      <c r="CB163" s="470"/>
      <c r="CC163" s="470"/>
      <c r="CD163" s="470"/>
      <c r="CE163" s="470"/>
      <c r="CF163" s="470"/>
      <c r="CG163" s="470"/>
      <c r="CH163" s="470"/>
      <c r="CI163" s="470"/>
      <c r="CJ163" s="470"/>
      <c r="CK163" s="470"/>
      <c r="CL163" s="470"/>
      <c r="CM163" s="470"/>
      <c r="CN163" s="470"/>
      <c r="CO163" s="470"/>
      <c r="CP163" s="470"/>
      <c r="CQ163" s="470"/>
      <c r="CR163" s="470"/>
      <c r="CS163" s="470"/>
      <c r="CT163" s="470"/>
      <c r="CU163" s="470"/>
      <c r="CV163" s="470"/>
      <c r="CW163" s="470"/>
      <c r="CX163" s="470"/>
      <c r="CY163" s="470"/>
      <c r="CZ163" s="470"/>
      <c r="DA163" s="470"/>
      <c r="DB163" s="470"/>
      <c r="DC163" s="470"/>
      <c r="DD163" s="470"/>
      <c r="DE163" s="470"/>
      <c r="DF163" s="470"/>
      <c r="DG163" s="470"/>
      <c r="DH163" s="470"/>
      <c r="DI163" s="470"/>
      <c r="DJ163" s="470"/>
      <c r="DK163" s="470"/>
      <c r="DL163" s="470"/>
      <c r="DM163" s="470"/>
      <c r="DN163" s="470"/>
      <c r="DO163" s="470"/>
      <c r="DP163" s="470"/>
      <c r="DQ163" s="470"/>
      <c r="DR163" s="470"/>
      <c r="DS163" s="470"/>
      <c r="DT163" s="470"/>
      <c r="DU163" s="470"/>
      <c r="DV163" s="470"/>
      <c r="DW163" s="470"/>
      <c r="DX163" s="470"/>
      <c r="DY163" s="470"/>
      <c r="DZ163" s="470"/>
      <c r="EA163" s="470"/>
      <c r="EB163" s="470"/>
      <c r="EC163" s="470"/>
      <c r="ED163" s="470"/>
      <c r="EE163" s="470"/>
      <c r="EF163" s="470"/>
      <c r="EG163" s="470"/>
      <c r="EH163" s="470"/>
      <c r="EI163" s="470"/>
      <c r="EJ163" s="470"/>
      <c r="EK163" s="470"/>
      <c r="EL163" s="470"/>
      <c r="EM163" s="470"/>
      <c r="EN163" s="470"/>
      <c r="EO163" s="470"/>
      <c r="EP163" s="470"/>
      <c r="EQ163" s="470"/>
      <c r="ER163" s="470"/>
      <c r="ES163" s="470"/>
      <c r="ET163" s="470"/>
      <c r="EU163" s="470"/>
      <c r="EV163" s="470"/>
      <c r="EW163" s="470"/>
      <c r="EX163" s="470"/>
      <c r="EY163" s="470"/>
      <c r="EZ163" s="470"/>
      <c r="FA163" s="470"/>
      <c r="FB163" s="470"/>
      <c r="FC163" s="470"/>
      <c r="FD163" s="470"/>
      <c r="FE163" s="470"/>
      <c r="FF163" s="470"/>
      <c r="FG163" s="470"/>
      <c r="FH163" s="470"/>
      <c r="FI163" s="470"/>
      <c r="FJ163" s="470"/>
      <c r="FK163" s="470"/>
      <c r="FL163" s="470"/>
      <c r="FM163" s="470"/>
      <c r="FN163" s="470"/>
      <c r="FO163" s="470"/>
      <c r="FP163" s="470"/>
      <c r="FQ163" s="470"/>
      <c r="FR163" s="470"/>
      <c r="FS163" s="470"/>
      <c r="FT163" s="470"/>
      <c r="FU163" s="470"/>
      <c r="FV163" s="470"/>
      <c r="FW163" s="470"/>
      <c r="FX163" s="470"/>
      <c r="FY163" s="470"/>
      <c r="FZ163" s="470"/>
      <c r="GA163" s="470"/>
      <c r="GB163" s="470"/>
      <c r="GC163" s="470"/>
      <c r="GD163" s="470"/>
      <c r="GE163" s="470"/>
      <c r="GF163" s="470"/>
      <c r="GG163" s="470"/>
      <c r="GH163" s="470"/>
      <c r="GI163" s="470"/>
      <c r="GJ163" s="470"/>
      <c r="GK163" s="470"/>
      <c r="GL163" s="470"/>
      <c r="GM163" s="470"/>
      <c r="GN163" s="470"/>
      <c r="GO163" s="470"/>
      <c r="GP163" s="470"/>
      <c r="GQ163" s="470"/>
      <c r="GR163" s="470"/>
      <c r="GS163" s="470"/>
      <c r="GT163" s="470"/>
      <c r="GU163" s="470"/>
      <c r="GV163" s="470"/>
      <c r="GW163" s="470"/>
      <c r="GX163" s="470"/>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70"/>
      <c r="IF163" s="470"/>
      <c r="IG163" s="470"/>
      <c r="IH163" s="470"/>
      <c r="II163" s="470"/>
      <c r="IJ163" s="470"/>
      <c r="IK163" s="470"/>
      <c r="IL163" s="470"/>
      <c r="IM163" s="470"/>
      <c r="IN163" s="470"/>
      <c r="IO163" s="470"/>
      <c r="IP163" s="470"/>
      <c r="IQ163" s="470"/>
    </row>
    <row r="164" spans="1:251" x14ac:dyDescent="0.2">
      <c r="A164" s="452" t="s">
        <v>10039</v>
      </c>
      <c r="B164" s="453" t="s">
        <v>10040</v>
      </c>
      <c r="C164" s="473" t="s">
        <v>386</v>
      </c>
      <c r="D164" s="455" t="s">
        <v>9783</v>
      </c>
      <c r="E164" s="456" t="s">
        <v>9710</v>
      </c>
      <c r="F164" s="456" t="s">
        <v>9988</v>
      </c>
      <c r="G164" s="456" t="s">
        <v>7180</v>
      </c>
      <c r="H164" s="457">
        <v>193.32000000000002</v>
      </c>
      <c r="I164" s="457">
        <f t="shared" si="11"/>
        <v>207.81900000000002</v>
      </c>
      <c r="J164" s="457" t="s">
        <v>9706</v>
      </c>
      <c r="K164" s="458">
        <v>0.3</v>
      </c>
      <c r="L164" s="459">
        <f t="shared" si="8"/>
        <v>135.32400000000001</v>
      </c>
      <c r="M164" s="460">
        <v>0.18</v>
      </c>
      <c r="N164" s="461">
        <f t="shared" si="9"/>
        <v>170.41158000000001</v>
      </c>
      <c r="O164" s="462">
        <v>0.1</v>
      </c>
      <c r="P164" s="463">
        <f t="shared" si="10"/>
        <v>187.03710000000001</v>
      </c>
      <c r="Q164" s="464"/>
      <c r="R164" s="476">
        <v>3</v>
      </c>
      <c r="S164" s="476">
        <v>3</v>
      </c>
      <c r="T164" s="476">
        <v>3</v>
      </c>
      <c r="U164" s="477"/>
      <c r="V164" s="470"/>
      <c r="W164" s="470"/>
      <c r="X164" s="470"/>
      <c r="Y164" s="470"/>
      <c r="Z164" s="470"/>
      <c r="AA164" s="470"/>
      <c r="AB164" s="470"/>
      <c r="AC164" s="470"/>
      <c r="AD164" s="470"/>
      <c r="AE164" s="470"/>
      <c r="AF164" s="470"/>
      <c r="AG164" s="470"/>
      <c r="AH164" s="470"/>
      <c r="AI164" s="470"/>
      <c r="AJ164" s="470"/>
      <c r="AK164" s="470"/>
      <c r="AL164" s="470"/>
      <c r="AM164" s="470"/>
      <c r="AN164" s="470"/>
      <c r="AO164" s="470"/>
      <c r="AP164" s="470"/>
      <c r="AQ164" s="470"/>
      <c r="AR164" s="470"/>
      <c r="AS164" s="470"/>
      <c r="AT164" s="470"/>
      <c r="AU164" s="470"/>
      <c r="AV164" s="470"/>
      <c r="AW164" s="470"/>
      <c r="AX164" s="470"/>
      <c r="AY164" s="470"/>
      <c r="AZ164" s="470"/>
      <c r="BA164" s="470"/>
      <c r="BB164" s="470"/>
      <c r="BC164" s="470"/>
      <c r="BD164" s="470"/>
      <c r="BE164" s="470"/>
      <c r="BF164" s="470"/>
      <c r="BG164" s="470"/>
      <c r="BH164" s="470"/>
      <c r="BI164" s="470"/>
      <c r="BJ164" s="470"/>
      <c r="BK164" s="470"/>
      <c r="BL164" s="470"/>
      <c r="BM164" s="470"/>
      <c r="BN164" s="470"/>
      <c r="BO164" s="470"/>
      <c r="BP164" s="470"/>
      <c r="BQ164" s="470"/>
      <c r="BR164" s="470"/>
      <c r="BS164" s="470"/>
      <c r="BT164" s="470"/>
      <c r="BU164" s="470"/>
      <c r="BV164" s="470"/>
      <c r="BW164" s="470"/>
      <c r="BX164" s="470"/>
      <c r="BY164" s="470"/>
      <c r="BZ164" s="470"/>
      <c r="CA164" s="470"/>
      <c r="CB164" s="470"/>
      <c r="CC164" s="470"/>
      <c r="CD164" s="470"/>
      <c r="CE164" s="470"/>
      <c r="CF164" s="470"/>
      <c r="CG164" s="470"/>
      <c r="CH164" s="470"/>
      <c r="CI164" s="470"/>
      <c r="CJ164" s="470"/>
      <c r="CK164" s="470"/>
      <c r="CL164" s="470"/>
      <c r="CM164" s="470"/>
      <c r="CN164" s="470"/>
      <c r="CO164" s="470"/>
      <c r="CP164" s="470"/>
      <c r="CQ164" s="470"/>
      <c r="CR164" s="470"/>
      <c r="CS164" s="470"/>
      <c r="CT164" s="470"/>
      <c r="CU164" s="470"/>
      <c r="CV164" s="470"/>
      <c r="CW164" s="470"/>
      <c r="CX164" s="470"/>
      <c r="CY164" s="470"/>
      <c r="CZ164" s="470"/>
      <c r="DA164" s="470"/>
      <c r="DB164" s="470"/>
      <c r="DC164" s="470"/>
      <c r="DD164" s="470"/>
      <c r="DE164" s="470"/>
      <c r="DF164" s="470"/>
      <c r="DG164" s="470"/>
      <c r="DH164" s="470"/>
      <c r="DI164" s="470"/>
      <c r="DJ164" s="470"/>
      <c r="DK164" s="470"/>
      <c r="DL164" s="470"/>
      <c r="DM164" s="470"/>
      <c r="DN164" s="470"/>
      <c r="DO164" s="470"/>
      <c r="DP164" s="470"/>
      <c r="DQ164" s="470"/>
      <c r="DR164" s="470"/>
      <c r="DS164" s="470"/>
      <c r="DT164" s="470"/>
      <c r="DU164" s="470"/>
      <c r="DV164" s="470"/>
      <c r="DW164" s="470"/>
      <c r="DX164" s="470"/>
      <c r="DY164" s="470"/>
      <c r="DZ164" s="470"/>
      <c r="EA164" s="470"/>
      <c r="EB164" s="470"/>
      <c r="EC164" s="470"/>
      <c r="ED164" s="470"/>
      <c r="EE164" s="470"/>
      <c r="EF164" s="470"/>
      <c r="EG164" s="470"/>
      <c r="EH164" s="470"/>
      <c r="EI164" s="470"/>
      <c r="EJ164" s="470"/>
      <c r="EK164" s="470"/>
      <c r="EL164" s="470"/>
      <c r="EM164" s="470"/>
      <c r="EN164" s="470"/>
      <c r="EO164" s="470"/>
      <c r="EP164" s="470"/>
      <c r="EQ164" s="470"/>
      <c r="ER164" s="470"/>
      <c r="ES164" s="470"/>
      <c r="ET164" s="470"/>
      <c r="EU164" s="470"/>
      <c r="EV164" s="470"/>
      <c r="EW164" s="470"/>
      <c r="EX164" s="470"/>
      <c r="EY164" s="470"/>
      <c r="EZ164" s="470"/>
      <c r="FA164" s="470"/>
      <c r="FB164" s="470"/>
      <c r="FC164" s="470"/>
      <c r="FD164" s="470"/>
      <c r="FE164" s="470"/>
      <c r="FF164" s="470"/>
      <c r="FG164" s="470"/>
      <c r="FH164" s="470"/>
      <c r="FI164" s="470"/>
      <c r="FJ164" s="470"/>
      <c r="FK164" s="470"/>
      <c r="FL164" s="470"/>
      <c r="FM164" s="470"/>
      <c r="FN164" s="470"/>
      <c r="FO164" s="470"/>
      <c r="FP164" s="470"/>
      <c r="FQ164" s="470"/>
      <c r="FR164" s="470"/>
      <c r="FS164" s="470"/>
      <c r="FT164" s="470"/>
      <c r="FU164" s="470"/>
      <c r="FV164" s="470"/>
      <c r="FW164" s="470"/>
      <c r="FX164" s="470"/>
      <c r="FY164" s="470"/>
      <c r="FZ164" s="470"/>
      <c r="GA164" s="470"/>
      <c r="GB164" s="470"/>
      <c r="GC164" s="470"/>
      <c r="GD164" s="470"/>
      <c r="GE164" s="470"/>
      <c r="GF164" s="470"/>
      <c r="GG164" s="470"/>
      <c r="GH164" s="470"/>
      <c r="GI164" s="470"/>
      <c r="GJ164" s="470"/>
      <c r="GK164" s="470"/>
      <c r="GL164" s="470"/>
      <c r="GM164" s="470"/>
      <c r="GN164" s="470"/>
      <c r="GO164" s="470"/>
      <c r="GP164" s="470"/>
      <c r="GQ164" s="470"/>
      <c r="GR164" s="470"/>
      <c r="GS164" s="470"/>
      <c r="GT164" s="470"/>
      <c r="GU164" s="470"/>
      <c r="GV164" s="470"/>
      <c r="GW164" s="470"/>
      <c r="GX164" s="470"/>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70"/>
      <c r="IF164" s="470"/>
      <c r="IG164" s="470"/>
      <c r="IH164" s="470"/>
      <c r="II164" s="470"/>
      <c r="IJ164" s="470"/>
      <c r="IK164" s="470"/>
      <c r="IL164" s="470"/>
      <c r="IM164" s="470"/>
      <c r="IN164" s="470"/>
      <c r="IO164" s="470"/>
      <c r="IP164" s="470"/>
      <c r="IQ164" s="470"/>
    </row>
    <row r="165" spans="1:251" x14ac:dyDescent="0.2">
      <c r="A165" s="452" t="s">
        <v>10041</v>
      </c>
      <c r="B165" s="453" t="s">
        <v>10042</v>
      </c>
      <c r="C165" s="473" t="s">
        <v>386</v>
      </c>
      <c r="D165" s="455" t="s">
        <v>9783</v>
      </c>
      <c r="E165" s="456" t="s">
        <v>9710</v>
      </c>
      <c r="F165" s="456" t="s">
        <v>9988</v>
      </c>
      <c r="G165" s="456" t="s">
        <v>7180</v>
      </c>
      <c r="H165" s="457">
        <v>193.32000000000002</v>
      </c>
      <c r="I165" s="457">
        <f t="shared" si="11"/>
        <v>207.81900000000002</v>
      </c>
      <c r="J165" s="457" t="s">
        <v>9706</v>
      </c>
      <c r="K165" s="458">
        <v>0.3</v>
      </c>
      <c r="L165" s="459">
        <f t="shared" si="8"/>
        <v>135.32400000000001</v>
      </c>
      <c r="M165" s="460">
        <v>0.18</v>
      </c>
      <c r="N165" s="461">
        <f t="shared" si="9"/>
        <v>170.41158000000001</v>
      </c>
      <c r="O165" s="462">
        <v>0.1</v>
      </c>
      <c r="P165" s="463">
        <f t="shared" si="10"/>
        <v>187.03710000000001</v>
      </c>
      <c r="Q165" s="464"/>
      <c r="R165" s="476">
        <v>3</v>
      </c>
      <c r="S165" s="476">
        <v>3</v>
      </c>
      <c r="T165" s="476">
        <v>3</v>
      </c>
      <c r="U165" s="477"/>
      <c r="V165" s="470"/>
      <c r="W165" s="470"/>
      <c r="X165" s="470"/>
      <c r="Y165" s="470"/>
      <c r="Z165" s="470"/>
      <c r="AA165" s="470"/>
      <c r="AB165" s="470"/>
      <c r="AC165" s="470"/>
      <c r="AD165" s="470"/>
      <c r="AE165" s="470"/>
      <c r="AF165" s="470"/>
      <c r="AG165" s="470"/>
      <c r="AH165" s="470"/>
      <c r="AI165" s="470"/>
      <c r="AJ165" s="470"/>
      <c r="AK165" s="470"/>
      <c r="AL165" s="470"/>
      <c r="AM165" s="470"/>
      <c r="AN165" s="470"/>
      <c r="AO165" s="470"/>
      <c r="AP165" s="470"/>
      <c r="AQ165" s="470"/>
      <c r="AR165" s="470"/>
      <c r="AS165" s="470"/>
      <c r="AT165" s="470"/>
      <c r="AU165" s="470"/>
      <c r="AV165" s="470"/>
      <c r="AW165" s="470"/>
      <c r="AX165" s="470"/>
      <c r="AY165" s="470"/>
      <c r="AZ165" s="470"/>
      <c r="BA165" s="470"/>
      <c r="BB165" s="470"/>
      <c r="BC165" s="470"/>
      <c r="BD165" s="470"/>
      <c r="BE165" s="470"/>
      <c r="BF165" s="470"/>
      <c r="BG165" s="470"/>
      <c r="BH165" s="470"/>
      <c r="BI165" s="470"/>
      <c r="BJ165" s="470"/>
      <c r="BK165" s="470"/>
      <c r="BL165" s="470"/>
      <c r="BM165" s="470"/>
      <c r="BN165" s="470"/>
      <c r="BO165" s="470"/>
      <c r="BP165" s="470"/>
      <c r="BQ165" s="470"/>
      <c r="BR165" s="470"/>
      <c r="BS165" s="470"/>
      <c r="BT165" s="470"/>
      <c r="BU165" s="470"/>
      <c r="BV165" s="470"/>
      <c r="BW165" s="470"/>
      <c r="BX165" s="470"/>
      <c r="BY165" s="470"/>
      <c r="BZ165" s="470"/>
      <c r="CA165" s="470"/>
      <c r="CB165" s="470"/>
      <c r="CC165" s="470"/>
      <c r="CD165" s="470"/>
      <c r="CE165" s="470"/>
      <c r="CF165" s="470"/>
      <c r="CG165" s="470"/>
      <c r="CH165" s="470"/>
      <c r="CI165" s="470"/>
      <c r="CJ165" s="470"/>
      <c r="CK165" s="470"/>
      <c r="CL165" s="470"/>
      <c r="CM165" s="470"/>
      <c r="CN165" s="470"/>
      <c r="CO165" s="470"/>
      <c r="CP165" s="470"/>
      <c r="CQ165" s="470"/>
      <c r="CR165" s="470"/>
      <c r="CS165" s="470"/>
      <c r="CT165" s="470"/>
      <c r="CU165" s="470"/>
      <c r="CV165" s="470"/>
      <c r="CW165" s="470"/>
      <c r="CX165" s="470"/>
      <c r="CY165" s="470"/>
      <c r="CZ165" s="470"/>
      <c r="DA165" s="470"/>
      <c r="DB165" s="470"/>
      <c r="DC165" s="470"/>
      <c r="DD165" s="470"/>
      <c r="DE165" s="470"/>
      <c r="DF165" s="470"/>
      <c r="DG165" s="470"/>
      <c r="DH165" s="470"/>
      <c r="DI165" s="470"/>
      <c r="DJ165" s="470"/>
      <c r="DK165" s="470"/>
      <c r="DL165" s="470"/>
      <c r="DM165" s="470"/>
      <c r="DN165" s="470"/>
      <c r="DO165" s="470"/>
      <c r="DP165" s="470"/>
      <c r="DQ165" s="470"/>
      <c r="DR165" s="470"/>
      <c r="DS165" s="470"/>
      <c r="DT165" s="470"/>
      <c r="DU165" s="470"/>
      <c r="DV165" s="470"/>
      <c r="DW165" s="470"/>
      <c r="DX165" s="470"/>
      <c r="DY165" s="470"/>
      <c r="DZ165" s="470"/>
      <c r="EA165" s="470"/>
      <c r="EB165" s="470"/>
      <c r="EC165" s="470"/>
      <c r="ED165" s="470"/>
      <c r="EE165" s="470"/>
      <c r="EF165" s="470"/>
      <c r="EG165" s="470"/>
      <c r="EH165" s="470"/>
      <c r="EI165" s="470"/>
      <c r="EJ165" s="470"/>
      <c r="EK165" s="470"/>
      <c r="EL165" s="470"/>
      <c r="EM165" s="470"/>
      <c r="EN165" s="470"/>
      <c r="EO165" s="470"/>
      <c r="EP165" s="470"/>
      <c r="EQ165" s="470"/>
      <c r="ER165" s="470"/>
      <c r="ES165" s="470"/>
      <c r="ET165" s="470"/>
      <c r="EU165" s="470"/>
      <c r="EV165" s="470"/>
      <c r="EW165" s="470"/>
      <c r="EX165" s="470"/>
      <c r="EY165" s="470"/>
      <c r="EZ165" s="470"/>
      <c r="FA165" s="470"/>
      <c r="FB165" s="470"/>
      <c r="FC165" s="470"/>
      <c r="FD165" s="470"/>
      <c r="FE165" s="470"/>
      <c r="FF165" s="470"/>
      <c r="FG165" s="470"/>
      <c r="FH165" s="470"/>
      <c r="FI165" s="470"/>
      <c r="FJ165" s="470"/>
      <c r="FK165" s="470"/>
      <c r="FL165" s="470"/>
      <c r="FM165" s="470"/>
      <c r="FN165" s="470"/>
      <c r="FO165" s="470"/>
      <c r="FP165" s="470"/>
      <c r="FQ165" s="470"/>
      <c r="FR165" s="470"/>
      <c r="FS165" s="470"/>
      <c r="FT165" s="470"/>
      <c r="FU165" s="470"/>
      <c r="FV165" s="470"/>
      <c r="FW165" s="470"/>
      <c r="FX165" s="470"/>
      <c r="FY165" s="470"/>
      <c r="FZ165" s="470"/>
      <c r="GA165" s="470"/>
      <c r="GB165" s="470"/>
      <c r="GC165" s="470"/>
      <c r="GD165" s="470"/>
      <c r="GE165" s="470"/>
      <c r="GF165" s="470"/>
      <c r="GG165" s="470"/>
      <c r="GH165" s="470"/>
      <c r="GI165" s="470"/>
      <c r="GJ165" s="470"/>
      <c r="GK165" s="470"/>
      <c r="GL165" s="470"/>
      <c r="GM165" s="470"/>
      <c r="GN165" s="470"/>
      <c r="GO165" s="470"/>
      <c r="GP165" s="470"/>
      <c r="GQ165" s="470"/>
      <c r="GR165" s="470"/>
      <c r="GS165" s="470"/>
      <c r="GT165" s="470"/>
      <c r="GU165" s="470"/>
      <c r="GV165" s="470"/>
      <c r="GW165" s="470"/>
      <c r="GX165" s="470"/>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70"/>
      <c r="IF165" s="470"/>
      <c r="IG165" s="470"/>
      <c r="IH165" s="470"/>
      <c r="II165" s="470"/>
      <c r="IJ165" s="470"/>
      <c r="IK165" s="470"/>
      <c r="IL165" s="470"/>
      <c r="IM165" s="470"/>
      <c r="IN165" s="470"/>
      <c r="IO165" s="470"/>
      <c r="IP165" s="470"/>
      <c r="IQ165" s="470"/>
    </row>
    <row r="166" spans="1:251" x14ac:dyDescent="0.2">
      <c r="A166" s="453" t="s">
        <v>10043</v>
      </c>
      <c r="B166" s="453" t="s">
        <v>10044</v>
      </c>
      <c r="C166" s="473" t="s">
        <v>386</v>
      </c>
      <c r="D166" s="455" t="s">
        <v>9783</v>
      </c>
      <c r="E166" s="456" t="s">
        <v>9716</v>
      </c>
      <c r="F166" s="456" t="s">
        <v>9988</v>
      </c>
      <c r="G166" s="456" t="s">
        <v>7180</v>
      </c>
      <c r="H166" s="457">
        <v>198.72000000000003</v>
      </c>
      <c r="I166" s="457">
        <f t="shared" si="11"/>
        <v>213.62400000000002</v>
      </c>
      <c r="J166" s="457" t="s">
        <v>9706</v>
      </c>
      <c r="K166" s="458">
        <v>0.3</v>
      </c>
      <c r="L166" s="459">
        <f t="shared" si="8"/>
        <v>139.10400000000001</v>
      </c>
      <c r="M166" s="460">
        <v>0.18</v>
      </c>
      <c r="N166" s="461">
        <f t="shared" si="9"/>
        <v>175.17168000000004</v>
      </c>
      <c r="O166" s="462">
        <v>0.1</v>
      </c>
      <c r="P166" s="463">
        <f t="shared" si="10"/>
        <v>192.26160000000002</v>
      </c>
      <c r="Q166" s="464"/>
      <c r="R166" s="476">
        <v>3</v>
      </c>
      <c r="S166" s="476">
        <v>3</v>
      </c>
      <c r="T166" s="476">
        <v>3</v>
      </c>
      <c r="U166" s="477"/>
      <c r="V166" s="470"/>
      <c r="W166" s="470"/>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0"/>
      <c r="AY166" s="470"/>
      <c r="AZ166" s="470"/>
      <c r="BA166" s="470"/>
      <c r="BB166" s="470"/>
      <c r="BC166" s="470"/>
      <c r="BD166" s="470"/>
      <c r="BE166" s="470"/>
      <c r="BF166" s="470"/>
      <c r="BG166" s="470"/>
      <c r="BH166" s="470"/>
      <c r="BI166" s="470"/>
      <c r="BJ166" s="470"/>
      <c r="BK166" s="470"/>
      <c r="BL166" s="470"/>
      <c r="BM166" s="470"/>
      <c r="BN166" s="470"/>
      <c r="BO166" s="470"/>
      <c r="BP166" s="470"/>
      <c r="BQ166" s="470"/>
      <c r="BR166" s="470"/>
      <c r="BS166" s="470"/>
      <c r="BT166" s="470"/>
      <c r="BU166" s="470"/>
      <c r="BV166" s="470"/>
      <c r="BW166" s="470"/>
      <c r="BX166" s="470"/>
      <c r="BY166" s="470"/>
      <c r="BZ166" s="470"/>
      <c r="CA166" s="470"/>
      <c r="CB166" s="470"/>
      <c r="CC166" s="470"/>
      <c r="CD166" s="470"/>
      <c r="CE166" s="470"/>
      <c r="CF166" s="470"/>
      <c r="CG166" s="470"/>
      <c r="CH166" s="470"/>
      <c r="CI166" s="470"/>
      <c r="CJ166" s="470"/>
      <c r="CK166" s="470"/>
      <c r="CL166" s="470"/>
      <c r="CM166" s="470"/>
      <c r="CN166" s="470"/>
      <c r="CO166" s="470"/>
      <c r="CP166" s="470"/>
      <c r="CQ166" s="470"/>
      <c r="CR166" s="470"/>
      <c r="CS166" s="470"/>
      <c r="CT166" s="470"/>
      <c r="CU166" s="470"/>
      <c r="CV166" s="470"/>
      <c r="CW166" s="470"/>
      <c r="CX166" s="470"/>
      <c r="CY166" s="470"/>
      <c r="CZ166" s="470"/>
      <c r="DA166" s="470"/>
      <c r="DB166" s="470"/>
      <c r="DC166" s="470"/>
      <c r="DD166" s="470"/>
      <c r="DE166" s="470"/>
      <c r="DF166" s="470"/>
      <c r="DG166" s="470"/>
      <c r="DH166" s="470"/>
      <c r="DI166" s="470"/>
      <c r="DJ166" s="470"/>
      <c r="DK166" s="470"/>
      <c r="DL166" s="470"/>
      <c r="DM166" s="470"/>
      <c r="DN166" s="470"/>
      <c r="DO166" s="470"/>
      <c r="DP166" s="470"/>
      <c r="DQ166" s="470"/>
      <c r="DR166" s="470"/>
      <c r="DS166" s="470"/>
      <c r="DT166" s="470"/>
      <c r="DU166" s="470"/>
      <c r="DV166" s="470"/>
      <c r="DW166" s="470"/>
      <c r="DX166" s="470"/>
      <c r="DY166" s="470"/>
      <c r="DZ166" s="470"/>
      <c r="EA166" s="470"/>
      <c r="EB166" s="470"/>
      <c r="EC166" s="470"/>
      <c r="ED166" s="470"/>
      <c r="EE166" s="470"/>
      <c r="EF166" s="470"/>
      <c r="EG166" s="470"/>
      <c r="EH166" s="470"/>
      <c r="EI166" s="470"/>
      <c r="EJ166" s="470"/>
      <c r="EK166" s="470"/>
      <c r="EL166" s="470"/>
      <c r="EM166" s="470"/>
      <c r="EN166" s="470"/>
      <c r="EO166" s="470"/>
      <c r="EP166" s="470"/>
      <c r="EQ166" s="470"/>
      <c r="ER166" s="470"/>
      <c r="ES166" s="470"/>
      <c r="ET166" s="470"/>
      <c r="EU166" s="470"/>
      <c r="EV166" s="470"/>
      <c r="EW166" s="470"/>
      <c r="EX166" s="470"/>
      <c r="EY166" s="470"/>
      <c r="EZ166" s="470"/>
      <c r="FA166" s="470"/>
      <c r="FB166" s="470"/>
      <c r="FC166" s="470"/>
      <c r="FD166" s="470"/>
      <c r="FE166" s="470"/>
      <c r="FF166" s="470"/>
      <c r="FG166" s="470"/>
      <c r="FH166" s="470"/>
      <c r="FI166" s="470"/>
      <c r="FJ166" s="470"/>
      <c r="FK166" s="470"/>
      <c r="FL166" s="470"/>
      <c r="FM166" s="470"/>
      <c r="FN166" s="470"/>
      <c r="FO166" s="470"/>
      <c r="FP166" s="470"/>
      <c r="FQ166" s="470"/>
      <c r="FR166" s="470"/>
      <c r="FS166" s="470"/>
      <c r="FT166" s="470"/>
      <c r="FU166" s="470"/>
      <c r="FV166" s="470"/>
      <c r="FW166" s="470"/>
      <c r="FX166" s="470"/>
      <c r="FY166" s="470"/>
      <c r="FZ166" s="470"/>
      <c r="GA166" s="470"/>
      <c r="GB166" s="470"/>
      <c r="GC166" s="470"/>
      <c r="GD166" s="470"/>
      <c r="GE166" s="470"/>
      <c r="GF166" s="470"/>
      <c r="GG166" s="470"/>
      <c r="GH166" s="470"/>
      <c r="GI166" s="470"/>
      <c r="GJ166" s="470"/>
      <c r="GK166" s="470"/>
      <c r="GL166" s="470"/>
      <c r="GM166" s="470"/>
      <c r="GN166" s="470"/>
      <c r="GO166" s="470"/>
      <c r="GP166" s="470"/>
      <c r="GQ166" s="470"/>
      <c r="GR166" s="470"/>
      <c r="GS166" s="470"/>
      <c r="GT166" s="470"/>
      <c r="GU166" s="470"/>
      <c r="GV166" s="470"/>
      <c r="GW166" s="470"/>
      <c r="GX166" s="470"/>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70"/>
      <c r="IF166" s="470"/>
      <c r="IG166" s="470"/>
      <c r="IH166" s="470"/>
      <c r="II166" s="470"/>
      <c r="IJ166" s="470"/>
      <c r="IK166" s="470"/>
      <c r="IL166" s="470"/>
      <c r="IM166" s="470"/>
      <c r="IN166" s="470"/>
      <c r="IO166" s="470"/>
      <c r="IP166" s="470"/>
      <c r="IQ166" s="470"/>
    </row>
    <row r="167" spans="1:251" x14ac:dyDescent="0.2">
      <c r="A167" s="452" t="s">
        <v>10045</v>
      </c>
      <c r="B167" s="453" t="s">
        <v>10046</v>
      </c>
      <c r="C167" s="454" t="s">
        <v>386</v>
      </c>
      <c r="D167" s="455" t="s">
        <v>9783</v>
      </c>
      <c r="E167" s="456" t="s">
        <v>9716</v>
      </c>
      <c r="F167" s="456" t="s">
        <v>9988</v>
      </c>
      <c r="G167" s="456" t="s">
        <v>7180</v>
      </c>
      <c r="H167" s="457">
        <v>193.32000000000002</v>
      </c>
      <c r="I167" s="457">
        <f t="shared" si="11"/>
        <v>207.81900000000002</v>
      </c>
      <c r="J167" s="457" t="s">
        <v>9706</v>
      </c>
      <c r="K167" s="458">
        <v>0.3</v>
      </c>
      <c r="L167" s="459">
        <f t="shared" si="8"/>
        <v>135.32400000000001</v>
      </c>
      <c r="M167" s="460">
        <v>0.18</v>
      </c>
      <c r="N167" s="461">
        <f t="shared" si="9"/>
        <v>170.41158000000001</v>
      </c>
      <c r="O167" s="462">
        <v>0.1</v>
      </c>
      <c r="P167" s="463">
        <f t="shared" si="10"/>
        <v>187.03710000000001</v>
      </c>
      <c r="Q167" s="464"/>
      <c r="R167" s="476">
        <v>3</v>
      </c>
      <c r="S167" s="476">
        <v>3</v>
      </c>
      <c r="T167" s="476">
        <v>3</v>
      </c>
      <c r="U167" s="477"/>
      <c r="V167" s="470"/>
      <c r="W167" s="470"/>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c r="AS167" s="470"/>
      <c r="AT167" s="470"/>
      <c r="AU167" s="470"/>
      <c r="AV167" s="470"/>
      <c r="AW167" s="470"/>
      <c r="AX167" s="470"/>
      <c r="AY167" s="470"/>
      <c r="AZ167" s="470"/>
      <c r="BA167" s="470"/>
      <c r="BB167" s="470"/>
      <c r="BC167" s="470"/>
      <c r="BD167" s="470"/>
      <c r="BE167" s="470"/>
      <c r="BF167" s="470"/>
      <c r="BG167" s="470"/>
      <c r="BH167" s="470"/>
      <c r="BI167" s="470"/>
      <c r="BJ167" s="470"/>
      <c r="BK167" s="470"/>
      <c r="BL167" s="470"/>
      <c r="BM167" s="470"/>
      <c r="BN167" s="470"/>
      <c r="BO167" s="470"/>
      <c r="BP167" s="470"/>
      <c r="BQ167" s="470"/>
      <c r="BR167" s="470"/>
      <c r="BS167" s="470"/>
      <c r="BT167" s="470"/>
      <c r="BU167" s="470"/>
      <c r="BV167" s="470"/>
      <c r="BW167" s="470"/>
      <c r="BX167" s="470"/>
      <c r="BY167" s="470"/>
      <c r="BZ167" s="470"/>
      <c r="CA167" s="470"/>
      <c r="CB167" s="470"/>
      <c r="CC167" s="470"/>
      <c r="CD167" s="470"/>
      <c r="CE167" s="470"/>
      <c r="CF167" s="470"/>
      <c r="CG167" s="470"/>
      <c r="CH167" s="470"/>
      <c r="CI167" s="470"/>
      <c r="CJ167" s="470"/>
      <c r="CK167" s="470"/>
      <c r="CL167" s="470"/>
      <c r="CM167" s="470"/>
      <c r="CN167" s="470"/>
      <c r="CO167" s="470"/>
      <c r="CP167" s="470"/>
      <c r="CQ167" s="470"/>
      <c r="CR167" s="470"/>
      <c r="CS167" s="470"/>
      <c r="CT167" s="470"/>
      <c r="CU167" s="470"/>
      <c r="CV167" s="470"/>
      <c r="CW167" s="470"/>
      <c r="CX167" s="470"/>
      <c r="CY167" s="470"/>
      <c r="CZ167" s="470"/>
      <c r="DA167" s="470"/>
      <c r="DB167" s="470"/>
      <c r="DC167" s="470"/>
      <c r="DD167" s="470"/>
      <c r="DE167" s="470"/>
      <c r="DF167" s="470"/>
      <c r="DG167" s="470"/>
      <c r="DH167" s="470"/>
      <c r="DI167" s="470"/>
      <c r="DJ167" s="470"/>
      <c r="DK167" s="470"/>
      <c r="DL167" s="470"/>
      <c r="DM167" s="470"/>
      <c r="DN167" s="470"/>
      <c r="DO167" s="470"/>
      <c r="DP167" s="470"/>
      <c r="DQ167" s="470"/>
      <c r="DR167" s="470"/>
      <c r="DS167" s="470"/>
      <c r="DT167" s="470"/>
      <c r="DU167" s="470"/>
      <c r="DV167" s="470"/>
      <c r="DW167" s="470"/>
      <c r="DX167" s="470"/>
      <c r="DY167" s="470"/>
      <c r="DZ167" s="470"/>
      <c r="EA167" s="470"/>
      <c r="EB167" s="470"/>
      <c r="EC167" s="470"/>
      <c r="ED167" s="470"/>
      <c r="EE167" s="470"/>
      <c r="EF167" s="470"/>
      <c r="EG167" s="470"/>
      <c r="EH167" s="470"/>
      <c r="EI167" s="470"/>
      <c r="EJ167" s="470"/>
      <c r="EK167" s="470"/>
      <c r="EL167" s="470"/>
      <c r="EM167" s="470"/>
      <c r="EN167" s="470"/>
      <c r="EO167" s="470"/>
      <c r="EP167" s="470"/>
      <c r="EQ167" s="470"/>
      <c r="ER167" s="470"/>
      <c r="ES167" s="470"/>
      <c r="ET167" s="470"/>
      <c r="EU167" s="470"/>
      <c r="EV167" s="470"/>
      <c r="EW167" s="470"/>
      <c r="EX167" s="470"/>
      <c r="EY167" s="470"/>
      <c r="EZ167" s="470"/>
      <c r="FA167" s="470"/>
      <c r="FB167" s="470"/>
      <c r="FC167" s="470"/>
      <c r="FD167" s="470"/>
      <c r="FE167" s="470"/>
      <c r="FF167" s="470"/>
      <c r="FG167" s="470"/>
      <c r="FH167" s="470"/>
      <c r="FI167" s="470"/>
      <c r="FJ167" s="470"/>
      <c r="FK167" s="470"/>
      <c r="FL167" s="470"/>
      <c r="FM167" s="470"/>
      <c r="FN167" s="470"/>
      <c r="FO167" s="470"/>
      <c r="FP167" s="470"/>
      <c r="FQ167" s="470"/>
      <c r="FR167" s="470"/>
      <c r="FS167" s="470"/>
      <c r="FT167" s="470"/>
      <c r="FU167" s="470"/>
      <c r="FV167" s="470"/>
      <c r="FW167" s="470"/>
      <c r="FX167" s="470"/>
      <c r="FY167" s="470"/>
      <c r="FZ167" s="470"/>
      <c r="GA167" s="470"/>
      <c r="GB167" s="470"/>
      <c r="GC167" s="470"/>
      <c r="GD167" s="470"/>
      <c r="GE167" s="470"/>
      <c r="GF167" s="470"/>
      <c r="GG167" s="470"/>
      <c r="GH167" s="470"/>
      <c r="GI167" s="470"/>
      <c r="GJ167" s="470"/>
      <c r="GK167" s="470"/>
      <c r="GL167" s="470"/>
      <c r="GM167" s="470"/>
      <c r="GN167" s="470"/>
      <c r="GO167" s="470"/>
      <c r="GP167" s="470"/>
      <c r="GQ167" s="470"/>
      <c r="GR167" s="470"/>
      <c r="GS167" s="470"/>
      <c r="GT167" s="470"/>
      <c r="GU167" s="470"/>
      <c r="GV167" s="470"/>
      <c r="GW167" s="470"/>
      <c r="GX167" s="470"/>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70"/>
      <c r="IF167" s="470"/>
      <c r="IG167" s="470"/>
      <c r="IH167" s="470"/>
      <c r="II167" s="470"/>
      <c r="IJ167" s="470"/>
      <c r="IK167" s="470"/>
      <c r="IL167" s="470"/>
      <c r="IM167" s="470"/>
      <c r="IN167" s="470"/>
      <c r="IO167" s="470"/>
      <c r="IP167" s="470"/>
      <c r="IQ167" s="470"/>
    </row>
    <row r="168" spans="1:251" x14ac:dyDescent="0.2">
      <c r="A168" s="481" t="s">
        <v>10047</v>
      </c>
      <c r="B168" s="481" t="s">
        <v>10048</v>
      </c>
      <c r="C168" s="454" t="s">
        <v>386</v>
      </c>
      <c r="D168" s="455" t="s">
        <v>9783</v>
      </c>
      <c r="E168" s="456" t="s">
        <v>9710</v>
      </c>
      <c r="F168" s="456" t="s">
        <v>10049</v>
      </c>
      <c r="G168" s="456" t="s">
        <v>7180</v>
      </c>
      <c r="H168" s="457">
        <v>160.92000000000002</v>
      </c>
      <c r="I168" s="457">
        <f t="shared" si="11"/>
        <v>172.989</v>
      </c>
      <c r="J168" s="457" t="s">
        <v>9706</v>
      </c>
      <c r="K168" s="458">
        <v>0.3</v>
      </c>
      <c r="L168" s="459">
        <f t="shared" si="8"/>
        <v>112.64400000000001</v>
      </c>
      <c r="M168" s="460">
        <v>0.18</v>
      </c>
      <c r="N168" s="461">
        <f t="shared" si="9"/>
        <v>141.85098000000002</v>
      </c>
      <c r="O168" s="462">
        <v>0.1</v>
      </c>
      <c r="P168" s="463">
        <f t="shared" si="10"/>
        <v>155.6901</v>
      </c>
      <c r="Q168" s="464"/>
      <c r="R168" s="476">
        <v>3</v>
      </c>
      <c r="S168" s="476">
        <v>3</v>
      </c>
      <c r="T168" s="476">
        <v>3</v>
      </c>
      <c r="U168" s="477"/>
      <c r="V168" s="470"/>
      <c r="W168" s="470"/>
      <c r="X168" s="470"/>
      <c r="Y168" s="470"/>
      <c r="Z168" s="470"/>
      <c r="AA168" s="470"/>
      <c r="AB168" s="470"/>
      <c r="AC168" s="470"/>
      <c r="AD168" s="470"/>
      <c r="AE168" s="470"/>
      <c r="AF168" s="470"/>
      <c r="AG168" s="470"/>
      <c r="AH168" s="470"/>
      <c r="AI168" s="470"/>
      <c r="AJ168" s="470"/>
      <c r="AK168" s="470"/>
      <c r="AL168" s="470"/>
      <c r="AM168" s="470"/>
      <c r="AN168" s="470"/>
      <c r="AO168" s="470"/>
      <c r="AP168" s="470"/>
      <c r="AQ168" s="470"/>
      <c r="AR168" s="470"/>
      <c r="AS168" s="470"/>
      <c r="AT168" s="470"/>
      <c r="AU168" s="470"/>
      <c r="AV168" s="470"/>
      <c r="AW168" s="470"/>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c r="BS168" s="470"/>
      <c r="BT168" s="470"/>
      <c r="BU168" s="470"/>
      <c r="BV168" s="470"/>
      <c r="BW168" s="470"/>
      <c r="BX168" s="470"/>
      <c r="BY168" s="470"/>
      <c r="BZ168" s="470"/>
      <c r="CA168" s="470"/>
      <c r="CB168" s="470"/>
      <c r="CC168" s="470"/>
      <c r="CD168" s="470"/>
      <c r="CE168" s="470"/>
      <c r="CF168" s="470"/>
      <c r="CG168" s="470"/>
      <c r="CH168" s="470"/>
      <c r="CI168" s="470"/>
      <c r="CJ168" s="470"/>
      <c r="CK168" s="470"/>
      <c r="CL168" s="470"/>
      <c r="CM168" s="470"/>
      <c r="CN168" s="470"/>
      <c r="CO168" s="470"/>
      <c r="CP168" s="470"/>
      <c r="CQ168" s="470"/>
      <c r="CR168" s="470"/>
      <c r="CS168" s="470"/>
      <c r="CT168" s="470"/>
      <c r="CU168" s="470"/>
      <c r="CV168" s="470"/>
      <c r="CW168" s="470"/>
      <c r="CX168" s="470"/>
      <c r="CY168" s="470"/>
      <c r="CZ168" s="470"/>
      <c r="DA168" s="470"/>
      <c r="DB168" s="470"/>
      <c r="DC168" s="470"/>
      <c r="DD168" s="470"/>
      <c r="DE168" s="470"/>
      <c r="DF168" s="470"/>
      <c r="DG168" s="470"/>
      <c r="DH168" s="470"/>
      <c r="DI168" s="470"/>
      <c r="DJ168" s="470"/>
      <c r="DK168" s="470"/>
      <c r="DL168" s="470"/>
      <c r="DM168" s="470"/>
      <c r="DN168" s="470"/>
      <c r="DO168" s="470"/>
      <c r="DP168" s="470"/>
      <c r="DQ168" s="470"/>
      <c r="DR168" s="470"/>
      <c r="DS168" s="470"/>
      <c r="DT168" s="470"/>
      <c r="DU168" s="470"/>
      <c r="DV168" s="470"/>
      <c r="DW168" s="470"/>
      <c r="DX168" s="470"/>
      <c r="DY168" s="470"/>
      <c r="DZ168" s="470"/>
      <c r="EA168" s="470"/>
      <c r="EB168" s="470"/>
      <c r="EC168" s="470"/>
      <c r="ED168" s="470"/>
      <c r="EE168" s="470"/>
      <c r="EF168" s="470"/>
      <c r="EG168" s="470"/>
      <c r="EH168" s="470"/>
      <c r="EI168" s="470"/>
      <c r="EJ168" s="470"/>
      <c r="EK168" s="470"/>
      <c r="EL168" s="470"/>
      <c r="EM168" s="470"/>
      <c r="EN168" s="470"/>
      <c r="EO168" s="470"/>
      <c r="EP168" s="470"/>
      <c r="EQ168" s="470"/>
      <c r="ER168" s="470"/>
      <c r="ES168" s="470"/>
      <c r="ET168" s="470"/>
      <c r="EU168" s="470"/>
      <c r="EV168" s="470"/>
      <c r="EW168" s="470"/>
      <c r="EX168" s="470"/>
      <c r="EY168" s="470"/>
      <c r="EZ168" s="470"/>
      <c r="FA168" s="470"/>
      <c r="FB168" s="470"/>
      <c r="FC168" s="470"/>
      <c r="FD168" s="470"/>
      <c r="FE168" s="470"/>
      <c r="FF168" s="470"/>
      <c r="FG168" s="470"/>
      <c r="FH168" s="470"/>
      <c r="FI168" s="470"/>
      <c r="FJ168" s="470"/>
      <c r="FK168" s="470"/>
      <c r="FL168" s="470"/>
      <c r="FM168" s="470"/>
      <c r="FN168" s="470"/>
      <c r="FO168" s="470"/>
      <c r="FP168" s="470"/>
      <c r="FQ168" s="470"/>
      <c r="FR168" s="470"/>
      <c r="FS168" s="470"/>
      <c r="FT168" s="470"/>
      <c r="FU168" s="470"/>
      <c r="FV168" s="470"/>
      <c r="FW168" s="470"/>
      <c r="FX168" s="470"/>
      <c r="FY168" s="470"/>
      <c r="FZ168" s="470"/>
      <c r="GA168" s="470"/>
      <c r="GB168" s="470"/>
      <c r="GC168" s="470"/>
      <c r="GD168" s="470"/>
      <c r="GE168" s="470"/>
      <c r="GF168" s="470"/>
      <c r="GG168" s="470"/>
      <c r="GH168" s="470"/>
      <c r="GI168" s="470"/>
      <c r="GJ168" s="470"/>
      <c r="GK168" s="470"/>
      <c r="GL168" s="470"/>
      <c r="GM168" s="470"/>
      <c r="GN168" s="470"/>
      <c r="GO168" s="470"/>
      <c r="GP168" s="470"/>
      <c r="GQ168" s="470"/>
      <c r="GR168" s="470"/>
      <c r="GS168" s="470"/>
      <c r="GT168" s="470"/>
      <c r="GU168" s="470"/>
      <c r="GV168" s="470"/>
      <c r="GW168" s="470"/>
      <c r="GX168" s="470"/>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70"/>
      <c r="IF168" s="470"/>
      <c r="IG168" s="470"/>
      <c r="IH168" s="470"/>
      <c r="II168" s="470"/>
      <c r="IJ168" s="470"/>
      <c r="IK168" s="470"/>
      <c r="IL168" s="470"/>
      <c r="IM168" s="470"/>
      <c r="IN168" s="470"/>
      <c r="IO168" s="470"/>
      <c r="IP168" s="470"/>
      <c r="IQ168" s="470"/>
    </row>
    <row r="169" spans="1:251" x14ac:dyDescent="0.2">
      <c r="A169" s="481" t="s">
        <v>10050</v>
      </c>
      <c r="B169" s="481" t="s">
        <v>10051</v>
      </c>
      <c r="C169" s="454" t="s">
        <v>386</v>
      </c>
      <c r="D169" s="455" t="s">
        <v>9783</v>
      </c>
      <c r="E169" s="456" t="s">
        <v>9710</v>
      </c>
      <c r="F169" s="456" t="s">
        <v>10049</v>
      </c>
      <c r="G169" s="456" t="s">
        <v>7180</v>
      </c>
      <c r="H169" s="457">
        <v>160.92000000000002</v>
      </c>
      <c r="I169" s="457">
        <f t="shared" si="11"/>
        <v>172.989</v>
      </c>
      <c r="J169" s="457" t="s">
        <v>9706</v>
      </c>
      <c r="K169" s="458">
        <v>0.3</v>
      </c>
      <c r="L169" s="459">
        <f t="shared" si="8"/>
        <v>112.64400000000001</v>
      </c>
      <c r="M169" s="460">
        <v>0.18</v>
      </c>
      <c r="N169" s="461">
        <f t="shared" si="9"/>
        <v>141.85098000000002</v>
      </c>
      <c r="O169" s="462">
        <v>0.1</v>
      </c>
      <c r="P169" s="463">
        <f t="shared" si="10"/>
        <v>155.6901</v>
      </c>
      <c r="Q169" s="464"/>
      <c r="R169" s="476">
        <v>3</v>
      </c>
      <c r="S169" s="476">
        <v>3</v>
      </c>
      <c r="T169" s="476">
        <v>3</v>
      </c>
      <c r="U169" s="477"/>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c r="BS169" s="470"/>
      <c r="BT169" s="470"/>
      <c r="BU169" s="470"/>
      <c r="BV169" s="470"/>
      <c r="BW169" s="470"/>
      <c r="BX169" s="470"/>
      <c r="BY169" s="470"/>
      <c r="BZ169" s="470"/>
      <c r="CA169" s="470"/>
      <c r="CB169" s="470"/>
      <c r="CC169" s="470"/>
      <c r="CD169" s="470"/>
      <c r="CE169" s="470"/>
      <c r="CF169" s="470"/>
      <c r="CG169" s="470"/>
      <c r="CH169" s="470"/>
      <c r="CI169" s="470"/>
      <c r="CJ169" s="470"/>
      <c r="CK169" s="470"/>
      <c r="CL169" s="470"/>
      <c r="CM169" s="470"/>
      <c r="CN169" s="470"/>
      <c r="CO169" s="470"/>
      <c r="CP169" s="470"/>
      <c r="CQ169" s="470"/>
      <c r="CR169" s="470"/>
      <c r="CS169" s="470"/>
      <c r="CT169" s="470"/>
      <c r="CU169" s="470"/>
      <c r="CV169" s="470"/>
      <c r="CW169" s="470"/>
      <c r="CX169" s="470"/>
      <c r="CY169" s="470"/>
      <c r="CZ169" s="470"/>
      <c r="DA169" s="470"/>
      <c r="DB169" s="470"/>
      <c r="DC169" s="470"/>
      <c r="DD169" s="470"/>
      <c r="DE169" s="470"/>
      <c r="DF169" s="470"/>
      <c r="DG169" s="470"/>
      <c r="DH169" s="470"/>
      <c r="DI169" s="470"/>
      <c r="DJ169" s="470"/>
      <c r="DK169" s="470"/>
      <c r="DL169" s="470"/>
      <c r="DM169" s="470"/>
      <c r="DN169" s="470"/>
      <c r="DO169" s="470"/>
      <c r="DP169" s="470"/>
      <c r="DQ169" s="470"/>
      <c r="DR169" s="470"/>
      <c r="DS169" s="470"/>
      <c r="DT169" s="470"/>
      <c r="DU169" s="470"/>
      <c r="DV169" s="470"/>
      <c r="DW169" s="470"/>
      <c r="DX169" s="470"/>
      <c r="DY169" s="470"/>
      <c r="DZ169" s="470"/>
      <c r="EA169" s="470"/>
      <c r="EB169" s="470"/>
      <c r="EC169" s="470"/>
      <c r="ED169" s="470"/>
      <c r="EE169" s="470"/>
      <c r="EF169" s="470"/>
      <c r="EG169" s="470"/>
      <c r="EH169" s="470"/>
      <c r="EI169" s="470"/>
      <c r="EJ169" s="470"/>
      <c r="EK169" s="470"/>
      <c r="EL169" s="470"/>
      <c r="EM169" s="470"/>
      <c r="EN169" s="470"/>
      <c r="EO169" s="470"/>
      <c r="EP169" s="470"/>
      <c r="EQ169" s="470"/>
      <c r="ER169" s="470"/>
      <c r="ES169" s="470"/>
      <c r="ET169" s="470"/>
      <c r="EU169" s="470"/>
      <c r="EV169" s="470"/>
      <c r="EW169" s="470"/>
      <c r="EX169" s="470"/>
      <c r="EY169" s="470"/>
      <c r="EZ169" s="470"/>
      <c r="FA169" s="470"/>
      <c r="FB169" s="470"/>
      <c r="FC169" s="470"/>
      <c r="FD169" s="470"/>
      <c r="FE169" s="470"/>
      <c r="FF169" s="470"/>
      <c r="FG169" s="470"/>
      <c r="FH169" s="470"/>
      <c r="FI169" s="470"/>
      <c r="FJ169" s="470"/>
      <c r="FK169" s="470"/>
      <c r="FL169" s="470"/>
      <c r="FM169" s="470"/>
      <c r="FN169" s="470"/>
      <c r="FO169" s="470"/>
      <c r="FP169" s="470"/>
      <c r="FQ169" s="470"/>
      <c r="FR169" s="470"/>
      <c r="FS169" s="470"/>
      <c r="FT169" s="470"/>
      <c r="FU169" s="470"/>
      <c r="FV169" s="470"/>
      <c r="FW169" s="470"/>
      <c r="FX169" s="470"/>
      <c r="FY169" s="470"/>
      <c r="FZ169" s="470"/>
      <c r="GA169" s="470"/>
      <c r="GB169" s="470"/>
      <c r="GC169" s="470"/>
      <c r="GD169" s="470"/>
      <c r="GE169" s="470"/>
      <c r="GF169" s="470"/>
      <c r="GG169" s="470"/>
      <c r="GH169" s="470"/>
      <c r="GI169" s="470"/>
      <c r="GJ169" s="470"/>
      <c r="GK169" s="470"/>
      <c r="GL169" s="470"/>
      <c r="GM169" s="470"/>
      <c r="GN169" s="470"/>
      <c r="GO169" s="470"/>
      <c r="GP169" s="470"/>
      <c r="GQ169" s="470"/>
      <c r="GR169" s="470"/>
      <c r="GS169" s="470"/>
      <c r="GT169" s="470"/>
      <c r="GU169" s="470"/>
      <c r="GV169" s="470"/>
      <c r="GW169" s="470"/>
      <c r="GX169" s="470"/>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70"/>
      <c r="IF169" s="470"/>
      <c r="IG169" s="470"/>
      <c r="IH169" s="470"/>
      <c r="II169" s="470"/>
      <c r="IJ169" s="470"/>
      <c r="IK169" s="470"/>
      <c r="IL169" s="470"/>
      <c r="IM169" s="470"/>
      <c r="IN169" s="470"/>
      <c r="IO169" s="470"/>
      <c r="IP169" s="470"/>
      <c r="IQ169" s="470"/>
    </row>
    <row r="170" spans="1:251" x14ac:dyDescent="0.2">
      <c r="A170" s="481" t="s">
        <v>10052</v>
      </c>
      <c r="B170" s="481" t="s">
        <v>10053</v>
      </c>
      <c r="C170" s="454" t="s">
        <v>386</v>
      </c>
      <c r="D170" s="455" t="s">
        <v>9783</v>
      </c>
      <c r="E170" s="456" t="s">
        <v>9710</v>
      </c>
      <c r="F170" s="456" t="s">
        <v>10049</v>
      </c>
      <c r="G170" s="456" t="s">
        <v>7180</v>
      </c>
      <c r="H170" s="457">
        <v>160.92000000000002</v>
      </c>
      <c r="I170" s="457">
        <f t="shared" si="11"/>
        <v>172.989</v>
      </c>
      <c r="J170" s="457" t="s">
        <v>9706</v>
      </c>
      <c r="K170" s="458">
        <v>0.3</v>
      </c>
      <c r="L170" s="459">
        <f t="shared" si="8"/>
        <v>112.64400000000001</v>
      </c>
      <c r="M170" s="460">
        <v>0.18</v>
      </c>
      <c r="N170" s="461">
        <f t="shared" si="9"/>
        <v>141.85098000000002</v>
      </c>
      <c r="O170" s="462">
        <v>0.1</v>
      </c>
      <c r="P170" s="463">
        <f t="shared" si="10"/>
        <v>155.6901</v>
      </c>
      <c r="Q170" s="464"/>
      <c r="R170" s="476">
        <v>3</v>
      </c>
      <c r="S170" s="476">
        <v>3</v>
      </c>
      <c r="T170" s="476">
        <v>3</v>
      </c>
      <c r="U170" s="477"/>
      <c r="V170" s="470"/>
      <c r="W170" s="470"/>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c r="CA170" s="470"/>
      <c r="CB170" s="470"/>
      <c r="CC170" s="470"/>
      <c r="CD170" s="470"/>
      <c r="CE170" s="470"/>
      <c r="CF170" s="470"/>
      <c r="CG170" s="470"/>
      <c r="CH170" s="470"/>
      <c r="CI170" s="470"/>
      <c r="CJ170" s="470"/>
      <c r="CK170" s="470"/>
      <c r="CL170" s="470"/>
      <c r="CM170" s="470"/>
      <c r="CN170" s="470"/>
      <c r="CO170" s="470"/>
      <c r="CP170" s="470"/>
      <c r="CQ170" s="470"/>
      <c r="CR170" s="470"/>
      <c r="CS170" s="470"/>
      <c r="CT170" s="470"/>
      <c r="CU170" s="470"/>
      <c r="CV170" s="470"/>
      <c r="CW170" s="470"/>
      <c r="CX170" s="470"/>
      <c r="CY170" s="470"/>
      <c r="CZ170" s="470"/>
      <c r="DA170" s="470"/>
      <c r="DB170" s="470"/>
      <c r="DC170" s="470"/>
      <c r="DD170" s="470"/>
      <c r="DE170" s="470"/>
      <c r="DF170" s="470"/>
      <c r="DG170" s="470"/>
      <c r="DH170" s="470"/>
      <c r="DI170" s="470"/>
      <c r="DJ170" s="470"/>
      <c r="DK170" s="470"/>
      <c r="DL170" s="470"/>
      <c r="DM170" s="470"/>
      <c r="DN170" s="470"/>
      <c r="DO170" s="470"/>
      <c r="DP170" s="470"/>
      <c r="DQ170" s="470"/>
      <c r="DR170" s="470"/>
      <c r="DS170" s="470"/>
      <c r="DT170" s="470"/>
      <c r="DU170" s="470"/>
      <c r="DV170" s="470"/>
      <c r="DW170" s="470"/>
      <c r="DX170" s="470"/>
      <c r="DY170" s="470"/>
      <c r="DZ170" s="470"/>
      <c r="EA170" s="470"/>
      <c r="EB170" s="470"/>
      <c r="EC170" s="470"/>
      <c r="ED170" s="470"/>
      <c r="EE170" s="470"/>
      <c r="EF170" s="470"/>
      <c r="EG170" s="470"/>
      <c r="EH170" s="470"/>
      <c r="EI170" s="470"/>
      <c r="EJ170" s="470"/>
      <c r="EK170" s="470"/>
      <c r="EL170" s="470"/>
      <c r="EM170" s="470"/>
      <c r="EN170" s="470"/>
      <c r="EO170" s="470"/>
      <c r="EP170" s="470"/>
      <c r="EQ170" s="470"/>
      <c r="ER170" s="470"/>
      <c r="ES170" s="470"/>
      <c r="ET170" s="470"/>
      <c r="EU170" s="470"/>
      <c r="EV170" s="470"/>
      <c r="EW170" s="470"/>
      <c r="EX170" s="470"/>
      <c r="EY170" s="470"/>
      <c r="EZ170" s="470"/>
      <c r="FA170" s="470"/>
      <c r="FB170" s="470"/>
      <c r="FC170" s="470"/>
      <c r="FD170" s="470"/>
      <c r="FE170" s="470"/>
      <c r="FF170" s="470"/>
      <c r="FG170" s="470"/>
      <c r="FH170" s="470"/>
      <c r="FI170" s="470"/>
      <c r="FJ170" s="470"/>
      <c r="FK170" s="470"/>
      <c r="FL170" s="470"/>
      <c r="FM170" s="470"/>
      <c r="FN170" s="470"/>
      <c r="FO170" s="470"/>
      <c r="FP170" s="470"/>
      <c r="FQ170" s="470"/>
      <c r="FR170" s="470"/>
      <c r="FS170" s="470"/>
      <c r="FT170" s="470"/>
      <c r="FU170" s="470"/>
      <c r="FV170" s="470"/>
      <c r="FW170" s="470"/>
      <c r="FX170" s="470"/>
      <c r="FY170" s="470"/>
      <c r="FZ170" s="470"/>
      <c r="GA170" s="470"/>
      <c r="GB170" s="470"/>
      <c r="GC170" s="470"/>
      <c r="GD170" s="470"/>
      <c r="GE170" s="470"/>
      <c r="GF170" s="470"/>
      <c r="GG170" s="470"/>
      <c r="GH170" s="470"/>
      <c r="GI170" s="470"/>
      <c r="GJ170" s="470"/>
      <c r="GK170" s="470"/>
      <c r="GL170" s="470"/>
      <c r="GM170" s="470"/>
      <c r="GN170" s="470"/>
      <c r="GO170" s="470"/>
      <c r="GP170" s="470"/>
      <c r="GQ170" s="470"/>
      <c r="GR170" s="470"/>
      <c r="GS170" s="470"/>
      <c r="GT170" s="470"/>
      <c r="GU170" s="470"/>
      <c r="GV170" s="470"/>
      <c r="GW170" s="470"/>
      <c r="GX170" s="470"/>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70"/>
      <c r="IF170" s="470"/>
      <c r="IG170" s="470"/>
      <c r="IH170" s="470"/>
      <c r="II170" s="470"/>
      <c r="IJ170" s="470"/>
      <c r="IK170" s="470"/>
      <c r="IL170" s="470"/>
      <c r="IM170" s="470"/>
      <c r="IN170" s="470"/>
      <c r="IO170" s="470"/>
      <c r="IP170" s="470"/>
      <c r="IQ170" s="470"/>
    </row>
    <row r="171" spans="1:251" x14ac:dyDescent="0.2">
      <c r="A171" s="481" t="s">
        <v>10054</v>
      </c>
      <c r="B171" s="481" t="s">
        <v>10055</v>
      </c>
      <c r="C171" s="454" t="s">
        <v>386</v>
      </c>
      <c r="D171" s="455" t="s">
        <v>9783</v>
      </c>
      <c r="E171" s="456" t="s">
        <v>9710</v>
      </c>
      <c r="F171" s="456" t="s">
        <v>10049</v>
      </c>
      <c r="G171" s="456" t="s">
        <v>7180</v>
      </c>
      <c r="H171" s="457">
        <v>160.92000000000002</v>
      </c>
      <c r="I171" s="457">
        <f t="shared" si="11"/>
        <v>172.989</v>
      </c>
      <c r="J171" s="457" t="s">
        <v>9706</v>
      </c>
      <c r="K171" s="458">
        <v>0.3</v>
      </c>
      <c r="L171" s="459">
        <f t="shared" si="8"/>
        <v>112.64400000000001</v>
      </c>
      <c r="M171" s="460">
        <v>0.18</v>
      </c>
      <c r="N171" s="461">
        <f t="shared" si="9"/>
        <v>141.85098000000002</v>
      </c>
      <c r="O171" s="462">
        <v>0.1</v>
      </c>
      <c r="P171" s="463">
        <f t="shared" si="10"/>
        <v>155.6901</v>
      </c>
      <c r="Q171" s="464"/>
      <c r="R171" s="476">
        <v>3</v>
      </c>
      <c r="S171" s="476">
        <v>3</v>
      </c>
      <c r="T171" s="476">
        <v>3</v>
      </c>
      <c r="U171" s="477"/>
      <c r="V171" s="470"/>
      <c r="W171" s="470"/>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470"/>
      <c r="AZ171" s="470"/>
      <c r="BA171" s="470"/>
      <c r="BB171" s="470"/>
      <c r="BC171" s="470"/>
      <c r="BD171" s="470"/>
      <c r="BE171" s="470"/>
      <c r="BF171" s="470"/>
      <c r="BG171" s="470"/>
      <c r="BH171" s="470"/>
      <c r="BI171" s="470"/>
      <c r="BJ171" s="470"/>
      <c r="BK171" s="470"/>
      <c r="BL171" s="470"/>
      <c r="BM171" s="470"/>
      <c r="BN171" s="470"/>
      <c r="BO171" s="470"/>
      <c r="BP171" s="470"/>
      <c r="BQ171" s="470"/>
      <c r="BR171" s="470"/>
      <c r="BS171" s="470"/>
      <c r="BT171" s="470"/>
      <c r="BU171" s="470"/>
      <c r="BV171" s="470"/>
      <c r="BW171" s="470"/>
      <c r="BX171" s="470"/>
      <c r="BY171" s="470"/>
      <c r="BZ171" s="470"/>
      <c r="CA171" s="470"/>
      <c r="CB171" s="470"/>
      <c r="CC171" s="470"/>
      <c r="CD171" s="470"/>
      <c r="CE171" s="470"/>
      <c r="CF171" s="470"/>
      <c r="CG171" s="470"/>
      <c r="CH171" s="470"/>
      <c r="CI171" s="470"/>
      <c r="CJ171" s="470"/>
      <c r="CK171" s="470"/>
      <c r="CL171" s="470"/>
      <c r="CM171" s="470"/>
      <c r="CN171" s="470"/>
      <c r="CO171" s="470"/>
      <c r="CP171" s="470"/>
      <c r="CQ171" s="470"/>
      <c r="CR171" s="470"/>
      <c r="CS171" s="470"/>
      <c r="CT171" s="470"/>
      <c r="CU171" s="470"/>
      <c r="CV171" s="470"/>
      <c r="CW171" s="470"/>
      <c r="CX171" s="470"/>
      <c r="CY171" s="470"/>
      <c r="CZ171" s="470"/>
      <c r="DA171" s="470"/>
      <c r="DB171" s="470"/>
      <c r="DC171" s="470"/>
      <c r="DD171" s="470"/>
      <c r="DE171" s="470"/>
      <c r="DF171" s="470"/>
      <c r="DG171" s="470"/>
      <c r="DH171" s="470"/>
      <c r="DI171" s="470"/>
      <c r="DJ171" s="470"/>
      <c r="DK171" s="470"/>
      <c r="DL171" s="470"/>
      <c r="DM171" s="470"/>
      <c r="DN171" s="470"/>
      <c r="DO171" s="470"/>
      <c r="DP171" s="470"/>
      <c r="DQ171" s="470"/>
      <c r="DR171" s="470"/>
      <c r="DS171" s="470"/>
      <c r="DT171" s="470"/>
      <c r="DU171" s="470"/>
      <c r="DV171" s="470"/>
      <c r="DW171" s="470"/>
      <c r="DX171" s="470"/>
      <c r="DY171" s="470"/>
      <c r="DZ171" s="470"/>
      <c r="EA171" s="470"/>
      <c r="EB171" s="470"/>
      <c r="EC171" s="470"/>
      <c r="ED171" s="470"/>
      <c r="EE171" s="470"/>
      <c r="EF171" s="470"/>
      <c r="EG171" s="470"/>
      <c r="EH171" s="470"/>
      <c r="EI171" s="470"/>
      <c r="EJ171" s="470"/>
      <c r="EK171" s="470"/>
      <c r="EL171" s="470"/>
      <c r="EM171" s="470"/>
      <c r="EN171" s="470"/>
      <c r="EO171" s="470"/>
      <c r="EP171" s="470"/>
      <c r="EQ171" s="470"/>
      <c r="ER171" s="470"/>
      <c r="ES171" s="470"/>
      <c r="ET171" s="470"/>
      <c r="EU171" s="470"/>
      <c r="EV171" s="470"/>
      <c r="EW171" s="470"/>
      <c r="EX171" s="470"/>
      <c r="EY171" s="470"/>
      <c r="EZ171" s="470"/>
      <c r="FA171" s="470"/>
      <c r="FB171" s="470"/>
      <c r="FC171" s="470"/>
      <c r="FD171" s="470"/>
      <c r="FE171" s="470"/>
      <c r="FF171" s="470"/>
      <c r="FG171" s="470"/>
      <c r="FH171" s="470"/>
      <c r="FI171" s="470"/>
      <c r="FJ171" s="470"/>
      <c r="FK171" s="470"/>
      <c r="FL171" s="470"/>
      <c r="FM171" s="470"/>
      <c r="FN171" s="470"/>
      <c r="FO171" s="470"/>
      <c r="FP171" s="470"/>
      <c r="FQ171" s="470"/>
      <c r="FR171" s="470"/>
      <c r="FS171" s="470"/>
      <c r="FT171" s="470"/>
      <c r="FU171" s="470"/>
      <c r="FV171" s="470"/>
      <c r="FW171" s="470"/>
      <c r="FX171" s="470"/>
      <c r="FY171" s="470"/>
      <c r="FZ171" s="470"/>
      <c r="GA171" s="470"/>
      <c r="GB171" s="470"/>
      <c r="GC171" s="470"/>
      <c r="GD171" s="470"/>
      <c r="GE171" s="470"/>
      <c r="GF171" s="470"/>
      <c r="GG171" s="470"/>
      <c r="GH171" s="470"/>
      <c r="GI171" s="470"/>
      <c r="GJ171" s="470"/>
      <c r="GK171" s="470"/>
      <c r="GL171" s="470"/>
      <c r="GM171" s="470"/>
      <c r="GN171" s="470"/>
      <c r="GO171" s="470"/>
      <c r="GP171" s="470"/>
      <c r="GQ171" s="470"/>
      <c r="GR171" s="470"/>
      <c r="GS171" s="470"/>
      <c r="GT171" s="470"/>
      <c r="GU171" s="470"/>
      <c r="GV171" s="470"/>
      <c r="GW171" s="470"/>
      <c r="GX171" s="470"/>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70"/>
      <c r="IF171" s="470"/>
      <c r="IG171" s="470"/>
      <c r="IH171" s="470"/>
      <c r="II171" s="470"/>
      <c r="IJ171" s="470"/>
      <c r="IK171" s="470"/>
      <c r="IL171" s="470"/>
      <c r="IM171" s="470"/>
      <c r="IN171" s="470"/>
      <c r="IO171" s="470"/>
      <c r="IP171" s="470"/>
      <c r="IQ171" s="470"/>
    </row>
    <row r="172" spans="1:251" x14ac:dyDescent="0.2">
      <c r="A172" s="481" t="s">
        <v>10056</v>
      </c>
      <c r="B172" s="481" t="s">
        <v>10057</v>
      </c>
      <c r="C172" s="454" t="s">
        <v>386</v>
      </c>
      <c r="D172" s="455" t="s">
        <v>9783</v>
      </c>
      <c r="E172" s="456" t="s">
        <v>9710</v>
      </c>
      <c r="F172" s="456" t="s">
        <v>10049</v>
      </c>
      <c r="G172" s="456" t="s">
        <v>7180</v>
      </c>
      <c r="H172" s="457">
        <v>160.92000000000002</v>
      </c>
      <c r="I172" s="457">
        <f t="shared" si="11"/>
        <v>172.989</v>
      </c>
      <c r="J172" s="457" t="s">
        <v>9706</v>
      </c>
      <c r="K172" s="458">
        <v>0.3</v>
      </c>
      <c r="L172" s="459">
        <f t="shared" si="8"/>
        <v>112.64400000000001</v>
      </c>
      <c r="M172" s="460">
        <v>0.18</v>
      </c>
      <c r="N172" s="461">
        <f t="shared" si="9"/>
        <v>141.85098000000002</v>
      </c>
      <c r="O172" s="462">
        <v>0.1</v>
      </c>
      <c r="P172" s="463">
        <f t="shared" si="10"/>
        <v>155.6901</v>
      </c>
      <c r="Q172" s="464"/>
      <c r="R172" s="476">
        <v>3</v>
      </c>
      <c r="S172" s="476">
        <v>3</v>
      </c>
      <c r="T172" s="476">
        <v>3</v>
      </c>
      <c r="U172" s="477"/>
      <c r="V172" s="470"/>
      <c r="W172" s="470"/>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470"/>
      <c r="AZ172" s="470"/>
      <c r="BA172" s="470"/>
      <c r="BB172" s="470"/>
      <c r="BC172" s="470"/>
      <c r="BD172" s="470"/>
      <c r="BE172" s="470"/>
      <c r="BF172" s="470"/>
      <c r="BG172" s="470"/>
      <c r="BH172" s="470"/>
      <c r="BI172" s="470"/>
      <c r="BJ172" s="470"/>
      <c r="BK172" s="470"/>
      <c r="BL172" s="470"/>
      <c r="BM172" s="470"/>
      <c r="BN172" s="470"/>
      <c r="BO172" s="470"/>
      <c r="BP172" s="470"/>
      <c r="BQ172" s="470"/>
      <c r="BR172" s="470"/>
      <c r="BS172" s="470"/>
      <c r="BT172" s="470"/>
      <c r="BU172" s="470"/>
      <c r="BV172" s="470"/>
      <c r="BW172" s="470"/>
      <c r="BX172" s="470"/>
      <c r="BY172" s="470"/>
      <c r="BZ172" s="470"/>
      <c r="CA172" s="470"/>
      <c r="CB172" s="470"/>
      <c r="CC172" s="470"/>
      <c r="CD172" s="470"/>
      <c r="CE172" s="470"/>
      <c r="CF172" s="470"/>
      <c r="CG172" s="470"/>
      <c r="CH172" s="470"/>
      <c r="CI172" s="470"/>
      <c r="CJ172" s="470"/>
      <c r="CK172" s="470"/>
      <c r="CL172" s="470"/>
      <c r="CM172" s="470"/>
      <c r="CN172" s="470"/>
      <c r="CO172" s="470"/>
      <c r="CP172" s="470"/>
      <c r="CQ172" s="470"/>
      <c r="CR172" s="470"/>
      <c r="CS172" s="470"/>
      <c r="CT172" s="470"/>
      <c r="CU172" s="470"/>
      <c r="CV172" s="470"/>
      <c r="CW172" s="470"/>
      <c r="CX172" s="470"/>
      <c r="CY172" s="470"/>
      <c r="CZ172" s="470"/>
      <c r="DA172" s="470"/>
      <c r="DB172" s="470"/>
      <c r="DC172" s="470"/>
      <c r="DD172" s="470"/>
      <c r="DE172" s="470"/>
      <c r="DF172" s="470"/>
      <c r="DG172" s="470"/>
      <c r="DH172" s="470"/>
      <c r="DI172" s="470"/>
      <c r="DJ172" s="470"/>
      <c r="DK172" s="470"/>
      <c r="DL172" s="470"/>
      <c r="DM172" s="470"/>
      <c r="DN172" s="470"/>
      <c r="DO172" s="470"/>
      <c r="DP172" s="470"/>
      <c r="DQ172" s="470"/>
      <c r="DR172" s="470"/>
      <c r="DS172" s="470"/>
      <c r="DT172" s="470"/>
      <c r="DU172" s="470"/>
      <c r="DV172" s="470"/>
      <c r="DW172" s="470"/>
      <c r="DX172" s="470"/>
      <c r="DY172" s="470"/>
      <c r="DZ172" s="470"/>
      <c r="EA172" s="470"/>
      <c r="EB172" s="470"/>
      <c r="EC172" s="470"/>
      <c r="ED172" s="470"/>
      <c r="EE172" s="470"/>
      <c r="EF172" s="470"/>
      <c r="EG172" s="470"/>
      <c r="EH172" s="470"/>
      <c r="EI172" s="470"/>
      <c r="EJ172" s="470"/>
      <c r="EK172" s="470"/>
      <c r="EL172" s="470"/>
      <c r="EM172" s="470"/>
      <c r="EN172" s="470"/>
      <c r="EO172" s="470"/>
      <c r="EP172" s="470"/>
      <c r="EQ172" s="470"/>
      <c r="ER172" s="470"/>
      <c r="ES172" s="470"/>
      <c r="ET172" s="470"/>
      <c r="EU172" s="470"/>
      <c r="EV172" s="470"/>
      <c r="EW172" s="470"/>
      <c r="EX172" s="470"/>
      <c r="EY172" s="470"/>
      <c r="EZ172" s="470"/>
      <c r="FA172" s="470"/>
      <c r="FB172" s="470"/>
      <c r="FC172" s="470"/>
      <c r="FD172" s="470"/>
      <c r="FE172" s="470"/>
      <c r="FF172" s="470"/>
      <c r="FG172" s="470"/>
      <c r="FH172" s="470"/>
      <c r="FI172" s="470"/>
      <c r="FJ172" s="470"/>
      <c r="FK172" s="470"/>
      <c r="FL172" s="470"/>
      <c r="FM172" s="470"/>
      <c r="FN172" s="470"/>
      <c r="FO172" s="470"/>
      <c r="FP172" s="470"/>
      <c r="FQ172" s="470"/>
      <c r="FR172" s="470"/>
      <c r="FS172" s="470"/>
      <c r="FT172" s="470"/>
      <c r="FU172" s="470"/>
      <c r="FV172" s="470"/>
      <c r="FW172" s="470"/>
      <c r="FX172" s="470"/>
      <c r="FY172" s="470"/>
      <c r="FZ172" s="470"/>
      <c r="GA172" s="470"/>
      <c r="GB172" s="470"/>
      <c r="GC172" s="470"/>
      <c r="GD172" s="470"/>
      <c r="GE172" s="470"/>
      <c r="GF172" s="470"/>
      <c r="GG172" s="470"/>
      <c r="GH172" s="470"/>
      <c r="GI172" s="470"/>
      <c r="GJ172" s="470"/>
      <c r="GK172" s="470"/>
      <c r="GL172" s="470"/>
      <c r="GM172" s="470"/>
      <c r="GN172" s="470"/>
      <c r="GO172" s="470"/>
      <c r="GP172" s="470"/>
      <c r="GQ172" s="470"/>
      <c r="GR172" s="470"/>
      <c r="GS172" s="470"/>
      <c r="GT172" s="470"/>
      <c r="GU172" s="470"/>
      <c r="GV172" s="470"/>
      <c r="GW172" s="470"/>
      <c r="GX172" s="470"/>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70"/>
      <c r="IF172" s="470"/>
      <c r="IG172" s="470"/>
      <c r="IH172" s="470"/>
      <c r="II172" s="470"/>
      <c r="IJ172" s="470"/>
      <c r="IK172" s="470"/>
      <c r="IL172" s="470"/>
      <c r="IM172" s="470"/>
      <c r="IN172" s="470"/>
      <c r="IO172" s="470"/>
      <c r="IP172" s="470"/>
      <c r="IQ172" s="470"/>
    </row>
    <row r="173" spans="1:251" x14ac:dyDescent="0.2">
      <c r="A173" s="481" t="s">
        <v>10058</v>
      </c>
      <c r="B173" s="481" t="s">
        <v>10059</v>
      </c>
      <c r="C173" s="454" t="s">
        <v>386</v>
      </c>
      <c r="D173" s="455" t="s">
        <v>9783</v>
      </c>
      <c r="E173" s="456" t="s">
        <v>9710</v>
      </c>
      <c r="F173" s="456" t="s">
        <v>10049</v>
      </c>
      <c r="G173" s="456" t="s">
        <v>7180</v>
      </c>
      <c r="H173" s="457">
        <v>160.92000000000002</v>
      </c>
      <c r="I173" s="457">
        <f t="shared" si="11"/>
        <v>172.989</v>
      </c>
      <c r="J173" s="457" t="s">
        <v>9706</v>
      </c>
      <c r="K173" s="458">
        <v>0.3</v>
      </c>
      <c r="L173" s="459">
        <f t="shared" si="8"/>
        <v>112.64400000000001</v>
      </c>
      <c r="M173" s="460">
        <v>0.18</v>
      </c>
      <c r="N173" s="461">
        <f t="shared" si="9"/>
        <v>141.85098000000002</v>
      </c>
      <c r="O173" s="462">
        <v>0.1</v>
      </c>
      <c r="P173" s="463">
        <f t="shared" si="10"/>
        <v>155.6901</v>
      </c>
      <c r="Q173" s="464"/>
      <c r="R173" s="476">
        <v>3</v>
      </c>
      <c r="S173" s="476">
        <v>3</v>
      </c>
      <c r="T173" s="476">
        <v>3</v>
      </c>
      <c r="U173" s="477"/>
      <c r="V173" s="470"/>
      <c r="W173" s="470"/>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470"/>
      <c r="AZ173" s="470"/>
      <c r="BA173" s="470"/>
      <c r="BB173" s="470"/>
      <c r="BC173" s="470"/>
      <c r="BD173" s="470"/>
      <c r="BE173" s="470"/>
      <c r="BF173" s="470"/>
      <c r="BG173" s="470"/>
      <c r="BH173" s="470"/>
      <c r="BI173" s="470"/>
      <c r="BJ173" s="470"/>
      <c r="BK173" s="470"/>
      <c r="BL173" s="470"/>
      <c r="BM173" s="470"/>
      <c r="BN173" s="470"/>
      <c r="BO173" s="470"/>
      <c r="BP173" s="470"/>
      <c r="BQ173" s="470"/>
      <c r="BR173" s="470"/>
      <c r="BS173" s="470"/>
      <c r="BT173" s="470"/>
      <c r="BU173" s="470"/>
      <c r="BV173" s="470"/>
      <c r="BW173" s="470"/>
      <c r="BX173" s="470"/>
      <c r="BY173" s="470"/>
      <c r="BZ173" s="470"/>
      <c r="CA173" s="470"/>
      <c r="CB173" s="470"/>
      <c r="CC173" s="470"/>
      <c r="CD173" s="470"/>
      <c r="CE173" s="470"/>
      <c r="CF173" s="470"/>
      <c r="CG173" s="470"/>
      <c r="CH173" s="470"/>
      <c r="CI173" s="470"/>
      <c r="CJ173" s="470"/>
      <c r="CK173" s="470"/>
      <c r="CL173" s="470"/>
      <c r="CM173" s="470"/>
      <c r="CN173" s="470"/>
      <c r="CO173" s="470"/>
      <c r="CP173" s="470"/>
      <c r="CQ173" s="470"/>
      <c r="CR173" s="470"/>
      <c r="CS173" s="470"/>
      <c r="CT173" s="470"/>
      <c r="CU173" s="470"/>
      <c r="CV173" s="470"/>
      <c r="CW173" s="470"/>
      <c r="CX173" s="470"/>
      <c r="CY173" s="470"/>
      <c r="CZ173" s="470"/>
      <c r="DA173" s="470"/>
      <c r="DB173" s="470"/>
      <c r="DC173" s="470"/>
      <c r="DD173" s="470"/>
      <c r="DE173" s="470"/>
      <c r="DF173" s="470"/>
      <c r="DG173" s="470"/>
      <c r="DH173" s="470"/>
      <c r="DI173" s="470"/>
      <c r="DJ173" s="470"/>
      <c r="DK173" s="470"/>
      <c r="DL173" s="470"/>
      <c r="DM173" s="470"/>
      <c r="DN173" s="470"/>
      <c r="DO173" s="470"/>
      <c r="DP173" s="470"/>
      <c r="DQ173" s="470"/>
      <c r="DR173" s="470"/>
      <c r="DS173" s="470"/>
      <c r="DT173" s="470"/>
      <c r="DU173" s="470"/>
      <c r="DV173" s="470"/>
      <c r="DW173" s="470"/>
      <c r="DX173" s="470"/>
      <c r="DY173" s="470"/>
      <c r="DZ173" s="470"/>
      <c r="EA173" s="470"/>
      <c r="EB173" s="470"/>
      <c r="EC173" s="470"/>
      <c r="ED173" s="470"/>
      <c r="EE173" s="470"/>
      <c r="EF173" s="470"/>
      <c r="EG173" s="470"/>
      <c r="EH173" s="470"/>
      <c r="EI173" s="470"/>
      <c r="EJ173" s="470"/>
      <c r="EK173" s="470"/>
      <c r="EL173" s="470"/>
      <c r="EM173" s="470"/>
      <c r="EN173" s="470"/>
      <c r="EO173" s="470"/>
      <c r="EP173" s="470"/>
      <c r="EQ173" s="470"/>
      <c r="ER173" s="470"/>
      <c r="ES173" s="470"/>
      <c r="ET173" s="470"/>
      <c r="EU173" s="470"/>
      <c r="EV173" s="470"/>
      <c r="EW173" s="470"/>
      <c r="EX173" s="470"/>
      <c r="EY173" s="470"/>
      <c r="EZ173" s="470"/>
      <c r="FA173" s="470"/>
      <c r="FB173" s="470"/>
      <c r="FC173" s="470"/>
      <c r="FD173" s="470"/>
      <c r="FE173" s="470"/>
      <c r="FF173" s="470"/>
      <c r="FG173" s="470"/>
      <c r="FH173" s="470"/>
      <c r="FI173" s="470"/>
      <c r="FJ173" s="470"/>
      <c r="FK173" s="470"/>
      <c r="FL173" s="470"/>
      <c r="FM173" s="470"/>
      <c r="FN173" s="470"/>
      <c r="FO173" s="470"/>
      <c r="FP173" s="470"/>
      <c r="FQ173" s="470"/>
      <c r="FR173" s="470"/>
      <c r="FS173" s="470"/>
      <c r="FT173" s="470"/>
      <c r="FU173" s="470"/>
      <c r="FV173" s="470"/>
      <c r="FW173" s="470"/>
      <c r="FX173" s="470"/>
      <c r="FY173" s="470"/>
      <c r="FZ173" s="470"/>
      <c r="GA173" s="470"/>
      <c r="GB173" s="470"/>
      <c r="GC173" s="470"/>
      <c r="GD173" s="470"/>
      <c r="GE173" s="470"/>
      <c r="GF173" s="470"/>
      <c r="GG173" s="470"/>
      <c r="GH173" s="470"/>
      <c r="GI173" s="470"/>
      <c r="GJ173" s="470"/>
      <c r="GK173" s="470"/>
      <c r="GL173" s="470"/>
      <c r="GM173" s="470"/>
      <c r="GN173" s="470"/>
      <c r="GO173" s="470"/>
      <c r="GP173" s="470"/>
      <c r="GQ173" s="470"/>
      <c r="GR173" s="470"/>
      <c r="GS173" s="470"/>
      <c r="GT173" s="470"/>
      <c r="GU173" s="470"/>
      <c r="GV173" s="470"/>
      <c r="GW173" s="470"/>
      <c r="GX173" s="470"/>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70"/>
      <c r="IF173" s="470"/>
      <c r="IG173" s="470"/>
      <c r="IH173" s="470"/>
      <c r="II173" s="470"/>
      <c r="IJ173" s="470"/>
      <c r="IK173" s="470"/>
      <c r="IL173" s="470"/>
      <c r="IM173" s="470"/>
      <c r="IN173" s="470"/>
      <c r="IO173" s="470"/>
      <c r="IP173" s="470"/>
      <c r="IQ173" s="470"/>
    </row>
    <row r="174" spans="1:251" x14ac:dyDescent="0.2">
      <c r="A174" s="481" t="s">
        <v>10060</v>
      </c>
      <c r="B174" s="481" t="s">
        <v>10061</v>
      </c>
      <c r="C174" s="454" t="s">
        <v>386</v>
      </c>
      <c r="D174" s="455" t="s">
        <v>9783</v>
      </c>
      <c r="E174" s="456" t="s">
        <v>9710</v>
      </c>
      <c r="F174" s="456" t="s">
        <v>10049</v>
      </c>
      <c r="G174" s="456" t="s">
        <v>7180</v>
      </c>
      <c r="H174" s="457">
        <v>160.92000000000002</v>
      </c>
      <c r="I174" s="457">
        <f t="shared" si="11"/>
        <v>172.989</v>
      </c>
      <c r="J174" s="457" t="s">
        <v>9706</v>
      </c>
      <c r="K174" s="458">
        <v>0.3</v>
      </c>
      <c r="L174" s="459">
        <f t="shared" si="8"/>
        <v>112.64400000000001</v>
      </c>
      <c r="M174" s="460">
        <v>0.18</v>
      </c>
      <c r="N174" s="461">
        <f t="shared" si="9"/>
        <v>141.85098000000002</v>
      </c>
      <c r="O174" s="462">
        <v>0.1</v>
      </c>
      <c r="P174" s="463">
        <f t="shared" si="10"/>
        <v>155.6901</v>
      </c>
      <c r="Q174" s="464"/>
      <c r="R174" s="476">
        <v>3</v>
      </c>
      <c r="S174" s="476">
        <v>3</v>
      </c>
      <c r="T174" s="476">
        <v>3</v>
      </c>
      <c r="U174" s="477"/>
      <c r="V174" s="470"/>
      <c r="W174" s="470"/>
      <c r="X174" s="470"/>
      <c r="Y174" s="470"/>
      <c r="Z174" s="470"/>
      <c r="AA174" s="470"/>
      <c r="AB174" s="470"/>
      <c r="AC174" s="470"/>
      <c r="AD174" s="470"/>
      <c r="AE174" s="470"/>
      <c r="AF174" s="470"/>
      <c r="AG174" s="470"/>
      <c r="AH174" s="470"/>
      <c r="AI174" s="470"/>
      <c r="AJ174" s="470"/>
      <c r="AK174" s="470"/>
      <c r="AL174" s="470"/>
      <c r="AM174" s="470"/>
      <c r="AN174" s="470"/>
      <c r="AO174" s="470"/>
      <c r="AP174" s="470"/>
      <c r="AQ174" s="470"/>
      <c r="AR174" s="470"/>
      <c r="AS174" s="470"/>
      <c r="AT174" s="470"/>
      <c r="AU174" s="470"/>
      <c r="AV174" s="470"/>
      <c r="AW174" s="470"/>
      <c r="AX174" s="470"/>
      <c r="AY174" s="470"/>
      <c r="AZ174" s="470"/>
      <c r="BA174" s="470"/>
      <c r="BB174" s="470"/>
      <c r="BC174" s="470"/>
      <c r="BD174" s="470"/>
      <c r="BE174" s="470"/>
      <c r="BF174" s="470"/>
      <c r="BG174" s="470"/>
      <c r="BH174" s="470"/>
      <c r="BI174" s="470"/>
      <c r="BJ174" s="470"/>
      <c r="BK174" s="470"/>
      <c r="BL174" s="470"/>
      <c r="BM174" s="470"/>
      <c r="BN174" s="470"/>
      <c r="BO174" s="470"/>
      <c r="BP174" s="470"/>
      <c r="BQ174" s="470"/>
      <c r="BR174" s="470"/>
      <c r="BS174" s="470"/>
      <c r="BT174" s="470"/>
      <c r="BU174" s="470"/>
      <c r="BV174" s="470"/>
      <c r="BW174" s="470"/>
      <c r="BX174" s="470"/>
      <c r="BY174" s="470"/>
      <c r="BZ174" s="470"/>
      <c r="CA174" s="470"/>
      <c r="CB174" s="470"/>
      <c r="CC174" s="470"/>
      <c r="CD174" s="470"/>
      <c r="CE174" s="470"/>
      <c r="CF174" s="470"/>
      <c r="CG174" s="470"/>
      <c r="CH174" s="470"/>
      <c r="CI174" s="470"/>
      <c r="CJ174" s="470"/>
      <c r="CK174" s="470"/>
      <c r="CL174" s="470"/>
      <c r="CM174" s="470"/>
      <c r="CN174" s="470"/>
      <c r="CO174" s="470"/>
      <c r="CP174" s="470"/>
      <c r="CQ174" s="470"/>
      <c r="CR174" s="470"/>
      <c r="CS174" s="470"/>
      <c r="CT174" s="470"/>
      <c r="CU174" s="470"/>
      <c r="CV174" s="470"/>
      <c r="CW174" s="470"/>
      <c r="CX174" s="470"/>
      <c r="CY174" s="470"/>
      <c r="CZ174" s="470"/>
      <c r="DA174" s="470"/>
      <c r="DB174" s="470"/>
      <c r="DC174" s="470"/>
      <c r="DD174" s="470"/>
      <c r="DE174" s="470"/>
      <c r="DF174" s="470"/>
      <c r="DG174" s="470"/>
      <c r="DH174" s="470"/>
      <c r="DI174" s="470"/>
      <c r="DJ174" s="470"/>
      <c r="DK174" s="470"/>
      <c r="DL174" s="470"/>
      <c r="DM174" s="470"/>
      <c r="DN174" s="470"/>
      <c r="DO174" s="470"/>
      <c r="DP174" s="470"/>
      <c r="DQ174" s="470"/>
      <c r="DR174" s="470"/>
      <c r="DS174" s="470"/>
      <c r="DT174" s="470"/>
      <c r="DU174" s="470"/>
      <c r="DV174" s="470"/>
      <c r="DW174" s="470"/>
      <c r="DX174" s="470"/>
      <c r="DY174" s="470"/>
      <c r="DZ174" s="470"/>
      <c r="EA174" s="470"/>
      <c r="EB174" s="470"/>
      <c r="EC174" s="470"/>
      <c r="ED174" s="470"/>
      <c r="EE174" s="470"/>
      <c r="EF174" s="470"/>
      <c r="EG174" s="470"/>
      <c r="EH174" s="470"/>
      <c r="EI174" s="470"/>
      <c r="EJ174" s="470"/>
      <c r="EK174" s="470"/>
      <c r="EL174" s="470"/>
      <c r="EM174" s="470"/>
      <c r="EN174" s="470"/>
      <c r="EO174" s="470"/>
      <c r="EP174" s="470"/>
      <c r="EQ174" s="470"/>
      <c r="ER174" s="470"/>
      <c r="ES174" s="470"/>
      <c r="ET174" s="470"/>
      <c r="EU174" s="470"/>
      <c r="EV174" s="470"/>
      <c r="EW174" s="470"/>
      <c r="EX174" s="470"/>
      <c r="EY174" s="470"/>
      <c r="EZ174" s="470"/>
      <c r="FA174" s="470"/>
      <c r="FB174" s="470"/>
      <c r="FC174" s="470"/>
      <c r="FD174" s="470"/>
      <c r="FE174" s="470"/>
      <c r="FF174" s="470"/>
      <c r="FG174" s="470"/>
      <c r="FH174" s="470"/>
      <c r="FI174" s="470"/>
      <c r="FJ174" s="470"/>
      <c r="FK174" s="470"/>
      <c r="FL174" s="470"/>
      <c r="FM174" s="470"/>
      <c r="FN174" s="470"/>
      <c r="FO174" s="470"/>
      <c r="FP174" s="470"/>
      <c r="FQ174" s="470"/>
      <c r="FR174" s="470"/>
      <c r="FS174" s="470"/>
      <c r="FT174" s="470"/>
      <c r="FU174" s="470"/>
      <c r="FV174" s="470"/>
      <c r="FW174" s="470"/>
      <c r="FX174" s="470"/>
      <c r="FY174" s="470"/>
      <c r="FZ174" s="470"/>
      <c r="GA174" s="470"/>
      <c r="GB174" s="470"/>
      <c r="GC174" s="470"/>
      <c r="GD174" s="470"/>
      <c r="GE174" s="470"/>
      <c r="GF174" s="470"/>
      <c r="GG174" s="470"/>
      <c r="GH174" s="470"/>
      <c r="GI174" s="470"/>
      <c r="GJ174" s="470"/>
      <c r="GK174" s="470"/>
      <c r="GL174" s="470"/>
      <c r="GM174" s="470"/>
      <c r="GN174" s="470"/>
      <c r="GO174" s="470"/>
      <c r="GP174" s="470"/>
      <c r="GQ174" s="470"/>
      <c r="GR174" s="470"/>
      <c r="GS174" s="470"/>
      <c r="GT174" s="470"/>
      <c r="GU174" s="470"/>
      <c r="GV174" s="470"/>
      <c r="GW174" s="470"/>
      <c r="GX174" s="470"/>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70"/>
      <c r="IF174" s="470"/>
      <c r="IG174" s="470"/>
      <c r="IH174" s="470"/>
      <c r="II174" s="470"/>
      <c r="IJ174" s="470"/>
      <c r="IK174" s="470"/>
      <c r="IL174" s="470"/>
      <c r="IM174" s="470"/>
      <c r="IN174" s="470"/>
      <c r="IO174" s="470"/>
      <c r="IP174" s="470"/>
      <c r="IQ174" s="470"/>
    </row>
    <row r="175" spans="1:251" x14ac:dyDescent="0.2">
      <c r="A175" s="481" t="s">
        <v>10062</v>
      </c>
      <c r="B175" s="481" t="s">
        <v>10063</v>
      </c>
      <c r="C175" s="454" t="s">
        <v>386</v>
      </c>
      <c r="D175" s="455" t="s">
        <v>9783</v>
      </c>
      <c r="E175" s="456" t="s">
        <v>9710</v>
      </c>
      <c r="F175" s="456" t="s">
        <v>10049</v>
      </c>
      <c r="G175" s="456" t="s">
        <v>7180</v>
      </c>
      <c r="H175" s="457">
        <v>160.92000000000002</v>
      </c>
      <c r="I175" s="457">
        <f t="shared" si="11"/>
        <v>172.989</v>
      </c>
      <c r="J175" s="457" t="s">
        <v>9706</v>
      </c>
      <c r="K175" s="458">
        <v>0.3</v>
      </c>
      <c r="L175" s="459">
        <f t="shared" si="8"/>
        <v>112.64400000000001</v>
      </c>
      <c r="M175" s="460">
        <v>0.18</v>
      </c>
      <c r="N175" s="461">
        <f t="shared" si="9"/>
        <v>141.85098000000002</v>
      </c>
      <c r="O175" s="462">
        <v>0.1</v>
      </c>
      <c r="P175" s="463">
        <f t="shared" si="10"/>
        <v>155.6901</v>
      </c>
      <c r="Q175" s="464"/>
      <c r="R175" s="476">
        <v>3</v>
      </c>
      <c r="S175" s="476">
        <v>3</v>
      </c>
      <c r="T175" s="476">
        <v>3</v>
      </c>
      <c r="U175" s="477"/>
      <c r="V175" s="470"/>
      <c r="W175" s="470"/>
      <c r="X175" s="470"/>
      <c r="Y175" s="470"/>
      <c r="Z175" s="470"/>
      <c r="AA175" s="470"/>
      <c r="AB175" s="470"/>
      <c r="AC175" s="470"/>
      <c r="AD175" s="470"/>
      <c r="AE175" s="470"/>
      <c r="AF175" s="470"/>
      <c r="AG175" s="470"/>
      <c r="AH175" s="470"/>
      <c r="AI175" s="470"/>
      <c r="AJ175" s="470"/>
      <c r="AK175" s="470"/>
      <c r="AL175" s="470"/>
      <c r="AM175" s="470"/>
      <c r="AN175" s="470"/>
      <c r="AO175" s="470"/>
      <c r="AP175" s="470"/>
      <c r="AQ175" s="470"/>
      <c r="AR175" s="470"/>
      <c r="AS175" s="470"/>
      <c r="AT175" s="470"/>
      <c r="AU175" s="470"/>
      <c r="AV175" s="470"/>
      <c r="AW175" s="470"/>
      <c r="AX175" s="470"/>
      <c r="AY175" s="470"/>
      <c r="AZ175" s="470"/>
      <c r="BA175" s="470"/>
      <c r="BB175" s="470"/>
      <c r="BC175" s="470"/>
      <c r="BD175" s="470"/>
      <c r="BE175" s="470"/>
      <c r="BF175" s="470"/>
      <c r="BG175" s="470"/>
      <c r="BH175" s="470"/>
      <c r="BI175" s="470"/>
      <c r="BJ175" s="470"/>
      <c r="BK175" s="470"/>
      <c r="BL175" s="470"/>
      <c r="BM175" s="470"/>
      <c r="BN175" s="470"/>
      <c r="BO175" s="470"/>
      <c r="BP175" s="470"/>
      <c r="BQ175" s="470"/>
      <c r="BR175" s="470"/>
      <c r="BS175" s="470"/>
      <c r="BT175" s="470"/>
      <c r="BU175" s="470"/>
      <c r="BV175" s="470"/>
      <c r="BW175" s="470"/>
      <c r="BX175" s="470"/>
      <c r="BY175" s="470"/>
      <c r="BZ175" s="470"/>
      <c r="CA175" s="470"/>
      <c r="CB175" s="470"/>
      <c r="CC175" s="470"/>
      <c r="CD175" s="470"/>
      <c r="CE175" s="470"/>
      <c r="CF175" s="470"/>
      <c r="CG175" s="470"/>
      <c r="CH175" s="470"/>
      <c r="CI175" s="470"/>
      <c r="CJ175" s="470"/>
      <c r="CK175" s="470"/>
      <c r="CL175" s="470"/>
      <c r="CM175" s="470"/>
      <c r="CN175" s="470"/>
      <c r="CO175" s="470"/>
      <c r="CP175" s="470"/>
      <c r="CQ175" s="470"/>
      <c r="CR175" s="470"/>
      <c r="CS175" s="470"/>
      <c r="CT175" s="470"/>
      <c r="CU175" s="470"/>
      <c r="CV175" s="470"/>
      <c r="CW175" s="470"/>
      <c r="CX175" s="470"/>
      <c r="CY175" s="470"/>
      <c r="CZ175" s="470"/>
      <c r="DA175" s="470"/>
      <c r="DB175" s="470"/>
      <c r="DC175" s="470"/>
      <c r="DD175" s="470"/>
      <c r="DE175" s="470"/>
      <c r="DF175" s="470"/>
      <c r="DG175" s="470"/>
      <c r="DH175" s="470"/>
      <c r="DI175" s="470"/>
      <c r="DJ175" s="470"/>
      <c r="DK175" s="470"/>
      <c r="DL175" s="470"/>
      <c r="DM175" s="470"/>
      <c r="DN175" s="470"/>
      <c r="DO175" s="470"/>
      <c r="DP175" s="470"/>
      <c r="DQ175" s="470"/>
      <c r="DR175" s="470"/>
      <c r="DS175" s="470"/>
      <c r="DT175" s="470"/>
      <c r="DU175" s="470"/>
      <c r="DV175" s="470"/>
      <c r="DW175" s="470"/>
      <c r="DX175" s="470"/>
      <c r="DY175" s="470"/>
      <c r="DZ175" s="470"/>
      <c r="EA175" s="470"/>
      <c r="EB175" s="470"/>
      <c r="EC175" s="470"/>
      <c r="ED175" s="470"/>
      <c r="EE175" s="470"/>
      <c r="EF175" s="470"/>
      <c r="EG175" s="470"/>
      <c r="EH175" s="470"/>
      <c r="EI175" s="470"/>
      <c r="EJ175" s="470"/>
      <c r="EK175" s="470"/>
      <c r="EL175" s="470"/>
      <c r="EM175" s="470"/>
      <c r="EN175" s="470"/>
      <c r="EO175" s="470"/>
      <c r="EP175" s="470"/>
      <c r="EQ175" s="470"/>
      <c r="ER175" s="470"/>
      <c r="ES175" s="470"/>
      <c r="ET175" s="470"/>
      <c r="EU175" s="470"/>
      <c r="EV175" s="470"/>
      <c r="EW175" s="470"/>
      <c r="EX175" s="470"/>
      <c r="EY175" s="470"/>
      <c r="EZ175" s="470"/>
      <c r="FA175" s="470"/>
      <c r="FB175" s="470"/>
      <c r="FC175" s="470"/>
      <c r="FD175" s="470"/>
      <c r="FE175" s="470"/>
      <c r="FF175" s="470"/>
      <c r="FG175" s="470"/>
      <c r="FH175" s="470"/>
      <c r="FI175" s="470"/>
      <c r="FJ175" s="470"/>
      <c r="FK175" s="470"/>
      <c r="FL175" s="470"/>
      <c r="FM175" s="470"/>
      <c r="FN175" s="470"/>
      <c r="FO175" s="470"/>
      <c r="FP175" s="470"/>
      <c r="FQ175" s="470"/>
      <c r="FR175" s="470"/>
      <c r="FS175" s="470"/>
      <c r="FT175" s="470"/>
      <c r="FU175" s="470"/>
      <c r="FV175" s="470"/>
      <c r="FW175" s="470"/>
      <c r="FX175" s="470"/>
      <c r="FY175" s="470"/>
      <c r="FZ175" s="470"/>
      <c r="GA175" s="470"/>
      <c r="GB175" s="470"/>
      <c r="GC175" s="470"/>
      <c r="GD175" s="470"/>
      <c r="GE175" s="470"/>
      <c r="GF175" s="470"/>
      <c r="GG175" s="470"/>
      <c r="GH175" s="470"/>
      <c r="GI175" s="470"/>
      <c r="GJ175" s="470"/>
      <c r="GK175" s="470"/>
      <c r="GL175" s="470"/>
      <c r="GM175" s="470"/>
      <c r="GN175" s="470"/>
      <c r="GO175" s="470"/>
      <c r="GP175" s="470"/>
      <c r="GQ175" s="470"/>
      <c r="GR175" s="470"/>
      <c r="GS175" s="470"/>
      <c r="GT175" s="470"/>
      <c r="GU175" s="470"/>
      <c r="GV175" s="470"/>
      <c r="GW175" s="470"/>
      <c r="GX175" s="470"/>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70"/>
      <c r="IF175" s="470"/>
      <c r="IG175" s="470"/>
      <c r="IH175" s="470"/>
      <c r="II175" s="470"/>
      <c r="IJ175" s="470"/>
      <c r="IK175" s="470"/>
      <c r="IL175" s="470"/>
      <c r="IM175" s="470"/>
      <c r="IN175" s="470"/>
      <c r="IO175" s="470"/>
      <c r="IP175" s="470"/>
      <c r="IQ175" s="470"/>
    </row>
    <row r="176" spans="1:251" x14ac:dyDescent="0.2">
      <c r="A176" s="481" t="s">
        <v>10064</v>
      </c>
      <c r="B176" s="481" t="s">
        <v>10065</v>
      </c>
      <c r="C176" s="454" t="s">
        <v>386</v>
      </c>
      <c r="D176" s="455" t="s">
        <v>9783</v>
      </c>
      <c r="E176" s="456" t="s">
        <v>9710</v>
      </c>
      <c r="F176" s="456" t="s">
        <v>10049</v>
      </c>
      <c r="G176" s="456" t="s">
        <v>7180</v>
      </c>
      <c r="H176" s="457">
        <v>160.92000000000002</v>
      </c>
      <c r="I176" s="457">
        <f t="shared" si="11"/>
        <v>172.989</v>
      </c>
      <c r="J176" s="457" t="s">
        <v>9706</v>
      </c>
      <c r="K176" s="458">
        <v>0.3</v>
      </c>
      <c r="L176" s="459">
        <f t="shared" si="8"/>
        <v>112.64400000000001</v>
      </c>
      <c r="M176" s="460">
        <v>0.18</v>
      </c>
      <c r="N176" s="461">
        <f t="shared" si="9"/>
        <v>141.85098000000002</v>
      </c>
      <c r="O176" s="462">
        <v>0.1</v>
      </c>
      <c r="P176" s="463">
        <f t="shared" si="10"/>
        <v>155.6901</v>
      </c>
      <c r="Q176" s="464"/>
      <c r="R176" s="476">
        <v>3</v>
      </c>
      <c r="S176" s="476">
        <v>3</v>
      </c>
      <c r="T176" s="476">
        <v>3</v>
      </c>
      <c r="U176" s="477"/>
      <c r="V176" s="470"/>
      <c r="W176" s="470"/>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470"/>
      <c r="AZ176" s="470"/>
      <c r="BA176" s="470"/>
      <c r="BB176" s="470"/>
      <c r="BC176" s="470"/>
      <c r="BD176" s="470"/>
      <c r="BE176" s="470"/>
      <c r="BF176" s="470"/>
      <c r="BG176" s="470"/>
      <c r="BH176" s="470"/>
      <c r="BI176" s="470"/>
      <c r="BJ176" s="470"/>
      <c r="BK176" s="470"/>
      <c r="BL176" s="470"/>
      <c r="BM176" s="470"/>
      <c r="BN176" s="470"/>
      <c r="BO176" s="470"/>
      <c r="BP176" s="470"/>
      <c r="BQ176" s="470"/>
      <c r="BR176" s="470"/>
      <c r="BS176" s="470"/>
      <c r="BT176" s="470"/>
      <c r="BU176" s="470"/>
      <c r="BV176" s="470"/>
      <c r="BW176" s="470"/>
      <c r="BX176" s="470"/>
      <c r="BY176" s="470"/>
      <c r="BZ176" s="470"/>
      <c r="CA176" s="470"/>
      <c r="CB176" s="470"/>
      <c r="CC176" s="470"/>
      <c r="CD176" s="470"/>
      <c r="CE176" s="470"/>
      <c r="CF176" s="470"/>
      <c r="CG176" s="470"/>
      <c r="CH176" s="470"/>
      <c r="CI176" s="470"/>
      <c r="CJ176" s="470"/>
      <c r="CK176" s="470"/>
      <c r="CL176" s="470"/>
      <c r="CM176" s="470"/>
      <c r="CN176" s="470"/>
      <c r="CO176" s="470"/>
      <c r="CP176" s="470"/>
      <c r="CQ176" s="470"/>
      <c r="CR176" s="470"/>
      <c r="CS176" s="470"/>
      <c r="CT176" s="470"/>
      <c r="CU176" s="470"/>
      <c r="CV176" s="470"/>
      <c r="CW176" s="470"/>
      <c r="CX176" s="470"/>
      <c r="CY176" s="470"/>
      <c r="CZ176" s="470"/>
      <c r="DA176" s="470"/>
      <c r="DB176" s="470"/>
      <c r="DC176" s="470"/>
      <c r="DD176" s="470"/>
      <c r="DE176" s="470"/>
      <c r="DF176" s="470"/>
      <c r="DG176" s="470"/>
      <c r="DH176" s="470"/>
      <c r="DI176" s="470"/>
      <c r="DJ176" s="470"/>
      <c r="DK176" s="470"/>
      <c r="DL176" s="470"/>
      <c r="DM176" s="470"/>
      <c r="DN176" s="470"/>
      <c r="DO176" s="470"/>
      <c r="DP176" s="470"/>
      <c r="DQ176" s="470"/>
      <c r="DR176" s="470"/>
      <c r="DS176" s="470"/>
      <c r="DT176" s="470"/>
      <c r="DU176" s="470"/>
      <c r="DV176" s="470"/>
      <c r="DW176" s="470"/>
      <c r="DX176" s="470"/>
      <c r="DY176" s="470"/>
      <c r="DZ176" s="470"/>
      <c r="EA176" s="470"/>
      <c r="EB176" s="470"/>
      <c r="EC176" s="470"/>
      <c r="ED176" s="470"/>
      <c r="EE176" s="470"/>
      <c r="EF176" s="470"/>
      <c r="EG176" s="470"/>
      <c r="EH176" s="470"/>
      <c r="EI176" s="470"/>
      <c r="EJ176" s="470"/>
      <c r="EK176" s="470"/>
      <c r="EL176" s="470"/>
      <c r="EM176" s="470"/>
      <c r="EN176" s="470"/>
      <c r="EO176" s="470"/>
      <c r="EP176" s="470"/>
      <c r="EQ176" s="470"/>
      <c r="ER176" s="470"/>
      <c r="ES176" s="470"/>
      <c r="ET176" s="470"/>
      <c r="EU176" s="470"/>
      <c r="EV176" s="470"/>
      <c r="EW176" s="470"/>
      <c r="EX176" s="470"/>
      <c r="EY176" s="470"/>
      <c r="EZ176" s="470"/>
      <c r="FA176" s="470"/>
      <c r="FB176" s="470"/>
      <c r="FC176" s="470"/>
      <c r="FD176" s="470"/>
      <c r="FE176" s="470"/>
      <c r="FF176" s="470"/>
      <c r="FG176" s="470"/>
      <c r="FH176" s="470"/>
      <c r="FI176" s="470"/>
      <c r="FJ176" s="470"/>
      <c r="FK176" s="470"/>
      <c r="FL176" s="470"/>
      <c r="FM176" s="470"/>
      <c r="FN176" s="470"/>
      <c r="FO176" s="470"/>
      <c r="FP176" s="470"/>
      <c r="FQ176" s="470"/>
      <c r="FR176" s="470"/>
      <c r="FS176" s="470"/>
      <c r="FT176" s="470"/>
      <c r="FU176" s="470"/>
      <c r="FV176" s="470"/>
      <c r="FW176" s="470"/>
      <c r="FX176" s="470"/>
      <c r="FY176" s="470"/>
      <c r="FZ176" s="470"/>
      <c r="GA176" s="470"/>
      <c r="GB176" s="470"/>
      <c r="GC176" s="470"/>
      <c r="GD176" s="470"/>
      <c r="GE176" s="470"/>
      <c r="GF176" s="470"/>
      <c r="GG176" s="470"/>
      <c r="GH176" s="470"/>
      <c r="GI176" s="470"/>
      <c r="GJ176" s="470"/>
      <c r="GK176" s="470"/>
      <c r="GL176" s="470"/>
      <c r="GM176" s="470"/>
      <c r="GN176" s="470"/>
      <c r="GO176" s="470"/>
      <c r="GP176" s="470"/>
      <c r="GQ176" s="470"/>
      <c r="GR176" s="470"/>
      <c r="GS176" s="470"/>
      <c r="GT176" s="470"/>
      <c r="GU176" s="470"/>
      <c r="GV176" s="470"/>
      <c r="GW176" s="470"/>
      <c r="GX176" s="470"/>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70"/>
      <c r="IF176" s="470"/>
      <c r="IG176" s="470"/>
      <c r="IH176" s="470"/>
      <c r="II176" s="470"/>
      <c r="IJ176" s="470"/>
      <c r="IK176" s="470"/>
      <c r="IL176" s="470"/>
      <c r="IM176" s="470"/>
      <c r="IN176" s="470"/>
      <c r="IO176" s="470"/>
      <c r="IP176" s="470"/>
      <c r="IQ176" s="470"/>
    </row>
    <row r="177" spans="1:251" x14ac:dyDescent="0.2">
      <c r="A177" s="481" t="s">
        <v>10066</v>
      </c>
      <c r="B177" s="481" t="s">
        <v>10067</v>
      </c>
      <c r="C177" s="454" t="s">
        <v>386</v>
      </c>
      <c r="D177" s="455" t="s">
        <v>9783</v>
      </c>
      <c r="E177" s="456" t="s">
        <v>9710</v>
      </c>
      <c r="F177" s="456" t="s">
        <v>10049</v>
      </c>
      <c r="G177" s="456" t="s">
        <v>7180</v>
      </c>
      <c r="H177" s="457">
        <v>160.92000000000002</v>
      </c>
      <c r="I177" s="457">
        <f t="shared" si="11"/>
        <v>172.989</v>
      </c>
      <c r="J177" s="457" t="s">
        <v>9706</v>
      </c>
      <c r="K177" s="458">
        <v>0.3</v>
      </c>
      <c r="L177" s="459">
        <f t="shared" si="8"/>
        <v>112.64400000000001</v>
      </c>
      <c r="M177" s="460">
        <v>0.18</v>
      </c>
      <c r="N177" s="461">
        <f t="shared" si="9"/>
        <v>141.85098000000002</v>
      </c>
      <c r="O177" s="462">
        <v>0.1</v>
      </c>
      <c r="P177" s="463">
        <f t="shared" si="10"/>
        <v>155.6901</v>
      </c>
      <c r="Q177" s="464"/>
      <c r="R177" s="476">
        <v>3</v>
      </c>
      <c r="S177" s="476">
        <v>3</v>
      </c>
      <c r="T177" s="476">
        <v>3</v>
      </c>
      <c r="U177" s="477"/>
      <c r="V177" s="470"/>
      <c r="W177" s="470"/>
      <c r="X177" s="470"/>
      <c r="Y177" s="470"/>
      <c r="Z177" s="470"/>
      <c r="AA177" s="470"/>
      <c r="AB177" s="470"/>
      <c r="AC177" s="470"/>
      <c r="AD177" s="470"/>
      <c r="AE177" s="470"/>
      <c r="AF177" s="470"/>
      <c r="AG177" s="470"/>
      <c r="AH177" s="470"/>
      <c r="AI177" s="470"/>
      <c r="AJ177" s="470"/>
      <c r="AK177" s="470"/>
      <c r="AL177" s="470"/>
      <c r="AM177" s="470"/>
      <c r="AN177" s="470"/>
      <c r="AO177" s="470"/>
      <c r="AP177" s="470"/>
      <c r="AQ177" s="470"/>
      <c r="AR177" s="470"/>
      <c r="AS177" s="470"/>
      <c r="AT177" s="470"/>
      <c r="AU177" s="470"/>
      <c r="AV177" s="470"/>
      <c r="AW177" s="470"/>
      <c r="AX177" s="470"/>
      <c r="AY177" s="470"/>
      <c r="AZ177" s="470"/>
      <c r="BA177" s="470"/>
      <c r="BB177" s="470"/>
      <c r="BC177" s="470"/>
      <c r="BD177" s="470"/>
      <c r="BE177" s="470"/>
      <c r="BF177" s="470"/>
      <c r="BG177" s="470"/>
      <c r="BH177" s="470"/>
      <c r="BI177" s="470"/>
      <c r="BJ177" s="470"/>
      <c r="BK177" s="470"/>
      <c r="BL177" s="470"/>
      <c r="BM177" s="470"/>
      <c r="BN177" s="470"/>
      <c r="BO177" s="470"/>
      <c r="BP177" s="470"/>
      <c r="BQ177" s="470"/>
      <c r="BR177" s="470"/>
      <c r="BS177" s="470"/>
      <c r="BT177" s="470"/>
      <c r="BU177" s="470"/>
      <c r="BV177" s="470"/>
      <c r="BW177" s="470"/>
      <c r="BX177" s="470"/>
      <c r="BY177" s="470"/>
      <c r="BZ177" s="470"/>
      <c r="CA177" s="470"/>
      <c r="CB177" s="470"/>
      <c r="CC177" s="470"/>
      <c r="CD177" s="470"/>
      <c r="CE177" s="470"/>
      <c r="CF177" s="470"/>
      <c r="CG177" s="470"/>
      <c r="CH177" s="470"/>
      <c r="CI177" s="470"/>
      <c r="CJ177" s="470"/>
      <c r="CK177" s="470"/>
      <c r="CL177" s="470"/>
      <c r="CM177" s="470"/>
      <c r="CN177" s="470"/>
      <c r="CO177" s="470"/>
      <c r="CP177" s="470"/>
      <c r="CQ177" s="470"/>
      <c r="CR177" s="470"/>
      <c r="CS177" s="470"/>
      <c r="CT177" s="470"/>
      <c r="CU177" s="470"/>
      <c r="CV177" s="470"/>
      <c r="CW177" s="470"/>
      <c r="CX177" s="470"/>
      <c r="CY177" s="470"/>
      <c r="CZ177" s="470"/>
      <c r="DA177" s="470"/>
      <c r="DB177" s="470"/>
      <c r="DC177" s="470"/>
      <c r="DD177" s="470"/>
      <c r="DE177" s="470"/>
      <c r="DF177" s="470"/>
      <c r="DG177" s="470"/>
      <c r="DH177" s="470"/>
      <c r="DI177" s="470"/>
      <c r="DJ177" s="470"/>
      <c r="DK177" s="470"/>
      <c r="DL177" s="470"/>
      <c r="DM177" s="470"/>
      <c r="DN177" s="470"/>
      <c r="DO177" s="470"/>
      <c r="DP177" s="470"/>
      <c r="DQ177" s="470"/>
      <c r="DR177" s="470"/>
      <c r="DS177" s="470"/>
      <c r="DT177" s="470"/>
      <c r="DU177" s="470"/>
      <c r="DV177" s="470"/>
      <c r="DW177" s="470"/>
      <c r="DX177" s="470"/>
      <c r="DY177" s="470"/>
      <c r="DZ177" s="470"/>
      <c r="EA177" s="470"/>
      <c r="EB177" s="470"/>
      <c r="EC177" s="470"/>
      <c r="ED177" s="470"/>
      <c r="EE177" s="470"/>
      <c r="EF177" s="470"/>
      <c r="EG177" s="470"/>
      <c r="EH177" s="470"/>
      <c r="EI177" s="470"/>
      <c r="EJ177" s="470"/>
      <c r="EK177" s="470"/>
      <c r="EL177" s="470"/>
      <c r="EM177" s="470"/>
      <c r="EN177" s="470"/>
      <c r="EO177" s="470"/>
      <c r="EP177" s="470"/>
      <c r="EQ177" s="470"/>
      <c r="ER177" s="470"/>
      <c r="ES177" s="470"/>
      <c r="ET177" s="470"/>
      <c r="EU177" s="470"/>
      <c r="EV177" s="470"/>
      <c r="EW177" s="470"/>
      <c r="EX177" s="470"/>
      <c r="EY177" s="470"/>
      <c r="EZ177" s="470"/>
      <c r="FA177" s="470"/>
      <c r="FB177" s="470"/>
      <c r="FC177" s="470"/>
      <c r="FD177" s="470"/>
      <c r="FE177" s="470"/>
      <c r="FF177" s="470"/>
      <c r="FG177" s="470"/>
      <c r="FH177" s="470"/>
      <c r="FI177" s="470"/>
      <c r="FJ177" s="470"/>
      <c r="FK177" s="470"/>
      <c r="FL177" s="470"/>
      <c r="FM177" s="470"/>
      <c r="FN177" s="470"/>
      <c r="FO177" s="470"/>
      <c r="FP177" s="470"/>
      <c r="FQ177" s="470"/>
      <c r="FR177" s="470"/>
      <c r="FS177" s="470"/>
      <c r="FT177" s="470"/>
      <c r="FU177" s="470"/>
      <c r="FV177" s="470"/>
      <c r="FW177" s="470"/>
      <c r="FX177" s="470"/>
      <c r="FY177" s="470"/>
      <c r="FZ177" s="470"/>
      <c r="GA177" s="470"/>
      <c r="GB177" s="470"/>
      <c r="GC177" s="470"/>
      <c r="GD177" s="470"/>
      <c r="GE177" s="470"/>
      <c r="GF177" s="470"/>
      <c r="GG177" s="470"/>
      <c r="GH177" s="470"/>
      <c r="GI177" s="470"/>
      <c r="GJ177" s="470"/>
      <c r="GK177" s="470"/>
      <c r="GL177" s="470"/>
      <c r="GM177" s="470"/>
      <c r="GN177" s="470"/>
      <c r="GO177" s="470"/>
      <c r="GP177" s="470"/>
      <c r="GQ177" s="470"/>
      <c r="GR177" s="470"/>
      <c r="GS177" s="470"/>
      <c r="GT177" s="470"/>
      <c r="GU177" s="470"/>
      <c r="GV177" s="470"/>
      <c r="GW177" s="470"/>
      <c r="GX177" s="470"/>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70"/>
      <c r="IF177" s="470"/>
      <c r="IG177" s="470"/>
      <c r="IH177" s="470"/>
      <c r="II177" s="470"/>
      <c r="IJ177" s="470"/>
      <c r="IK177" s="470"/>
      <c r="IL177" s="470"/>
      <c r="IM177" s="470"/>
      <c r="IN177" s="470"/>
      <c r="IO177" s="470"/>
      <c r="IP177" s="470"/>
      <c r="IQ177" s="470"/>
    </row>
    <row r="178" spans="1:251" x14ac:dyDescent="0.2">
      <c r="A178" s="481" t="s">
        <v>10068</v>
      </c>
      <c r="B178" s="481" t="s">
        <v>10069</v>
      </c>
      <c r="C178" s="454" t="s">
        <v>386</v>
      </c>
      <c r="D178" s="455" t="s">
        <v>9783</v>
      </c>
      <c r="E178" s="456" t="s">
        <v>9710</v>
      </c>
      <c r="F178" s="456" t="s">
        <v>10049</v>
      </c>
      <c r="G178" s="456" t="s">
        <v>7180</v>
      </c>
      <c r="H178" s="457">
        <v>160.92000000000002</v>
      </c>
      <c r="I178" s="457">
        <f t="shared" si="11"/>
        <v>172.989</v>
      </c>
      <c r="J178" s="457" t="s">
        <v>9706</v>
      </c>
      <c r="K178" s="458">
        <v>0.3</v>
      </c>
      <c r="L178" s="459">
        <f t="shared" si="8"/>
        <v>112.64400000000001</v>
      </c>
      <c r="M178" s="460">
        <v>0.18</v>
      </c>
      <c r="N178" s="461">
        <f t="shared" si="9"/>
        <v>141.85098000000002</v>
      </c>
      <c r="O178" s="462">
        <v>0.1</v>
      </c>
      <c r="P178" s="463">
        <f t="shared" si="10"/>
        <v>155.6901</v>
      </c>
      <c r="Q178" s="464"/>
      <c r="R178" s="476">
        <v>3</v>
      </c>
      <c r="S178" s="476">
        <v>3</v>
      </c>
      <c r="T178" s="476">
        <v>3</v>
      </c>
      <c r="U178" s="477"/>
      <c r="V178" s="470"/>
      <c r="W178" s="470"/>
      <c r="X178" s="470"/>
      <c r="Y178" s="470"/>
      <c r="Z178" s="470"/>
      <c r="AA178" s="470"/>
      <c r="AB178" s="470"/>
      <c r="AC178" s="470"/>
      <c r="AD178" s="470"/>
      <c r="AE178" s="470"/>
      <c r="AF178" s="470"/>
      <c r="AG178" s="470"/>
      <c r="AH178" s="470"/>
      <c r="AI178" s="470"/>
      <c r="AJ178" s="470"/>
      <c r="AK178" s="470"/>
      <c r="AL178" s="470"/>
      <c r="AM178" s="470"/>
      <c r="AN178" s="470"/>
      <c r="AO178" s="470"/>
      <c r="AP178" s="470"/>
      <c r="AQ178" s="470"/>
      <c r="AR178" s="470"/>
      <c r="AS178" s="470"/>
      <c r="AT178" s="470"/>
      <c r="AU178" s="470"/>
      <c r="AV178" s="470"/>
      <c r="AW178" s="470"/>
      <c r="AX178" s="470"/>
      <c r="AY178" s="470"/>
      <c r="AZ178" s="470"/>
      <c r="BA178" s="470"/>
      <c r="BB178" s="470"/>
      <c r="BC178" s="470"/>
      <c r="BD178" s="470"/>
      <c r="BE178" s="470"/>
      <c r="BF178" s="470"/>
      <c r="BG178" s="470"/>
      <c r="BH178" s="470"/>
      <c r="BI178" s="470"/>
      <c r="BJ178" s="470"/>
      <c r="BK178" s="470"/>
      <c r="BL178" s="470"/>
      <c r="BM178" s="470"/>
      <c r="BN178" s="470"/>
      <c r="BO178" s="470"/>
      <c r="BP178" s="470"/>
      <c r="BQ178" s="470"/>
      <c r="BR178" s="470"/>
      <c r="BS178" s="470"/>
      <c r="BT178" s="470"/>
      <c r="BU178" s="470"/>
      <c r="BV178" s="470"/>
      <c r="BW178" s="470"/>
      <c r="BX178" s="470"/>
      <c r="BY178" s="470"/>
      <c r="BZ178" s="470"/>
      <c r="CA178" s="470"/>
      <c r="CB178" s="470"/>
      <c r="CC178" s="470"/>
      <c r="CD178" s="470"/>
      <c r="CE178" s="470"/>
      <c r="CF178" s="470"/>
      <c r="CG178" s="470"/>
      <c r="CH178" s="470"/>
      <c r="CI178" s="470"/>
      <c r="CJ178" s="470"/>
      <c r="CK178" s="470"/>
      <c r="CL178" s="470"/>
      <c r="CM178" s="470"/>
      <c r="CN178" s="470"/>
      <c r="CO178" s="470"/>
      <c r="CP178" s="470"/>
      <c r="CQ178" s="470"/>
      <c r="CR178" s="470"/>
      <c r="CS178" s="470"/>
      <c r="CT178" s="470"/>
      <c r="CU178" s="470"/>
      <c r="CV178" s="470"/>
      <c r="CW178" s="470"/>
      <c r="CX178" s="470"/>
      <c r="CY178" s="470"/>
      <c r="CZ178" s="470"/>
      <c r="DA178" s="470"/>
      <c r="DB178" s="470"/>
      <c r="DC178" s="470"/>
      <c r="DD178" s="470"/>
      <c r="DE178" s="470"/>
      <c r="DF178" s="470"/>
      <c r="DG178" s="470"/>
      <c r="DH178" s="470"/>
      <c r="DI178" s="470"/>
      <c r="DJ178" s="470"/>
      <c r="DK178" s="470"/>
      <c r="DL178" s="470"/>
      <c r="DM178" s="470"/>
      <c r="DN178" s="470"/>
      <c r="DO178" s="470"/>
      <c r="DP178" s="470"/>
      <c r="DQ178" s="470"/>
      <c r="DR178" s="470"/>
      <c r="DS178" s="470"/>
      <c r="DT178" s="470"/>
      <c r="DU178" s="470"/>
      <c r="DV178" s="470"/>
      <c r="DW178" s="470"/>
      <c r="DX178" s="470"/>
      <c r="DY178" s="470"/>
      <c r="DZ178" s="470"/>
      <c r="EA178" s="470"/>
      <c r="EB178" s="470"/>
      <c r="EC178" s="470"/>
      <c r="ED178" s="470"/>
      <c r="EE178" s="470"/>
      <c r="EF178" s="470"/>
      <c r="EG178" s="470"/>
      <c r="EH178" s="470"/>
      <c r="EI178" s="470"/>
      <c r="EJ178" s="470"/>
      <c r="EK178" s="470"/>
      <c r="EL178" s="470"/>
      <c r="EM178" s="470"/>
      <c r="EN178" s="470"/>
      <c r="EO178" s="470"/>
      <c r="EP178" s="470"/>
      <c r="EQ178" s="470"/>
      <c r="ER178" s="470"/>
      <c r="ES178" s="470"/>
      <c r="ET178" s="470"/>
      <c r="EU178" s="470"/>
      <c r="EV178" s="470"/>
      <c r="EW178" s="470"/>
      <c r="EX178" s="470"/>
      <c r="EY178" s="470"/>
      <c r="EZ178" s="470"/>
      <c r="FA178" s="470"/>
      <c r="FB178" s="470"/>
      <c r="FC178" s="470"/>
      <c r="FD178" s="470"/>
      <c r="FE178" s="470"/>
      <c r="FF178" s="470"/>
      <c r="FG178" s="470"/>
      <c r="FH178" s="470"/>
      <c r="FI178" s="470"/>
      <c r="FJ178" s="470"/>
      <c r="FK178" s="470"/>
      <c r="FL178" s="470"/>
      <c r="FM178" s="470"/>
      <c r="FN178" s="470"/>
      <c r="FO178" s="470"/>
      <c r="FP178" s="470"/>
      <c r="FQ178" s="470"/>
      <c r="FR178" s="470"/>
      <c r="FS178" s="470"/>
      <c r="FT178" s="470"/>
      <c r="FU178" s="470"/>
      <c r="FV178" s="470"/>
      <c r="FW178" s="470"/>
      <c r="FX178" s="470"/>
      <c r="FY178" s="470"/>
      <c r="FZ178" s="470"/>
      <c r="GA178" s="470"/>
      <c r="GB178" s="470"/>
      <c r="GC178" s="470"/>
      <c r="GD178" s="470"/>
      <c r="GE178" s="470"/>
      <c r="GF178" s="470"/>
      <c r="GG178" s="470"/>
      <c r="GH178" s="470"/>
      <c r="GI178" s="470"/>
      <c r="GJ178" s="470"/>
      <c r="GK178" s="470"/>
      <c r="GL178" s="470"/>
      <c r="GM178" s="470"/>
      <c r="GN178" s="470"/>
      <c r="GO178" s="470"/>
      <c r="GP178" s="470"/>
      <c r="GQ178" s="470"/>
      <c r="GR178" s="470"/>
      <c r="GS178" s="470"/>
      <c r="GT178" s="470"/>
      <c r="GU178" s="470"/>
      <c r="GV178" s="470"/>
      <c r="GW178" s="470"/>
      <c r="GX178" s="470"/>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70"/>
      <c r="IF178" s="470"/>
      <c r="IG178" s="470"/>
      <c r="IH178" s="470"/>
      <c r="II178" s="470"/>
      <c r="IJ178" s="470"/>
      <c r="IK178" s="470"/>
      <c r="IL178" s="470"/>
      <c r="IM178" s="470"/>
      <c r="IN178" s="470"/>
      <c r="IO178" s="470"/>
      <c r="IP178" s="470"/>
      <c r="IQ178" s="470"/>
    </row>
    <row r="179" spans="1:251" x14ac:dyDescent="0.2">
      <c r="A179" s="481" t="s">
        <v>10070</v>
      </c>
      <c r="B179" s="481" t="s">
        <v>10071</v>
      </c>
      <c r="C179" s="454" t="s">
        <v>386</v>
      </c>
      <c r="D179" s="455" t="s">
        <v>9783</v>
      </c>
      <c r="E179" s="456" t="s">
        <v>9710</v>
      </c>
      <c r="F179" s="456" t="s">
        <v>10049</v>
      </c>
      <c r="G179" s="456" t="s">
        <v>7180</v>
      </c>
      <c r="H179" s="457">
        <v>160.92000000000002</v>
      </c>
      <c r="I179" s="457">
        <f t="shared" si="11"/>
        <v>172.989</v>
      </c>
      <c r="J179" s="457" t="s">
        <v>9706</v>
      </c>
      <c r="K179" s="458">
        <v>0.3</v>
      </c>
      <c r="L179" s="459">
        <f t="shared" si="8"/>
        <v>112.64400000000001</v>
      </c>
      <c r="M179" s="460">
        <v>0.18</v>
      </c>
      <c r="N179" s="461">
        <f t="shared" si="9"/>
        <v>141.85098000000002</v>
      </c>
      <c r="O179" s="462">
        <v>0.1</v>
      </c>
      <c r="P179" s="463">
        <f t="shared" si="10"/>
        <v>155.6901</v>
      </c>
      <c r="Q179" s="464"/>
      <c r="R179" s="476">
        <v>3</v>
      </c>
      <c r="S179" s="476">
        <v>3</v>
      </c>
      <c r="T179" s="476">
        <v>3</v>
      </c>
      <c r="U179" s="477"/>
      <c r="V179" s="470"/>
      <c r="W179" s="470"/>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470"/>
      <c r="AZ179" s="470"/>
      <c r="BA179" s="470"/>
      <c r="BB179" s="470"/>
      <c r="BC179" s="470"/>
      <c r="BD179" s="470"/>
      <c r="BE179" s="470"/>
      <c r="BF179" s="470"/>
      <c r="BG179" s="470"/>
      <c r="BH179" s="470"/>
      <c r="BI179" s="470"/>
      <c r="BJ179" s="470"/>
      <c r="BK179" s="470"/>
      <c r="BL179" s="470"/>
      <c r="BM179" s="470"/>
      <c r="BN179" s="470"/>
      <c r="BO179" s="470"/>
      <c r="BP179" s="470"/>
      <c r="BQ179" s="470"/>
      <c r="BR179" s="470"/>
      <c r="BS179" s="470"/>
      <c r="BT179" s="470"/>
      <c r="BU179" s="470"/>
      <c r="BV179" s="470"/>
      <c r="BW179" s="470"/>
      <c r="BX179" s="470"/>
      <c r="BY179" s="470"/>
      <c r="BZ179" s="470"/>
      <c r="CA179" s="470"/>
      <c r="CB179" s="470"/>
      <c r="CC179" s="470"/>
      <c r="CD179" s="470"/>
      <c r="CE179" s="470"/>
      <c r="CF179" s="470"/>
      <c r="CG179" s="470"/>
      <c r="CH179" s="470"/>
      <c r="CI179" s="470"/>
      <c r="CJ179" s="470"/>
      <c r="CK179" s="470"/>
      <c r="CL179" s="470"/>
      <c r="CM179" s="470"/>
      <c r="CN179" s="470"/>
      <c r="CO179" s="470"/>
      <c r="CP179" s="470"/>
      <c r="CQ179" s="470"/>
      <c r="CR179" s="470"/>
      <c r="CS179" s="470"/>
      <c r="CT179" s="470"/>
      <c r="CU179" s="470"/>
      <c r="CV179" s="470"/>
      <c r="CW179" s="470"/>
      <c r="CX179" s="470"/>
      <c r="CY179" s="470"/>
      <c r="CZ179" s="470"/>
      <c r="DA179" s="470"/>
      <c r="DB179" s="470"/>
      <c r="DC179" s="470"/>
      <c r="DD179" s="470"/>
      <c r="DE179" s="470"/>
      <c r="DF179" s="470"/>
      <c r="DG179" s="470"/>
      <c r="DH179" s="470"/>
      <c r="DI179" s="470"/>
      <c r="DJ179" s="470"/>
      <c r="DK179" s="470"/>
      <c r="DL179" s="470"/>
      <c r="DM179" s="470"/>
      <c r="DN179" s="470"/>
      <c r="DO179" s="470"/>
      <c r="DP179" s="470"/>
      <c r="DQ179" s="470"/>
      <c r="DR179" s="470"/>
      <c r="DS179" s="470"/>
      <c r="DT179" s="470"/>
      <c r="DU179" s="470"/>
      <c r="DV179" s="470"/>
      <c r="DW179" s="470"/>
      <c r="DX179" s="470"/>
      <c r="DY179" s="470"/>
      <c r="DZ179" s="470"/>
      <c r="EA179" s="470"/>
      <c r="EB179" s="470"/>
      <c r="EC179" s="470"/>
      <c r="ED179" s="470"/>
      <c r="EE179" s="470"/>
      <c r="EF179" s="470"/>
      <c r="EG179" s="470"/>
      <c r="EH179" s="470"/>
      <c r="EI179" s="470"/>
      <c r="EJ179" s="470"/>
      <c r="EK179" s="470"/>
      <c r="EL179" s="470"/>
      <c r="EM179" s="470"/>
      <c r="EN179" s="470"/>
      <c r="EO179" s="470"/>
      <c r="EP179" s="470"/>
      <c r="EQ179" s="470"/>
      <c r="ER179" s="470"/>
      <c r="ES179" s="470"/>
      <c r="ET179" s="470"/>
      <c r="EU179" s="470"/>
      <c r="EV179" s="470"/>
      <c r="EW179" s="470"/>
      <c r="EX179" s="470"/>
      <c r="EY179" s="470"/>
      <c r="EZ179" s="470"/>
      <c r="FA179" s="470"/>
      <c r="FB179" s="470"/>
      <c r="FC179" s="470"/>
      <c r="FD179" s="470"/>
      <c r="FE179" s="470"/>
      <c r="FF179" s="470"/>
      <c r="FG179" s="470"/>
      <c r="FH179" s="470"/>
      <c r="FI179" s="470"/>
      <c r="FJ179" s="470"/>
      <c r="FK179" s="470"/>
      <c r="FL179" s="470"/>
      <c r="FM179" s="470"/>
      <c r="FN179" s="470"/>
      <c r="FO179" s="470"/>
      <c r="FP179" s="470"/>
      <c r="FQ179" s="470"/>
      <c r="FR179" s="470"/>
      <c r="FS179" s="470"/>
      <c r="FT179" s="470"/>
      <c r="FU179" s="470"/>
      <c r="FV179" s="470"/>
      <c r="FW179" s="470"/>
      <c r="FX179" s="470"/>
      <c r="FY179" s="470"/>
      <c r="FZ179" s="470"/>
      <c r="GA179" s="470"/>
      <c r="GB179" s="470"/>
      <c r="GC179" s="470"/>
      <c r="GD179" s="470"/>
      <c r="GE179" s="470"/>
      <c r="GF179" s="470"/>
      <c r="GG179" s="470"/>
      <c r="GH179" s="470"/>
      <c r="GI179" s="470"/>
      <c r="GJ179" s="470"/>
      <c r="GK179" s="470"/>
      <c r="GL179" s="470"/>
      <c r="GM179" s="470"/>
      <c r="GN179" s="470"/>
      <c r="GO179" s="470"/>
      <c r="GP179" s="470"/>
      <c r="GQ179" s="470"/>
      <c r="GR179" s="470"/>
      <c r="GS179" s="470"/>
      <c r="GT179" s="470"/>
      <c r="GU179" s="470"/>
      <c r="GV179" s="470"/>
      <c r="GW179" s="470"/>
      <c r="GX179" s="470"/>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70"/>
      <c r="IF179" s="470"/>
      <c r="IG179" s="470"/>
      <c r="IH179" s="470"/>
      <c r="II179" s="470"/>
      <c r="IJ179" s="470"/>
      <c r="IK179" s="470"/>
      <c r="IL179" s="470"/>
      <c r="IM179" s="470"/>
      <c r="IN179" s="470"/>
      <c r="IO179" s="470"/>
      <c r="IP179" s="470"/>
      <c r="IQ179" s="470"/>
    </row>
    <row r="180" spans="1:251" x14ac:dyDescent="0.2">
      <c r="A180" s="481" t="s">
        <v>10072</v>
      </c>
      <c r="B180" s="481" t="s">
        <v>10073</v>
      </c>
      <c r="C180" s="454" t="s">
        <v>386</v>
      </c>
      <c r="D180" s="455" t="s">
        <v>9783</v>
      </c>
      <c r="E180" s="456" t="s">
        <v>9710</v>
      </c>
      <c r="F180" s="456" t="s">
        <v>10049</v>
      </c>
      <c r="G180" s="456" t="s">
        <v>7180</v>
      </c>
      <c r="H180" s="457">
        <v>160.92000000000002</v>
      </c>
      <c r="I180" s="457">
        <f t="shared" si="11"/>
        <v>172.989</v>
      </c>
      <c r="J180" s="457" t="s">
        <v>9706</v>
      </c>
      <c r="K180" s="458">
        <v>0.3</v>
      </c>
      <c r="L180" s="459">
        <f t="shared" si="8"/>
        <v>112.64400000000001</v>
      </c>
      <c r="M180" s="460">
        <v>0.18</v>
      </c>
      <c r="N180" s="461">
        <f t="shared" si="9"/>
        <v>141.85098000000002</v>
      </c>
      <c r="O180" s="462">
        <v>0.1</v>
      </c>
      <c r="P180" s="463">
        <f t="shared" si="10"/>
        <v>155.6901</v>
      </c>
      <c r="Q180" s="464"/>
      <c r="R180" s="476">
        <v>3</v>
      </c>
      <c r="S180" s="476">
        <v>3</v>
      </c>
      <c r="T180" s="476">
        <v>3</v>
      </c>
      <c r="U180" s="477"/>
      <c r="V180" s="470"/>
      <c r="W180" s="470"/>
      <c r="X180" s="470"/>
      <c r="Y180" s="470"/>
      <c r="Z180" s="470"/>
      <c r="AA180" s="470"/>
      <c r="AB180" s="470"/>
      <c r="AC180" s="470"/>
      <c r="AD180" s="470"/>
      <c r="AE180" s="470"/>
      <c r="AF180" s="470"/>
      <c r="AG180" s="470"/>
      <c r="AH180" s="470"/>
      <c r="AI180" s="470"/>
      <c r="AJ180" s="470"/>
      <c r="AK180" s="470"/>
      <c r="AL180" s="470"/>
      <c r="AM180" s="470"/>
      <c r="AN180" s="470"/>
      <c r="AO180" s="470"/>
      <c r="AP180" s="470"/>
      <c r="AQ180" s="470"/>
      <c r="AR180" s="470"/>
      <c r="AS180" s="470"/>
      <c r="AT180" s="470"/>
      <c r="AU180" s="470"/>
      <c r="AV180" s="470"/>
      <c r="AW180" s="470"/>
      <c r="AX180" s="470"/>
      <c r="AY180" s="470"/>
      <c r="AZ180" s="470"/>
      <c r="BA180" s="470"/>
      <c r="BB180" s="470"/>
      <c r="BC180" s="470"/>
      <c r="BD180" s="470"/>
      <c r="BE180" s="470"/>
      <c r="BF180" s="470"/>
      <c r="BG180" s="470"/>
      <c r="BH180" s="470"/>
      <c r="BI180" s="470"/>
      <c r="BJ180" s="470"/>
      <c r="BK180" s="470"/>
      <c r="BL180" s="470"/>
      <c r="BM180" s="470"/>
      <c r="BN180" s="470"/>
      <c r="BO180" s="470"/>
      <c r="BP180" s="470"/>
      <c r="BQ180" s="470"/>
      <c r="BR180" s="470"/>
      <c r="BS180" s="470"/>
      <c r="BT180" s="470"/>
      <c r="BU180" s="470"/>
      <c r="BV180" s="470"/>
      <c r="BW180" s="470"/>
      <c r="BX180" s="470"/>
      <c r="BY180" s="470"/>
      <c r="BZ180" s="470"/>
      <c r="CA180" s="470"/>
      <c r="CB180" s="470"/>
      <c r="CC180" s="470"/>
      <c r="CD180" s="470"/>
      <c r="CE180" s="470"/>
      <c r="CF180" s="470"/>
      <c r="CG180" s="470"/>
      <c r="CH180" s="470"/>
      <c r="CI180" s="470"/>
      <c r="CJ180" s="470"/>
      <c r="CK180" s="470"/>
      <c r="CL180" s="470"/>
      <c r="CM180" s="470"/>
      <c r="CN180" s="470"/>
      <c r="CO180" s="470"/>
      <c r="CP180" s="470"/>
      <c r="CQ180" s="470"/>
      <c r="CR180" s="470"/>
      <c r="CS180" s="470"/>
      <c r="CT180" s="470"/>
      <c r="CU180" s="470"/>
      <c r="CV180" s="470"/>
      <c r="CW180" s="470"/>
      <c r="CX180" s="470"/>
      <c r="CY180" s="470"/>
      <c r="CZ180" s="470"/>
      <c r="DA180" s="470"/>
      <c r="DB180" s="470"/>
      <c r="DC180" s="470"/>
      <c r="DD180" s="470"/>
      <c r="DE180" s="470"/>
      <c r="DF180" s="470"/>
      <c r="DG180" s="470"/>
      <c r="DH180" s="470"/>
      <c r="DI180" s="470"/>
      <c r="DJ180" s="470"/>
      <c r="DK180" s="470"/>
      <c r="DL180" s="470"/>
      <c r="DM180" s="470"/>
      <c r="DN180" s="470"/>
      <c r="DO180" s="470"/>
      <c r="DP180" s="470"/>
      <c r="DQ180" s="470"/>
      <c r="DR180" s="470"/>
      <c r="DS180" s="470"/>
      <c r="DT180" s="470"/>
      <c r="DU180" s="470"/>
      <c r="DV180" s="470"/>
      <c r="DW180" s="470"/>
      <c r="DX180" s="470"/>
      <c r="DY180" s="470"/>
      <c r="DZ180" s="470"/>
      <c r="EA180" s="470"/>
      <c r="EB180" s="470"/>
      <c r="EC180" s="470"/>
      <c r="ED180" s="470"/>
      <c r="EE180" s="470"/>
      <c r="EF180" s="470"/>
      <c r="EG180" s="470"/>
      <c r="EH180" s="470"/>
      <c r="EI180" s="470"/>
      <c r="EJ180" s="470"/>
      <c r="EK180" s="470"/>
      <c r="EL180" s="470"/>
      <c r="EM180" s="470"/>
      <c r="EN180" s="470"/>
      <c r="EO180" s="470"/>
      <c r="EP180" s="470"/>
      <c r="EQ180" s="470"/>
      <c r="ER180" s="470"/>
      <c r="ES180" s="470"/>
      <c r="ET180" s="470"/>
      <c r="EU180" s="470"/>
      <c r="EV180" s="470"/>
      <c r="EW180" s="470"/>
      <c r="EX180" s="470"/>
      <c r="EY180" s="470"/>
      <c r="EZ180" s="470"/>
      <c r="FA180" s="470"/>
      <c r="FB180" s="470"/>
      <c r="FC180" s="470"/>
      <c r="FD180" s="470"/>
      <c r="FE180" s="470"/>
      <c r="FF180" s="470"/>
      <c r="FG180" s="470"/>
      <c r="FH180" s="470"/>
      <c r="FI180" s="470"/>
      <c r="FJ180" s="470"/>
      <c r="FK180" s="470"/>
      <c r="FL180" s="470"/>
      <c r="FM180" s="470"/>
      <c r="FN180" s="470"/>
      <c r="FO180" s="470"/>
      <c r="FP180" s="470"/>
      <c r="FQ180" s="470"/>
      <c r="FR180" s="470"/>
      <c r="FS180" s="470"/>
      <c r="FT180" s="470"/>
      <c r="FU180" s="470"/>
      <c r="FV180" s="470"/>
      <c r="FW180" s="470"/>
      <c r="FX180" s="470"/>
      <c r="FY180" s="470"/>
      <c r="FZ180" s="470"/>
      <c r="GA180" s="470"/>
      <c r="GB180" s="470"/>
      <c r="GC180" s="470"/>
      <c r="GD180" s="470"/>
      <c r="GE180" s="470"/>
      <c r="GF180" s="470"/>
      <c r="GG180" s="470"/>
      <c r="GH180" s="470"/>
      <c r="GI180" s="470"/>
      <c r="GJ180" s="470"/>
      <c r="GK180" s="470"/>
      <c r="GL180" s="470"/>
      <c r="GM180" s="470"/>
      <c r="GN180" s="470"/>
      <c r="GO180" s="470"/>
      <c r="GP180" s="470"/>
      <c r="GQ180" s="470"/>
      <c r="GR180" s="470"/>
      <c r="GS180" s="470"/>
      <c r="GT180" s="470"/>
      <c r="GU180" s="470"/>
      <c r="GV180" s="470"/>
      <c r="GW180" s="470"/>
      <c r="GX180" s="470"/>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70"/>
      <c r="IF180" s="470"/>
      <c r="IG180" s="470"/>
      <c r="IH180" s="470"/>
      <c r="II180" s="470"/>
      <c r="IJ180" s="470"/>
      <c r="IK180" s="470"/>
      <c r="IL180" s="470"/>
      <c r="IM180" s="470"/>
      <c r="IN180" s="470"/>
      <c r="IO180" s="470"/>
      <c r="IP180" s="470"/>
      <c r="IQ180" s="470"/>
    </row>
    <row r="181" spans="1:251" x14ac:dyDescent="0.2">
      <c r="A181" s="481" t="s">
        <v>10074</v>
      </c>
      <c r="B181" s="481" t="s">
        <v>10075</v>
      </c>
      <c r="C181" s="454" t="s">
        <v>386</v>
      </c>
      <c r="D181" s="455" t="s">
        <v>9783</v>
      </c>
      <c r="E181" s="456" t="s">
        <v>9710</v>
      </c>
      <c r="F181" s="456" t="s">
        <v>10049</v>
      </c>
      <c r="G181" s="456" t="s">
        <v>7180</v>
      </c>
      <c r="H181" s="457">
        <v>160.92000000000002</v>
      </c>
      <c r="I181" s="457">
        <f t="shared" si="11"/>
        <v>172.989</v>
      </c>
      <c r="J181" s="457" t="s">
        <v>9706</v>
      </c>
      <c r="K181" s="458">
        <v>0.3</v>
      </c>
      <c r="L181" s="459">
        <f t="shared" si="8"/>
        <v>112.64400000000001</v>
      </c>
      <c r="M181" s="460">
        <v>0.18</v>
      </c>
      <c r="N181" s="461">
        <f t="shared" si="9"/>
        <v>141.85098000000002</v>
      </c>
      <c r="O181" s="462">
        <v>0.1</v>
      </c>
      <c r="P181" s="463">
        <f t="shared" si="10"/>
        <v>155.6901</v>
      </c>
      <c r="Q181" s="464"/>
      <c r="R181" s="476">
        <v>3</v>
      </c>
      <c r="S181" s="476">
        <v>3</v>
      </c>
      <c r="T181" s="476">
        <v>3</v>
      </c>
      <c r="U181" s="477"/>
      <c r="V181" s="470"/>
      <c r="W181" s="470"/>
      <c r="X181" s="470"/>
      <c r="Y181" s="470"/>
      <c r="Z181" s="470"/>
      <c r="AA181" s="470"/>
      <c r="AB181" s="470"/>
      <c r="AC181" s="470"/>
      <c r="AD181" s="470"/>
      <c r="AE181" s="470"/>
      <c r="AF181" s="470"/>
      <c r="AG181" s="470"/>
      <c r="AH181" s="470"/>
      <c r="AI181" s="470"/>
      <c r="AJ181" s="470"/>
      <c r="AK181" s="470"/>
      <c r="AL181" s="470"/>
      <c r="AM181" s="470"/>
      <c r="AN181" s="470"/>
      <c r="AO181" s="470"/>
      <c r="AP181" s="470"/>
      <c r="AQ181" s="470"/>
      <c r="AR181" s="470"/>
      <c r="AS181" s="470"/>
      <c r="AT181" s="470"/>
      <c r="AU181" s="470"/>
      <c r="AV181" s="470"/>
      <c r="AW181" s="470"/>
      <c r="AX181" s="470"/>
      <c r="AY181" s="470"/>
      <c r="AZ181" s="470"/>
      <c r="BA181" s="470"/>
      <c r="BB181" s="470"/>
      <c r="BC181" s="470"/>
      <c r="BD181" s="470"/>
      <c r="BE181" s="470"/>
      <c r="BF181" s="470"/>
      <c r="BG181" s="470"/>
      <c r="BH181" s="470"/>
      <c r="BI181" s="470"/>
      <c r="BJ181" s="470"/>
      <c r="BK181" s="470"/>
      <c r="BL181" s="470"/>
      <c r="BM181" s="470"/>
      <c r="BN181" s="470"/>
      <c r="BO181" s="470"/>
      <c r="BP181" s="470"/>
      <c r="BQ181" s="470"/>
      <c r="BR181" s="470"/>
      <c r="BS181" s="470"/>
      <c r="BT181" s="470"/>
      <c r="BU181" s="470"/>
      <c r="BV181" s="470"/>
      <c r="BW181" s="470"/>
      <c r="BX181" s="470"/>
      <c r="BY181" s="470"/>
      <c r="BZ181" s="470"/>
      <c r="CA181" s="470"/>
      <c r="CB181" s="470"/>
      <c r="CC181" s="470"/>
      <c r="CD181" s="470"/>
      <c r="CE181" s="470"/>
      <c r="CF181" s="470"/>
      <c r="CG181" s="470"/>
      <c r="CH181" s="470"/>
      <c r="CI181" s="470"/>
      <c r="CJ181" s="470"/>
      <c r="CK181" s="470"/>
      <c r="CL181" s="470"/>
      <c r="CM181" s="470"/>
      <c r="CN181" s="470"/>
      <c r="CO181" s="470"/>
      <c r="CP181" s="470"/>
      <c r="CQ181" s="470"/>
      <c r="CR181" s="470"/>
      <c r="CS181" s="470"/>
      <c r="CT181" s="470"/>
      <c r="CU181" s="470"/>
      <c r="CV181" s="470"/>
      <c r="CW181" s="470"/>
      <c r="CX181" s="470"/>
      <c r="CY181" s="470"/>
      <c r="CZ181" s="470"/>
      <c r="DA181" s="470"/>
      <c r="DB181" s="470"/>
      <c r="DC181" s="470"/>
      <c r="DD181" s="470"/>
      <c r="DE181" s="470"/>
      <c r="DF181" s="470"/>
      <c r="DG181" s="470"/>
      <c r="DH181" s="470"/>
      <c r="DI181" s="470"/>
      <c r="DJ181" s="470"/>
      <c r="DK181" s="470"/>
      <c r="DL181" s="470"/>
      <c r="DM181" s="470"/>
      <c r="DN181" s="470"/>
      <c r="DO181" s="470"/>
      <c r="DP181" s="470"/>
      <c r="DQ181" s="470"/>
      <c r="DR181" s="470"/>
      <c r="DS181" s="470"/>
      <c r="DT181" s="470"/>
      <c r="DU181" s="470"/>
      <c r="DV181" s="470"/>
      <c r="DW181" s="470"/>
      <c r="DX181" s="470"/>
      <c r="DY181" s="470"/>
      <c r="DZ181" s="470"/>
      <c r="EA181" s="470"/>
      <c r="EB181" s="470"/>
      <c r="EC181" s="470"/>
      <c r="ED181" s="470"/>
      <c r="EE181" s="470"/>
      <c r="EF181" s="470"/>
      <c r="EG181" s="470"/>
      <c r="EH181" s="470"/>
      <c r="EI181" s="470"/>
      <c r="EJ181" s="470"/>
      <c r="EK181" s="470"/>
      <c r="EL181" s="470"/>
      <c r="EM181" s="470"/>
      <c r="EN181" s="470"/>
      <c r="EO181" s="470"/>
      <c r="EP181" s="470"/>
      <c r="EQ181" s="470"/>
      <c r="ER181" s="470"/>
      <c r="ES181" s="470"/>
      <c r="ET181" s="470"/>
      <c r="EU181" s="470"/>
      <c r="EV181" s="470"/>
      <c r="EW181" s="470"/>
      <c r="EX181" s="470"/>
      <c r="EY181" s="470"/>
      <c r="EZ181" s="470"/>
      <c r="FA181" s="470"/>
      <c r="FB181" s="470"/>
      <c r="FC181" s="470"/>
      <c r="FD181" s="470"/>
      <c r="FE181" s="470"/>
      <c r="FF181" s="470"/>
      <c r="FG181" s="470"/>
      <c r="FH181" s="470"/>
      <c r="FI181" s="470"/>
      <c r="FJ181" s="470"/>
      <c r="FK181" s="470"/>
      <c r="FL181" s="470"/>
      <c r="FM181" s="470"/>
      <c r="FN181" s="470"/>
      <c r="FO181" s="470"/>
      <c r="FP181" s="470"/>
      <c r="FQ181" s="470"/>
      <c r="FR181" s="470"/>
      <c r="FS181" s="470"/>
      <c r="FT181" s="470"/>
      <c r="FU181" s="470"/>
      <c r="FV181" s="470"/>
      <c r="FW181" s="470"/>
      <c r="FX181" s="470"/>
      <c r="FY181" s="470"/>
      <c r="FZ181" s="470"/>
      <c r="GA181" s="470"/>
      <c r="GB181" s="470"/>
      <c r="GC181" s="470"/>
      <c r="GD181" s="470"/>
      <c r="GE181" s="470"/>
      <c r="GF181" s="470"/>
      <c r="GG181" s="470"/>
      <c r="GH181" s="470"/>
      <c r="GI181" s="470"/>
      <c r="GJ181" s="470"/>
      <c r="GK181" s="470"/>
      <c r="GL181" s="470"/>
      <c r="GM181" s="470"/>
      <c r="GN181" s="470"/>
      <c r="GO181" s="470"/>
      <c r="GP181" s="470"/>
      <c r="GQ181" s="470"/>
      <c r="GR181" s="470"/>
      <c r="GS181" s="470"/>
      <c r="GT181" s="470"/>
      <c r="GU181" s="470"/>
      <c r="GV181" s="470"/>
      <c r="GW181" s="470"/>
      <c r="GX181" s="470"/>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70"/>
      <c r="IF181" s="470"/>
      <c r="IG181" s="470"/>
      <c r="IH181" s="470"/>
      <c r="II181" s="470"/>
      <c r="IJ181" s="470"/>
      <c r="IK181" s="470"/>
      <c r="IL181" s="470"/>
      <c r="IM181" s="470"/>
      <c r="IN181" s="470"/>
      <c r="IO181" s="470"/>
      <c r="IP181" s="470"/>
      <c r="IQ181" s="470"/>
    </row>
    <row r="182" spans="1:251" x14ac:dyDescent="0.2">
      <c r="A182" s="481" t="s">
        <v>10076</v>
      </c>
      <c r="B182" s="481" t="s">
        <v>10077</v>
      </c>
      <c r="C182" s="454" t="s">
        <v>386</v>
      </c>
      <c r="D182" s="455" t="s">
        <v>9783</v>
      </c>
      <c r="E182" s="456" t="s">
        <v>9710</v>
      </c>
      <c r="F182" s="456" t="s">
        <v>10049</v>
      </c>
      <c r="G182" s="456" t="s">
        <v>7180</v>
      </c>
      <c r="H182" s="457">
        <v>160.92000000000002</v>
      </c>
      <c r="I182" s="457">
        <f t="shared" si="11"/>
        <v>172.989</v>
      </c>
      <c r="J182" s="457" t="s">
        <v>9706</v>
      </c>
      <c r="K182" s="458">
        <v>0.3</v>
      </c>
      <c r="L182" s="459">
        <f t="shared" si="8"/>
        <v>112.64400000000001</v>
      </c>
      <c r="M182" s="460">
        <v>0.18</v>
      </c>
      <c r="N182" s="461">
        <f t="shared" si="9"/>
        <v>141.85098000000002</v>
      </c>
      <c r="O182" s="462">
        <v>0.1</v>
      </c>
      <c r="P182" s="463">
        <f t="shared" si="10"/>
        <v>155.6901</v>
      </c>
      <c r="Q182" s="464"/>
      <c r="R182" s="476">
        <v>3</v>
      </c>
      <c r="S182" s="476">
        <v>3</v>
      </c>
      <c r="T182" s="476">
        <v>3</v>
      </c>
      <c r="U182" s="477"/>
      <c r="V182" s="470"/>
      <c r="W182" s="470"/>
      <c r="X182" s="470"/>
      <c r="Y182" s="470"/>
      <c r="Z182" s="470"/>
      <c r="AA182" s="470"/>
      <c r="AB182" s="470"/>
      <c r="AC182" s="470"/>
      <c r="AD182" s="470"/>
      <c r="AE182" s="470"/>
      <c r="AF182" s="470"/>
      <c r="AG182" s="470"/>
      <c r="AH182" s="470"/>
      <c r="AI182" s="470"/>
      <c r="AJ182" s="470"/>
      <c r="AK182" s="470"/>
      <c r="AL182" s="470"/>
      <c r="AM182" s="470"/>
      <c r="AN182" s="470"/>
      <c r="AO182" s="470"/>
      <c r="AP182" s="470"/>
      <c r="AQ182" s="470"/>
      <c r="AR182" s="470"/>
      <c r="AS182" s="470"/>
      <c r="AT182" s="470"/>
      <c r="AU182" s="470"/>
      <c r="AV182" s="470"/>
      <c r="AW182" s="470"/>
      <c r="AX182" s="470"/>
      <c r="AY182" s="470"/>
      <c r="AZ182" s="470"/>
      <c r="BA182" s="470"/>
      <c r="BB182" s="470"/>
      <c r="BC182" s="470"/>
      <c r="BD182" s="470"/>
      <c r="BE182" s="470"/>
      <c r="BF182" s="470"/>
      <c r="BG182" s="470"/>
      <c r="BH182" s="470"/>
      <c r="BI182" s="470"/>
      <c r="BJ182" s="470"/>
      <c r="BK182" s="470"/>
      <c r="BL182" s="470"/>
      <c r="BM182" s="470"/>
      <c r="BN182" s="470"/>
      <c r="BO182" s="470"/>
      <c r="BP182" s="470"/>
      <c r="BQ182" s="470"/>
      <c r="BR182" s="470"/>
      <c r="BS182" s="470"/>
      <c r="BT182" s="470"/>
      <c r="BU182" s="470"/>
      <c r="BV182" s="470"/>
      <c r="BW182" s="470"/>
      <c r="BX182" s="470"/>
      <c r="BY182" s="470"/>
      <c r="BZ182" s="470"/>
      <c r="CA182" s="470"/>
      <c r="CB182" s="470"/>
      <c r="CC182" s="470"/>
      <c r="CD182" s="470"/>
      <c r="CE182" s="470"/>
      <c r="CF182" s="470"/>
      <c r="CG182" s="470"/>
      <c r="CH182" s="470"/>
      <c r="CI182" s="470"/>
      <c r="CJ182" s="470"/>
      <c r="CK182" s="470"/>
      <c r="CL182" s="470"/>
      <c r="CM182" s="470"/>
      <c r="CN182" s="470"/>
      <c r="CO182" s="470"/>
      <c r="CP182" s="470"/>
      <c r="CQ182" s="470"/>
      <c r="CR182" s="470"/>
      <c r="CS182" s="470"/>
      <c r="CT182" s="470"/>
      <c r="CU182" s="470"/>
      <c r="CV182" s="470"/>
      <c r="CW182" s="470"/>
      <c r="CX182" s="470"/>
      <c r="CY182" s="470"/>
      <c r="CZ182" s="470"/>
      <c r="DA182" s="470"/>
      <c r="DB182" s="470"/>
      <c r="DC182" s="470"/>
      <c r="DD182" s="470"/>
      <c r="DE182" s="470"/>
      <c r="DF182" s="470"/>
      <c r="DG182" s="470"/>
      <c r="DH182" s="470"/>
      <c r="DI182" s="470"/>
      <c r="DJ182" s="470"/>
      <c r="DK182" s="470"/>
      <c r="DL182" s="470"/>
      <c r="DM182" s="470"/>
      <c r="DN182" s="470"/>
      <c r="DO182" s="470"/>
      <c r="DP182" s="470"/>
      <c r="DQ182" s="470"/>
      <c r="DR182" s="470"/>
      <c r="DS182" s="470"/>
      <c r="DT182" s="470"/>
      <c r="DU182" s="470"/>
      <c r="DV182" s="470"/>
      <c r="DW182" s="470"/>
      <c r="DX182" s="470"/>
      <c r="DY182" s="470"/>
      <c r="DZ182" s="470"/>
      <c r="EA182" s="470"/>
      <c r="EB182" s="470"/>
      <c r="EC182" s="470"/>
      <c r="ED182" s="470"/>
      <c r="EE182" s="470"/>
      <c r="EF182" s="470"/>
      <c r="EG182" s="470"/>
      <c r="EH182" s="470"/>
      <c r="EI182" s="470"/>
      <c r="EJ182" s="470"/>
      <c r="EK182" s="470"/>
      <c r="EL182" s="470"/>
      <c r="EM182" s="470"/>
      <c r="EN182" s="470"/>
      <c r="EO182" s="470"/>
      <c r="EP182" s="470"/>
      <c r="EQ182" s="470"/>
      <c r="ER182" s="470"/>
      <c r="ES182" s="470"/>
      <c r="ET182" s="470"/>
      <c r="EU182" s="470"/>
      <c r="EV182" s="470"/>
      <c r="EW182" s="470"/>
      <c r="EX182" s="470"/>
      <c r="EY182" s="470"/>
      <c r="EZ182" s="470"/>
      <c r="FA182" s="470"/>
      <c r="FB182" s="470"/>
      <c r="FC182" s="470"/>
      <c r="FD182" s="470"/>
      <c r="FE182" s="470"/>
      <c r="FF182" s="470"/>
      <c r="FG182" s="470"/>
      <c r="FH182" s="470"/>
      <c r="FI182" s="470"/>
      <c r="FJ182" s="470"/>
      <c r="FK182" s="470"/>
      <c r="FL182" s="470"/>
      <c r="FM182" s="470"/>
      <c r="FN182" s="470"/>
      <c r="FO182" s="470"/>
      <c r="FP182" s="470"/>
      <c r="FQ182" s="470"/>
      <c r="FR182" s="470"/>
      <c r="FS182" s="470"/>
      <c r="FT182" s="470"/>
      <c r="FU182" s="470"/>
      <c r="FV182" s="470"/>
      <c r="FW182" s="470"/>
      <c r="FX182" s="470"/>
      <c r="FY182" s="470"/>
      <c r="FZ182" s="470"/>
      <c r="GA182" s="470"/>
      <c r="GB182" s="470"/>
      <c r="GC182" s="470"/>
      <c r="GD182" s="470"/>
      <c r="GE182" s="470"/>
      <c r="GF182" s="470"/>
      <c r="GG182" s="470"/>
      <c r="GH182" s="470"/>
      <c r="GI182" s="470"/>
      <c r="GJ182" s="470"/>
      <c r="GK182" s="470"/>
      <c r="GL182" s="470"/>
      <c r="GM182" s="470"/>
      <c r="GN182" s="470"/>
      <c r="GO182" s="470"/>
      <c r="GP182" s="470"/>
      <c r="GQ182" s="470"/>
      <c r="GR182" s="470"/>
      <c r="GS182" s="470"/>
      <c r="GT182" s="470"/>
      <c r="GU182" s="470"/>
      <c r="GV182" s="470"/>
      <c r="GW182" s="470"/>
      <c r="GX182" s="470"/>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70"/>
      <c r="IF182" s="470"/>
      <c r="IG182" s="470"/>
      <c r="IH182" s="470"/>
      <c r="II182" s="470"/>
      <c r="IJ182" s="470"/>
      <c r="IK182" s="470"/>
      <c r="IL182" s="470"/>
      <c r="IM182" s="470"/>
      <c r="IN182" s="470"/>
      <c r="IO182" s="470"/>
      <c r="IP182" s="470"/>
      <c r="IQ182" s="470"/>
    </row>
    <row r="183" spans="1:251" x14ac:dyDescent="0.2">
      <c r="A183" s="453" t="s">
        <v>10078</v>
      </c>
      <c r="B183" s="453" t="s">
        <v>10079</v>
      </c>
      <c r="C183" s="454" t="s">
        <v>386</v>
      </c>
      <c r="D183" s="455" t="s">
        <v>9783</v>
      </c>
      <c r="E183" s="456" t="s">
        <v>9716</v>
      </c>
      <c r="F183" s="456" t="s">
        <v>10080</v>
      </c>
      <c r="G183" s="456" t="s">
        <v>7180</v>
      </c>
      <c r="H183" s="457">
        <v>274.32</v>
      </c>
      <c r="I183" s="457">
        <f t="shared" si="11"/>
        <v>294.89400000000001</v>
      </c>
      <c r="J183" s="457" t="s">
        <v>9706</v>
      </c>
      <c r="K183" s="458">
        <v>0.3</v>
      </c>
      <c r="L183" s="459">
        <f t="shared" si="8"/>
        <v>192.02399999999997</v>
      </c>
      <c r="M183" s="460">
        <v>0.18</v>
      </c>
      <c r="N183" s="461">
        <f t="shared" si="9"/>
        <v>241.81308000000001</v>
      </c>
      <c r="O183" s="462">
        <v>0.1</v>
      </c>
      <c r="P183" s="463">
        <f t="shared" si="10"/>
        <v>265.40460000000002</v>
      </c>
      <c r="Q183" s="464"/>
      <c r="R183" s="476">
        <v>3</v>
      </c>
      <c r="S183" s="476">
        <v>3</v>
      </c>
      <c r="T183" s="476">
        <v>3</v>
      </c>
      <c r="U183" s="477"/>
      <c r="V183" s="470"/>
      <c r="W183" s="470"/>
      <c r="X183" s="470"/>
      <c r="Y183" s="470"/>
      <c r="Z183" s="470"/>
      <c r="AA183" s="470"/>
      <c r="AB183" s="470"/>
      <c r="AC183" s="470"/>
      <c r="AD183" s="470"/>
      <c r="AE183" s="470"/>
      <c r="AF183" s="470"/>
      <c r="AG183" s="470"/>
      <c r="AH183" s="470"/>
      <c r="AI183" s="470"/>
      <c r="AJ183" s="470"/>
      <c r="AK183" s="470"/>
      <c r="AL183" s="470"/>
      <c r="AM183" s="470"/>
      <c r="AN183" s="470"/>
      <c r="AO183" s="470"/>
      <c r="AP183" s="470"/>
      <c r="AQ183" s="470"/>
      <c r="AR183" s="470"/>
      <c r="AS183" s="470"/>
      <c r="AT183" s="470"/>
      <c r="AU183" s="470"/>
      <c r="AV183" s="470"/>
      <c r="AW183" s="470"/>
      <c r="AX183" s="470"/>
      <c r="AY183" s="470"/>
      <c r="AZ183" s="470"/>
      <c r="BA183" s="470"/>
      <c r="BB183" s="470"/>
      <c r="BC183" s="470"/>
      <c r="BD183" s="470"/>
      <c r="BE183" s="470"/>
      <c r="BF183" s="470"/>
      <c r="BG183" s="470"/>
      <c r="BH183" s="470"/>
      <c r="BI183" s="470"/>
      <c r="BJ183" s="470"/>
      <c r="BK183" s="470"/>
      <c r="BL183" s="470"/>
      <c r="BM183" s="470"/>
      <c r="BN183" s="470"/>
      <c r="BO183" s="470"/>
      <c r="BP183" s="470"/>
      <c r="BQ183" s="470"/>
      <c r="BR183" s="470"/>
      <c r="BS183" s="470"/>
      <c r="BT183" s="470"/>
      <c r="BU183" s="470"/>
      <c r="BV183" s="470"/>
      <c r="BW183" s="470"/>
      <c r="BX183" s="470"/>
      <c r="BY183" s="470"/>
      <c r="BZ183" s="470"/>
      <c r="CA183" s="470"/>
      <c r="CB183" s="470"/>
      <c r="CC183" s="470"/>
      <c r="CD183" s="470"/>
      <c r="CE183" s="470"/>
      <c r="CF183" s="470"/>
      <c r="CG183" s="470"/>
      <c r="CH183" s="470"/>
      <c r="CI183" s="470"/>
      <c r="CJ183" s="470"/>
      <c r="CK183" s="470"/>
      <c r="CL183" s="470"/>
      <c r="CM183" s="470"/>
      <c r="CN183" s="470"/>
      <c r="CO183" s="470"/>
      <c r="CP183" s="470"/>
      <c r="CQ183" s="470"/>
      <c r="CR183" s="470"/>
      <c r="CS183" s="470"/>
      <c r="CT183" s="470"/>
      <c r="CU183" s="470"/>
      <c r="CV183" s="470"/>
      <c r="CW183" s="470"/>
      <c r="CX183" s="470"/>
      <c r="CY183" s="470"/>
      <c r="CZ183" s="470"/>
      <c r="DA183" s="470"/>
      <c r="DB183" s="470"/>
      <c r="DC183" s="470"/>
      <c r="DD183" s="470"/>
      <c r="DE183" s="470"/>
      <c r="DF183" s="470"/>
      <c r="DG183" s="470"/>
      <c r="DH183" s="470"/>
      <c r="DI183" s="470"/>
      <c r="DJ183" s="470"/>
      <c r="DK183" s="470"/>
      <c r="DL183" s="470"/>
      <c r="DM183" s="470"/>
      <c r="DN183" s="470"/>
      <c r="DO183" s="470"/>
      <c r="DP183" s="470"/>
      <c r="DQ183" s="470"/>
      <c r="DR183" s="470"/>
      <c r="DS183" s="470"/>
      <c r="DT183" s="470"/>
      <c r="DU183" s="470"/>
      <c r="DV183" s="470"/>
      <c r="DW183" s="470"/>
      <c r="DX183" s="470"/>
      <c r="DY183" s="470"/>
      <c r="DZ183" s="470"/>
      <c r="EA183" s="470"/>
      <c r="EB183" s="470"/>
      <c r="EC183" s="470"/>
      <c r="ED183" s="470"/>
      <c r="EE183" s="470"/>
      <c r="EF183" s="470"/>
      <c r="EG183" s="470"/>
      <c r="EH183" s="470"/>
      <c r="EI183" s="470"/>
      <c r="EJ183" s="470"/>
      <c r="EK183" s="470"/>
      <c r="EL183" s="470"/>
      <c r="EM183" s="470"/>
      <c r="EN183" s="470"/>
      <c r="EO183" s="470"/>
      <c r="EP183" s="470"/>
      <c r="EQ183" s="470"/>
      <c r="ER183" s="470"/>
      <c r="ES183" s="470"/>
      <c r="ET183" s="470"/>
      <c r="EU183" s="470"/>
      <c r="EV183" s="470"/>
      <c r="EW183" s="470"/>
      <c r="EX183" s="470"/>
      <c r="EY183" s="470"/>
      <c r="EZ183" s="470"/>
      <c r="FA183" s="470"/>
      <c r="FB183" s="470"/>
      <c r="FC183" s="470"/>
      <c r="FD183" s="470"/>
      <c r="FE183" s="470"/>
      <c r="FF183" s="470"/>
      <c r="FG183" s="470"/>
      <c r="FH183" s="470"/>
      <c r="FI183" s="470"/>
      <c r="FJ183" s="470"/>
      <c r="FK183" s="470"/>
      <c r="FL183" s="470"/>
      <c r="FM183" s="470"/>
      <c r="FN183" s="470"/>
      <c r="FO183" s="470"/>
      <c r="FP183" s="470"/>
      <c r="FQ183" s="470"/>
      <c r="FR183" s="470"/>
      <c r="FS183" s="470"/>
      <c r="FT183" s="470"/>
      <c r="FU183" s="470"/>
      <c r="FV183" s="470"/>
      <c r="FW183" s="470"/>
      <c r="FX183" s="470"/>
      <c r="FY183" s="470"/>
      <c r="FZ183" s="470"/>
      <c r="GA183" s="470"/>
      <c r="GB183" s="470"/>
      <c r="GC183" s="470"/>
      <c r="GD183" s="470"/>
      <c r="GE183" s="470"/>
      <c r="GF183" s="470"/>
      <c r="GG183" s="470"/>
      <c r="GH183" s="470"/>
      <c r="GI183" s="470"/>
      <c r="GJ183" s="470"/>
      <c r="GK183" s="470"/>
      <c r="GL183" s="470"/>
      <c r="GM183" s="470"/>
      <c r="GN183" s="470"/>
      <c r="GO183" s="470"/>
      <c r="GP183" s="470"/>
      <c r="GQ183" s="470"/>
      <c r="GR183" s="470"/>
      <c r="GS183" s="470"/>
      <c r="GT183" s="470"/>
      <c r="GU183" s="470"/>
      <c r="GV183" s="470"/>
      <c r="GW183" s="470"/>
      <c r="GX183" s="470"/>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70"/>
      <c r="IF183" s="470"/>
      <c r="IG183" s="470"/>
      <c r="IH183" s="470"/>
      <c r="II183" s="470"/>
      <c r="IJ183" s="470"/>
      <c r="IK183" s="470"/>
      <c r="IL183" s="470"/>
      <c r="IM183" s="470"/>
      <c r="IN183" s="470"/>
      <c r="IO183" s="470"/>
      <c r="IP183" s="470"/>
      <c r="IQ183" s="470"/>
    </row>
    <row r="184" spans="1:251" x14ac:dyDescent="0.2">
      <c r="A184" s="453" t="s">
        <v>10081</v>
      </c>
      <c r="B184" s="453" t="s">
        <v>10082</v>
      </c>
      <c r="C184" s="454" t="s">
        <v>386</v>
      </c>
      <c r="D184" s="455" t="s">
        <v>9783</v>
      </c>
      <c r="E184" s="456" t="s">
        <v>9758</v>
      </c>
      <c r="F184" s="456" t="s">
        <v>10080</v>
      </c>
      <c r="G184" s="456" t="s">
        <v>7180</v>
      </c>
      <c r="H184" s="457">
        <v>268.92</v>
      </c>
      <c r="I184" s="457">
        <f t="shared" si="11"/>
        <v>289.089</v>
      </c>
      <c r="J184" s="457" t="s">
        <v>9706</v>
      </c>
      <c r="K184" s="458">
        <v>0.3</v>
      </c>
      <c r="L184" s="459">
        <f t="shared" si="8"/>
        <v>188.244</v>
      </c>
      <c r="M184" s="460">
        <v>0.18</v>
      </c>
      <c r="N184" s="461">
        <f t="shared" si="9"/>
        <v>237.05298000000002</v>
      </c>
      <c r="O184" s="462">
        <v>0.1</v>
      </c>
      <c r="P184" s="463">
        <f t="shared" si="10"/>
        <v>260.18009999999998</v>
      </c>
      <c r="Q184" s="464"/>
      <c r="R184" s="476">
        <v>20</v>
      </c>
      <c r="S184" s="476">
        <v>20</v>
      </c>
      <c r="T184" s="476">
        <v>20</v>
      </c>
      <c r="U184" s="477"/>
      <c r="V184" s="470"/>
      <c r="W184" s="470"/>
      <c r="X184" s="470"/>
      <c r="Y184" s="470"/>
      <c r="Z184" s="470"/>
      <c r="AA184" s="470"/>
      <c r="AB184" s="470"/>
      <c r="AC184" s="470"/>
      <c r="AD184" s="470"/>
      <c r="AE184" s="470"/>
      <c r="AF184" s="470"/>
      <c r="AG184" s="470"/>
      <c r="AH184" s="470"/>
      <c r="AI184" s="470"/>
      <c r="AJ184" s="470"/>
      <c r="AK184" s="470"/>
      <c r="AL184" s="470"/>
      <c r="AM184" s="470"/>
      <c r="AN184" s="470"/>
      <c r="AO184" s="470"/>
      <c r="AP184" s="470"/>
      <c r="AQ184" s="470"/>
      <c r="AR184" s="470"/>
      <c r="AS184" s="470"/>
      <c r="AT184" s="470"/>
      <c r="AU184" s="470"/>
      <c r="AV184" s="470"/>
      <c r="AW184" s="470"/>
      <c r="AX184" s="470"/>
      <c r="AY184" s="470"/>
      <c r="AZ184" s="470"/>
      <c r="BA184" s="470"/>
      <c r="BB184" s="470"/>
      <c r="BC184" s="470"/>
      <c r="BD184" s="470"/>
      <c r="BE184" s="470"/>
      <c r="BF184" s="470"/>
      <c r="BG184" s="470"/>
      <c r="BH184" s="470"/>
      <c r="BI184" s="470"/>
      <c r="BJ184" s="470"/>
      <c r="BK184" s="470"/>
      <c r="BL184" s="470"/>
      <c r="BM184" s="470"/>
      <c r="BN184" s="470"/>
      <c r="BO184" s="470"/>
      <c r="BP184" s="470"/>
      <c r="BQ184" s="470"/>
      <c r="BR184" s="470"/>
      <c r="BS184" s="470"/>
      <c r="BT184" s="470"/>
      <c r="BU184" s="470"/>
      <c r="BV184" s="470"/>
      <c r="BW184" s="470"/>
      <c r="BX184" s="470"/>
      <c r="BY184" s="470"/>
      <c r="BZ184" s="470"/>
      <c r="CA184" s="470"/>
      <c r="CB184" s="470"/>
      <c r="CC184" s="470"/>
      <c r="CD184" s="470"/>
      <c r="CE184" s="470"/>
      <c r="CF184" s="470"/>
      <c r="CG184" s="470"/>
      <c r="CH184" s="470"/>
      <c r="CI184" s="470"/>
      <c r="CJ184" s="470"/>
      <c r="CK184" s="470"/>
      <c r="CL184" s="470"/>
      <c r="CM184" s="470"/>
      <c r="CN184" s="470"/>
      <c r="CO184" s="470"/>
      <c r="CP184" s="470"/>
      <c r="CQ184" s="470"/>
      <c r="CR184" s="470"/>
      <c r="CS184" s="470"/>
      <c r="CT184" s="470"/>
      <c r="CU184" s="470"/>
      <c r="CV184" s="470"/>
      <c r="CW184" s="470"/>
      <c r="CX184" s="470"/>
      <c r="CY184" s="470"/>
      <c r="CZ184" s="470"/>
      <c r="DA184" s="470"/>
      <c r="DB184" s="470"/>
      <c r="DC184" s="470"/>
      <c r="DD184" s="470"/>
      <c r="DE184" s="470"/>
      <c r="DF184" s="470"/>
      <c r="DG184" s="470"/>
      <c r="DH184" s="470"/>
      <c r="DI184" s="470"/>
      <c r="DJ184" s="470"/>
      <c r="DK184" s="470"/>
      <c r="DL184" s="470"/>
      <c r="DM184" s="470"/>
      <c r="DN184" s="470"/>
      <c r="DO184" s="470"/>
      <c r="DP184" s="470"/>
      <c r="DQ184" s="470"/>
      <c r="DR184" s="470"/>
      <c r="DS184" s="470"/>
      <c r="DT184" s="470"/>
      <c r="DU184" s="470"/>
      <c r="DV184" s="470"/>
      <c r="DW184" s="470"/>
      <c r="DX184" s="470"/>
      <c r="DY184" s="470"/>
      <c r="DZ184" s="470"/>
      <c r="EA184" s="470"/>
      <c r="EB184" s="470"/>
      <c r="EC184" s="470"/>
      <c r="ED184" s="470"/>
      <c r="EE184" s="470"/>
      <c r="EF184" s="470"/>
      <c r="EG184" s="470"/>
      <c r="EH184" s="470"/>
      <c r="EI184" s="470"/>
      <c r="EJ184" s="470"/>
      <c r="EK184" s="470"/>
      <c r="EL184" s="470"/>
      <c r="EM184" s="470"/>
      <c r="EN184" s="470"/>
      <c r="EO184" s="470"/>
      <c r="EP184" s="470"/>
      <c r="EQ184" s="470"/>
      <c r="ER184" s="470"/>
      <c r="ES184" s="470"/>
      <c r="ET184" s="470"/>
      <c r="EU184" s="470"/>
      <c r="EV184" s="470"/>
      <c r="EW184" s="470"/>
      <c r="EX184" s="470"/>
      <c r="EY184" s="470"/>
      <c r="EZ184" s="470"/>
      <c r="FA184" s="470"/>
      <c r="FB184" s="470"/>
      <c r="FC184" s="470"/>
      <c r="FD184" s="470"/>
      <c r="FE184" s="470"/>
      <c r="FF184" s="470"/>
      <c r="FG184" s="470"/>
      <c r="FH184" s="470"/>
      <c r="FI184" s="470"/>
      <c r="FJ184" s="470"/>
      <c r="FK184" s="470"/>
      <c r="FL184" s="470"/>
      <c r="FM184" s="470"/>
      <c r="FN184" s="470"/>
      <c r="FO184" s="470"/>
      <c r="FP184" s="470"/>
      <c r="FQ184" s="470"/>
      <c r="FR184" s="470"/>
      <c r="FS184" s="470"/>
      <c r="FT184" s="470"/>
      <c r="FU184" s="470"/>
      <c r="FV184" s="470"/>
      <c r="FW184" s="470"/>
      <c r="FX184" s="470"/>
      <c r="FY184" s="470"/>
      <c r="FZ184" s="470"/>
      <c r="GA184" s="470"/>
      <c r="GB184" s="470"/>
      <c r="GC184" s="470"/>
      <c r="GD184" s="470"/>
      <c r="GE184" s="470"/>
      <c r="GF184" s="470"/>
      <c r="GG184" s="470"/>
      <c r="GH184" s="470"/>
      <c r="GI184" s="470"/>
      <c r="GJ184" s="470"/>
      <c r="GK184" s="470"/>
      <c r="GL184" s="470"/>
      <c r="GM184" s="470"/>
      <c r="GN184" s="470"/>
      <c r="GO184" s="470"/>
      <c r="GP184" s="470"/>
      <c r="GQ184" s="470"/>
      <c r="GR184" s="470"/>
      <c r="GS184" s="470"/>
      <c r="GT184" s="470"/>
      <c r="GU184" s="470"/>
      <c r="GV184" s="470"/>
      <c r="GW184" s="470"/>
      <c r="GX184" s="470"/>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70"/>
      <c r="IF184" s="470"/>
      <c r="IG184" s="470"/>
      <c r="IH184" s="470"/>
      <c r="II184" s="470"/>
      <c r="IJ184" s="470"/>
      <c r="IK184" s="470"/>
      <c r="IL184" s="470"/>
      <c r="IM184" s="470"/>
      <c r="IN184" s="470"/>
      <c r="IO184" s="470"/>
      <c r="IP184" s="470"/>
      <c r="IQ184" s="470"/>
    </row>
    <row r="185" spans="1:251" x14ac:dyDescent="0.2">
      <c r="A185" s="453" t="s">
        <v>10083</v>
      </c>
      <c r="B185" s="453" t="s">
        <v>10084</v>
      </c>
      <c r="C185" s="454" t="s">
        <v>386</v>
      </c>
      <c r="D185" s="455" t="s">
        <v>9783</v>
      </c>
      <c r="E185" s="456" t="s">
        <v>9758</v>
      </c>
      <c r="F185" s="456" t="s">
        <v>10080</v>
      </c>
      <c r="G185" s="456" t="s">
        <v>7180</v>
      </c>
      <c r="H185" s="457">
        <v>268.92</v>
      </c>
      <c r="I185" s="457">
        <f t="shared" si="11"/>
        <v>289.089</v>
      </c>
      <c r="J185" s="457" t="s">
        <v>9706</v>
      </c>
      <c r="K185" s="458">
        <v>0.3</v>
      </c>
      <c r="L185" s="459">
        <f t="shared" si="8"/>
        <v>188.244</v>
      </c>
      <c r="M185" s="460">
        <v>0.18</v>
      </c>
      <c r="N185" s="461">
        <f t="shared" si="9"/>
        <v>237.05298000000002</v>
      </c>
      <c r="O185" s="462">
        <v>0.1</v>
      </c>
      <c r="P185" s="463">
        <f t="shared" si="10"/>
        <v>260.18009999999998</v>
      </c>
      <c r="Q185" s="464"/>
      <c r="R185" s="476">
        <v>20</v>
      </c>
      <c r="S185" s="476">
        <v>20</v>
      </c>
      <c r="T185" s="476">
        <v>20</v>
      </c>
      <c r="U185" s="477"/>
      <c r="V185" s="470"/>
      <c r="W185" s="470"/>
      <c r="X185" s="470"/>
      <c r="Y185" s="470"/>
      <c r="Z185" s="470"/>
      <c r="AA185" s="470"/>
      <c r="AB185" s="470"/>
      <c r="AC185" s="470"/>
      <c r="AD185" s="470"/>
      <c r="AE185" s="470"/>
      <c r="AF185" s="470"/>
      <c r="AG185" s="470"/>
      <c r="AH185" s="470"/>
      <c r="AI185" s="470"/>
      <c r="AJ185" s="470"/>
      <c r="AK185" s="470"/>
      <c r="AL185" s="470"/>
      <c r="AM185" s="470"/>
      <c r="AN185" s="470"/>
      <c r="AO185" s="470"/>
      <c r="AP185" s="470"/>
      <c r="AQ185" s="470"/>
      <c r="AR185" s="470"/>
      <c r="AS185" s="470"/>
      <c r="AT185" s="470"/>
      <c r="AU185" s="470"/>
      <c r="AV185" s="470"/>
      <c r="AW185" s="470"/>
      <c r="AX185" s="470"/>
      <c r="AY185" s="470"/>
      <c r="AZ185" s="470"/>
      <c r="BA185" s="470"/>
      <c r="BB185" s="470"/>
      <c r="BC185" s="470"/>
      <c r="BD185" s="470"/>
      <c r="BE185" s="470"/>
      <c r="BF185" s="470"/>
      <c r="BG185" s="470"/>
      <c r="BH185" s="470"/>
      <c r="BI185" s="470"/>
      <c r="BJ185" s="470"/>
      <c r="BK185" s="470"/>
      <c r="BL185" s="470"/>
      <c r="BM185" s="470"/>
      <c r="BN185" s="470"/>
      <c r="BO185" s="470"/>
      <c r="BP185" s="470"/>
      <c r="BQ185" s="470"/>
      <c r="BR185" s="470"/>
      <c r="BS185" s="470"/>
      <c r="BT185" s="470"/>
      <c r="BU185" s="470"/>
      <c r="BV185" s="470"/>
      <c r="BW185" s="470"/>
      <c r="BX185" s="470"/>
      <c r="BY185" s="470"/>
      <c r="BZ185" s="470"/>
      <c r="CA185" s="470"/>
      <c r="CB185" s="470"/>
      <c r="CC185" s="470"/>
      <c r="CD185" s="470"/>
      <c r="CE185" s="470"/>
      <c r="CF185" s="470"/>
      <c r="CG185" s="470"/>
      <c r="CH185" s="470"/>
      <c r="CI185" s="470"/>
      <c r="CJ185" s="470"/>
      <c r="CK185" s="470"/>
      <c r="CL185" s="470"/>
      <c r="CM185" s="470"/>
      <c r="CN185" s="470"/>
      <c r="CO185" s="470"/>
      <c r="CP185" s="470"/>
      <c r="CQ185" s="470"/>
      <c r="CR185" s="470"/>
      <c r="CS185" s="470"/>
      <c r="CT185" s="470"/>
      <c r="CU185" s="470"/>
      <c r="CV185" s="470"/>
      <c r="CW185" s="470"/>
      <c r="CX185" s="470"/>
      <c r="CY185" s="470"/>
      <c r="CZ185" s="470"/>
      <c r="DA185" s="470"/>
      <c r="DB185" s="470"/>
      <c r="DC185" s="470"/>
      <c r="DD185" s="470"/>
      <c r="DE185" s="470"/>
      <c r="DF185" s="470"/>
      <c r="DG185" s="470"/>
      <c r="DH185" s="470"/>
      <c r="DI185" s="470"/>
      <c r="DJ185" s="470"/>
      <c r="DK185" s="470"/>
      <c r="DL185" s="470"/>
      <c r="DM185" s="470"/>
      <c r="DN185" s="470"/>
      <c r="DO185" s="470"/>
      <c r="DP185" s="470"/>
      <c r="DQ185" s="470"/>
      <c r="DR185" s="470"/>
      <c r="DS185" s="470"/>
      <c r="DT185" s="470"/>
      <c r="DU185" s="470"/>
      <c r="DV185" s="470"/>
      <c r="DW185" s="470"/>
      <c r="DX185" s="470"/>
      <c r="DY185" s="470"/>
      <c r="DZ185" s="470"/>
      <c r="EA185" s="470"/>
      <c r="EB185" s="470"/>
      <c r="EC185" s="470"/>
      <c r="ED185" s="470"/>
      <c r="EE185" s="470"/>
      <c r="EF185" s="470"/>
      <c r="EG185" s="470"/>
      <c r="EH185" s="470"/>
      <c r="EI185" s="470"/>
      <c r="EJ185" s="470"/>
      <c r="EK185" s="470"/>
      <c r="EL185" s="470"/>
      <c r="EM185" s="470"/>
      <c r="EN185" s="470"/>
      <c r="EO185" s="470"/>
      <c r="EP185" s="470"/>
      <c r="EQ185" s="470"/>
      <c r="ER185" s="470"/>
      <c r="ES185" s="470"/>
      <c r="ET185" s="470"/>
      <c r="EU185" s="470"/>
      <c r="EV185" s="470"/>
      <c r="EW185" s="470"/>
      <c r="EX185" s="470"/>
      <c r="EY185" s="470"/>
      <c r="EZ185" s="470"/>
      <c r="FA185" s="470"/>
      <c r="FB185" s="470"/>
      <c r="FC185" s="470"/>
      <c r="FD185" s="470"/>
      <c r="FE185" s="470"/>
      <c r="FF185" s="470"/>
      <c r="FG185" s="470"/>
      <c r="FH185" s="470"/>
      <c r="FI185" s="470"/>
      <c r="FJ185" s="470"/>
      <c r="FK185" s="470"/>
      <c r="FL185" s="470"/>
      <c r="FM185" s="470"/>
      <c r="FN185" s="470"/>
      <c r="FO185" s="470"/>
      <c r="FP185" s="470"/>
      <c r="FQ185" s="470"/>
      <c r="FR185" s="470"/>
      <c r="FS185" s="470"/>
      <c r="FT185" s="470"/>
      <c r="FU185" s="470"/>
      <c r="FV185" s="470"/>
      <c r="FW185" s="470"/>
      <c r="FX185" s="470"/>
      <c r="FY185" s="470"/>
      <c r="FZ185" s="470"/>
      <c r="GA185" s="470"/>
      <c r="GB185" s="470"/>
      <c r="GC185" s="470"/>
      <c r="GD185" s="470"/>
      <c r="GE185" s="470"/>
      <c r="GF185" s="470"/>
      <c r="GG185" s="470"/>
      <c r="GH185" s="470"/>
      <c r="GI185" s="470"/>
      <c r="GJ185" s="470"/>
      <c r="GK185" s="470"/>
      <c r="GL185" s="470"/>
      <c r="GM185" s="470"/>
      <c r="GN185" s="470"/>
      <c r="GO185" s="470"/>
      <c r="GP185" s="470"/>
      <c r="GQ185" s="470"/>
      <c r="GR185" s="470"/>
      <c r="GS185" s="470"/>
      <c r="GT185" s="470"/>
      <c r="GU185" s="470"/>
      <c r="GV185" s="470"/>
      <c r="GW185" s="470"/>
      <c r="GX185" s="470"/>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70"/>
      <c r="IF185" s="470"/>
      <c r="IG185" s="470"/>
      <c r="IH185" s="470"/>
      <c r="II185" s="470"/>
      <c r="IJ185" s="470"/>
      <c r="IK185" s="470"/>
      <c r="IL185" s="470"/>
      <c r="IM185" s="470"/>
      <c r="IN185" s="470"/>
      <c r="IO185" s="470"/>
      <c r="IP185" s="470"/>
      <c r="IQ185" s="470"/>
    </row>
    <row r="186" spans="1:251" x14ac:dyDescent="0.2">
      <c r="A186" s="453" t="s">
        <v>10085</v>
      </c>
      <c r="B186" s="453" t="s">
        <v>10086</v>
      </c>
      <c r="C186" s="454" t="s">
        <v>386</v>
      </c>
      <c r="D186" s="455" t="s">
        <v>9783</v>
      </c>
      <c r="E186" s="456" t="s">
        <v>9710</v>
      </c>
      <c r="F186" s="456" t="s">
        <v>10080</v>
      </c>
      <c r="G186" s="456" t="s">
        <v>7180</v>
      </c>
      <c r="H186" s="457">
        <v>268.92</v>
      </c>
      <c r="I186" s="457">
        <f t="shared" si="11"/>
        <v>289.089</v>
      </c>
      <c r="J186" s="457" t="s">
        <v>9706</v>
      </c>
      <c r="K186" s="458">
        <v>0.3</v>
      </c>
      <c r="L186" s="459">
        <f t="shared" si="8"/>
        <v>188.244</v>
      </c>
      <c r="M186" s="460">
        <v>0.18</v>
      </c>
      <c r="N186" s="461">
        <f t="shared" si="9"/>
        <v>237.05298000000002</v>
      </c>
      <c r="O186" s="462">
        <v>0.1</v>
      </c>
      <c r="P186" s="463">
        <f t="shared" si="10"/>
        <v>260.18009999999998</v>
      </c>
      <c r="Q186" s="464"/>
      <c r="R186" s="476">
        <v>20</v>
      </c>
      <c r="S186" s="476">
        <v>20</v>
      </c>
      <c r="T186" s="476">
        <v>20</v>
      </c>
      <c r="U186" s="477"/>
      <c r="V186" s="470"/>
      <c r="W186" s="470"/>
      <c r="X186" s="470"/>
      <c r="Y186" s="470"/>
      <c r="Z186" s="470"/>
      <c r="AA186" s="470"/>
      <c r="AB186" s="470"/>
      <c r="AC186" s="470"/>
      <c r="AD186" s="470"/>
      <c r="AE186" s="470"/>
      <c r="AF186" s="470"/>
      <c r="AG186" s="470"/>
      <c r="AH186" s="470"/>
      <c r="AI186" s="470"/>
      <c r="AJ186" s="470"/>
      <c r="AK186" s="470"/>
      <c r="AL186" s="470"/>
      <c r="AM186" s="470"/>
      <c r="AN186" s="470"/>
      <c r="AO186" s="470"/>
      <c r="AP186" s="470"/>
      <c r="AQ186" s="470"/>
      <c r="AR186" s="470"/>
      <c r="AS186" s="470"/>
      <c r="AT186" s="470"/>
      <c r="AU186" s="470"/>
      <c r="AV186" s="470"/>
      <c r="AW186" s="470"/>
      <c r="AX186" s="470"/>
      <c r="AY186" s="470"/>
      <c r="AZ186" s="470"/>
      <c r="BA186" s="470"/>
      <c r="BB186" s="470"/>
      <c r="BC186" s="470"/>
      <c r="BD186" s="470"/>
      <c r="BE186" s="470"/>
      <c r="BF186" s="470"/>
      <c r="BG186" s="470"/>
      <c r="BH186" s="470"/>
      <c r="BI186" s="470"/>
      <c r="BJ186" s="470"/>
      <c r="BK186" s="470"/>
      <c r="BL186" s="470"/>
      <c r="BM186" s="470"/>
      <c r="BN186" s="470"/>
      <c r="BO186" s="470"/>
      <c r="BP186" s="470"/>
      <c r="BQ186" s="470"/>
      <c r="BR186" s="470"/>
      <c r="BS186" s="470"/>
      <c r="BT186" s="470"/>
      <c r="BU186" s="470"/>
      <c r="BV186" s="470"/>
      <c r="BW186" s="470"/>
      <c r="BX186" s="470"/>
      <c r="BY186" s="470"/>
      <c r="BZ186" s="470"/>
      <c r="CA186" s="470"/>
      <c r="CB186" s="470"/>
      <c r="CC186" s="470"/>
      <c r="CD186" s="470"/>
      <c r="CE186" s="470"/>
      <c r="CF186" s="470"/>
      <c r="CG186" s="470"/>
      <c r="CH186" s="470"/>
      <c r="CI186" s="470"/>
      <c r="CJ186" s="470"/>
      <c r="CK186" s="470"/>
      <c r="CL186" s="470"/>
      <c r="CM186" s="470"/>
      <c r="CN186" s="470"/>
      <c r="CO186" s="470"/>
      <c r="CP186" s="470"/>
      <c r="CQ186" s="470"/>
      <c r="CR186" s="470"/>
      <c r="CS186" s="470"/>
      <c r="CT186" s="470"/>
      <c r="CU186" s="470"/>
      <c r="CV186" s="470"/>
      <c r="CW186" s="470"/>
      <c r="CX186" s="470"/>
      <c r="CY186" s="470"/>
      <c r="CZ186" s="470"/>
      <c r="DA186" s="470"/>
      <c r="DB186" s="470"/>
      <c r="DC186" s="470"/>
      <c r="DD186" s="470"/>
      <c r="DE186" s="470"/>
      <c r="DF186" s="470"/>
      <c r="DG186" s="470"/>
      <c r="DH186" s="470"/>
      <c r="DI186" s="470"/>
      <c r="DJ186" s="470"/>
      <c r="DK186" s="470"/>
      <c r="DL186" s="470"/>
      <c r="DM186" s="470"/>
      <c r="DN186" s="470"/>
      <c r="DO186" s="470"/>
      <c r="DP186" s="470"/>
      <c r="DQ186" s="470"/>
      <c r="DR186" s="470"/>
      <c r="DS186" s="470"/>
      <c r="DT186" s="470"/>
      <c r="DU186" s="470"/>
      <c r="DV186" s="470"/>
      <c r="DW186" s="470"/>
      <c r="DX186" s="470"/>
      <c r="DY186" s="470"/>
      <c r="DZ186" s="470"/>
      <c r="EA186" s="470"/>
      <c r="EB186" s="470"/>
      <c r="EC186" s="470"/>
      <c r="ED186" s="470"/>
      <c r="EE186" s="470"/>
      <c r="EF186" s="470"/>
      <c r="EG186" s="470"/>
      <c r="EH186" s="470"/>
      <c r="EI186" s="470"/>
      <c r="EJ186" s="470"/>
      <c r="EK186" s="470"/>
      <c r="EL186" s="470"/>
      <c r="EM186" s="470"/>
      <c r="EN186" s="470"/>
      <c r="EO186" s="470"/>
      <c r="EP186" s="470"/>
      <c r="EQ186" s="470"/>
      <c r="ER186" s="470"/>
      <c r="ES186" s="470"/>
      <c r="ET186" s="470"/>
      <c r="EU186" s="470"/>
      <c r="EV186" s="470"/>
      <c r="EW186" s="470"/>
      <c r="EX186" s="470"/>
      <c r="EY186" s="470"/>
      <c r="EZ186" s="470"/>
      <c r="FA186" s="470"/>
      <c r="FB186" s="470"/>
      <c r="FC186" s="470"/>
      <c r="FD186" s="470"/>
      <c r="FE186" s="470"/>
      <c r="FF186" s="470"/>
      <c r="FG186" s="470"/>
      <c r="FH186" s="470"/>
      <c r="FI186" s="470"/>
      <c r="FJ186" s="470"/>
      <c r="FK186" s="470"/>
      <c r="FL186" s="470"/>
      <c r="FM186" s="470"/>
      <c r="FN186" s="470"/>
      <c r="FO186" s="470"/>
      <c r="FP186" s="470"/>
      <c r="FQ186" s="470"/>
      <c r="FR186" s="470"/>
      <c r="FS186" s="470"/>
      <c r="FT186" s="470"/>
      <c r="FU186" s="470"/>
      <c r="FV186" s="470"/>
      <c r="FW186" s="470"/>
      <c r="FX186" s="470"/>
      <c r="FY186" s="470"/>
      <c r="FZ186" s="470"/>
      <c r="GA186" s="470"/>
      <c r="GB186" s="470"/>
      <c r="GC186" s="470"/>
      <c r="GD186" s="470"/>
      <c r="GE186" s="470"/>
      <c r="GF186" s="470"/>
      <c r="GG186" s="470"/>
      <c r="GH186" s="470"/>
      <c r="GI186" s="470"/>
      <c r="GJ186" s="470"/>
      <c r="GK186" s="470"/>
      <c r="GL186" s="470"/>
      <c r="GM186" s="470"/>
      <c r="GN186" s="470"/>
      <c r="GO186" s="470"/>
      <c r="GP186" s="470"/>
      <c r="GQ186" s="470"/>
      <c r="GR186" s="470"/>
      <c r="GS186" s="470"/>
      <c r="GT186" s="470"/>
      <c r="GU186" s="470"/>
      <c r="GV186" s="470"/>
      <c r="GW186" s="470"/>
      <c r="GX186" s="470"/>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70"/>
      <c r="IF186" s="470"/>
      <c r="IG186" s="470"/>
      <c r="IH186" s="470"/>
      <c r="II186" s="470"/>
      <c r="IJ186" s="470"/>
      <c r="IK186" s="470"/>
      <c r="IL186" s="470"/>
      <c r="IM186" s="470"/>
      <c r="IN186" s="470"/>
      <c r="IO186" s="470"/>
      <c r="IP186" s="470"/>
      <c r="IQ186" s="470"/>
    </row>
    <row r="187" spans="1:251" x14ac:dyDescent="0.2">
      <c r="A187" s="453" t="s">
        <v>10087</v>
      </c>
      <c r="B187" s="453" t="s">
        <v>10088</v>
      </c>
      <c r="C187" s="454" t="s">
        <v>386</v>
      </c>
      <c r="D187" s="455" t="s">
        <v>9783</v>
      </c>
      <c r="E187" s="456" t="s">
        <v>9710</v>
      </c>
      <c r="F187" s="456" t="s">
        <v>10080</v>
      </c>
      <c r="G187" s="456" t="s">
        <v>7180</v>
      </c>
      <c r="H187" s="457">
        <v>268.92</v>
      </c>
      <c r="I187" s="457">
        <f t="shared" si="11"/>
        <v>289.089</v>
      </c>
      <c r="J187" s="457" t="s">
        <v>9706</v>
      </c>
      <c r="K187" s="458">
        <v>0.3</v>
      </c>
      <c r="L187" s="459">
        <f t="shared" si="8"/>
        <v>188.244</v>
      </c>
      <c r="M187" s="460">
        <v>0.18</v>
      </c>
      <c r="N187" s="461">
        <f t="shared" si="9"/>
        <v>237.05298000000002</v>
      </c>
      <c r="O187" s="462">
        <v>0.1</v>
      </c>
      <c r="P187" s="463">
        <f t="shared" si="10"/>
        <v>260.18009999999998</v>
      </c>
      <c r="Q187" s="464"/>
      <c r="R187" s="476">
        <v>20</v>
      </c>
      <c r="S187" s="476">
        <v>20</v>
      </c>
      <c r="T187" s="476">
        <v>20</v>
      </c>
      <c r="U187" s="477"/>
      <c r="V187" s="470"/>
      <c r="W187" s="470"/>
      <c r="X187" s="470"/>
      <c r="Y187" s="470"/>
      <c r="Z187" s="470"/>
      <c r="AA187" s="470"/>
      <c r="AB187" s="470"/>
      <c r="AC187" s="470"/>
      <c r="AD187" s="470"/>
      <c r="AE187" s="470"/>
      <c r="AF187" s="470"/>
      <c r="AG187" s="470"/>
      <c r="AH187" s="470"/>
      <c r="AI187" s="470"/>
      <c r="AJ187" s="470"/>
      <c r="AK187" s="470"/>
      <c r="AL187" s="470"/>
      <c r="AM187" s="470"/>
      <c r="AN187" s="470"/>
      <c r="AO187" s="470"/>
      <c r="AP187" s="470"/>
      <c r="AQ187" s="470"/>
      <c r="AR187" s="470"/>
      <c r="AS187" s="470"/>
      <c r="AT187" s="470"/>
      <c r="AU187" s="470"/>
      <c r="AV187" s="470"/>
      <c r="AW187" s="470"/>
      <c r="AX187" s="470"/>
      <c r="AY187" s="470"/>
      <c r="AZ187" s="470"/>
      <c r="BA187" s="470"/>
      <c r="BB187" s="470"/>
      <c r="BC187" s="470"/>
      <c r="BD187" s="470"/>
      <c r="BE187" s="470"/>
      <c r="BF187" s="470"/>
      <c r="BG187" s="470"/>
      <c r="BH187" s="470"/>
      <c r="BI187" s="470"/>
      <c r="BJ187" s="470"/>
      <c r="BK187" s="470"/>
      <c r="BL187" s="470"/>
      <c r="BM187" s="470"/>
      <c r="BN187" s="470"/>
      <c r="BO187" s="470"/>
      <c r="BP187" s="470"/>
      <c r="BQ187" s="470"/>
      <c r="BR187" s="470"/>
      <c r="BS187" s="470"/>
      <c r="BT187" s="470"/>
      <c r="BU187" s="470"/>
      <c r="BV187" s="470"/>
      <c r="BW187" s="470"/>
      <c r="BX187" s="470"/>
      <c r="BY187" s="470"/>
      <c r="BZ187" s="470"/>
      <c r="CA187" s="470"/>
      <c r="CB187" s="470"/>
      <c r="CC187" s="470"/>
      <c r="CD187" s="470"/>
      <c r="CE187" s="470"/>
      <c r="CF187" s="470"/>
      <c r="CG187" s="470"/>
      <c r="CH187" s="470"/>
      <c r="CI187" s="470"/>
      <c r="CJ187" s="470"/>
      <c r="CK187" s="470"/>
      <c r="CL187" s="470"/>
      <c r="CM187" s="470"/>
      <c r="CN187" s="470"/>
      <c r="CO187" s="470"/>
      <c r="CP187" s="470"/>
      <c r="CQ187" s="470"/>
      <c r="CR187" s="470"/>
      <c r="CS187" s="470"/>
      <c r="CT187" s="470"/>
      <c r="CU187" s="470"/>
      <c r="CV187" s="470"/>
      <c r="CW187" s="470"/>
      <c r="CX187" s="470"/>
      <c r="CY187" s="470"/>
      <c r="CZ187" s="470"/>
      <c r="DA187" s="470"/>
      <c r="DB187" s="470"/>
      <c r="DC187" s="470"/>
      <c r="DD187" s="470"/>
      <c r="DE187" s="470"/>
      <c r="DF187" s="470"/>
      <c r="DG187" s="470"/>
      <c r="DH187" s="470"/>
      <c r="DI187" s="470"/>
      <c r="DJ187" s="470"/>
      <c r="DK187" s="470"/>
      <c r="DL187" s="470"/>
      <c r="DM187" s="470"/>
      <c r="DN187" s="470"/>
      <c r="DO187" s="470"/>
      <c r="DP187" s="470"/>
      <c r="DQ187" s="470"/>
      <c r="DR187" s="470"/>
      <c r="DS187" s="470"/>
      <c r="DT187" s="470"/>
      <c r="DU187" s="470"/>
      <c r="DV187" s="470"/>
      <c r="DW187" s="470"/>
      <c r="DX187" s="470"/>
      <c r="DY187" s="470"/>
      <c r="DZ187" s="470"/>
      <c r="EA187" s="470"/>
      <c r="EB187" s="470"/>
      <c r="EC187" s="470"/>
      <c r="ED187" s="470"/>
      <c r="EE187" s="470"/>
      <c r="EF187" s="470"/>
      <c r="EG187" s="470"/>
      <c r="EH187" s="470"/>
      <c r="EI187" s="470"/>
      <c r="EJ187" s="470"/>
      <c r="EK187" s="470"/>
      <c r="EL187" s="470"/>
      <c r="EM187" s="470"/>
      <c r="EN187" s="470"/>
      <c r="EO187" s="470"/>
      <c r="EP187" s="470"/>
      <c r="EQ187" s="470"/>
      <c r="ER187" s="470"/>
      <c r="ES187" s="470"/>
      <c r="ET187" s="470"/>
      <c r="EU187" s="470"/>
      <c r="EV187" s="470"/>
      <c r="EW187" s="470"/>
      <c r="EX187" s="470"/>
      <c r="EY187" s="470"/>
      <c r="EZ187" s="470"/>
      <c r="FA187" s="470"/>
      <c r="FB187" s="470"/>
      <c r="FC187" s="470"/>
      <c r="FD187" s="470"/>
      <c r="FE187" s="470"/>
      <c r="FF187" s="470"/>
      <c r="FG187" s="470"/>
      <c r="FH187" s="470"/>
      <c r="FI187" s="470"/>
      <c r="FJ187" s="470"/>
      <c r="FK187" s="470"/>
      <c r="FL187" s="470"/>
      <c r="FM187" s="470"/>
      <c r="FN187" s="470"/>
      <c r="FO187" s="470"/>
      <c r="FP187" s="470"/>
      <c r="FQ187" s="470"/>
      <c r="FR187" s="470"/>
      <c r="FS187" s="470"/>
      <c r="FT187" s="470"/>
      <c r="FU187" s="470"/>
      <c r="FV187" s="470"/>
      <c r="FW187" s="470"/>
      <c r="FX187" s="470"/>
      <c r="FY187" s="470"/>
      <c r="FZ187" s="470"/>
      <c r="GA187" s="470"/>
      <c r="GB187" s="470"/>
      <c r="GC187" s="470"/>
      <c r="GD187" s="470"/>
      <c r="GE187" s="470"/>
      <c r="GF187" s="470"/>
      <c r="GG187" s="470"/>
      <c r="GH187" s="470"/>
      <c r="GI187" s="470"/>
      <c r="GJ187" s="470"/>
      <c r="GK187" s="470"/>
      <c r="GL187" s="470"/>
      <c r="GM187" s="470"/>
      <c r="GN187" s="470"/>
      <c r="GO187" s="470"/>
      <c r="GP187" s="470"/>
      <c r="GQ187" s="470"/>
      <c r="GR187" s="470"/>
      <c r="GS187" s="470"/>
      <c r="GT187" s="470"/>
      <c r="GU187" s="470"/>
      <c r="GV187" s="470"/>
      <c r="GW187" s="470"/>
      <c r="GX187" s="470"/>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70"/>
      <c r="IF187" s="470"/>
      <c r="IG187" s="470"/>
      <c r="IH187" s="470"/>
      <c r="II187" s="470"/>
      <c r="IJ187" s="470"/>
      <c r="IK187" s="470"/>
      <c r="IL187" s="470"/>
      <c r="IM187" s="470"/>
      <c r="IN187" s="470"/>
      <c r="IO187" s="470"/>
      <c r="IP187" s="470"/>
      <c r="IQ187" s="470"/>
    </row>
    <row r="188" spans="1:251" x14ac:dyDescent="0.2">
      <c r="A188" s="453" t="s">
        <v>10089</v>
      </c>
      <c r="B188" s="453" t="s">
        <v>10090</v>
      </c>
      <c r="C188" s="454" t="s">
        <v>386</v>
      </c>
      <c r="D188" s="455" t="s">
        <v>9783</v>
      </c>
      <c r="E188" s="456" t="s">
        <v>9710</v>
      </c>
      <c r="F188" s="456" t="s">
        <v>10080</v>
      </c>
      <c r="G188" s="456" t="s">
        <v>7180</v>
      </c>
      <c r="H188" s="457">
        <v>268.92</v>
      </c>
      <c r="I188" s="457">
        <f t="shared" si="11"/>
        <v>289.089</v>
      </c>
      <c r="J188" s="457" t="s">
        <v>9706</v>
      </c>
      <c r="K188" s="458">
        <v>0.3</v>
      </c>
      <c r="L188" s="459">
        <f t="shared" si="8"/>
        <v>188.244</v>
      </c>
      <c r="M188" s="460">
        <v>0.18</v>
      </c>
      <c r="N188" s="461">
        <f t="shared" si="9"/>
        <v>237.05298000000002</v>
      </c>
      <c r="O188" s="462">
        <v>0.1</v>
      </c>
      <c r="P188" s="463">
        <f t="shared" si="10"/>
        <v>260.18009999999998</v>
      </c>
      <c r="Q188" s="464"/>
      <c r="R188" s="476">
        <v>20</v>
      </c>
      <c r="S188" s="476">
        <v>20</v>
      </c>
      <c r="T188" s="476">
        <v>20</v>
      </c>
      <c r="U188" s="477"/>
      <c r="V188" s="470"/>
      <c r="W188" s="470"/>
      <c r="X188" s="470"/>
      <c r="Y188" s="470"/>
      <c r="Z188" s="470"/>
      <c r="AA188" s="470"/>
      <c r="AB188" s="470"/>
      <c r="AC188" s="470"/>
      <c r="AD188" s="470"/>
      <c r="AE188" s="470"/>
      <c r="AF188" s="470"/>
      <c r="AG188" s="470"/>
      <c r="AH188" s="470"/>
      <c r="AI188" s="470"/>
      <c r="AJ188" s="470"/>
      <c r="AK188" s="470"/>
      <c r="AL188" s="470"/>
      <c r="AM188" s="470"/>
      <c r="AN188" s="470"/>
      <c r="AO188" s="470"/>
      <c r="AP188" s="470"/>
      <c r="AQ188" s="470"/>
      <c r="AR188" s="470"/>
      <c r="AS188" s="470"/>
      <c r="AT188" s="470"/>
      <c r="AU188" s="470"/>
      <c r="AV188" s="470"/>
      <c r="AW188" s="470"/>
      <c r="AX188" s="470"/>
      <c r="AY188" s="470"/>
      <c r="AZ188" s="470"/>
      <c r="BA188" s="470"/>
      <c r="BB188" s="470"/>
      <c r="BC188" s="470"/>
      <c r="BD188" s="470"/>
      <c r="BE188" s="470"/>
      <c r="BF188" s="470"/>
      <c r="BG188" s="470"/>
      <c r="BH188" s="470"/>
      <c r="BI188" s="470"/>
      <c r="BJ188" s="470"/>
      <c r="BK188" s="470"/>
      <c r="BL188" s="470"/>
      <c r="BM188" s="470"/>
      <c r="BN188" s="470"/>
      <c r="BO188" s="470"/>
      <c r="BP188" s="470"/>
      <c r="BQ188" s="470"/>
      <c r="BR188" s="470"/>
      <c r="BS188" s="470"/>
      <c r="BT188" s="470"/>
      <c r="BU188" s="470"/>
      <c r="BV188" s="470"/>
      <c r="BW188" s="470"/>
      <c r="BX188" s="470"/>
      <c r="BY188" s="470"/>
      <c r="BZ188" s="470"/>
      <c r="CA188" s="470"/>
      <c r="CB188" s="470"/>
      <c r="CC188" s="470"/>
      <c r="CD188" s="470"/>
      <c r="CE188" s="470"/>
      <c r="CF188" s="470"/>
      <c r="CG188" s="470"/>
      <c r="CH188" s="470"/>
      <c r="CI188" s="470"/>
      <c r="CJ188" s="470"/>
      <c r="CK188" s="470"/>
      <c r="CL188" s="470"/>
      <c r="CM188" s="470"/>
      <c r="CN188" s="470"/>
      <c r="CO188" s="470"/>
      <c r="CP188" s="470"/>
      <c r="CQ188" s="470"/>
      <c r="CR188" s="470"/>
      <c r="CS188" s="470"/>
      <c r="CT188" s="470"/>
      <c r="CU188" s="470"/>
      <c r="CV188" s="470"/>
      <c r="CW188" s="470"/>
      <c r="CX188" s="470"/>
      <c r="CY188" s="470"/>
      <c r="CZ188" s="470"/>
      <c r="DA188" s="470"/>
      <c r="DB188" s="470"/>
      <c r="DC188" s="470"/>
      <c r="DD188" s="470"/>
      <c r="DE188" s="470"/>
      <c r="DF188" s="470"/>
      <c r="DG188" s="470"/>
      <c r="DH188" s="470"/>
      <c r="DI188" s="470"/>
      <c r="DJ188" s="470"/>
      <c r="DK188" s="470"/>
      <c r="DL188" s="470"/>
      <c r="DM188" s="470"/>
      <c r="DN188" s="470"/>
      <c r="DO188" s="470"/>
      <c r="DP188" s="470"/>
      <c r="DQ188" s="470"/>
      <c r="DR188" s="470"/>
      <c r="DS188" s="470"/>
      <c r="DT188" s="470"/>
      <c r="DU188" s="470"/>
      <c r="DV188" s="470"/>
      <c r="DW188" s="470"/>
      <c r="DX188" s="470"/>
      <c r="DY188" s="470"/>
      <c r="DZ188" s="470"/>
      <c r="EA188" s="470"/>
      <c r="EB188" s="470"/>
      <c r="EC188" s="470"/>
      <c r="ED188" s="470"/>
      <c r="EE188" s="470"/>
      <c r="EF188" s="470"/>
      <c r="EG188" s="470"/>
      <c r="EH188" s="470"/>
      <c r="EI188" s="470"/>
      <c r="EJ188" s="470"/>
      <c r="EK188" s="470"/>
      <c r="EL188" s="470"/>
      <c r="EM188" s="470"/>
      <c r="EN188" s="470"/>
      <c r="EO188" s="470"/>
      <c r="EP188" s="470"/>
      <c r="EQ188" s="470"/>
      <c r="ER188" s="470"/>
      <c r="ES188" s="470"/>
      <c r="ET188" s="470"/>
      <c r="EU188" s="470"/>
      <c r="EV188" s="470"/>
      <c r="EW188" s="470"/>
      <c r="EX188" s="470"/>
      <c r="EY188" s="470"/>
      <c r="EZ188" s="470"/>
      <c r="FA188" s="470"/>
      <c r="FB188" s="470"/>
      <c r="FC188" s="470"/>
      <c r="FD188" s="470"/>
      <c r="FE188" s="470"/>
      <c r="FF188" s="470"/>
      <c r="FG188" s="470"/>
      <c r="FH188" s="470"/>
      <c r="FI188" s="470"/>
      <c r="FJ188" s="470"/>
      <c r="FK188" s="470"/>
      <c r="FL188" s="470"/>
      <c r="FM188" s="470"/>
      <c r="FN188" s="470"/>
      <c r="FO188" s="470"/>
      <c r="FP188" s="470"/>
      <c r="FQ188" s="470"/>
      <c r="FR188" s="470"/>
      <c r="FS188" s="470"/>
      <c r="FT188" s="470"/>
      <c r="FU188" s="470"/>
      <c r="FV188" s="470"/>
      <c r="FW188" s="470"/>
      <c r="FX188" s="470"/>
      <c r="FY188" s="470"/>
      <c r="FZ188" s="470"/>
      <c r="GA188" s="470"/>
      <c r="GB188" s="470"/>
      <c r="GC188" s="470"/>
      <c r="GD188" s="470"/>
      <c r="GE188" s="470"/>
      <c r="GF188" s="470"/>
      <c r="GG188" s="470"/>
      <c r="GH188" s="470"/>
      <c r="GI188" s="470"/>
      <c r="GJ188" s="470"/>
      <c r="GK188" s="470"/>
      <c r="GL188" s="470"/>
      <c r="GM188" s="470"/>
      <c r="GN188" s="470"/>
      <c r="GO188" s="470"/>
      <c r="GP188" s="470"/>
      <c r="GQ188" s="470"/>
      <c r="GR188" s="470"/>
      <c r="GS188" s="470"/>
      <c r="GT188" s="470"/>
      <c r="GU188" s="470"/>
      <c r="GV188" s="470"/>
      <c r="GW188" s="470"/>
      <c r="GX188" s="470"/>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70"/>
      <c r="IF188" s="470"/>
      <c r="IG188" s="470"/>
      <c r="IH188" s="470"/>
      <c r="II188" s="470"/>
      <c r="IJ188" s="470"/>
      <c r="IK188" s="470"/>
      <c r="IL188" s="470"/>
      <c r="IM188" s="470"/>
      <c r="IN188" s="470"/>
      <c r="IO188" s="470"/>
      <c r="IP188" s="470"/>
      <c r="IQ188" s="470"/>
    </row>
    <row r="189" spans="1:251" x14ac:dyDescent="0.2">
      <c r="A189" s="453" t="s">
        <v>10091</v>
      </c>
      <c r="B189" s="453" t="s">
        <v>10092</v>
      </c>
      <c r="C189" s="454" t="s">
        <v>386</v>
      </c>
      <c r="D189" s="455" t="s">
        <v>9783</v>
      </c>
      <c r="E189" s="456" t="s">
        <v>9710</v>
      </c>
      <c r="F189" s="456" t="s">
        <v>10080</v>
      </c>
      <c r="G189" s="456" t="s">
        <v>7180</v>
      </c>
      <c r="H189" s="457">
        <v>268.92</v>
      </c>
      <c r="I189" s="457">
        <f t="shared" si="11"/>
        <v>289.089</v>
      </c>
      <c r="J189" s="457" t="s">
        <v>9706</v>
      </c>
      <c r="K189" s="458">
        <v>0.3</v>
      </c>
      <c r="L189" s="459">
        <f t="shared" si="8"/>
        <v>188.244</v>
      </c>
      <c r="M189" s="460">
        <v>0.18</v>
      </c>
      <c r="N189" s="461">
        <f t="shared" si="9"/>
        <v>237.05298000000002</v>
      </c>
      <c r="O189" s="462">
        <v>0.1</v>
      </c>
      <c r="P189" s="463">
        <f t="shared" si="10"/>
        <v>260.18009999999998</v>
      </c>
      <c r="Q189" s="464"/>
      <c r="R189" s="476">
        <v>20</v>
      </c>
      <c r="S189" s="476">
        <v>20</v>
      </c>
      <c r="T189" s="476">
        <v>20</v>
      </c>
      <c r="U189" s="477"/>
      <c r="V189" s="470"/>
      <c r="W189" s="470"/>
      <c r="X189" s="470"/>
      <c r="Y189" s="470"/>
      <c r="Z189" s="470"/>
      <c r="AA189" s="470"/>
      <c r="AB189" s="470"/>
      <c r="AC189" s="470"/>
      <c r="AD189" s="470"/>
      <c r="AE189" s="470"/>
      <c r="AF189" s="470"/>
      <c r="AG189" s="470"/>
      <c r="AH189" s="470"/>
      <c r="AI189" s="470"/>
      <c r="AJ189" s="470"/>
      <c r="AK189" s="470"/>
      <c r="AL189" s="470"/>
      <c r="AM189" s="470"/>
      <c r="AN189" s="470"/>
      <c r="AO189" s="470"/>
      <c r="AP189" s="470"/>
      <c r="AQ189" s="470"/>
      <c r="AR189" s="470"/>
      <c r="AS189" s="470"/>
      <c r="AT189" s="470"/>
      <c r="AU189" s="470"/>
      <c r="AV189" s="470"/>
      <c r="AW189" s="470"/>
      <c r="AX189" s="470"/>
      <c r="AY189" s="470"/>
      <c r="AZ189" s="470"/>
      <c r="BA189" s="470"/>
      <c r="BB189" s="470"/>
      <c r="BC189" s="470"/>
      <c r="BD189" s="470"/>
      <c r="BE189" s="470"/>
      <c r="BF189" s="470"/>
      <c r="BG189" s="470"/>
      <c r="BH189" s="470"/>
      <c r="BI189" s="470"/>
      <c r="BJ189" s="470"/>
      <c r="BK189" s="470"/>
      <c r="BL189" s="470"/>
      <c r="BM189" s="470"/>
      <c r="BN189" s="470"/>
      <c r="BO189" s="470"/>
      <c r="BP189" s="470"/>
      <c r="BQ189" s="470"/>
      <c r="BR189" s="470"/>
      <c r="BS189" s="470"/>
      <c r="BT189" s="470"/>
      <c r="BU189" s="470"/>
      <c r="BV189" s="470"/>
      <c r="BW189" s="470"/>
      <c r="BX189" s="470"/>
      <c r="BY189" s="470"/>
      <c r="BZ189" s="470"/>
      <c r="CA189" s="470"/>
      <c r="CB189" s="470"/>
      <c r="CC189" s="470"/>
      <c r="CD189" s="470"/>
      <c r="CE189" s="470"/>
      <c r="CF189" s="470"/>
      <c r="CG189" s="470"/>
      <c r="CH189" s="470"/>
      <c r="CI189" s="470"/>
      <c r="CJ189" s="470"/>
      <c r="CK189" s="470"/>
      <c r="CL189" s="470"/>
      <c r="CM189" s="470"/>
      <c r="CN189" s="470"/>
      <c r="CO189" s="470"/>
      <c r="CP189" s="470"/>
      <c r="CQ189" s="470"/>
      <c r="CR189" s="470"/>
      <c r="CS189" s="470"/>
      <c r="CT189" s="470"/>
      <c r="CU189" s="470"/>
      <c r="CV189" s="470"/>
      <c r="CW189" s="470"/>
      <c r="CX189" s="470"/>
      <c r="CY189" s="470"/>
      <c r="CZ189" s="470"/>
      <c r="DA189" s="470"/>
      <c r="DB189" s="470"/>
      <c r="DC189" s="470"/>
      <c r="DD189" s="470"/>
      <c r="DE189" s="470"/>
      <c r="DF189" s="470"/>
      <c r="DG189" s="470"/>
      <c r="DH189" s="470"/>
      <c r="DI189" s="470"/>
      <c r="DJ189" s="470"/>
      <c r="DK189" s="470"/>
      <c r="DL189" s="470"/>
      <c r="DM189" s="470"/>
      <c r="DN189" s="470"/>
      <c r="DO189" s="470"/>
      <c r="DP189" s="470"/>
      <c r="DQ189" s="470"/>
      <c r="DR189" s="470"/>
      <c r="DS189" s="470"/>
      <c r="DT189" s="470"/>
      <c r="DU189" s="470"/>
      <c r="DV189" s="470"/>
      <c r="DW189" s="470"/>
      <c r="DX189" s="470"/>
      <c r="DY189" s="470"/>
      <c r="DZ189" s="470"/>
      <c r="EA189" s="470"/>
      <c r="EB189" s="470"/>
      <c r="EC189" s="470"/>
      <c r="ED189" s="470"/>
      <c r="EE189" s="470"/>
      <c r="EF189" s="470"/>
      <c r="EG189" s="470"/>
      <c r="EH189" s="470"/>
      <c r="EI189" s="470"/>
      <c r="EJ189" s="470"/>
      <c r="EK189" s="470"/>
      <c r="EL189" s="470"/>
      <c r="EM189" s="470"/>
      <c r="EN189" s="470"/>
      <c r="EO189" s="470"/>
      <c r="EP189" s="470"/>
      <c r="EQ189" s="470"/>
      <c r="ER189" s="470"/>
      <c r="ES189" s="470"/>
      <c r="ET189" s="470"/>
      <c r="EU189" s="470"/>
      <c r="EV189" s="470"/>
      <c r="EW189" s="470"/>
      <c r="EX189" s="470"/>
      <c r="EY189" s="470"/>
      <c r="EZ189" s="470"/>
      <c r="FA189" s="470"/>
      <c r="FB189" s="470"/>
      <c r="FC189" s="470"/>
      <c r="FD189" s="470"/>
      <c r="FE189" s="470"/>
      <c r="FF189" s="470"/>
      <c r="FG189" s="470"/>
      <c r="FH189" s="470"/>
      <c r="FI189" s="470"/>
      <c r="FJ189" s="470"/>
      <c r="FK189" s="470"/>
      <c r="FL189" s="470"/>
      <c r="FM189" s="470"/>
      <c r="FN189" s="470"/>
      <c r="FO189" s="470"/>
      <c r="FP189" s="470"/>
      <c r="FQ189" s="470"/>
      <c r="FR189" s="470"/>
      <c r="FS189" s="470"/>
      <c r="FT189" s="470"/>
      <c r="FU189" s="470"/>
      <c r="FV189" s="470"/>
      <c r="FW189" s="470"/>
      <c r="FX189" s="470"/>
      <c r="FY189" s="470"/>
      <c r="FZ189" s="470"/>
      <c r="GA189" s="470"/>
      <c r="GB189" s="470"/>
      <c r="GC189" s="470"/>
      <c r="GD189" s="470"/>
      <c r="GE189" s="470"/>
      <c r="GF189" s="470"/>
      <c r="GG189" s="470"/>
      <c r="GH189" s="470"/>
      <c r="GI189" s="470"/>
      <c r="GJ189" s="470"/>
      <c r="GK189" s="470"/>
      <c r="GL189" s="470"/>
      <c r="GM189" s="470"/>
      <c r="GN189" s="470"/>
      <c r="GO189" s="470"/>
      <c r="GP189" s="470"/>
      <c r="GQ189" s="470"/>
      <c r="GR189" s="470"/>
      <c r="GS189" s="470"/>
      <c r="GT189" s="470"/>
      <c r="GU189" s="470"/>
      <c r="GV189" s="470"/>
      <c r="GW189" s="470"/>
      <c r="GX189" s="470"/>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70"/>
      <c r="IF189" s="470"/>
      <c r="IG189" s="470"/>
      <c r="IH189" s="470"/>
      <c r="II189" s="470"/>
      <c r="IJ189" s="470"/>
      <c r="IK189" s="470"/>
      <c r="IL189" s="470"/>
      <c r="IM189" s="470"/>
      <c r="IN189" s="470"/>
      <c r="IO189" s="470"/>
      <c r="IP189" s="470"/>
      <c r="IQ189" s="470"/>
    </row>
    <row r="190" spans="1:251" x14ac:dyDescent="0.2">
      <c r="A190" s="453" t="s">
        <v>10093</v>
      </c>
      <c r="B190" s="453" t="s">
        <v>10094</v>
      </c>
      <c r="C190" s="454" t="s">
        <v>386</v>
      </c>
      <c r="D190" s="455" t="s">
        <v>9783</v>
      </c>
      <c r="E190" s="456" t="s">
        <v>9710</v>
      </c>
      <c r="F190" s="456" t="s">
        <v>10080</v>
      </c>
      <c r="G190" s="456" t="s">
        <v>7180</v>
      </c>
      <c r="H190" s="457">
        <v>268.92</v>
      </c>
      <c r="I190" s="457">
        <f t="shared" si="11"/>
        <v>289.089</v>
      </c>
      <c r="J190" s="457" t="s">
        <v>9706</v>
      </c>
      <c r="K190" s="458">
        <v>0.3</v>
      </c>
      <c r="L190" s="459">
        <f t="shared" si="8"/>
        <v>188.244</v>
      </c>
      <c r="M190" s="460">
        <v>0.18</v>
      </c>
      <c r="N190" s="461">
        <f t="shared" si="9"/>
        <v>237.05298000000002</v>
      </c>
      <c r="O190" s="462">
        <v>0.1</v>
      </c>
      <c r="P190" s="463">
        <f t="shared" si="10"/>
        <v>260.18009999999998</v>
      </c>
      <c r="Q190" s="464"/>
      <c r="R190" s="476">
        <v>20</v>
      </c>
      <c r="S190" s="476">
        <v>20</v>
      </c>
      <c r="T190" s="476">
        <v>20</v>
      </c>
      <c r="U190" s="477"/>
      <c r="V190" s="470"/>
      <c r="W190" s="470"/>
      <c r="X190" s="470"/>
      <c r="Y190" s="470"/>
      <c r="Z190" s="470"/>
      <c r="AA190" s="470"/>
      <c r="AB190" s="470"/>
      <c r="AC190" s="470"/>
      <c r="AD190" s="470"/>
      <c r="AE190" s="470"/>
      <c r="AF190" s="470"/>
      <c r="AG190" s="470"/>
      <c r="AH190" s="470"/>
      <c r="AI190" s="470"/>
      <c r="AJ190" s="470"/>
      <c r="AK190" s="470"/>
      <c r="AL190" s="470"/>
      <c r="AM190" s="470"/>
      <c r="AN190" s="470"/>
      <c r="AO190" s="470"/>
      <c r="AP190" s="470"/>
      <c r="AQ190" s="470"/>
      <c r="AR190" s="470"/>
      <c r="AS190" s="470"/>
      <c r="AT190" s="470"/>
      <c r="AU190" s="470"/>
      <c r="AV190" s="470"/>
      <c r="AW190" s="470"/>
      <c r="AX190" s="470"/>
      <c r="AY190" s="470"/>
      <c r="AZ190" s="470"/>
      <c r="BA190" s="470"/>
      <c r="BB190" s="470"/>
      <c r="BC190" s="470"/>
      <c r="BD190" s="470"/>
      <c r="BE190" s="470"/>
      <c r="BF190" s="470"/>
      <c r="BG190" s="470"/>
      <c r="BH190" s="470"/>
      <c r="BI190" s="470"/>
      <c r="BJ190" s="470"/>
      <c r="BK190" s="470"/>
      <c r="BL190" s="470"/>
      <c r="BM190" s="470"/>
      <c r="BN190" s="470"/>
      <c r="BO190" s="470"/>
      <c r="BP190" s="470"/>
      <c r="BQ190" s="470"/>
      <c r="BR190" s="470"/>
      <c r="BS190" s="470"/>
      <c r="BT190" s="470"/>
      <c r="BU190" s="470"/>
      <c r="BV190" s="470"/>
      <c r="BW190" s="470"/>
      <c r="BX190" s="470"/>
      <c r="BY190" s="470"/>
      <c r="BZ190" s="470"/>
      <c r="CA190" s="470"/>
      <c r="CB190" s="470"/>
      <c r="CC190" s="470"/>
      <c r="CD190" s="470"/>
      <c r="CE190" s="470"/>
      <c r="CF190" s="470"/>
      <c r="CG190" s="470"/>
      <c r="CH190" s="470"/>
      <c r="CI190" s="470"/>
      <c r="CJ190" s="470"/>
      <c r="CK190" s="470"/>
      <c r="CL190" s="470"/>
      <c r="CM190" s="470"/>
      <c r="CN190" s="470"/>
      <c r="CO190" s="470"/>
      <c r="CP190" s="470"/>
      <c r="CQ190" s="470"/>
      <c r="CR190" s="470"/>
      <c r="CS190" s="470"/>
      <c r="CT190" s="470"/>
      <c r="CU190" s="470"/>
      <c r="CV190" s="470"/>
      <c r="CW190" s="470"/>
      <c r="CX190" s="470"/>
      <c r="CY190" s="470"/>
      <c r="CZ190" s="470"/>
      <c r="DA190" s="470"/>
      <c r="DB190" s="470"/>
      <c r="DC190" s="470"/>
      <c r="DD190" s="470"/>
      <c r="DE190" s="470"/>
      <c r="DF190" s="470"/>
      <c r="DG190" s="470"/>
      <c r="DH190" s="470"/>
      <c r="DI190" s="470"/>
      <c r="DJ190" s="470"/>
      <c r="DK190" s="470"/>
      <c r="DL190" s="470"/>
      <c r="DM190" s="470"/>
      <c r="DN190" s="470"/>
      <c r="DO190" s="470"/>
      <c r="DP190" s="470"/>
      <c r="DQ190" s="470"/>
      <c r="DR190" s="470"/>
      <c r="DS190" s="470"/>
      <c r="DT190" s="470"/>
      <c r="DU190" s="470"/>
      <c r="DV190" s="470"/>
      <c r="DW190" s="470"/>
      <c r="DX190" s="470"/>
      <c r="DY190" s="470"/>
      <c r="DZ190" s="470"/>
      <c r="EA190" s="470"/>
      <c r="EB190" s="470"/>
      <c r="EC190" s="470"/>
      <c r="ED190" s="470"/>
      <c r="EE190" s="470"/>
      <c r="EF190" s="470"/>
      <c r="EG190" s="470"/>
      <c r="EH190" s="470"/>
      <c r="EI190" s="470"/>
      <c r="EJ190" s="470"/>
      <c r="EK190" s="470"/>
      <c r="EL190" s="470"/>
      <c r="EM190" s="470"/>
      <c r="EN190" s="470"/>
      <c r="EO190" s="470"/>
      <c r="EP190" s="470"/>
      <c r="EQ190" s="470"/>
      <c r="ER190" s="470"/>
      <c r="ES190" s="470"/>
      <c r="ET190" s="470"/>
      <c r="EU190" s="470"/>
      <c r="EV190" s="470"/>
      <c r="EW190" s="470"/>
      <c r="EX190" s="470"/>
      <c r="EY190" s="470"/>
      <c r="EZ190" s="470"/>
      <c r="FA190" s="470"/>
      <c r="FB190" s="470"/>
      <c r="FC190" s="470"/>
      <c r="FD190" s="470"/>
      <c r="FE190" s="470"/>
      <c r="FF190" s="470"/>
      <c r="FG190" s="470"/>
      <c r="FH190" s="470"/>
      <c r="FI190" s="470"/>
      <c r="FJ190" s="470"/>
      <c r="FK190" s="470"/>
      <c r="FL190" s="470"/>
      <c r="FM190" s="470"/>
      <c r="FN190" s="470"/>
      <c r="FO190" s="470"/>
      <c r="FP190" s="470"/>
      <c r="FQ190" s="470"/>
      <c r="FR190" s="470"/>
      <c r="FS190" s="470"/>
      <c r="FT190" s="470"/>
      <c r="FU190" s="470"/>
      <c r="FV190" s="470"/>
      <c r="FW190" s="470"/>
      <c r="FX190" s="470"/>
      <c r="FY190" s="470"/>
      <c r="FZ190" s="470"/>
      <c r="GA190" s="470"/>
      <c r="GB190" s="470"/>
      <c r="GC190" s="470"/>
      <c r="GD190" s="470"/>
      <c r="GE190" s="470"/>
      <c r="GF190" s="470"/>
      <c r="GG190" s="470"/>
      <c r="GH190" s="470"/>
      <c r="GI190" s="470"/>
      <c r="GJ190" s="470"/>
      <c r="GK190" s="470"/>
      <c r="GL190" s="470"/>
      <c r="GM190" s="470"/>
      <c r="GN190" s="470"/>
      <c r="GO190" s="470"/>
      <c r="GP190" s="470"/>
      <c r="GQ190" s="470"/>
      <c r="GR190" s="470"/>
      <c r="GS190" s="470"/>
      <c r="GT190" s="470"/>
      <c r="GU190" s="470"/>
      <c r="GV190" s="470"/>
      <c r="GW190" s="470"/>
      <c r="GX190" s="470"/>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70"/>
      <c r="IF190" s="470"/>
      <c r="IG190" s="470"/>
      <c r="IH190" s="470"/>
      <c r="II190" s="470"/>
      <c r="IJ190" s="470"/>
      <c r="IK190" s="470"/>
      <c r="IL190" s="470"/>
      <c r="IM190" s="470"/>
      <c r="IN190" s="470"/>
      <c r="IO190" s="470"/>
      <c r="IP190" s="470"/>
      <c r="IQ190" s="470"/>
    </row>
    <row r="191" spans="1:251" x14ac:dyDescent="0.2">
      <c r="A191" s="453" t="s">
        <v>10095</v>
      </c>
      <c r="B191" s="453" t="s">
        <v>10096</v>
      </c>
      <c r="C191" s="454" t="s">
        <v>386</v>
      </c>
      <c r="D191" s="455" t="s">
        <v>9783</v>
      </c>
      <c r="E191" s="456" t="s">
        <v>9739</v>
      </c>
      <c r="F191" s="456" t="s">
        <v>10080</v>
      </c>
      <c r="G191" s="456" t="s">
        <v>7180</v>
      </c>
      <c r="H191" s="457">
        <v>268.92</v>
      </c>
      <c r="I191" s="457">
        <f t="shared" si="11"/>
        <v>289.089</v>
      </c>
      <c r="J191" s="457" t="s">
        <v>9706</v>
      </c>
      <c r="K191" s="458">
        <v>0.3</v>
      </c>
      <c r="L191" s="459">
        <f t="shared" si="8"/>
        <v>188.244</v>
      </c>
      <c r="M191" s="460">
        <v>0.18</v>
      </c>
      <c r="N191" s="461">
        <f t="shared" si="9"/>
        <v>237.05298000000002</v>
      </c>
      <c r="O191" s="462">
        <v>0.1</v>
      </c>
      <c r="P191" s="463">
        <f t="shared" si="10"/>
        <v>260.18009999999998</v>
      </c>
      <c r="Q191" s="464"/>
      <c r="R191" s="476">
        <v>20</v>
      </c>
      <c r="S191" s="476">
        <v>20</v>
      </c>
      <c r="T191" s="476">
        <v>20</v>
      </c>
      <c r="U191" s="477"/>
      <c r="V191" s="470"/>
      <c r="W191" s="470"/>
      <c r="X191" s="470"/>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0"/>
      <c r="AY191" s="470"/>
      <c r="AZ191" s="470"/>
      <c r="BA191" s="470"/>
      <c r="BB191" s="470"/>
      <c r="BC191" s="470"/>
      <c r="BD191" s="470"/>
      <c r="BE191" s="470"/>
      <c r="BF191" s="470"/>
      <c r="BG191" s="470"/>
      <c r="BH191" s="470"/>
      <c r="BI191" s="470"/>
      <c r="BJ191" s="470"/>
      <c r="BK191" s="470"/>
      <c r="BL191" s="470"/>
      <c r="BM191" s="470"/>
      <c r="BN191" s="470"/>
      <c r="BO191" s="470"/>
      <c r="BP191" s="470"/>
      <c r="BQ191" s="470"/>
      <c r="BR191" s="470"/>
      <c r="BS191" s="470"/>
      <c r="BT191" s="470"/>
      <c r="BU191" s="470"/>
      <c r="BV191" s="470"/>
      <c r="BW191" s="470"/>
      <c r="BX191" s="470"/>
      <c r="BY191" s="470"/>
      <c r="BZ191" s="470"/>
      <c r="CA191" s="470"/>
      <c r="CB191" s="470"/>
      <c r="CC191" s="470"/>
      <c r="CD191" s="470"/>
      <c r="CE191" s="470"/>
      <c r="CF191" s="470"/>
      <c r="CG191" s="470"/>
      <c r="CH191" s="470"/>
      <c r="CI191" s="470"/>
      <c r="CJ191" s="470"/>
      <c r="CK191" s="470"/>
      <c r="CL191" s="470"/>
      <c r="CM191" s="470"/>
      <c r="CN191" s="470"/>
      <c r="CO191" s="470"/>
      <c r="CP191" s="470"/>
      <c r="CQ191" s="470"/>
      <c r="CR191" s="470"/>
      <c r="CS191" s="470"/>
      <c r="CT191" s="470"/>
      <c r="CU191" s="470"/>
      <c r="CV191" s="470"/>
      <c r="CW191" s="470"/>
      <c r="CX191" s="470"/>
      <c r="CY191" s="470"/>
      <c r="CZ191" s="470"/>
      <c r="DA191" s="470"/>
      <c r="DB191" s="470"/>
      <c r="DC191" s="470"/>
      <c r="DD191" s="470"/>
      <c r="DE191" s="470"/>
      <c r="DF191" s="470"/>
      <c r="DG191" s="470"/>
      <c r="DH191" s="470"/>
      <c r="DI191" s="470"/>
      <c r="DJ191" s="470"/>
      <c r="DK191" s="470"/>
      <c r="DL191" s="470"/>
      <c r="DM191" s="470"/>
      <c r="DN191" s="470"/>
      <c r="DO191" s="470"/>
      <c r="DP191" s="470"/>
      <c r="DQ191" s="470"/>
      <c r="DR191" s="470"/>
      <c r="DS191" s="470"/>
      <c r="DT191" s="470"/>
      <c r="DU191" s="470"/>
      <c r="DV191" s="470"/>
      <c r="DW191" s="470"/>
      <c r="DX191" s="470"/>
      <c r="DY191" s="470"/>
      <c r="DZ191" s="470"/>
      <c r="EA191" s="470"/>
      <c r="EB191" s="470"/>
      <c r="EC191" s="470"/>
      <c r="ED191" s="470"/>
      <c r="EE191" s="470"/>
      <c r="EF191" s="470"/>
      <c r="EG191" s="470"/>
      <c r="EH191" s="470"/>
      <c r="EI191" s="470"/>
      <c r="EJ191" s="470"/>
      <c r="EK191" s="470"/>
      <c r="EL191" s="470"/>
      <c r="EM191" s="470"/>
      <c r="EN191" s="470"/>
      <c r="EO191" s="470"/>
      <c r="EP191" s="470"/>
      <c r="EQ191" s="470"/>
      <c r="ER191" s="470"/>
      <c r="ES191" s="470"/>
      <c r="ET191" s="470"/>
      <c r="EU191" s="470"/>
      <c r="EV191" s="470"/>
      <c r="EW191" s="470"/>
      <c r="EX191" s="470"/>
      <c r="EY191" s="470"/>
      <c r="EZ191" s="470"/>
      <c r="FA191" s="470"/>
      <c r="FB191" s="470"/>
      <c r="FC191" s="470"/>
      <c r="FD191" s="470"/>
      <c r="FE191" s="470"/>
      <c r="FF191" s="470"/>
      <c r="FG191" s="470"/>
      <c r="FH191" s="470"/>
      <c r="FI191" s="470"/>
      <c r="FJ191" s="470"/>
      <c r="FK191" s="470"/>
      <c r="FL191" s="470"/>
      <c r="FM191" s="470"/>
      <c r="FN191" s="470"/>
      <c r="FO191" s="470"/>
      <c r="FP191" s="470"/>
      <c r="FQ191" s="470"/>
      <c r="FR191" s="470"/>
      <c r="FS191" s="470"/>
      <c r="FT191" s="470"/>
      <c r="FU191" s="470"/>
      <c r="FV191" s="470"/>
      <c r="FW191" s="470"/>
      <c r="FX191" s="470"/>
      <c r="FY191" s="470"/>
      <c r="FZ191" s="470"/>
      <c r="GA191" s="470"/>
      <c r="GB191" s="470"/>
      <c r="GC191" s="470"/>
      <c r="GD191" s="470"/>
      <c r="GE191" s="470"/>
      <c r="GF191" s="470"/>
      <c r="GG191" s="470"/>
      <c r="GH191" s="470"/>
      <c r="GI191" s="470"/>
      <c r="GJ191" s="470"/>
      <c r="GK191" s="470"/>
      <c r="GL191" s="470"/>
      <c r="GM191" s="470"/>
      <c r="GN191" s="470"/>
      <c r="GO191" s="470"/>
      <c r="GP191" s="470"/>
      <c r="GQ191" s="470"/>
      <c r="GR191" s="470"/>
      <c r="GS191" s="470"/>
      <c r="GT191" s="470"/>
      <c r="GU191" s="470"/>
      <c r="GV191" s="470"/>
      <c r="GW191" s="470"/>
      <c r="GX191" s="470"/>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70"/>
      <c r="IF191" s="470"/>
      <c r="IG191" s="470"/>
      <c r="IH191" s="470"/>
      <c r="II191" s="470"/>
      <c r="IJ191" s="470"/>
      <c r="IK191" s="470"/>
      <c r="IL191" s="470"/>
      <c r="IM191" s="470"/>
      <c r="IN191" s="470"/>
      <c r="IO191" s="470"/>
      <c r="IP191" s="470"/>
      <c r="IQ191" s="470"/>
    </row>
    <row r="192" spans="1:251" x14ac:dyDescent="0.2">
      <c r="A192" s="453" t="s">
        <v>10097</v>
      </c>
      <c r="B192" s="453" t="s">
        <v>10098</v>
      </c>
      <c r="C192" s="454" t="s">
        <v>386</v>
      </c>
      <c r="D192" s="455" t="s">
        <v>9783</v>
      </c>
      <c r="E192" s="456" t="s">
        <v>9739</v>
      </c>
      <c r="F192" s="456" t="s">
        <v>10080</v>
      </c>
      <c r="G192" s="456" t="s">
        <v>7180</v>
      </c>
      <c r="H192" s="457">
        <v>268.92</v>
      </c>
      <c r="I192" s="457">
        <f t="shared" si="11"/>
        <v>289.089</v>
      </c>
      <c r="J192" s="457" t="s">
        <v>9706</v>
      </c>
      <c r="K192" s="458">
        <v>0.3</v>
      </c>
      <c r="L192" s="459">
        <f t="shared" si="8"/>
        <v>188.244</v>
      </c>
      <c r="M192" s="460">
        <v>0.18</v>
      </c>
      <c r="N192" s="461">
        <f t="shared" si="9"/>
        <v>237.05298000000002</v>
      </c>
      <c r="O192" s="462">
        <v>0.1</v>
      </c>
      <c r="P192" s="463">
        <f t="shared" si="10"/>
        <v>260.18009999999998</v>
      </c>
      <c r="Q192" s="464"/>
      <c r="R192" s="476">
        <v>20</v>
      </c>
      <c r="S192" s="476">
        <v>20</v>
      </c>
      <c r="T192" s="476">
        <v>20</v>
      </c>
      <c r="U192" s="477"/>
      <c r="V192" s="470"/>
      <c r="W192" s="470"/>
      <c r="X192" s="470"/>
      <c r="Y192" s="470"/>
      <c r="Z192" s="470"/>
      <c r="AA192" s="470"/>
      <c r="AB192" s="470"/>
      <c r="AC192" s="470"/>
      <c r="AD192" s="470"/>
      <c r="AE192" s="470"/>
      <c r="AF192" s="470"/>
      <c r="AG192" s="470"/>
      <c r="AH192" s="470"/>
      <c r="AI192" s="470"/>
      <c r="AJ192" s="470"/>
      <c r="AK192" s="470"/>
      <c r="AL192" s="470"/>
      <c r="AM192" s="470"/>
      <c r="AN192" s="470"/>
      <c r="AO192" s="470"/>
      <c r="AP192" s="470"/>
      <c r="AQ192" s="470"/>
      <c r="AR192" s="470"/>
      <c r="AS192" s="470"/>
      <c r="AT192" s="470"/>
      <c r="AU192" s="470"/>
      <c r="AV192" s="470"/>
      <c r="AW192" s="470"/>
      <c r="AX192" s="470"/>
      <c r="AY192" s="470"/>
      <c r="AZ192" s="470"/>
      <c r="BA192" s="470"/>
      <c r="BB192" s="470"/>
      <c r="BC192" s="470"/>
      <c r="BD192" s="470"/>
      <c r="BE192" s="470"/>
      <c r="BF192" s="470"/>
      <c r="BG192" s="470"/>
      <c r="BH192" s="470"/>
      <c r="BI192" s="470"/>
      <c r="BJ192" s="470"/>
      <c r="BK192" s="470"/>
      <c r="BL192" s="470"/>
      <c r="BM192" s="470"/>
      <c r="BN192" s="470"/>
      <c r="BO192" s="470"/>
      <c r="BP192" s="470"/>
      <c r="BQ192" s="470"/>
      <c r="BR192" s="470"/>
      <c r="BS192" s="470"/>
      <c r="BT192" s="470"/>
      <c r="BU192" s="470"/>
      <c r="BV192" s="470"/>
      <c r="BW192" s="470"/>
      <c r="BX192" s="470"/>
      <c r="BY192" s="470"/>
      <c r="BZ192" s="470"/>
      <c r="CA192" s="470"/>
      <c r="CB192" s="470"/>
      <c r="CC192" s="470"/>
      <c r="CD192" s="470"/>
      <c r="CE192" s="470"/>
      <c r="CF192" s="470"/>
      <c r="CG192" s="470"/>
      <c r="CH192" s="470"/>
      <c r="CI192" s="470"/>
      <c r="CJ192" s="470"/>
      <c r="CK192" s="470"/>
      <c r="CL192" s="470"/>
      <c r="CM192" s="470"/>
      <c r="CN192" s="470"/>
      <c r="CO192" s="470"/>
      <c r="CP192" s="470"/>
      <c r="CQ192" s="470"/>
      <c r="CR192" s="470"/>
      <c r="CS192" s="470"/>
      <c r="CT192" s="470"/>
      <c r="CU192" s="470"/>
      <c r="CV192" s="470"/>
      <c r="CW192" s="470"/>
      <c r="CX192" s="470"/>
      <c r="CY192" s="470"/>
      <c r="CZ192" s="470"/>
      <c r="DA192" s="470"/>
      <c r="DB192" s="470"/>
      <c r="DC192" s="470"/>
      <c r="DD192" s="470"/>
      <c r="DE192" s="470"/>
      <c r="DF192" s="470"/>
      <c r="DG192" s="470"/>
      <c r="DH192" s="470"/>
      <c r="DI192" s="470"/>
      <c r="DJ192" s="470"/>
      <c r="DK192" s="470"/>
      <c r="DL192" s="470"/>
      <c r="DM192" s="470"/>
      <c r="DN192" s="470"/>
      <c r="DO192" s="470"/>
      <c r="DP192" s="470"/>
      <c r="DQ192" s="470"/>
      <c r="DR192" s="470"/>
      <c r="DS192" s="470"/>
      <c r="DT192" s="470"/>
      <c r="DU192" s="470"/>
      <c r="DV192" s="470"/>
      <c r="DW192" s="470"/>
      <c r="DX192" s="470"/>
      <c r="DY192" s="470"/>
      <c r="DZ192" s="470"/>
      <c r="EA192" s="470"/>
      <c r="EB192" s="470"/>
      <c r="EC192" s="470"/>
      <c r="ED192" s="470"/>
      <c r="EE192" s="470"/>
      <c r="EF192" s="470"/>
      <c r="EG192" s="470"/>
      <c r="EH192" s="470"/>
      <c r="EI192" s="470"/>
      <c r="EJ192" s="470"/>
      <c r="EK192" s="470"/>
      <c r="EL192" s="470"/>
      <c r="EM192" s="470"/>
      <c r="EN192" s="470"/>
      <c r="EO192" s="470"/>
      <c r="EP192" s="470"/>
      <c r="EQ192" s="470"/>
      <c r="ER192" s="470"/>
      <c r="ES192" s="470"/>
      <c r="ET192" s="470"/>
      <c r="EU192" s="470"/>
      <c r="EV192" s="470"/>
      <c r="EW192" s="470"/>
      <c r="EX192" s="470"/>
      <c r="EY192" s="470"/>
      <c r="EZ192" s="470"/>
      <c r="FA192" s="470"/>
      <c r="FB192" s="470"/>
      <c r="FC192" s="470"/>
      <c r="FD192" s="470"/>
      <c r="FE192" s="470"/>
      <c r="FF192" s="470"/>
      <c r="FG192" s="470"/>
      <c r="FH192" s="470"/>
      <c r="FI192" s="470"/>
      <c r="FJ192" s="470"/>
      <c r="FK192" s="470"/>
      <c r="FL192" s="470"/>
      <c r="FM192" s="470"/>
      <c r="FN192" s="470"/>
      <c r="FO192" s="470"/>
      <c r="FP192" s="470"/>
      <c r="FQ192" s="470"/>
      <c r="FR192" s="470"/>
      <c r="FS192" s="470"/>
      <c r="FT192" s="470"/>
      <c r="FU192" s="470"/>
      <c r="FV192" s="470"/>
      <c r="FW192" s="470"/>
      <c r="FX192" s="470"/>
      <c r="FY192" s="470"/>
      <c r="FZ192" s="470"/>
      <c r="GA192" s="470"/>
      <c r="GB192" s="470"/>
      <c r="GC192" s="470"/>
      <c r="GD192" s="470"/>
      <c r="GE192" s="470"/>
      <c r="GF192" s="470"/>
      <c r="GG192" s="470"/>
      <c r="GH192" s="470"/>
      <c r="GI192" s="470"/>
      <c r="GJ192" s="470"/>
      <c r="GK192" s="470"/>
      <c r="GL192" s="470"/>
      <c r="GM192" s="470"/>
      <c r="GN192" s="470"/>
      <c r="GO192" s="470"/>
      <c r="GP192" s="470"/>
      <c r="GQ192" s="470"/>
      <c r="GR192" s="470"/>
      <c r="GS192" s="470"/>
      <c r="GT192" s="470"/>
      <c r="GU192" s="470"/>
      <c r="GV192" s="470"/>
      <c r="GW192" s="470"/>
      <c r="GX192" s="470"/>
      <c r="GY192" s="470"/>
      <c r="GZ192" s="470"/>
      <c r="HA192" s="470"/>
      <c r="HB192" s="470"/>
      <c r="HC192" s="470"/>
      <c r="HD192" s="470"/>
      <c r="HE192" s="470"/>
      <c r="HF192" s="470"/>
      <c r="HG192" s="470"/>
      <c r="HH192" s="470"/>
      <c r="HI192" s="470"/>
      <c r="HJ192" s="470"/>
      <c r="HK192" s="470"/>
      <c r="HL192" s="470"/>
      <c r="HM192" s="470"/>
      <c r="HN192" s="470"/>
      <c r="HO192" s="470"/>
      <c r="HP192" s="470"/>
      <c r="HQ192" s="470"/>
      <c r="HR192" s="470"/>
      <c r="HS192" s="470"/>
      <c r="HT192" s="470"/>
      <c r="HU192" s="470"/>
      <c r="HV192" s="470"/>
      <c r="HW192" s="470"/>
      <c r="HX192" s="470"/>
      <c r="HY192" s="470"/>
      <c r="HZ192" s="470"/>
      <c r="IA192" s="470"/>
      <c r="IB192" s="470"/>
      <c r="IC192" s="470"/>
      <c r="ID192" s="470"/>
      <c r="IE192" s="470"/>
      <c r="IF192" s="470"/>
      <c r="IG192" s="470"/>
      <c r="IH192" s="470"/>
      <c r="II192" s="470"/>
      <c r="IJ192" s="470"/>
      <c r="IK192" s="470"/>
      <c r="IL192" s="470"/>
      <c r="IM192" s="470"/>
      <c r="IN192" s="470"/>
      <c r="IO192" s="470"/>
      <c r="IP192" s="470"/>
      <c r="IQ192" s="470"/>
    </row>
    <row r="193" spans="1:251" x14ac:dyDescent="0.2">
      <c r="A193" s="453" t="s">
        <v>10099</v>
      </c>
      <c r="B193" s="453" t="s">
        <v>10100</v>
      </c>
      <c r="C193" s="454" t="s">
        <v>386</v>
      </c>
      <c r="D193" s="455" t="s">
        <v>9783</v>
      </c>
      <c r="E193" s="456" t="s">
        <v>9734</v>
      </c>
      <c r="F193" s="456" t="s">
        <v>10080</v>
      </c>
      <c r="G193" s="456" t="s">
        <v>7180</v>
      </c>
      <c r="H193" s="457">
        <v>268.92</v>
      </c>
      <c r="I193" s="457">
        <f t="shared" si="11"/>
        <v>289.089</v>
      </c>
      <c r="J193" s="457" t="s">
        <v>9706</v>
      </c>
      <c r="K193" s="458">
        <v>0.3</v>
      </c>
      <c r="L193" s="459">
        <f t="shared" si="8"/>
        <v>188.244</v>
      </c>
      <c r="M193" s="460">
        <v>0.18</v>
      </c>
      <c r="N193" s="461">
        <f t="shared" si="9"/>
        <v>237.05298000000002</v>
      </c>
      <c r="O193" s="462">
        <v>0.1</v>
      </c>
      <c r="P193" s="463">
        <f t="shared" si="10"/>
        <v>260.18009999999998</v>
      </c>
      <c r="Q193" s="464"/>
      <c r="R193" s="476">
        <v>20</v>
      </c>
      <c r="S193" s="476">
        <v>20</v>
      </c>
      <c r="T193" s="476">
        <v>20</v>
      </c>
      <c r="U193" s="477"/>
      <c r="V193" s="470"/>
      <c r="W193" s="470"/>
      <c r="X193" s="470"/>
      <c r="Y193" s="470"/>
      <c r="Z193" s="470"/>
      <c r="AA193" s="470"/>
      <c r="AB193" s="470"/>
      <c r="AC193" s="470"/>
      <c r="AD193" s="470"/>
      <c r="AE193" s="470"/>
      <c r="AF193" s="470"/>
      <c r="AG193" s="470"/>
      <c r="AH193" s="470"/>
      <c r="AI193" s="470"/>
      <c r="AJ193" s="470"/>
      <c r="AK193" s="470"/>
      <c r="AL193" s="470"/>
      <c r="AM193" s="470"/>
      <c r="AN193" s="470"/>
      <c r="AO193" s="470"/>
      <c r="AP193" s="470"/>
      <c r="AQ193" s="470"/>
      <c r="AR193" s="470"/>
      <c r="AS193" s="470"/>
      <c r="AT193" s="470"/>
      <c r="AU193" s="470"/>
      <c r="AV193" s="470"/>
      <c r="AW193" s="470"/>
      <c r="AX193" s="470"/>
      <c r="AY193" s="470"/>
      <c r="AZ193" s="470"/>
      <c r="BA193" s="470"/>
      <c r="BB193" s="470"/>
      <c r="BC193" s="470"/>
      <c r="BD193" s="470"/>
      <c r="BE193" s="470"/>
      <c r="BF193" s="470"/>
      <c r="BG193" s="470"/>
      <c r="BH193" s="470"/>
      <c r="BI193" s="470"/>
      <c r="BJ193" s="470"/>
      <c r="BK193" s="470"/>
      <c r="BL193" s="470"/>
      <c r="BM193" s="470"/>
      <c r="BN193" s="470"/>
      <c r="BO193" s="470"/>
      <c r="BP193" s="470"/>
      <c r="BQ193" s="470"/>
      <c r="BR193" s="470"/>
      <c r="BS193" s="470"/>
      <c r="BT193" s="470"/>
      <c r="BU193" s="470"/>
      <c r="BV193" s="470"/>
      <c r="BW193" s="470"/>
      <c r="BX193" s="470"/>
      <c r="BY193" s="470"/>
      <c r="BZ193" s="470"/>
      <c r="CA193" s="470"/>
      <c r="CB193" s="470"/>
      <c r="CC193" s="470"/>
      <c r="CD193" s="470"/>
      <c r="CE193" s="470"/>
      <c r="CF193" s="470"/>
      <c r="CG193" s="470"/>
      <c r="CH193" s="470"/>
      <c r="CI193" s="470"/>
      <c r="CJ193" s="470"/>
      <c r="CK193" s="470"/>
      <c r="CL193" s="470"/>
      <c r="CM193" s="470"/>
      <c r="CN193" s="470"/>
      <c r="CO193" s="470"/>
      <c r="CP193" s="470"/>
      <c r="CQ193" s="470"/>
      <c r="CR193" s="470"/>
      <c r="CS193" s="470"/>
      <c r="CT193" s="470"/>
      <c r="CU193" s="470"/>
      <c r="CV193" s="470"/>
      <c r="CW193" s="470"/>
      <c r="CX193" s="470"/>
      <c r="CY193" s="470"/>
      <c r="CZ193" s="470"/>
      <c r="DA193" s="470"/>
      <c r="DB193" s="470"/>
      <c r="DC193" s="470"/>
      <c r="DD193" s="470"/>
      <c r="DE193" s="470"/>
      <c r="DF193" s="470"/>
      <c r="DG193" s="470"/>
      <c r="DH193" s="470"/>
      <c r="DI193" s="470"/>
      <c r="DJ193" s="470"/>
      <c r="DK193" s="470"/>
      <c r="DL193" s="470"/>
      <c r="DM193" s="470"/>
      <c r="DN193" s="470"/>
      <c r="DO193" s="470"/>
      <c r="DP193" s="470"/>
      <c r="DQ193" s="470"/>
      <c r="DR193" s="470"/>
      <c r="DS193" s="470"/>
      <c r="DT193" s="470"/>
      <c r="DU193" s="470"/>
      <c r="DV193" s="470"/>
      <c r="DW193" s="470"/>
      <c r="DX193" s="470"/>
      <c r="DY193" s="470"/>
      <c r="DZ193" s="470"/>
      <c r="EA193" s="470"/>
      <c r="EB193" s="470"/>
      <c r="EC193" s="470"/>
      <c r="ED193" s="470"/>
      <c r="EE193" s="470"/>
      <c r="EF193" s="470"/>
      <c r="EG193" s="470"/>
      <c r="EH193" s="470"/>
      <c r="EI193" s="470"/>
      <c r="EJ193" s="470"/>
      <c r="EK193" s="470"/>
      <c r="EL193" s="470"/>
      <c r="EM193" s="470"/>
      <c r="EN193" s="470"/>
      <c r="EO193" s="470"/>
      <c r="EP193" s="470"/>
      <c r="EQ193" s="470"/>
      <c r="ER193" s="470"/>
      <c r="ES193" s="470"/>
      <c r="ET193" s="470"/>
      <c r="EU193" s="470"/>
      <c r="EV193" s="470"/>
      <c r="EW193" s="470"/>
      <c r="EX193" s="470"/>
      <c r="EY193" s="470"/>
      <c r="EZ193" s="470"/>
      <c r="FA193" s="470"/>
      <c r="FB193" s="470"/>
      <c r="FC193" s="470"/>
      <c r="FD193" s="470"/>
      <c r="FE193" s="470"/>
      <c r="FF193" s="470"/>
      <c r="FG193" s="470"/>
      <c r="FH193" s="470"/>
      <c r="FI193" s="470"/>
      <c r="FJ193" s="470"/>
      <c r="FK193" s="470"/>
      <c r="FL193" s="470"/>
      <c r="FM193" s="470"/>
      <c r="FN193" s="470"/>
      <c r="FO193" s="470"/>
      <c r="FP193" s="470"/>
      <c r="FQ193" s="470"/>
      <c r="FR193" s="470"/>
      <c r="FS193" s="470"/>
      <c r="FT193" s="470"/>
      <c r="FU193" s="470"/>
      <c r="FV193" s="470"/>
      <c r="FW193" s="470"/>
      <c r="FX193" s="470"/>
      <c r="FY193" s="470"/>
      <c r="FZ193" s="470"/>
      <c r="GA193" s="470"/>
      <c r="GB193" s="470"/>
      <c r="GC193" s="470"/>
      <c r="GD193" s="470"/>
      <c r="GE193" s="470"/>
      <c r="GF193" s="470"/>
      <c r="GG193" s="470"/>
      <c r="GH193" s="470"/>
      <c r="GI193" s="470"/>
      <c r="GJ193" s="470"/>
      <c r="GK193" s="470"/>
      <c r="GL193" s="470"/>
      <c r="GM193" s="470"/>
      <c r="GN193" s="470"/>
      <c r="GO193" s="470"/>
      <c r="GP193" s="470"/>
      <c r="GQ193" s="470"/>
      <c r="GR193" s="470"/>
      <c r="GS193" s="470"/>
      <c r="GT193" s="470"/>
      <c r="GU193" s="470"/>
      <c r="GV193" s="470"/>
      <c r="GW193" s="470"/>
      <c r="GX193" s="470"/>
      <c r="GY193" s="470"/>
      <c r="GZ193" s="470"/>
      <c r="HA193" s="470"/>
      <c r="HB193" s="470"/>
      <c r="HC193" s="470"/>
      <c r="HD193" s="470"/>
      <c r="HE193" s="470"/>
      <c r="HF193" s="470"/>
      <c r="HG193" s="470"/>
      <c r="HH193" s="470"/>
      <c r="HI193" s="470"/>
      <c r="HJ193" s="470"/>
      <c r="HK193" s="470"/>
      <c r="HL193" s="470"/>
      <c r="HM193" s="470"/>
      <c r="HN193" s="470"/>
      <c r="HO193" s="470"/>
      <c r="HP193" s="470"/>
      <c r="HQ193" s="470"/>
      <c r="HR193" s="470"/>
      <c r="HS193" s="470"/>
      <c r="HT193" s="470"/>
      <c r="HU193" s="470"/>
      <c r="HV193" s="470"/>
      <c r="HW193" s="470"/>
      <c r="HX193" s="470"/>
      <c r="HY193" s="470"/>
      <c r="HZ193" s="470"/>
      <c r="IA193" s="470"/>
      <c r="IB193" s="470"/>
      <c r="IC193" s="470"/>
      <c r="ID193" s="470"/>
      <c r="IE193" s="470"/>
      <c r="IF193" s="470"/>
      <c r="IG193" s="470"/>
      <c r="IH193" s="470"/>
      <c r="II193" s="470"/>
      <c r="IJ193" s="470"/>
      <c r="IK193" s="470"/>
      <c r="IL193" s="470"/>
      <c r="IM193" s="470"/>
      <c r="IN193" s="470"/>
      <c r="IO193" s="470"/>
      <c r="IP193" s="470"/>
      <c r="IQ193" s="470"/>
    </row>
    <row r="194" spans="1:251" x14ac:dyDescent="0.2">
      <c r="A194" s="453" t="s">
        <v>10101</v>
      </c>
      <c r="B194" s="453" t="s">
        <v>10102</v>
      </c>
      <c r="C194" s="454" t="s">
        <v>386</v>
      </c>
      <c r="D194" s="455" t="s">
        <v>9783</v>
      </c>
      <c r="E194" s="456" t="s">
        <v>9734</v>
      </c>
      <c r="F194" s="456" t="s">
        <v>10080</v>
      </c>
      <c r="G194" s="456" t="s">
        <v>7180</v>
      </c>
      <c r="H194" s="457">
        <v>268.92</v>
      </c>
      <c r="I194" s="457">
        <f t="shared" si="11"/>
        <v>289.089</v>
      </c>
      <c r="J194" s="457" t="s">
        <v>9706</v>
      </c>
      <c r="K194" s="458">
        <v>0.3</v>
      </c>
      <c r="L194" s="459">
        <f t="shared" si="8"/>
        <v>188.244</v>
      </c>
      <c r="M194" s="460">
        <v>0.18</v>
      </c>
      <c r="N194" s="461">
        <f t="shared" si="9"/>
        <v>237.05298000000002</v>
      </c>
      <c r="O194" s="462">
        <v>0.1</v>
      </c>
      <c r="P194" s="463">
        <f t="shared" si="10"/>
        <v>260.18009999999998</v>
      </c>
      <c r="Q194" s="464"/>
      <c r="R194" s="476">
        <v>20</v>
      </c>
      <c r="S194" s="476">
        <v>20</v>
      </c>
      <c r="T194" s="476">
        <v>20</v>
      </c>
      <c r="U194" s="477"/>
      <c r="V194" s="470"/>
      <c r="W194" s="470"/>
      <c r="X194" s="470"/>
      <c r="Y194" s="470"/>
      <c r="Z194" s="470"/>
      <c r="AA194" s="470"/>
      <c r="AB194" s="470"/>
      <c r="AC194" s="470"/>
      <c r="AD194" s="470"/>
      <c r="AE194" s="470"/>
      <c r="AF194" s="470"/>
      <c r="AG194" s="470"/>
      <c r="AH194" s="470"/>
      <c r="AI194" s="470"/>
      <c r="AJ194" s="470"/>
      <c r="AK194" s="470"/>
      <c r="AL194" s="470"/>
      <c r="AM194" s="470"/>
      <c r="AN194" s="470"/>
      <c r="AO194" s="470"/>
      <c r="AP194" s="470"/>
      <c r="AQ194" s="470"/>
      <c r="AR194" s="470"/>
      <c r="AS194" s="470"/>
      <c r="AT194" s="470"/>
      <c r="AU194" s="470"/>
      <c r="AV194" s="470"/>
      <c r="AW194" s="470"/>
      <c r="AX194" s="470"/>
      <c r="AY194" s="470"/>
      <c r="AZ194" s="470"/>
      <c r="BA194" s="470"/>
      <c r="BB194" s="470"/>
      <c r="BC194" s="470"/>
      <c r="BD194" s="470"/>
      <c r="BE194" s="470"/>
      <c r="BF194" s="470"/>
      <c r="BG194" s="470"/>
      <c r="BH194" s="470"/>
      <c r="BI194" s="470"/>
      <c r="BJ194" s="470"/>
      <c r="BK194" s="470"/>
      <c r="BL194" s="470"/>
      <c r="BM194" s="470"/>
      <c r="BN194" s="470"/>
      <c r="BO194" s="470"/>
      <c r="BP194" s="470"/>
      <c r="BQ194" s="470"/>
      <c r="BR194" s="470"/>
      <c r="BS194" s="470"/>
      <c r="BT194" s="470"/>
      <c r="BU194" s="470"/>
      <c r="BV194" s="470"/>
      <c r="BW194" s="470"/>
      <c r="BX194" s="470"/>
      <c r="BY194" s="470"/>
      <c r="BZ194" s="470"/>
      <c r="CA194" s="470"/>
      <c r="CB194" s="470"/>
      <c r="CC194" s="470"/>
      <c r="CD194" s="470"/>
      <c r="CE194" s="470"/>
      <c r="CF194" s="470"/>
      <c r="CG194" s="470"/>
      <c r="CH194" s="470"/>
      <c r="CI194" s="470"/>
      <c r="CJ194" s="470"/>
      <c r="CK194" s="470"/>
      <c r="CL194" s="470"/>
      <c r="CM194" s="470"/>
      <c r="CN194" s="470"/>
      <c r="CO194" s="470"/>
      <c r="CP194" s="470"/>
      <c r="CQ194" s="470"/>
      <c r="CR194" s="470"/>
      <c r="CS194" s="470"/>
      <c r="CT194" s="470"/>
      <c r="CU194" s="470"/>
      <c r="CV194" s="470"/>
      <c r="CW194" s="470"/>
      <c r="CX194" s="470"/>
      <c r="CY194" s="470"/>
      <c r="CZ194" s="470"/>
      <c r="DA194" s="470"/>
      <c r="DB194" s="470"/>
      <c r="DC194" s="470"/>
      <c r="DD194" s="470"/>
      <c r="DE194" s="470"/>
      <c r="DF194" s="470"/>
      <c r="DG194" s="470"/>
      <c r="DH194" s="470"/>
      <c r="DI194" s="470"/>
      <c r="DJ194" s="470"/>
      <c r="DK194" s="470"/>
      <c r="DL194" s="470"/>
      <c r="DM194" s="470"/>
      <c r="DN194" s="470"/>
      <c r="DO194" s="470"/>
      <c r="DP194" s="470"/>
      <c r="DQ194" s="470"/>
      <c r="DR194" s="470"/>
      <c r="DS194" s="470"/>
      <c r="DT194" s="470"/>
      <c r="DU194" s="470"/>
      <c r="DV194" s="470"/>
      <c r="DW194" s="470"/>
      <c r="DX194" s="470"/>
      <c r="DY194" s="470"/>
      <c r="DZ194" s="470"/>
      <c r="EA194" s="470"/>
      <c r="EB194" s="470"/>
      <c r="EC194" s="470"/>
      <c r="ED194" s="470"/>
      <c r="EE194" s="470"/>
      <c r="EF194" s="470"/>
      <c r="EG194" s="470"/>
      <c r="EH194" s="470"/>
      <c r="EI194" s="470"/>
      <c r="EJ194" s="470"/>
      <c r="EK194" s="470"/>
      <c r="EL194" s="470"/>
      <c r="EM194" s="470"/>
      <c r="EN194" s="470"/>
      <c r="EO194" s="470"/>
      <c r="EP194" s="470"/>
      <c r="EQ194" s="470"/>
      <c r="ER194" s="470"/>
      <c r="ES194" s="470"/>
      <c r="ET194" s="470"/>
      <c r="EU194" s="470"/>
      <c r="EV194" s="470"/>
      <c r="EW194" s="470"/>
      <c r="EX194" s="470"/>
      <c r="EY194" s="470"/>
      <c r="EZ194" s="470"/>
      <c r="FA194" s="470"/>
      <c r="FB194" s="470"/>
      <c r="FC194" s="470"/>
      <c r="FD194" s="470"/>
      <c r="FE194" s="470"/>
      <c r="FF194" s="470"/>
      <c r="FG194" s="470"/>
      <c r="FH194" s="470"/>
      <c r="FI194" s="470"/>
      <c r="FJ194" s="470"/>
      <c r="FK194" s="470"/>
      <c r="FL194" s="470"/>
      <c r="FM194" s="470"/>
      <c r="FN194" s="470"/>
      <c r="FO194" s="470"/>
      <c r="FP194" s="470"/>
      <c r="FQ194" s="470"/>
      <c r="FR194" s="470"/>
      <c r="FS194" s="470"/>
      <c r="FT194" s="470"/>
      <c r="FU194" s="470"/>
      <c r="FV194" s="470"/>
      <c r="FW194" s="470"/>
      <c r="FX194" s="470"/>
      <c r="FY194" s="470"/>
      <c r="FZ194" s="470"/>
      <c r="GA194" s="470"/>
      <c r="GB194" s="470"/>
      <c r="GC194" s="470"/>
      <c r="GD194" s="470"/>
      <c r="GE194" s="470"/>
      <c r="GF194" s="470"/>
      <c r="GG194" s="470"/>
      <c r="GH194" s="470"/>
      <c r="GI194" s="470"/>
      <c r="GJ194" s="470"/>
      <c r="GK194" s="470"/>
      <c r="GL194" s="470"/>
      <c r="GM194" s="470"/>
      <c r="GN194" s="470"/>
      <c r="GO194" s="470"/>
      <c r="GP194" s="470"/>
      <c r="GQ194" s="470"/>
      <c r="GR194" s="470"/>
      <c r="GS194" s="470"/>
      <c r="GT194" s="470"/>
      <c r="GU194" s="470"/>
      <c r="GV194" s="470"/>
      <c r="GW194" s="470"/>
      <c r="GX194" s="470"/>
      <c r="GY194" s="470"/>
      <c r="GZ194" s="470"/>
      <c r="HA194" s="470"/>
      <c r="HB194" s="470"/>
      <c r="HC194" s="470"/>
      <c r="HD194" s="470"/>
      <c r="HE194" s="470"/>
      <c r="HF194" s="470"/>
      <c r="HG194" s="470"/>
      <c r="HH194" s="470"/>
      <c r="HI194" s="470"/>
      <c r="HJ194" s="470"/>
      <c r="HK194" s="470"/>
      <c r="HL194" s="470"/>
      <c r="HM194" s="470"/>
      <c r="HN194" s="470"/>
      <c r="HO194" s="470"/>
      <c r="HP194" s="470"/>
      <c r="HQ194" s="470"/>
      <c r="HR194" s="470"/>
      <c r="HS194" s="470"/>
      <c r="HT194" s="470"/>
      <c r="HU194" s="470"/>
      <c r="HV194" s="470"/>
      <c r="HW194" s="470"/>
      <c r="HX194" s="470"/>
      <c r="HY194" s="470"/>
      <c r="HZ194" s="470"/>
      <c r="IA194" s="470"/>
      <c r="IB194" s="470"/>
      <c r="IC194" s="470"/>
      <c r="ID194" s="470"/>
      <c r="IE194" s="470"/>
      <c r="IF194" s="470"/>
      <c r="IG194" s="470"/>
      <c r="IH194" s="470"/>
      <c r="II194" s="470"/>
      <c r="IJ194" s="470"/>
      <c r="IK194" s="470"/>
      <c r="IL194" s="470"/>
      <c r="IM194" s="470"/>
      <c r="IN194" s="470"/>
      <c r="IO194" s="470"/>
      <c r="IP194" s="470"/>
      <c r="IQ194" s="470"/>
    </row>
    <row r="195" spans="1:251" x14ac:dyDescent="0.2">
      <c r="A195" s="453" t="s">
        <v>10103</v>
      </c>
      <c r="B195" s="453" t="s">
        <v>10104</v>
      </c>
      <c r="C195" s="454" t="s">
        <v>386</v>
      </c>
      <c r="D195" s="455" t="s">
        <v>9783</v>
      </c>
      <c r="E195" s="456" t="s">
        <v>9739</v>
      </c>
      <c r="F195" s="456" t="s">
        <v>10080</v>
      </c>
      <c r="G195" s="456" t="s">
        <v>7180</v>
      </c>
      <c r="H195" s="457">
        <v>268.92</v>
      </c>
      <c r="I195" s="457">
        <f t="shared" si="11"/>
        <v>289.089</v>
      </c>
      <c r="J195" s="457" t="s">
        <v>9706</v>
      </c>
      <c r="K195" s="458">
        <v>0.3</v>
      </c>
      <c r="L195" s="459">
        <f t="shared" si="8"/>
        <v>188.244</v>
      </c>
      <c r="M195" s="460">
        <v>0.18</v>
      </c>
      <c r="N195" s="461">
        <f t="shared" si="9"/>
        <v>237.05298000000002</v>
      </c>
      <c r="O195" s="462">
        <v>0.1</v>
      </c>
      <c r="P195" s="463">
        <f t="shared" si="10"/>
        <v>260.18009999999998</v>
      </c>
      <c r="Q195" s="464"/>
      <c r="R195" s="476">
        <v>20</v>
      </c>
      <c r="S195" s="476">
        <v>20</v>
      </c>
      <c r="T195" s="476">
        <v>20</v>
      </c>
      <c r="U195" s="477"/>
      <c r="V195" s="470"/>
      <c r="W195" s="470"/>
      <c r="X195" s="470"/>
      <c r="Y195" s="470"/>
      <c r="Z195" s="470"/>
      <c r="AA195" s="470"/>
      <c r="AB195" s="470"/>
      <c r="AC195" s="470"/>
      <c r="AD195" s="470"/>
      <c r="AE195" s="470"/>
      <c r="AF195" s="470"/>
      <c r="AG195" s="470"/>
      <c r="AH195" s="470"/>
      <c r="AI195" s="470"/>
      <c r="AJ195" s="470"/>
      <c r="AK195" s="470"/>
      <c r="AL195" s="470"/>
      <c r="AM195" s="470"/>
      <c r="AN195" s="470"/>
      <c r="AO195" s="470"/>
      <c r="AP195" s="470"/>
      <c r="AQ195" s="470"/>
      <c r="AR195" s="470"/>
      <c r="AS195" s="470"/>
      <c r="AT195" s="470"/>
      <c r="AU195" s="470"/>
      <c r="AV195" s="470"/>
      <c r="AW195" s="470"/>
      <c r="AX195" s="470"/>
      <c r="AY195" s="470"/>
      <c r="AZ195" s="470"/>
      <c r="BA195" s="470"/>
      <c r="BB195" s="470"/>
      <c r="BC195" s="470"/>
      <c r="BD195" s="470"/>
      <c r="BE195" s="470"/>
      <c r="BF195" s="470"/>
      <c r="BG195" s="470"/>
      <c r="BH195" s="470"/>
      <c r="BI195" s="470"/>
      <c r="BJ195" s="470"/>
      <c r="BK195" s="470"/>
      <c r="BL195" s="470"/>
      <c r="BM195" s="470"/>
      <c r="BN195" s="470"/>
      <c r="BO195" s="470"/>
      <c r="BP195" s="470"/>
      <c r="BQ195" s="470"/>
      <c r="BR195" s="470"/>
      <c r="BS195" s="470"/>
      <c r="BT195" s="470"/>
      <c r="BU195" s="470"/>
      <c r="BV195" s="470"/>
      <c r="BW195" s="470"/>
      <c r="BX195" s="470"/>
      <c r="BY195" s="470"/>
      <c r="BZ195" s="470"/>
      <c r="CA195" s="470"/>
      <c r="CB195" s="470"/>
      <c r="CC195" s="470"/>
      <c r="CD195" s="470"/>
      <c r="CE195" s="470"/>
      <c r="CF195" s="470"/>
      <c r="CG195" s="470"/>
      <c r="CH195" s="470"/>
      <c r="CI195" s="470"/>
      <c r="CJ195" s="470"/>
      <c r="CK195" s="470"/>
      <c r="CL195" s="470"/>
      <c r="CM195" s="470"/>
      <c r="CN195" s="470"/>
      <c r="CO195" s="470"/>
      <c r="CP195" s="470"/>
      <c r="CQ195" s="470"/>
      <c r="CR195" s="470"/>
      <c r="CS195" s="470"/>
      <c r="CT195" s="470"/>
      <c r="CU195" s="470"/>
      <c r="CV195" s="470"/>
      <c r="CW195" s="470"/>
      <c r="CX195" s="470"/>
      <c r="CY195" s="470"/>
      <c r="CZ195" s="470"/>
      <c r="DA195" s="470"/>
      <c r="DB195" s="470"/>
      <c r="DC195" s="470"/>
      <c r="DD195" s="470"/>
      <c r="DE195" s="470"/>
      <c r="DF195" s="470"/>
      <c r="DG195" s="470"/>
      <c r="DH195" s="470"/>
      <c r="DI195" s="470"/>
      <c r="DJ195" s="470"/>
      <c r="DK195" s="470"/>
      <c r="DL195" s="470"/>
      <c r="DM195" s="470"/>
      <c r="DN195" s="470"/>
      <c r="DO195" s="470"/>
      <c r="DP195" s="470"/>
      <c r="DQ195" s="470"/>
      <c r="DR195" s="470"/>
      <c r="DS195" s="470"/>
      <c r="DT195" s="470"/>
      <c r="DU195" s="470"/>
      <c r="DV195" s="470"/>
      <c r="DW195" s="470"/>
      <c r="DX195" s="470"/>
      <c r="DY195" s="470"/>
      <c r="DZ195" s="470"/>
      <c r="EA195" s="470"/>
      <c r="EB195" s="470"/>
      <c r="EC195" s="470"/>
      <c r="ED195" s="470"/>
      <c r="EE195" s="470"/>
      <c r="EF195" s="470"/>
      <c r="EG195" s="470"/>
      <c r="EH195" s="470"/>
      <c r="EI195" s="470"/>
      <c r="EJ195" s="470"/>
      <c r="EK195" s="470"/>
      <c r="EL195" s="470"/>
      <c r="EM195" s="470"/>
      <c r="EN195" s="470"/>
      <c r="EO195" s="470"/>
      <c r="EP195" s="470"/>
      <c r="EQ195" s="470"/>
      <c r="ER195" s="470"/>
      <c r="ES195" s="470"/>
      <c r="ET195" s="470"/>
      <c r="EU195" s="470"/>
      <c r="EV195" s="470"/>
      <c r="EW195" s="470"/>
      <c r="EX195" s="470"/>
      <c r="EY195" s="470"/>
      <c r="EZ195" s="470"/>
      <c r="FA195" s="470"/>
      <c r="FB195" s="470"/>
      <c r="FC195" s="470"/>
      <c r="FD195" s="470"/>
      <c r="FE195" s="470"/>
      <c r="FF195" s="470"/>
      <c r="FG195" s="470"/>
      <c r="FH195" s="470"/>
      <c r="FI195" s="470"/>
      <c r="FJ195" s="470"/>
      <c r="FK195" s="470"/>
      <c r="FL195" s="470"/>
      <c r="FM195" s="470"/>
      <c r="FN195" s="470"/>
      <c r="FO195" s="470"/>
      <c r="FP195" s="470"/>
      <c r="FQ195" s="470"/>
      <c r="FR195" s="470"/>
      <c r="FS195" s="470"/>
      <c r="FT195" s="470"/>
      <c r="FU195" s="470"/>
      <c r="FV195" s="470"/>
      <c r="FW195" s="470"/>
      <c r="FX195" s="470"/>
      <c r="FY195" s="470"/>
      <c r="FZ195" s="470"/>
      <c r="GA195" s="470"/>
      <c r="GB195" s="470"/>
      <c r="GC195" s="470"/>
      <c r="GD195" s="470"/>
      <c r="GE195" s="470"/>
      <c r="GF195" s="470"/>
      <c r="GG195" s="470"/>
      <c r="GH195" s="470"/>
      <c r="GI195" s="470"/>
      <c r="GJ195" s="470"/>
      <c r="GK195" s="470"/>
      <c r="GL195" s="470"/>
      <c r="GM195" s="470"/>
      <c r="GN195" s="470"/>
      <c r="GO195" s="470"/>
      <c r="GP195" s="470"/>
      <c r="GQ195" s="470"/>
      <c r="GR195" s="470"/>
      <c r="GS195" s="470"/>
      <c r="GT195" s="470"/>
      <c r="GU195" s="470"/>
      <c r="GV195" s="470"/>
      <c r="GW195" s="470"/>
      <c r="GX195" s="470"/>
      <c r="GY195" s="470"/>
      <c r="GZ195" s="470"/>
      <c r="HA195" s="470"/>
      <c r="HB195" s="470"/>
      <c r="HC195" s="470"/>
      <c r="HD195" s="470"/>
      <c r="HE195" s="470"/>
      <c r="HF195" s="470"/>
      <c r="HG195" s="470"/>
      <c r="HH195" s="470"/>
      <c r="HI195" s="470"/>
      <c r="HJ195" s="470"/>
      <c r="HK195" s="470"/>
      <c r="HL195" s="470"/>
      <c r="HM195" s="470"/>
      <c r="HN195" s="470"/>
      <c r="HO195" s="470"/>
      <c r="HP195" s="470"/>
      <c r="HQ195" s="470"/>
      <c r="HR195" s="470"/>
      <c r="HS195" s="470"/>
      <c r="HT195" s="470"/>
      <c r="HU195" s="470"/>
      <c r="HV195" s="470"/>
      <c r="HW195" s="470"/>
      <c r="HX195" s="470"/>
      <c r="HY195" s="470"/>
      <c r="HZ195" s="470"/>
      <c r="IA195" s="470"/>
      <c r="IB195" s="470"/>
      <c r="IC195" s="470"/>
      <c r="ID195" s="470"/>
      <c r="IE195" s="470"/>
      <c r="IF195" s="470"/>
      <c r="IG195" s="470"/>
      <c r="IH195" s="470"/>
      <c r="II195" s="470"/>
      <c r="IJ195" s="470"/>
      <c r="IK195" s="470"/>
      <c r="IL195" s="470"/>
      <c r="IM195" s="470"/>
      <c r="IN195" s="470"/>
      <c r="IO195" s="470"/>
      <c r="IP195" s="470"/>
      <c r="IQ195" s="470"/>
    </row>
    <row r="196" spans="1:251" x14ac:dyDescent="0.2">
      <c r="A196" s="453" t="s">
        <v>10105</v>
      </c>
      <c r="B196" s="453" t="s">
        <v>10106</v>
      </c>
      <c r="C196" s="454" t="s">
        <v>386</v>
      </c>
      <c r="D196" s="455" t="s">
        <v>9783</v>
      </c>
      <c r="E196" s="456" t="s">
        <v>9710</v>
      </c>
      <c r="F196" s="456" t="s">
        <v>10080</v>
      </c>
      <c r="G196" s="456" t="s">
        <v>7180</v>
      </c>
      <c r="H196" s="457">
        <v>268.92</v>
      </c>
      <c r="I196" s="457">
        <f t="shared" si="11"/>
        <v>289.089</v>
      </c>
      <c r="J196" s="457" t="s">
        <v>9706</v>
      </c>
      <c r="K196" s="458">
        <v>0.3</v>
      </c>
      <c r="L196" s="459">
        <f t="shared" si="8"/>
        <v>188.244</v>
      </c>
      <c r="M196" s="460">
        <v>0.18</v>
      </c>
      <c r="N196" s="461">
        <f t="shared" si="9"/>
        <v>237.05298000000002</v>
      </c>
      <c r="O196" s="462">
        <v>0.1</v>
      </c>
      <c r="P196" s="463">
        <f t="shared" si="10"/>
        <v>260.18009999999998</v>
      </c>
      <c r="Q196" s="464"/>
      <c r="R196" s="476">
        <v>20</v>
      </c>
      <c r="S196" s="476">
        <v>20</v>
      </c>
      <c r="T196" s="476">
        <v>20</v>
      </c>
      <c r="U196" s="477"/>
      <c r="V196" s="470"/>
      <c r="W196" s="470"/>
      <c r="X196" s="470"/>
      <c r="Y196" s="470"/>
      <c r="Z196" s="470"/>
      <c r="AA196" s="470"/>
      <c r="AB196" s="470"/>
      <c r="AC196" s="470"/>
      <c r="AD196" s="470"/>
      <c r="AE196" s="470"/>
      <c r="AF196" s="470"/>
      <c r="AG196" s="470"/>
      <c r="AH196" s="470"/>
      <c r="AI196" s="470"/>
      <c r="AJ196" s="470"/>
      <c r="AK196" s="470"/>
      <c r="AL196" s="470"/>
      <c r="AM196" s="470"/>
      <c r="AN196" s="470"/>
      <c r="AO196" s="470"/>
      <c r="AP196" s="470"/>
      <c r="AQ196" s="470"/>
      <c r="AR196" s="470"/>
      <c r="AS196" s="470"/>
      <c r="AT196" s="470"/>
      <c r="AU196" s="470"/>
      <c r="AV196" s="470"/>
      <c r="AW196" s="470"/>
      <c r="AX196" s="470"/>
      <c r="AY196" s="470"/>
      <c r="AZ196" s="470"/>
      <c r="BA196" s="470"/>
      <c r="BB196" s="470"/>
      <c r="BC196" s="470"/>
      <c r="BD196" s="470"/>
      <c r="BE196" s="470"/>
      <c r="BF196" s="470"/>
      <c r="BG196" s="470"/>
      <c r="BH196" s="470"/>
      <c r="BI196" s="470"/>
      <c r="BJ196" s="470"/>
      <c r="BK196" s="470"/>
      <c r="BL196" s="470"/>
      <c r="BM196" s="470"/>
      <c r="BN196" s="470"/>
      <c r="BO196" s="470"/>
      <c r="BP196" s="470"/>
      <c r="BQ196" s="470"/>
      <c r="BR196" s="470"/>
      <c r="BS196" s="470"/>
      <c r="BT196" s="470"/>
      <c r="BU196" s="470"/>
      <c r="BV196" s="470"/>
      <c r="BW196" s="470"/>
      <c r="BX196" s="470"/>
      <c r="BY196" s="470"/>
      <c r="BZ196" s="470"/>
      <c r="CA196" s="470"/>
      <c r="CB196" s="470"/>
      <c r="CC196" s="470"/>
      <c r="CD196" s="470"/>
      <c r="CE196" s="470"/>
      <c r="CF196" s="470"/>
      <c r="CG196" s="470"/>
      <c r="CH196" s="470"/>
      <c r="CI196" s="470"/>
      <c r="CJ196" s="470"/>
      <c r="CK196" s="470"/>
      <c r="CL196" s="470"/>
      <c r="CM196" s="470"/>
      <c r="CN196" s="470"/>
      <c r="CO196" s="470"/>
      <c r="CP196" s="470"/>
      <c r="CQ196" s="470"/>
      <c r="CR196" s="470"/>
      <c r="CS196" s="470"/>
      <c r="CT196" s="470"/>
      <c r="CU196" s="470"/>
      <c r="CV196" s="470"/>
      <c r="CW196" s="470"/>
      <c r="CX196" s="470"/>
      <c r="CY196" s="470"/>
      <c r="CZ196" s="470"/>
      <c r="DA196" s="470"/>
      <c r="DB196" s="470"/>
      <c r="DC196" s="470"/>
      <c r="DD196" s="470"/>
      <c r="DE196" s="470"/>
      <c r="DF196" s="470"/>
      <c r="DG196" s="470"/>
      <c r="DH196" s="470"/>
      <c r="DI196" s="470"/>
      <c r="DJ196" s="470"/>
      <c r="DK196" s="470"/>
      <c r="DL196" s="470"/>
      <c r="DM196" s="470"/>
      <c r="DN196" s="470"/>
      <c r="DO196" s="470"/>
      <c r="DP196" s="470"/>
      <c r="DQ196" s="470"/>
      <c r="DR196" s="470"/>
      <c r="DS196" s="470"/>
      <c r="DT196" s="470"/>
      <c r="DU196" s="470"/>
      <c r="DV196" s="470"/>
      <c r="DW196" s="470"/>
      <c r="DX196" s="470"/>
      <c r="DY196" s="470"/>
      <c r="DZ196" s="470"/>
      <c r="EA196" s="470"/>
      <c r="EB196" s="470"/>
      <c r="EC196" s="470"/>
      <c r="ED196" s="470"/>
      <c r="EE196" s="470"/>
      <c r="EF196" s="470"/>
      <c r="EG196" s="470"/>
      <c r="EH196" s="470"/>
      <c r="EI196" s="470"/>
      <c r="EJ196" s="470"/>
      <c r="EK196" s="470"/>
      <c r="EL196" s="470"/>
      <c r="EM196" s="470"/>
      <c r="EN196" s="470"/>
      <c r="EO196" s="470"/>
      <c r="EP196" s="470"/>
      <c r="EQ196" s="470"/>
      <c r="ER196" s="470"/>
      <c r="ES196" s="470"/>
      <c r="ET196" s="470"/>
      <c r="EU196" s="470"/>
      <c r="EV196" s="470"/>
      <c r="EW196" s="470"/>
      <c r="EX196" s="470"/>
      <c r="EY196" s="470"/>
      <c r="EZ196" s="470"/>
      <c r="FA196" s="470"/>
      <c r="FB196" s="470"/>
      <c r="FC196" s="470"/>
      <c r="FD196" s="470"/>
      <c r="FE196" s="470"/>
      <c r="FF196" s="470"/>
      <c r="FG196" s="470"/>
      <c r="FH196" s="470"/>
      <c r="FI196" s="470"/>
      <c r="FJ196" s="470"/>
      <c r="FK196" s="470"/>
      <c r="FL196" s="470"/>
      <c r="FM196" s="470"/>
      <c r="FN196" s="470"/>
      <c r="FO196" s="470"/>
      <c r="FP196" s="470"/>
      <c r="FQ196" s="470"/>
      <c r="FR196" s="470"/>
      <c r="FS196" s="470"/>
      <c r="FT196" s="470"/>
      <c r="FU196" s="470"/>
      <c r="FV196" s="470"/>
      <c r="FW196" s="470"/>
      <c r="FX196" s="470"/>
      <c r="FY196" s="470"/>
      <c r="FZ196" s="470"/>
      <c r="GA196" s="470"/>
      <c r="GB196" s="470"/>
      <c r="GC196" s="470"/>
      <c r="GD196" s="470"/>
      <c r="GE196" s="470"/>
      <c r="GF196" s="470"/>
      <c r="GG196" s="470"/>
      <c r="GH196" s="470"/>
      <c r="GI196" s="470"/>
      <c r="GJ196" s="470"/>
      <c r="GK196" s="470"/>
      <c r="GL196" s="470"/>
      <c r="GM196" s="470"/>
      <c r="GN196" s="470"/>
      <c r="GO196" s="470"/>
      <c r="GP196" s="470"/>
      <c r="GQ196" s="470"/>
      <c r="GR196" s="470"/>
      <c r="GS196" s="470"/>
      <c r="GT196" s="470"/>
      <c r="GU196" s="470"/>
      <c r="GV196" s="470"/>
      <c r="GW196" s="470"/>
      <c r="GX196" s="470"/>
      <c r="GY196" s="470"/>
      <c r="GZ196" s="470"/>
      <c r="HA196" s="470"/>
      <c r="HB196" s="470"/>
      <c r="HC196" s="470"/>
      <c r="HD196" s="470"/>
      <c r="HE196" s="470"/>
      <c r="HF196" s="470"/>
      <c r="HG196" s="470"/>
      <c r="HH196" s="470"/>
      <c r="HI196" s="470"/>
      <c r="HJ196" s="470"/>
      <c r="HK196" s="470"/>
      <c r="HL196" s="470"/>
      <c r="HM196" s="470"/>
      <c r="HN196" s="470"/>
      <c r="HO196" s="470"/>
      <c r="HP196" s="470"/>
      <c r="HQ196" s="470"/>
      <c r="HR196" s="470"/>
      <c r="HS196" s="470"/>
      <c r="HT196" s="470"/>
      <c r="HU196" s="470"/>
      <c r="HV196" s="470"/>
      <c r="HW196" s="470"/>
      <c r="HX196" s="470"/>
      <c r="HY196" s="470"/>
      <c r="HZ196" s="470"/>
      <c r="IA196" s="470"/>
      <c r="IB196" s="470"/>
      <c r="IC196" s="470"/>
      <c r="ID196" s="470"/>
      <c r="IE196" s="470"/>
      <c r="IF196" s="470"/>
      <c r="IG196" s="470"/>
      <c r="IH196" s="470"/>
      <c r="II196" s="470"/>
      <c r="IJ196" s="470"/>
      <c r="IK196" s="470"/>
      <c r="IL196" s="470"/>
      <c r="IM196" s="470"/>
      <c r="IN196" s="470"/>
      <c r="IO196" s="470"/>
      <c r="IP196" s="470"/>
      <c r="IQ196" s="470"/>
    </row>
    <row r="197" spans="1:251" x14ac:dyDescent="0.2">
      <c r="A197" s="453" t="s">
        <v>10107</v>
      </c>
      <c r="B197" s="453" t="s">
        <v>10108</v>
      </c>
      <c r="C197" s="454" t="s">
        <v>386</v>
      </c>
      <c r="D197" s="455" t="s">
        <v>9783</v>
      </c>
      <c r="E197" s="456" t="s">
        <v>9710</v>
      </c>
      <c r="F197" s="456" t="s">
        <v>10080</v>
      </c>
      <c r="G197" s="456" t="s">
        <v>7180</v>
      </c>
      <c r="H197" s="457">
        <v>268.92</v>
      </c>
      <c r="I197" s="457">
        <f t="shared" si="11"/>
        <v>289.089</v>
      </c>
      <c r="J197" s="457" t="s">
        <v>9706</v>
      </c>
      <c r="K197" s="458">
        <v>0.3</v>
      </c>
      <c r="L197" s="459">
        <f t="shared" ref="L197:L260" si="12">H197*(1-K197)</f>
        <v>188.244</v>
      </c>
      <c r="M197" s="460">
        <v>0.18</v>
      </c>
      <c r="N197" s="461">
        <f t="shared" ref="N197:N260" si="13">I197*(1-M197)</f>
        <v>237.05298000000002</v>
      </c>
      <c r="O197" s="462">
        <v>0.1</v>
      </c>
      <c r="P197" s="463">
        <f t="shared" ref="P197:P260" si="14">I197*(1-O197)</f>
        <v>260.18009999999998</v>
      </c>
      <c r="Q197" s="464"/>
      <c r="R197" s="476">
        <v>20</v>
      </c>
      <c r="S197" s="476">
        <v>20</v>
      </c>
      <c r="T197" s="476">
        <v>20</v>
      </c>
      <c r="U197" s="477"/>
      <c r="V197" s="470"/>
      <c r="W197" s="470"/>
      <c r="X197" s="470"/>
      <c r="Y197" s="470"/>
      <c r="Z197" s="470"/>
      <c r="AA197" s="470"/>
      <c r="AB197" s="470"/>
      <c r="AC197" s="470"/>
      <c r="AD197" s="470"/>
      <c r="AE197" s="470"/>
      <c r="AF197" s="470"/>
      <c r="AG197" s="470"/>
      <c r="AH197" s="470"/>
      <c r="AI197" s="470"/>
      <c r="AJ197" s="470"/>
      <c r="AK197" s="470"/>
      <c r="AL197" s="470"/>
      <c r="AM197" s="470"/>
      <c r="AN197" s="470"/>
      <c r="AO197" s="470"/>
      <c r="AP197" s="470"/>
      <c r="AQ197" s="470"/>
      <c r="AR197" s="470"/>
      <c r="AS197" s="470"/>
      <c r="AT197" s="470"/>
      <c r="AU197" s="470"/>
      <c r="AV197" s="470"/>
      <c r="AW197" s="470"/>
      <c r="AX197" s="470"/>
      <c r="AY197" s="470"/>
      <c r="AZ197" s="470"/>
      <c r="BA197" s="470"/>
      <c r="BB197" s="470"/>
      <c r="BC197" s="470"/>
      <c r="BD197" s="470"/>
      <c r="BE197" s="470"/>
      <c r="BF197" s="470"/>
      <c r="BG197" s="470"/>
      <c r="BH197" s="470"/>
      <c r="BI197" s="470"/>
      <c r="BJ197" s="470"/>
      <c r="BK197" s="470"/>
      <c r="BL197" s="470"/>
      <c r="BM197" s="470"/>
      <c r="BN197" s="470"/>
      <c r="BO197" s="470"/>
      <c r="BP197" s="470"/>
      <c r="BQ197" s="470"/>
      <c r="BR197" s="470"/>
      <c r="BS197" s="470"/>
      <c r="BT197" s="470"/>
      <c r="BU197" s="470"/>
      <c r="BV197" s="470"/>
      <c r="BW197" s="470"/>
      <c r="BX197" s="470"/>
      <c r="BY197" s="470"/>
      <c r="BZ197" s="470"/>
      <c r="CA197" s="470"/>
      <c r="CB197" s="470"/>
      <c r="CC197" s="470"/>
      <c r="CD197" s="470"/>
      <c r="CE197" s="470"/>
      <c r="CF197" s="470"/>
      <c r="CG197" s="470"/>
      <c r="CH197" s="470"/>
      <c r="CI197" s="470"/>
      <c r="CJ197" s="470"/>
      <c r="CK197" s="470"/>
      <c r="CL197" s="470"/>
      <c r="CM197" s="470"/>
      <c r="CN197" s="470"/>
      <c r="CO197" s="470"/>
      <c r="CP197" s="470"/>
      <c r="CQ197" s="470"/>
      <c r="CR197" s="470"/>
      <c r="CS197" s="470"/>
      <c r="CT197" s="470"/>
      <c r="CU197" s="470"/>
      <c r="CV197" s="470"/>
      <c r="CW197" s="470"/>
      <c r="CX197" s="470"/>
      <c r="CY197" s="470"/>
      <c r="CZ197" s="470"/>
      <c r="DA197" s="470"/>
      <c r="DB197" s="470"/>
      <c r="DC197" s="470"/>
      <c r="DD197" s="470"/>
      <c r="DE197" s="470"/>
      <c r="DF197" s="470"/>
      <c r="DG197" s="470"/>
      <c r="DH197" s="470"/>
      <c r="DI197" s="470"/>
      <c r="DJ197" s="470"/>
      <c r="DK197" s="470"/>
      <c r="DL197" s="470"/>
      <c r="DM197" s="470"/>
      <c r="DN197" s="470"/>
      <c r="DO197" s="470"/>
      <c r="DP197" s="470"/>
      <c r="DQ197" s="470"/>
      <c r="DR197" s="470"/>
      <c r="DS197" s="470"/>
      <c r="DT197" s="470"/>
      <c r="DU197" s="470"/>
      <c r="DV197" s="470"/>
      <c r="DW197" s="470"/>
      <c r="DX197" s="470"/>
      <c r="DY197" s="470"/>
      <c r="DZ197" s="470"/>
      <c r="EA197" s="470"/>
      <c r="EB197" s="470"/>
      <c r="EC197" s="470"/>
      <c r="ED197" s="470"/>
      <c r="EE197" s="470"/>
      <c r="EF197" s="470"/>
      <c r="EG197" s="470"/>
      <c r="EH197" s="470"/>
      <c r="EI197" s="470"/>
      <c r="EJ197" s="470"/>
      <c r="EK197" s="470"/>
      <c r="EL197" s="470"/>
      <c r="EM197" s="470"/>
      <c r="EN197" s="470"/>
      <c r="EO197" s="470"/>
      <c r="EP197" s="470"/>
      <c r="EQ197" s="470"/>
      <c r="ER197" s="470"/>
      <c r="ES197" s="470"/>
      <c r="ET197" s="470"/>
      <c r="EU197" s="470"/>
      <c r="EV197" s="470"/>
      <c r="EW197" s="470"/>
      <c r="EX197" s="470"/>
      <c r="EY197" s="470"/>
      <c r="EZ197" s="470"/>
      <c r="FA197" s="470"/>
      <c r="FB197" s="470"/>
      <c r="FC197" s="470"/>
      <c r="FD197" s="470"/>
      <c r="FE197" s="470"/>
      <c r="FF197" s="470"/>
      <c r="FG197" s="470"/>
      <c r="FH197" s="470"/>
      <c r="FI197" s="470"/>
      <c r="FJ197" s="470"/>
      <c r="FK197" s="470"/>
      <c r="FL197" s="470"/>
      <c r="FM197" s="470"/>
      <c r="FN197" s="470"/>
      <c r="FO197" s="470"/>
      <c r="FP197" s="470"/>
      <c r="FQ197" s="470"/>
      <c r="FR197" s="470"/>
      <c r="FS197" s="470"/>
      <c r="FT197" s="470"/>
      <c r="FU197" s="470"/>
      <c r="FV197" s="470"/>
      <c r="FW197" s="470"/>
      <c r="FX197" s="470"/>
      <c r="FY197" s="470"/>
      <c r="FZ197" s="470"/>
      <c r="GA197" s="470"/>
      <c r="GB197" s="470"/>
      <c r="GC197" s="470"/>
      <c r="GD197" s="470"/>
      <c r="GE197" s="470"/>
      <c r="GF197" s="470"/>
      <c r="GG197" s="470"/>
      <c r="GH197" s="470"/>
      <c r="GI197" s="470"/>
      <c r="GJ197" s="470"/>
      <c r="GK197" s="470"/>
      <c r="GL197" s="470"/>
      <c r="GM197" s="470"/>
      <c r="GN197" s="470"/>
      <c r="GO197" s="470"/>
      <c r="GP197" s="470"/>
      <c r="GQ197" s="470"/>
      <c r="GR197" s="470"/>
      <c r="GS197" s="470"/>
      <c r="GT197" s="470"/>
      <c r="GU197" s="470"/>
      <c r="GV197" s="470"/>
      <c r="GW197" s="470"/>
      <c r="GX197" s="470"/>
      <c r="GY197" s="470"/>
      <c r="GZ197" s="470"/>
      <c r="HA197" s="470"/>
      <c r="HB197" s="470"/>
      <c r="HC197" s="470"/>
      <c r="HD197" s="470"/>
      <c r="HE197" s="470"/>
      <c r="HF197" s="470"/>
      <c r="HG197" s="470"/>
      <c r="HH197" s="470"/>
      <c r="HI197" s="470"/>
      <c r="HJ197" s="470"/>
      <c r="HK197" s="470"/>
      <c r="HL197" s="470"/>
      <c r="HM197" s="470"/>
      <c r="HN197" s="470"/>
      <c r="HO197" s="470"/>
      <c r="HP197" s="470"/>
      <c r="HQ197" s="470"/>
      <c r="HR197" s="470"/>
      <c r="HS197" s="470"/>
      <c r="HT197" s="470"/>
      <c r="HU197" s="470"/>
      <c r="HV197" s="470"/>
      <c r="HW197" s="470"/>
      <c r="HX197" s="470"/>
      <c r="HY197" s="470"/>
      <c r="HZ197" s="470"/>
      <c r="IA197" s="470"/>
      <c r="IB197" s="470"/>
      <c r="IC197" s="470"/>
      <c r="ID197" s="470"/>
      <c r="IE197" s="470"/>
      <c r="IF197" s="470"/>
      <c r="IG197" s="470"/>
      <c r="IH197" s="470"/>
      <c r="II197" s="470"/>
      <c r="IJ197" s="470"/>
      <c r="IK197" s="470"/>
      <c r="IL197" s="470"/>
      <c r="IM197" s="470"/>
      <c r="IN197" s="470"/>
      <c r="IO197" s="470"/>
      <c r="IP197" s="470"/>
      <c r="IQ197" s="470"/>
    </row>
    <row r="198" spans="1:251" x14ac:dyDescent="0.2">
      <c r="A198" s="453" t="s">
        <v>10109</v>
      </c>
      <c r="B198" s="453" t="s">
        <v>10110</v>
      </c>
      <c r="C198" s="454" t="s">
        <v>386</v>
      </c>
      <c r="D198" s="455" t="s">
        <v>9783</v>
      </c>
      <c r="E198" s="456" t="s">
        <v>9716</v>
      </c>
      <c r="F198" s="456" t="s">
        <v>10080</v>
      </c>
      <c r="G198" s="456" t="s">
        <v>7180</v>
      </c>
      <c r="H198" s="457">
        <v>274.32</v>
      </c>
      <c r="I198" s="457">
        <f t="shared" ref="I198:I261" si="15">H198*(1+0.075)</f>
        <v>294.89400000000001</v>
      </c>
      <c r="J198" s="457" t="s">
        <v>9706</v>
      </c>
      <c r="K198" s="458">
        <v>0.3</v>
      </c>
      <c r="L198" s="459">
        <f t="shared" si="12"/>
        <v>192.02399999999997</v>
      </c>
      <c r="M198" s="460">
        <v>0.18</v>
      </c>
      <c r="N198" s="461">
        <f t="shared" si="13"/>
        <v>241.81308000000001</v>
      </c>
      <c r="O198" s="462">
        <v>0.1</v>
      </c>
      <c r="P198" s="463">
        <f t="shared" si="14"/>
        <v>265.40460000000002</v>
      </c>
      <c r="Q198" s="464"/>
      <c r="R198" s="476">
        <v>20</v>
      </c>
      <c r="S198" s="476">
        <v>20</v>
      </c>
      <c r="T198" s="476">
        <v>20</v>
      </c>
      <c r="U198" s="477"/>
      <c r="V198" s="470"/>
      <c r="W198" s="470"/>
      <c r="X198" s="470"/>
      <c r="Y198" s="470"/>
      <c r="Z198" s="470"/>
      <c r="AA198" s="470"/>
      <c r="AB198" s="470"/>
      <c r="AC198" s="470"/>
      <c r="AD198" s="470"/>
      <c r="AE198" s="470"/>
      <c r="AF198" s="470"/>
      <c r="AG198" s="470"/>
      <c r="AH198" s="470"/>
      <c r="AI198" s="470"/>
      <c r="AJ198" s="470"/>
      <c r="AK198" s="470"/>
      <c r="AL198" s="470"/>
      <c r="AM198" s="470"/>
      <c r="AN198" s="470"/>
      <c r="AO198" s="470"/>
      <c r="AP198" s="470"/>
      <c r="AQ198" s="470"/>
      <c r="AR198" s="470"/>
      <c r="AS198" s="470"/>
      <c r="AT198" s="470"/>
      <c r="AU198" s="470"/>
      <c r="AV198" s="470"/>
      <c r="AW198" s="470"/>
      <c r="AX198" s="470"/>
      <c r="AY198" s="470"/>
      <c r="AZ198" s="470"/>
      <c r="BA198" s="470"/>
      <c r="BB198" s="470"/>
      <c r="BC198" s="470"/>
      <c r="BD198" s="470"/>
      <c r="BE198" s="470"/>
      <c r="BF198" s="470"/>
      <c r="BG198" s="470"/>
      <c r="BH198" s="470"/>
      <c r="BI198" s="470"/>
      <c r="BJ198" s="470"/>
      <c r="BK198" s="470"/>
      <c r="BL198" s="470"/>
      <c r="BM198" s="470"/>
      <c r="BN198" s="470"/>
      <c r="BO198" s="470"/>
      <c r="BP198" s="470"/>
      <c r="BQ198" s="470"/>
      <c r="BR198" s="470"/>
      <c r="BS198" s="470"/>
      <c r="BT198" s="470"/>
      <c r="BU198" s="470"/>
      <c r="BV198" s="470"/>
      <c r="BW198" s="470"/>
      <c r="BX198" s="470"/>
      <c r="BY198" s="470"/>
      <c r="BZ198" s="470"/>
      <c r="CA198" s="470"/>
      <c r="CB198" s="470"/>
      <c r="CC198" s="470"/>
      <c r="CD198" s="470"/>
      <c r="CE198" s="470"/>
      <c r="CF198" s="470"/>
      <c r="CG198" s="470"/>
      <c r="CH198" s="470"/>
      <c r="CI198" s="470"/>
      <c r="CJ198" s="470"/>
      <c r="CK198" s="470"/>
      <c r="CL198" s="470"/>
      <c r="CM198" s="470"/>
      <c r="CN198" s="470"/>
      <c r="CO198" s="470"/>
      <c r="CP198" s="470"/>
      <c r="CQ198" s="470"/>
      <c r="CR198" s="470"/>
      <c r="CS198" s="470"/>
      <c r="CT198" s="470"/>
      <c r="CU198" s="470"/>
      <c r="CV198" s="470"/>
      <c r="CW198" s="470"/>
      <c r="CX198" s="470"/>
      <c r="CY198" s="470"/>
      <c r="CZ198" s="470"/>
      <c r="DA198" s="470"/>
      <c r="DB198" s="470"/>
      <c r="DC198" s="470"/>
      <c r="DD198" s="470"/>
      <c r="DE198" s="470"/>
      <c r="DF198" s="470"/>
      <c r="DG198" s="470"/>
      <c r="DH198" s="470"/>
      <c r="DI198" s="470"/>
      <c r="DJ198" s="470"/>
      <c r="DK198" s="470"/>
      <c r="DL198" s="470"/>
      <c r="DM198" s="470"/>
      <c r="DN198" s="470"/>
      <c r="DO198" s="470"/>
      <c r="DP198" s="470"/>
      <c r="DQ198" s="470"/>
      <c r="DR198" s="470"/>
      <c r="DS198" s="470"/>
      <c r="DT198" s="470"/>
      <c r="DU198" s="470"/>
      <c r="DV198" s="470"/>
      <c r="DW198" s="470"/>
      <c r="DX198" s="470"/>
      <c r="DY198" s="470"/>
      <c r="DZ198" s="470"/>
      <c r="EA198" s="470"/>
      <c r="EB198" s="470"/>
      <c r="EC198" s="470"/>
      <c r="ED198" s="470"/>
      <c r="EE198" s="470"/>
      <c r="EF198" s="470"/>
      <c r="EG198" s="470"/>
      <c r="EH198" s="470"/>
      <c r="EI198" s="470"/>
      <c r="EJ198" s="470"/>
      <c r="EK198" s="470"/>
      <c r="EL198" s="470"/>
      <c r="EM198" s="470"/>
      <c r="EN198" s="470"/>
      <c r="EO198" s="470"/>
      <c r="EP198" s="470"/>
      <c r="EQ198" s="470"/>
      <c r="ER198" s="470"/>
      <c r="ES198" s="470"/>
      <c r="ET198" s="470"/>
      <c r="EU198" s="470"/>
      <c r="EV198" s="470"/>
      <c r="EW198" s="470"/>
      <c r="EX198" s="470"/>
      <c r="EY198" s="470"/>
      <c r="EZ198" s="470"/>
      <c r="FA198" s="470"/>
      <c r="FB198" s="470"/>
      <c r="FC198" s="470"/>
      <c r="FD198" s="470"/>
      <c r="FE198" s="470"/>
      <c r="FF198" s="470"/>
      <c r="FG198" s="470"/>
      <c r="FH198" s="470"/>
      <c r="FI198" s="470"/>
      <c r="FJ198" s="470"/>
      <c r="FK198" s="470"/>
      <c r="FL198" s="470"/>
      <c r="FM198" s="470"/>
      <c r="FN198" s="470"/>
      <c r="FO198" s="470"/>
      <c r="FP198" s="470"/>
      <c r="FQ198" s="470"/>
      <c r="FR198" s="470"/>
      <c r="FS198" s="470"/>
      <c r="FT198" s="470"/>
      <c r="FU198" s="470"/>
      <c r="FV198" s="470"/>
      <c r="FW198" s="470"/>
      <c r="FX198" s="470"/>
      <c r="FY198" s="470"/>
      <c r="FZ198" s="470"/>
      <c r="GA198" s="470"/>
      <c r="GB198" s="470"/>
      <c r="GC198" s="470"/>
      <c r="GD198" s="470"/>
      <c r="GE198" s="470"/>
      <c r="GF198" s="470"/>
      <c r="GG198" s="470"/>
      <c r="GH198" s="470"/>
      <c r="GI198" s="470"/>
      <c r="GJ198" s="470"/>
      <c r="GK198" s="470"/>
      <c r="GL198" s="470"/>
      <c r="GM198" s="470"/>
      <c r="GN198" s="470"/>
      <c r="GO198" s="470"/>
      <c r="GP198" s="470"/>
      <c r="GQ198" s="470"/>
      <c r="GR198" s="470"/>
      <c r="GS198" s="470"/>
      <c r="GT198" s="470"/>
      <c r="GU198" s="470"/>
      <c r="GV198" s="470"/>
      <c r="GW198" s="470"/>
      <c r="GX198" s="470"/>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70"/>
      <c r="IF198" s="470"/>
      <c r="IG198" s="470"/>
      <c r="IH198" s="470"/>
      <c r="II198" s="470"/>
      <c r="IJ198" s="470"/>
      <c r="IK198" s="470"/>
      <c r="IL198" s="470"/>
      <c r="IM198" s="470"/>
      <c r="IN198" s="470"/>
      <c r="IO198" s="470"/>
      <c r="IP198" s="470"/>
      <c r="IQ198" s="470"/>
    </row>
    <row r="199" spans="1:251" x14ac:dyDescent="0.2">
      <c r="A199" s="453" t="s">
        <v>10111</v>
      </c>
      <c r="B199" s="453" t="s">
        <v>10112</v>
      </c>
      <c r="C199" s="454" t="s">
        <v>386</v>
      </c>
      <c r="D199" s="455" t="s">
        <v>9783</v>
      </c>
      <c r="E199" s="456" t="s">
        <v>9716</v>
      </c>
      <c r="F199" s="456" t="s">
        <v>10113</v>
      </c>
      <c r="G199" s="456" t="s">
        <v>7180</v>
      </c>
      <c r="H199" s="457">
        <v>187.92000000000002</v>
      </c>
      <c r="I199" s="457">
        <f t="shared" si="15"/>
        <v>202.01400000000001</v>
      </c>
      <c r="J199" s="457" t="s">
        <v>9706</v>
      </c>
      <c r="K199" s="458">
        <v>0.3</v>
      </c>
      <c r="L199" s="459">
        <f t="shared" si="12"/>
        <v>131.54400000000001</v>
      </c>
      <c r="M199" s="460">
        <v>0.18</v>
      </c>
      <c r="N199" s="461">
        <f t="shared" si="13"/>
        <v>165.65148000000002</v>
      </c>
      <c r="O199" s="462">
        <v>0.1</v>
      </c>
      <c r="P199" s="463">
        <f t="shared" si="14"/>
        <v>181.8126</v>
      </c>
      <c r="Q199" s="464"/>
      <c r="R199" s="476">
        <v>20</v>
      </c>
      <c r="S199" s="476">
        <v>20</v>
      </c>
      <c r="T199" s="476">
        <v>20</v>
      </c>
      <c r="U199" s="477"/>
      <c r="V199" s="470"/>
      <c r="W199" s="470"/>
      <c r="X199" s="470"/>
      <c r="Y199" s="470"/>
      <c r="Z199" s="470"/>
      <c r="AA199" s="470"/>
      <c r="AB199" s="470"/>
      <c r="AC199" s="470"/>
      <c r="AD199" s="470"/>
      <c r="AE199" s="470"/>
      <c r="AF199" s="470"/>
      <c r="AG199" s="470"/>
      <c r="AH199" s="470"/>
      <c r="AI199" s="470"/>
      <c r="AJ199" s="470"/>
      <c r="AK199" s="470"/>
      <c r="AL199" s="470"/>
      <c r="AM199" s="470"/>
      <c r="AN199" s="470"/>
      <c r="AO199" s="470"/>
      <c r="AP199" s="470"/>
      <c r="AQ199" s="470"/>
      <c r="AR199" s="470"/>
      <c r="AS199" s="470"/>
      <c r="AT199" s="470"/>
      <c r="AU199" s="470"/>
      <c r="AV199" s="470"/>
      <c r="AW199" s="470"/>
      <c r="AX199" s="470"/>
      <c r="AY199" s="470"/>
      <c r="AZ199" s="470"/>
      <c r="BA199" s="470"/>
      <c r="BB199" s="470"/>
      <c r="BC199" s="470"/>
      <c r="BD199" s="470"/>
      <c r="BE199" s="470"/>
      <c r="BF199" s="470"/>
      <c r="BG199" s="470"/>
      <c r="BH199" s="470"/>
      <c r="BI199" s="470"/>
      <c r="BJ199" s="470"/>
      <c r="BK199" s="470"/>
      <c r="BL199" s="470"/>
      <c r="BM199" s="470"/>
      <c r="BN199" s="470"/>
      <c r="BO199" s="470"/>
      <c r="BP199" s="470"/>
      <c r="BQ199" s="470"/>
      <c r="BR199" s="470"/>
      <c r="BS199" s="470"/>
      <c r="BT199" s="470"/>
      <c r="BU199" s="470"/>
      <c r="BV199" s="470"/>
      <c r="BW199" s="470"/>
      <c r="BX199" s="470"/>
      <c r="BY199" s="470"/>
      <c r="BZ199" s="470"/>
      <c r="CA199" s="470"/>
      <c r="CB199" s="470"/>
      <c r="CC199" s="470"/>
      <c r="CD199" s="470"/>
      <c r="CE199" s="470"/>
      <c r="CF199" s="470"/>
      <c r="CG199" s="470"/>
      <c r="CH199" s="470"/>
      <c r="CI199" s="470"/>
      <c r="CJ199" s="470"/>
      <c r="CK199" s="470"/>
      <c r="CL199" s="470"/>
      <c r="CM199" s="470"/>
      <c r="CN199" s="470"/>
      <c r="CO199" s="470"/>
      <c r="CP199" s="470"/>
      <c r="CQ199" s="470"/>
      <c r="CR199" s="470"/>
      <c r="CS199" s="470"/>
      <c r="CT199" s="470"/>
      <c r="CU199" s="470"/>
      <c r="CV199" s="470"/>
      <c r="CW199" s="470"/>
      <c r="CX199" s="470"/>
      <c r="CY199" s="470"/>
      <c r="CZ199" s="470"/>
      <c r="DA199" s="470"/>
      <c r="DB199" s="470"/>
      <c r="DC199" s="470"/>
      <c r="DD199" s="470"/>
      <c r="DE199" s="470"/>
      <c r="DF199" s="470"/>
      <c r="DG199" s="470"/>
      <c r="DH199" s="470"/>
      <c r="DI199" s="470"/>
      <c r="DJ199" s="470"/>
      <c r="DK199" s="470"/>
      <c r="DL199" s="470"/>
      <c r="DM199" s="470"/>
      <c r="DN199" s="470"/>
      <c r="DO199" s="470"/>
      <c r="DP199" s="470"/>
      <c r="DQ199" s="470"/>
      <c r="DR199" s="470"/>
      <c r="DS199" s="470"/>
      <c r="DT199" s="470"/>
      <c r="DU199" s="470"/>
      <c r="DV199" s="470"/>
      <c r="DW199" s="470"/>
      <c r="DX199" s="470"/>
      <c r="DY199" s="470"/>
      <c r="DZ199" s="470"/>
      <c r="EA199" s="470"/>
      <c r="EB199" s="470"/>
      <c r="EC199" s="470"/>
      <c r="ED199" s="470"/>
      <c r="EE199" s="470"/>
      <c r="EF199" s="470"/>
      <c r="EG199" s="470"/>
      <c r="EH199" s="470"/>
      <c r="EI199" s="470"/>
      <c r="EJ199" s="470"/>
      <c r="EK199" s="470"/>
      <c r="EL199" s="470"/>
      <c r="EM199" s="470"/>
      <c r="EN199" s="470"/>
      <c r="EO199" s="470"/>
      <c r="EP199" s="470"/>
      <c r="EQ199" s="470"/>
      <c r="ER199" s="470"/>
      <c r="ES199" s="470"/>
      <c r="ET199" s="470"/>
      <c r="EU199" s="470"/>
      <c r="EV199" s="470"/>
      <c r="EW199" s="470"/>
      <c r="EX199" s="470"/>
      <c r="EY199" s="470"/>
      <c r="EZ199" s="470"/>
      <c r="FA199" s="470"/>
      <c r="FB199" s="470"/>
      <c r="FC199" s="470"/>
      <c r="FD199" s="470"/>
      <c r="FE199" s="470"/>
      <c r="FF199" s="470"/>
      <c r="FG199" s="470"/>
      <c r="FH199" s="470"/>
      <c r="FI199" s="470"/>
      <c r="FJ199" s="470"/>
      <c r="FK199" s="470"/>
      <c r="FL199" s="470"/>
      <c r="FM199" s="470"/>
      <c r="FN199" s="470"/>
      <c r="FO199" s="470"/>
      <c r="FP199" s="470"/>
      <c r="FQ199" s="470"/>
      <c r="FR199" s="470"/>
      <c r="FS199" s="470"/>
      <c r="FT199" s="470"/>
      <c r="FU199" s="470"/>
      <c r="FV199" s="470"/>
      <c r="FW199" s="470"/>
      <c r="FX199" s="470"/>
      <c r="FY199" s="470"/>
      <c r="FZ199" s="470"/>
      <c r="GA199" s="470"/>
      <c r="GB199" s="470"/>
      <c r="GC199" s="470"/>
      <c r="GD199" s="470"/>
      <c r="GE199" s="470"/>
      <c r="GF199" s="470"/>
      <c r="GG199" s="470"/>
      <c r="GH199" s="470"/>
      <c r="GI199" s="470"/>
      <c r="GJ199" s="470"/>
      <c r="GK199" s="470"/>
      <c r="GL199" s="470"/>
      <c r="GM199" s="470"/>
      <c r="GN199" s="470"/>
      <c r="GO199" s="470"/>
      <c r="GP199" s="470"/>
      <c r="GQ199" s="470"/>
      <c r="GR199" s="470"/>
      <c r="GS199" s="470"/>
      <c r="GT199" s="470"/>
      <c r="GU199" s="470"/>
      <c r="GV199" s="470"/>
      <c r="GW199" s="470"/>
      <c r="GX199" s="470"/>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70"/>
      <c r="IF199" s="470"/>
      <c r="IG199" s="470"/>
      <c r="IH199" s="470"/>
      <c r="II199" s="470"/>
      <c r="IJ199" s="470"/>
      <c r="IK199" s="470"/>
      <c r="IL199" s="470"/>
      <c r="IM199" s="470"/>
      <c r="IN199" s="470"/>
      <c r="IO199" s="470"/>
      <c r="IP199" s="470"/>
      <c r="IQ199" s="470"/>
    </row>
    <row r="200" spans="1:251" x14ac:dyDescent="0.2">
      <c r="A200" s="453" t="s">
        <v>10114</v>
      </c>
      <c r="B200" s="453" t="s">
        <v>10115</v>
      </c>
      <c r="C200" s="454" t="s">
        <v>386</v>
      </c>
      <c r="D200" s="455" t="s">
        <v>9783</v>
      </c>
      <c r="E200" s="456" t="s">
        <v>9758</v>
      </c>
      <c r="F200" s="456" t="s">
        <v>10113</v>
      </c>
      <c r="G200" s="456" t="s">
        <v>7180</v>
      </c>
      <c r="H200" s="457">
        <v>182.52</v>
      </c>
      <c r="I200" s="457">
        <f t="shared" si="15"/>
        <v>196.209</v>
      </c>
      <c r="J200" s="457" t="s">
        <v>9706</v>
      </c>
      <c r="K200" s="458">
        <v>0.3</v>
      </c>
      <c r="L200" s="459">
        <f t="shared" si="12"/>
        <v>127.764</v>
      </c>
      <c r="M200" s="460">
        <v>0.18</v>
      </c>
      <c r="N200" s="461">
        <f t="shared" si="13"/>
        <v>160.89138000000003</v>
      </c>
      <c r="O200" s="462">
        <v>0.1</v>
      </c>
      <c r="P200" s="463">
        <f t="shared" si="14"/>
        <v>176.5881</v>
      </c>
      <c r="Q200" s="464"/>
      <c r="R200" s="465">
        <v>10</v>
      </c>
      <c r="S200" s="465">
        <v>10</v>
      </c>
      <c r="T200" s="465">
        <v>10</v>
      </c>
      <c r="U200" s="466"/>
      <c r="V200" s="470"/>
      <c r="W200" s="470"/>
      <c r="X200" s="470"/>
      <c r="Y200" s="470"/>
      <c r="Z200" s="470"/>
      <c r="AA200" s="470"/>
      <c r="AB200" s="470"/>
      <c r="AC200" s="470"/>
      <c r="AD200" s="470"/>
      <c r="AE200" s="470"/>
      <c r="AF200" s="470"/>
      <c r="AG200" s="470"/>
      <c r="AH200" s="470"/>
      <c r="AI200" s="470"/>
      <c r="AJ200" s="470"/>
      <c r="AK200" s="470"/>
      <c r="AL200" s="470"/>
      <c r="AM200" s="470"/>
      <c r="AN200" s="470"/>
      <c r="AO200" s="470"/>
      <c r="AP200" s="470"/>
      <c r="AQ200" s="470"/>
      <c r="AR200" s="470"/>
      <c r="AS200" s="470"/>
      <c r="AT200" s="470"/>
      <c r="AU200" s="470"/>
      <c r="AV200" s="470"/>
      <c r="AW200" s="470"/>
      <c r="AX200" s="470"/>
      <c r="AY200" s="470"/>
      <c r="AZ200" s="470"/>
      <c r="BA200" s="470"/>
      <c r="BB200" s="470"/>
      <c r="BC200" s="470"/>
      <c r="BD200" s="470"/>
      <c r="BE200" s="470"/>
      <c r="BF200" s="470"/>
      <c r="BG200" s="470"/>
      <c r="BH200" s="470"/>
      <c r="BI200" s="470"/>
      <c r="BJ200" s="470"/>
      <c r="BK200" s="470"/>
      <c r="BL200" s="470"/>
      <c r="BM200" s="470"/>
      <c r="BN200" s="470"/>
      <c r="BO200" s="470"/>
      <c r="BP200" s="470"/>
      <c r="BQ200" s="470"/>
      <c r="BR200" s="470"/>
      <c r="BS200" s="470"/>
      <c r="BT200" s="470"/>
      <c r="BU200" s="470"/>
      <c r="BV200" s="470"/>
      <c r="BW200" s="470"/>
      <c r="BX200" s="470"/>
      <c r="BY200" s="470"/>
      <c r="BZ200" s="470"/>
      <c r="CA200" s="470"/>
      <c r="CB200" s="470"/>
      <c r="CC200" s="470"/>
      <c r="CD200" s="470"/>
      <c r="CE200" s="470"/>
      <c r="CF200" s="470"/>
      <c r="CG200" s="470"/>
      <c r="CH200" s="470"/>
      <c r="CI200" s="470"/>
      <c r="CJ200" s="470"/>
      <c r="CK200" s="470"/>
      <c r="CL200" s="470"/>
      <c r="CM200" s="470"/>
      <c r="CN200" s="470"/>
      <c r="CO200" s="470"/>
      <c r="CP200" s="470"/>
      <c r="CQ200" s="470"/>
      <c r="CR200" s="470"/>
      <c r="CS200" s="470"/>
      <c r="CT200" s="470"/>
      <c r="CU200" s="470"/>
      <c r="CV200" s="470"/>
      <c r="CW200" s="470"/>
      <c r="CX200" s="470"/>
      <c r="CY200" s="470"/>
      <c r="CZ200" s="470"/>
      <c r="DA200" s="470"/>
      <c r="DB200" s="470"/>
      <c r="DC200" s="470"/>
      <c r="DD200" s="470"/>
      <c r="DE200" s="470"/>
      <c r="DF200" s="470"/>
      <c r="DG200" s="470"/>
      <c r="DH200" s="470"/>
      <c r="DI200" s="470"/>
      <c r="DJ200" s="470"/>
      <c r="DK200" s="470"/>
      <c r="DL200" s="470"/>
      <c r="DM200" s="470"/>
      <c r="DN200" s="470"/>
      <c r="DO200" s="470"/>
      <c r="DP200" s="470"/>
      <c r="DQ200" s="470"/>
      <c r="DR200" s="470"/>
      <c r="DS200" s="470"/>
      <c r="DT200" s="470"/>
      <c r="DU200" s="470"/>
      <c r="DV200" s="470"/>
      <c r="DW200" s="470"/>
      <c r="DX200" s="470"/>
      <c r="DY200" s="470"/>
      <c r="DZ200" s="470"/>
      <c r="EA200" s="470"/>
      <c r="EB200" s="470"/>
      <c r="EC200" s="470"/>
      <c r="ED200" s="470"/>
      <c r="EE200" s="470"/>
      <c r="EF200" s="470"/>
      <c r="EG200" s="470"/>
      <c r="EH200" s="470"/>
      <c r="EI200" s="470"/>
      <c r="EJ200" s="470"/>
      <c r="EK200" s="470"/>
      <c r="EL200" s="470"/>
      <c r="EM200" s="470"/>
      <c r="EN200" s="470"/>
      <c r="EO200" s="470"/>
      <c r="EP200" s="470"/>
      <c r="EQ200" s="470"/>
      <c r="ER200" s="470"/>
      <c r="ES200" s="470"/>
      <c r="ET200" s="470"/>
      <c r="EU200" s="470"/>
      <c r="EV200" s="470"/>
      <c r="EW200" s="470"/>
      <c r="EX200" s="470"/>
      <c r="EY200" s="470"/>
      <c r="EZ200" s="470"/>
      <c r="FA200" s="470"/>
      <c r="FB200" s="470"/>
      <c r="FC200" s="470"/>
      <c r="FD200" s="470"/>
      <c r="FE200" s="470"/>
      <c r="FF200" s="470"/>
      <c r="FG200" s="470"/>
      <c r="FH200" s="470"/>
      <c r="FI200" s="470"/>
      <c r="FJ200" s="470"/>
      <c r="FK200" s="470"/>
      <c r="FL200" s="470"/>
      <c r="FM200" s="470"/>
      <c r="FN200" s="470"/>
      <c r="FO200" s="470"/>
      <c r="FP200" s="470"/>
      <c r="FQ200" s="470"/>
      <c r="FR200" s="470"/>
      <c r="FS200" s="470"/>
      <c r="FT200" s="470"/>
      <c r="FU200" s="470"/>
      <c r="FV200" s="470"/>
      <c r="FW200" s="470"/>
      <c r="FX200" s="470"/>
      <c r="FY200" s="470"/>
      <c r="FZ200" s="470"/>
      <c r="GA200" s="470"/>
      <c r="GB200" s="470"/>
      <c r="GC200" s="470"/>
      <c r="GD200" s="470"/>
      <c r="GE200" s="470"/>
      <c r="GF200" s="470"/>
      <c r="GG200" s="470"/>
      <c r="GH200" s="470"/>
      <c r="GI200" s="470"/>
      <c r="GJ200" s="470"/>
      <c r="GK200" s="470"/>
      <c r="GL200" s="470"/>
      <c r="GM200" s="470"/>
      <c r="GN200" s="470"/>
      <c r="GO200" s="470"/>
      <c r="GP200" s="470"/>
      <c r="GQ200" s="470"/>
      <c r="GR200" s="470"/>
      <c r="GS200" s="470"/>
      <c r="GT200" s="470"/>
      <c r="GU200" s="470"/>
      <c r="GV200" s="470"/>
      <c r="GW200" s="470"/>
      <c r="GX200" s="470"/>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70"/>
      <c r="IF200" s="470"/>
      <c r="IG200" s="470"/>
      <c r="IH200" s="470"/>
      <c r="II200" s="470"/>
      <c r="IJ200" s="470"/>
      <c r="IK200" s="470"/>
      <c r="IL200" s="470"/>
      <c r="IM200" s="470"/>
      <c r="IN200" s="470"/>
      <c r="IO200" s="470"/>
      <c r="IP200" s="470"/>
      <c r="IQ200" s="470"/>
    </row>
    <row r="201" spans="1:251" x14ac:dyDescent="0.2">
      <c r="A201" s="453" t="s">
        <v>10116</v>
      </c>
      <c r="B201" s="453" t="s">
        <v>10117</v>
      </c>
      <c r="C201" s="454" t="s">
        <v>386</v>
      </c>
      <c r="D201" s="455" t="s">
        <v>9783</v>
      </c>
      <c r="E201" s="456" t="s">
        <v>9758</v>
      </c>
      <c r="F201" s="456" t="s">
        <v>10113</v>
      </c>
      <c r="G201" s="456" t="s">
        <v>7180</v>
      </c>
      <c r="H201" s="457">
        <v>182.52</v>
      </c>
      <c r="I201" s="457">
        <f t="shared" si="15"/>
        <v>196.209</v>
      </c>
      <c r="J201" s="457" t="s">
        <v>9706</v>
      </c>
      <c r="K201" s="458">
        <v>0.3</v>
      </c>
      <c r="L201" s="459">
        <f t="shared" si="12"/>
        <v>127.764</v>
      </c>
      <c r="M201" s="460">
        <v>0.18</v>
      </c>
      <c r="N201" s="461">
        <f t="shared" si="13"/>
        <v>160.89138000000003</v>
      </c>
      <c r="O201" s="462">
        <v>0.1</v>
      </c>
      <c r="P201" s="463">
        <f t="shared" si="14"/>
        <v>176.5881</v>
      </c>
      <c r="Q201" s="464"/>
      <c r="R201" s="465">
        <v>10</v>
      </c>
      <c r="S201" s="465">
        <v>10</v>
      </c>
      <c r="T201" s="465">
        <v>10</v>
      </c>
      <c r="U201" s="466"/>
      <c r="V201" s="470"/>
      <c r="W201" s="470"/>
      <c r="X201" s="470"/>
      <c r="Y201" s="470"/>
      <c r="Z201" s="470"/>
      <c r="AA201" s="470"/>
      <c r="AB201" s="470"/>
      <c r="AC201" s="470"/>
      <c r="AD201" s="470"/>
      <c r="AE201" s="470"/>
      <c r="AF201" s="470"/>
      <c r="AG201" s="470"/>
      <c r="AH201" s="470"/>
      <c r="AI201" s="470"/>
      <c r="AJ201" s="470"/>
      <c r="AK201" s="470"/>
      <c r="AL201" s="470"/>
      <c r="AM201" s="470"/>
      <c r="AN201" s="470"/>
      <c r="AO201" s="470"/>
      <c r="AP201" s="470"/>
      <c r="AQ201" s="470"/>
      <c r="AR201" s="470"/>
      <c r="AS201" s="470"/>
      <c r="AT201" s="470"/>
      <c r="AU201" s="470"/>
      <c r="AV201" s="470"/>
      <c r="AW201" s="470"/>
      <c r="AX201" s="470"/>
      <c r="AY201" s="470"/>
      <c r="AZ201" s="470"/>
      <c r="BA201" s="470"/>
      <c r="BB201" s="470"/>
      <c r="BC201" s="470"/>
      <c r="BD201" s="470"/>
      <c r="BE201" s="470"/>
      <c r="BF201" s="470"/>
      <c r="BG201" s="470"/>
      <c r="BH201" s="470"/>
      <c r="BI201" s="470"/>
      <c r="BJ201" s="470"/>
      <c r="BK201" s="470"/>
      <c r="BL201" s="470"/>
      <c r="BM201" s="470"/>
      <c r="BN201" s="470"/>
      <c r="BO201" s="470"/>
      <c r="BP201" s="470"/>
      <c r="BQ201" s="470"/>
      <c r="BR201" s="470"/>
      <c r="BS201" s="470"/>
      <c r="BT201" s="470"/>
      <c r="BU201" s="470"/>
      <c r="BV201" s="470"/>
      <c r="BW201" s="470"/>
      <c r="BX201" s="470"/>
      <c r="BY201" s="470"/>
      <c r="BZ201" s="470"/>
      <c r="CA201" s="470"/>
      <c r="CB201" s="470"/>
      <c r="CC201" s="470"/>
      <c r="CD201" s="470"/>
      <c r="CE201" s="470"/>
      <c r="CF201" s="470"/>
      <c r="CG201" s="470"/>
      <c r="CH201" s="470"/>
      <c r="CI201" s="470"/>
      <c r="CJ201" s="470"/>
      <c r="CK201" s="470"/>
      <c r="CL201" s="470"/>
      <c r="CM201" s="470"/>
      <c r="CN201" s="470"/>
      <c r="CO201" s="470"/>
      <c r="CP201" s="470"/>
      <c r="CQ201" s="470"/>
      <c r="CR201" s="470"/>
      <c r="CS201" s="470"/>
      <c r="CT201" s="470"/>
      <c r="CU201" s="470"/>
      <c r="CV201" s="470"/>
      <c r="CW201" s="470"/>
      <c r="CX201" s="470"/>
      <c r="CY201" s="470"/>
      <c r="CZ201" s="470"/>
      <c r="DA201" s="470"/>
      <c r="DB201" s="470"/>
      <c r="DC201" s="470"/>
      <c r="DD201" s="470"/>
      <c r="DE201" s="470"/>
      <c r="DF201" s="470"/>
      <c r="DG201" s="470"/>
      <c r="DH201" s="470"/>
      <c r="DI201" s="470"/>
      <c r="DJ201" s="470"/>
      <c r="DK201" s="470"/>
      <c r="DL201" s="470"/>
      <c r="DM201" s="470"/>
      <c r="DN201" s="470"/>
      <c r="DO201" s="470"/>
      <c r="DP201" s="470"/>
      <c r="DQ201" s="470"/>
      <c r="DR201" s="470"/>
      <c r="DS201" s="470"/>
      <c r="DT201" s="470"/>
      <c r="DU201" s="470"/>
      <c r="DV201" s="470"/>
      <c r="DW201" s="470"/>
      <c r="DX201" s="470"/>
      <c r="DY201" s="470"/>
      <c r="DZ201" s="470"/>
      <c r="EA201" s="470"/>
      <c r="EB201" s="470"/>
      <c r="EC201" s="470"/>
      <c r="ED201" s="470"/>
      <c r="EE201" s="470"/>
      <c r="EF201" s="470"/>
      <c r="EG201" s="470"/>
      <c r="EH201" s="470"/>
      <c r="EI201" s="470"/>
      <c r="EJ201" s="470"/>
      <c r="EK201" s="470"/>
      <c r="EL201" s="470"/>
      <c r="EM201" s="470"/>
      <c r="EN201" s="470"/>
      <c r="EO201" s="470"/>
      <c r="EP201" s="470"/>
      <c r="EQ201" s="470"/>
      <c r="ER201" s="470"/>
      <c r="ES201" s="470"/>
      <c r="ET201" s="470"/>
      <c r="EU201" s="470"/>
      <c r="EV201" s="470"/>
      <c r="EW201" s="470"/>
      <c r="EX201" s="470"/>
      <c r="EY201" s="470"/>
      <c r="EZ201" s="470"/>
      <c r="FA201" s="470"/>
      <c r="FB201" s="470"/>
      <c r="FC201" s="470"/>
      <c r="FD201" s="470"/>
      <c r="FE201" s="470"/>
      <c r="FF201" s="470"/>
      <c r="FG201" s="470"/>
      <c r="FH201" s="470"/>
      <c r="FI201" s="470"/>
      <c r="FJ201" s="470"/>
      <c r="FK201" s="470"/>
      <c r="FL201" s="470"/>
      <c r="FM201" s="470"/>
      <c r="FN201" s="470"/>
      <c r="FO201" s="470"/>
      <c r="FP201" s="470"/>
      <c r="FQ201" s="470"/>
      <c r="FR201" s="470"/>
      <c r="FS201" s="470"/>
      <c r="FT201" s="470"/>
      <c r="FU201" s="470"/>
      <c r="FV201" s="470"/>
      <c r="FW201" s="470"/>
      <c r="FX201" s="470"/>
      <c r="FY201" s="470"/>
      <c r="FZ201" s="470"/>
      <c r="GA201" s="470"/>
      <c r="GB201" s="470"/>
      <c r="GC201" s="470"/>
      <c r="GD201" s="470"/>
      <c r="GE201" s="470"/>
      <c r="GF201" s="470"/>
      <c r="GG201" s="470"/>
      <c r="GH201" s="470"/>
      <c r="GI201" s="470"/>
      <c r="GJ201" s="470"/>
      <c r="GK201" s="470"/>
      <c r="GL201" s="470"/>
      <c r="GM201" s="470"/>
      <c r="GN201" s="470"/>
      <c r="GO201" s="470"/>
      <c r="GP201" s="470"/>
      <c r="GQ201" s="470"/>
      <c r="GR201" s="470"/>
      <c r="GS201" s="470"/>
      <c r="GT201" s="470"/>
      <c r="GU201" s="470"/>
      <c r="GV201" s="470"/>
      <c r="GW201" s="470"/>
      <c r="GX201" s="470"/>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70"/>
      <c r="IF201" s="470"/>
      <c r="IG201" s="470"/>
      <c r="IH201" s="470"/>
      <c r="II201" s="470"/>
      <c r="IJ201" s="470"/>
      <c r="IK201" s="470"/>
      <c r="IL201" s="470"/>
      <c r="IM201" s="470"/>
      <c r="IN201" s="470"/>
      <c r="IO201" s="470"/>
      <c r="IP201" s="470"/>
      <c r="IQ201" s="470"/>
    </row>
    <row r="202" spans="1:251" x14ac:dyDescent="0.2">
      <c r="A202" s="453" t="s">
        <v>10118</v>
      </c>
      <c r="B202" s="453" t="s">
        <v>10119</v>
      </c>
      <c r="C202" s="454" t="s">
        <v>386</v>
      </c>
      <c r="D202" s="455" t="s">
        <v>9783</v>
      </c>
      <c r="E202" s="456" t="s">
        <v>9710</v>
      </c>
      <c r="F202" s="456" t="s">
        <v>10113</v>
      </c>
      <c r="G202" s="456" t="s">
        <v>7180</v>
      </c>
      <c r="H202" s="457">
        <v>182.52</v>
      </c>
      <c r="I202" s="457">
        <f t="shared" si="15"/>
        <v>196.209</v>
      </c>
      <c r="J202" s="457" t="s">
        <v>9706</v>
      </c>
      <c r="K202" s="458">
        <v>0.3</v>
      </c>
      <c r="L202" s="459">
        <f t="shared" si="12"/>
        <v>127.764</v>
      </c>
      <c r="M202" s="460">
        <v>0.18</v>
      </c>
      <c r="N202" s="461">
        <f t="shared" si="13"/>
        <v>160.89138000000003</v>
      </c>
      <c r="O202" s="462">
        <v>0.1</v>
      </c>
      <c r="P202" s="463">
        <f t="shared" si="14"/>
        <v>176.5881</v>
      </c>
      <c r="Q202" s="464"/>
      <c r="R202" s="465">
        <v>10</v>
      </c>
      <c r="S202" s="465">
        <v>10</v>
      </c>
      <c r="T202" s="465">
        <v>10</v>
      </c>
      <c r="U202" s="477"/>
      <c r="V202" s="470"/>
      <c r="W202" s="470"/>
      <c r="X202" s="470"/>
      <c r="Y202" s="470"/>
      <c r="Z202" s="470"/>
      <c r="AA202" s="470"/>
      <c r="AB202" s="470"/>
      <c r="AC202" s="470"/>
      <c r="AD202" s="470"/>
      <c r="AE202" s="470"/>
      <c r="AF202" s="470"/>
      <c r="AG202" s="470"/>
      <c r="AH202" s="470"/>
      <c r="AI202" s="470"/>
      <c r="AJ202" s="470"/>
      <c r="AK202" s="470"/>
      <c r="AL202" s="470"/>
      <c r="AM202" s="470"/>
      <c r="AN202" s="470"/>
      <c r="AO202" s="470"/>
      <c r="AP202" s="470"/>
      <c r="AQ202" s="470"/>
      <c r="AR202" s="470"/>
      <c r="AS202" s="470"/>
      <c r="AT202" s="470"/>
      <c r="AU202" s="470"/>
      <c r="AV202" s="470"/>
      <c r="AW202" s="470"/>
      <c r="AX202" s="470"/>
      <c r="AY202" s="470"/>
      <c r="AZ202" s="470"/>
      <c r="BA202" s="470"/>
      <c r="BB202" s="470"/>
      <c r="BC202" s="470"/>
      <c r="BD202" s="470"/>
      <c r="BE202" s="470"/>
      <c r="BF202" s="470"/>
      <c r="BG202" s="470"/>
      <c r="BH202" s="470"/>
      <c r="BI202" s="470"/>
      <c r="BJ202" s="470"/>
      <c r="BK202" s="470"/>
      <c r="BL202" s="470"/>
      <c r="BM202" s="470"/>
      <c r="BN202" s="470"/>
      <c r="BO202" s="470"/>
      <c r="BP202" s="470"/>
      <c r="BQ202" s="470"/>
      <c r="BR202" s="470"/>
      <c r="BS202" s="470"/>
      <c r="BT202" s="470"/>
      <c r="BU202" s="470"/>
      <c r="BV202" s="470"/>
      <c r="BW202" s="470"/>
      <c r="BX202" s="470"/>
      <c r="BY202" s="470"/>
      <c r="BZ202" s="470"/>
      <c r="CA202" s="470"/>
      <c r="CB202" s="470"/>
      <c r="CC202" s="470"/>
      <c r="CD202" s="470"/>
      <c r="CE202" s="470"/>
      <c r="CF202" s="470"/>
      <c r="CG202" s="470"/>
      <c r="CH202" s="470"/>
      <c r="CI202" s="470"/>
      <c r="CJ202" s="470"/>
      <c r="CK202" s="470"/>
      <c r="CL202" s="470"/>
      <c r="CM202" s="470"/>
      <c r="CN202" s="470"/>
      <c r="CO202" s="470"/>
      <c r="CP202" s="470"/>
      <c r="CQ202" s="470"/>
      <c r="CR202" s="470"/>
      <c r="CS202" s="470"/>
      <c r="CT202" s="470"/>
      <c r="CU202" s="470"/>
      <c r="CV202" s="470"/>
      <c r="CW202" s="470"/>
      <c r="CX202" s="470"/>
      <c r="CY202" s="470"/>
      <c r="CZ202" s="470"/>
      <c r="DA202" s="470"/>
      <c r="DB202" s="470"/>
      <c r="DC202" s="470"/>
      <c r="DD202" s="470"/>
      <c r="DE202" s="470"/>
      <c r="DF202" s="470"/>
      <c r="DG202" s="470"/>
      <c r="DH202" s="470"/>
      <c r="DI202" s="470"/>
      <c r="DJ202" s="470"/>
      <c r="DK202" s="470"/>
      <c r="DL202" s="470"/>
      <c r="DM202" s="470"/>
      <c r="DN202" s="470"/>
      <c r="DO202" s="470"/>
      <c r="DP202" s="470"/>
      <c r="DQ202" s="470"/>
      <c r="DR202" s="470"/>
      <c r="DS202" s="470"/>
      <c r="DT202" s="470"/>
      <c r="DU202" s="470"/>
      <c r="DV202" s="470"/>
      <c r="DW202" s="470"/>
      <c r="DX202" s="470"/>
      <c r="DY202" s="470"/>
      <c r="DZ202" s="470"/>
      <c r="EA202" s="470"/>
      <c r="EB202" s="470"/>
      <c r="EC202" s="470"/>
      <c r="ED202" s="470"/>
      <c r="EE202" s="470"/>
      <c r="EF202" s="470"/>
      <c r="EG202" s="470"/>
      <c r="EH202" s="470"/>
      <c r="EI202" s="470"/>
      <c r="EJ202" s="470"/>
      <c r="EK202" s="470"/>
      <c r="EL202" s="470"/>
      <c r="EM202" s="470"/>
      <c r="EN202" s="470"/>
      <c r="EO202" s="470"/>
      <c r="EP202" s="470"/>
      <c r="EQ202" s="470"/>
      <c r="ER202" s="470"/>
      <c r="ES202" s="470"/>
      <c r="ET202" s="470"/>
      <c r="EU202" s="470"/>
      <c r="EV202" s="470"/>
      <c r="EW202" s="470"/>
      <c r="EX202" s="470"/>
      <c r="EY202" s="470"/>
      <c r="EZ202" s="470"/>
      <c r="FA202" s="470"/>
      <c r="FB202" s="470"/>
      <c r="FC202" s="470"/>
      <c r="FD202" s="470"/>
      <c r="FE202" s="470"/>
      <c r="FF202" s="470"/>
      <c r="FG202" s="470"/>
      <c r="FH202" s="470"/>
      <c r="FI202" s="470"/>
      <c r="FJ202" s="470"/>
      <c r="FK202" s="470"/>
      <c r="FL202" s="470"/>
      <c r="FM202" s="470"/>
      <c r="FN202" s="470"/>
      <c r="FO202" s="470"/>
      <c r="FP202" s="470"/>
      <c r="FQ202" s="470"/>
      <c r="FR202" s="470"/>
      <c r="FS202" s="470"/>
      <c r="FT202" s="470"/>
      <c r="FU202" s="470"/>
      <c r="FV202" s="470"/>
      <c r="FW202" s="470"/>
      <c r="FX202" s="470"/>
      <c r="FY202" s="470"/>
      <c r="FZ202" s="470"/>
      <c r="GA202" s="470"/>
      <c r="GB202" s="470"/>
      <c r="GC202" s="470"/>
      <c r="GD202" s="470"/>
      <c r="GE202" s="470"/>
      <c r="GF202" s="470"/>
      <c r="GG202" s="470"/>
      <c r="GH202" s="470"/>
      <c r="GI202" s="470"/>
      <c r="GJ202" s="470"/>
      <c r="GK202" s="470"/>
      <c r="GL202" s="470"/>
      <c r="GM202" s="470"/>
      <c r="GN202" s="470"/>
      <c r="GO202" s="470"/>
      <c r="GP202" s="470"/>
      <c r="GQ202" s="470"/>
      <c r="GR202" s="470"/>
      <c r="GS202" s="470"/>
      <c r="GT202" s="470"/>
      <c r="GU202" s="470"/>
      <c r="GV202" s="470"/>
      <c r="GW202" s="470"/>
      <c r="GX202" s="470"/>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70"/>
      <c r="IF202" s="470"/>
      <c r="IG202" s="470"/>
      <c r="IH202" s="470"/>
      <c r="II202" s="470"/>
      <c r="IJ202" s="470"/>
      <c r="IK202" s="470"/>
      <c r="IL202" s="470"/>
      <c r="IM202" s="470"/>
      <c r="IN202" s="470"/>
      <c r="IO202" s="470"/>
      <c r="IP202" s="470"/>
      <c r="IQ202" s="470"/>
    </row>
    <row r="203" spans="1:251" x14ac:dyDescent="0.2">
      <c r="A203" s="453" t="s">
        <v>10120</v>
      </c>
      <c r="B203" s="453" t="s">
        <v>10121</v>
      </c>
      <c r="C203" s="454" t="s">
        <v>386</v>
      </c>
      <c r="D203" s="455" t="s">
        <v>9783</v>
      </c>
      <c r="E203" s="456" t="s">
        <v>9710</v>
      </c>
      <c r="F203" s="456" t="s">
        <v>10113</v>
      </c>
      <c r="G203" s="456" t="s">
        <v>7180</v>
      </c>
      <c r="H203" s="457">
        <v>182.52</v>
      </c>
      <c r="I203" s="457">
        <f t="shared" si="15"/>
        <v>196.209</v>
      </c>
      <c r="J203" s="457" t="s">
        <v>9706</v>
      </c>
      <c r="K203" s="458">
        <v>0.3</v>
      </c>
      <c r="L203" s="459">
        <f t="shared" si="12"/>
        <v>127.764</v>
      </c>
      <c r="M203" s="460">
        <v>0.18</v>
      </c>
      <c r="N203" s="461">
        <f t="shared" si="13"/>
        <v>160.89138000000003</v>
      </c>
      <c r="O203" s="462">
        <v>0.1</v>
      </c>
      <c r="P203" s="463">
        <f t="shared" si="14"/>
        <v>176.5881</v>
      </c>
      <c r="Q203" s="464"/>
      <c r="R203" s="465">
        <v>10</v>
      </c>
      <c r="S203" s="465">
        <v>10</v>
      </c>
      <c r="T203" s="465">
        <v>10</v>
      </c>
      <c r="U203" s="477"/>
      <c r="V203" s="470"/>
      <c r="W203" s="470"/>
      <c r="X203" s="470"/>
      <c r="Y203" s="470"/>
      <c r="Z203" s="470"/>
      <c r="AA203" s="470"/>
      <c r="AB203" s="470"/>
      <c r="AC203" s="470"/>
      <c r="AD203" s="470"/>
      <c r="AE203" s="470"/>
      <c r="AF203" s="470"/>
      <c r="AG203" s="470"/>
      <c r="AH203" s="470"/>
      <c r="AI203" s="470"/>
      <c r="AJ203" s="470"/>
      <c r="AK203" s="470"/>
      <c r="AL203" s="470"/>
      <c r="AM203" s="470"/>
      <c r="AN203" s="470"/>
      <c r="AO203" s="470"/>
      <c r="AP203" s="470"/>
      <c r="AQ203" s="470"/>
      <c r="AR203" s="470"/>
      <c r="AS203" s="470"/>
      <c r="AT203" s="470"/>
      <c r="AU203" s="470"/>
      <c r="AV203" s="470"/>
      <c r="AW203" s="470"/>
      <c r="AX203" s="470"/>
      <c r="AY203" s="470"/>
      <c r="AZ203" s="470"/>
      <c r="BA203" s="470"/>
      <c r="BB203" s="470"/>
      <c r="BC203" s="470"/>
      <c r="BD203" s="470"/>
      <c r="BE203" s="470"/>
      <c r="BF203" s="470"/>
      <c r="BG203" s="470"/>
      <c r="BH203" s="470"/>
      <c r="BI203" s="470"/>
      <c r="BJ203" s="470"/>
      <c r="BK203" s="470"/>
      <c r="BL203" s="470"/>
      <c r="BM203" s="470"/>
      <c r="BN203" s="470"/>
      <c r="BO203" s="470"/>
      <c r="BP203" s="470"/>
      <c r="BQ203" s="470"/>
      <c r="BR203" s="470"/>
      <c r="BS203" s="470"/>
      <c r="BT203" s="470"/>
      <c r="BU203" s="470"/>
      <c r="BV203" s="470"/>
      <c r="BW203" s="470"/>
      <c r="BX203" s="470"/>
      <c r="BY203" s="470"/>
      <c r="BZ203" s="470"/>
      <c r="CA203" s="470"/>
      <c r="CB203" s="470"/>
      <c r="CC203" s="470"/>
      <c r="CD203" s="470"/>
      <c r="CE203" s="470"/>
      <c r="CF203" s="470"/>
      <c r="CG203" s="470"/>
      <c r="CH203" s="470"/>
      <c r="CI203" s="470"/>
      <c r="CJ203" s="470"/>
      <c r="CK203" s="470"/>
      <c r="CL203" s="470"/>
      <c r="CM203" s="470"/>
      <c r="CN203" s="470"/>
      <c r="CO203" s="470"/>
      <c r="CP203" s="470"/>
      <c r="CQ203" s="470"/>
      <c r="CR203" s="470"/>
      <c r="CS203" s="470"/>
      <c r="CT203" s="470"/>
      <c r="CU203" s="470"/>
      <c r="CV203" s="470"/>
      <c r="CW203" s="470"/>
      <c r="CX203" s="470"/>
      <c r="CY203" s="470"/>
      <c r="CZ203" s="470"/>
      <c r="DA203" s="470"/>
      <c r="DB203" s="470"/>
      <c r="DC203" s="470"/>
      <c r="DD203" s="470"/>
      <c r="DE203" s="470"/>
      <c r="DF203" s="470"/>
      <c r="DG203" s="470"/>
      <c r="DH203" s="470"/>
      <c r="DI203" s="470"/>
      <c r="DJ203" s="470"/>
      <c r="DK203" s="470"/>
      <c r="DL203" s="470"/>
      <c r="DM203" s="470"/>
      <c r="DN203" s="470"/>
      <c r="DO203" s="470"/>
      <c r="DP203" s="470"/>
      <c r="DQ203" s="470"/>
      <c r="DR203" s="470"/>
      <c r="DS203" s="470"/>
      <c r="DT203" s="470"/>
      <c r="DU203" s="470"/>
      <c r="DV203" s="470"/>
      <c r="DW203" s="470"/>
      <c r="DX203" s="470"/>
      <c r="DY203" s="470"/>
      <c r="DZ203" s="470"/>
      <c r="EA203" s="470"/>
      <c r="EB203" s="470"/>
      <c r="EC203" s="470"/>
      <c r="ED203" s="470"/>
      <c r="EE203" s="470"/>
      <c r="EF203" s="470"/>
      <c r="EG203" s="470"/>
      <c r="EH203" s="470"/>
      <c r="EI203" s="470"/>
      <c r="EJ203" s="470"/>
      <c r="EK203" s="470"/>
      <c r="EL203" s="470"/>
      <c r="EM203" s="470"/>
      <c r="EN203" s="470"/>
      <c r="EO203" s="470"/>
      <c r="EP203" s="470"/>
      <c r="EQ203" s="470"/>
      <c r="ER203" s="470"/>
      <c r="ES203" s="470"/>
      <c r="ET203" s="470"/>
      <c r="EU203" s="470"/>
      <c r="EV203" s="470"/>
      <c r="EW203" s="470"/>
      <c r="EX203" s="470"/>
      <c r="EY203" s="470"/>
      <c r="EZ203" s="470"/>
      <c r="FA203" s="470"/>
      <c r="FB203" s="470"/>
      <c r="FC203" s="470"/>
      <c r="FD203" s="470"/>
      <c r="FE203" s="470"/>
      <c r="FF203" s="470"/>
      <c r="FG203" s="470"/>
      <c r="FH203" s="470"/>
      <c r="FI203" s="470"/>
      <c r="FJ203" s="470"/>
      <c r="FK203" s="470"/>
      <c r="FL203" s="470"/>
      <c r="FM203" s="470"/>
      <c r="FN203" s="470"/>
      <c r="FO203" s="470"/>
      <c r="FP203" s="470"/>
      <c r="FQ203" s="470"/>
      <c r="FR203" s="470"/>
      <c r="FS203" s="470"/>
      <c r="FT203" s="470"/>
      <c r="FU203" s="470"/>
      <c r="FV203" s="470"/>
      <c r="FW203" s="470"/>
      <c r="FX203" s="470"/>
      <c r="FY203" s="470"/>
      <c r="FZ203" s="470"/>
      <c r="GA203" s="470"/>
      <c r="GB203" s="470"/>
      <c r="GC203" s="470"/>
      <c r="GD203" s="470"/>
      <c r="GE203" s="470"/>
      <c r="GF203" s="470"/>
      <c r="GG203" s="470"/>
      <c r="GH203" s="470"/>
      <c r="GI203" s="470"/>
      <c r="GJ203" s="470"/>
      <c r="GK203" s="470"/>
      <c r="GL203" s="470"/>
      <c r="GM203" s="470"/>
      <c r="GN203" s="470"/>
      <c r="GO203" s="470"/>
      <c r="GP203" s="470"/>
      <c r="GQ203" s="470"/>
      <c r="GR203" s="470"/>
      <c r="GS203" s="470"/>
      <c r="GT203" s="470"/>
      <c r="GU203" s="470"/>
      <c r="GV203" s="470"/>
      <c r="GW203" s="470"/>
      <c r="GX203" s="470"/>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70"/>
      <c r="IF203" s="470"/>
      <c r="IG203" s="470"/>
      <c r="IH203" s="470"/>
      <c r="II203" s="470"/>
      <c r="IJ203" s="470"/>
      <c r="IK203" s="470"/>
      <c r="IL203" s="470"/>
      <c r="IM203" s="470"/>
      <c r="IN203" s="470"/>
      <c r="IO203" s="470"/>
      <c r="IP203" s="470"/>
      <c r="IQ203" s="470"/>
    </row>
    <row r="204" spans="1:251" x14ac:dyDescent="0.2">
      <c r="A204" s="453" t="s">
        <v>10122</v>
      </c>
      <c r="B204" s="453" t="s">
        <v>10123</v>
      </c>
      <c r="C204" s="454" t="s">
        <v>386</v>
      </c>
      <c r="D204" s="455" t="s">
        <v>9783</v>
      </c>
      <c r="E204" s="456" t="s">
        <v>9710</v>
      </c>
      <c r="F204" s="456" t="s">
        <v>10113</v>
      </c>
      <c r="G204" s="456" t="s">
        <v>7180</v>
      </c>
      <c r="H204" s="457">
        <v>182.52</v>
      </c>
      <c r="I204" s="457">
        <f t="shared" si="15"/>
        <v>196.209</v>
      </c>
      <c r="J204" s="457" t="s">
        <v>9706</v>
      </c>
      <c r="K204" s="458">
        <v>0.3</v>
      </c>
      <c r="L204" s="459">
        <f t="shared" si="12"/>
        <v>127.764</v>
      </c>
      <c r="M204" s="460">
        <v>0.18</v>
      </c>
      <c r="N204" s="461">
        <f t="shared" si="13"/>
        <v>160.89138000000003</v>
      </c>
      <c r="O204" s="462">
        <v>0.1</v>
      </c>
      <c r="P204" s="463">
        <f t="shared" si="14"/>
        <v>176.5881</v>
      </c>
      <c r="Q204" s="464"/>
      <c r="R204" s="465">
        <v>10</v>
      </c>
      <c r="S204" s="465">
        <v>10</v>
      </c>
      <c r="T204" s="465">
        <v>10</v>
      </c>
      <c r="U204" s="466"/>
      <c r="V204" s="470"/>
      <c r="W204" s="470"/>
      <c r="X204" s="470"/>
      <c r="Y204" s="470"/>
      <c r="Z204" s="470"/>
      <c r="AA204" s="470"/>
      <c r="AB204" s="470"/>
      <c r="AC204" s="470"/>
      <c r="AD204" s="470"/>
      <c r="AE204" s="470"/>
      <c r="AF204" s="470"/>
      <c r="AG204" s="470"/>
      <c r="AH204" s="470"/>
      <c r="AI204" s="470"/>
      <c r="AJ204" s="470"/>
      <c r="AK204" s="470"/>
      <c r="AL204" s="470"/>
      <c r="AM204" s="470"/>
      <c r="AN204" s="470"/>
      <c r="AO204" s="470"/>
      <c r="AP204" s="470"/>
      <c r="AQ204" s="470"/>
      <c r="AR204" s="470"/>
      <c r="AS204" s="470"/>
      <c r="AT204" s="470"/>
      <c r="AU204" s="470"/>
      <c r="AV204" s="470"/>
      <c r="AW204" s="470"/>
      <c r="AX204" s="470"/>
      <c r="AY204" s="470"/>
      <c r="AZ204" s="470"/>
      <c r="BA204" s="470"/>
      <c r="BB204" s="470"/>
      <c r="BC204" s="470"/>
      <c r="BD204" s="470"/>
      <c r="BE204" s="470"/>
      <c r="BF204" s="470"/>
      <c r="BG204" s="470"/>
      <c r="BH204" s="470"/>
      <c r="BI204" s="470"/>
      <c r="BJ204" s="470"/>
      <c r="BK204" s="470"/>
      <c r="BL204" s="470"/>
      <c r="BM204" s="470"/>
      <c r="BN204" s="470"/>
      <c r="BO204" s="470"/>
      <c r="BP204" s="470"/>
      <c r="BQ204" s="470"/>
      <c r="BR204" s="470"/>
      <c r="BS204" s="470"/>
      <c r="BT204" s="470"/>
      <c r="BU204" s="470"/>
      <c r="BV204" s="470"/>
      <c r="BW204" s="470"/>
      <c r="BX204" s="470"/>
      <c r="BY204" s="470"/>
      <c r="BZ204" s="470"/>
      <c r="CA204" s="470"/>
      <c r="CB204" s="470"/>
      <c r="CC204" s="470"/>
      <c r="CD204" s="470"/>
      <c r="CE204" s="470"/>
      <c r="CF204" s="470"/>
      <c r="CG204" s="470"/>
      <c r="CH204" s="470"/>
      <c r="CI204" s="470"/>
      <c r="CJ204" s="470"/>
      <c r="CK204" s="470"/>
      <c r="CL204" s="470"/>
      <c r="CM204" s="470"/>
      <c r="CN204" s="470"/>
      <c r="CO204" s="470"/>
      <c r="CP204" s="470"/>
      <c r="CQ204" s="470"/>
      <c r="CR204" s="470"/>
      <c r="CS204" s="470"/>
      <c r="CT204" s="470"/>
      <c r="CU204" s="470"/>
      <c r="CV204" s="470"/>
      <c r="CW204" s="470"/>
      <c r="CX204" s="470"/>
      <c r="CY204" s="470"/>
      <c r="CZ204" s="470"/>
      <c r="DA204" s="470"/>
      <c r="DB204" s="470"/>
      <c r="DC204" s="470"/>
      <c r="DD204" s="470"/>
      <c r="DE204" s="470"/>
      <c r="DF204" s="470"/>
      <c r="DG204" s="470"/>
      <c r="DH204" s="470"/>
      <c r="DI204" s="470"/>
      <c r="DJ204" s="470"/>
      <c r="DK204" s="470"/>
      <c r="DL204" s="470"/>
      <c r="DM204" s="470"/>
      <c r="DN204" s="470"/>
      <c r="DO204" s="470"/>
      <c r="DP204" s="470"/>
      <c r="DQ204" s="470"/>
      <c r="DR204" s="470"/>
      <c r="DS204" s="470"/>
      <c r="DT204" s="470"/>
      <c r="DU204" s="470"/>
      <c r="DV204" s="470"/>
      <c r="DW204" s="470"/>
      <c r="DX204" s="470"/>
      <c r="DY204" s="470"/>
      <c r="DZ204" s="470"/>
      <c r="EA204" s="470"/>
      <c r="EB204" s="470"/>
      <c r="EC204" s="470"/>
      <c r="ED204" s="470"/>
      <c r="EE204" s="470"/>
      <c r="EF204" s="470"/>
      <c r="EG204" s="470"/>
      <c r="EH204" s="470"/>
      <c r="EI204" s="470"/>
      <c r="EJ204" s="470"/>
      <c r="EK204" s="470"/>
      <c r="EL204" s="470"/>
      <c r="EM204" s="470"/>
      <c r="EN204" s="470"/>
      <c r="EO204" s="470"/>
      <c r="EP204" s="470"/>
      <c r="EQ204" s="470"/>
      <c r="ER204" s="470"/>
      <c r="ES204" s="470"/>
      <c r="ET204" s="470"/>
      <c r="EU204" s="470"/>
      <c r="EV204" s="470"/>
      <c r="EW204" s="470"/>
      <c r="EX204" s="470"/>
      <c r="EY204" s="470"/>
      <c r="EZ204" s="470"/>
      <c r="FA204" s="470"/>
      <c r="FB204" s="470"/>
      <c r="FC204" s="470"/>
      <c r="FD204" s="470"/>
      <c r="FE204" s="470"/>
      <c r="FF204" s="470"/>
      <c r="FG204" s="470"/>
      <c r="FH204" s="470"/>
      <c r="FI204" s="470"/>
      <c r="FJ204" s="470"/>
      <c r="FK204" s="470"/>
      <c r="FL204" s="470"/>
      <c r="FM204" s="470"/>
      <c r="FN204" s="470"/>
      <c r="FO204" s="470"/>
      <c r="FP204" s="470"/>
      <c r="FQ204" s="470"/>
      <c r="FR204" s="470"/>
      <c r="FS204" s="470"/>
      <c r="FT204" s="470"/>
      <c r="FU204" s="470"/>
      <c r="FV204" s="470"/>
      <c r="FW204" s="470"/>
      <c r="FX204" s="470"/>
      <c r="FY204" s="470"/>
      <c r="FZ204" s="470"/>
      <c r="GA204" s="470"/>
      <c r="GB204" s="470"/>
      <c r="GC204" s="470"/>
      <c r="GD204" s="470"/>
      <c r="GE204" s="470"/>
      <c r="GF204" s="470"/>
      <c r="GG204" s="470"/>
      <c r="GH204" s="470"/>
      <c r="GI204" s="470"/>
      <c r="GJ204" s="470"/>
      <c r="GK204" s="470"/>
      <c r="GL204" s="470"/>
      <c r="GM204" s="470"/>
      <c r="GN204" s="470"/>
      <c r="GO204" s="470"/>
      <c r="GP204" s="470"/>
      <c r="GQ204" s="470"/>
      <c r="GR204" s="470"/>
      <c r="GS204" s="470"/>
      <c r="GT204" s="470"/>
      <c r="GU204" s="470"/>
      <c r="GV204" s="470"/>
      <c r="GW204" s="470"/>
      <c r="GX204" s="470"/>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70"/>
      <c r="IF204" s="470"/>
      <c r="IG204" s="470"/>
      <c r="IH204" s="470"/>
      <c r="II204" s="470"/>
      <c r="IJ204" s="470"/>
      <c r="IK204" s="470"/>
      <c r="IL204" s="470"/>
      <c r="IM204" s="470"/>
      <c r="IN204" s="470"/>
      <c r="IO204" s="470"/>
      <c r="IP204" s="470"/>
      <c r="IQ204" s="470"/>
    </row>
    <row r="205" spans="1:251" x14ac:dyDescent="0.2">
      <c r="A205" s="453" t="s">
        <v>10124</v>
      </c>
      <c r="B205" s="453" t="s">
        <v>10125</v>
      </c>
      <c r="C205" s="454" t="s">
        <v>386</v>
      </c>
      <c r="D205" s="455" t="s">
        <v>9783</v>
      </c>
      <c r="E205" s="456" t="s">
        <v>9710</v>
      </c>
      <c r="F205" s="456" t="s">
        <v>10113</v>
      </c>
      <c r="G205" s="456" t="s">
        <v>7180</v>
      </c>
      <c r="H205" s="457">
        <v>182.52</v>
      </c>
      <c r="I205" s="457">
        <f t="shared" si="15"/>
        <v>196.209</v>
      </c>
      <c r="J205" s="457" t="s">
        <v>9706</v>
      </c>
      <c r="K205" s="458">
        <v>0.3</v>
      </c>
      <c r="L205" s="459">
        <f t="shared" si="12"/>
        <v>127.764</v>
      </c>
      <c r="M205" s="460">
        <v>0.18</v>
      </c>
      <c r="N205" s="461">
        <f t="shared" si="13"/>
        <v>160.89138000000003</v>
      </c>
      <c r="O205" s="462">
        <v>0.1</v>
      </c>
      <c r="P205" s="463">
        <f t="shared" si="14"/>
        <v>176.5881</v>
      </c>
      <c r="Q205" s="464"/>
      <c r="R205" s="465">
        <v>10</v>
      </c>
      <c r="S205" s="465">
        <v>10</v>
      </c>
      <c r="T205" s="465">
        <v>10</v>
      </c>
      <c r="U205" s="477"/>
      <c r="V205" s="470"/>
      <c r="W205" s="470"/>
      <c r="X205" s="470"/>
      <c r="Y205" s="470"/>
      <c r="Z205" s="470"/>
      <c r="AA205" s="470"/>
      <c r="AB205" s="470"/>
      <c r="AC205" s="470"/>
      <c r="AD205" s="470"/>
      <c r="AE205" s="470"/>
      <c r="AF205" s="470"/>
      <c r="AG205" s="470"/>
      <c r="AH205" s="470"/>
      <c r="AI205" s="470"/>
      <c r="AJ205" s="470"/>
      <c r="AK205" s="470"/>
      <c r="AL205" s="470"/>
      <c r="AM205" s="470"/>
      <c r="AN205" s="470"/>
      <c r="AO205" s="470"/>
      <c r="AP205" s="470"/>
      <c r="AQ205" s="470"/>
      <c r="AR205" s="470"/>
      <c r="AS205" s="470"/>
      <c r="AT205" s="470"/>
      <c r="AU205" s="470"/>
      <c r="AV205" s="470"/>
      <c r="AW205" s="470"/>
      <c r="AX205" s="470"/>
      <c r="AY205" s="470"/>
      <c r="AZ205" s="470"/>
      <c r="BA205" s="470"/>
      <c r="BB205" s="470"/>
      <c r="BC205" s="470"/>
      <c r="BD205" s="470"/>
      <c r="BE205" s="470"/>
      <c r="BF205" s="470"/>
      <c r="BG205" s="470"/>
      <c r="BH205" s="470"/>
      <c r="BI205" s="470"/>
      <c r="BJ205" s="470"/>
      <c r="BK205" s="470"/>
      <c r="BL205" s="470"/>
      <c r="BM205" s="470"/>
      <c r="BN205" s="470"/>
      <c r="BO205" s="470"/>
      <c r="BP205" s="470"/>
      <c r="BQ205" s="470"/>
      <c r="BR205" s="470"/>
      <c r="BS205" s="470"/>
      <c r="BT205" s="470"/>
      <c r="BU205" s="470"/>
      <c r="BV205" s="470"/>
      <c r="BW205" s="470"/>
      <c r="BX205" s="470"/>
      <c r="BY205" s="470"/>
      <c r="BZ205" s="470"/>
      <c r="CA205" s="470"/>
      <c r="CB205" s="470"/>
      <c r="CC205" s="470"/>
      <c r="CD205" s="470"/>
      <c r="CE205" s="470"/>
      <c r="CF205" s="470"/>
      <c r="CG205" s="470"/>
      <c r="CH205" s="470"/>
      <c r="CI205" s="470"/>
      <c r="CJ205" s="470"/>
      <c r="CK205" s="470"/>
      <c r="CL205" s="470"/>
      <c r="CM205" s="470"/>
      <c r="CN205" s="470"/>
      <c r="CO205" s="470"/>
      <c r="CP205" s="470"/>
      <c r="CQ205" s="470"/>
      <c r="CR205" s="470"/>
      <c r="CS205" s="470"/>
      <c r="CT205" s="470"/>
      <c r="CU205" s="470"/>
      <c r="CV205" s="470"/>
      <c r="CW205" s="470"/>
      <c r="CX205" s="470"/>
      <c r="CY205" s="470"/>
      <c r="CZ205" s="470"/>
      <c r="DA205" s="470"/>
      <c r="DB205" s="470"/>
      <c r="DC205" s="470"/>
      <c r="DD205" s="470"/>
      <c r="DE205" s="470"/>
      <c r="DF205" s="470"/>
      <c r="DG205" s="470"/>
      <c r="DH205" s="470"/>
      <c r="DI205" s="470"/>
      <c r="DJ205" s="470"/>
      <c r="DK205" s="470"/>
      <c r="DL205" s="470"/>
      <c r="DM205" s="470"/>
      <c r="DN205" s="470"/>
      <c r="DO205" s="470"/>
      <c r="DP205" s="470"/>
      <c r="DQ205" s="470"/>
      <c r="DR205" s="470"/>
      <c r="DS205" s="470"/>
      <c r="DT205" s="470"/>
      <c r="DU205" s="470"/>
      <c r="DV205" s="470"/>
      <c r="DW205" s="470"/>
      <c r="DX205" s="470"/>
      <c r="DY205" s="470"/>
      <c r="DZ205" s="470"/>
      <c r="EA205" s="470"/>
      <c r="EB205" s="470"/>
      <c r="EC205" s="470"/>
      <c r="ED205" s="470"/>
      <c r="EE205" s="470"/>
      <c r="EF205" s="470"/>
      <c r="EG205" s="470"/>
      <c r="EH205" s="470"/>
      <c r="EI205" s="470"/>
      <c r="EJ205" s="470"/>
      <c r="EK205" s="470"/>
      <c r="EL205" s="470"/>
      <c r="EM205" s="470"/>
      <c r="EN205" s="470"/>
      <c r="EO205" s="470"/>
      <c r="EP205" s="470"/>
      <c r="EQ205" s="470"/>
      <c r="ER205" s="470"/>
      <c r="ES205" s="470"/>
      <c r="ET205" s="470"/>
      <c r="EU205" s="470"/>
      <c r="EV205" s="470"/>
      <c r="EW205" s="470"/>
      <c r="EX205" s="470"/>
      <c r="EY205" s="470"/>
      <c r="EZ205" s="470"/>
      <c r="FA205" s="470"/>
      <c r="FB205" s="470"/>
      <c r="FC205" s="470"/>
      <c r="FD205" s="470"/>
      <c r="FE205" s="470"/>
      <c r="FF205" s="470"/>
      <c r="FG205" s="470"/>
      <c r="FH205" s="470"/>
      <c r="FI205" s="470"/>
      <c r="FJ205" s="470"/>
      <c r="FK205" s="470"/>
      <c r="FL205" s="470"/>
      <c r="FM205" s="470"/>
      <c r="FN205" s="470"/>
      <c r="FO205" s="470"/>
      <c r="FP205" s="470"/>
      <c r="FQ205" s="470"/>
      <c r="FR205" s="470"/>
      <c r="FS205" s="470"/>
      <c r="FT205" s="470"/>
      <c r="FU205" s="470"/>
      <c r="FV205" s="470"/>
      <c r="FW205" s="470"/>
      <c r="FX205" s="470"/>
      <c r="FY205" s="470"/>
      <c r="FZ205" s="470"/>
      <c r="GA205" s="470"/>
      <c r="GB205" s="470"/>
      <c r="GC205" s="470"/>
      <c r="GD205" s="470"/>
      <c r="GE205" s="470"/>
      <c r="GF205" s="470"/>
      <c r="GG205" s="470"/>
      <c r="GH205" s="470"/>
      <c r="GI205" s="470"/>
      <c r="GJ205" s="470"/>
      <c r="GK205" s="470"/>
      <c r="GL205" s="470"/>
      <c r="GM205" s="470"/>
      <c r="GN205" s="470"/>
      <c r="GO205" s="470"/>
      <c r="GP205" s="470"/>
      <c r="GQ205" s="470"/>
      <c r="GR205" s="470"/>
      <c r="GS205" s="470"/>
      <c r="GT205" s="470"/>
      <c r="GU205" s="470"/>
      <c r="GV205" s="470"/>
      <c r="GW205" s="470"/>
      <c r="GX205" s="470"/>
      <c r="GY205" s="470"/>
      <c r="GZ205" s="470"/>
      <c r="HA205" s="470"/>
      <c r="HB205" s="470"/>
      <c r="HC205" s="470"/>
      <c r="HD205" s="470"/>
      <c r="HE205" s="470"/>
      <c r="HF205" s="470"/>
      <c r="HG205" s="470"/>
      <c r="HH205" s="470"/>
      <c r="HI205" s="470"/>
      <c r="HJ205" s="470"/>
      <c r="HK205" s="470"/>
      <c r="HL205" s="470"/>
      <c r="HM205" s="470"/>
      <c r="HN205" s="470"/>
      <c r="HO205" s="470"/>
      <c r="HP205" s="470"/>
      <c r="HQ205" s="470"/>
      <c r="HR205" s="470"/>
      <c r="HS205" s="470"/>
      <c r="HT205" s="470"/>
      <c r="HU205" s="470"/>
      <c r="HV205" s="470"/>
      <c r="HW205" s="470"/>
      <c r="HX205" s="470"/>
      <c r="HY205" s="470"/>
      <c r="HZ205" s="470"/>
      <c r="IA205" s="470"/>
      <c r="IB205" s="470"/>
      <c r="IC205" s="470"/>
      <c r="ID205" s="470"/>
      <c r="IE205" s="470"/>
      <c r="IF205" s="470"/>
      <c r="IG205" s="470"/>
      <c r="IH205" s="470"/>
      <c r="II205" s="470"/>
      <c r="IJ205" s="470"/>
      <c r="IK205" s="470"/>
      <c r="IL205" s="470"/>
      <c r="IM205" s="470"/>
      <c r="IN205" s="470"/>
      <c r="IO205" s="470"/>
      <c r="IP205" s="470"/>
      <c r="IQ205" s="470"/>
    </row>
    <row r="206" spans="1:251" x14ac:dyDescent="0.2">
      <c r="A206" s="453" t="s">
        <v>10126</v>
      </c>
      <c r="B206" s="453" t="s">
        <v>10127</v>
      </c>
      <c r="C206" s="454" t="s">
        <v>386</v>
      </c>
      <c r="D206" s="455" t="s">
        <v>9783</v>
      </c>
      <c r="E206" s="456" t="s">
        <v>9710</v>
      </c>
      <c r="F206" s="456" t="s">
        <v>10113</v>
      </c>
      <c r="G206" s="456" t="s">
        <v>7180</v>
      </c>
      <c r="H206" s="457">
        <v>182.52</v>
      </c>
      <c r="I206" s="457">
        <f t="shared" si="15"/>
        <v>196.209</v>
      </c>
      <c r="J206" s="457" t="s">
        <v>9706</v>
      </c>
      <c r="K206" s="458">
        <v>0.3</v>
      </c>
      <c r="L206" s="459">
        <f t="shared" si="12"/>
        <v>127.764</v>
      </c>
      <c r="M206" s="460">
        <v>0.18</v>
      </c>
      <c r="N206" s="461">
        <f t="shared" si="13"/>
        <v>160.89138000000003</v>
      </c>
      <c r="O206" s="462">
        <v>0.1</v>
      </c>
      <c r="P206" s="463">
        <f t="shared" si="14"/>
        <v>176.5881</v>
      </c>
      <c r="Q206" s="464"/>
      <c r="R206" s="465">
        <v>10</v>
      </c>
      <c r="S206" s="465">
        <v>10</v>
      </c>
      <c r="T206" s="465">
        <v>10</v>
      </c>
      <c r="U206" s="466"/>
      <c r="V206" s="470"/>
      <c r="W206" s="470"/>
      <c r="X206" s="470"/>
      <c r="Y206" s="470"/>
      <c r="Z206" s="470"/>
      <c r="AA206" s="470"/>
      <c r="AB206" s="470"/>
      <c r="AC206" s="470"/>
      <c r="AD206" s="470"/>
      <c r="AE206" s="470"/>
      <c r="AF206" s="470"/>
      <c r="AG206" s="470"/>
      <c r="AH206" s="470"/>
      <c r="AI206" s="470"/>
      <c r="AJ206" s="470"/>
      <c r="AK206" s="470"/>
      <c r="AL206" s="470"/>
      <c r="AM206" s="470"/>
      <c r="AN206" s="470"/>
      <c r="AO206" s="470"/>
      <c r="AP206" s="470"/>
      <c r="AQ206" s="470"/>
      <c r="AR206" s="470"/>
      <c r="AS206" s="470"/>
      <c r="AT206" s="470"/>
      <c r="AU206" s="470"/>
      <c r="AV206" s="470"/>
      <c r="AW206" s="470"/>
      <c r="AX206" s="470"/>
      <c r="AY206" s="470"/>
      <c r="AZ206" s="470"/>
      <c r="BA206" s="470"/>
      <c r="BB206" s="470"/>
      <c r="BC206" s="470"/>
      <c r="BD206" s="470"/>
      <c r="BE206" s="470"/>
      <c r="BF206" s="470"/>
      <c r="BG206" s="470"/>
      <c r="BH206" s="470"/>
      <c r="BI206" s="470"/>
      <c r="BJ206" s="470"/>
      <c r="BK206" s="470"/>
      <c r="BL206" s="470"/>
      <c r="BM206" s="470"/>
      <c r="BN206" s="470"/>
      <c r="BO206" s="470"/>
      <c r="BP206" s="470"/>
      <c r="BQ206" s="470"/>
      <c r="BR206" s="470"/>
      <c r="BS206" s="470"/>
      <c r="BT206" s="470"/>
      <c r="BU206" s="470"/>
      <c r="BV206" s="470"/>
      <c r="BW206" s="470"/>
      <c r="BX206" s="470"/>
      <c r="BY206" s="470"/>
      <c r="BZ206" s="470"/>
      <c r="CA206" s="470"/>
      <c r="CB206" s="470"/>
      <c r="CC206" s="470"/>
      <c r="CD206" s="470"/>
      <c r="CE206" s="470"/>
      <c r="CF206" s="470"/>
      <c r="CG206" s="470"/>
      <c r="CH206" s="470"/>
      <c r="CI206" s="470"/>
      <c r="CJ206" s="470"/>
      <c r="CK206" s="470"/>
      <c r="CL206" s="470"/>
      <c r="CM206" s="470"/>
      <c r="CN206" s="470"/>
      <c r="CO206" s="470"/>
      <c r="CP206" s="470"/>
      <c r="CQ206" s="470"/>
      <c r="CR206" s="470"/>
      <c r="CS206" s="470"/>
      <c r="CT206" s="470"/>
      <c r="CU206" s="470"/>
      <c r="CV206" s="470"/>
      <c r="CW206" s="470"/>
      <c r="CX206" s="470"/>
      <c r="CY206" s="470"/>
      <c r="CZ206" s="470"/>
      <c r="DA206" s="470"/>
      <c r="DB206" s="470"/>
      <c r="DC206" s="470"/>
      <c r="DD206" s="470"/>
      <c r="DE206" s="470"/>
      <c r="DF206" s="470"/>
      <c r="DG206" s="470"/>
      <c r="DH206" s="470"/>
      <c r="DI206" s="470"/>
      <c r="DJ206" s="470"/>
      <c r="DK206" s="470"/>
      <c r="DL206" s="470"/>
      <c r="DM206" s="470"/>
      <c r="DN206" s="470"/>
      <c r="DO206" s="470"/>
      <c r="DP206" s="470"/>
      <c r="DQ206" s="470"/>
      <c r="DR206" s="470"/>
      <c r="DS206" s="470"/>
      <c r="DT206" s="470"/>
      <c r="DU206" s="470"/>
      <c r="DV206" s="470"/>
      <c r="DW206" s="470"/>
      <c r="DX206" s="470"/>
      <c r="DY206" s="470"/>
      <c r="DZ206" s="470"/>
      <c r="EA206" s="470"/>
      <c r="EB206" s="470"/>
      <c r="EC206" s="470"/>
      <c r="ED206" s="470"/>
      <c r="EE206" s="470"/>
      <c r="EF206" s="470"/>
      <c r="EG206" s="470"/>
      <c r="EH206" s="470"/>
      <c r="EI206" s="470"/>
      <c r="EJ206" s="470"/>
      <c r="EK206" s="470"/>
      <c r="EL206" s="470"/>
      <c r="EM206" s="470"/>
      <c r="EN206" s="470"/>
      <c r="EO206" s="470"/>
      <c r="EP206" s="470"/>
      <c r="EQ206" s="470"/>
      <c r="ER206" s="470"/>
      <c r="ES206" s="470"/>
      <c r="ET206" s="470"/>
      <c r="EU206" s="470"/>
      <c r="EV206" s="470"/>
      <c r="EW206" s="470"/>
      <c r="EX206" s="470"/>
      <c r="EY206" s="470"/>
      <c r="EZ206" s="470"/>
      <c r="FA206" s="470"/>
      <c r="FB206" s="470"/>
      <c r="FC206" s="470"/>
      <c r="FD206" s="470"/>
      <c r="FE206" s="470"/>
      <c r="FF206" s="470"/>
      <c r="FG206" s="470"/>
      <c r="FH206" s="470"/>
      <c r="FI206" s="470"/>
      <c r="FJ206" s="470"/>
      <c r="FK206" s="470"/>
      <c r="FL206" s="470"/>
      <c r="FM206" s="470"/>
      <c r="FN206" s="470"/>
      <c r="FO206" s="470"/>
      <c r="FP206" s="470"/>
      <c r="FQ206" s="470"/>
      <c r="FR206" s="470"/>
      <c r="FS206" s="470"/>
      <c r="FT206" s="470"/>
      <c r="FU206" s="470"/>
      <c r="FV206" s="470"/>
      <c r="FW206" s="470"/>
      <c r="FX206" s="470"/>
      <c r="FY206" s="470"/>
      <c r="FZ206" s="470"/>
      <c r="GA206" s="470"/>
      <c r="GB206" s="470"/>
      <c r="GC206" s="470"/>
      <c r="GD206" s="470"/>
      <c r="GE206" s="470"/>
      <c r="GF206" s="470"/>
      <c r="GG206" s="470"/>
      <c r="GH206" s="470"/>
      <c r="GI206" s="470"/>
      <c r="GJ206" s="470"/>
      <c r="GK206" s="470"/>
      <c r="GL206" s="470"/>
      <c r="GM206" s="470"/>
      <c r="GN206" s="470"/>
      <c r="GO206" s="470"/>
      <c r="GP206" s="470"/>
      <c r="GQ206" s="470"/>
      <c r="GR206" s="470"/>
      <c r="GS206" s="470"/>
      <c r="GT206" s="470"/>
      <c r="GU206" s="470"/>
      <c r="GV206" s="470"/>
      <c r="GW206" s="470"/>
      <c r="GX206" s="470"/>
      <c r="GY206" s="470"/>
      <c r="GZ206" s="470"/>
      <c r="HA206" s="470"/>
      <c r="HB206" s="470"/>
      <c r="HC206" s="470"/>
      <c r="HD206" s="470"/>
      <c r="HE206" s="470"/>
      <c r="HF206" s="470"/>
      <c r="HG206" s="470"/>
      <c r="HH206" s="470"/>
      <c r="HI206" s="470"/>
      <c r="HJ206" s="470"/>
      <c r="HK206" s="470"/>
      <c r="HL206" s="470"/>
      <c r="HM206" s="470"/>
      <c r="HN206" s="470"/>
      <c r="HO206" s="470"/>
      <c r="HP206" s="470"/>
      <c r="HQ206" s="470"/>
      <c r="HR206" s="470"/>
      <c r="HS206" s="470"/>
      <c r="HT206" s="470"/>
      <c r="HU206" s="470"/>
      <c r="HV206" s="470"/>
      <c r="HW206" s="470"/>
      <c r="HX206" s="470"/>
      <c r="HY206" s="470"/>
      <c r="HZ206" s="470"/>
      <c r="IA206" s="470"/>
      <c r="IB206" s="470"/>
      <c r="IC206" s="470"/>
      <c r="ID206" s="470"/>
      <c r="IE206" s="470"/>
      <c r="IF206" s="470"/>
      <c r="IG206" s="470"/>
      <c r="IH206" s="470"/>
      <c r="II206" s="470"/>
      <c r="IJ206" s="470"/>
      <c r="IK206" s="470"/>
      <c r="IL206" s="470"/>
      <c r="IM206" s="470"/>
      <c r="IN206" s="470"/>
      <c r="IO206" s="470"/>
      <c r="IP206" s="470"/>
      <c r="IQ206" s="470"/>
    </row>
    <row r="207" spans="1:251" x14ac:dyDescent="0.2">
      <c r="A207" s="453" t="s">
        <v>10128</v>
      </c>
      <c r="B207" s="453" t="s">
        <v>10129</v>
      </c>
      <c r="C207" s="454" t="s">
        <v>386</v>
      </c>
      <c r="D207" s="455" t="s">
        <v>9783</v>
      </c>
      <c r="E207" s="456" t="s">
        <v>9739</v>
      </c>
      <c r="F207" s="456" t="s">
        <v>10113</v>
      </c>
      <c r="G207" s="456" t="s">
        <v>7180</v>
      </c>
      <c r="H207" s="457">
        <v>182.52</v>
      </c>
      <c r="I207" s="457">
        <f t="shared" si="15"/>
        <v>196.209</v>
      </c>
      <c r="J207" s="457" t="s">
        <v>9706</v>
      </c>
      <c r="K207" s="458">
        <v>0.3</v>
      </c>
      <c r="L207" s="459">
        <f t="shared" si="12"/>
        <v>127.764</v>
      </c>
      <c r="M207" s="460">
        <v>0.18</v>
      </c>
      <c r="N207" s="461">
        <f t="shared" si="13"/>
        <v>160.89138000000003</v>
      </c>
      <c r="O207" s="462">
        <v>0.1</v>
      </c>
      <c r="P207" s="463">
        <f t="shared" si="14"/>
        <v>176.5881</v>
      </c>
      <c r="Q207" s="464"/>
      <c r="R207" s="465">
        <v>10</v>
      </c>
      <c r="S207" s="465">
        <v>10</v>
      </c>
      <c r="T207" s="465">
        <v>10</v>
      </c>
      <c r="U207" s="466"/>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0"/>
      <c r="AQ207" s="470"/>
      <c r="AR207" s="470"/>
      <c r="AS207" s="470"/>
      <c r="AT207" s="470"/>
      <c r="AU207" s="470"/>
      <c r="AV207" s="470"/>
      <c r="AW207" s="470"/>
      <c r="AX207" s="470"/>
      <c r="AY207" s="470"/>
      <c r="AZ207" s="470"/>
      <c r="BA207" s="470"/>
      <c r="BB207" s="470"/>
      <c r="BC207" s="470"/>
      <c r="BD207" s="470"/>
      <c r="BE207" s="470"/>
      <c r="BF207" s="470"/>
      <c r="BG207" s="470"/>
      <c r="BH207" s="470"/>
      <c r="BI207" s="470"/>
      <c r="BJ207" s="470"/>
      <c r="BK207" s="470"/>
      <c r="BL207" s="470"/>
      <c r="BM207" s="470"/>
      <c r="BN207" s="470"/>
      <c r="BO207" s="470"/>
      <c r="BP207" s="470"/>
      <c r="BQ207" s="470"/>
      <c r="BR207" s="470"/>
      <c r="BS207" s="470"/>
      <c r="BT207" s="470"/>
      <c r="BU207" s="470"/>
      <c r="BV207" s="470"/>
      <c r="BW207" s="470"/>
      <c r="BX207" s="470"/>
      <c r="BY207" s="470"/>
      <c r="BZ207" s="470"/>
      <c r="CA207" s="470"/>
      <c r="CB207" s="470"/>
      <c r="CC207" s="470"/>
      <c r="CD207" s="470"/>
      <c r="CE207" s="470"/>
      <c r="CF207" s="470"/>
      <c r="CG207" s="470"/>
      <c r="CH207" s="470"/>
      <c r="CI207" s="470"/>
      <c r="CJ207" s="470"/>
      <c r="CK207" s="470"/>
      <c r="CL207" s="470"/>
      <c r="CM207" s="470"/>
      <c r="CN207" s="470"/>
      <c r="CO207" s="470"/>
      <c r="CP207" s="470"/>
      <c r="CQ207" s="470"/>
      <c r="CR207" s="470"/>
      <c r="CS207" s="470"/>
      <c r="CT207" s="470"/>
      <c r="CU207" s="470"/>
      <c r="CV207" s="470"/>
      <c r="CW207" s="470"/>
      <c r="CX207" s="470"/>
      <c r="CY207" s="470"/>
      <c r="CZ207" s="470"/>
      <c r="DA207" s="470"/>
      <c r="DB207" s="470"/>
      <c r="DC207" s="470"/>
      <c r="DD207" s="470"/>
      <c r="DE207" s="470"/>
      <c r="DF207" s="470"/>
      <c r="DG207" s="470"/>
      <c r="DH207" s="470"/>
      <c r="DI207" s="470"/>
      <c r="DJ207" s="470"/>
      <c r="DK207" s="470"/>
      <c r="DL207" s="470"/>
      <c r="DM207" s="470"/>
      <c r="DN207" s="470"/>
      <c r="DO207" s="470"/>
      <c r="DP207" s="470"/>
      <c r="DQ207" s="470"/>
      <c r="DR207" s="470"/>
      <c r="DS207" s="470"/>
      <c r="DT207" s="470"/>
      <c r="DU207" s="470"/>
      <c r="DV207" s="470"/>
      <c r="DW207" s="470"/>
      <c r="DX207" s="470"/>
      <c r="DY207" s="470"/>
      <c r="DZ207" s="470"/>
      <c r="EA207" s="470"/>
      <c r="EB207" s="470"/>
      <c r="EC207" s="470"/>
      <c r="ED207" s="470"/>
      <c r="EE207" s="470"/>
      <c r="EF207" s="470"/>
      <c r="EG207" s="470"/>
      <c r="EH207" s="470"/>
      <c r="EI207" s="470"/>
      <c r="EJ207" s="470"/>
      <c r="EK207" s="470"/>
      <c r="EL207" s="470"/>
      <c r="EM207" s="470"/>
      <c r="EN207" s="470"/>
      <c r="EO207" s="470"/>
      <c r="EP207" s="470"/>
      <c r="EQ207" s="470"/>
      <c r="ER207" s="470"/>
      <c r="ES207" s="470"/>
      <c r="ET207" s="470"/>
      <c r="EU207" s="470"/>
      <c r="EV207" s="470"/>
      <c r="EW207" s="470"/>
      <c r="EX207" s="470"/>
      <c r="EY207" s="470"/>
      <c r="EZ207" s="470"/>
      <c r="FA207" s="470"/>
      <c r="FB207" s="470"/>
      <c r="FC207" s="470"/>
      <c r="FD207" s="470"/>
      <c r="FE207" s="470"/>
      <c r="FF207" s="470"/>
      <c r="FG207" s="470"/>
      <c r="FH207" s="470"/>
      <c r="FI207" s="470"/>
      <c r="FJ207" s="470"/>
      <c r="FK207" s="470"/>
      <c r="FL207" s="470"/>
      <c r="FM207" s="470"/>
      <c r="FN207" s="470"/>
      <c r="FO207" s="470"/>
      <c r="FP207" s="470"/>
      <c r="FQ207" s="470"/>
      <c r="FR207" s="470"/>
      <c r="FS207" s="470"/>
      <c r="FT207" s="470"/>
      <c r="FU207" s="470"/>
      <c r="FV207" s="470"/>
      <c r="FW207" s="470"/>
      <c r="FX207" s="470"/>
      <c r="FY207" s="470"/>
      <c r="FZ207" s="470"/>
      <c r="GA207" s="470"/>
      <c r="GB207" s="470"/>
      <c r="GC207" s="470"/>
      <c r="GD207" s="470"/>
      <c r="GE207" s="470"/>
      <c r="GF207" s="470"/>
      <c r="GG207" s="470"/>
      <c r="GH207" s="470"/>
      <c r="GI207" s="470"/>
      <c r="GJ207" s="470"/>
      <c r="GK207" s="470"/>
      <c r="GL207" s="470"/>
      <c r="GM207" s="470"/>
      <c r="GN207" s="470"/>
      <c r="GO207" s="470"/>
      <c r="GP207" s="470"/>
      <c r="GQ207" s="470"/>
      <c r="GR207" s="470"/>
      <c r="GS207" s="470"/>
      <c r="GT207" s="470"/>
      <c r="GU207" s="470"/>
      <c r="GV207" s="470"/>
      <c r="GW207" s="470"/>
      <c r="GX207" s="470"/>
      <c r="GY207" s="470"/>
      <c r="GZ207" s="470"/>
      <c r="HA207" s="470"/>
      <c r="HB207" s="470"/>
      <c r="HC207" s="470"/>
      <c r="HD207" s="470"/>
      <c r="HE207" s="470"/>
      <c r="HF207" s="470"/>
      <c r="HG207" s="470"/>
      <c r="HH207" s="470"/>
      <c r="HI207" s="470"/>
      <c r="HJ207" s="470"/>
      <c r="HK207" s="470"/>
      <c r="HL207" s="470"/>
      <c r="HM207" s="470"/>
      <c r="HN207" s="470"/>
      <c r="HO207" s="470"/>
      <c r="HP207" s="470"/>
      <c r="HQ207" s="470"/>
      <c r="HR207" s="470"/>
      <c r="HS207" s="470"/>
      <c r="HT207" s="470"/>
      <c r="HU207" s="470"/>
      <c r="HV207" s="470"/>
      <c r="HW207" s="470"/>
      <c r="HX207" s="470"/>
      <c r="HY207" s="470"/>
      <c r="HZ207" s="470"/>
      <c r="IA207" s="470"/>
      <c r="IB207" s="470"/>
      <c r="IC207" s="470"/>
      <c r="ID207" s="470"/>
      <c r="IE207" s="470"/>
      <c r="IF207" s="470"/>
      <c r="IG207" s="470"/>
      <c r="IH207" s="470"/>
      <c r="II207" s="470"/>
      <c r="IJ207" s="470"/>
      <c r="IK207" s="470"/>
      <c r="IL207" s="470"/>
      <c r="IM207" s="470"/>
      <c r="IN207" s="470"/>
      <c r="IO207" s="470"/>
      <c r="IP207" s="470"/>
      <c r="IQ207" s="470"/>
    </row>
    <row r="208" spans="1:251" x14ac:dyDescent="0.2">
      <c r="A208" s="453" t="s">
        <v>10130</v>
      </c>
      <c r="B208" s="453" t="s">
        <v>10131</v>
      </c>
      <c r="C208" s="454" t="s">
        <v>386</v>
      </c>
      <c r="D208" s="455" t="s">
        <v>9783</v>
      </c>
      <c r="E208" s="456" t="s">
        <v>9739</v>
      </c>
      <c r="F208" s="456" t="s">
        <v>10113</v>
      </c>
      <c r="G208" s="456" t="s">
        <v>7180</v>
      </c>
      <c r="H208" s="457">
        <v>182.52</v>
      </c>
      <c r="I208" s="457">
        <f t="shared" si="15"/>
        <v>196.209</v>
      </c>
      <c r="J208" s="457" t="s">
        <v>9706</v>
      </c>
      <c r="K208" s="458">
        <v>0.3</v>
      </c>
      <c r="L208" s="459">
        <f t="shared" si="12"/>
        <v>127.764</v>
      </c>
      <c r="M208" s="460">
        <v>0.18</v>
      </c>
      <c r="N208" s="461">
        <f t="shared" si="13"/>
        <v>160.89138000000003</v>
      </c>
      <c r="O208" s="462">
        <v>0.1</v>
      </c>
      <c r="P208" s="463">
        <f t="shared" si="14"/>
        <v>176.5881</v>
      </c>
      <c r="Q208" s="464"/>
      <c r="R208" s="465">
        <v>10</v>
      </c>
      <c r="S208" s="465">
        <v>10</v>
      </c>
      <c r="T208" s="465">
        <v>10</v>
      </c>
      <c r="U208" s="477"/>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c r="BS208" s="470"/>
      <c r="BT208" s="470"/>
      <c r="BU208" s="470"/>
      <c r="BV208" s="470"/>
      <c r="BW208" s="470"/>
      <c r="BX208" s="470"/>
      <c r="BY208" s="470"/>
      <c r="BZ208" s="470"/>
      <c r="CA208" s="470"/>
      <c r="CB208" s="470"/>
      <c r="CC208" s="470"/>
      <c r="CD208" s="470"/>
      <c r="CE208" s="470"/>
      <c r="CF208" s="470"/>
      <c r="CG208" s="470"/>
      <c r="CH208" s="470"/>
      <c r="CI208" s="470"/>
      <c r="CJ208" s="470"/>
      <c r="CK208" s="470"/>
      <c r="CL208" s="470"/>
      <c r="CM208" s="470"/>
      <c r="CN208" s="470"/>
      <c r="CO208" s="470"/>
      <c r="CP208" s="470"/>
      <c r="CQ208" s="470"/>
      <c r="CR208" s="470"/>
      <c r="CS208" s="470"/>
      <c r="CT208" s="470"/>
      <c r="CU208" s="470"/>
      <c r="CV208" s="470"/>
      <c r="CW208" s="470"/>
      <c r="CX208" s="470"/>
      <c r="CY208" s="470"/>
      <c r="CZ208" s="470"/>
      <c r="DA208" s="470"/>
      <c r="DB208" s="470"/>
      <c r="DC208" s="470"/>
      <c r="DD208" s="470"/>
      <c r="DE208" s="470"/>
      <c r="DF208" s="470"/>
      <c r="DG208" s="470"/>
      <c r="DH208" s="470"/>
      <c r="DI208" s="470"/>
      <c r="DJ208" s="470"/>
      <c r="DK208" s="470"/>
      <c r="DL208" s="470"/>
      <c r="DM208" s="470"/>
      <c r="DN208" s="470"/>
      <c r="DO208" s="470"/>
      <c r="DP208" s="470"/>
      <c r="DQ208" s="470"/>
      <c r="DR208" s="470"/>
      <c r="DS208" s="470"/>
      <c r="DT208" s="470"/>
      <c r="DU208" s="470"/>
      <c r="DV208" s="470"/>
      <c r="DW208" s="470"/>
      <c r="DX208" s="470"/>
      <c r="DY208" s="470"/>
      <c r="DZ208" s="470"/>
      <c r="EA208" s="470"/>
      <c r="EB208" s="470"/>
      <c r="EC208" s="470"/>
      <c r="ED208" s="470"/>
      <c r="EE208" s="470"/>
      <c r="EF208" s="470"/>
      <c r="EG208" s="470"/>
      <c r="EH208" s="470"/>
      <c r="EI208" s="470"/>
      <c r="EJ208" s="470"/>
      <c r="EK208" s="470"/>
      <c r="EL208" s="470"/>
      <c r="EM208" s="470"/>
      <c r="EN208" s="470"/>
      <c r="EO208" s="470"/>
      <c r="EP208" s="470"/>
      <c r="EQ208" s="470"/>
      <c r="ER208" s="470"/>
      <c r="ES208" s="470"/>
      <c r="ET208" s="470"/>
      <c r="EU208" s="470"/>
      <c r="EV208" s="470"/>
      <c r="EW208" s="470"/>
      <c r="EX208" s="470"/>
      <c r="EY208" s="470"/>
      <c r="EZ208" s="470"/>
      <c r="FA208" s="470"/>
      <c r="FB208" s="470"/>
      <c r="FC208" s="470"/>
      <c r="FD208" s="470"/>
      <c r="FE208" s="470"/>
      <c r="FF208" s="470"/>
      <c r="FG208" s="470"/>
      <c r="FH208" s="470"/>
      <c r="FI208" s="470"/>
      <c r="FJ208" s="470"/>
      <c r="FK208" s="470"/>
      <c r="FL208" s="470"/>
      <c r="FM208" s="470"/>
      <c r="FN208" s="470"/>
      <c r="FO208" s="470"/>
      <c r="FP208" s="470"/>
      <c r="FQ208" s="470"/>
      <c r="FR208" s="470"/>
      <c r="FS208" s="470"/>
      <c r="FT208" s="470"/>
      <c r="FU208" s="470"/>
      <c r="FV208" s="470"/>
      <c r="FW208" s="470"/>
      <c r="FX208" s="470"/>
      <c r="FY208" s="470"/>
      <c r="FZ208" s="470"/>
      <c r="GA208" s="470"/>
      <c r="GB208" s="470"/>
      <c r="GC208" s="470"/>
      <c r="GD208" s="470"/>
      <c r="GE208" s="470"/>
      <c r="GF208" s="470"/>
      <c r="GG208" s="470"/>
      <c r="GH208" s="470"/>
      <c r="GI208" s="470"/>
      <c r="GJ208" s="470"/>
      <c r="GK208" s="470"/>
      <c r="GL208" s="470"/>
      <c r="GM208" s="470"/>
      <c r="GN208" s="470"/>
      <c r="GO208" s="470"/>
      <c r="GP208" s="470"/>
      <c r="GQ208" s="470"/>
      <c r="GR208" s="470"/>
      <c r="GS208" s="470"/>
      <c r="GT208" s="470"/>
      <c r="GU208" s="470"/>
      <c r="GV208" s="470"/>
      <c r="GW208" s="470"/>
      <c r="GX208" s="470"/>
      <c r="GY208" s="470"/>
      <c r="GZ208" s="470"/>
      <c r="HA208" s="470"/>
      <c r="HB208" s="470"/>
      <c r="HC208" s="470"/>
      <c r="HD208" s="470"/>
      <c r="HE208" s="470"/>
      <c r="HF208" s="470"/>
      <c r="HG208" s="470"/>
      <c r="HH208" s="470"/>
      <c r="HI208" s="470"/>
      <c r="HJ208" s="470"/>
      <c r="HK208" s="470"/>
      <c r="HL208" s="470"/>
      <c r="HM208" s="470"/>
      <c r="HN208" s="470"/>
      <c r="HO208" s="470"/>
      <c r="HP208" s="470"/>
      <c r="HQ208" s="470"/>
      <c r="HR208" s="470"/>
      <c r="HS208" s="470"/>
      <c r="HT208" s="470"/>
      <c r="HU208" s="470"/>
      <c r="HV208" s="470"/>
      <c r="HW208" s="470"/>
      <c r="HX208" s="470"/>
      <c r="HY208" s="470"/>
      <c r="HZ208" s="470"/>
      <c r="IA208" s="470"/>
      <c r="IB208" s="470"/>
      <c r="IC208" s="470"/>
      <c r="ID208" s="470"/>
      <c r="IE208" s="470"/>
      <c r="IF208" s="470"/>
      <c r="IG208" s="470"/>
      <c r="IH208" s="470"/>
      <c r="II208" s="470"/>
      <c r="IJ208" s="470"/>
      <c r="IK208" s="470"/>
      <c r="IL208" s="470"/>
      <c r="IM208" s="470"/>
      <c r="IN208" s="470"/>
      <c r="IO208" s="470"/>
      <c r="IP208" s="470"/>
      <c r="IQ208" s="470"/>
    </row>
    <row r="209" spans="1:251" x14ac:dyDescent="0.2">
      <c r="A209" s="453" t="s">
        <v>10132</v>
      </c>
      <c r="B209" s="453" t="s">
        <v>10133</v>
      </c>
      <c r="C209" s="454" t="s">
        <v>386</v>
      </c>
      <c r="D209" s="455" t="s">
        <v>9783</v>
      </c>
      <c r="E209" s="456" t="s">
        <v>9734</v>
      </c>
      <c r="F209" s="456" t="s">
        <v>10113</v>
      </c>
      <c r="G209" s="456" t="s">
        <v>7180</v>
      </c>
      <c r="H209" s="457">
        <v>182.52</v>
      </c>
      <c r="I209" s="457">
        <f t="shared" si="15"/>
        <v>196.209</v>
      </c>
      <c r="J209" s="457" t="s">
        <v>9706</v>
      </c>
      <c r="K209" s="458">
        <v>0.3</v>
      </c>
      <c r="L209" s="459">
        <f t="shared" si="12"/>
        <v>127.764</v>
      </c>
      <c r="M209" s="460">
        <v>0.18</v>
      </c>
      <c r="N209" s="461">
        <f t="shared" si="13"/>
        <v>160.89138000000003</v>
      </c>
      <c r="O209" s="462">
        <v>0.1</v>
      </c>
      <c r="P209" s="463">
        <f t="shared" si="14"/>
        <v>176.5881</v>
      </c>
      <c r="Q209" s="464"/>
      <c r="R209" s="465">
        <v>10</v>
      </c>
      <c r="S209" s="465">
        <v>10</v>
      </c>
      <c r="T209" s="465">
        <v>10</v>
      </c>
      <c r="U209" s="477"/>
      <c r="V209" s="470"/>
      <c r="W209" s="470"/>
      <c r="X209" s="470"/>
      <c r="Y209" s="470"/>
      <c r="Z209" s="470"/>
      <c r="AA209" s="470"/>
      <c r="AB209" s="470"/>
      <c r="AC209" s="470"/>
      <c r="AD209" s="470"/>
      <c r="AE209" s="470"/>
      <c r="AF209" s="470"/>
      <c r="AG209" s="470"/>
      <c r="AH209" s="470"/>
      <c r="AI209" s="470"/>
      <c r="AJ209" s="470"/>
      <c r="AK209" s="470"/>
      <c r="AL209" s="470"/>
      <c r="AM209" s="470"/>
      <c r="AN209" s="470"/>
      <c r="AO209" s="470"/>
      <c r="AP209" s="470"/>
      <c r="AQ209" s="470"/>
      <c r="AR209" s="470"/>
      <c r="AS209" s="470"/>
      <c r="AT209" s="470"/>
      <c r="AU209" s="470"/>
      <c r="AV209" s="470"/>
      <c r="AW209" s="470"/>
      <c r="AX209" s="470"/>
      <c r="AY209" s="470"/>
      <c r="AZ209" s="470"/>
      <c r="BA209" s="470"/>
      <c r="BB209" s="470"/>
      <c r="BC209" s="470"/>
      <c r="BD209" s="470"/>
      <c r="BE209" s="470"/>
      <c r="BF209" s="470"/>
      <c r="BG209" s="470"/>
      <c r="BH209" s="470"/>
      <c r="BI209" s="470"/>
      <c r="BJ209" s="470"/>
      <c r="BK209" s="470"/>
      <c r="BL209" s="470"/>
      <c r="BM209" s="470"/>
      <c r="BN209" s="470"/>
      <c r="BO209" s="470"/>
      <c r="BP209" s="470"/>
      <c r="BQ209" s="470"/>
      <c r="BR209" s="470"/>
      <c r="BS209" s="470"/>
      <c r="BT209" s="470"/>
      <c r="BU209" s="470"/>
      <c r="BV209" s="470"/>
      <c r="BW209" s="470"/>
      <c r="BX209" s="470"/>
      <c r="BY209" s="470"/>
      <c r="BZ209" s="470"/>
      <c r="CA209" s="470"/>
      <c r="CB209" s="470"/>
      <c r="CC209" s="470"/>
      <c r="CD209" s="470"/>
      <c r="CE209" s="470"/>
      <c r="CF209" s="470"/>
      <c r="CG209" s="470"/>
      <c r="CH209" s="470"/>
      <c r="CI209" s="470"/>
      <c r="CJ209" s="470"/>
      <c r="CK209" s="470"/>
      <c r="CL209" s="470"/>
      <c r="CM209" s="470"/>
      <c r="CN209" s="470"/>
      <c r="CO209" s="470"/>
      <c r="CP209" s="470"/>
      <c r="CQ209" s="470"/>
      <c r="CR209" s="470"/>
      <c r="CS209" s="470"/>
      <c r="CT209" s="470"/>
      <c r="CU209" s="470"/>
      <c r="CV209" s="470"/>
      <c r="CW209" s="470"/>
      <c r="CX209" s="470"/>
      <c r="CY209" s="470"/>
      <c r="CZ209" s="470"/>
      <c r="DA209" s="470"/>
      <c r="DB209" s="470"/>
      <c r="DC209" s="470"/>
      <c r="DD209" s="470"/>
      <c r="DE209" s="470"/>
      <c r="DF209" s="470"/>
      <c r="DG209" s="470"/>
      <c r="DH209" s="470"/>
      <c r="DI209" s="470"/>
      <c r="DJ209" s="470"/>
      <c r="DK209" s="470"/>
      <c r="DL209" s="470"/>
      <c r="DM209" s="470"/>
      <c r="DN209" s="470"/>
      <c r="DO209" s="470"/>
      <c r="DP209" s="470"/>
      <c r="DQ209" s="470"/>
      <c r="DR209" s="470"/>
      <c r="DS209" s="470"/>
      <c r="DT209" s="470"/>
      <c r="DU209" s="470"/>
      <c r="DV209" s="470"/>
      <c r="DW209" s="470"/>
      <c r="DX209" s="470"/>
      <c r="DY209" s="470"/>
      <c r="DZ209" s="470"/>
      <c r="EA209" s="470"/>
      <c r="EB209" s="470"/>
      <c r="EC209" s="470"/>
      <c r="ED209" s="470"/>
      <c r="EE209" s="470"/>
      <c r="EF209" s="470"/>
      <c r="EG209" s="470"/>
      <c r="EH209" s="470"/>
      <c r="EI209" s="470"/>
      <c r="EJ209" s="470"/>
      <c r="EK209" s="470"/>
      <c r="EL209" s="470"/>
      <c r="EM209" s="470"/>
      <c r="EN209" s="470"/>
      <c r="EO209" s="470"/>
      <c r="EP209" s="470"/>
      <c r="EQ209" s="470"/>
      <c r="ER209" s="470"/>
      <c r="ES209" s="470"/>
      <c r="ET209" s="470"/>
      <c r="EU209" s="470"/>
      <c r="EV209" s="470"/>
      <c r="EW209" s="470"/>
      <c r="EX209" s="470"/>
      <c r="EY209" s="470"/>
      <c r="EZ209" s="470"/>
      <c r="FA209" s="470"/>
      <c r="FB209" s="470"/>
      <c r="FC209" s="470"/>
      <c r="FD209" s="470"/>
      <c r="FE209" s="470"/>
      <c r="FF209" s="470"/>
      <c r="FG209" s="470"/>
      <c r="FH209" s="470"/>
      <c r="FI209" s="470"/>
      <c r="FJ209" s="470"/>
      <c r="FK209" s="470"/>
      <c r="FL209" s="470"/>
      <c r="FM209" s="470"/>
      <c r="FN209" s="470"/>
      <c r="FO209" s="470"/>
      <c r="FP209" s="470"/>
      <c r="FQ209" s="470"/>
      <c r="FR209" s="470"/>
      <c r="FS209" s="470"/>
      <c r="FT209" s="470"/>
      <c r="FU209" s="470"/>
      <c r="FV209" s="470"/>
      <c r="FW209" s="470"/>
      <c r="FX209" s="470"/>
      <c r="FY209" s="470"/>
      <c r="FZ209" s="470"/>
      <c r="GA209" s="470"/>
      <c r="GB209" s="470"/>
      <c r="GC209" s="470"/>
      <c r="GD209" s="470"/>
      <c r="GE209" s="470"/>
      <c r="GF209" s="470"/>
      <c r="GG209" s="470"/>
      <c r="GH209" s="470"/>
      <c r="GI209" s="470"/>
      <c r="GJ209" s="470"/>
      <c r="GK209" s="470"/>
      <c r="GL209" s="470"/>
      <c r="GM209" s="470"/>
      <c r="GN209" s="470"/>
      <c r="GO209" s="470"/>
      <c r="GP209" s="470"/>
      <c r="GQ209" s="470"/>
      <c r="GR209" s="470"/>
      <c r="GS209" s="470"/>
      <c r="GT209" s="470"/>
      <c r="GU209" s="470"/>
      <c r="GV209" s="470"/>
      <c r="GW209" s="470"/>
      <c r="GX209" s="470"/>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70"/>
      <c r="IF209" s="470"/>
      <c r="IG209" s="470"/>
      <c r="IH209" s="470"/>
      <c r="II209" s="470"/>
      <c r="IJ209" s="470"/>
      <c r="IK209" s="470"/>
      <c r="IL209" s="470"/>
      <c r="IM209" s="470"/>
      <c r="IN209" s="470"/>
      <c r="IO209" s="470"/>
      <c r="IP209" s="470"/>
      <c r="IQ209" s="470"/>
    </row>
    <row r="210" spans="1:251" x14ac:dyDescent="0.2">
      <c r="A210" s="453" t="s">
        <v>10134</v>
      </c>
      <c r="B210" s="453" t="s">
        <v>10135</v>
      </c>
      <c r="C210" s="454" t="s">
        <v>386</v>
      </c>
      <c r="D210" s="455" t="s">
        <v>9783</v>
      </c>
      <c r="E210" s="456" t="s">
        <v>9734</v>
      </c>
      <c r="F210" s="456" t="s">
        <v>10113</v>
      </c>
      <c r="G210" s="456" t="s">
        <v>7180</v>
      </c>
      <c r="H210" s="457">
        <v>182.52</v>
      </c>
      <c r="I210" s="457">
        <f t="shared" si="15"/>
        <v>196.209</v>
      </c>
      <c r="J210" s="457" t="s">
        <v>9706</v>
      </c>
      <c r="K210" s="458">
        <v>0.3</v>
      </c>
      <c r="L210" s="459">
        <f t="shared" si="12"/>
        <v>127.764</v>
      </c>
      <c r="M210" s="460">
        <v>0.18</v>
      </c>
      <c r="N210" s="461">
        <f t="shared" si="13"/>
        <v>160.89138000000003</v>
      </c>
      <c r="O210" s="462">
        <v>0.1</v>
      </c>
      <c r="P210" s="463">
        <f t="shared" si="14"/>
        <v>176.5881</v>
      </c>
      <c r="Q210" s="464"/>
      <c r="R210" s="465">
        <v>10</v>
      </c>
      <c r="S210" s="465">
        <v>10</v>
      </c>
      <c r="T210" s="465">
        <v>10</v>
      </c>
      <c r="U210" s="466"/>
      <c r="V210" s="470"/>
      <c r="W210" s="470"/>
      <c r="X210" s="470"/>
      <c r="Y210" s="470"/>
      <c r="Z210" s="470"/>
      <c r="AA210" s="470"/>
      <c r="AB210" s="470"/>
      <c r="AC210" s="470"/>
      <c r="AD210" s="470"/>
      <c r="AE210" s="470"/>
      <c r="AF210" s="470"/>
      <c r="AG210" s="470"/>
      <c r="AH210" s="470"/>
      <c r="AI210" s="470"/>
      <c r="AJ210" s="470"/>
      <c r="AK210" s="470"/>
      <c r="AL210" s="470"/>
      <c r="AM210" s="470"/>
      <c r="AN210" s="470"/>
      <c r="AO210" s="470"/>
      <c r="AP210" s="470"/>
      <c r="AQ210" s="470"/>
      <c r="AR210" s="470"/>
      <c r="AS210" s="470"/>
      <c r="AT210" s="470"/>
      <c r="AU210" s="470"/>
      <c r="AV210" s="470"/>
      <c r="AW210" s="470"/>
      <c r="AX210" s="470"/>
      <c r="AY210" s="470"/>
      <c r="AZ210" s="470"/>
      <c r="BA210" s="470"/>
      <c r="BB210" s="470"/>
      <c r="BC210" s="470"/>
      <c r="BD210" s="470"/>
      <c r="BE210" s="470"/>
      <c r="BF210" s="470"/>
      <c r="BG210" s="470"/>
      <c r="BH210" s="470"/>
      <c r="BI210" s="470"/>
      <c r="BJ210" s="470"/>
      <c r="BK210" s="470"/>
      <c r="BL210" s="470"/>
      <c r="BM210" s="470"/>
      <c r="BN210" s="470"/>
      <c r="BO210" s="470"/>
      <c r="BP210" s="470"/>
      <c r="BQ210" s="470"/>
      <c r="BR210" s="470"/>
      <c r="BS210" s="470"/>
      <c r="BT210" s="470"/>
      <c r="BU210" s="470"/>
      <c r="BV210" s="470"/>
      <c r="BW210" s="470"/>
      <c r="BX210" s="470"/>
      <c r="BY210" s="470"/>
      <c r="BZ210" s="470"/>
      <c r="CA210" s="470"/>
      <c r="CB210" s="470"/>
      <c r="CC210" s="470"/>
      <c r="CD210" s="470"/>
      <c r="CE210" s="470"/>
      <c r="CF210" s="470"/>
      <c r="CG210" s="470"/>
      <c r="CH210" s="470"/>
      <c r="CI210" s="470"/>
      <c r="CJ210" s="470"/>
      <c r="CK210" s="470"/>
      <c r="CL210" s="470"/>
      <c r="CM210" s="470"/>
      <c r="CN210" s="470"/>
      <c r="CO210" s="470"/>
      <c r="CP210" s="470"/>
      <c r="CQ210" s="470"/>
      <c r="CR210" s="470"/>
      <c r="CS210" s="470"/>
      <c r="CT210" s="470"/>
      <c r="CU210" s="470"/>
      <c r="CV210" s="470"/>
      <c r="CW210" s="470"/>
      <c r="CX210" s="470"/>
      <c r="CY210" s="470"/>
      <c r="CZ210" s="470"/>
      <c r="DA210" s="470"/>
      <c r="DB210" s="470"/>
      <c r="DC210" s="470"/>
      <c r="DD210" s="470"/>
      <c r="DE210" s="470"/>
      <c r="DF210" s="470"/>
      <c r="DG210" s="470"/>
      <c r="DH210" s="470"/>
      <c r="DI210" s="470"/>
      <c r="DJ210" s="470"/>
      <c r="DK210" s="470"/>
      <c r="DL210" s="470"/>
      <c r="DM210" s="470"/>
      <c r="DN210" s="470"/>
      <c r="DO210" s="470"/>
      <c r="DP210" s="470"/>
      <c r="DQ210" s="470"/>
      <c r="DR210" s="470"/>
      <c r="DS210" s="470"/>
      <c r="DT210" s="470"/>
      <c r="DU210" s="470"/>
      <c r="DV210" s="470"/>
      <c r="DW210" s="470"/>
      <c r="DX210" s="470"/>
      <c r="DY210" s="470"/>
      <c r="DZ210" s="470"/>
      <c r="EA210" s="470"/>
      <c r="EB210" s="470"/>
      <c r="EC210" s="470"/>
      <c r="ED210" s="470"/>
      <c r="EE210" s="470"/>
      <c r="EF210" s="470"/>
      <c r="EG210" s="470"/>
      <c r="EH210" s="470"/>
      <c r="EI210" s="470"/>
      <c r="EJ210" s="470"/>
      <c r="EK210" s="470"/>
      <c r="EL210" s="470"/>
      <c r="EM210" s="470"/>
      <c r="EN210" s="470"/>
      <c r="EO210" s="470"/>
      <c r="EP210" s="470"/>
      <c r="EQ210" s="470"/>
      <c r="ER210" s="470"/>
      <c r="ES210" s="470"/>
      <c r="ET210" s="470"/>
      <c r="EU210" s="470"/>
      <c r="EV210" s="470"/>
      <c r="EW210" s="470"/>
      <c r="EX210" s="470"/>
      <c r="EY210" s="470"/>
      <c r="EZ210" s="470"/>
      <c r="FA210" s="470"/>
      <c r="FB210" s="470"/>
      <c r="FC210" s="470"/>
      <c r="FD210" s="470"/>
      <c r="FE210" s="470"/>
      <c r="FF210" s="470"/>
      <c r="FG210" s="470"/>
      <c r="FH210" s="470"/>
      <c r="FI210" s="470"/>
      <c r="FJ210" s="470"/>
      <c r="FK210" s="470"/>
      <c r="FL210" s="470"/>
      <c r="FM210" s="470"/>
      <c r="FN210" s="470"/>
      <c r="FO210" s="470"/>
      <c r="FP210" s="470"/>
      <c r="FQ210" s="470"/>
      <c r="FR210" s="470"/>
      <c r="FS210" s="470"/>
      <c r="FT210" s="470"/>
      <c r="FU210" s="470"/>
      <c r="FV210" s="470"/>
      <c r="FW210" s="470"/>
      <c r="FX210" s="470"/>
      <c r="FY210" s="470"/>
      <c r="FZ210" s="470"/>
      <c r="GA210" s="470"/>
      <c r="GB210" s="470"/>
      <c r="GC210" s="470"/>
      <c r="GD210" s="470"/>
      <c r="GE210" s="470"/>
      <c r="GF210" s="470"/>
      <c r="GG210" s="470"/>
      <c r="GH210" s="470"/>
      <c r="GI210" s="470"/>
      <c r="GJ210" s="470"/>
      <c r="GK210" s="470"/>
      <c r="GL210" s="470"/>
      <c r="GM210" s="470"/>
      <c r="GN210" s="470"/>
      <c r="GO210" s="470"/>
      <c r="GP210" s="470"/>
      <c r="GQ210" s="470"/>
      <c r="GR210" s="470"/>
      <c r="GS210" s="470"/>
      <c r="GT210" s="470"/>
      <c r="GU210" s="470"/>
      <c r="GV210" s="470"/>
      <c r="GW210" s="470"/>
      <c r="GX210" s="470"/>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70"/>
      <c r="IF210" s="470"/>
      <c r="IG210" s="470"/>
      <c r="IH210" s="470"/>
      <c r="II210" s="470"/>
      <c r="IJ210" s="470"/>
      <c r="IK210" s="470"/>
      <c r="IL210" s="470"/>
      <c r="IM210" s="470"/>
      <c r="IN210" s="470"/>
      <c r="IO210" s="470"/>
      <c r="IP210" s="470"/>
      <c r="IQ210" s="470"/>
    </row>
    <row r="211" spans="1:251" x14ac:dyDescent="0.2">
      <c r="A211" s="453" t="s">
        <v>10136</v>
      </c>
      <c r="B211" s="453" t="s">
        <v>10137</v>
      </c>
      <c r="C211" s="454" t="s">
        <v>386</v>
      </c>
      <c r="D211" s="455" t="s">
        <v>9783</v>
      </c>
      <c r="E211" s="456" t="s">
        <v>9739</v>
      </c>
      <c r="F211" s="456" t="s">
        <v>10113</v>
      </c>
      <c r="G211" s="456" t="s">
        <v>7180</v>
      </c>
      <c r="H211" s="457">
        <v>182.52</v>
      </c>
      <c r="I211" s="457">
        <f t="shared" si="15"/>
        <v>196.209</v>
      </c>
      <c r="J211" s="457" t="s">
        <v>9706</v>
      </c>
      <c r="K211" s="458">
        <v>0.3</v>
      </c>
      <c r="L211" s="459">
        <f t="shared" si="12"/>
        <v>127.764</v>
      </c>
      <c r="M211" s="460">
        <v>0.18</v>
      </c>
      <c r="N211" s="461">
        <f t="shared" si="13"/>
        <v>160.89138000000003</v>
      </c>
      <c r="O211" s="462">
        <v>0.1</v>
      </c>
      <c r="P211" s="463">
        <f t="shared" si="14"/>
        <v>176.5881</v>
      </c>
      <c r="Q211" s="464"/>
      <c r="R211" s="465">
        <v>20</v>
      </c>
      <c r="S211" s="465">
        <v>20</v>
      </c>
      <c r="T211" s="465">
        <v>20</v>
      </c>
      <c r="U211" s="466"/>
      <c r="V211" s="470"/>
      <c r="W211" s="470"/>
      <c r="X211" s="470"/>
      <c r="Y211" s="470"/>
      <c r="Z211" s="470"/>
      <c r="AA211" s="470"/>
      <c r="AB211" s="470"/>
      <c r="AC211" s="470"/>
      <c r="AD211" s="470"/>
      <c r="AE211" s="470"/>
      <c r="AF211" s="470"/>
      <c r="AG211" s="470"/>
      <c r="AH211" s="470"/>
      <c r="AI211" s="470"/>
      <c r="AJ211" s="470"/>
      <c r="AK211" s="470"/>
      <c r="AL211" s="470"/>
      <c r="AM211" s="470"/>
      <c r="AN211" s="470"/>
      <c r="AO211" s="470"/>
      <c r="AP211" s="470"/>
      <c r="AQ211" s="470"/>
      <c r="AR211" s="470"/>
      <c r="AS211" s="470"/>
      <c r="AT211" s="470"/>
      <c r="AU211" s="470"/>
      <c r="AV211" s="470"/>
      <c r="AW211" s="470"/>
      <c r="AX211" s="470"/>
      <c r="AY211" s="470"/>
      <c r="AZ211" s="470"/>
      <c r="BA211" s="470"/>
      <c r="BB211" s="470"/>
      <c r="BC211" s="470"/>
      <c r="BD211" s="470"/>
      <c r="BE211" s="470"/>
      <c r="BF211" s="470"/>
      <c r="BG211" s="470"/>
      <c r="BH211" s="470"/>
      <c r="BI211" s="470"/>
      <c r="BJ211" s="470"/>
      <c r="BK211" s="470"/>
      <c r="BL211" s="470"/>
      <c r="BM211" s="470"/>
      <c r="BN211" s="470"/>
      <c r="BO211" s="470"/>
      <c r="BP211" s="470"/>
      <c r="BQ211" s="470"/>
      <c r="BR211" s="470"/>
      <c r="BS211" s="470"/>
      <c r="BT211" s="470"/>
      <c r="BU211" s="470"/>
      <c r="BV211" s="470"/>
      <c r="BW211" s="470"/>
      <c r="BX211" s="470"/>
      <c r="BY211" s="470"/>
      <c r="BZ211" s="470"/>
      <c r="CA211" s="470"/>
      <c r="CB211" s="470"/>
      <c r="CC211" s="470"/>
      <c r="CD211" s="470"/>
      <c r="CE211" s="470"/>
      <c r="CF211" s="470"/>
      <c r="CG211" s="470"/>
      <c r="CH211" s="470"/>
      <c r="CI211" s="470"/>
      <c r="CJ211" s="470"/>
      <c r="CK211" s="470"/>
      <c r="CL211" s="470"/>
      <c r="CM211" s="470"/>
      <c r="CN211" s="470"/>
      <c r="CO211" s="470"/>
      <c r="CP211" s="470"/>
      <c r="CQ211" s="470"/>
      <c r="CR211" s="470"/>
      <c r="CS211" s="470"/>
      <c r="CT211" s="470"/>
      <c r="CU211" s="470"/>
      <c r="CV211" s="470"/>
      <c r="CW211" s="470"/>
      <c r="CX211" s="470"/>
      <c r="CY211" s="470"/>
      <c r="CZ211" s="470"/>
      <c r="DA211" s="470"/>
      <c r="DB211" s="470"/>
      <c r="DC211" s="470"/>
      <c r="DD211" s="470"/>
      <c r="DE211" s="470"/>
      <c r="DF211" s="470"/>
      <c r="DG211" s="470"/>
      <c r="DH211" s="470"/>
      <c r="DI211" s="470"/>
      <c r="DJ211" s="470"/>
      <c r="DK211" s="470"/>
      <c r="DL211" s="470"/>
      <c r="DM211" s="470"/>
      <c r="DN211" s="470"/>
      <c r="DO211" s="470"/>
      <c r="DP211" s="470"/>
      <c r="DQ211" s="470"/>
      <c r="DR211" s="470"/>
      <c r="DS211" s="470"/>
      <c r="DT211" s="470"/>
      <c r="DU211" s="470"/>
      <c r="DV211" s="470"/>
      <c r="DW211" s="470"/>
      <c r="DX211" s="470"/>
      <c r="DY211" s="470"/>
      <c r="DZ211" s="470"/>
      <c r="EA211" s="470"/>
      <c r="EB211" s="470"/>
      <c r="EC211" s="470"/>
      <c r="ED211" s="470"/>
      <c r="EE211" s="470"/>
      <c r="EF211" s="470"/>
      <c r="EG211" s="470"/>
      <c r="EH211" s="470"/>
      <c r="EI211" s="470"/>
      <c r="EJ211" s="470"/>
      <c r="EK211" s="470"/>
      <c r="EL211" s="470"/>
      <c r="EM211" s="470"/>
      <c r="EN211" s="470"/>
      <c r="EO211" s="470"/>
      <c r="EP211" s="470"/>
      <c r="EQ211" s="470"/>
      <c r="ER211" s="470"/>
      <c r="ES211" s="470"/>
      <c r="ET211" s="470"/>
      <c r="EU211" s="470"/>
      <c r="EV211" s="470"/>
      <c r="EW211" s="470"/>
      <c r="EX211" s="470"/>
      <c r="EY211" s="470"/>
      <c r="EZ211" s="470"/>
      <c r="FA211" s="470"/>
      <c r="FB211" s="470"/>
      <c r="FC211" s="470"/>
      <c r="FD211" s="470"/>
      <c r="FE211" s="470"/>
      <c r="FF211" s="470"/>
      <c r="FG211" s="470"/>
      <c r="FH211" s="470"/>
      <c r="FI211" s="470"/>
      <c r="FJ211" s="470"/>
      <c r="FK211" s="470"/>
      <c r="FL211" s="470"/>
      <c r="FM211" s="470"/>
      <c r="FN211" s="470"/>
      <c r="FO211" s="470"/>
      <c r="FP211" s="470"/>
      <c r="FQ211" s="470"/>
      <c r="FR211" s="470"/>
      <c r="FS211" s="470"/>
      <c r="FT211" s="470"/>
      <c r="FU211" s="470"/>
      <c r="FV211" s="470"/>
      <c r="FW211" s="470"/>
      <c r="FX211" s="470"/>
      <c r="FY211" s="470"/>
      <c r="FZ211" s="470"/>
      <c r="GA211" s="470"/>
      <c r="GB211" s="470"/>
      <c r="GC211" s="470"/>
      <c r="GD211" s="470"/>
      <c r="GE211" s="470"/>
      <c r="GF211" s="470"/>
      <c r="GG211" s="470"/>
      <c r="GH211" s="470"/>
      <c r="GI211" s="470"/>
      <c r="GJ211" s="470"/>
      <c r="GK211" s="470"/>
      <c r="GL211" s="470"/>
      <c r="GM211" s="470"/>
      <c r="GN211" s="470"/>
      <c r="GO211" s="470"/>
      <c r="GP211" s="470"/>
      <c r="GQ211" s="470"/>
      <c r="GR211" s="470"/>
      <c r="GS211" s="470"/>
      <c r="GT211" s="470"/>
      <c r="GU211" s="470"/>
      <c r="GV211" s="470"/>
      <c r="GW211" s="470"/>
      <c r="GX211" s="470"/>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70"/>
      <c r="IF211" s="470"/>
      <c r="IG211" s="470"/>
      <c r="IH211" s="470"/>
      <c r="II211" s="470"/>
      <c r="IJ211" s="470"/>
      <c r="IK211" s="470"/>
      <c r="IL211" s="470"/>
      <c r="IM211" s="470"/>
      <c r="IN211" s="470"/>
      <c r="IO211" s="470"/>
      <c r="IP211" s="470"/>
      <c r="IQ211" s="470"/>
    </row>
    <row r="212" spans="1:251" x14ac:dyDescent="0.2">
      <c r="A212" s="453" t="s">
        <v>10138</v>
      </c>
      <c r="B212" s="453" t="s">
        <v>10139</v>
      </c>
      <c r="C212" s="454" t="s">
        <v>386</v>
      </c>
      <c r="D212" s="455" t="s">
        <v>9783</v>
      </c>
      <c r="E212" s="456" t="s">
        <v>9710</v>
      </c>
      <c r="F212" s="456" t="s">
        <v>10113</v>
      </c>
      <c r="G212" s="456" t="s">
        <v>7180</v>
      </c>
      <c r="H212" s="457">
        <v>182.52</v>
      </c>
      <c r="I212" s="457">
        <f t="shared" si="15"/>
        <v>196.209</v>
      </c>
      <c r="J212" s="457" t="s">
        <v>9706</v>
      </c>
      <c r="K212" s="458">
        <v>0.3</v>
      </c>
      <c r="L212" s="459">
        <f t="shared" si="12"/>
        <v>127.764</v>
      </c>
      <c r="M212" s="460">
        <v>0.18</v>
      </c>
      <c r="N212" s="461">
        <f t="shared" si="13"/>
        <v>160.89138000000003</v>
      </c>
      <c r="O212" s="462">
        <v>0.1</v>
      </c>
      <c r="P212" s="463">
        <f t="shared" si="14"/>
        <v>176.5881</v>
      </c>
      <c r="Q212" s="464"/>
      <c r="R212" s="465">
        <v>20</v>
      </c>
      <c r="S212" s="465">
        <v>20</v>
      </c>
      <c r="T212" s="465">
        <v>20</v>
      </c>
      <c r="U212" s="466"/>
      <c r="V212" s="470"/>
      <c r="W212" s="470"/>
      <c r="X212" s="470"/>
      <c r="Y212" s="470"/>
      <c r="Z212" s="470"/>
      <c r="AA212" s="470"/>
      <c r="AB212" s="470"/>
      <c r="AC212" s="470"/>
      <c r="AD212" s="470"/>
      <c r="AE212" s="470"/>
      <c r="AF212" s="470"/>
      <c r="AG212" s="470"/>
      <c r="AH212" s="470"/>
      <c r="AI212" s="470"/>
      <c r="AJ212" s="470"/>
      <c r="AK212" s="470"/>
      <c r="AL212" s="470"/>
      <c r="AM212" s="470"/>
      <c r="AN212" s="470"/>
      <c r="AO212" s="470"/>
      <c r="AP212" s="470"/>
      <c r="AQ212" s="470"/>
      <c r="AR212" s="470"/>
      <c r="AS212" s="470"/>
      <c r="AT212" s="470"/>
      <c r="AU212" s="470"/>
      <c r="AV212" s="470"/>
      <c r="AW212" s="470"/>
      <c r="AX212" s="470"/>
      <c r="AY212" s="470"/>
      <c r="AZ212" s="470"/>
      <c r="BA212" s="470"/>
      <c r="BB212" s="470"/>
      <c r="BC212" s="470"/>
      <c r="BD212" s="470"/>
      <c r="BE212" s="470"/>
      <c r="BF212" s="470"/>
      <c r="BG212" s="470"/>
      <c r="BH212" s="470"/>
      <c r="BI212" s="470"/>
      <c r="BJ212" s="470"/>
      <c r="BK212" s="470"/>
      <c r="BL212" s="470"/>
      <c r="BM212" s="470"/>
      <c r="BN212" s="470"/>
      <c r="BO212" s="470"/>
      <c r="BP212" s="470"/>
      <c r="BQ212" s="470"/>
      <c r="BR212" s="470"/>
      <c r="BS212" s="470"/>
      <c r="BT212" s="470"/>
      <c r="BU212" s="470"/>
      <c r="BV212" s="470"/>
      <c r="BW212" s="470"/>
      <c r="BX212" s="470"/>
      <c r="BY212" s="470"/>
      <c r="BZ212" s="470"/>
      <c r="CA212" s="470"/>
      <c r="CB212" s="470"/>
      <c r="CC212" s="470"/>
      <c r="CD212" s="470"/>
      <c r="CE212" s="470"/>
      <c r="CF212" s="470"/>
      <c r="CG212" s="470"/>
      <c r="CH212" s="470"/>
      <c r="CI212" s="470"/>
      <c r="CJ212" s="470"/>
      <c r="CK212" s="470"/>
      <c r="CL212" s="470"/>
      <c r="CM212" s="470"/>
      <c r="CN212" s="470"/>
      <c r="CO212" s="470"/>
      <c r="CP212" s="470"/>
      <c r="CQ212" s="470"/>
      <c r="CR212" s="470"/>
      <c r="CS212" s="470"/>
      <c r="CT212" s="470"/>
      <c r="CU212" s="470"/>
      <c r="CV212" s="470"/>
      <c r="CW212" s="470"/>
      <c r="CX212" s="470"/>
      <c r="CY212" s="470"/>
      <c r="CZ212" s="470"/>
      <c r="DA212" s="470"/>
      <c r="DB212" s="470"/>
      <c r="DC212" s="470"/>
      <c r="DD212" s="470"/>
      <c r="DE212" s="470"/>
      <c r="DF212" s="470"/>
      <c r="DG212" s="470"/>
      <c r="DH212" s="470"/>
      <c r="DI212" s="470"/>
      <c r="DJ212" s="470"/>
      <c r="DK212" s="470"/>
      <c r="DL212" s="470"/>
      <c r="DM212" s="470"/>
      <c r="DN212" s="470"/>
      <c r="DO212" s="470"/>
      <c r="DP212" s="470"/>
      <c r="DQ212" s="470"/>
      <c r="DR212" s="470"/>
      <c r="DS212" s="470"/>
      <c r="DT212" s="470"/>
      <c r="DU212" s="470"/>
      <c r="DV212" s="470"/>
      <c r="DW212" s="470"/>
      <c r="DX212" s="470"/>
      <c r="DY212" s="470"/>
      <c r="DZ212" s="470"/>
      <c r="EA212" s="470"/>
      <c r="EB212" s="470"/>
      <c r="EC212" s="470"/>
      <c r="ED212" s="470"/>
      <c r="EE212" s="470"/>
      <c r="EF212" s="470"/>
      <c r="EG212" s="470"/>
      <c r="EH212" s="470"/>
      <c r="EI212" s="470"/>
      <c r="EJ212" s="470"/>
      <c r="EK212" s="470"/>
      <c r="EL212" s="470"/>
      <c r="EM212" s="470"/>
      <c r="EN212" s="470"/>
      <c r="EO212" s="470"/>
      <c r="EP212" s="470"/>
      <c r="EQ212" s="470"/>
      <c r="ER212" s="470"/>
      <c r="ES212" s="470"/>
      <c r="ET212" s="470"/>
      <c r="EU212" s="470"/>
      <c r="EV212" s="470"/>
      <c r="EW212" s="470"/>
      <c r="EX212" s="470"/>
      <c r="EY212" s="470"/>
      <c r="EZ212" s="470"/>
      <c r="FA212" s="470"/>
      <c r="FB212" s="470"/>
      <c r="FC212" s="470"/>
      <c r="FD212" s="470"/>
      <c r="FE212" s="470"/>
      <c r="FF212" s="470"/>
      <c r="FG212" s="470"/>
      <c r="FH212" s="470"/>
      <c r="FI212" s="470"/>
      <c r="FJ212" s="470"/>
      <c r="FK212" s="470"/>
      <c r="FL212" s="470"/>
      <c r="FM212" s="470"/>
      <c r="FN212" s="470"/>
      <c r="FO212" s="470"/>
      <c r="FP212" s="470"/>
      <c r="FQ212" s="470"/>
      <c r="FR212" s="470"/>
      <c r="FS212" s="470"/>
      <c r="FT212" s="470"/>
      <c r="FU212" s="470"/>
      <c r="FV212" s="470"/>
      <c r="FW212" s="470"/>
      <c r="FX212" s="470"/>
      <c r="FY212" s="470"/>
      <c r="FZ212" s="470"/>
      <c r="GA212" s="470"/>
      <c r="GB212" s="470"/>
      <c r="GC212" s="470"/>
      <c r="GD212" s="470"/>
      <c r="GE212" s="470"/>
      <c r="GF212" s="470"/>
      <c r="GG212" s="470"/>
      <c r="GH212" s="470"/>
      <c r="GI212" s="470"/>
      <c r="GJ212" s="470"/>
      <c r="GK212" s="470"/>
      <c r="GL212" s="470"/>
      <c r="GM212" s="470"/>
      <c r="GN212" s="470"/>
      <c r="GO212" s="470"/>
      <c r="GP212" s="470"/>
      <c r="GQ212" s="470"/>
      <c r="GR212" s="470"/>
      <c r="GS212" s="470"/>
      <c r="GT212" s="470"/>
      <c r="GU212" s="470"/>
      <c r="GV212" s="470"/>
      <c r="GW212" s="470"/>
      <c r="GX212" s="470"/>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70"/>
      <c r="IF212" s="470"/>
      <c r="IG212" s="470"/>
      <c r="IH212" s="470"/>
      <c r="II212" s="470"/>
      <c r="IJ212" s="470"/>
      <c r="IK212" s="470"/>
      <c r="IL212" s="470"/>
      <c r="IM212" s="470"/>
      <c r="IN212" s="470"/>
      <c r="IO212" s="470"/>
      <c r="IP212" s="470"/>
      <c r="IQ212" s="470"/>
    </row>
    <row r="213" spans="1:251" x14ac:dyDescent="0.2">
      <c r="A213" s="453" t="s">
        <v>10140</v>
      </c>
      <c r="B213" s="453" t="s">
        <v>10141</v>
      </c>
      <c r="C213" s="454" t="s">
        <v>386</v>
      </c>
      <c r="D213" s="455" t="s">
        <v>9783</v>
      </c>
      <c r="E213" s="456" t="s">
        <v>9710</v>
      </c>
      <c r="F213" s="456" t="s">
        <v>10113</v>
      </c>
      <c r="G213" s="456" t="s">
        <v>7180</v>
      </c>
      <c r="H213" s="457">
        <v>182.52</v>
      </c>
      <c r="I213" s="457">
        <f t="shared" si="15"/>
        <v>196.209</v>
      </c>
      <c r="J213" s="457" t="s">
        <v>9706</v>
      </c>
      <c r="K213" s="458">
        <v>0.3</v>
      </c>
      <c r="L213" s="459">
        <f t="shared" si="12"/>
        <v>127.764</v>
      </c>
      <c r="M213" s="460">
        <v>0.18</v>
      </c>
      <c r="N213" s="461">
        <f t="shared" si="13"/>
        <v>160.89138000000003</v>
      </c>
      <c r="O213" s="462">
        <v>0.1</v>
      </c>
      <c r="P213" s="463">
        <f t="shared" si="14"/>
        <v>176.5881</v>
      </c>
      <c r="Q213" s="464"/>
      <c r="R213" s="465">
        <v>20</v>
      </c>
      <c r="S213" s="465">
        <v>20</v>
      </c>
      <c r="T213" s="465">
        <v>20</v>
      </c>
      <c r="U213" s="466"/>
      <c r="V213" s="470"/>
      <c r="W213" s="470"/>
      <c r="X213" s="470"/>
      <c r="Y213" s="470"/>
      <c r="Z213" s="470"/>
      <c r="AA213" s="470"/>
      <c r="AB213" s="470"/>
      <c r="AC213" s="470"/>
      <c r="AD213" s="470"/>
      <c r="AE213" s="470"/>
      <c r="AF213" s="470"/>
      <c r="AG213" s="470"/>
      <c r="AH213" s="470"/>
      <c r="AI213" s="470"/>
      <c r="AJ213" s="470"/>
      <c r="AK213" s="470"/>
      <c r="AL213" s="470"/>
      <c r="AM213" s="470"/>
      <c r="AN213" s="470"/>
      <c r="AO213" s="470"/>
      <c r="AP213" s="470"/>
      <c r="AQ213" s="470"/>
      <c r="AR213" s="470"/>
      <c r="AS213" s="470"/>
      <c r="AT213" s="470"/>
      <c r="AU213" s="470"/>
      <c r="AV213" s="470"/>
      <c r="AW213" s="470"/>
      <c r="AX213" s="470"/>
      <c r="AY213" s="470"/>
      <c r="AZ213" s="470"/>
      <c r="BA213" s="470"/>
      <c r="BB213" s="470"/>
      <c r="BC213" s="470"/>
      <c r="BD213" s="470"/>
      <c r="BE213" s="470"/>
      <c r="BF213" s="470"/>
      <c r="BG213" s="470"/>
      <c r="BH213" s="470"/>
      <c r="BI213" s="470"/>
      <c r="BJ213" s="470"/>
      <c r="BK213" s="470"/>
      <c r="BL213" s="470"/>
      <c r="BM213" s="470"/>
      <c r="BN213" s="470"/>
      <c r="BO213" s="470"/>
      <c r="BP213" s="470"/>
      <c r="BQ213" s="470"/>
      <c r="BR213" s="470"/>
      <c r="BS213" s="470"/>
      <c r="BT213" s="470"/>
      <c r="BU213" s="470"/>
      <c r="BV213" s="470"/>
      <c r="BW213" s="470"/>
      <c r="BX213" s="470"/>
      <c r="BY213" s="470"/>
      <c r="BZ213" s="470"/>
      <c r="CA213" s="470"/>
      <c r="CB213" s="470"/>
      <c r="CC213" s="470"/>
      <c r="CD213" s="470"/>
      <c r="CE213" s="470"/>
      <c r="CF213" s="470"/>
      <c r="CG213" s="470"/>
      <c r="CH213" s="470"/>
      <c r="CI213" s="470"/>
      <c r="CJ213" s="470"/>
      <c r="CK213" s="470"/>
      <c r="CL213" s="470"/>
      <c r="CM213" s="470"/>
      <c r="CN213" s="470"/>
      <c r="CO213" s="470"/>
      <c r="CP213" s="470"/>
      <c r="CQ213" s="470"/>
      <c r="CR213" s="470"/>
      <c r="CS213" s="470"/>
      <c r="CT213" s="470"/>
      <c r="CU213" s="470"/>
      <c r="CV213" s="470"/>
      <c r="CW213" s="470"/>
      <c r="CX213" s="470"/>
      <c r="CY213" s="470"/>
      <c r="CZ213" s="470"/>
      <c r="DA213" s="470"/>
      <c r="DB213" s="470"/>
      <c r="DC213" s="470"/>
      <c r="DD213" s="470"/>
      <c r="DE213" s="470"/>
      <c r="DF213" s="470"/>
      <c r="DG213" s="470"/>
      <c r="DH213" s="470"/>
      <c r="DI213" s="470"/>
      <c r="DJ213" s="470"/>
      <c r="DK213" s="470"/>
      <c r="DL213" s="470"/>
      <c r="DM213" s="470"/>
      <c r="DN213" s="470"/>
      <c r="DO213" s="470"/>
      <c r="DP213" s="470"/>
      <c r="DQ213" s="470"/>
      <c r="DR213" s="470"/>
      <c r="DS213" s="470"/>
      <c r="DT213" s="470"/>
      <c r="DU213" s="470"/>
      <c r="DV213" s="470"/>
      <c r="DW213" s="470"/>
      <c r="DX213" s="470"/>
      <c r="DY213" s="470"/>
      <c r="DZ213" s="470"/>
      <c r="EA213" s="470"/>
      <c r="EB213" s="470"/>
      <c r="EC213" s="470"/>
      <c r="ED213" s="470"/>
      <c r="EE213" s="470"/>
      <c r="EF213" s="470"/>
      <c r="EG213" s="470"/>
      <c r="EH213" s="470"/>
      <c r="EI213" s="470"/>
      <c r="EJ213" s="470"/>
      <c r="EK213" s="470"/>
      <c r="EL213" s="470"/>
      <c r="EM213" s="470"/>
      <c r="EN213" s="470"/>
      <c r="EO213" s="470"/>
      <c r="EP213" s="470"/>
      <c r="EQ213" s="470"/>
      <c r="ER213" s="470"/>
      <c r="ES213" s="470"/>
      <c r="ET213" s="470"/>
      <c r="EU213" s="470"/>
      <c r="EV213" s="470"/>
      <c r="EW213" s="470"/>
      <c r="EX213" s="470"/>
      <c r="EY213" s="470"/>
      <c r="EZ213" s="470"/>
      <c r="FA213" s="470"/>
      <c r="FB213" s="470"/>
      <c r="FC213" s="470"/>
      <c r="FD213" s="470"/>
      <c r="FE213" s="470"/>
      <c r="FF213" s="470"/>
      <c r="FG213" s="470"/>
      <c r="FH213" s="470"/>
      <c r="FI213" s="470"/>
      <c r="FJ213" s="470"/>
      <c r="FK213" s="470"/>
      <c r="FL213" s="470"/>
      <c r="FM213" s="470"/>
      <c r="FN213" s="470"/>
      <c r="FO213" s="470"/>
      <c r="FP213" s="470"/>
      <c r="FQ213" s="470"/>
      <c r="FR213" s="470"/>
      <c r="FS213" s="470"/>
      <c r="FT213" s="470"/>
      <c r="FU213" s="470"/>
      <c r="FV213" s="470"/>
      <c r="FW213" s="470"/>
      <c r="FX213" s="470"/>
      <c r="FY213" s="470"/>
      <c r="FZ213" s="470"/>
      <c r="GA213" s="470"/>
      <c r="GB213" s="470"/>
      <c r="GC213" s="470"/>
      <c r="GD213" s="470"/>
      <c r="GE213" s="470"/>
      <c r="GF213" s="470"/>
      <c r="GG213" s="470"/>
      <c r="GH213" s="470"/>
      <c r="GI213" s="470"/>
      <c r="GJ213" s="470"/>
      <c r="GK213" s="470"/>
      <c r="GL213" s="470"/>
      <c r="GM213" s="470"/>
      <c r="GN213" s="470"/>
      <c r="GO213" s="470"/>
      <c r="GP213" s="470"/>
      <c r="GQ213" s="470"/>
      <c r="GR213" s="470"/>
      <c r="GS213" s="470"/>
      <c r="GT213" s="470"/>
      <c r="GU213" s="470"/>
      <c r="GV213" s="470"/>
      <c r="GW213" s="470"/>
      <c r="GX213" s="470"/>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70"/>
      <c r="IF213" s="470"/>
      <c r="IG213" s="470"/>
      <c r="IH213" s="470"/>
      <c r="II213" s="470"/>
      <c r="IJ213" s="470"/>
      <c r="IK213" s="470"/>
      <c r="IL213" s="470"/>
      <c r="IM213" s="470"/>
      <c r="IN213" s="470"/>
      <c r="IO213" s="470"/>
      <c r="IP213" s="470"/>
      <c r="IQ213" s="470"/>
    </row>
    <row r="214" spans="1:251" x14ac:dyDescent="0.2">
      <c r="A214" s="453" t="s">
        <v>10142</v>
      </c>
      <c r="B214" s="453" t="s">
        <v>10143</v>
      </c>
      <c r="C214" s="454" t="s">
        <v>386</v>
      </c>
      <c r="D214" s="455" t="s">
        <v>9783</v>
      </c>
      <c r="E214" s="456" t="s">
        <v>9716</v>
      </c>
      <c r="F214" s="456" t="s">
        <v>10113</v>
      </c>
      <c r="G214" s="456" t="s">
        <v>7180</v>
      </c>
      <c r="H214" s="457">
        <v>187.92000000000002</v>
      </c>
      <c r="I214" s="457">
        <f t="shared" si="15"/>
        <v>202.01400000000001</v>
      </c>
      <c r="J214" s="457" t="s">
        <v>9706</v>
      </c>
      <c r="K214" s="458">
        <v>0.3</v>
      </c>
      <c r="L214" s="459">
        <f t="shared" si="12"/>
        <v>131.54400000000001</v>
      </c>
      <c r="M214" s="460">
        <v>0.18</v>
      </c>
      <c r="N214" s="461">
        <f t="shared" si="13"/>
        <v>165.65148000000002</v>
      </c>
      <c r="O214" s="462">
        <v>0.1</v>
      </c>
      <c r="P214" s="463">
        <f t="shared" si="14"/>
        <v>181.8126</v>
      </c>
      <c r="Q214" s="464"/>
      <c r="R214" s="465">
        <v>20</v>
      </c>
      <c r="S214" s="465">
        <v>20</v>
      </c>
      <c r="T214" s="465">
        <v>20</v>
      </c>
      <c r="U214" s="466"/>
      <c r="V214" s="470"/>
      <c r="W214" s="470"/>
      <c r="X214" s="470"/>
      <c r="Y214" s="470"/>
      <c r="Z214" s="470"/>
      <c r="AA214" s="470"/>
      <c r="AB214" s="470"/>
      <c r="AC214" s="470"/>
      <c r="AD214" s="470"/>
      <c r="AE214" s="470"/>
      <c r="AF214" s="470"/>
      <c r="AG214" s="470"/>
      <c r="AH214" s="470"/>
      <c r="AI214" s="470"/>
      <c r="AJ214" s="470"/>
      <c r="AK214" s="470"/>
      <c r="AL214" s="470"/>
      <c r="AM214" s="470"/>
      <c r="AN214" s="470"/>
      <c r="AO214" s="470"/>
      <c r="AP214" s="470"/>
      <c r="AQ214" s="470"/>
      <c r="AR214" s="470"/>
      <c r="AS214" s="470"/>
      <c r="AT214" s="470"/>
      <c r="AU214" s="470"/>
      <c r="AV214" s="470"/>
      <c r="AW214" s="470"/>
      <c r="AX214" s="470"/>
      <c r="AY214" s="470"/>
      <c r="AZ214" s="470"/>
      <c r="BA214" s="470"/>
      <c r="BB214" s="470"/>
      <c r="BC214" s="470"/>
      <c r="BD214" s="470"/>
      <c r="BE214" s="470"/>
      <c r="BF214" s="470"/>
      <c r="BG214" s="470"/>
      <c r="BH214" s="470"/>
      <c r="BI214" s="470"/>
      <c r="BJ214" s="470"/>
      <c r="BK214" s="470"/>
      <c r="BL214" s="470"/>
      <c r="BM214" s="470"/>
      <c r="BN214" s="470"/>
      <c r="BO214" s="470"/>
      <c r="BP214" s="470"/>
      <c r="BQ214" s="470"/>
      <c r="BR214" s="470"/>
      <c r="BS214" s="470"/>
      <c r="BT214" s="470"/>
      <c r="BU214" s="470"/>
      <c r="BV214" s="470"/>
      <c r="BW214" s="470"/>
      <c r="BX214" s="470"/>
      <c r="BY214" s="470"/>
      <c r="BZ214" s="470"/>
      <c r="CA214" s="470"/>
      <c r="CB214" s="470"/>
      <c r="CC214" s="470"/>
      <c r="CD214" s="470"/>
      <c r="CE214" s="470"/>
      <c r="CF214" s="470"/>
      <c r="CG214" s="470"/>
      <c r="CH214" s="470"/>
      <c r="CI214" s="470"/>
      <c r="CJ214" s="470"/>
      <c r="CK214" s="470"/>
      <c r="CL214" s="470"/>
      <c r="CM214" s="470"/>
      <c r="CN214" s="470"/>
      <c r="CO214" s="470"/>
      <c r="CP214" s="470"/>
      <c r="CQ214" s="470"/>
      <c r="CR214" s="470"/>
      <c r="CS214" s="470"/>
      <c r="CT214" s="470"/>
      <c r="CU214" s="470"/>
      <c r="CV214" s="470"/>
      <c r="CW214" s="470"/>
      <c r="CX214" s="470"/>
      <c r="CY214" s="470"/>
      <c r="CZ214" s="470"/>
      <c r="DA214" s="470"/>
      <c r="DB214" s="470"/>
      <c r="DC214" s="470"/>
      <c r="DD214" s="470"/>
      <c r="DE214" s="470"/>
      <c r="DF214" s="470"/>
      <c r="DG214" s="470"/>
      <c r="DH214" s="470"/>
      <c r="DI214" s="470"/>
      <c r="DJ214" s="470"/>
      <c r="DK214" s="470"/>
      <c r="DL214" s="470"/>
      <c r="DM214" s="470"/>
      <c r="DN214" s="470"/>
      <c r="DO214" s="470"/>
      <c r="DP214" s="470"/>
      <c r="DQ214" s="470"/>
      <c r="DR214" s="470"/>
      <c r="DS214" s="470"/>
      <c r="DT214" s="470"/>
      <c r="DU214" s="470"/>
      <c r="DV214" s="470"/>
      <c r="DW214" s="470"/>
      <c r="DX214" s="470"/>
      <c r="DY214" s="470"/>
      <c r="DZ214" s="470"/>
      <c r="EA214" s="470"/>
      <c r="EB214" s="470"/>
      <c r="EC214" s="470"/>
      <c r="ED214" s="470"/>
      <c r="EE214" s="470"/>
      <c r="EF214" s="470"/>
      <c r="EG214" s="470"/>
      <c r="EH214" s="470"/>
      <c r="EI214" s="470"/>
      <c r="EJ214" s="470"/>
      <c r="EK214" s="470"/>
      <c r="EL214" s="470"/>
      <c r="EM214" s="470"/>
      <c r="EN214" s="470"/>
      <c r="EO214" s="470"/>
      <c r="EP214" s="470"/>
      <c r="EQ214" s="470"/>
      <c r="ER214" s="470"/>
      <c r="ES214" s="470"/>
      <c r="ET214" s="470"/>
      <c r="EU214" s="470"/>
      <c r="EV214" s="470"/>
      <c r="EW214" s="470"/>
      <c r="EX214" s="470"/>
      <c r="EY214" s="470"/>
      <c r="EZ214" s="470"/>
      <c r="FA214" s="470"/>
      <c r="FB214" s="470"/>
      <c r="FC214" s="470"/>
      <c r="FD214" s="470"/>
      <c r="FE214" s="470"/>
      <c r="FF214" s="470"/>
      <c r="FG214" s="470"/>
      <c r="FH214" s="470"/>
      <c r="FI214" s="470"/>
      <c r="FJ214" s="470"/>
      <c r="FK214" s="470"/>
      <c r="FL214" s="470"/>
      <c r="FM214" s="470"/>
      <c r="FN214" s="470"/>
      <c r="FO214" s="470"/>
      <c r="FP214" s="470"/>
      <c r="FQ214" s="470"/>
      <c r="FR214" s="470"/>
      <c r="FS214" s="470"/>
      <c r="FT214" s="470"/>
      <c r="FU214" s="470"/>
      <c r="FV214" s="470"/>
      <c r="FW214" s="470"/>
      <c r="FX214" s="470"/>
      <c r="FY214" s="470"/>
      <c r="FZ214" s="470"/>
      <c r="GA214" s="470"/>
      <c r="GB214" s="470"/>
      <c r="GC214" s="470"/>
      <c r="GD214" s="470"/>
      <c r="GE214" s="470"/>
      <c r="GF214" s="470"/>
      <c r="GG214" s="470"/>
      <c r="GH214" s="470"/>
      <c r="GI214" s="470"/>
      <c r="GJ214" s="470"/>
      <c r="GK214" s="470"/>
      <c r="GL214" s="470"/>
      <c r="GM214" s="470"/>
      <c r="GN214" s="470"/>
      <c r="GO214" s="470"/>
      <c r="GP214" s="470"/>
      <c r="GQ214" s="470"/>
      <c r="GR214" s="470"/>
      <c r="GS214" s="470"/>
      <c r="GT214" s="470"/>
      <c r="GU214" s="470"/>
      <c r="GV214" s="470"/>
      <c r="GW214" s="470"/>
      <c r="GX214" s="470"/>
      <c r="GY214" s="470"/>
      <c r="GZ214" s="470"/>
      <c r="HA214" s="470"/>
      <c r="HB214" s="470"/>
      <c r="HC214" s="470"/>
      <c r="HD214" s="470"/>
      <c r="HE214" s="470"/>
      <c r="HF214" s="470"/>
      <c r="HG214" s="470"/>
      <c r="HH214" s="470"/>
      <c r="HI214" s="470"/>
      <c r="HJ214" s="470"/>
      <c r="HK214" s="470"/>
      <c r="HL214" s="470"/>
      <c r="HM214" s="470"/>
      <c r="HN214" s="470"/>
      <c r="HO214" s="470"/>
      <c r="HP214" s="470"/>
      <c r="HQ214" s="470"/>
      <c r="HR214" s="470"/>
      <c r="HS214" s="470"/>
      <c r="HT214" s="470"/>
      <c r="HU214" s="470"/>
      <c r="HV214" s="470"/>
      <c r="HW214" s="470"/>
      <c r="HX214" s="470"/>
      <c r="HY214" s="470"/>
      <c r="HZ214" s="470"/>
      <c r="IA214" s="470"/>
      <c r="IB214" s="470"/>
      <c r="IC214" s="470"/>
      <c r="ID214" s="470"/>
      <c r="IE214" s="470"/>
      <c r="IF214" s="470"/>
      <c r="IG214" s="470"/>
      <c r="IH214" s="470"/>
      <c r="II214" s="470"/>
      <c r="IJ214" s="470"/>
      <c r="IK214" s="470"/>
      <c r="IL214" s="470"/>
      <c r="IM214" s="470"/>
      <c r="IN214" s="470"/>
      <c r="IO214" s="470"/>
      <c r="IP214" s="470"/>
      <c r="IQ214" s="470"/>
    </row>
    <row r="215" spans="1:251" x14ac:dyDescent="0.2">
      <c r="A215" s="453" t="s">
        <v>10144</v>
      </c>
      <c r="B215" s="453" t="s">
        <v>10145</v>
      </c>
      <c r="C215" s="454" t="s">
        <v>386</v>
      </c>
      <c r="D215" s="455" t="s">
        <v>9783</v>
      </c>
      <c r="E215" s="456" t="s">
        <v>9710</v>
      </c>
      <c r="F215" s="456" t="s">
        <v>10146</v>
      </c>
      <c r="G215" s="456" t="s">
        <v>7180</v>
      </c>
      <c r="H215" s="457">
        <v>166.32000000000002</v>
      </c>
      <c r="I215" s="457">
        <f t="shared" si="15"/>
        <v>178.79400000000001</v>
      </c>
      <c r="J215" s="457" t="s">
        <v>9706</v>
      </c>
      <c r="K215" s="458">
        <v>0.3</v>
      </c>
      <c r="L215" s="459">
        <f t="shared" si="12"/>
        <v>116.42400000000001</v>
      </c>
      <c r="M215" s="460">
        <v>0.18</v>
      </c>
      <c r="N215" s="461">
        <f t="shared" si="13"/>
        <v>146.61108000000002</v>
      </c>
      <c r="O215" s="462">
        <v>0.1</v>
      </c>
      <c r="P215" s="463">
        <f t="shared" si="14"/>
        <v>160.91460000000001</v>
      </c>
      <c r="Q215" s="464"/>
      <c r="R215" s="465">
        <v>20</v>
      </c>
      <c r="S215" s="465">
        <v>20</v>
      </c>
      <c r="T215" s="465">
        <v>20</v>
      </c>
      <c r="U215" s="466"/>
      <c r="V215" s="470"/>
      <c r="W215" s="470"/>
      <c r="X215" s="470"/>
      <c r="Y215" s="470"/>
      <c r="Z215" s="470"/>
      <c r="AA215" s="470"/>
      <c r="AB215" s="470"/>
      <c r="AC215" s="470"/>
      <c r="AD215" s="470"/>
      <c r="AE215" s="470"/>
      <c r="AF215" s="470"/>
      <c r="AG215" s="470"/>
      <c r="AH215" s="470"/>
      <c r="AI215" s="470"/>
      <c r="AJ215" s="470"/>
      <c r="AK215" s="470"/>
      <c r="AL215" s="470"/>
      <c r="AM215" s="470"/>
      <c r="AN215" s="470"/>
      <c r="AO215" s="470"/>
      <c r="AP215" s="470"/>
      <c r="AQ215" s="470"/>
      <c r="AR215" s="470"/>
      <c r="AS215" s="470"/>
      <c r="AT215" s="470"/>
      <c r="AU215" s="470"/>
      <c r="AV215" s="470"/>
      <c r="AW215" s="470"/>
      <c r="AX215" s="470"/>
      <c r="AY215" s="470"/>
      <c r="AZ215" s="470"/>
      <c r="BA215" s="470"/>
      <c r="BB215" s="470"/>
      <c r="BC215" s="470"/>
      <c r="BD215" s="470"/>
      <c r="BE215" s="470"/>
      <c r="BF215" s="470"/>
      <c r="BG215" s="470"/>
      <c r="BH215" s="470"/>
      <c r="BI215" s="470"/>
      <c r="BJ215" s="470"/>
      <c r="BK215" s="470"/>
      <c r="BL215" s="470"/>
      <c r="BM215" s="470"/>
      <c r="BN215" s="470"/>
      <c r="BO215" s="470"/>
      <c r="BP215" s="470"/>
      <c r="BQ215" s="470"/>
      <c r="BR215" s="470"/>
      <c r="BS215" s="470"/>
      <c r="BT215" s="470"/>
      <c r="BU215" s="470"/>
      <c r="BV215" s="470"/>
      <c r="BW215" s="470"/>
      <c r="BX215" s="470"/>
      <c r="BY215" s="470"/>
      <c r="BZ215" s="470"/>
      <c r="CA215" s="470"/>
      <c r="CB215" s="470"/>
      <c r="CC215" s="470"/>
      <c r="CD215" s="470"/>
      <c r="CE215" s="470"/>
      <c r="CF215" s="470"/>
      <c r="CG215" s="470"/>
      <c r="CH215" s="470"/>
      <c r="CI215" s="470"/>
      <c r="CJ215" s="470"/>
      <c r="CK215" s="470"/>
      <c r="CL215" s="470"/>
      <c r="CM215" s="470"/>
      <c r="CN215" s="470"/>
      <c r="CO215" s="470"/>
      <c r="CP215" s="470"/>
      <c r="CQ215" s="470"/>
      <c r="CR215" s="470"/>
      <c r="CS215" s="470"/>
      <c r="CT215" s="470"/>
      <c r="CU215" s="470"/>
      <c r="CV215" s="470"/>
      <c r="CW215" s="470"/>
      <c r="CX215" s="470"/>
      <c r="CY215" s="470"/>
      <c r="CZ215" s="470"/>
      <c r="DA215" s="470"/>
      <c r="DB215" s="470"/>
      <c r="DC215" s="470"/>
      <c r="DD215" s="470"/>
      <c r="DE215" s="470"/>
      <c r="DF215" s="470"/>
      <c r="DG215" s="470"/>
      <c r="DH215" s="470"/>
      <c r="DI215" s="470"/>
      <c r="DJ215" s="470"/>
      <c r="DK215" s="470"/>
      <c r="DL215" s="470"/>
      <c r="DM215" s="470"/>
      <c r="DN215" s="470"/>
      <c r="DO215" s="470"/>
      <c r="DP215" s="470"/>
      <c r="DQ215" s="470"/>
      <c r="DR215" s="470"/>
      <c r="DS215" s="470"/>
      <c r="DT215" s="470"/>
      <c r="DU215" s="470"/>
      <c r="DV215" s="470"/>
      <c r="DW215" s="470"/>
      <c r="DX215" s="470"/>
      <c r="DY215" s="470"/>
      <c r="DZ215" s="470"/>
      <c r="EA215" s="470"/>
      <c r="EB215" s="470"/>
      <c r="EC215" s="470"/>
      <c r="ED215" s="470"/>
      <c r="EE215" s="470"/>
      <c r="EF215" s="470"/>
      <c r="EG215" s="470"/>
      <c r="EH215" s="470"/>
      <c r="EI215" s="470"/>
      <c r="EJ215" s="470"/>
      <c r="EK215" s="470"/>
      <c r="EL215" s="470"/>
      <c r="EM215" s="470"/>
      <c r="EN215" s="470"/>
      <c r="EO215" s="470"/>
      <c r="EP215" s="470"/>
      <c r="EQ215" s="470"/>
      <c r="ER215" s="470"/>
      <c r="ES215" s="470"/>
      <c r="ET215" s="470"/>
      <c r="EU215" s="470"/>
      <c r="EV215" s="470"/>
      <c r="EW215" s="470"/>
      <c r="EX215" s="470"/>
      <c r="EY215" s="470"/>
      <c r="EZ215" s="470"/>
      <c r="FA215" s="470"/>
      <c r="FB215" s="470"/>
      <c r="FC215" s="470"/>
      <c r="FD215" s="470"/>
      <c r="FE215" s="470"/>
      <c r="FF215" s="470"/>
      <c r="FG215" s="470"/>
      <c r="FH215" s="470"/>
      <c r="FI215" s="470"/>
      <c r="FJ215" s="470"/>
      <c r="FK215" s="470"/>
      <c r="FL215" s="470"/>
      <c r="FM215" s="470"/>
      <c r="FN215" s="470"/>
      <c r="FO215" s="470"/>
      <c r="FP215" s="470"/>
      <c r="FQ215" s="470"/>
      <c r="FR215" s="470"/>
      <c r="FS215" s="470"/>
      <c r="FT215" s="470"/>
      <c r="FU215" s="470"/>
      <c r="FV215" s="470"/>
      <c r="FW215" s="470"/>
      <c r="FX215" s="470"/>
      <c r="FY215" s="470"/>
      <c r="FZ215" s="470"/>
      <c r="GA215" s="470"/>
      <c r="GB215" s="470"/>
      <c r="GC215" s="470"/>
      <c r="GD215" s="470"/>
      <c r="GE215" s="470"/>
      <c r="GF215" s="470"/>
      <c r="GG215" s="470"/>
      <c r="GH215" s="470"/>
      <c r="GI215" s="470"/>
      <c r="GJ215" s="470"/>
      <c r="GK215" s="470"/>
      <c r="GL215" s="470"/>
      <c r="GM215" s="470"/>
      <c r="GN215" s="470"/>
      <c r="GO215" s="470"/>
      <c r="GP215" s="470"/>
      <c r="GQ215" s="470"/>
      <c r="GR215" s="470"/>
      <c r="GS215" s="470"/>
      <c r="GT215" s="470"/>
      <c r="GU215" s="470"/>
      <c r="GV215" s="470"/>
      <c r="GW215" s="470"/>
      <c r="GX215" s="470"/>
      <c r="GY215" s="470"/>
      <c r="GZ215" s="470"/>
      <c r="HA215" s="470"/>
      <c r="HB215" s="470"/>
      <c r="HC215" s="470"/>
      <c r="HD215" s="470"/>
      <c r="HE215" s="470"/>
      <c r="HF215" s="470"/>
      <c r="HG215" s="470"/>
      <c r="HH215" s="470"/>
      <c r="HI215" s="470"/>
      <c r="HJ215" s="470"/>
      <c r="HK215" s="470"/>
      <c r="HL215" s="470"/>
      <c r="HM215" s="470"/>
      <c r="HN215" s="470"/>
      <c r="HO215" s="470"/>
      <c r="HP215" s="470"/>
      <c r="HQ215" s="470"/>
      <c r="HR215" s="470"/>
      <c r="HS215" s="470"/>
      <c r="HT215" s="470"/>
      <c r="HU215" s="470"/>
      <c r="HV215" s="470"/>
      <c r="HW215" s="470"/>
      <c r="HX215" s="470"/>
      <c r="HY215" s="470"/>
      <c r="HZ215" s="470"/>
      <c r="IA215" s="470"/>
      <c r="IB215" s="470"/>
      <c r="IC215" s="470"/>
      <c r="ID215" s="470"/>
      <c r="IE215" s="470"/>
      <c r="IF215" s="470"/>
      <c r="IG215" s="470"/>
      <c r="IH215" s="470"/>
      <c r="II215" s="470"/>
      <c r="IJ215" s="470"/>
      <c r="IK215" s="470"/>
      <c r="IL215" s="470"/>
      <c r="IM215" s="470"/>
      <c r="IN215" s="470"/>
      <c r="IO215" s="470"/>
      <c r="IP215" s="470"/>
      <c r="IQ215" s="470"/>
    </row>
    <row r="216" spans="1:251" x14ac:dyDescent="0.2">
      <c r="A216" s="453" t="s">
        <v>10147</v>
      </c>
      <c r="B216" s="453" t="s">
        <v>10148</v>
      </c>
      <c r="C216" s="454" t="s">
        <v>386</v>
      </c>
      <c r="D216" s="455" t="s">
        <v>9783</v>
      </c>
      <c r="E216" s="482" t="s">
        <v>9710</v>
      </c>
      <c r="F216" s="482" t="s">
        <v>10146</v>
      </c>
      <c r="G216" s="456" t="s">
        <v>7180</v>
      </c>
      <c r="H216" s="483">
        <v>166.32000000000002</v>
      </c>
      <c r="I216" s="457">
        <f t="shared" si="15"/>
        <v>178.79400000000001</v>
      </c>
      <c r="J216" s="457" t="s">
        <v>9706</v>
      </c>
      <c r="K216" s="458">
        <v>0.3</v>
      </c>
      <c r="L216" s="459">
        <f t="shared" si="12"/>
        <v>116.42400000000001</v>
      </c>
      <c r="M216" s="460">
        <v>0.18</v>
      </c>
      <c r="N216" s="461">
        <f t="shared" si="13"/>
        <v>146.61108000000002</v>
      </c>
      <c r="O216" s="462">
        <v>0.1</v>
      </c>
      <c r="P216" s="463">
        <f t="shared" si="14"/>
        <v>160.91460000000001</v>
      </c>
      <c r="Q216" s="464"/>
      <c r="R216" s="465">
        <v>20</v>
      </c>
      <c r="S216" s="465">
        <v>20</v>
      </c>
      <c r="T216" s="465">
        <v>20</v>
      </c>
      <c r="U216" s="466"/>
      <c r="V216" s="470"/>
      <c r="W216" s="470"/>
      <c r="X216" s="470"/>
      <c r="Y216" s="470"/>
      <c r="Z216" s="470"/>
      <c r="AA216" s="470"/>
      <c r="AB216" s="470"/>
      <c r="AC216" s="470"/>
      <c r="AD216" s="470"/>
      <c r="AE216" s="470"/>
      <c r="AF216" s="470"/>
      <c r="AG216" s="470"/>
      <c r="AH216" s="470"/>
      <c r="AI216" s="470"/>
      <c r="AJ216" s="470"/>
      <c r="AK216" s="470"/>
      <c r="AL216" s="470"/>
      <c r="AM216" s="470"/>
      <c r="AN216" s="470"/>
      <c r="AO216" s="470"/>
      <c r="AP216" s="470"/>
      <c r="AQ216" s="470"/>
      <c r="AR216" s="470"/>
      <c r="AS216" s="470"/>
      <c r="AT216" s="470"/>
      <c r="AU216" s="470"/>
      <c r="AV216" s="470"/>
      <c r="AW216" s="470"/>
      <c r="AX216" s="470"/>
      <c r="AY216" s="470"/>
      <c r="AZ216" s="470"/>
      <c r="BA216" s="470"/>
      <c r="BB216" s="470"/>
      <c r="BC216" s="470"/>
      <c r="BD216" s="470"/>
      <c r="BE216" s="470"/>
      <c r="BF216" s="470"/>
      <c r="BG216" s="470"/>
      <c r="BH216" s="470"/>
      <c r="BI216" s="470"/>
      <c r="BJ216" s="470"/>
      <c r="BK216" s="470"/>
      <c r="BL216" s="470"/>
      <c r="BM216" s="470"/>
      <c r="BN216" s="470"/>
      <c r="BO216" s="470"/>
      <c r="BP216" s="470"/>
      <c r="BQ216" s="470"/>
      <c r="BR216" s="470"/>
      <c r="BS216" s="470"/>
      <c r="BT216" s="470"/>
      <c r="BU216" s="470"/>
      <c r="BV216" s="470"/>
      <c r="BW216" s="470"/>
      <c r="BX216" s="470"/>
      <c r="BY216" s="470"/>
      <c r="BZ216" s="470"/>
      <c r="CA216" s="470"/>
      <c r="CB216" s="470"/>
      <c r="CC216" s="470"/>
      <c r="CD216" s="470"/>
      <c r="CE216" s="470"/>
      <c r="CF216" s="470"/>
      <c r="CG216" s="470"/>
      <c r="CH216" s="470"/>
      <c r="CI216" s="470"/>
      <c r="CJ216" s="470"/>
      <c r="CK216" s="470"/>
      <c r="CL216" s="470"/>
      <c r="CM216" s="470"/>
      <c r="CN216" s="470"/>
      <c r="CO216" s="470"/>
      <c r="CP216" s="470"/>
      <c r="CQ216" s="470"/>
      <c r="CR216" s="470"/>
      <c r="CS216" s="470"/>
      <c r="CT216" s="470"/>
      <c r="CU216" s="470"/>
      <c r="CV216" s="470"/>
      <c r="CW216" s="470"/>
      <c r="CX216" s="470"/>
      <c r="CY216" s="470"/>
      <c r="CZ216" s="470"/>
      <c r="DA216" s="470"/>
      <c r="DB216" s="470"/>
      <c r="DC216" s="470"/>
      <c r="DD216" s="470"/>
      <c r="DE216" s="470"/>
      <c r="DF216" s="470"/>
      <c r="DG216" s="470"/>
      <c r="DH216" s="470"/>
      <c r="DI216" s="470"/>
      <c r="DJ216" s="470"/>
      <c r="DK216" s="470"/>
      <c r="DL216" s="470"/>
      <c r="DM216" s="470"/>
      <c r="DN216" s="470"/>
      <c r="DO216" s="470"/>
      <c r="DP216" s="470"/>
      <c r="DQ216" s="470"/>
      <c r="DR216" s="470"/>
      <c r="DS216" s="470"/>
      <c r="DT216" s="470"/>
      <c r="DU216" s="470"/>
      <c r="DV216" s="470"/>
      <c r="DW216" s="470"/>
      <c r="DX216" s="470"/>
      <c r="DY216" s="470"/>
      <c r="DZ216" s="470"/>
      <c r="EA216" s="470"/>
      <c r="EB216" s="470"/>
      <c r="EC216" s="470"/>
      <c r="ED216" s="470"/>
      <c r="EE216" s="470"/>
      <c r="EF216" s="470"/>
      <c r="EG216" s="470"/>
      <c r="EH216" s="470"/>
      <c r="EI216" s="470"/>
      <c r="EJ216" s="470"/>
      <c r="EK216" s="470"/>
      <c r="EL216" s="470"/>
      <c r="EM216" s="470"/>
      <c r="EN216" s="470"/>
      <c r="EO216" s="470"/>
      <c r="EP216" s="470"/>
      <c r="EQ216" s="470"/>
      <c r="ER216" s="470"/>
      <c r="ES216" s="470"/>
      <c r="ET216" s="470"/>
      <c r="EU216" s="470"/>
      <c r="EV216" s="470"/>
      <c r="EW216" s="470"/>
      <c r="EX216" s="470"/>
      <c r="EY216" s="470"/>
      <c r="EZ216" s="470"/>
      <c r="FA216" s="470"/>
      <c r="FB216" s="470"/>
      <c r="FC216" s="470"/>
      <c r="FD216" s="470"/>
      <c r="FE216" s="470"/>
      <c r="FF216" s="470"/>
      <c r="FG216" s="470"/>
      <c r="FH216" s="470"/>
      <c r="FI216" s="470"/>
      <c r="FJ216" s="470"/>
      <c r="FK216" s="470"/>
      <c r="FL216" s="470"/>
      <c r="FM216" s="470"/>
      <c r="FN216" s="470"/>
      <c r="FO216" s="470"/>
      <c r="FP216" s="470"/>
      <c r="FQ216" s="470"/>
      <c r="FR216" s="470"/>
      <c r="FS216" s="470"/>
      <c r="FT216" s="470"/>
      <c r="FU216" s="470"/>
      <c r="FV216" s="470"/>
      <c r="FW216" s="470"/>
      <c r="FX216" s="470"/>
      <c r="FY216" s="470"/>
      <c r="FZ216" s="470"/>
      <c r="GA216" s="470"/>
      <c r="GB216" s="470"/>
      <c r="GC216" s="470"/>
      <c r="GD216" s="470"/>
      <c r="GE216" s="470"/>
      <c r="GF216" s="470"/>
      <c r="GG216" s="470"/>
      <c r="GH216" s="470"/>
      <c r="GI216" s="470"/>
      <c r="GJ216" s="470"/>
      <c r="GK216" s="470"/>
      <c r="GL216" s="470"/>
      <c r="GM216" s="470"/>
      <c r="GN216" s="470"/>
      <c r="GO216" s="470"/>
      <c r="GP216" s="470"/>
      <c r="GQ216" s="470"/>
      <c r="GR216" s="470"/>
      <c r="GS216" s="470"/>
      <c r="GT216" s="470"/>
      <c r="GU216" s="470"/>
      <c r="GV216" s="470"/>
      <c r="GW216" s="470"/>
      <c r="GX216" s="470"/>
      <c r="GY216" s="470"/>
      <c r="GZ216" s="470"/>
      <c r="HA216" s="470"/>
      <c r="HB216" s="470"/>
      <c r="HC216" s="470"/>
      <c r="HD216" s="470"/>
      <c r="HE216" s="470"/>
      <c r="HF216" s="470"/>
      <c r="HG216" s="470"/>
      <c r="HH216" s="470"/>
      <c r="HI216" s="470"/>
      <c r="HJ216" s="470"/>
      <c r="HK216" s="470"/>
      <c r="HL216" s="470"/>
      <c r="HM216" s="470"/>
      <c r="HN216" s="470"/>
      <c r="HO216" s="470"/>
      <c r="HP216" s="470"/>
      <c r="HQ216" s="470"/>
      <c r="HR216" s="470"/>
      <c r="HS216" s="470"/>
      <c r="HT216" s="470"/>
      <c r="HU216" s="470"/>
      <c r="HV216" s="470"/>
      <c r="HW216" s="470"/>
      <c r="HX216" s="470"/>
      <c r="HY216" s="470"/>
      <c r="HZ216" s="470"/>
      <c r="IA216" s="470"/>
      <c r="IB216" s="470"/>
      <c r="IC216" s="470"/>
      <c r="ID216" s="470"/>
      <c r="IE216" s="470"/>
      <c r="IF216" s="470"/>
      <c r="IG216" s="470"/>
      <c r="IH216" s="470"/>
      <c r="II216" s="470"/>
      <c r="IJ216" s="470"/>
      <c r="IK216" s="470"/>
      <c r="IL216" s="470"/>
      <c r="IM216" s="470"/>
      <c r="IN216" s="470"/>
      <c r="IO216" s="470"/>
      <c r="IP216" s="470"/>
      <c r="IQ216" s="470"/>
    </row>
    <row r="217" spans="1:251" x14ac:dyDescent="0.2">
      <c r="A217" s="453" t="s">
        <v>10149</v>
      </c>
      <c r="B217" s="453" t="s">
        <v>10150</v>
      </c>
      <c r="C217" s="454" t="s">
        <v>386</v>
      </c>
      <c r="D217" s="455" t="s">
        <v>9783</v>
      </c>
      <c r="E217" s="456" t="s">
        <v>9716</v>
      </c>
      <c r="F217" s="456" t="s">
        <v>10146</v>
      </c>
      <c r="G217" s="456" t="s">
        <v>7180</v>
      </c>
      <c r="H217" s="457">
        <v>177.12</v>
      </c>
      <c r="I217" s="457">
        <f t="shared" si="15"/>
        <v>190.404</v>
      </c>
      <c r="J217" s="457" t="s">
        <v>9706</v>
      </c>
      <c r="K217" s="458">
        <v>0.3</v>
      </c>
      <c r="L217" s="459">
        <f t="shared" si="12"/>
        <v>123.98399999999999</v>
      </c>
      <c r="M217" s="460">
        <v>0.18</v>
      </c>
      <c r="N217" s="461">
        <f t="shared" si="13"/>
        <v>156.13128</v>
      </c>
      <c r="O217" s="462">
        <v>0.1</v>
      </c>
      <c r="P217" s="463">
        <f t="shared" si="14"/>
        <v>171.36359999999999</v>
      </c>
      <c r="Q217" s="464"/>
      <c r="R217" s="465">
        <v>20</v>
      </c>
      <c r="S217" s="465">
        <v>20</v>
      </c>
      <c r="T217" s="465">
        <v>20</v>
      </c>
      <c r="U217" s="466"/>
      <c r="V217" s="470"/>
      <c r="W217" s="470"/>
      <c r="X217" s="470"/>
      <c r="Y217" s="470"/>
      <c r="Z217" s="470"/>
      <c r="AA217" s="470"/>
      <c r="AB217" s="470"/>
      <c r="AC217" s="470"/>
      <c r="AD217" s="470"/>
      <c r="AE217" s="470"/>
      <c r="AF217" s="470"/>
      <c r="AG217" s="470"/>
      <c r="AH217" s="470"/>
      <c r="AI217" s="470"/>
      <c r="AJ217" s="470"/>
      <c r="AK217" s="470"/>
      <c r="AL217" s="470"/>
      <c r="AM217" s="470"/>
      <c r="AN217" s="470"/>
      <c r="AO217" s="470"/>
      <c r="AP217" s="470"/>
      <c r="AQ217" s="470"/>
      <c r="AR217" s="470"/>
      <c r="AS217" s="470"/>
      <c r="AT217" s="470"/>
      <c r="AU217" s="470"/>
      <c r="AV217" s="470"/>
      <c r="AW217" s="470"/>
      <c r="AX217" s="470"/>
      <c r="AY217" s="470"/>
      <c r="AZ217" s="470"/>
      <c r="BA217" s="470"/>
      <c r="BB217" s="470"/>
      <c r="BC217" s="470"/>
      <c r="BD217" s="470"/>
      <c r="BE217" s="470"/>
      <c r="BF217" s="470"/>
      <c r="BG217" s="470"/>
      <c r="BH217" s="470"/>
      <c r="BI217" s="470"/>
      <c r="BJ217" s="470"/>
      <c r="BK217" s="470"/>
      <c r="BL217" s="470"/>
      <c r="BM217" s="470"/>
      <c r="BN217" s="470"/>
      <c r="BO217" s="470"/>
      <c r="BP217" s="470"/>
      <c r="BQ217" s="470"/>
      <c r="BR217" s="470"/>
      <c r="BS217" s="470"/>
      <c r="BT217" s="470"/>
      <c r="BU217" s="470"/>
      <c r="BV217" s="470"/>
      <c r="BW217" s="470"/>
      <c r="BX217" s="470"/>
      <c r="BY217" s="470"/>
      <c r="BZ217" s="470"/>
      <c r="CA217" s="470"/>
      <c r="CB217" s="470"/>
      <c r="CC217" s="470"/>
      <c r="CD217" s="470"/>
      <c r="CE217" s="470"/>
      <c r="CF217" s="470"/>
      <c r="CG217" s="470"/>
      <c r="CH217" s="470"/>
      <c r="CI217" s="470"/>
      <c r="CJ217" s="470"/>
      <c r="CK217" s="470"/>
      <c r="CL217" s="470"/>
      <c r="CM217" s="470"/>
      <c r="CN217" s="470"/>
      <c r="CO217" s="470"/>
      <c r="CP217" s="470"/>
      <c r="CQ217" s="470"/>
      <c r="CR217" s="470"/>
      <c r="CS217" s="470"/>
      <c r="CT217" s="470"/>
      <c r="CU217" s="470"/>
      <c r="CV217" s="470"/>
      <c r="CW217" s="470"/>
      <c r="CX217" s="470"/>
      <c r="CY217" s="470"/>
      <c r="CZ217" s="470"/>
      <c r="DA217" s="470"/>
      <c r="DB217" s="470"/>
      <c r="DC217" s="470"/>
      <c r="DD217" s="470"/>
      <c r="DE217" s="470"/>
      <c r="DF217" s="470"/>
      <c r="DG217" s="470"/>
      <c r="DH217" s="470"/>
      <c r="DI217" s="470"/>
      <c r="DJ217" s="470"/>
      <c r="DK217" s="470"/>
      <c r="DL217" s="470"/>
      <c r="DM217" s="470"/>
      <c r="DN217" s="470"/>
      <c r="DO217" s="470"/>
      <c r="DP217" s="470"/>
      <c r="DQ217" s="470"/>
      <c r="DR217" s="470"/>
      <c r="DS217" s="470"/>
      <c r="DT217" s="470"/>
      <c r="DU217" s="470"/>
      <c r="DV217" s="470"/>
      <c r="DW217" s="470"/>
      <c r="DX217" s="470"/>
      <c r="DY217" s="470"/>
      <c r="DZ217" s="470"/>
      <c r="EA217" s="470"/>
      <c r="EB217" s="470"/>
      <c r="EC217" s="470"/>
      <c r="ED217" s="470"/>
      <c r="EE217" s="470"/>
      <c r="EF217" s="470"/>
      <c r="EG217" s="470"/>
      <c r="EH217" s="470"/>
      <c r="EI217" s="470"/>
      <c r="EJ217" s="470"/>
      <c r="EK217" s="470"/>
      <c r="EL217" s="470"/>
      <c r="EM217" s="470"/>
      <c r="EN217" s="470"/>
      <c r="EO217" s="470"/>
      <c r="EP217" s="470"/>
      <c r="EQ217" s="470"/>
      <c r="ER217" s="470"/>
      <c r="ES217" s="470"/>
      <c r="ET217" s="470"/>
      <c r="EU217" s="470"/>
      <c r="EV217" s="470"/>
      <c r="EW217" s="470"/>
      <c r="EX217" s="470"/>
      <c r="EY217" s="470"/>
      <c r="EZ217" s="470"/>
      <c r="FA217" s="470"/>
      <c r="FB217" s="470"/>
      <c r="FC217" s="470"/>
      <c r="FD217" s="470"/>
      <c r="FE217" s="470"/>
      <c r="FF217" s="470"/>
      <c r="FG217" s="470"/>
      <c r="FH217" s="470"/>
      <c r="FI217" s="470"/>
      <c r="FJ217" s="470"/>
      <c r="FK217" s="470"/>
      <c r="FL217" s="470"/>
      <c r="FM217" s="470"/>
      <c r="FN217" s="470"/>
      <c r="FO217" s="470"/>
      <c r="FP217" s="470"/>
      <c r="FQ217" s="470"/>
      <c r="FR217" s="470"/>
      <c r="FS217" s="470"/>
      <c r="FT217" s="470"/>
      <c r="FU217" s="470"/>
      <c r="FV217" s="470"/>
      <c r="FW217" s="470"/>
      <c r="FX217" s="470"/>
      <c r="FY217" s="470"/>
      <c r="FZ217" s="470"/>
      <c r="GA217" s="470"/>
      <c r="GB217" s="470"/>
      <c r="GC217" s="470"/>
      <c r="GD217" s="470"/>
      <c r="GE217" s="470"/>
      <c r="GF217" s="470"/>
      <c r="GG217" s="470"/>
      <c r="GH217" s="470"/>
      <c r="GI217" s="470"/>
      <c r="GJ217" s="470"/>
      <c r="GK217" s="470"/>
      <c r="GL217" s="470"/>
      <c r="GM217" s="470"/>
      <c r="GN217" s="470"/>
      <c r="GO217" s="470"/>
      <c r="GP217" s="470"/>
      <c r="GQ217" s="470"/>
      <c r="GR217" s="470"/>
      <c r="GS217" s="470"/>
      <c r="GT217" s="470"/>
      <c r="GU217" s="470"/>
      <c r="GV217" s="470"/>
      <c r="GW217" s="470"/>
      <c r="GX217" s="470"/>
      <c r="GY217" s="470"/>
      <c r="GZ217" s="470"/>
      <c r="HA217" s="470"/>
      <c r="HB217" s="470"/>
      <c r="HC217" s="470"/>
      <c r="HD217" s="470"/>
      <c r="HE217" s="470"/>
      <c r="HF217" s="470"/>
      <c r="HG217" s="470"/>
      <c r="HH217" s="470"/>
      <c r="HI217" s="470"/>
      <c r="HJ217" s="470"/>
      <c r="HK217" s="470"/>
      <c r="HL217" s="470"/>
      <c r="HM217" s="470"/>
      <c r="HN217" s="470"/>
      <c r="HO217" s="470"/>
      <c r="HP217" s="470"/>
      <c r="HQ217" s="470"/>
      <c r="HR217" s="470"/>
      <c r="HS217" s="470"/>
      <c r="HT217" s="470"/>
      <c r="HU217" s="470"/>
      <c r="HV217" s="470"/>
      <c r="HW217" s="470"/>
      <c r="HX217" s="470"/>
      <c r="HY217" s="470"/>
      <c r="HZ217" s="470"/>
      <c r="IA217" s="470"/>
      <c r="IB217" s="470"/>
      <c r="IC217" s="470"/>
      <c r="ID217" s="470"/>
      <c r="IE217" s="470"/>
      <c r="IF217" s="470"/>
      <c r="IG217" s="470"/>
      <c r="IH217" s="470"/>
      <c r="II217" s="470"/>
      <c r="IJ217" s="470"/>
      <c r="IK217" s="470"/>
      <c r="IL217" s="470"/>
      <c r="IM217" s="470"/>
      <c r="IN217" s="470"/>
      <c r="IO217" s="470"/>
      <c r="IP217" s="470"/>
      <c r="IQ217" s="470"/>
    </row>
    <row r="218" spans="1:251" x14ac:dyDescent="0.2">
      <c r="A218" s="453" t="s">
        <v>10151</v>
      </c>
      <c r="B218" s="453" t="s">
        <v>10152</v>
      </c>
      <c r="C218" s="454" t="s">
        <v>386</v>
      </c>
      <c r="D218" s="455" t="s">
        <v>9783</v>
      </c>
      <c r="E218" s="456" t="s">
        <v>9710</v>
      </c>
      <c r="F218" s="456" t="s">
        <v>10146</v>
      </c>
      <c r="G218" s="456" t="s">
        <v>7180</v>
      </c>
      <c r="H218" s="457">
        <v>166.32000000000002</v>
      </c>
      <c r="I218" s="457">
        <f t="shared" si="15"/>
        <v>178.79400000000001</v>
      </c>
      <c r="J218" s="457" t="s">
        <v>9706</v>
      </c>
      <c r="K218" s="458">
        <v>0.3</v>
      </c>
      <c r="L218" s="459">
        <f t="shared" si="12"/>
        <v>116.42400000000001</v>
      </c>
      <c r="M218" s="460">
        <v>0.18</v>
      </c>
      <c r="N218" s="461">
        <f t="shared" si="13"/>
        <v>146.61108000000002</v>
      </c>
      <c r="O218" s="462">
        <v>0.1</v>
      </c>
      <c r="P218" s="463">
        <f t="shared" si="14"/>
        <v>160.91460000000001</v>
      </c>
      <c r="Q218" s="464"/>
      <c r="R218" s="465">
        <v>20</v>
      </c>
      <c r="S218" s="465">
        <v>20</v>
      </c>
      <c r="T218" s="465">
        <v>20</v>
      </c>
      <c r="U218" s="466"/>
      <c r="V218" s="470"/>
      <c r="W218" s="470"/>
      <c r="X218" s="470"/>
      <c r="Y218" s="470"/>
      <c r="Z218" s="470"/>
      <c r="AA218" s="470"/>
      <c r="AB218" s="470"/>
      <c r="AC218" s="470"/>
      <c r="AD218" s="470"/>
      <c r="AE218" s="470"/>
      <c r="AF218" s="470"/>
      <c r="AG218" s="470"/>
      <c r="AH218" s="470"/>
      <c r="AI218" s="470"/>
      <c r="AJ218" s="470"/>
      <c r="AK218" s="470"/>
      <c r="AL218" s="470"/>
      <c r="AM218" s="470"/>
      <c r="AN218" s="470"/>
      <c r="AO218" s="470"/>
      <c r="AP218" s="470"/>
      <c r="AQ218" s="470"/>
      <c r="AR218" s="470"/>
      <c r="AS218" s="470"/>
      <c r="AT218" s="470"/>
      <c r="AU218" s="470"/>
      <c r="AV218" s="470"/>
      <c r="AW218" s="470"/>
      <c r="AX218" s="470"/>
      <c r="AY218" s="470"/>
      <c r="AZ218" s="470"/>
      <c r="BA218" s="470"/>
      <c r="BB218" s="470"/>
      <c r="BC218" s="470"/>
      <c r="BD218" s="470"/>
      <c r="BE218" s="470"/>
      <c r="BF218" s="470"/>
      <c r="BG218" s="470"/>
      <c r="BH218" s="470"/>
      <c r="BI218" s="470"/>
      <c r="BJ218" s="470"/>
      <c r="BK218" s="470"/>
      <c r="BL218" s="470"/>
      <c r="BM218" s="470"/>
      <c r="BN218" s="470"/>
      <c r="BO218" s="470"/>
      <c r="BP218" s="470"/>
      <c r="BQ218" s="470"/>
      <c r="BR218" s="470"/>
      <c r="BS218" s="470"/>
      <c r="BT218" s="470"/>
      <c r="BU218" s="470"/>
      <c r="BV218" s="470"/>
      <c r="BW218" s="470"/>
      <c r="BX218" s="470"/>
      <c r="BY218" s="470"/>
      <c r="BZ218" s="470"/>
      <c r="CA218" s="470"/>
      <c r="CB218" s="470"/>
      <c r="CC218" s="470"/>
      <c r="CD218" s="470"/>
      <c r="CE218" s="470"/>
      <c r="CF218" s="470"/>
      <c r="CG218" s="470"/>
      <c r="CH218" s="470"/>
      <c r="CI218" s="470"/>
      <c r="CJ218" s="470"/>
      <c r="CK218" s="470"/>
      <c r="CL218" s="470"/>
      <c r="CM218" s="470"/>
      <c r="CN218" s="470"/>
      <c r="CO218" s="470"/>
      <c r="CP218" s="470"/>
      <c r="CQ218" s="470"/>
      <c r="CR218" s="470"/>
      <c r="CS218" s="470"/>
      <c r="CT218" s="470"/>
      <c r="CU218" s="470"/>
      <c r="CV218" s="470"/>
      <c r="CW218" s="470"/>
      <c r="CX218" s="470"/>
      <c r="CY218" s="470"/>
      <c r="CZ218" s="470"/>
      <c r="DA218" s="470"/>
      <c r="DB218" s="470"/>
      <c r="DC218" s="470"/>
      <c r="DD218" s="470"/>
      <c r="DE218" s="470"/>
      <c r="DF218" s="470"/>
      <c r="DG218" s="470"/>
      <c r="DH218" s="470"/>
      <c r="DI218" s="470"/>
      <c r="DJ218" s="470"/>
      <c r="DK218" s="470"/>
      <c r="DL218" s="470"/>
      <c r="DM218" s="470"/>
      <c r="DN218" s="470"/>
      <c r="DO218" s="470"/>
      <c r="DP218" s="470"/>
      <c r="DQ218" s="470"/>
      <c r="DR218" s="470"/>
      <c r="DS218" s="470"/>
      <c r="DT218" s="470"/>
      <c r="DU218" s="470"/>
      <c r="DV218" s="470"/>
      <c r="DW218" s="470"/>
      <c r="DX218" s="470"/>
      <c r="DY218" s="470"/>
      <c r="DZ218" s="470"/>
      <c r="EA218" s="470"/>
      <c r="EB218" s="470"/>
      <c r="EC218" s="470"/>
      <c r="ED218" s="470"/>
      <c r="EE218" s="470"/>
      <c r="EF218" s="470"/>
      <c r="EG218" s="470"/>
      <c r="EH218" s="470"/>
      <c r="EI218" s="470"/>
      <c r="EJ218" s="470"/>
      <c r="EK218" s="470"/>
      <c r="EL218" s="470"/>
      <c r="EM218" s="470"/>
      <c r="EN218" s="470"/>
      <c r="EO218" s="470"/>
      <c r="EP218" s="470"/>
      <c r="EQ218" s="470"/>
      <c r="ER218" s="470"/>
      <c r="ES218" s="470"/>
      <c r="ET218" s="470"/>
      <c r="EU218" s="470"/>
      <c r="EV218" s="470"/>
      <c r="EW218" s="470"/>
      <c r="EX218" s="470"/>
      <c r="EY218" s="470"/>
      <c r="EZ218" s="470"/>
      <c r="FA218" s="470"/>
      <c r="FB218" s="470"/>
      <c r="FC218" s="470"/>
      <c r="FD218" s="470"/>
      <c r="FE218" s="470"/>
      <c r="FF218" s="470"/>
      <c r="FG218" s="470"/>
      <c r="FH218" s="470"/>
      <c r="FI218" s="470"/>
      <c r="FJ218" s="470"/>
      <c r="FK218" s="470"/>
      <c r="FL218" s="470"/>
      <c r="FM218" s="470"/>
      <c r="FN218" s="470"/>
      <c r="FO218" s="470"/>
      <c r="FP218" s="470"/>
      <c r="FQ218" s="470"/>
      <c r="FR218" s="470"/>
      <c r="FS218" s="470"/>
      <c r="FT218" s="470"/>
      <c r="FU218" s="470"/>
      <c r="FV218" s="470"/>
      <c r="FW218" s="470"/>
      <c r="FX218" s="470"/>
      <c r="FY218" s="470"/>
      <c r="FZ218" s="470"/>
      <c r="GA218" s="470"/>
      <c r="GB218" s="470"/>
      <c r="GC218" s="470"/>
      <c r="GD218" s="470"/>
      <c r="GE218" s="470"/>
      <c r="GF218" s="470"/>
      <c r="GG218" s="470"/>
      <c r="GH218" s="470"/>
      <c r="GI218" s="470"/>
      <c r="GJ218" s="470"/>
      <c r="GK218" s="470"/>
      <c r="GL218" s="470"/>
      <c r="GM218" s="470"/>
      <c r="GN218" s="470"/>
      <c r="GO218" s="470"/>
      <c r="GP218" s="470"/>
      <c r="GQ218" s="470"/>
      <c r="GR218" s="470"/>
      <c r="GS218" s="470"/>
      <c r="GT218" s="470"/>
      <c r="GU218" s="470"/>
      <c r="GV218" s="470"/>
      <c r="GW218" s="470"/>
      <c r="GX218" s="470"/>
      <c r="GY218" s="470"/>
      <c r="GZ218" s="470"/>
      <c r="HA218" s="470"/>
      <c r="HB218" s="470"/>
      <c r="HC218" s="470"/>
      <c r="HD218" s="470"/>
      <c r="HE218" s="470"/>
      <c r="HF218" s="470"/>
      <c r="HG218" s="470"/>
      <c r="HH218" s="470"/>
      <c r="HI218" s="470"/>
      <c r="HJ218" s="470"/>
      <c r="HK218" s="470"/>
      <c r="HL218" s="470"/>
      <c r="HM218" s="470"/>
      <c r="HN218" s="470"/>
      <c r="HO218" s="470"/>
      <c r="HP218" s="470"/>
      <c r="HQ218" s="470"/>
      <c r="HR218" s="470"/>
      <c r="HS218" s="470"/>
      <c r="HT218" s="470"/>
      <c r="HU218" s="470"/>
      <c r="HV218" s="470"/>
      <c r="HW218" s="470"/>
      <c r="HX218" s="470"/>
      <c r="HY218" s="470"/>
      <c r="HZ218" s="470"/>
      <c r="IA218" s="470"/>
      <c r="IB218" s="470"/>
      <c r="IC218" s="470"/>
      <c r="ID218" s="470"/>
      <c r="IE218" s="470"/>
      <c r="IF218" s="470"/>
      <c r="IG218" s="470"/>
      <c r="IH218" s="470"/>
      <c r="II218" s="470"/>
      <c r="IJ218" s="470"/>
      <c r="IK218" s="470"/>
      <c r="IL218" s="470"/>
      <c r="IM218" s="470"/>
      <c r="IN218" s="470"/>
      <c r="IO218" s="470"/>
      <c r="IP218" s="470"/>
      <c r="IQ218" s="470"/>
    </row>
    <row r="219" spans="1:251" x14ac:dyDescent="0.2">
      <c r="A219" s="453" t="s">
        <v>10153</v>
      </c>
      <c r="B219" s="453" t="s">
        <v>10154</v>
      </c>
      <c r="C219" s="454" t="s">
        <v>386</v>
      </c>
      <c r="D219" s="455" t="s">
        <v>9783</v>
      </c>
      <c r="E219" s="456" t="s">
        <v>9758</v>
      </c>
      <c r="F219" s="456" t="s">
        <v>10146</v>
      </c>
      <c r="G219" s="456" t="s">
        <v>7180</v>
      </c>
      <c r="H219" s="457">
        <v>166.32000000000002</v>
      </c>
      <c r="I219" s="457">
        <f t="shared" si="15"/>
        <v>178.79400000000001</v>
      </c>
      <c r="J219" s="457" t="s">
        <v>9706</v>
      </c>
      <c r="K219" s="458">
        <v>0.3</v>
      </c>
      <c r="L219" s="459">
        <f t="shared" si="12"/>
        <v>116.42400000000001</v>
      </c>
      <c r="M219" s="460">
        <v>0.18</v>
      </c>
      <c r="N219" s="461">
        <f t="shared" si="13"/>
        <v>146.61108000000002</v>
      </c>
      <c r="O219" s="462">
        <v>0.1</v>
      </c>
      <c r="P219" s="463">
        <f t="shared" si="14"/>
        <v>160.91460000000001</v>
      </c>
      <c r="Q219" s="464"/>
      <c r="R219" s="465">
        <v>20</v>
      </c>
      <c r="S219" s="465">
        <v>20</v>
      </c>
      <c r="T219" s="465">
        <v>20</v>
      </c>
      <c r="U219" s="466"/>
      <c r="V219" s="470"/>
      <c r="W219" s="470"/>
      <c r="X219" s="470"/>
      <c r="Y219" s="470"/>
      <c r="Z219" s="470"/>
      <c r="AA219" s="470"/>
      <c r="AB219" s="470"/>
      <c r="AC219" s="470"/>
      <c r="AD219" s="470"/>
      <c r="AE219" s="470"/>
      <c r="AF219" s="470"/>
      <c r="AG219" s="470"/>
      <c r="AH219" s="470"/>
      <c r="AI219" s="470"/>
      <c r="AJ219" s="470"/>
      <c r="AK219" s="470"/>
      <c r="AL219" s="470"/>
      <c r="AM219" s="470"/>
      <c r="AN219" s="470"/>
      <c r="AO219" s="470"/>
      <c r="AP219" s="470"/>
      <c r="AQ219" s="470"/>
      <c r="AR219" s="470"/>
      <c r="AS219" s="470"/>
      <c r="AT219" s="470"/>
      <c r="AU219" s="470"/>
      <c r="AV219" s="470"/>
      <c r="AW219" s="470"/>
      <c r="AX219" s="470"/>
      <c r="AY219" s="470"/>
      <c r="AZ219" s="470"/>
      <c r="BA219" s="470"/>
      <c r="BB219" s="470"/>
      <c r="BC219" s="470"/>
      <c r="BD219" s="470"/>
      <c r="BE219" s="470"/>
      <c r="BF219" s="470"/>
      <c r="BG219" s="470"/>
      <c r="BH219" s="470"/>
      <c r="BI219" s="470"/>
      <c r="BJ219" s="470"/>
      <c r="BK219" s="470"/>
      <c r="BL219" s="470"/>
      <c r="BM219" s="470"/>
      <c r="BN219" s="470"/>
      <c r="BO219" s="470"/>
      <c r="BP219" s="470"/>
      <c r="BQ219" s="470"/>
      <c r="BR219" s="470"/>
      <c r="BS219" s="470"/>
      <c r="BT219" s="470"/>
      <c r="BU219" s="470"/>
      <c r="BV219" s="470"/>
      <c r="BW219" s="470"/>
      <c r="BX219" s="470"/>
      <c r="BY219" s="470"/>
      <c r="BZ219" s="470"/>
      <c r="CA219" s="470"/>
      <c r="CB219" s="470"/>
      <c r="CC219" s="470"/>
      <c r="CD219" s="470"/>
      <c r="CE219" s="470"/>
      <c r="CF219" s="470"/>
      <c r="CG219" s="470"/>
      <c r="CH219" s="470"/>
      <c r="CI219" s="470"/>
      <c r="CJ219" s="470"/>
      <c r="CK219" s="470"/>
      <c r="CL219" s="470"/>
      <c r="CM219" s="470"/>
      <c r="CN219" s="470"/>
      <c r="CO219" s="470"/>
      <c r="CP219" s="470"/>
      <c r="CQ219" s="470"/>
      <c r="CR219" s="470"/>
      <c r="CS219" s="470"/>
      <c r="CT219" s="470"/>
      <c r="CU219" s="470"/>
      <c r="CV219" s="470"/>
      <c r="CW219" s="470"/>
      <c r="CX219" s="470"/>
      <c r="CY219" s="470"/>
      <c r="CZ219" s="470"/>
      <c r="DA219" s="470"/>
      <c r="DB219" s="470"/>
      <c r="DC219" s="470"/>
      <c r="DD219" s="470"/>
      <c r="DE219" s="470"/>
      <c r="DF219" s="470"/>
      <c r="DG219" s="470"/>
      <c r="DH219" s="470"/>
      <c r="DI219" s="470"/>
      <c r="DJ219" s="470"/>
      <c r="DK219" s="470"/>
      <c r="DL219" s="470"/>
      <c r="DM219" s="470"/>
      <c r="DN219" s="470"/>
      <c r="DO219" s="470"/>
      <c r="DP219" s="470"/>
      <c r="DQ219" s="470"/>
      <c r="DR219" s="470"/>
      <c r="DS219" s="470"/>
      <c r="DT219" s="470"/>
      <c r="DU219" s="470"/>
      <c r="DV219" s="470"/>
      <c r="DW219" s="470"/>
      <c r="DX219" s="470"/>
      <c r="DY219" s="470"/>
      <c r="DZ219" s="470"/>
      <c r="EA219" s="470"/>
      <c r="EB219" s="470"/>
      <c r="EC219" s="470"/>
      <c r="ED219" s="470"/>
      <c r="EE219" s="470"/>
      <c r="EF219" s="470"/>
      <c r="EG219" s="470"/>
      <c r="EH219" s="470"/>
      <c r="EI219" s="470"/>
      <c r="EJ219" s="470"/>
      <c r="EK219" s="470"/>
      <c r="EL219" s="470"/>
      <c r="EM219" s="470"/>
      <c r="EN219" s="470"/>
      <c r="EO219" s="470"/>
      <c r="EP219" s="470"/>
      <c r="EQ219" s="470"/>
      <c r="ER219" s="470"/>
      <c r="ES219" s="470"/>
      <c r="ET219" s="470"/>
      <c r="EU219" s="470"/>
      <c r="EV219" s="470"/>
      <c r="EW219" s="470"/>
      <c r="EX219" s="470"/>
      <c r="EY219" s="470"/>
      <c r="EZ219" s="470"/>
      <c r="FA219" s="470"/>
      <c r="FB219" s="470"/>
      <c r="FC219" s="470"/>
      <c r="FD219" s="470"/>
      <c r="FE219" s="470"/>
      <c r="FF219" s="470"/>
      <c r="FG219" s="470"/>
      <c r="FH219" s="470"/>
      <c r="FI219" s="470"/>
      <c r="FJ219" s="470"/>
      <c r="FK219" s="470"/>
      <c r="FL219" s="470"/>
      <c r="FM219" s="470"/>
      <c r="FN219" s="470"/>
      <c r="FO219" s="470"/>
      <c r="FP219" s="470"/>
      <c r="FQ219" s="470"/>
      <c r="FR219" s="470"/>
      <c r="FS219" s="470"/>
      <c r="FT219" s="470"/>
      <c r="FU219" s="470"/>
      <c r="FV219" s="470"/>
      <c r="FW219" s="470"/>
      <c r="FX219" s="470"/>
      <c r="FY219" s="470"/>
      <c r="FZ219" s="470"/>
      <c r="GA219" s="470"/>
      <c r="GB219" s="470"/>
      <c r="GC219" s="470"/>
      <c r="GD219" s="470"/>
      <c r="GE219" s="470"/>
      <c r="GF219" s="470"/>
      <c r="GG219" s="470"/>
      <c r="GH219" s="470"/>
      <c r="GI219" s="470"/>
      <c r="GJ219" s="470"/>
      <c r="GK219" s="470"/>
      <c r="GL219" s="470"/>
      <c r="GM219" s="470"/>
      <c r="GN219" s="470"/>
      <c r="GO219" s="470"/>
      <c r="GP219" s="470"/>
      <c r="GQ219" s="470"/>
      <c r="GR219" s="470"/>
      <c r="GS219" s="470"/>
      <c r="GT219" s="470"/>
      <c r="GU219" s="470"/>
      <c r="GV219" s="470"/>
      <c r="GW219" s="470"/>
      <c r="GX219" s="470"/>
      <c r="GY219" s="470"/>
      <c r="GZ219" s="470"/>
      <c r="HA219" s="470"/>
      <c r="HB219" s="470"/>
      <c r="HC219" s="470"/>
      <c r="HD219" s="470"/>
      <c r="HE219" s="470"/>
      <c r="HF219" s="470"/>
      <c r="HG219" s="470"/>
      <c r="HH219" s="470"/>
      <c r="HI219" s="470"/>
      <c r="HJ219" s="470"/>
      <c r="HK219" s="470"/>
      <c r="HL219" s="470"/>
      <c r="HM219" s="470"/>
      <c r="HN219" s="470"/>
      <c r="HO219" s="470"/>
      <c r="HP219" s="470"/>
      <c r="HQ219" s="470"/>
      <c r="HR219" s="470"/>
      <c r="HS219" s="470"/>
      <c r="HT219" s="470"/>
      <c r="HU219" s="470"/>
      <c r="HV219" s="470"/>
      <c r="HW219" s="470"/>
      <c r="HX219" s="470"/>
      <c r="HY219" s="470"/>
      <c r="HZ219" s="470"/>
      <c r="IA219" s="470"/>
      <c r="IB219" s="470"/>
      <c r="IC219" s="470"/>
      <c r="ID219" s="470"/>
      <c r="IE219" s="470"/>
      <c r="IF219" s="470"/>
      <c r="IG219" s="470"/>
      <c r="IH219" s="470"/>
      <c r="II219" s="470"/>
      <c r="IJ219" s="470"/>
      <c r="IK219" s="470"/>
      <c r="IL219" s="470"/>
      <c r="IM219" s="470"/>
      <c r="IN219" s="470"/>
      <c r="IO219" s="470"/>
      <c r="IP219" s="470"/>
      <c r="IQ219" s="470"/>
    </row>
    <row r="220" spans="1:251" x14ac:dyDescent="0.2">
      <c r="A220" s="453" t="s">
        <v>10155</v>
      </c>
      <c r="B220" s="453" t="s">
        <v>10156</v>
      </c>
      <c r="C220" s="454" t="s">
        <v>386</v>
      </c>
      <c r="D220" s="455" t="s">
        <v>9783</v>
      </c>
      <c r="E220" s="456" t="s">
        <v>9710</v>
      </c>
      <c r="F220" s="456" t="s">
        <v>10146</v>
      </c>
      <c r="G220" s="456" t="s">
        <v>7180</v>
      </c>
      <c r="H220" s="457">
        <v>166.32000000000002</v>
      </c>
      <c r="I220" s="457">
        <f t="shared" si="15"/>
        <v>178.79400000000001</v>
      </c>
      <c r="J220" s="457" t="s">
        <v>9706</v>
      </c>
      <c r="K220" s="458">
        <v>0.3</v>
      </c>
      <c r="L220" s="459">
        <f t="shared" si="12"/>
        <v>116.42400000000001</v>
      </c>
      <c r="M220" s="460">
        <v>0.18</v>
      </c>
      <c r="N220" s="461">
        <f t="shared" si="13"/>
        <v>146.61108000000002</v>
      </c>
      <c r="O220" s="462">
        <v>0.1</v>
      </c>
      <c r="P220" s="463">
        <f t="shared" si="14"/>
        <v>160.91460000000001</v>
      </c>
      <c r="Q220" s="464"/>
      <c r="R220" s="465">
        <v>20</v>
      </c>
      <c r="S220" s="465">
        <v>20</v>
      </c>
      <c r="T220" s="465">
        <v>20</v>
      </c>
      <c r="U220" s="466"/>
      <c r="V220" s="470"/>
      <c r="W220" s="470"/>
      <c r="X220" s="470"/>
      <c r="Y220" s="470"/>
      <c r="Z220" s="470"/>
      <c r="AA220" s="470"/>
      <c r="AB220" s="470"/>
      <c r="AC220" s="470"/>
      <c r="AD220" s="470"/>
      <c r="AE220" s="470"/>
      <c r="AF220" s="470"/>
      <c r="AG220" s="470"/>
      <c r="AH220" s="470"/>
      <c r="AI220" s="470"/>
      <c r="AJ220" s="470"/>
      <c r="AK220" s="470"/>
      <c r="AL220" s="470"/>
      <c r="AM220" s="470"/>
      <c r="AN220" s="470"/>
      <c r="AO220" s="470"/>
      <c r="AP220" s="470"/>
      <c r="AQ220" s="470"/>
      <c r="AR220" s="470"/>
      <c r="AS220" s="470"/>
      <c r="AT220" s="470"/>
      <c r="AU220" s="470"/>
      <c r="AV220" s="470"/>
      <c r="AW220" s="470"/>
      <c r="AX220" s="470"/>
      <c r="AY220" s="470"/>
      <c r="AZ220" s="470"/>
      <c r="BA220" s="470"/>
      <c r="BB220" s="470"/>
      <c r="BC220" s="470"/>
      <c r="BD220" s="470"/>
      <c r="BE220" s="470"/>
      <c r="BF220" s="470"/>
      <c r="BG220" s="470"/>
      <c r="BH220" s="470"/>
      <c r="BI220" s="470"/>
      <c r="BJ220" s="470"/>
      <c r="BK220" s="470"/>
      <c r="BL220" s="470"/>
      <c r="BM220" s="470"/>
      <c r="BN220" s="470"/>
      <c r="BO220" s="470"/>
      <c r="BP220" s="470"/>
      <c r="BQ220" s="470"/>
      <c r="BR220" s="470"/>
      <c r="BS220" s="470"/>
      <c r="BT220" s="470"/>
      <c r="BU220" s="470"/>
      <c r="BV220" s="470"/>
      <c r="BW220" s="470"/>
      <c r="BX220" s="470"/>
      <c r="BY220" s="470"/>
      <c r="BZ220" s="470"/>
      <c r="CA220" s="470"/>
      <c r="CB220" s="470"/>
      <c r="CC220" s="470"/>
      <c r="CD220" s="470"/>
      <c r="CE220" s="470"/>
      <c r="CF220" s="470"/>
      <c r="CG220" s="470"/>
      <c r="CH220" s="470"/>
      <c r="CI220" s="470"/>
      <c r="CJ220" s="470"/>
      <c r="CK220" s="470"/>
      <c r="CL220" s="470"/>
      <c r="CM220" s="470"/>
      <c r="CN220" s="470"/>
      <c r="CO220" s="470"/>
      <c r="CP220" s="470"/>
      <c r="CQ220" s="470"/>
      <c r="CR220" s="470"/>
      <c r="CS220" s="470"/>
      <c r="CT220" s="470"/>
      <c r="CU220" s="470"/>
      <c r="CV220" s="470"/>
      <c r="CW220" s="470"/>
      <c r="CX220" s="470"/>
      <c r="CY220" s="470"/>
      <c r="CZ220" s="470"/>
      <c r="DA220" s="470"/>
      <c r="DB220" s="470"/>
      <c r="DC220" s="470"/>
      <c r="DD220" s="470"/>
      <c r="DE220" s="470"/>
      <c r="DF220" s="470"/>
      <c r="DG220" s="470"/>
      <c r="DH220" s="470"/>
      <c r="DI220" s="470"/>
      <c r="DJ220" s="470"/>
      <c r="DK220" s="470"/>
      <c r="DL220" s="470"/>
      <c r="DM220" s="470"/>
      <c r="DN220" s="470"/>
      <c r="DO220" s="470"/>
      <c r="DP220" s="470"/>
      <c r="DQ220" s="470"/>
      <c r="DR220" s="470"/>
      <c r="DS220" s="470"/>
      <c r="DT220" s="470"/>
      <c r="DU220" s="470"/>
      <c r="DV220" s="470"/>
      <c r="DW220" s="470"/>
      <c r="DX220" s="470"/>
      <c r="DY220" s="470"/>
      <c r="DZ220" s="470"/>
      <c r="EA220" s="470"/>
      <c r="EB220" s="470"/>
      <c r="EC220" s="470"/>
      <c r="ED220" s="470"/>
      <c r="EE220" s="470"/>
      <c r="EF220" s="470"/>
      <c r="EG220" s="470"/>
      <c r="EH220" s="470"/>
      <c r="EI220" s="470"/>
      <c r="EJ220" s="470"/>
      <c r="EK220" s="470"/>
      <c r="EL220" s="470"/>
      <c r="EM220" s="470"/>
      <c r="EN220" s="470"/>
      <c r="EO220" s="470"/>
      <c r="EP220" s="470"/>
      <c r="EQ220" s="470"/>
      <c r="ER220" s="470"/>
      <c r="ES220" s="470"/>
      <c r="ET220" s="470"/>
      <c r="EU220" s="470"/>
      <c r="EV220" s="470"/>
      <c r="EW220" s="470"/>
      <c r="EX220" s="470"/>
      <c r="EY220" s="470"/>
      <c r="EZ220" s="470"/>
      <c r="FA220" s="470"/>
      <c r="FB220" s="470"/>
      <c r="FC220" s="470"/>
      <c r="FD220" s="470"/>
      <c r="FE220" s="470"/>
      <c r="FF220" s="470"/>
      <c r="FG220" s="470"/>
      <c r="FH220" s="470"/>
      <c r="FI220" s="470"/>
      <c r="FJ220" s="470"/>
      <c r="FK220" s="470"/>
      <c r="FL220" s="470"/>
      <c r="FM220" s="470"/>
      <c r="FN220" s="470"/>
      <c r="FO220" s="470"/>
      <c r="FP220" s="470"/>
      <c r="FQ220" s="470"/>
      <c r="FR220" s="470"/>
      <c r="FS220" s="470"/>
      <c r="FT220" s="470"/>
      <c r="FU220" s="470"/>
      <c r="FV220" s="470"/>
      <c r="FW220" s="470"/>
      <c r="FX220" s="470"/>
      <c r="FY220" s="470"/>
      <c r="FZ220" s="470"/>
      <c r="GA220" s="470"/>
      <c r="GB220" s="470"/>
      <c r="GC220" s="470"/>
      <c r="GD220" s="470"/>
      <c r="GE220" s="470"/>
      <c r="GF220" s="470"/>
      <c r="GG220" s="470"/>
      <c r="GH220" s="470"/>
      <c r="GI220" s="470"/>
      <c r="GJ220" s="470"/>
      <c r="GK220" s="470"/>
      <c r="GL220" s="470"/>
      <c r="GM220" s="470"/>
      <c r="GN220" s="470"/>
      <c r="GO220" s="470"/>
      <c r="GP220" s="470"/>
      <c r="GQ220" s="470"/>
      <c r="GR220" s="470"/>
      <c r="GS220" s="470"/>
      <c r="GT220" s="470"/>
      <c r="GU220" s="470"/>
      <c r="GV220" s="470"/>
      <c r="GW220" s="470"/>
      <c r="GX220" s="470"/>
      <c r="GY220" s="470"/>
      <c r="GZ220" s="470"/>
      <c r="HA220" s="470"/>
      <c r="HB220" s="470"/>
      <c r="HC220" s="470"/>
      <c r="HD220" s="470"/>
      <c r="HE220" s="470"/>
      <c r="HF220" s="470"/>
      <c r="HG220" s="470"/>
      <c r="HH220" s="470"/>
      <c r="HI220" s="470"/>
      <c r="HJ220" s="470"/>
      <c r="HK220" s="470"/>
      <c r="HL220" s="470"/>
      <c r="HM220" s="470"/>
      <c r="HN220" s="470"/>
      <c r="HO220" s="470"/>
      <c r="HP220" s="470"/>
      <c r="HQ220" s="470"/>
      <c r="HR220" s="470"/>
      <c r="HS220" s="470"/>
      <c r="HT220" s="470"/>
      <c r="HU220" s="470"/>
      <c r="HV220" s="470"/>
      <c r="HW220" s="470"/>
      <c r="HX220" s="470"/>
      <c r="HY220" s="470"/>
      <c r="HZ220" s="470"/>
      <c r="IA220" s="470"/>
      <c r="IB220" s="470"/>
      <c r="IC220" s="470"/>
      <c r="ID220" s="470"/>
      <c r="IE220" s="470"/>
      <c r="IF220" s="470"/>
      <c r="IG220" s="470"/>
      <c r="IH220" s="470"/>
      <c r="II220" s="470"/>
      <c r="IJ220" s="470"/>
      <c r="IK220" s="470"/>
      <c r="IL220" s="470"/>
      <c r="IM220" s="470"/>
      <c r="IN220" s="470"/>
      <c r="IO220" s="470"/>
      <c r="IP220" s="470"/>
      <c r="IQ220" s="470"/>
    </row>
    <row r="221" spans="1:251" x14ac:dyDescent="0.2">
      <c r="A221" s="453" t="s">
        <v>10157</v>
      </c>
      <c r="B221" s="453" t="s">
        <v>10158</v>
      </c>
      <c r="C221" s="454" t="s">
        <v>386</v>
      </c>
      <c r="D221" s="455" t="s">
        <v>9783</v>
      </c>
      <c r="E221" s="456" t="s">
        <v>9758</v>
      </c>
      <c r="F221" s="456" t="s">
        <v>10146</v>
      </c>
      <c r="G221" s="456" t="s">
        <v>7180</v>
      </c>
      <c r="H221" s="457">
        <v>166.32000000000002</v>
      </c>
      <c r="I221" s="457">
        <f t="shared" si="15"/>
        <v>178.79400000000001</v>
      </c>
      <c r="J221" s="457" t="s">
        <v>9706</v>
      </c>
      <c r="K221" s="458">
        <v>0.3</v>
      </c>
      <c r="L221" s="459">
        <f t="shared" si="12"/>
        <v>116.42400000000001</v>
      </c>
      <c r="M221" s="460">
        <v>0.18</v>
      </c>
      <c r="N221" s="461">
        <f t="shared" si="13"/>
        <v>146.61108000000002</v>
      </c>
      <c r="O221" s="462">
        <v>0.1</v>
      </c>
      <c r="P221" s="463">
        <f t="shared" si="14"/>
        <v>160.91460000000001</v>
      </c>
      <c r="Q221" s="464"/>
      <c r="R221" s="465">
        <v>20</v>
      </c>
      <c r="S221" s="465">
        <v>20</v>
      </c>
      <c r="T221" s="465">
        <v>20</v>
      </c>
      <c r="U221" s="466"/>
      <c r="V221" s="470"/>
      <c r="W221" s="470"/>
      <c r="X221" s="470"/>
      <c r="Y221" s="470"/>
      <c r="Z221" s="470"/>
      <c r="AA221" s="470"/>
      <c r="AB221" s="470"/>
      <c r="AC221" s="470"/>
      <c r="AD221" s="470"/>
      <c r="AE221" s="470"/>
      <c r="AF221" s="470"/>
      <c r="AG221" s="470"/>
      <c r="AH221" s="470"/>
      <c r="AI221" s="470"/>
      <c r="AJ221" s="470"/>
      <c r="AK221" s="470"/>
      <c r="AL221" s="470"/>
      <c r="AM221" s="470"/>
      <c r="AN221" s="470"/>
      <c r="AO221" s="470"/>
      <c r="AP221" s="470"/>
      <c r="AQ221" s="470"/>
      <c r="AR221" s="470"/>
      <c r="AS221" s="470"/>
      <c r="AT221" s="470"/>
      <c r="AU221" s="470"/>
      <c r="AV221" s="470"/>
      <c r="AW221" s="470"/>
      <c r="AX221" s="470"/>
      <c r="AY221" s="470"/>
      <c r="AZ221" s="470"/>
      <c r="BA221" s="470"/>
      <c r="BB221" s="470"/>
      <c r="BC221" s="470"/>
      <c r="BD221" s="470"/>
      <c r="BE221" s="470"/>
      <c r="BF221" s="470"/>
      <c r="BG221" s="470"/>
      <c r="BH221" s="470"/>
      <c r="BI221" s="470"/>
      <c r="BJ221" s="470"/>
      <c r="BK221" s="470"/>
      <c r="BL221" s="470"/>
      <c r="BM221" s="470"/>
      <c r="BN221" s="470"/>
      <c r="BO221" s="470"/>
      <c r="BP221" s="470"/>
      <c r="BQ221" s="470"/>
      <c r="BR221" s="470"/>
      <c r="BS221" s="470"/>
      <c r="BT221" s="470"/>
      <c r="BU221" s="470"/>
      <c r="BV221" s="470"/>
      <c r="BW221" s="470"/>
      <c r="BX221" s="470"/>
      <c r="BY221" s="470"/>
      <c r="BZ221" s="470"/>
      <c r="CA221" s="470"/>
      <c r="CB221" s="470"/>
      <c r="CC221" s="470"/>
      <c r="CD221" s="470"/>
      <c r="CE221" s="470"/>
      <c r="CF221" s="470"/>
      <c r="CG221" s="470"/>
      <c r="CH221" s="470"/>
      <c r="CI221" s="470"/>
      <c r="CJ221" s="470"/>
      <c r="CK221" s="470"/>
      <c r="CL221" s="470"/>
      <c r="CM221" s="470"/>
      <c r="CN221" s="470"/>
      <c r="CO221" s="470"/>
      <c r="CP221" s="470"/>
      <c r="CQ221" s="470"/>
      <c r="CR221" s="470"/>
      <c r="CS221" s="470"/>
      <c r="CT221" s="470"/>
      <c r="CU221" s="470"/>
      <c r="CV221" s="470"/>
      <c r="CW221" s="470"/>
      <c r="CX221" s="470"/>
      <c r="CY221" s="470"/>
      <c r="CZ221" s="470"/>
      <c r="DA221" s="470"/>
      <c r="DB221" s="470"/>
      <c r="DC221" s="470"/>
      <c r="DD221" s="470"/>
      <c r="DE221" s="470"/>
      <c r="DF221" s="470"/>
      <c r="DG221" s="470"/>
      <c r="DH221" s="470"/>
      <c r="DI221" s="470"/>
      <c r="DJ221" s="470"/>
      <c r="DK221" s="470"/>
      <c r="DL221" s="470"/>
      <c r="DM221" s="470"/>
      <c r="DN221" s="470"/>
      <c r="DO221" s="470"/>
      <c r="DP221" s="470"/>
      <c r="DQ221" s="470"/>
      <c r="DR221" s="470"/>
      <c r="DS221" s="470"/>
      <c r="DT221" s="470"/>
      <c r="DU221" s="470"/>
      <c r="DV221" s="470"/>
      <c r="DW221" s="470"/>
      <c r="DX221" s="470"/>
      <c r="DY221" s="470"/>
      <c r="DZ221" s="470"/>
      <c r="EA221" s="470"/>
      <c r="EB221" s="470"/>
      <c r="EC221" s="470"/>
      <c r="ED221" s="470"/>
      <c r="EE221" s="470"/>
      <c r="EF221" s="470"/>
      <c r="EG221" s="470"/>
      <c r="EH221" s="470"/>
      <c r="EI221" s="470"/>
      <c r="EJ221" s="470"/>
      <c r="EK221" s="470"/>
      <c r="EL221" s="470"/>
      <c r="EM221" s="470"/>
      <c r="EN221" s="470"/>
      <c r="EO221" s="470"/>
      <c r="EP221" s="470"/>
      <c r="EQ221" s="470"/>
      <c r="ER221" s="470"/>
      <c r="ES221" s="470"/>
      <c r="ET221" s="470"/>
      <c r="EU221" s="470"/>
      <c r="EV221" s="470"/>
      <c r="EW221" s="470"/>
      <c r="EX221" s="470"/>
      <c r="EY221" s="470"/>
      <c r="EZ221" s="470"/>
      <c r="FA221" s="470"/>
      <c r="FB221" s="470"/>
      <c r="FC221" s="470"/>
      <c r="FD221" s="470"/>
      <c r="FE221" s="470"/>
      <c r="FF221" s="470"/>
      <c r="FG221" s="470"/>
      <c r="FH221" s="470"/>
      <c r="FI221" s="470"/>
      <c r="FJ221" s="470"/>
      <c r="FK221" s="470"/>
      <c r="FL221" s="470"/>
      <c r="FM221" s="470"/>
      <c r="FN221" s="470"/>
      <c r="FO221" s="470"/>
      <c r="FP221" s="470"/>
      <c r="FQ221" s="470"/>
      <c r="FR221" s="470"/>
      <c r="FS221" s="470"/>
      <c r="FT221" s="470"/>
      <c r="FU221" s="470"/>
      <c r="FV221" s="470"/>
      <c r="FW221" s="470"/>
      <c r="FX221" s="470"/>
      <c r="FY221" s="470"/>
      <c r="FZ221" s="470"/>
      <c r="GA221" s="470"/>
      <c r="GB221" s="470"/>
      <c r="GC221" s="470"/>
      <c r="GD221" s="470"/>
      <c r="GE221" s="470"/>
      <c r="GF221" s="470"/>
      <c r="GG221" s="470"/>
      <c r="GH221" s="470"/>
      <c r="GI221" s="470"/>
      <c r="GJ221" s="470"/>
      <c r="GK221" s="470"/>
      <c r="GL221" s="470"/>
      <c r="GM221" s="470"/>
      <c r="GN221" s="470"/>
      <c r="GO221" s="470"/>
      <c r="GP221" s="470"/>
      <c r="GQ221" s="470"/>
      <c r="GR221" s="470"/>
      <c r="GS221" s="470"/>
      <c r="GT221" s="470"/>
      <c r="GU221" s="470"/>
      <c r="GV221" s="470"/>
      <c r="GW221" s="470"/>
      <c r="GX221" s="470"/>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70"/>
      <c r="IF221" s="470"/>
      <c r="IG221" s="470"/>
      <c r="IH221" s="470"/>
      <c r="II221" s="470"/>
      <c r="IJ221" s="470"/>
      <c r="IK221" s="470"/>
      <c r="IL221" s="470"/>
      <c r="IM221" s="470"/>
      <c r="IN221" s="470"/>
      <c r="IO221" s="470"/>
      <c r="IP221" s="470"/>
      <c r="IQ221" s="470"/>
    </row>
    <row r="222" spans="1:251" x14ac:dyDescent="0.2">
      <c r="A222" s="453" t="s">
        <v>10159</v>
      </c>
      <c r="B222" s="453" t="s">
        <v>10160</v>
      </c>
      <c r="C222" s="454" t="s">
        <v>386</v>
      </c>
      <c r="D222" s="455" t="s">
        <v>9783</v>
      </c>
      <c r="E222" s="456" t="s">
        <v>9710</v>
      </c>
      <c r="F222" s="456" t="s">
        <v>10146</v>
      </c>
      <c r="G222" s="456" t="s">
        <v>7180</v>
      </c>
      <c r="H222" s="457">
        <v>166.32000000000002</v>
      </c>
      <c r="I222" s="457">
        <f t="shared" si="15"/>
        <v>178.79400000000001</v>
      </c>
      <c r="J222" s="457" t="s">
        <v>9706</v>
      </c>
      <c r="K222" s="458">
        <v>0.3</v>
      </c>
      <c r="L222" s="459">
        <f t="shared" si="12"/>
        <v>116.42400000000001</v>
      </c>
      <c r="M222" s="460">
        <v>0.18</v>
      </c>
      <c r="N222" s="461">
        <f t="shared" si="13"/>
        <v>146.61108000000002</v>
      </c>
      <c r="O222" s="462">
        <v>0.1</v>
      </c>
      <c r="P222" s="463">
        <f t="shared" si="14"/>
        <v>160.91460000000001</v>
      </c>
      <c r="Q222" s="464"/>
      <c r="R222" s="465">
        <v>20</v>
      </c>
      <c r="S222" s="465">
        <v>20</v>
      </c>
      <c r="T222" s="465">
        <v>20</v>
      </c>
      <c r="U222" s="466"/>
      <c r="V222" s="470"/>
      <c r="W222" s="470"/>
      <c r="X222" s="470"/>
      <c r="Y222" s="470"/>
      <c r="Z222" s="470"/>
      <c r="AA222" s="470"/>
      <c r="AB222" s="470"/>
      <c r="AC222" s="470"/>
      <c r="AD222" s="470"/>
      <c r="AE222" s="470"/>
      <c r="AF222" s="470"/>
      <c r="AG222" s="470"/>
      <c r="AH222" s="470"/>
      <c r="AI222" s="470"/>
      <c r="AJ222" s="470"/>
      <c r="AK222" s="470"/>
      <c r="AL222" s="470"/>
      <c r="AM222" s="470"/>
      <c r="AN222" s="470"/>
      <c r="AO222" s="470"/>
      <c r="AP222" s="470"/>
      <c r="AQ222" s="470"/>
      <c r="AR222" s="470"/>
      <c r="AS222" s="470"/>
      <c r="AT222" s="470"/>
      <c r="AU222" s="470"/>
      <c r="AV222" s="470"/>
      <c r="AW222" s="470"/>
      <c r="AX222" s="470"/>
      <c r="AY222" s="470"/>
      <c r="AZ222" s="470"/>
      <c r="BA222" s="470"/>
      <c r="BB222" s="470"/>
      <c r="BC222" s="470"/>
      <c r="BD222" s="470"/>
      <c r="BE222" s="470"/>
      <c r="BF222" s="470"/>
      <c r="BG222" s="470"/>
      <c r="BH222" s="470"/>
      <c r="BI222" s="470"/>
      <c r="BJ222" s="470"/>
      <c r="BK222" s="470"/>
      <c r="BL222" s="470"/>
      <c r="BM222" s="470"/>
      <c r="BN222" s="470"/>
      <c r="BO222" s="470"/>
      <c r="BP222" s="470"/>
      <c r="BQ222" s="470"/>
      <c r="BR222" s="470"/>
      <c r="BS222" s="470"/>
      <c r="BT222" s="470"/>
      <c r="BU222" s="470"/>
      <c r="BV222" s="470"/>
      <c r="BW222" s="470"/>
      <c r="BX222" s="470"/>
      <c r="BY222" s="470"/>
      <c r="BZ222" s="470"/>
      <c r="CA222" s="470"/>
      <c r="CB222" s="470"/>
      <c r="CC222" s="470"/>
      <c r="CD222" s="470"/>
      <c r="CE222" s="470"/>
      <c r="CF222" s="470"/>
      <c r="CG222" s="470"/>
      <c r="CH222" s="470"/>
      <c r="CI222" s="470"/>
      <c r="CJ222" s="470"/>
      <c r="CK222" s="470"/>
      <c r="CL222" s="470"/>
      <c r="CM222" s="470"/>
      <c r="CN222" s="470"/>
      <c r="CO222" s="470"/>
      <c r="CP222" s="470"/>
      <c r="CQ222" s="470"/>
      <c r="CR222" s="470"/>
      <c r="CS222" s="470"/>
      <c r="CT222" s="470"/>
      <c r="CU222" s="470"/>
      <c r="CV222" s="470"/>
      <c r="CW222" s="470"/>
      <c r="CX222" s="470"/>
      <c r="CY222" s="470"/>
      <c r="CZ222" s="470"/>
      <c r="DA222" s="470"/>
      <c r="DB222" s="470"/>
      <c r="DC222" s="470"/>
      <c r="DD222" s="470"/>
      <c r="DE222" s="470"/>
      <c r="DF222" s="470"/>
      <c r="DG222" s="470"/>
      <c r="DH222" s="470"/>
      <c r="DI222" s="470"/>
      <c r="DJ222" s="470"/>
      <c r="DK222" s="470"/>
      <c r="DL222" s="470"/>
      <c r="DM222" s="470"/>
      <c r="DN222" s="470"/>
      <c r="DO222" s="470"/>
      <c r="DP222" s="470"/>
      <c r="DQ222" s="470"/>
      <c r="DR222" s="470"/>
      <c r="DS222" s="470"/>
      <c r="DT222" s="470"/>
      <c r="DU222" s="470"/>
      <c r="DV222" s="470"/>
      <c r="DW222" s="470"/>
      <c r="DX222" s="470"/>
      <c r="DY222" s="470"/>
      <c r="DZ222" s="470"/>
      <c r="EA222" s="470"/>
      <c r="EB222" s="470"/>
      <c r="EC222" s="470"/>
      <c r="ED222" s="470"/>
      <c r="EE222" s="470"/>
      <c r="EF222" s="470"/>
      <c r="EG222" s="470"/>
      <c r="EH222" s="470"/>
      <c r="EI222" s="470"/>
      <c r="EJ222" s="470"/>
      <c r="EK222" s="470"/>
      <c r="EL222" s="470"/>
      <c r="EM222" s="470"/>
      <c r="EN222" s="470"/>
      <c r="EO222" s="470"/>
      <c r="EP222" s="470"/>
      <c r="EQ222" s="470"/>
      <c r="ER222" s="470"/>
      <c r="ES222" s="470"/>
      <c r="ET222" s="470"/>
      <c r="EU222" s="470"/>
      <c r="EV222" s="470"/>
      <c r="EW222" s="470"/>
      <c r="EX222" s="470"/>
      <c r="EY222" s="470"/>
      <c r="EZ222" s="470"/>
      <c r="FA222" s="470"/>
      <c r="FB222" s="470"/>
      <c r="FC222" s="470"/>
      <c r="FD222" s="470"/>
      <c r="FE222" s="470"/>
      <c r="FF222" s="470"/>
      <c r="FG222" s="470"/>
      <c r="FH222" s="470"/>
      <c r="FI222" s="470"/>
      <c r="FJ222" s="470"/>
      <c r="FK222" s="470"/>
      <c r="FL222" s="470"/>
      <c r="FM222" s="470"/>
      <c r="FN222" s="470"/>
      <c r="FO222" s="470"/>
      <c r="FP222" s="470"/>
      <c r="FQ222" s="470"/>
      <c r="FR222" s="470"/>
      <c r="FS222" s="470"/>
      <c r="FT222" s="470"/>
      <c r="FU222" s="470"/>
      <c r="FV222" s="470"/>
      <c r="FW222" s="470"/>
      <c r="FX222" s="470"/>
      <c r="FY222" s="470"/>
      <c r="FZ222" s="470"/>
      <c r="GA222" s="470"/>
      <c r="GB222" s="470"/>
      <c r="GC222" s="470"/>
      <c r="GD222" s="470"/>
      <c r="GE222" s="470"/>
      <c r="GF222" s="470"/>
      <c r="GG222" s="470"/>
      <c r="GH222" s="470"/>
      <c r="GI222" s="470"/>
      <c r="GJ222" s="470"/>
      <c r="GK222" s="470"/>
      <c r="GL222" s="470"/>
      <c r="GM222" s="470"/>
      <c r="GN222" s="470"/>
      <c r="GO222" s="470"/>
      <c r="GP222" s="470"/>
      <c r="GQ222" s="470"/>
      <c r="GR222" s="470"/>
      <c r="GS222" s="470"/>
      <c r="GT222" s="470"/>
      <c r="GU222" s="470"/>
      <c r="GV222" s="470"/>
      <c r="GW222" s="470"/>
      <c r="GX222" s="470"/>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70"/>
      <c r="IF222" s="470"/>
      <c r="IG222" s="470"/>
      <c r="IH222" s="470"/>
      <c r="II222" s="470"/>
      <c r="IJ222" s="470"/>
      <c r="IK222" s="470"/>
      <c r="IL222" s="470"/>
      <c r="IM222" s="470"/>
      <c r="IN222" s="470"/>
      <c r="IO222" s="470"/>
      <c r="IP222" s="470"/>
      <c r="IQ222" s="470"/>
    </row>
    <row r="223" spans="1:251" x14ac:dyDescent="0.2">
      <c r="A223" s="453" t="s">
        <v>10161</v>
      </c>
      <c r="B223" s="453" t="s">
        <v>10162</v>
      </c>
      <c r="C223" s="454" t="s">
        <v>386</v>
      </c>
      <c r="D223" s="455" t="s">
        <v>9783</v>
      </c>
      <c r="E223" s="456" t="s">
        <v>9710</v>
      </c>
      <c r="F223" s="456" t="s">
        <v>10146</v>
      </c>
      <c r="G223" s="456" t="s">
        <v>7180</v>
      </c>
      <c r="H223" s="457">
        <v>166.32000000000002</v>
      </c>
      <c r="I223" s="457">
        <f t="shared" si="15"/>
        <v>178.79400000000001</v>
      </c>
      <c r="J223" s="457" t="s">
        <v>9706</v>
      </c>
      <c r="K223" s="458">
        <v>0.3</v>
      </c>
      <c r="L223" s="459">
        <f t="shared" si="12"/>
        <v>116.42400000000001</v>
      </c>
      <c r="M223" s="460">
        <v>0.18</v>
      </c>
      <c r="N223" s="461">
        <f t="shared" si="13"/>
        <v>146.61108000000002</v>
      </c>
      <c r="O223" s="462">
        <v>0.1</v>
      </c>
      <c r="P223" s="463">
        <f t="shared" si="14"/>
        <v>160.91460000000001</v>
      </c>
      <c r="Q223" s="464"/>
      <c r="R223" s="465">
        <v>20</v>
      </c>
      <c r="S223" s="465">
        <v>20</v>
      </c>
      <c r="T223" s="465">
        <v>20</v>
      </c>
      <c r="U223" s="466"/>
      <c r="V223" s="470"/>
      <c r="W223" s="470"/>
      <c r="X223" s="470"/>
      <c r="Y223" s="470"/>
      <c r="Z223" s="470"/>
      <c r="AA223" s="470"/>
      <c r="AB223" s="470"/>
      <c r="AC223" s="470"/>
      <c r="AD223" s="470"/>
      <c r="AE223" s="470"/>
      <c r="AF223" s="470"/>
      <c r="AG223" s="470"/>
      <c r="AH223" s="470"/>
      <c r="AI223" s="470"/>
      <c r="AJ223" s="470"/>
      <c r="AK223" s="470"/>
      <c r="AL223" s="470"/>
      <c r="AM223" s="470"/>
      <c r="AN223" s="470"/>
      <c r="AO223" s="470"/>
      <c r="AP223" s="470"/>
      <c r="AQ223" s="470"/>
      <c r="AR223" s="470"/>
      <c r="AS223" s="470"/>
      <c r="AT223" s="470"/>
      <c r="AU223" s="470"/>
      <c r="AV223" s="470"/>
      <c r="AW223" s="470"/>
      <c r="AX223" s="470"/>
      <c r="AY223" s="470"/>
      <c r="AZ223" s="470"/>
      <c r="BA223" s="470"/>
      <c r="BB223" s="470"/>
      <c r="BC223" s="470"/>
      <c r="BD223" s="470"/>
      <c r="BE223" s="470"/>
      <c r="BF223" s="470"/>
      <c r="BG223" s="470"/>
      <c r="BH223" s="470"/>
      <c r="BI223" s="470"/>
      <c r="BJ223" s="470"/>
      <c r="BK223" s="470"/>
      <c r="BL223" s="470"/>
      <c r="BM223" s="470"/>
      <c r="BN223" s="470"/>
      <c r="BO223" s="470"/>
      <c r="BP223" s="470"/>
      <c r="BQ223" s="470"/>
      <c r="BR223" s="470"/>
      <c r="BS223" s="470"/>
      <c r="BT223" s="470"/>
      <c r="BU223" s="470"/>
      <c r="BV223" s="470"/>
      <c r="BW223" s="470"/>
      <c r="BX223" s="470"/>
      <c r="BY223" s="470"/>
      <c r="BZ223" s="470"/>
      <c r="CA223" s="470"/>
      <c r="CB223" s="470"/>
      <c r="CC223" s="470"/>
      <c r="CD223" s="470"/>
      <c r="CE223" s="470"/>
      <c r="CF223" s="470"/>
      <c r="CG223" s="470"/>
      <c r="CH223" s="470"/>
      <c r="CI223" s="470"/>
      <c r="CJ223" s="470"/>
      <c r="CK223" s="470"/>
      <c r="CL223" s="470"/>
      <c r="CM223" s="470"/>
      <c r="CN223" s="470"/>
      <c r="CO223" s="470"/>
      <c r="CP223" s="470"/>
      <c r="CQ223" s="470"/>
      <c r="CR223" s="470"/>
      <c r="CS223" s="470"/>
      <c r="CT223" s="470"/>
      <c r="CU223" s="470"/>
      <c r="CV223" s="470"/>
      <c r="CW223" s="470"/>
      <c r="CX223" s="470"/>
      <c r="CY223" s="470"/>
      <c r="CZ223" s="470"/>
      <c r="DA223" s="470"/>
      <c r="DB223" s="470"/>
      <c r="DC223" s="470"/>
      <c r="DD223" s="470"/>
      <c r="DE223" s="470"/>
      <c r="DF223" s="470"/>
      <c r="DG223" s="470"/>
      <c r="DH223" s="470"/>
      <c r="DI223" s="470"/>
      <c r="DJ223" s="470"/>
      <c r="DK223" s="470"/>
      <c r="DL223" s="470"/>
      <c r="DM223" s="470"/>
      <c r="DN223" s="470"/>
      <c r="DO223" s="470"/>
      <c r="DP223" s="470"/>
      <c r="DQ223" s="470"/>
      <c r="DR223" s="470"/>
      <c r="DS223" s="470"/>
      <c r="DT223" s="470"/>
      <c r="DU223" s="470"/>
      <c r="DV223" s="470"/>
      <c r="DW223" s="470"/>
      <c r="DX223" s="470"/>
      <c r="DY223" s="470"/>
      <c r="DZ223" s="470"/>
      <c r="EA223" s="470"/>
      <c r="EB223" s="470"/>
      <c r="EC223" s="470"/>
      <c r="ED223" s="470"/>
      <c r="EE223" s="470"/>
      <c r="EF223" s="470"/>
      <c r="EG223" s="470"/>
      <c r="EH223" s="470"/>
      <c r="EI223" s="470"/>
      <c r="EJ223" s="470"/>
      <c r="EK223" s="470"/>
      <c r="EL223" s="470"/>
      <c r="EM223" s="470"/>
      <c r="EN223" s="470"/>
      <c r="EO223" s="470"/>
      <c r="EP223" s="470"/>
      <c r="EQ223" s="470"/>
      <c r="ER223" s="470"/>
      <c r="ES223" s="470"/>
      <c r="ET223" s="470"/>
      <c r="EU223" s="470"/>
      <c r="EV223" s="470"/>
      <c r="EW223" s="470"/>
      <c r="EX223" s="470"/>
      <c r="EY223" s="470"/>
      <c r="EZ223" s="470"/>
      <c r="FA223" s="470"/>
      <c r="FB223" s="470"/>
      <c r="FC223" s="470"/>
      <c r="FD223" s="470"/>
      <c r="FE223" s="470"/>
      <c r="FF223" s="470"/>
      <c r="FG223" s="470"/>
      <c r="FH223" s="470"/>
      <c r="FI223" s="470"/>
      <c r="FJ223" s="470"/>
      <c r="FK223" s="470"/>
      <c r="FL223" s="470"/>
      <c r="FM223" s="470"/>
      <c r="FN223" s="470"/>
      <c r="FO223" s="470"/>
      <c r="FP223" s="470"/>
      <c r="FQ223" s="470"/>
      <c r="FR223" s="470"/>
      <c r="FS223" s="470"/>
      <c r="FT223" s="470"/>
      <c r="FU223" s="470"/>
      <c r="FV223" s="470"/>
      <c r="FW223" s="470"/>
      <c r="FX223" s="470"/>
      <c r="FY223" s="470"/>
      <c r="FZ223" s="470"/>
      <c r="GA223" s="470"/>
      <c r="GB223" s="470"/>
      <c r="GC223" s="470"/>
      <c r="GD223" s="470"/>
      <c r="GE223" s="470"/>
      <c r="GF223" s="470"/>
      <c r="GG223" s="470"/>
      <c r="GH223" s="470"/>
      <c r="GI223" s="470"/>
      <c r="GJ223" s="470"/>
      <c r="GK223" s="470"/>
      <c r="GL223" s="470"/>
      <c r="GM223" s="470"/>
      <c r="GN223" s="470"/>
      <c r="GO223" s="470"/>
      <c r="GP223" s="470"/>
      <c r="GQ223" s="470"/>
      <c r="GR223" s="470"/>
      <c r="GS223" s="470"/>
      <c r="GT223" s="470"/>
      <c r="GU223" s="470"/>
      <c r="GV223" s="470"/>
      <c r="GW223" s="470"/>
      <c r="GX223" s="470"/>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70"/>
      <c r="IF223" s="470"/>
      <c r="IG223" s="470"/>
      <c r="IH223" s="470"/>
      <c r="II223" s="470"/>
      <c r="IJ223" s="470"/>
      <c r="IK223" s="470"/>
      <c r="IL223" s="470"/>
      <c r="IM223" s="470"/>
      <c r="IN223" s="470"/>
      <c r="IO223" s="470"/>
      <c r="IP223" s="470"/>
      <c r="IQ223" s="470"/>
    </row>
    <row r="224" spans="1:251" s="486" customFormat="1" x14ac:dyDescent="0.2">
      <c r="A224" s="453" t="s">
        <v>10163</v>
      </c>
      <c r="B224" s="453" t="s">
        <v>10164</v>
      </c>
      <c r="C224" s="454" t="s">
        <v>386</v>
      </c>
      <c r="D224" s="455" t="s">
        <v>9783</v>
      </c>
      <c r="E224" s="456" t="s">
        <v>9710</v>
      </c>
      <c r="F224" s="456" t="s">
        <v>10146</v>
      </c>
      <c r="G224" s="456" t="s">
        <v>7180</v>
      </c>
      <c r="H224" s="457">
        <v>166.32000000000002</v>
      </c>
      <c r="I224" s="457">
        <f t="shared" si="15"/>
        <v>178.79400000000001</v>
      </c>
      <c r="J224" s="457" t="s">
        <v>9706</v>
      </c>
      <c r="K224" s="458">
        <v>0.3</v>
      </c>
      <c r="L224" s="459">
        <f t="shared" si="12"/>
        <v>116.42400000000001</v>
      </c>
      <c r="M224" s="460">
        <v>0.18</v>
      </c>
      <c r="N224" s="461">
        <f t="shared" si="13"/>
        <v>146.61108000000002</v>
      </c>
      <c r="O224" s="462">
        <v>0.1</v>
      </c>
      <c r="P224" s="463">
        <f t="shared" si="14"/>
        <v>160.91460000000001</v>
      </c>
      <c r="Q224" s="484"/>
      <c r="R224" s="465">
        <v>20</v>
      </c>
      <c r="S224" s="465">
        <v>20</v>
      </c>
      <c r="T224" s="465">
        <v>20</v>
      </c>
      <c r="U224" s="466"/>
      <c r="V224" s="485"/>
      <c r="W224" s="485"/>
      <c r="X224" s="485"/>
      <c r="Y224" s="485"/>
      <c r="Z224" s="485"/>
      <c r="AA224" s="485"/>
      <c r="AB224" s="485"/>
      <c r="AC224" s="485"/>
      <c r="AD224" s="485"/>
      <c r="AE224" s="485"/>
      <c r="AF224" s="485"/>
      <c r="AG224" s="485"/>
      <c r="AH224" s="485"/>
      <c r="AI224" s="485"/>
      <c r="AJ224" s="485"/>
      <c r="AK224" s="485"/>
      <c r="AL224" s="485"/>
      <c r="AM224" s="485"/>
      <c r="AN224" s="485"/>
      <c r="AO224" s="485"/>
      <c r="AP224" s="485"/>
      <c r="AQ224" s="485"/>
      <c r="AR224" s="485"/>
      <c r="AS224" s="485"/>
      <c r="AT224" s="485"/>
      <c r="AU224" s="485"/>
      <c r="AV224" s="485"/>
      <c r="AW224" s="485"/>
      <c r="AX224" s="485"/>
      <c r="AY224" s="485"/>
      <c r="AZ224" s="485"/>
      <c r="BA224" s="485"/>
      <c r="BB224" s="485"/>
      <c r="BC224" s="485"/>
      <c r="BD224" s="485"/>
      <c r="BE224" s="485"/>
      <c r="BF224" s="485"/>
      <c r="BG224" s="485"/>
      <c r="BH224" s="485"/>
      <c r="BI224" s="485"/>
      <c r="BJ224" s="485"/>
      <c r="BK224" s="485"/>
      <c r="BL224" s="485"/>
      <c r="BM224" s="485"/>
      <c r="BN224" s="485"/>
      <c r="BO224" s="485"/>
      <c r="BP224" s="485"/>
      <c r="BQ224" s="485"/>
      <c r="BR224" s="485"/>
      <c r="BS224" s="485"/>
      <c r="BT224" s="485"/>
      <c r="BU224" s="485"/>
      <c r="BV224" s="485"/>
      <c r="BW224" s="485"/>
      <c r="BX224" s="485"/>
      <c r="BY224" s="485"/>
      <c r="BZ224" s="485"/>
      <c r="CA224" s="485"/>
      <c r="CB224" s="485"/>
      <c r="CC224" s="485"/>
      <c r="CD224" s="485"/>
      <c r="CE224" s="485"/>
      <c r="CF224" s="485"/>
      <c r="CG224" s="485"/>
      <c r="CH224" s="485"/>
      <c r="CI224" s="485"/>
      <c r="CJ224" s="485"/>
      <c r="CK224" s="485"/>
      <c r="CL224" s="485"/>
      <c r="CM224" s="485"/>
      <c r="CN224" s="485"/>
      <c r="CO224" s="485"/>
      <c r="CP224" s="485"/>
      <c r="CQ224" s="485"/>
      <c r="CR224" s="485"/>
      <c r="CS224" s="485"/>
      <c r="CT224" s="485"/>
      <c r="CU224" s="485"/>
      <c r="CV224" s="485"/>
      <c r="CW224" s="485"/>
      <c r="CX224" s="485"/>
      <c r="CY224" s="485"/>
      <c r="CZ224" s="485"/>
      <c r="DA224" s="485"/>
      <c r="DB224" s="485"/>
      <c r="DC224" s="485"/>
      <c r="DD224" s="485"/>
      <c r="DE224" s="485"/>
      <c r="DF224" s="485"/>
      <c r="DG224" s="485"/>
      <c r="DH224" s="485"/>
      <c r="DI224" s="485"/>
      <c r="DJ224" s="485"/>
      <c r="DK224" s="485"/>
      <c r="DL224" s="485"/>
      <c r="DM224" s="485"/>
      <c r="DN224" s="485"/>
      <c r="DO224" s="485"/>
      <c r="DP224" s="485"/>
      <c r="DQ224" s="485"/>
      <c r="DR224" s="485"/>
      <c r="DS224" s="485"/>
      <c r="DT224" s="485"/>
      <c r="DU224" s="485"/>
      <c r="DV224" s="485"/>
      <c r="DW224" s="485"/>
      <c r="DX224" s="485"/>
      <c r="DY224" s="485"/>
      <c r="DZ224" s="485"/>
      <c r="EA224" s="485"/>
      <c r="EB224" s="485"/>
      <c r="EC224" s="485"/>
      <c r="ED224" s="485"/>
      <c r="EE224" s="485"/>
      <c r="EF224" s="485"/>
      <c r="EG224" s="485"/>
      <c r="EH224" s="485"/>
      <c r="EI224" s="485"/>
      <c r="EJ224" s="485"/>
      <c r="EK224" s="485"/>
      <c r="EL224" s="485"/>
      <c r="EM224" s="485"/>
      <c r="EN224" s="485"/>
      <c r="EO224" s="485"/>
      <c r="EP224" s="485"/>
      <c r="EQ224" s="485"/>
      <c r="ER224" s="485"/>
      <c r="ES224" s="485"/>
      <c r="ET224" s="485"/>
      <c r="EU224" s="485"/>
      <c r="EV224" s="485"/>
      <c r="EW224" s="485"/>
      <c r="EX224" s="485"/>
      <c r="EY224" s="485"/>
      <c r="EZ224" s="485"/>
      <c r="FA224" s="485"/>
      <c r="FB224" s="485"/>
      <c r="FC224" s="485"/>
      <c r="FD224" s="485"/>
      <c r="FE224" s="485"/>
      <c r="FF224" s="485"/>
      <c r="FG224" s="485"/>
      <c r="FH224" s="485"/>
      <c r="FI224" s="485"/>
      <c r="FJ224" s="485"/>
      <c r="FK224" s="485"/>
      <c r="FL224" s="485"/>
      <c r="FM224" s="485"/>
      <c r="FN224" s="485"/>
      <c r="FO224" s="485"/>
      <c r="FP224" s="485"/>
      <c r="FQ224" s="485"/>
      <c r="FR224" s="485"/>
      <c r="FS224" s="485"/>
      <c r="FT224" s="485"/>
      <c r="FU224" s="485"/>
      <c r="FV224" s="485"/>
      <c r="FW224" s="485"/>
      <c r="FX224" s="485"/>
      <c r="FY224" s="485"/>
      <c r="FZ224" s="485"/>
      <c r="GA224" s="485"/>
      <c r="GB224" s="485"/>
      <c r="GC224" s="485"/>
      <c r="GD224" s="485"/>
      <c r="GE224" s="485"/>
      <c r="GF224" s="485"/>
      <c r="GG224" s="485"/>
      <c r="GH224" s="485"/>
      <c r="GI224" s="485"/>
      <c r="GJ224" s="485"/>
      <c r="GK224" s="485"/>
      <c r="GL224" s="485"/>
      <c r="GM224" s="485"/>
      <c r="GN224" s="485"/>
      <c r="GO224" s="485"/>
      <c r="GP224" s="485"/>
      <c r="GQ224" s="485"/>
      <c r="GR224" s="485"/>
      <c r="GS224" s="485"/>
      <c r="GT224" s="485"/>
      <c r="GU224" s="485"/>
      <c r="GV224" s="485"/>
      <c r="GW224" s="485"/>
      <c r="GX224" s="485"/>
      <c r="GY224" s="485"/>
      <c r="GZ224" s="485"/>
      <c r="HA224" s="485"/>
      <c r="HB224" s="485"/>
      <c r="HC224" s="485"/>
      <c r="HD224" s="485"/>
      <c r="HE224" s="485"/>
      <c r="HF224" s="485"/>
      <c r="HG224" s="485"/>
      <c r="HH224" s="485"/>
      <c r="HI224" s="485"/>
      <c r="HJ224" s="485"/>
      <c r="HK224" s="485"/>
      <c r="HL224" s="485"/>
      <c r="HM224" s="485"/>
      <c r="HN224" s="485"/>
      <c r="HO224" s="485"/>
      <c r="HP224" s="485"/>
      <c r="HQ224" s="485"/>
      <c r="HR224" s="485"/>
      <c r="HS224" s="485"/>
      <c r="HT224" s="485"/>
      <c r="HU224" s="485"/>
      <c r="HV224" s="485"/>
      <c r="HW224" s="485"/>
      <c r="HX224" s="485"/>
      <c r="HY224" s="485"/>
      <c r="HZ224" s="485"/>
      <c r="IA224" s="485"/>
      <c r="IB224" s="485"/>
      <c r="IC224" s="485"/>
      <c r="ID224" s="485"/>
      <c r="IE224" s="485"/>
      <c r="IF224" s="485"/>
      <c r="IG224" s="485"/>
      <c r="IH224" s="485"/>
      <c r="II224" s="485"/>
      <c r="IJ224" s="485"/>
      <c r="IK224" s="485"/>
      <c r="IL224" s="485"/>
      <c r="IM224" s="485"/>
      <c r="IN224" s="485"/>
      <c r="IO224" s="485"/>
      <c r="IP224" s="485"/>
      <c r="IQ224" s="485"/>
    </row>
    <row r="225" spans="1:251" s="486" customFormat="1" x14ac:dyDescent="0.2">
      <c r="A225" s="453" t="s">
        <v>10165</v>
      </c>
      <c r="B225" s="453" t="s">
        <v>10166</v>
      </c>
      <c r="C225" s="454" t="s">
        <v>386</v>
      </c>
      <c r="D225" s="455" t="s">
        <v>9783</v>
      </c>
      <c r="E225" s="456" t="s">
        <v>9734</v>
      </c>
      <c r="F225" s="456" t="s">
        <v>10146</v>
      </c>
      <c r="G225" s="456" t="s">
        <v>7180</v>
      </c>
      <c r="H225" s="457">
        <v>166.32000000000002</v>
      </c>
      <c r="I225" s="457">
        <f t="shared" si="15"/>
        <v>178.79400000000001</v>
      </c>
      <c r="J225" s="457" t="s">
        <v>9706</v>
      </c>
      <c r="K225" s="458">
        <v>0.3</v>
      </c>
      <c r="L225" s="459">
        <f t="shared" si="12"/>
        <v>116.42400000000001</v>
      </c>
      <c r="M225" s="460">
        <v>0.18</v>
      </c>
      <c r="N225" s="461">
        <f t="shared" si="13"/>
        <v>146.61108000000002</v>
      </c>
      <c r="O225" s="462">
        <v>0.1</v>
      </c>
      <c r="P225" s="463">
        <f t="shared" si="14"/>
        <v>160.91460000000001</v>
      </c>
      <c r="Q225" s="484"/>
      <c r="R225" s="465">
        <v>20</v>
      </c>
      <c r="S225" s="465">
        <v>20</v>
      </c>
      <c r="T225" s="465">
        <v>20</v>
      </c>
      <c r="U225" s="466"/>
      <c r="V225" s="485"/>
      <c r="W225" s="485"/>
      <c r="X225" s="485"/>
      <c r="Y225" s="485"/>
      <c r="Z225" s="485"/>
      <c r="AA225" s="485"/>
      <c r="AB225" s="485"/>
      <c r="AC225" s="485"/>
      <c r="AD225" s="485"/>
      <c r="AE225" s="485"/>
      <c r="AF225" s="485"/>
      <c r="AG225" s="485"/>
      <c r="AH225" s="485"/>
      <c r="AI225" s="485"/>
      <c r="AJ225" s="485"/>
      <c r="AK225" s="485"/>
      <c r="AL225" s="485"/>
      <c r="AM225" s="485"/>
      <c r="AN225" s="485"/>
      <c r="AO225" s="485"/>
      <c r="AP225" s="485"/>
      <c r="AQ225" s="485"/>
      <c r="AR225" s="485"/>
      <c r="AS225" s="485"/>
      <c r="AT225" s="485"/>
      <c r="AU225" s="485"/>
      <c r="AV225" s="485"/>
      <c r="AW225" s="485"/>
      <c r="AX225" s="485"/>
      <c r="AY225" s="485"/>
      <c r="AZ225" s="485"/>
      <c r="BA225" s="485"/>
      <c r="BB225" s="485"/>
      <c r="BC225" s="485"/>
      <c r="BD225" s="485"/>
      <c r="BE225" s="485"/>
      <c r="BF225" s="485"/>
      <c r="BG225" s="485"/>
      <c r="BH225" s="485"/>
      <c r="BI225" s="485"/>
      <c r="BJ225" s="485"/>
      <c r="BK225" s="485"/>
      <c r="BL225" s="485"/>
      <c r="BM225" s="485"/>
      <c r="BN225" s="485"/>
      <c r="BO225" s="485"/>
      <c r="BP225" s="485"/>
      <c r="BQ225" s="485"/>
      <c r="BR225" s="485"/>
      <c r="BS225" s="485"/>
      <c r="BT225" s="485"/>
      <c r="BU225" s="485"/>
      <c r="BV225" s="485"/>
      <c r="BW225" s="485"/>
      <c r="BX225" s="485"/>
      <c r="BY225" s="485"/>
      <c r="BZ225" s="485"/>
      <c r="CA225" s="485"/>
      <c r="CB225" s="485"/>
      <c r="CC225" s="485"/>
      <c r="CD225" s="485"/>
      <c r="CE225" s="485"/>
      <c r="CF225" s="485"/>
      <c r="CG225" s="485"/>
      <c r="CH225" s="485"/>
      <c r="CI225" s="485"/>
      <c r="CJ225" s="485"/>
      <c r="CK225" s="485"/>
      <c r="CL225" s="485"/>
      <c r="CM225" s="485"/>
      <c r="CN225" s="485"/>
      <c r="CO225" s="485"/>
      <c r="CP225" s="485"/>
      <c r="CQ225" s="485"/>
      <c r="CR225" s="485"/>
      <c r="CS225" s="485"/>
      <c r="CT225" s="485"/>
      <c r="CU225" s="485"/>
      <c r="CV225" s="485"/>
      <c r="CW225" s="485"/>
      <c r="CX225" s="485"/>
      <c r="CY225" s="485"/>
      <c r="CZ225" s="485"/>
      <c r="DA225" s="485"/>
      <c r="DB225" s="485"/>
      <c r="DC225" s="485"/>
      <c r="DD225" s="485"/>
      <c r="DE225" s="485"/>
      <c r="DF225" s="485"/>
      <c r="DG225" s="485"/>
      <c r="DH225" s="485"/>
      <c r="DI225" s="485"/>
      <c r="DJ225" s="485"/>
      <c r="DK225" s="485"/>
      <c r="DL225" s="485"/>
      <c r="DM225" s="485"/>
      <c r="DN225" s="485"/>
      <c r="DO225" s="485"/>
      <c r="DP225" s="485"/>
      <c r="DQ225" s="485"/>
      <c r="DR225" s="485"/>
      <c r="DS225" s="485"/>
      <c r="DT225" s="485"/>
      <c r="DU225" s="485"/>
      <c r="DV225" s="485"/>
      <c r="DW225" s="485"/>
      <c r="DX225" s="485"/>
      <c r="DY225" s="485"/>
      <c r="DZ225" s="485"/>
      <c r="EA225" s="485"/>
      <c r="EB225" s="485"/>
      <c r="EC225" s="485"/>
      <c r="ED225" s="485"/>
      <c r="EE225" s="485"/>
      <c r="EF225" s="485"/>
      <c r="EG225" s="485"/>
      <c r="EH225" s="485"/>
      <c r="EI225" s="485"/>
      <c r="EJ225" s="485"/>
      <c r="EK225" s="485"/>
      <c r="EL225" s="485"/>
      <c r="EM225" s="485"/>
      <c r="EN225" s="485"/>
      <c r="EO225" s="485"/>
      <c r="EP225" s="485"/>
      <c r="EQ225" s="485"/>
      <c r="ER225" s="485"/>
      <c r="ES225" s="485"/>
      <c r="ET225" s="485"/>
      <c r="EU225" s="485"/>
      <c r="EV225" s="485"/>
      <c r="EW225" s="485"/>
      <c r="EX225" s="485"/>
      <c r="EY225" s="485"/>
      <c r="EZ225" s="485"/>
      <c r="FA225" s="485"/>
      <c r="FB225" s="485"/>
      <c r="FC225" s="485"/>
      <c r="FD225" s="485"/>
      <c r="FE225" s="485"/>
      <c r="FF225" s="485"/>
      <c r="FG225" s="485"/>
      <c r="FH225" s="485"/>
      <c r="FI225" s="485"/>
      <c r="FJ225" s="485"/>
      <c r="FK225" s="485"/>
      <c r="FL225" s="485"/>
      <c r="FM225" s="485"/>
      <c r="FN225" s="485"/>
      <c r="FO225" s="485"/>
      <c r="FP225" s="485"/>
      <c r="FQ225" s="485"/>
      <c r="FR225" s="485"/>
      <c r="FS225" s="485"/>
      <c r="FT225" s="485"/>
      <c r="FU225" s="485"/>
      <c r="FV225" s="485"/>
      <c r="FW225" s="485"/>
      <c r="FX225" s="485"/>
      <c r="FY225" s="485"/>
      <c r="FZ225" s="485"/>
      <c r="GA225" s="485"/>
      <c r="GB225" s="485"/>
      <c r="GC225" s="485"/>
      <c r="GD225" s="485"/>
      <c r="GE225" s="485"/>
      <c r="GF225" s="485"/>
      <c r="GG225" s="485"/>
      <c r="GH225" s="485"/>
      <c r="GI225" s="485"/>
      <c r="GJ225" s="485"/>
      <c r="GK225" s="485"/>
      <c r="GL225" s="485"/>
      <c r="GM225" s="485"/>
      <c r="GN225" s="485"/>
      <c r="GO225" s="485"/>
      <c r="GP225" s="485"/>
      <c r="GQ225" s="485"/>
      <c r="GR225" s="485"/>
      <c r="GS225" s="485"/>
      <c r="GT225" s="485"/>
      <c r="GU225" s="485"/>
      <c r="GV225" s="485"/>
      <c r="GW225" s="485"/>
      <c r="GX225" s="485"/>
      <c r="GY225" s="485"/>
      <c r="GZ225" s="485"/>
      <c r="HA225" s="485"/>
      <c r="HB225" s="485"/>
      <c r="HC225" s="485"/>
      <c r="HD225" s="485"/>
      <c r="HE225" s="485"/>
      <c r="HF225" s="485"/>
      <c r="HG225" s="485"/>
      <c r="HH225" s="485"/>
      <c r="HI225" s="485"/>
      <c r="HJ225" s="485"/>
      <c r="HK225" s="485"/>
      <c r="HL225" s="485"/>
      <c r="HM225" s="485"/>
      <c r="HN225" s="485"/>
      <c r="HO225" s="485"/>
      <c r="HP225" s="485"/>
      <c r="HQ225" s="485"/>
      <c r="HR225" s="485"/>
      <c r="HS225" s="485"/>
      <c r="HT225" s="485"/>
      <c r="HU225" s="485"/>
      <c r="HV225" s="485"/>
      <c r="HW225" s="485"/>
      <c r="HX225" s="485"/>
      <c r="HY225" s="485"/>
      <c r="HZ225" s="485"/>
      <c r="IA225" s="485"/>
      <c r="IB225" s="485"/>
      <c r="IC225" s="485"/>
      <c r="ID225" s="485"/>
      <c r="IE225" s="485"/>
      <c r="IF225" s="485"/>
      <c r="IG225" s="485"/>
      <c r="IH225" s="485"/>
      <c r="II225" s="485"/>
      <c r="IJ225" s="485"/>
      <c r="IK225" s="485"/>
      <c r="IL225" s="485"/>
      <c r="IM225" s="485"/>
      <c r="IN225" s="485"/>
      <c r="IO225" s="485"/>
      <c r="IP225" s="485"/>
      <c r="IQ225" s="485"/>
    </row>
    <row r="226" spans="1:251" s="486" customFormat="1" x14ac:dyDescent="0.2">
      <c r="A226" s="453" t="s">
        <v>10167</v>
      </c>
      <c r="B226" s="453" t="s">
        <v>10168</v>
      </c>
      <c r="C226" s="454" t="s">
        <v>386</v>
      </c>
      <c r="D226" s="455" t="s">
        <v>9783</v>
      </c>
      <c r="E226" s="456" t="s">
        <v>9734</v>
      </c>
      <c r="F226" s="456" t="s">
        <v>10146</v>
      </c>
      <c r="G226" s="456" t="s">
        <v>7180</v>
      </c>
      <c r="H226" s="457">
        <v>166.32000000000002</v>
      </c>
      <c r="I226" s="457">
        <f t="shared" si="15"/>
        <v>178.79400000000001</v>
      </c>
      <c r="J226" s="457" t="s">
        <v>9706</v>
      </c>
      <c r="K226" s="458">
        <v>0.3</v>
      </c>
      <c r="L226" s="459">
        <f t="shared" si="12"/>
        <v>116.42400000000001</v>
      </c>
      <c r="M226" s="460">
        <v>0.18</v>
      </c>
      <c r="N226" s="461">
        <f t="shared" si="13"/>
        <v>146.61108000000002</v>
      </c>
      <c r="O226" s="462">
        <v>0.1</v>
      </c>
      <c r="P226" s="463">
        <f t="shared" si="14"/>
        <v>160.91460000000001</v>
      </c>
      <c r="Q226" s="484"/>
      <c r="R226" s="465">
        <v>20</v>
      </c>
      <c r="S226" s="465">
        <v>20</v>
      </c>
      <c r="T226" s="465">
        <v>20</v>
      </c>
      <c r="U226" s="466"/>
      <c r="V226" s="485"/>
      <c r="W226" s="485"/>
      <c r="X226" s="485"/>
      <c r="Y226" s="485"/>
      <c r="Z226" s="485"/>
      <c r="AA226" s="485"/>
      <c r="AB226" s="485"/>
      <c r="AC226" s="485"/>
      <c r="AD226" s="485"/>
      <c r="AE226" s="485"/>
      <c r="AF226" s="485"/>
      <c r="AG226" s="485"/>
      <c r="AH226" s="485"/>
      <c r="AI226" s="485"/>
      <c r="AJ226" s="485"/>
      <c r="AK226" s="485"/>
      <c r="AL226" s="485"/>
      <c r="AM226" s="485"/>
      <c r="AN226" s="485"/>
      <c r="AO226" s="485"/>
      <c r="AP226" s="485"/>
      <c r="AQ226" s="485"/>
      <c r="AR226" s="485"/>
      <c r="AS226" s="485"/>
      <c r="AT226" s="485"/>
      <c r="AU226" s="485"/>
      <c r="AV226" s="485"/>
      <c r="AW226" s="485"/>
      <c r="AX226" s="485"/>
      <c r="AY226" s="485"/>
      <c r="AZ226" s="485"/>
      <c r="BA226" s="485"/>
      <c r="BB226" s="485"/>
      <c r="BC226" s="485"/>
      <c r="BD226" s="485"/>
      <c r="BE226" s="485"/>
      <c r="BF226" s="485"/>
      <c r="BG226" s="485"/>
      <c r="BH226" s="485"/>
      <c r="BI226" s="485"/>
      <c r="BJ226" s="485"/>
      <c r="BK226" s="485"/>
      <c r="BL226" s="485"/>
      <c r="BM226" s="485"/>
      <c r="BN226" s="485"/>
      <c r="BO226" s="485"/>
      <c r="BP226" s="485"/>
      <c r="BQ226" s="485"/>
      <c r="BR226" s="485"/>
      <c r="BS226" s="485"/>
      <c r="BT226" s="485"/>
      <c r="BU226" s="485"/>
      <c r="BV226" s="485"/>
      <c r="BW226" s="485"/>
      <c r="BX226" s="485"/>
      <c r="BY226" s="485"/>
      <c r="BZ226" s="485"/>
      <c r="CA226" s="485"/>
      <c r="CB226" s="485"/>
      <c r="CC226" s="485"/>
      <c r="CD226" s="485"/>
      <c r="CE226" s="485"/>
      <c r="CF226" s="485"/>
      <c r="CG226" s="485"/>
      <c r="CH226" s="485"/>
      <c r="CI226" s="485"/>
      <c r="CJ226" s="485"/>
      <c r="CK226" s="485"/>
      <c r="CL226" s="485"/>
      <c r="CM226" s="485"/>
      <c r="CN226" s="485"/>
      <c r="CO226" s="485"/>
      <c r="CP226" s="485"/>
      <c r="CQ226" s="485"/>
      <c r="CR226" s="485"/>
      <c r="CS226" s="485"/>
      <c r="CT226" s="485"/>
      <c r="CU226" s="485"/>
      <c r="CV226" s="485"/>
      <c r="CW226" s="485"/>
      <c r="CX226" s="485"/>
      <c r="CY226" s="485"/>
      <c r="CZ226" s="485"/>
      <c r="DA226" s="485"/>
      <c r="DB226" s="485"/>
      <c r="DC226" s="485"/>
      <c r="DD226" s="485"/>
      <c r="DE226" s="485"/>
      <c r="DF226" s="485"/>
      <c r="DG226" s="485"/>
      <c r="DH226" s="485"/>
      <c r="DI226" s="485"/>
      <c r="DJ226" s="485"/>
      <c r="DK226" s="485"/>
      <c r="DL226" s="485"/>
      <c r="DM226" s="485"/>
      <c r="DN226" s="485"/>
      <c r="DO226" s="485"/>
      <c r="DP226" s="485"/>
      <c r="DQ226" s="485"/>
      <c r="DR226" s="485"/>
      <c r="DS226" s="485"/>
      <c r="DT226" s="485"/>
      <c r="DU226" s="485"/>
      <c r="DV226" s="485"/>
      <c r="DW226" s="485"/>
      <c r="DX226" s="485"/>
      <c r="DY226" s="485"/>
      <c r="DZ226" s="485"/>
      <c r="EA226" s="485"/>
      <c r="EB226" s="485"/>
      <c r="EC226" s="485"/>
      <c r="ED226" s="485"/>
      <c r="EE226" s="485"/>
      <c r="EF226" s="485"/>
      <c r="EG226" s="485"/>
      <c r="EH226" s="485"/>
      <c r="EI226" s="485"/>
      <c r="EJ226" s="485"/>
      <c r="EK226" s="485"/>
      <c r="EL226" s="485"/>
      <c r="EM226" s="485"/>
      <c r="EN226" s="485"/>
      <c r="EO226" s="485"/>
      <c r="EP226" s="485"/>
      <c r="EQ226" s="485"/>
      <c r="ER226" s="485"/>
      <c r="ES226" s="485"/>
      <c r="ET226" s="485"/>
      <c r="EU226" s="485"/>
      <c r="EV226" s="485"/>
      <c r="EW226" s="485"/>
      <c r="EX226" s="485"/>
      <c r="EY226" s="485"/>
      <c r="EZ226" s="485"/>
      <c r="FA226" s="485"/>
      <c r="FB226" s="485"/>
      <c r="FC226" s="485"/>
      <c r="FD226" s="485"/>
      <c r="FE226" s="485"/>
      <c r="FF226" s="485"/>
      <c r="FG226" s="485"/>
      <c r="FH226" s="485"/>
      <c r="FI226" s="485"/>
      <c r="FJ226" s="485"/>
      <c r="FK226" s="485"/>
      <c r="FL226" s="485"/>
      <c r="FM226" s="485"/>
      <c r="FN226" s="485"/>
      <c r="FO226" s="485"/>
      <c r="FP226" s="485"/>
      <c r="FQ226" s="485"/>
      <c r="FR226" s="485"/>
      <c r="FS226" s="485"/>
      <c r="FT226" s="485"/>
      <c r="FU226" s="485"/>
      <c r="FV226" s="485"/>
      <c r="FW226" s="485"/>
      <c r="FX226" s="485"/>
      <c r="FY226" s="485"/>
      <c r="FZ226" s="485"/>
      <c r="GA226" s="485"/>
      <c r="GB226" s="485"/>
      <c r="GC226" s="485"/>
      <c r="GD226" s="485"/>
      <c r="GE226" s="485"/>
      <c r="GF226" s="485"/>
      <c r="GG226" s="485"/>
      <c r="GH226" s="485"/>
      <c r="GI226" s="485"/>
      <c r="GJ226" s="485"/>
      <c r="GK226" s="485"/>
      <c r="GL226" s="485"/>
      <c r="GM226" s="485"/>
      <c r="GN226" s="485"/>
      <c r="GO226" s="485"/>
      <c r="GP226" s="485"/>
      <c r="GQ226" s="485"/>
      <c r="GR226" s="485"/>
      <c r="GS226" s="485"/>
      <c r="GT226" s="485"/>
      <c r="GU226" s="485"/>
      <c r="GV226" s="485"/>
      <c r="GW226" s="485"/>
      <c r="GX226" s="485"/>
      <c r="GY226" s="485"/>
      <c r="GZ226" s="485"/>
      <c r="HA226" s="485"/>
      <c r="HB226" s="485"/>
      <c r="HC226" s="485"/>
      <c r="HD226" s="485"/>
      <c r="HE226" s="485"/>
      <c r="HF226" s="485"/>
      <c r="HG226" s="485"/>
      <c r="HH226" s="485"/>
      <c r="HI226" s="485"/>
      <c r="HJ226" s="485"/>
      <c r="HK226" s="485"/>
      <c r="HL226" s="485"/>
      <c r="HM226" s="485"/>
      <c r="HN226" s="485"/>
      <c r="HO226" s="485"/>
      <c r="HP226" s="485"/>
      <c r="HQ226" s="485"/>
      <c r="HR226" s="485"/>
      <c r="HS226" s="485"/>
      <c r="HT226" s="485"/>
      <c r="HU226" s="485"/>
      <c r="HV226" s="485"/>
      <c r="HW226" s="485"/>
      <c r="HX226" s="485"/>
      <c r="HY226" s="485"/>
      <c r="HZ226" s="485"/>
      <c r="IA226" s="485"/>
      <c r="IB226" s="485"/>
      <c r="IC226" s="485"/>
      <c r="ID226" s="485"/>
      <c r="IE226" s="485"/>
      <c r="IF226" s="485"/>
      <c r="IG226" s="485"/>
      <c r="IH226" s="485"/>
      <c r="II226" s="485"/>
      <c r="IJ226" s="485"/>
      <c r="IK226" s="485"/>
      <c r="IL226" s="485"/>
      <c r="IM226" s="485"/>
      <c r="IN226" s="485"/>
      <c r="IO226" s="485"/>
      <c r="IP226" s="485"/>
      <c r="IQ226" s="485"/>
    </row>
    <row r="227" spans="1:251" s="486" customFormat="1" x14ac:dyDescent="0.2">
      <c r="A227" s="453" t="s">
        <v>10169</v>
      </c>
      <c r="B227" s="453" t="s">
        <v>10170</v>
      </c>
      <c r="C227" s="454" t="s">
        <v>386</v>
      </c>
      <c r="D227" s="455" t="s">
        <v>9783</v>
      </c>
      <c r="E227" s="456" t="s">
        <v>9739</v>
      </c>
      <c r="F227" s="456" t="s">
        <v>10146</v>
      </c>
      <c r="G227" s="456" t="s">
        <v>7180</v>
      </c>
      <c r="H227" s="457">
        <v>166.32000000000002</v>
      </c>
      <c r="I227" s="457">
        <f t="shared" si="15"/>
        <v>178.79400000000001</v>
      </c>
      <c r="J227" s="457" t="s">
        <v>9706</v>
      </c>
      <c r="K227" s="458">
        <v>0.3</v>
      </c>
      <c r="L227" s="459">
        <f t="shared" si="12"/>
        <v>116.42400000000001</v>
      </c>
      <c r="M227" s="460">
        <v>0.18</v>
      </c>
      <c r="N227" s="461">
        <f t="shared" si="13"/>
        <v>146.61108000000002</v>
      </c>
      <c r="O227" s="462">
        <v>0.1</v>
      </c>
      <c r="P227" s="463">
        <f t="shared" si="14"/>
        <v>160.91460000000001</v>
      </c>
      <c r="Q227" s="484"/>
      <c r="R227" s="465">
        <v>20</v>
      </c>
      <c r="S227" s="465">
        <v>20</v>
      </c>
      <c r="T227" s="465">
        <v>20</v>
      </c>
      <c r="U227" s="466"/>
      <c r="V227" s="485"/>
      <c r="W227" s="485"/>
      <c r="X227" s="485"/>
      <c r="Y227" s="485"/>
      <c r="Z227" s="485"/>
      <c r="AA227" s="485"/>
      <c r="AB227" s="485"/>
      <c r="AC227" s="485"/>
      <c r="AD227" s="485"/>
      <c r="AE227" s="485"/>
      <c r="AF227" s="485"/>
      <c r="AG227" s="485"/>
      <c r="AH227" s="485"/>
      <c r="AI227" s="485"/>
      <c r="AJ227" s="485"/>
      <c r="AK227" s="485"/>
      <c r="AL227" s="485"/>
      <c r="AM227" s="485"/>
      <c r="AN227" s="485"/>
      <c r="AO227" s="485"/>
      <c r="AP227" s="485"/>
      <c r="AQ227" s="485"/>
      <c r="AR227" s="485"/>
      <c r="AS227" s="485"/>
      <c r="AT227" s="485"/>
      <c r="AU227" s="485"/>
      <c r="AV227" s="485"/>
      <c r="AW227" s="485"/>
      <c r="AX227" s="485"/>
      <c r="AY227" s="485"/>
      <c r="AZ227" s="485"/>
      <c r="BA227" s="485"/>
      <c r="BB227" s="485"/>
      <c r="BC227" s="485"/>
      <c r="BD227" s="485"/>
      <c r="BE227" s="485"/>
      <c r="BF227" s="485"/>
      <c r="BG227" s="485"/>
      <c r="BH227" s="485"/>
      <c r="BI227" s="485"/>
      <c r="BJ227" s="485"/>
      <c r="BK227" s="485"/>
      <c r="BL227" s="485"/>
      <c r="BM227" s="485"/>
      <c r="BN227" s="485"/>
      <c r="BO227" s="485"/>
      <c r="BP227" s="485"/>
      <c r="BQ227" s="485"/>
      <c r="BR227" s="485"/>
      <c r="BS227" s="485"/>
      <c r="BT227" s="485"/>
      <c r="BU227" s="485"/>
      <c r="BV227" s="485"/>
      <c r="BW227" s="485"/>
      <c r="BX227" s="485"/>
      <c r="BY227" s="485"/>
      <c r="BZ227" s="485"/>
      <c r="CA227" s="485"/>
      <c r="CB227" s="485"/>
      <c r="CC227" s="485"/>
      <c r="CD227" s="485"/>
      <c r="CE227" s="485"/>
      <c r="CF227" s="485"/>
      <c r="CG227" s="485"/>
      <c r="CH227" s="485"/>
      <c r="CI227" s="485"/>
      <c r="CJ227" s="485"/>
      <c r="CK227" s="485"/>
      <c r="CL227" s="485"/>
      <c r="CM227" s="485"/>
      <c r="CN227" s="485"/>
      <c r="CO227" s="485"/>
      <c r="CP227" s="485"/>
      <c r="CQ227" s="485"/>
      <c r="CR227" s="485"/>
      <c r="CS227" s="485"/>
      <c r="CT227" s="485"/>
      <c r="CU227" s="485"/>
      <c r="CV227" s="485"/>
      <c r="CW227" s="485"/>
      <c r="CX227" s="485"/>
      <c r="CY227" s="485"/>
      <c r="CZ227" s="485"/>
      <c r="DA227" s="485"/>
      <c r="DB227" s="485"/>
      <c r="DC227" s="485"/>
      <c r="DD227" s="485"/>
      <c r="DE227" s="485"/>
      <c r="DF227" s="485"/>
      <c r="DG227" s="485"/>
      <c r="DH227" s="485"/>
      <c r="DI227" s="485"/>
      <c r="DJ227" s="485"/>
      <c r="DK227" s="485"/>
      <c r="DL227" s="485"/>
      <c r="DM227" s="485"/>
      <c r="DN227" s="485"/>
      <c r="DO227" s="485"/>
      <c r="DP227" s="485"/>
      <c r="DQ227" s="485"/>
      <c r="DR227" s="485"/>
      <c r="DS227" s="485"/>
      <c r="DT227" s="485"/>
      <c r="DU227" s="485"/>
      <c r="DV227" s="485"/>
      <c r="DW227" s="485"/>
      <c r="DX227" s="485"/>
      <c r="DY227" s="485"/>
      <c r="DZ227" s="485"/>
      <c r="EA227" s="485"/>
      <c r="EB227" s="485"/>
      <c r="EC227" s="485"/>
      <c r="ED227" s="485"/>
      <c r="EE227" s="485"/>
      <c r="EF227" s="485"/>
      <c r="EG227" s="485"/>
      <c r="EH227" s="485"/>
      <c r="EI227" s="485"/>
      <c r="EJ227" s="485"/>
      <c r="EK227" s="485"/>
      <c r="EL227" s="485"/>
      <c r="EM227" s="485"/>
      <c r="EN227" s="485"/>
      <c r="EO227" s="485"/>
      <c r="EP227" s="485"/>
      <c r="EQ227" s="485"/>
      <c r="ER227" s="485"/>
      <c r="ES227" s="485"/>
      <c r="ET227" s="485"/>
      <c r="EU227" s="485"/>
      <c r="EV227" s="485"/>
      <c r="EW227" s="485"/>
      <c r="EX227" s="485"/>
      <c r="EY227" s="485"/>
      <c r="EZ227" s="485"/>
      <c r="FA227" s="485"/>
      <c r="FB227" s="485"/>
      <c r="FC227" s="485"/>
      <c r="FD227" s="485"/>
      <c r="FE227" s="485"/>
      <c r="FF227" s="485"/>
      <c r="FG227" s="485"/>
      <c r="FH227" s="485"/>
      <c r="FI227" s="485"/>
      <c r="FJ227" s="485"/>
      <c r="FK227" s="485"/>
      <c r="FL227" s="485"/>
      <c r="FM227" s="485"/>
      <c r="FN227" s="485"/>
      <c r="FO227" s="485"/>
      <c r="FP227" s="485"/>
      <c r="FQ227" s="485"/>
      <c r="FR227" s="485"/>
      <c r="FS227" s="485"/>
      <c r="FT227" s="485"/>
      <c r="FU227" s="485"/>
      <c r="FV227" s="485"/>
      <c r="FW227" s="485"/>
      <c r="FX227" s="485"/>
      <c r="FY227" s="485"/>
      <c r="FZ227" s="485"/>
      <c r="GA227" s="485"/>
      <c r="GB227" s="485"/>
      <c r="GC227" s="485"/>
      <c r="GD227" s="485"/>
      <c r="GE227" s="485"/>
      <c r="GF227" s="485"/>
      <c r="GG227" s="485"/>
      <c r="GH227" s="485"/>
      <c r="GI227" s="485"/>
      <c r="GJ227" s="485"/>
      <c r="GK227" s="485"/>
      <c r="GL227" s="485"/>
      <c r="GM227" s="485"/>
      <c r="GN227" s="485"/>
      <c r="GO227" s="485"/>
      <c r="GP227" s="485"/>
      <c r="GQ227" s="485"/>
      <c r="GR227" s="485"/>
      <c r="GS227" s="485"/>
      <c r="GT227" s="485"/>
      <c r="GU227" s="485"/>
      <c r="GV227" s="485"/>
      <c r="GW227" s="485"/>
      <c r="GX227" s="485"/>
      <c r="GY227" s="485"/>
      <c r="GZ227" s="485"/>
      <c r="HA227" s="485"/>
      <c r="HB227" s="485"/>
      <c r="HC227" s="485"/>
      <c r="HD227" s="485"/>
      <c r="HE227" s="485"/>
      <c r="HF227" s="485"/>
      <c r="HG227" s="485"/>
      <c r="HH227" s="485"/>
      <c r="HI227" s="485"/>
      <c r="HJ227" s="485"/>
      <c r="HK227" s="485"/>
      <c r="HL227" s="485"/>
      <c r="HM227" s="485"/>
      <c r="HN227" s="485"/>
      <c r="HO227" s="485"/>
      <c r="HP227" s="485"/>
      <c r="HQ227" s="485"/>
      <c r="HR227" s="485"/>
      <c r="HS227" s="485"/>
      <c r="HT227" s="485"/>
      <c r="HU227" s="485"/>
      <c r="HV227" s="485"/>
      <c r="HW227" s="485"/>
      <c r="HX227" s="485"/>
      <c r="HY227" s="485"/>
      <c r="HZ227" s="485"/>
      <c r="IA227" s="485"/>
      <c r="IB227" s="485"/>
      <c r="IC227" s="485"/>
      <c r="ID227" s="485"/>
      <c r="IE227" s="485"/>
      <c r="IF227" s="485"/>
      <c r="IG227" s="485"/>
      <c r="IH227" s="485"/>
      <c r="II227" s="485"/>
      <c r="IJ227" s="485"/>
      <c r="IK227" s="485"/>
      <c r="IL227" s="485"/>
      <c r="IM227" s="485"/>
      <c r="IN227" s="485"/>
      <c r="IO227" s="485"/>
      <c r="IP227" s="485"/>
      <c r="IQ227" s="485"/>
    </row>
    <row r="228" spans="1:251" s="486" customFormat="1" x14ac:dyDescent="0.2">
      <c r="A228" s="453" t="s">
        <v>10171</v>
      </c>
      <c r="B228" s="453" t="s">
        <v>10172</v>
      </c>
      <c r="C228" s="454" t="s">
        <v>386</v>
      </c>
      <c r="D228" s="455" t="s">
        <v>9783</v>
      </c>
      <c r="E228" s="456" t="s">
        <v>9710</v>
      </c>
      <c r="F228" s="456" t="s">
        <v>10146</v>
      </c>
      <c r="G228" s="456" t="s">
        <v>7180</v>
      </c>
      <c r="H228" s="457">
        <v>166.32000000000002</v>
      </c>
      <c r="I228" s="457">
        <f t="shared" si="15"/>
        <v>178.79400000000001</v>
      </c>
      <c r="J228" s="457" t="s">
        <v>9706</v>
      </c>
      <c r="K228" s="458">
        <v>0.3</v>
      </c>
      <c r="L228" s="459">
        <f t="shared" si="12"/>
        <v>116.42400000000001</v>
      </c>
      <c r="M228" s="460">
        <v>0.18</v>
      </c>
      <c r="N228" s="461">
        <f t="shared" si="13"/>
        <v>146.61108000000002</v>
      </c>
      <c r="O228" s="462">
        <v>0.1</v>
      </c>
      <c r="P228" s="463">
        <f t="shared" si="14"/>
        <v>160.91460000000001</v>
      </c>
      <c r="Q228" s="484"/>
      <c r="R228" s="465">
        <v>20</v>
      </c>
      <c r="S228" s="465">
        <v>20</v>
      </c>
      <c r="T228" s="465">
        <v>20</v>
      </c>
      <c r="U228" s="466"/>
      <c r="V228" s="485"/>
      <c r="W228" s="485"/>
      <c r="X228" s="485"/>
      <c r="Y228" s="485"/>
      <c r="Z228" s="485"/>
      <c r="AA228" s="485"/>
      <c r="AB228" s="485"/>
      <c r="AC228" s="485"/>
      <c r="AD228" s="485"/>
      <c r="AE228" s="485"/>
      <c r="AF228" s="485"/>
      <c r="AG228" s="485"/>
      <c r="AH228" s="485"/>
      <c r="AI228" s="485"/>
      <c r="AJ228" s="485"/>
      <c r="AK228" s="485"/>
      <c r="AL228" s="485"/>
      <c r="AM228" s="485"/>
      <c r="AN228" s="487"/>
      <c r="AO228" s="487"/>
      <c r="AP228" s="487"/>
      <c r="AQ228" s="487"/>
      <c r="AR228" s="487"/>
      <c r="AS228" s="487"/>
      <c r="AT228" s="487"/>
      <c r="AU228" s="487"/>
      <c r="AV228" s="487"/>
      <c r="AW228" s="487"/>
      <c r="AX228" s="487"/>
      <c r="AY228" s="487"/>
      <c r="AZ228" s="487"/>
      <c r="BA228" s="487"/>
      <c r="BB228" s="487"/>
      <c r="BC228" s="487"/>
      <c r="BD228" s="487"/>
      <c r="BE228" s="487"/>
      <c r="BF228" s="487"/>
      <c r="BG228" s="487"/>
      <c r="BH228" s="487"/>
      <c r="BI228" s="487"/>
      <c r="BJ228" s="487"/>
      <c r="BK228" s="487"/>
      <c r="BL228" s="487"/>
      <c r="BM228" s="487"/>
      <c r="BN228" s="487"/>
      <c r="BO228" s="487"/>
      <c r="BP228" s="487"/>
      <c r="BQ228" s="487"/>
      <c r="BR228" s="487"/>
      <c r="BS228" s="487"/>
      <c r="BT228" s="487"/>
      <c r="BU228" s="487"/>
      <c r="BV228" s="487"/>
      <c r="BW228" s="487"/>
      <c r="BX228" s="487"/>
      <c r="BY228" s="487"/>
      <c r="BZ228" s="487"/>
      <c r="CA228" s="487"/>
      <c r="CB228" s="487"/>
      <c r="CC228" s="487"/>
      <c r="CD228" s="487"/>
      <c r="CE228" s="487"/>
      <c r="CF228" s="487"/>
      <c r="CG228" s="487"/>
      <c r="CH228" s="487"/>
      <c r="CI228" s="487"/>
      <c r="CJ228" s="487"/>
      <c r="CK228" s="487"/>
      <c r="CL228" s="487"/>
      <c r="CM228" s="487"/>
      <c r="CN228" s="487"/>
      <c r="CO228" s="487"/>
      <c r="CP228" s="487"/>
      <c r="CQ228" s="487"/>
      <c r="CR228" s="487"/>
      <c r="CS228" s="487"/>
      <c r="CT228" s="487"/>
      <c r="CU228" s="487"/>
      <c r="CV228" s="487"/>
      <c r="CW228" s="487"/>
      <c r="CX228" s="487"/>
      <c r="CY228" s="487"/>
      <c r="CZ228" s="487"/>
      <c r="DA228" s="487"/>
      <c r="DB228" s="487"/>
      <c r="DC228" s="487"/>
      <c r="DD228" s="487"/>
      <c r="DE228" s="487"/>
      <c r="DF228" s="487"/>
      <c r="DG228" s="487"/>
      <c r="DH228" s="487"/>
      <c r="DI228" s="487"/>
      <c r="DJ228" s="487"/>
      <c r="DK228" s="487"/>
      <c r="DL228" s="487"/>
      <c r="DM228" s="487"/>
      <c r="DN228" s="487"/>
      <c r="DO228" s="487"/>
      <c r="DP228" s="487"/>
      <c r="DQ228" s="487"/>
      <c r="DR228" s="487"/>
      <c r="DS228" s="487"/>
      <c r="DT228" s="487"/>
      <c r="DU228" s="487"/>
      <c r="DV228" s="487"/>
      <c r="DW228" s="487"/>
      <c r="DX228" s="487"/>
      <c r="DY228" s="487"/>
      <c r="DZ228" s="487"/>
      <c r="EA228" s="487"/>
      <c r="EB228" s="487"/>
      <c r="EC228" s="487"/>
      <c r="ED228" s="487"/>
      <c r="EE228" s="487"/>
      <c r="EF228" s="487"/>
      <c r="EG228" s="487"/>
      <c r="EH228" s="487"/>
      <c r="EI228" s="487"/>
      <c r="EJ228" s="487"/>
      <c r="EK228" s="487"/>
      <c r="EL228" s="487"/>
      <c r="EM228" s="487"/>
      <c r="EN228" s="487"/>
      <c r="EO228" s="487"/>
      <c r="EP228" s="487"/>
      <c r="EQ228" s="487"/>
      <c r="ER228" s="487"/>
      <c r="ES228" s="487"/>
      <c r="ET228" s="487"/>
      <c r="EU228" s="487"/>
      <c r="EV228" s="487"/>
      <c r="EW228" s="487"/>
      <c r="EX228" s="487"/>
      <c r="EY228" s="487"/>
      <c r="EZ228" s="487"/>
      <c r="FA228" s="487"/>
      <c r="FB228" s="487"/>
      <c r="FC228" s="487"/>
      <c r="FD228" s="487"/>
      <c r="FE228" s="487"/>
      <c r="FF228" s="487"/>
      <c r="FG228" s="487"/>
      <c r="FH228" s="487"/>
      <c r="FI228" s="487"/>
      <c r="FJ228" s="487"/>
      <c r="FK228" s="487"/>
      <c r="FL228" s="487"/>
      <c r="FM228" s="487"/>
      <c r="FN228" s="487"/>
      <c r="FO228" s="487"/>
      <c r="FP228" s="487"/>
      <c r="FQ228" s="487"/>
      <c r="FR228" s="487"/>
      <c r="FS228" s="487"/>
      <c r="FT228" s="487"/>
      <c r="FU228" s="487"/>
      <c r="FV228" s="487"/>
      <c r="FW228" s="487"/>
      <c r="FX228" s="487"/>
      <c r="FY228" s="487"/>
      <c r="FZ228" s="487"/>
      <c r="GA228" s="487"/>
      <c r="GB228" s="487"/>
      <c r="GC228" s="487"/>
      <c r="GD228" s="487"/>
      <c r="GE228" s="487"/>
      <c r="GF228" s="487"/>
      <c r="GG228" s="487"/>
      <c r="GH228" s="487"/>
      <c r="GI228" s="487"/>
      <c r="GJ228" s="487"/>
      <c r="GK228" s="487"/>
      <c r="GL228" s="487"/>
      <c r="GM228" s="487"/>
      <c r="GN228" s="487"/>
      <c r="GO228" s="487"/>
      <c r="GP228" s="487"/>
      <c r="GQ228" s="487"/>
      <c r="GR228" s="487"/>
      <c r="GS228" s="487"/>
      <c r="GT228" s="487"/>
      <c r="GU228" s="487"/>
      <c r="GV228" s="487"/>
      <c r="GW228" s="487"/>
      <c r="GX228" s="487"/>
      <c r="GY228" s="487"/>
      <c r="GZ228" s="487"/>
      <c r="HA228" s="487"/>
      <c r="HB228" s="487"/>
      <c r="HC228" s="487"/>
      <c r="HD228" s="487"/>
      <c r="HE228" s="487"/>
      <c r="HF228" s="487"/>
      <c r="HG228" s="487"/>
      <c r="HH228" s="487"/>
      <c r="HI228" s="487"/>
      <c r="HJ228" s="487"/>
      <c r="HK228" s="487"/>
      <c r="HL228" s="487"/>
      <c r="HM228" s="487"/>
      <c r="HN228" s="487"/>
      <c r="HO228" s="487"/>
      <c r="HP228" s="487"/>
      <c r="HQ228" s="487"/>
      <c r="HR228" s="487"/>
      <c r="HS228" s="488"/>
      <c r="HT228" s="489"/>
      <c r="HU228" s="489"/>
      <c r="HV228" s="489"/>
      <c r="HW228" s="489"/>
      <c r="HX228" s="489"/>
      <c r="HY228" s="489"/>
      <c r="HZ228" s="489"/>
      <c r="IA228" s="489"/>
      <c r="IB228" s="489"/>
      <c r="IC228" s="489"/>
      <c r="ID228" s="489"/>
      <c r="IE228" s="489"/>
      <c r="IF228" s="489"/>
      <c r="IG228" s="489"/>
      <c r="IH228" s="489"/>
      <c r="II228" s="489"/>
      <c r="IJ228" s="489"/>
      <c r="IK228" s="489"/>
      <c r="IL228" s="489"/>
      <c r="IM228" s="489"/>
      <c r="IN228" s="489"/>
      <c r="IO228" s="489"/>
      <c r="IP228" s="489"/>
      <c r="IQ228" s="489"/>
    </row>
    <row r="229" spans="1:251" s="486" customFormat="1" x14ac:dyDescent="0.2">
      <c r="A229" s="453" t="s">
        <v>10173</v>
      </c>
      <c r="B229" s="453" t="s">
        <v>10174</v>
      </c>
      <c r="C229" s="454" t="s">
        <v>386</v>
      </c>
      <c r="D229" s="455" t="s">
        <v>9783</v>
      </c>
      <c r="E229" s="456" t="s">
        <v>9710</v>
      </c>
      <c r="F229" s="456" t="s">
        <v>10146</v>
      </c>
      <c r="G229" s="456" t="s">
        <v>7180</v>
      </c>
      <c r="H229" s="457">
        <v>166.32000000000002</v>
      </c>
      <c r="I229" s="457">
        <f t="shared" si="15"/>
        <v>178.79400000000001</v>
      </c>
      <c r="J229" s="457" t="s">
        <v>9706</v>
      </c>
      <c r="K229" s="458">
        <v>0.3</v>
      </c>
      <c r="L229" s="459">
        <f t="shared" si="12"/>
        <v>116.42400000000001</v>
      </c>
      <c r="M229" s="460">
        <v>0.18</v>
      </c>
      <c r="N229" s="461">
        <f t="shared" si="13"/>
        <v>146.61108000000002</v>
      </c>
      <c r="O229" s="462">
        <v>0.1</v>
      </c>
      <c r="P229" s="463">
        <f t="shared" si="14"/>
        <v>160.91460000000001</v>
      </c>
      <c r="Q229" s="484"/>
      <c r="R229" s="465">
        <v>20</v>
      </c>
      <c r="S229" s="465">
        <v>20</v>
      </c>
      <c r="T229" s="465">
        <v>20</v>
      </c>
      <c r="U229" s="466"/>
      <c r="V229" s="485"/>
      <c r="W229" s="485"/>
      <c r="X229" s="485"/>
      <c r="Y229" s="485"/>
      <c r="Z229" s="485"/>
      <c r="AA229" s="485"/>
      <c r="AB229" s="485"/>
      <c r="AC229" s="485"/>
      <c r="AD229" s="485"/>
      <c r="AE229" s="485"/>
      <c r="AF229" s="485"/>
      <c r="AG229" s="485"/>
      <c r="AH229" s="485"/>
      <c r="AI229" s="485"/>
      <c r="AJ229" s="485"/>
      <c r="AK229" s="485"/>
      <c r="AL229" s="485"/>
      <c r="AM229" s="485"/>
      <c r="AN229" s="487"/>
      <c r="AO229" s="487"/>
      <c r="AP229" s="487"/>
      <c r="AQ229" s="487"/>
      <c r="AR229" s="487"/>
      <c r="AS229" s="487"/>
      <c r="AT229" s="487"/>
      <c r="AU229" s="487"/>
      <c r="AV229" s="487"/>
      <c r="AW229" s="487"/>
      <c r="AX229" s="487"/>
      <c r="AY229" s="487"/>
      <c r="AZ229" s="487"/>
      <c r="BA229" s="487"/>
      <c r="BB229" s="487"/>
      <c r="BC229" s="487"/>
      <c r="BD229" s="487"/>
      <c r="BE229" s="487"/>
      <c r="BF229" s="487"/>
      <c r="BG229" s="487"/>
      <c r="BH229" s="487"/>
      <c r="BI229" s="487"/>
      <c r="BJ229" s="487"/>
      <c r="BK229" s="487"/>
      <c r="BL229" s="487"/>
      <c r="BM229" s="487"/>
      <c r="BN229" s="487"/>
      <c r="BO229" s="487"/>
      <c r="BP229" s="487"/>
      <c r="BQ229" s="487"/>
      <c r="BR229" s="487"/>
      <c r="BS229" s="487"/>
      <c r="BT229" s="487"/>
      <c r="BU229" s="487"/>
      <c r="BV229" s="487"/>
      <c r="BW229" s="487"/>
      <c r="BX229" s="487"/>
      <c r="BY229" s="487"/>
      <c r="BZ229" s="487"/>
      <c r="CA229" s="487"/>
      <c r="CB229" s="487"/>
      <c r="CC229" s="487"/>
      <c r="CD229" s="487"/>
      <c r="CE229" s="487"/>
      <c r="CF229" s="487"/>
      <c r="CG229" s="487"/>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87"/>
      <c r="DM229" s="487"/>
      <c r="DN229" s="487"/>
      <c r="DO229" s="487"/>
      <c r="DP229" s="487"/>
      <c r="DQ229" s="487"/>
      <c r="DR229" s="487"/>
      <c r="DS229" s="487"/>
      <c r="DT229" s="487"/>
      <c r="DU229" s="487"/>
      <c r="DV229" s="487"/>
      <c r="DW229" s="487"/>
      <c r="DX229" s="487"/>
      <c r="DY229" s="487"/>
      <c r="DZ229" s="487"/>
      <c r="EA229" s="487"/>
      <c r="EB229" s="487"/>
      <c r="EC229" s="487"/>
      <c r="ED229" s="487"/>
      <c r="EE229" s="487"/>
      <c r="EF229" s="487"/>
      <c r="EG229" s="487"/>
      <c r="EH229" s="487"/>
      <c r="EI229" s="487"/>
      <c r="EJ229" s="487"/>
      <c r="EK229" s="487"/>
      <c r="EL229" s="487"/>
      <c r="EM229" s="487"/>
      <c r="EN229" s="487"/>
      <c r="EO229" s="487"/>
      <c r="EP229" s="487"/>
      <c r="EQ229" s="487"/>
      <c r="ER229" s="487"/>
      <c r="ES229" s="487"/>
      <c r="ET229" s="487"/>
      <c r="EU229" s="487"/>
      <c r="EV229" s="487"/>
      <c r="EW229" s="487"/>
      <c r="EX229" s="487"/>
      <c r="EY229" s="487"/>
      <c r="EZ229" s="487"/>
      <c r="FA229" s="487"/>
      <c r="FB229" s="487"/>
      <c r="FC229" s="487"/>
      <c r="FD229" s="487"/>
      <c r="FE229" s="487"/>
      <c r="FF229" s="487"/>
      <c r="FG229" s="487"/>
      <c r="FH229" s="487"/>
      <c r="FI229" s="487"/>
      <c r="FJ229" s="487"/>
      <c r="FK229" s="487"/>
      <c r="FL229" s="487"/>
      <c r="FM229" s="487"/>
      <c r="FN229" s="487"/>
      <c r="FO229" s="487"/>
      <c r="FP229" s="487"/>
      <c r="FQ229" s="487"/>
      <c r="FR229" s="487"/>
      <c r="FS229" s="487"/>
      <c r="FT229" s="487"/>
      <c r="FU229" s="487"/>
      <c r="FV229" s="487"/>
      <c r="FW229" s="487"/>
      <c r="FX229" s="487"/>
      <c r="FY229" s="487"/>
      <c r="FZ229" s="487"/>
      <c r="GA229" s="487"/>
      <c r="GB229" s="487"/>
      <c r="GC229" s="487"/>
      <c r="GD229" s="487"/>
      <c r="GE229" s="487"/>
      <c r="GF229" s="487"/>
      <c r="GG229" s="487"/>
      <c r="GH229" s="487"/>
      <c r="GI229" s="487"/>
      <c r="GJ229" s="487"/>
      <c r="GK229" s="487"/>
      <c r="GL229" s="487"/>
      <c r="GM229" s="487"/>
      <c r="GN229" s="487"/>
      <c r="GO229" s="487"/>
      <c r="GP229" s="487"/>
      <c r="GQ229" s="487"/>
      <c r="GR229" s="487"/>
      <c r="GS229" s="487"/>
      <c r="GT229" s="487"/>
      <c r="GU229" s="487"/>
      <c r="GV229" s="487"/>
      <c r="GW229" s="487"/>
      <c r="GX229" s="487"/>
      <c r="GY229" s="487"/>
      <c r="GZ229" s="487"/>
      <c r="HA229" s="487"/>
      <c r="HB229" s="487"/>
      <c r="HC229" s="487"/>
      <c r="HD229" s="487"/>
      <c r="HE229" s="487"/>
      <c r="HF229" s="487"/>
      <c r="HG229" s="487"/>
      <c r="HH229" s="487"/>
      <c r="HI229" s="487"/>
      <c r="HJ229" s="487"/>
      <c r="HK229" s="487"/>
      <c r="HL229" s="487"/>
      <c r="HM229" s="487"/>
      <c r="HN229" s="487"/>
      <c r="HO229" s="487"/>
      <c r="HP229" s="487"/>
      <c r="HQ229" s="487"/>
      <c r="HR229" s="487"/>
      <c r="HS229" s="490"/>
    </row>
    <row r="230" spans="1:251" s="486" customFormat="1" ht="15" customHeight="1" x14ac:dyDescent="0.2">
      <c r="A230" s="453" t="s">
        <v>10175</v>
      </c>
      <c r="B230" s="453" t="s">
        <v>10176</v>
      </c>
      <c r="C230" s="454" t="s">
        <v>386</v>
      </c>
      <c r="D230" s="455" t="s">
        <v>9783</v>
      </c>
      <c r="E230" s="456" t="s">
        <v>9716</v>
      </c>
      <c r="F230" s="456" t="s">
        <v>10146</v>
      </c>
      <c r="G230" s="456" t="s">
        <v>7180</v>
      </c>
      <c r="H230" s="457">
        <v>177.12</v>
      </c>
      <c r="I230" s="457">
        <f t="shared" si="15"/>
        <v>190.404</v>
      </c>
      <c r="J230" s="457" t="s">
        <v>9706</v>
      </c>
      <c r="K230" s="458">
        <v>0.3</v>
      </c>
      <c r="L230" s="459">
        <f t="shared" si="12"/>
        <v>123.98399999999999</v>
      </c>
      <c r="M230" s="460">
        <v>0.18</v>
      </c>
      <c r="N230" s="461">
        <f t="shared" si="13"/>
        <v>156.13128</v>
      </c>
      <c r="O230" s="462">
        <v>0.1</v>
      </c>
      <c r="P230" s="463">
        <f t="shared" si="14"/>
        <v>171.36359999999999</v>
      </c>
      <c r="Q230" s="484"/>
      <c r="R230" s="465">
        <v>20</v>
      </c>
      <c r="S230" s="465">
        <v>20</v>
      </c>
      <c r="T230" s="465">
        <v>20</v>
      </c>
      <c r="U230" s="466"/>
      <c r="V230" s="485"/>
      <c r="W230" s="485"/>
      <c r="X230" s="485"/>
      <c r="Y230" s="485"/>
      <c r="Z230" s="485"/>
      <c r="AA230" s="485"/>
      <c r="AB230" s="485"/>
      <c r="AC230" s="485"/>
      <c r="AD230" s="485"/>
      <c r="AE230" s="485"/>
      <c r="AF230" s="485"/>
      <c r="AG230" s="485"/>
      <c r="AH230" s="485"/>
      <c r="AI230" s="485"/>
      <c r="AJ230" s="485"/>
      <c r="AK230" s="485"/>
      <c r="AL230" s="485"/>
      <c r="AM230" s="485"/>
      <c r="AN230" s="487"/>
      <c r="AO230" s="487"/>
      <c r="AP230" s="487"/>
      <c r="AQ230" s="487"/>
      <c r="AR230" s="487"/>
      <c r="AS230" s="487"/>
      <c r="AT230" s="487"/>
      <c r="AU230" s="487"/>
      <c r="AV230" s="487"/>
      <c r="AW230" s="487"/>
      <c r="AX230" s="487"/>
      <c r="AY230" s="487"/>
      <c r="AZ230" s="487"/>
      <c r="BA230" s="487"/>
      <c r="BB230" s="487"/>
      <c r="BC230" s="487"/>
      <c r="BD230" s="487"/>
      <c r="BE230" s="487"/>
      <c r="BF230" s="487"/>
      <c r="BG230" s="487"/>
      <c r="BH230" s="487"/>
      <c r="BI230" s="487"/>
      <c r="BJ230" s="487"/>
      <c r="BK230" s="487"/>
      <c r="BL230" s="487"/>
      <c r="BM230" s="487"/>
      <c r="BN230" s="487"/>
      <c r="BO230" s="487"/>
      <c r="BP230" s="487"/>
      <c r="BQ230" s="487"/>
      <c r="BR230" s="487"/>
      <c r="BS230" s="487"/>
      <c r="BT230" s="487"/>
      <c r="BU230" s="487"/>
      <c r="BV230" s="487"/>
      <c r="BW230" s="487"/>
      <c r="BX230" s="487"/>
      <c r="BY230" s="487"/>
      <c r="BZ230" s="487"/>
      <c r="CA230" s="487"/>
      <c r="CB230" s="487"/>
      <c r="CC230" s="487"/>
      <c r="CD230" s="487"/>
      <c r="CE230" s="487"/>
      <c r="CF230" s="487"/>
      <c r="CG230" s="487"/>
      <c r="CH230" s="487"/>
      <c r="CI230" s="487"/>
      <c r="CJ230" s="487"/>
      <c r="CK230" s="487"/>
      <c r="CL230" s="487"/>
      <c r="CM230" s="487"/>
      <c r="CN230" s="487"/>
      <c r="CO230" s="487"/>
      <c r="CP230" s="487"/>
      <c r="CQ230" s="487"/>
      <c r="CR230" s="487"/>
      <c r="CS230" s="487"/>
      <c r="CT230" s="487"/>
      <c r="CU230" s="487"/>
      <c r="CV230" s="487"/>
      <c r="CW230" s="487"/>
      <c r="CX230" s="487"/>
      <c r="CY230" s="487"/>
      <c r="CZ230" s="487"/>
      <c r="DA230" s="487"/>
      <c r="DB230" s="487"/>
      <c r="DC230" s="487"/>
      <c r="DD230" s="487"/>
      <c r="DE230" s="487"/>
      <c r="DF230" s="487"/>
      <c r="DG230" s="487"/>
      <c r="DH230" s="487"/>
      <c r="DI230" s="487"/>
      <c r="DJ230" s="487"/>
      <c r="DK230" s="487"/>
      <c r="DL230" s="487"/>
      <c r="DM230" s="487"/>
      <c r="DN230" s="487"/>
      <c r="DO230" s="487"/>
      <c r="DP230" s="487"/>
      <c r="DQ230" s="487"/>
      <c r="DR230" s="487"/>
      <c r="DS230" s="487"/>
      <c r="DT230" s="487"/>
      <c r="DU230" s="487"/>
      <c r="DV230" s="487"/>
      <c r="DW230" s="487"/>
      <c r="DX230" s="487"/>
      <c r="DY230" s="487"/>
      <c r="DZ230" s="487"/>
      <c r="EA230" s="487"/>
      <c r="EB230" s="487"/>
      <c r="EC230" s="487"/>
      <c r="ED230" s="487"/>
      <c r="EE230" s="487"/>
      <c r="EF230" s="487"/>
      <c r="EG230" s="487"/>
      <c r="EH230" s="487"/>
      <c r="EI230" s="487"/>
      <c r="EJ230" s="487"/>
      <c r="EK230" s="487"/>
      <c r="EL230" s="487"/>
      <c r="EM230" s="487"/>
      <c r="EN230" s="487"/>
      <c r="EO230" s="487"/>
      <c r="EP230" s="487"/>
      <c r="EQ230" s="487"/>
      <c r="ER230" s="487"/>
      <c r="ES230" s="487"/>
      <c r="ET230" s="487"/>
      <c r="EU230" s="487"/>
      <c r="EV230" s="487"/>
      <c r="EW230" s="487"/>
      <c r="EX230" s="487"/>
      <c r="EY230" s="487"/>
      <c r="EZ230" s="487"/>
      <c r="FA230" s="487"/>
      <c r="FB230" s="487"/>
      <c r="FC230" s="487"/>
      <c r="FD230" s="487"/>
      <c r="FE230" s="487"/>
      <c r="FF230" s="487"/>
      <c r="FG230" s="487"/>
      <c r="FH230" s="487"/>
      <c r="FI230" s="487"/>
      <c r="FJ230" s="487"/>
      <c r="FK230" s="487"/>
      <c r="FL230" s="487"/>
      <c r="FM230" s="487"/>
      <c r="FN230" s="487"/>
      <c r="FO230" s="487"/>
      <c r="FP230" s="487"/>
      <c r="FQ230" s="487"/>
      <c r="FR230" s="487"/>
      <c r="FS230" s="487"/>
      <c r="FT230" s="487"/>
      <c r="FU230" s="487"/>
      <c r="FV230" s="487"/>
      <c r="FW230" s="487"/>
      <c r="FX230" s="487"/>
      <c r="FY230" s="487"/>
      <c r="FZ230" s="487"/>
      <c r="GA230" s="487"/>
      <c r="GB230" s="487"/>
      <c r="GC230" s="487"/>
      <c r="GD230" s="487"/>
      <c r="GE230" s="487"/>
      <c r="GF230" s="487"/>
      <c r="GG230" s="487"/>
      <c r="GH230" s="487"/>
      <c r="GI230" s="487"/>
      <c r="GJ230" s="487"/>
      <c r="GK230" s="487"/>
      <c r="GL230" s="487"/>
      <c r="GM230" s="487"/>
      <c r="GN230" s="487"/>
      <c r="GO230" s="487"/>
      <c r="GP230" s="487"/>
      <c r="GQ230" s="487"/>
      <c r="GR230" s="487"/>
      <c r="GS230" s="487"/>
      <c r="GT230" s="487"/>
      <c r="GU230" s="487"/>
      <c r="GV230" s="487"/>
      <c r="GW230" s="487"/>
      <c r="GX230" s="487"/>
      <c r="GY230" s="487"/>
      <c r="GZ230" s="487"/>
      <c r="HA230" s="487"/>
      <c r="HB230" s="487"/>
      <c r="HC230" s="487"/>
      <c r="HD230" s="487"/>
      <c r="HE230" s="487"/>
      <c r="HF230" s="487"/>
      <c r="HG230" s="487"/>
      <c r="HH230" s="487"/>
      <c r="HI230" s="487"/>
      <c r="HJ230" s="487"/>
      <c r="HK230" s="487"/>
      <c r="HL230" s="487"/>
      <c r="HM230" s="487"/>
      <c r="HN230" s="487"/>
      <c r="HO230" s="487"/>
      <c r="HP230" s="487"/>
      <c r="HQ230" s="487"/>
      <c r="HR230" s="487"/>
      <c r="HS230" s="490"/>
    </row>
    <row r="231" spans="1:251" s="486" customFormat="1" ht="15" customHeight="1" x14ac:dyDescent="0.2">
      <c r="A231" s="474" t="s">
        <v>10177</v>
      </c>
      <c r="B231" s="474" t="s">
        <v>10178</v>
      </c>
      <c r="C231" s="454" t="s">
        <v>386</v>
      </c>
      <c r="D231" s="455" t="s">
        <v>9783</v>
      </c>
      <c r="E231" s="456" t="s">
        <v>9716</v>
      </c>
      <c r="F231" s="456" t="s">
        <v>10179</v>
      </c>
      <c r="G231" s="456" t="s">
        <v>7180</v>
      </c>
      <c r="H231" s="457">
        <v>166.32000000000002</v>
      </c>
      <c r="I231" s="457">
        <f t="shared" si="15"/>
        <v>178.79400000000001</v>
      </c>
      <c r="J231" s="457" t="s">
        <v>9706</v>
      </c>
      <c r="K231" s="458">
        <v>0.3</v>
      </c>
      <c r="L231" s="459">
        <f t="shared" si="12"/>
        <v>116.42400000000001</v>
      </c>
      <c r="M231" s="460">
        <v>0.18</v>
      </c>
      <c r="N231" s="461">
        <f t="shared" si="13"/>
        <v>146.61108000000002</v>
      </c>
      <c r="O231" s="462">
        <v>0.1</v>
      </c>
      <c r="P231" s="463">
        <f t="shared" si="14"/>
        <v>160.91460000000001</v>
      </c>
      <c r="Q231" s="484"/>
      <c r="R231" s="465">
        <v>20</v>
      </c>
      <c r="S231" s="465">
        <v>20</v>
      </c>
      <c r="T231" s="465">
        <v>20</v>
      </c>
      <c r="U231" s="466"/>
      <c r="V231" s="485"/>
      <c r="W231" s="485"/>
      <c r="X231" s="485"/>
      <c r="Y231" s="485"/>
      <c r="Z231" s="485"/>
      <c r="AA231" s="485"/>
      <c r="AB231" s="485"/>
      <c r="AC231" s="485"/>
      <c r="AD231" s="485"/>
      <c r="AE231" s="485"/>
      <c r="AF231" s="485"/>
      <c r="AG231" s="485"/>
      <c r="AH231" s="485"/>
      <c r="AI231" s="485"/>
      <c r="AJ231" s="485"/>
      <c r="AK231" s="485"/>
      <c r="AL231" s="485"/>
      <c r="AM231" s="485"/>
      <c r="AN231" s="487"/>
      <c r="AO231" s="487"/>
      <c r="AP231" s="487"/>
      <c r="AQ231" s="487"/>
      <c r="AR231" s="487"/>
      <c r="AS231" s="487"/>
      <c r="AT231" s="487"/>
      <c r="AU231" s="487"/>
      <c r="AV231" s="487"/>
      <c r="AW231" s="487"/>
      <c r="AX231" s="487"/>
      <c r="AY231" s="487"/>
      <c r="AZ231" s="487"/>
      <c r="BA231" s="487"/>
      <c r="BB231" s="487"/>
      <c r="BC231" s="487"/>
      <c r="BD231" s="487"/>
      <c r="BE231" s="487"/>
      <c r="BF231" s="487"/>
      <c r="BG231" s="487"/>
      <c r="BH231" s="487"/>
      <c r="BI231" s="487"/>
      <c r="BJ231" s="487"/>
      <c r="BK231" s="487"/>
      <c r="BL231" s="487"/>
      <c r="BM231" s="487"/>
      <c r="BN231" s="487"/>
      <c r="BO231" s="487"/>
      <c r="BP231" s="487"/>
      <c r="BQ231" s="487"/>
      <c r="BR231" s="487"/>
      <c r="BS231" s="487"/>
      <c r="BT231" s="487"/>
      <c r="BU231" s="487"/>
      <c r="BV231" s="487"/>
      <c r="BW231" s="487"/>
      <c r="BX231" s="487"/>
      <c r="BY231" s="487"/>
      <c r="BZ231" s="487"/>
      <c r="CA231" s="487"/>
      <c r="CB231" s="487"/>
      <c r="CC231" s="487"/>
      <c r="CD231" s="487"/>
      <c r="CE231" s="487"/>
      <c r="CF231" s="487"/>
      <c r="CG231" s="487"/>
      <c r="CH231" s="487"/>
      <c r="CI231" s="487"/>
      <c r="CJ231" s="487"/>
      <c r="CK231" s="487"/>
      <c r="CL231" s="487"/>
      <c r="CM231" s="487"/>
      <c r="CN231" s="487"/>
      <c r="CO231" s="487"/>
      <c r="CP231" s="487"/>
      <c r="CQ231" s="487"/>
      <c r="CR231" s="487"/>
      <c r="CS231" s="487"/>
      <c r="CT231" s="487"/>
      <c r="CU231" s="487"/>
      <c r="CV231" s="487"/>
      <c r="CW231" s="487"/>
      <c r="CX231" s="487"/>
      <c r="CY231" s="487"/>
      <c r="CZ231" s="487"/>
      <c r="DA231" s="487"/>
      <c r="DB231" s="487"/>
      <c r="DC231" s="487"/>
      <c r="DD231" s="487"/>
      <c r="DE231" s="487"/>
      <c r="DF231" s="487"/>
      <c r="DG231" s="487"/>
      <c r="DH231" s="487"/>
      <c r="DI231" s="487"/>
      <c r="DJ231" s="487"/>
      <c r="DK231" s="487"/>
      <c r="DL231" s="487"/>
      <c r="DM231" s="487"/>
      <c r="DN231" s="487"/>
      <c r="DO231" s="487"/>
      <c r="DP231" s="487"/>
      <c r="DQ231" s="487"/>
      <c r="DR231" s="487"/>
      <c r="DS231" s="487"/>
      <c r="DT231" s="487"/>
      <c r="DU231" s="487"/>
      <c r="DV231" s="487"/>
      <c r="DW231" s="487"/>
      <c r="DX231" s="487"/>
      <c r="DY231" s="487"/>
      <c r="DZ231" s="487"/>
      <c r="EA231" s="487"/>
      <c r="EB231" s="487"/>
      <c r="EC231" s="487"/>
      <c r="ED231" s="487"/>
      <c r="EE231" s="487"/>
      <c r="EF231" s="487"/>
      <c r="EG231" s="487"/>
      <c r="EH231" s="487"/>
      <c r="EI231" s="487"/>
      <c r="EJ231" s="487"/>
      <c r="EK231" s="487"/>
      <c r="EL231" s="487"/>
      <c r="EM231" s="487"/>
      <c r="EN231" s="487"/>
      <c r="EO231" s="487"/>
      <c r="EP231" s="487"/>
      <c r="EQ231" s="487"/>
      <c r="ER231" s="487"/>
      <c r="ES231" s="487"/>
      <c r="ET231" s="487"/>
      <c r="EU231" s="487"/>
      <c r="EV231" s="487"/>
      <c r="EW231" s="487"/>
      <c r="EX231" s="487"/>
      <c r="EY231" s="487"/>
      <c r="EZ231" s="487"/>
      <c r="FA231" s="487"/>
      <c r="FB231" s="487"/>
      <c r="FC231" s="487"/>
      <c r="FD231" s="487"/>
      <c r="FE231" s="487"/>
      <c r="FF231" s="487"/>
      <c r="FG231" s="487"/>
      <c r="FH231" s="487"/>
      <c r="FI231" s="487"/>
      <c r="FJ231" s="487"/>
      <c r="FK231" s="487"/>
      <c r="FL231" s="487"/>
      <c r="FM231" s="487"/>
      <c r="FN231" s="487"/>
      <c r="FO231" s="487"/>
      <c r="FP231" s="487"/>
      <c r="FQ231" s="487"/>
      <c r="FR231" s="487"/>
      <c r="FS231" s="487"/>
      <c r="FT231" s="487"/>
      <c r="FU231" s="487"/>
      <c r="FV231" s="487"/>
      <c r="FW231" s="487"/>
      <c r="FX231" s="487"/>
      <c r="FY231" s="487"/>
      <c r="FZ231" s="487"/>
      <c r="GA231" s="487"/>
      <c r="GB231" s="487"/>
      <c r="GC231" s="487"/>
      <c r="GD231" s="487"/>
      <c r="GE231" s="487"/>
      <c r="GF231" s="487"/>
      <c r="GG231" s="487"/>
      <c r="GH231" s="487"/>
      <c r="GI231" s="487"/>
      <c r="GJ231" s="487"/>
      <c r="GK231" s="487"/>
      <c r="GL231" s="487"/>
      <c r="GM231" s="487"/>
      <c r="GN231" s="487"/>
      <c r="GO231" s="487"/>
      <c r="GP231" s="487"/>
      <c r="GQ231" s="487"/>
      <c r="GR231" s="487"/>
      <c r="GS231" s="487"/>
      <c r="GT231" s="487"/>
      <c r="GU231" s="487"/>
      <c r="GV231" s="487"/>
      <c r="GW231" s="487"/>
      <c r="GX231" s="487"/>
      <c r="GY231" s="487"/>
      <c r="GZ231" s="487"/>
      <c r="HA231" s="487"/>
      <c r="HB231" s="487"/>
      <c r="HC231" s="487"/>
      <c r="HD231" s="487"/>
      <c r="HE231" s="487"/>
      <c r="HF231" s="487"/>
      <c r="HG231" s="487"/>
      <c r="HH231" s="487"/>
      <c r="HI231" s="487"/>
      <c r="HJ231" s="487"/>
      <c r="HK231" s="487"/>
      <c r="HL231" s="487"/>
      <c r="HM231" s="487"/>
      <c r="HN231" s="487"/>
      <c r="HO231" s="487"/>
      <c r="HP231" s="487"/>
      <c r="HQ231" s="487"/>
      <c r="HR231" s="487"/>
      <c r="HS231" s="490"/>
    </row>
    <row r="232" spans="1:251" s="486" customFormat="1" ht="15" customHeight="1" x14ac:dyDescent="0.2">
      <c r="A232" s="453" t="s">
        <v>10180</v>
      </c>
      <c r="B232" s="453" t="s">
        <v>10181</v>
      </c>
      <c r="C232" s="473" t="s">
        <v>386</v>
      </c>
      <c r="D232" s="455" t="s">
        <v>9783</v>
      </c>
      <c r="E232" s="456" t="s">
        <v>9758</v>
      </c>
      <c r="F232" s="456" t="s">
        <v>10179</v>
      </c>
      <c r="G232" s="456" t="s">
        <v>7180</v>
      </c>
      <c r="H232" s="457">
        <v>155.52000000000001</v>
      </c>
      <c r="I232" s="457">
        <f t="shared" si="15"/>
        <v>167.184</v>
      </c>
      <c r="J232" s="457" t="s">
        <v>9706</v>
      </c>
      <c r="K232" s="458">
        <v>0.3</v>
      </c>
      <c r="L232" s="459">
        <f t="shared" si="12"/>
        <v>108.864</v>
      </c>
      <c r="M232" s="460">
        <v>0.18</v>
      </c>
      <c r="N232" s="461">
        <f t="shared" si="13"/>
        <v>137.09088</v>
      </c>
      <c r="O232" s="462">
        <v>0.1</v>
      </c>
      <c r="P232" s="463">
        <f t="shared" si="14"/>
        <v>150.46559999999999</v>
      </c>
      <c r="Q232" s="484"/>
      <c r="R232" s="465">
        <v>6</v>
      </c>
      <c r="S232" s="465">
        <v>6</v>
      </c>
      <c r="T232" s="465">
        <v>6</v>
      </c>
      <c r="U232" s="466"/>
      <c r="V232" s="485"/>
      <c r="W232" s="485"/>
      <c r="X232" s="485"/>
      <c r="Y232" s="485"/>
      <c r="Z232" s="485"/>
      <c r="AA232" s="485"/>
      <c r="AB232" s="485"/>
      <c r="AC232" s="485"/>
      <c r="AD232" s="485"/>
      <c r="AE232" s="485"/>
      <c r="AF232" s="485"/>
      <c r="AG232" s="485"/>
      <c r="AH232" s="485"/>
      <c r="AI232" s="485"/>
      <c r="AJ232" s="485"/>
      <c r="AK232" s="485"/>
      <c r="AL232" s="485"/>
      <c r="AM232" s="485"/>
      <c r="AN232" s="487"/>
      <c r="AO232" s="487"/>
      <c r="AP232" s="487"/>
      <c r="AQ232" s="487"/>
      <c r="AR232" s="487"/>
      <c r="AS232" s="487"/>
      <c r="AT232" s="487"/>
      <c r="AU232" s="487"/>
      <c r="AV232" s="487"/>
      <c r="AW232" s="487"/>
      <c r="AX232" s="487"/>
      <c r="AY232" s="487"/>
      <c r="AZ232" s="487"/>
      <c r="BA232" s="487"/>
      <c r="BB232" s="487"/>
      <c r="BC232" s="487"/>
      <c r="BD232" s="487"/>
      <c r="BE232" s="487"/>
      <c r="BF232" s="487"/>
      <c r="BG232" s="487"/>
      <c r="BH232" s="487"/>
      <c r="BI232" s="487"/>
      <c r="BJ232" s="487"/>
      <c r="BK232" s="487"/>
      <c r="BL232" s="487"/>
      <c r="BM232" s="487"/>
      <c r="BN232" s="487"/>
      <c r="BO232" s="487"/>
      <c r="BP232" s="487"/>
      <c r="BQ232" s="487"/>
      <c r="BR232" s="487"/>
      <c r="BS232" s="487"/>
      <c r="BT232" s="487"/>
      <c r="BU232" s="487"/>
      <c r="BV232" s="487"/>
      <c r="BW232" s="487"/>
      <c r="BX232" s="487"/>
      <c r="BY232" s="487"/>
      <c r="BZ232" s="487"/>
      <c r="CA232" s="487"/>
      <c r="CB232" s="487"/>
      <c r="CC232" s="487"/>
      <c r="CD232" s="487"/>
      <c r="CE232" s="487"/>
      <c r="CF232" s="487"/>
      <c r="CG232" s="487"/>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87"/>
      <c r="DM232" s="487"/>
      <c r="DN232" s="487"/>
      <c r="DO232" s="487"/>
      <c r="DP232" s="487"/>
      <c r="DQ232" s="487"/>
      <c r="DR232" s="487"/>
      <c r="DS232" s="487"/>
      <c r="DT232" s="487"/>
      <c r="DU232" s="487"/>
      <c r="DV232" s="487"/>
      <c r="DW232" s="487"/>
      <c r="DX232" s="487"/>
      <c r="DY232" s="487"/>
      <c r="DZ232" s="487"/>
      <c r="EA232" s="487"/>
      <c r="EB232" s="487"/>
      <c r="EC232" s="487"/>
      <c r="ED232" s="487"/>
      <c r="EE232" s="487"/>
      <c r="EF232" s="487"/>
      <c r="EG232" s="487"/>
      <c r="EH232" s="487"/>
      <c r="EI232" s="487"/>
      <c r="EJ232" s="487"/>
      <c r="EK232" s="487"/>
      <c r="EL232" s="487"/>
      <c r="EM232" s="487"/>
      <c r="EN232" s="487"/>
      <c r="EO232" s="487"/>
      <c r="EP232" s="487"/>
      <c r="EQ232" s="487"/>
      <c r="ER232" s="487"/>
      <c r="ES232" s="487"/>
      <c r="ET232" s="487"/>
      <c r="EU232" s="487"/>
      <c r="EV232" s="487"/>
      <c r="EW232" s="487"/>
      <c r="EX232" s="487"/>
      <c r="EY232" s="487"/>
      <c r="EZ232" s="487"/>
      <c r="FA232" s="487"/>
      <c r="FB232" s="487"/>
      <c r="FC232" s="487"/>
      <c r="FD232" s="487"/>
      <c r="FE232" s="487"/>
      <c r="FF232" s="487"/>
      <c r="FG232" s="487"/>
      <c r="FH232" s="487"/>
      <c r="FI232" s="487"/>
      <c r="FJ232" s="487"/>
      <c r="FK232" s="487"/>
      <c r="FL232" s="487"/>
      <c r="FM232" s="487"/>
      <c r="FN232" s="487"/>
      <c r="FO232" s="487"/>
      <c r="FP232" s="487"/>
      <c r="FQ232" s="487"/>
      <c r="FR232" s="487"/>
      <c r="FS232" s="487"/>
      <c r="FT232" s="487"/>
      <c r="FU232" s="487"/>
      <c r="FV232" s="487"/>
      <c r="FW232" s="487"/>
      <c r="FX232" s="487"/>
      <c r="FY232" s="487"/>
      <c r="FZ232" s="487"/>
      <c r="GA232" s="487"/>
      <c r="GB232" s="487"/>
      <c r="GC232" s="487"/>
      <c r="GD232" s="487"/>
      <c r="GE232" s="487"/>
      <c r="GF232" s="487"/>
      <c r="GG232" s="487"/>
      <c r="GH232" s="487"/>
      <c r="GI232" s="487"/>
      <c r="GJ232" s="487"/>
      <c r="GK232" s="487"/>
      <c r="GL232" s="487"/>
      <c r="GM232" s="487"/>
      <c r="GN232" s="487"/>
      <c r="GO232" s="487"/>
      <c r="GP232" s="487"/>
      <c r="GQ232" s="487"/>
      <c r="GR232" s="487"/>
      <c r="GS232" s="487"/>
      <c r="GT232" s="487"/>
      <c r="GU232" s="487"/>
      <c r="GV232" s="487"/>
      <c r="GW232" s="487"/>
      <c r="GX232" s="487"/>
      <c r="GY232" s="487"/>
      <c r="GZ232" s="487"/>
      <c r="HA232" s="487"/>
      <c r="HB232" s="487"/>
      <c r="HC232" s="487"/>
      <c r="HD232" s="487"/>
      <c r="HE232" s="487"/>
      <c r="HF232" s="487"/>
      <c r="HG232" s="487"/>
      <c r="HH232" s="487"/>
      <c r="HI232" s="487"/>
      <c r="HJ232" s="487"/>
      <c r="HK232" s="487"/>
      <c r="HL232" s="487"/>
      <c r="HM232" s="487"/>
      <c r="HN232" s="487"/>
      <c r="HO232" s="487"/>
      <c r="HP232" s="487"/>
      <c r="HQ232" s="487"/>
      <c r="HR232" s="487"/>
      <c r="HS232" s="490"/>
    </row>
    <row r="233" spans="1:251" s="486" customFormat="1" ht="15" customHeight="1" x14ac:dyDescent="0.2">
      <c r="A233" s="453" t="s">
        <v>10182</v>
      </c>
      <c r="B233" s="453" t="s">
        <v>10183</v>
      </c>
      <c r="C233" s="473" t="s">
        <v>386</v>
      </c>
      <c r="D233" s="455" t="s">
        <v>9783</v>
      </c>
      <c r="E233" s="456" t="s">
        <v>9758</v>
      </c>
      <c r="F233" s="456" t="s">
        <v>10179</v>
      </c>
      <c r="G233" s="456" t="s">
        <v>7180</v>
      </c>
      <c r="H233" s="457">
        <v>155.52000000000001</v>
      </c>
      <c r="I233" s="457">
        <f t="shared" si="15"/>
        <v>167.184</v>
      </c>
      <c r="J233" s="457" t="s">
        <v>9706</v>
      </c>
      <c r="K233" s="458">
        <v>0.3</v>
      </c>
      <c r="L233" s="459">
        <f t="shared" si="12"/>
        <v>108.864</v>
      </c>
      <c r="M233" s="460">
        <v>0.18</v>
      </c>
      <c r="N233" s="461">
        <f t="shared" si="13"/>
        <v>137.09088</v>
      </c>
      <c r="O233" s="462">
        <v>0.1</v>
      </c>
      <c r="P233" s="463">
        <f t="shared" si="14"/>
        <v>150.46559999999999</v>
      </c>
      <c r="Q233" s="484"/>
      <c r="R233" s="465">
        <v>6</v>
      </c>
      <c r="S233" s="465">
        <v>6</v>
      </c>
      <c r="T233" s="465">
        <v>6</v>
      </c>
      <c r="U233" s="466"/>
      <c r="V233" s="485"/>
      <c r="W233" s="485"/>
      <c r="X233" s="485"/>
      <c r="Y233" s="485"/>
      <c r="Z233" s="485"/>
      <c r="AA233" s="485"/>
      <c r="AB233" s="485"/>
      <c r="AC233" s="485"/>
      <c r="AD233" s="485"/>
      <c r="AE233" s="485"/>
      <c r="AF233" s="485"/>
      <c r="AG233" s="485"/>
      <c r="AH233" s="485"/>
      <c r="AI233" s="485"/>
      <c r="AJ233" s="485"/>
      <c r="AK233" s="485"/>
      <c r="AL233" s="485"/>
      <c r="AM233" s="485"/>
      <c r="AN233" s="487"/>
      <c r="AO233" s="487"/>
      <c r="AP233" s="487"/>
      <c r="AQ233" s="487"/>
      <c r="AR233" s="487"/>
      <c r="AS233" s="487"/>
      <c r="AT233" s="487"/>
      <c r="AU233" s="487"/>
      <c r="AV233" s="487"/>
      <c r="AW233" s="487"/>
      <c r="AX233" s="487"/>
      <c r="AY233" s="487"/>
      <c r="AZ233" s="487"/>
      <c r="BA233" s="487"/>
      <c r="BB233" s="487"/>
      <c r="BC233" s="487"/>
      <c r="BD233" s="487"/>
      <c r="BE233" s="487"/>
      <c r="BF233" s="487"/>
      <c r="BG233" s="487"/>
      <c r="BH233" s="487"/>
      <c r="BI233" s="487"/>
      <c r="BJ233" s="487"/>
      <c r="BK233" s="487"/>
      <c r="BL233" s="487"/>
      <c r="BM233" s="487"/>
      <c r="BN233" s="487"/>
      <c r="BO233" s="487"/>
      <c r="BP233" s="487"/>
      <c r="BQ233" s="487"/>
      <c r="BR233" s="487"/>
      <c r="BS233" s="487"/>
      <c r="BT233" s="487"/>
      <c r="BU233" s="487"/>
      <c r="BV233" s="487"/>
      <c r="BW233" s="487"/>
      <c r="BX233" s="487"/>
      <c r="BY233" s="487"/>
      <c r="BZ233" s="487"/>
      <c r="CA233" s="487"/>
      <c r="CB233" s="487"/>
      <c r="CC233" s="487"/>
      <c r="CD233" s="487"/>
      <c r="CE233" s="487"/>
      <c r="CF233" s="487"/>
      <c r="CG233" s="487"/>
      <c r="CH233" s="487"/>
      <c r="CI233" s="487"/>
      <c r="CJ233" s="487"/>
      <c r="CK233" s="487"/>
      <c r="CL233" s="487"/>
      <c r="CM233" s="487"/>
      <c r="CN233" s="487"/>
      <c r="CO233" s="487"/>
      <c r="CP233" s="487"/>
      <c r="CQ233" s="487"/>
      <c r="CR233" s="487"/>
      <c r="CS233" s="487"/>
      <c r="CT233" s="487"/>
      <c r="CU233" s="487"/>
      <c r="CV233" s="487"/>
      <c r="CW233" s="487"/>
      <c r="CX233" s="487"/>
      <c r="CY233" s="487"/>
      <c r="CZ233" s="487"/>
      <c r="DA233" s="487"/>
      <c r="DB233" s="487"/>
      <c r="DC233" s="487"/>
      <c r="DD233" s="487"/>
      <c r="DE233" s="487"/>
      <c r="DF233" s="487"/>
      <c r="DG233" s="487"/>
      <c r="DH233" s="487"/>
      <c r="DI233" s="487"/>
      <c r="DJ233" s="487"/>
      <c r="DK233" s="487"/>
      <c r="DL233" s="487"/>
      <c r="DM233" s="487"/>
      <c r="DN233" s="487"/>
      <c r="DO233" s="487"/>
      <c r="DP233" s="487"/>
      <c r="DQ233" s="487"/>
      <c r="DR233" s="487"/>
      <c r="DS233" s="487"/>
      <c r="DT233" s="487"/>
      <c r="DU233" s="487"/>
      <c r="DV233" s="487"/>
      <c r="DW233" s="487"/>
      <c r="DX233" s="487"/>
      <c r="DY233" s="487"/>
      <c r="DZ233" s="487"/>
      <c r="EA233" s="487"/>
      <c r="EB233" s="487"/>
      <c r="EC233" s="487"/>
      <c r="ED233" s="487"/>
      <c r="EE233" s="487"/>
      <c r="EF233" s="487"/>
      <c r="EG233" s="487"/>
      <c r="EH233" s="487"/>
      <c r="EI233" s="487"/>
      <c r="EJ233" s="487"/>
      <c r="EK233" s="487"/>
      <c r="EL233" s="487"/>
      <c r="EM233" s="487"/>
      <c r="EN233" s="487"/>
      <c r="EO233" s="487"/>
      <c r="EP233" s="487"/>
      <c r="EQ233" s="487"/>
      <c r="ER233" s="487"/>
      <c r="ES233" s="487"/>
      <c r="ET233" s="487"/>
      <c r="EU233" s="487"/>
      <c r="EV233" s="487"/>
      <c r="EW233" s="487"/>
      <c r="EX233" s="487"/>
      <c r="EY233" s="487"/>
      <c r="EZ233" s="487"/>
      <c r="FA233" s="487"/>
      <c r="FB233" s="487"/>
      <c r="FC233" s="487"/>
      <c r="FD233" s="487"/>
      <c r="FE233" s="487"/>
      <c r="FF233" s="487"/>
      <c r="FG233" s="487"/>
      <c r="FH233" s="487"/>
      <c r="FI233" s="487"/>
      <c r="FJ233" s="487"/>
      <c r="FK233" s="487"/>
      <c r="FL233" s="487"/>
      <c r="FM233" s="487"/>
      <c r="FN233" s="487"/>
      <c r="FO233" s="487"/>
      <c r="FP233" s="487"/>
      <c r="FQ233" s="487"/>
      <c r="FR233" s="487"/>
      <c r="FS233" s="487"/>
      <c r="FT233" s="487"/>
      <c r="FU233" s="487"/>
      <c r="FV233" s="487"/>
      <c r="FW233" s="487"/>
      <c r="FX233" s="487"/>
      <c r="FY233" s="487"/>
      <c r="FZ233" s="487"/>
      <c r="GA233" s="487"/>
      <c r="GB233" s="487"/>
      <c r="GC233" s="487"/>
      <c r="GD233" s="487"/>
      <c r="GE233" s="487"/>
      <c r="GF233" s="487"/>
      <c r="GG233" s="487"/>
      <c r="GH233" s="487"/>
      <c r="GI233" s="487"/>
      <c r="GJ233" s="487"/>
      <c r="GK233" s="487"/>
      <c r="GL233" s="487"/>
      <c r="GM233" s="487"/>
      <c r="GN233" s="487"/>
      <c r="GO233" s="487"/>
      <c r="GP233" s="487"/>
      <c r="GQ233" s="487"/>
      <c r="GR233" s="487"/>
      <c r="GS233" s="487"/>
      <c r="GT233" s="487"/>
      <c r="GU233" s="487"/>
      <c r="GV233" s="487"/>
      <c r="GW233" s="487"/>
      <c r="GX233" s="487"/>
      <c r="GY233" s="487"/>
      <c r="GZ233" s="487"/>
      <c r="HA233" s="487"/>
      <c r="HB233" s="487"/>
      <c r="HC233" s="487"/>
      <c r="HD233" s="487"/>
      <c r="HE233" s="487"/>
      <c r="HF233" s="487"/>
      <c r="HG233" s="487"/>
      <c r="HH233" s="487"/>
      <c r="HI233" s="487"/>
      <c r="HJ233" s="487"/>
      <c r="HK233" s="487"/>
      <c r="HL233" s="487"/>
      <c r="HM233" s="487"/>
      <c r="HN233" s="487"/>
      <c r="HO233" s="487"/>
      <c r="HP233" s="487"/>
      <c r="HQ233" s="487"/>
      <c r="HR233" s="487"/>
      <c r="HS233" s="490"/>
    </row>
    <row r="234" spans="1:251" s="486" customFormat="1" ht="15" customHeight="1" x14ac:dyDescent="0.2">
      <c r="A234" s="453" t="s">
        <v>10184</v>
      </c>
      <c r="B234" s="453" t="s">
        <v>10185</v>
      </c>
      <c r="C234" s="473" t="s">
        <v>386</v>
      </c>
      <c r="D234" s="455" t="s">
        <v>9783</v>
      </c>
      <c r="E234" s="456" t="s">
        <v>9710</v>
      </c>
      <c r="F234" s="456" t="s">
        <v>10179</v>
      </c>
      <c r="G234" s="456" t="s">
        <v>7180</v>
      </c>
      <c r="H234" s="457">
        <v>155.52000000000001</v>
      </c>
      <c r="I234" s="457">
        <f t="shared" si="15"/>
        <v>167.184</v>
      </c>
      <c r="J234" s="457" t="s">
        <v>9706</v>
      </c>
      <c r="K234" s="458">
        <v>0.3</v>
      </c>
      <c r="L234" s="459">
        <f t="shared" si="12"/>
        <v>108.864</v>
      </c>
      <c r="M234" s="460">
        <v>0.18</v>
      </c>
      <c r="N234" s="461">
        <f t="shared" si="13"/>
        <v>137.09088</v>
      </c>
      <c r="O234" s="462">
        <v>0.1</v>
      </c>
      <c r="P234" s="463">
        <f t="shared" si="14"/>
        <v>150.46559999999999</v>
      </c>
      <c r="Q234" s="484"/>
      <c r="R234" s="465">
        <v>6</v>
      </c>
      <c r="S234" s="465">
        <v>6</v>
      </c>
      <c r="T234" s="465">
        <v>6</v>
      </c>
      <c r="U234" s="466"/>
      <c r="V234" s="485"/>
      <c r="W234" s="485"/>
      <c r="X234" s="485"/>
      <c r="Y234" s="485"/>
      <c r="Z234" s="485"/>
      <c r="AA234" s="485"/>
      <c r="AB234" s="485"/>
      <c r="AC234" s="485"/>
      <c r="AD234" s="485"/>
      <c r="AE234" s="485"/>
      <c r="AF234" s="485"/>
      <c r="AG234" s="485"/>
      <c r="AH234" s="485"/>
      <c r="AI234" s="485"/>
      <c r="AJ234" s="485"/>
      <c r="AK234" s="485"/>
      <c r="AL234" s="485"/>
      <c r="AM234" s="485"/>
      <c r="AN234" s="487"/>
      <c r="AO234" s="487"/>
      <c r="AP234" s="487"/>
      <c r="AQ234" s="487"/>
      <c r="AR234" s="487"/>
      <c r="AS234" s="487"/>
      <c r="AT234" s="487"/>
      <c r="AU234" s="487"/>
      <c r="AV234" s="487"/>
      <c r="AW234" s="487"/>
      <c r="AX234" s="487"/>
      <c r="AY234" s="487"/>
      <c r="AZ234" s="487"/>
      <c r="BA234" s="487"/>
      <c r="BB234" s="487"/>
      <c r="BC234" s="487"/>
      <c r="BD234" s="487"/>
      <c r="BE234" s="487"/>
      <c r="BF234" s="487"/>
      <c r="BG234" s="487"/>
      <c r="BH234" s="487"/>
      <c r="BI234" s="487"/>
      <c r="BJ234" s="487"/>
      <c r="BK234" s="487"/>
      <c r="BL234" s="487"/>
      <c r="BM234" s="487"/>
      <c r="BN234" s="487"/>
      <c r="BO234" s="487"/>
      <c r="BP234" s="487"/>
      <c r="BQ234" s="487"/>
      <c r="BR234" s="487"/>
      <c r="BS234" s="487"/>
      <c r="BT234" s="487"/>
      <c r="BU234" s="487"/>
      <c r="BV234" s="487"/>
      <c r="BW234" s="487"/>
      <c r="BX234" s="487"/>
      <c r="BY234" s="487"/>
      <c r="BZ234" s="487"/>
      <c r="CA234" s="487"/>
      <c r="CB234" s="487"/>
      <c r="CC234" s="487"/>
      <c r="CD234" s="487"/>
      <c r="CE234" s="487"/>
      <c r="CF234" s="487"/>
      <c r="CG234" s="487"/>
      <c r="CH234" s="487"/>
      <c r="CI234" s="487"/>
      <c r="CJ234" s="487"/>
      <c r="CK234" s="487"/>
      <c r="CL234" s="487"/>
      <c r="CM234" s="487"/>
      <c r="CN234" s="487"/>
      <c r="CO234" s="487"/>
      <c r="CP234" s="487"/>
      <c r="CQ234" s="487"/>
      <c r="CR234" s="487"/>
      <c r="CS234" s="487"/>
      <c r="CT234" s="487"/>
      <c r="CU234" s="487"/>
      <c r="CV234" s="487"/>
      <c r="CW234" s="487"/>
      <c r="CX234" s="487"/>
      <c r="CY234" s="487"/>
      <c r="CZ234" s="487"/>
      <c r="DA234" s="487"/>
      <c r="DB234" s="487"/>
      <c r="DC234" s="487"/>
      <c r="DD234" s="487"/>
      <c r="DE234" s="487"/>
      <c r="DF234" s="487"/>
      <c r="DG234" s="487"/>
      <c r="DH234" s="487"/>
      <c r="DI234" s="487"/>
      <c r="DJ234" s="487"/>
      <c r="DK234" s="487"/>
      <c r="DL234" s="487"/>
      <c r="DM234" s="487"/>
      <c r="DN234" s="487"/>
      <c r="DO234" s="487"/>
      <c r="DP234" s="487"/>
      <c r="DQ234" s="487"/>
      <c r="DR234" s="487"/>
      <c r="DS234" s="487"/>
      <c r="DT234" s="487"/>
      <c r="DU234" s="487"/>
      <c r="DV234" s="487"/>
      <c r="DW234" s="487"/>
      <c r="DX234" s="487"/>
      <c r="DY234" s="487"/>
      <c r="DZ234" s="487"/>
      <c r="EA234" s="487"/>
      <c r="EB234" s="487"/>
      <c r="EC234" s="487"/>
      <c r="ED234" s="487"/>
      <c r="EE234" s="487"/>
      <c r="EF234" s="487"/>
      <c r="EG234" s="487"/>
      <c r="EH234" s="487"/>
      <c r="EI234" s="487"/>
      <c r="EJ234" s="487"/>
      <c r="EK234" s="487"/>
      <c r="EL234" s="487"/>
      <c r="EM234" s="487"/>
      <c r="EN234" s="487"/>
      <c r="EO234" s="487"/>
      <c r="EP234" s="487"/>
      <c r="EQ234" s="487"/>
      <c r="ER234" s="487"/>
      <c r="ES234" s="487"/>
      <c r="ET234" s="487"/>
      <c r="EU234" s="487"/>
      <c r="EV234" s="487"/>
      <c r="EW234" s="487"/>
      <c r="EX234" s="487"/>
      <c r="EY234" s="487"/>
      <c r="EZ234" s="487"/>
      <c r="FA234" s="487"/>
      <c r="FB234" s="487"/>
      <c r="FC234" s="487"/>
      <c r="FD234" s="487"/>
      <c r="FE234" s="487"/>
      <c r="FF234" s="487"/>
      <c r="FG234" s="487"/>
      <c r="FH234" s="487"/>
      <c r="FI234" s="487"/>
      <c r="FJ234" s="487"/>
      <c r="FK234" s="487"/>
      <c r="FL234" s="487"/>
      <c r="FM234" s="487"/>
      <c r="FN234" s="487"/>
      <c r="FO234" s="487"/>
      <c r="FP234" s="487"/>
      <c r="FQ234" s="487"/>
      <c r="FR234" s="487"/>
      <c r="FS234" s="487"/>
      <c r="FT234" s="487"/>
      <c r="FU234" s="487"/>
      <c r="FV234" s="487"/>
      <c r="FW234" s="487"/>
      <c r="FX234" s="487"/>
      <c r="FY234" s="487"/>
      <c r="FZ234" s="487"/>
      <c r="GA234" s="487"/>
      <c r="GB234" s="487"/>
      <c r="GC234" s="487"/>
      <c r="GD234" s="487"/>
      <c r="GE234" s="487"/>
      <c r="GF234" s="487"/>
      <c r="GG234" s="487"/>
      <c r="GH234" s="487"/>
      <c r="GI234" s="487"/>
      <c r="GJ234" s="487"/>
      <c r="GK234" s="487"/>
      <c r="GL234" s="487"/>
      <c r="GM234" s="487"/>
      <c r="GN234" s="487"/>
      <c r="GO234" s="487"/>
      <c r="GP234" s="487"/>
      <c r="GQ234" s="487"/>
      <c r="GR234" s="487"/>
      <c r="GS234" s="487"/>
      <c r="GT234" s="487"/>
      <c r="GU234" s="487"/>
      <c r="GV234" s="487"/>
      <c r="GW234" s="487"/>
      <c r="GX234" s="487"/>
      <c r="GY234" s="487"/>
      <c r="GZ234" s="487"/>
      <c r="HA234" s="487"/>
      <c r="HB234" s="487"/>
      <c r="HC234" s="487"/>
      <c r="HD234" s="487"/>
      <c r="HE234" s="487"/>
      <c r="HF234" s="487"/>
      <c r="HG234" s="487"/>
      <c r="HH234" s="487"/>
      <c r="HI234" s="487"/>
      <c r="HJ234" s="487"/>
      <c r="HK234" s="487"/>
      <c r="HL234" s="487"/>
      <c r="HM234" s="487"/>
      <c r="HN234" s="487"/>
      <c r="HO234" s="487"/>
      <c r="HP234" s="487"/>
      <c r="HQ234" s="487"/>
      <c r="HR234" s="487"/>
      <c r="HS234" s="490"/>
    </row>
    <row r="235" spans="1:251" s="486" customFormat="1" ht="15" customHeight="1" x14ac:dyDescent="0.2">
      <c r="A235" s="453" t="s">
        <v>10186</v>
      </c>
      <c r="B235" s="453" t="s">
        <v>10187</v>
      </c>
      <c r="C235" s="473" t="s">
        <v>386</v>
      </c>
      <c r="D235" s="455" t="s">
        <v>9783</v>
      </c>
      <c r="E235" s="456" t="s">
        <v>9710</v>
      </c>
      <c r="F235" s="456" t="s">
        <v>10179</v>
      </c>
      <c r="G235" s="456" t="s">
        <v>7180</v>
      </c>
      <c r="H235" s="457">
        <v>155.52000000000001</v>
      </c>
      <c r="I235" s="457">
        <f t="shared" si="15"/>
        <v>167.184</v>
      </c>
      <c r="J235" s="457" t="s">
        <v>9706</v>
      </c>
      <c r="K235" s="458">
        <v>0.3</v>
      </c>
      <c r="L235" s="459">
        <f t="shared" si="12"/>
        <v>108.864</v>
      </c>
      <c r="M235" s="460">
        <v>0.18</v>
      </c>
      <c r="N235" s="461">
        <f t="shared" si="13"/>
        <v>137.09088</v>
      </c>
      <c r="O235" s="462">
        <v>0.1</v>
      </c>
      <c r="P235" s="463">
        <f t="shared" si="14"/>
        <v>150.46559999999999</v>
      </c>
      <c r="Q235" s="484"/>
      <c r="R235" s="465">
        <v>6</v>
      </c>
      <c r="S235" s="465">
        <v>6</v>
      </c>
      <c r="T235" s="465">
        <v>6</v>
      </c>
      <c r="U235" s="466"/>
      <c r="V235" s="485"/>
      <c r="W235" s="485"/>
      <c r="X235" s="485"/>
      <c r="Y235" s="485"/>
      <c r="Z235" s="485"/>
      <c r="AA235" s="485"/>
      <c r="AB235" s="485"/>
      <c r="AC235" s="485"/>
      <c r="AD235" s="485"/>
      <c r="AE235" s="485"/>
      <c r="AF235" s="485"/>
      <c r="AG235" s="485"/>
      <c r="AH235" s="485"/>
      <c r="AI235" s="485"/>
      <c r="AJ235" s="485"/>
      <c r="AK235" s="485"/>
      <c r="AL235" s="485"/>
      <c r="AM235" s="485"/>
      <c r="AN235" s="487"/>
      <c r="AO235" s="487"/>
      <c r="AP235" s="487"/>
      <c r="AQ235" s="487"/>
      <c r="AR235" s="487"/>
      <c r="AS235" s="487"/>
      <c r="AT235" s="487"/>
      <c r="AU235" s="487"/>
      <c r="AV235" s="487"/>
      <c r="AW235" s="487"/>
      <c r="AX235" s="487"/>
      <c r="AY235" s="487"/>
      <c r="AZ235" s="487"/>
      <c r="BA235" s="487"/>
      <c r="BB235" s="487"/>
      <c r="BC235" s="487"/>
      <c r="BD235" s="487"/>
      <c r="BE235" s="487"/>
      <c r="BF235" s="487"/>
      <c r="BG235" s="487"/>
      <c r="BH235" s="487"/>
      <c r="BI235" s="487"/>
      <c r="BJ235" s="487"/>
      <c r="BK235" s="487"/>
      <c r="BL235" s="487"/>
      <c r="BM235" s="487"/>
      <c r="BN235" s="487"/>
      <c r="BO235" s="487"/>
      <c r="BP235" s="487"/>
      <c r="BQ235" s="487"/>
      <c r="BR235" s="487"/>
      <c r="BS235" s="487"/>
      <c r="BT235" s="487"/>
      <c r="BU235" s="487"/>
      <c r="BV235" s="487"/>
      <c r="BW235" s="487"/>
      <c r="BX235" s="487"/>
      <c r="BY235" s="487"/>
      <c r="BZ235" s="487"/>
      <c r="CA235" s="487"/>
      <c r="CB235" s="487"/>
      <c r="CC235" s="487"/>
      <c r="CD235" s="487"/>
      <c r="CE235" s="487"/>
      <c r="CF235" s="487"/>
      <c r="CG235" s="487"/>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87"/>
      <c r="DM235" s="487"/>
      <c r="DN235" s="487"/>
      <c r="DO235" s="487"/>
      <c r="DP235" s="487"/>
      <c r="DQ235" s="487"/>
      <c r="DR235" s="487"/>
      <c r="DS235" s="487"/>
      <c r="DT235" s="487"/>
      <c r="DU235" s="487"/>
      <c r="DV235" s="487"/>
      <c r="DW235" s="487"/>
      <c r="DX235" s="487"/>
      <c r="DY235" s="487"/>
      <c r="DZ235" s="487"/>
      <c r="EA235" s="487"/>
      <c r="EB235" s="487"/>
      <c r="EC235" s="487"/>
      <c r="ED235" s="487"/>
      <c r="EE235" s="487"/>
      <c r="EF235" s="487"/>
      <c r="EG235" s="487"/>
      <c r="EH235" s="487"/>
      <c r="EI235" s="487"/>
      <c r="EJ235" s="487"/>
      <c r="EK235" s="487"/>
      <c r="EL235" s="487"/>
      <c r="EM235" s="487"/>
      <c r="EN235" s="487"/>
      <c r="EO235" s="487"/>
      <c r="EP235" s="487"/>
      <c r="EQ235" s="487"/>
      <c r="ER235" s="487"/>
      <c r="ES235" s="487"/>
      <c r="ET235" s="487"/>
      <c r="EU235" s="487"/>
      <c r="EV235" s="487"/>
      <c r="EW235" s="487"/>
      <c r="EX235" s="487"/>
      <c r="EY235" s="487"/>
      <c r="EZ235" s="487"/>
      <c r="FA235" s="487"/>
      <c r="FB235" s="487"/>
      <c r="FC235" s="487"/>
      <c r="FD235" s="487"/>
      <c r="FE235" s="487"/>
      <c r="FF235" s="487"/>
      <c r="FG235" s="487"/>
      <c r="FH235" s="487"/>
      <c r="FI235" s="487"/>
      <c r="FJ235" s="487"/>
      <c r="FK235" s="487"/>
      <c r="FL235" s="487"/>
      <c r="FM235" s="487"/>
      <c r="FN235" s="487"/>
      <c r="FO235" s="487"/>
      <c r="FP235" s="487"/>
      <c r="FQ235" s="487"/>
      <c r="FR235" s="487"/>
      <c r="FS235" s="487"/>
      <c r="FT235" s="487"/>
      <c r="FU235" s="487"/>
      <c r="FV235" s="487"/>
      <c r="FW235" s="487"/>
      <c r="FX235" s="487"/>
      <c r="FY235" s="487"/>
      <c r="FZ235" s="487"/>
      <c r="GA235" s="487"/>
      <c r="GB235" s="487"/>
      <c r="GC235" s="487"/>
      <c r="GD235" s="487"/>
      <c r="GE235" s="487"/>
      <c r="GF235" s="487"/>
      <c r="GG235" s="487"/>
      <c r="GH235" s="487"/>
      <c r="GI235" s="487"/>
      <c r="GJ235" s="487"/>
      <c r="GK235" s="487"/>
      <c r="GL235" s="487"/>
      <c r="GM235" s="487"/>
      <c r="GN235" s="487"/>
      <c r="GO235" s="487"/>
      <c r="GP235" s="487"/>
      <c r="GQ235" s="487"/>
      <c r="GR235" s="487"/>
      <c r="GS235" s="487"/>
      <c r="GT235" s="487"/>
      <c r="GU235" s="487"/>
      <c r="GV235" s="487"/>
      <c r="GW235" s="487"/>
      <c r="GX235" s="487"/>
      <c r="GY235" s="487"/>
      <c r="GZ235" s="487"/>
      <c r="HA235" s="487"/>
      <c r="HB235" s="487"/>
      <c r="HC235" s="487"/>
      <c r="HD235" s="487"/>
      <c r="HE235" s="487"/>
      <c r="HF235" s="487"/>
      <c r="HG235" s="487"/>
      <c r="HH235" s="487"/>
      <c r="HI235" s="487"/>
      <c r="HJ235" s="487"/>
      <c r="HK235" s="487"/>
      <c r="HL235" s="487"/>
      <c r="HM235" s="487"/>
      <c r="HN235" s="487"/>
      <c r="HO235" s="487"/>
      <c r="HP235" s="487"/>
      <c r="HQ235" s="487"/>
      <c r="HR235" s="487"/>
      <c r="HS235" s="490"/>
    </row>
    <row r="236" spans="1:251" s="486" customFormat="1" ht="15" customHeight="1" x14ac:dyDescent="0.2">
      <c r="A236" s="453" t="s">
        <v>10188</v>
      </c>
      <c r="B236" s="453" t="s">
        <v>10189</v>
      </c>
      <c r="C236" s="473" t="s">
        <v>386</v>
      </c>
      <c r="D236" s="455" t="s">
        <v>9783</v>
      </c>
      <c r="E236" s="456" t="s">
        <v>9710</v>
      </c>
      <c r="F236" s="456" t="s">
        <v>10179</v>
      </c>
      <c r="G236" s="456" t="s">
        <v>7180</v>
      </c>
      <c r="H236" s="457">
        <v>155.52000000000001</v>
      </c>
      <c r="I236" s="457">
        <f t="shared" si="15"/>
        <v>167.184</v>
      </c>
      <c r="J236" s="457" t="s">
        <v>9706</v>
      </c>
      <c r="K236" s="458">
        <v>0.3</v>
      </c>
      <c r="L236" s="459">
        <f t="shared" si="12"/>
        <v>108.864</v>
      </c>
      <c r="M236" s="460">
        <v>0.18</v>
      </c>
      <c r="N236" s="461">
        <f t="shared" si="13"/>
        <v>137.09088</v>
      </c>
      <c r="O236" s="462">
        <v>0.1</v>
      </c>
      <c r="P236" s="463">
        <f t="shared" si="14"/>
        <v>150.46559999999999</v>
      </c>
      <c r="Q236" s="484"/>
      <c r="R236" s="465">
        <v>6</v>
      </c>
      <c r="S236" s="465">
        <v>6</v>
      </c>
      <c r="T236" s="465">
        <v>6</v>
      </c>
      <c r="U236" s="466"/>
      <c r="V236" s="485"/>
      <c r="W236" s="485"/>
      <c r="X236" s="485"/>
      <c r="Y236" s="485"/>
      <c r="Z236" s="485"/>
      <c r="AA236" s="485"/>
      <c r="AB236" s="485"/>
      <c r="AC236" s="485"/>
      <c r="AD236" s="485"/>
      <c r="AE236" s="485"/>
      <c r="AF236" s="485"/>
      <c r="AG236" s="485"/>
      <c r="AH236" s="485"/>
      <c r="AI236" s="485"/>
      <c r="AJ236" s="485"/>
      <c r="AK236" s="485"/>
      <c r="AL236" s="485"/>
      <c r="AM236" s="485"/>
      <c r="AN236" s="487"/>
      <c r="AO236" s="487"/>
      <c r="AP236" s="487"/>
      <c r="AQ236" s="487"/>
      <c r="AR236" s="487"/>
      <c r="AS236" s="487"/>
      <c r="AT236" s="487"/>
      <c r="AU236" s="487"/>
      <c r="AV236" s="487"/>
      <c r="AW236" s="487"/>
      <c r="AX236" s="487"/>
      <c r="AY236" s="487"/>
      <c r="AZ236" s="487"/>
      <c r="BA236" s="487"/>
      <c r="BB236" s="487"/>
      <c r="BC236" s="487"/>
      <c r="BD236" s="487"/>
      <c r="BE236" s="487"/>
      <c r="BF236" s="487"/>
      <c r="BG236" s="487"/>
      <c r="BH236" s="487"/>
      <c r="BI236" s="487"/>
      <c r="BJ236" s="487"/>
      <c r="BK236" s="487"/>
      <c r="BL236" s="487"/>
      <c r="BM236" s="487"/>
      <c r="BN236" s="487"/>
      <c r="BO236" s="487"/>
      <c r="BP236" s="487"/>
      <c r="BQ236" s="487"/>
      <c r="BR236" s="487"/>
      <c r="BS236" s="487"/>
      <c r="BT236" s="487"/>
      <c r="BU236" s="487"/>
      <c r="BV236" s="487"/>
      <c r="BW236" s="487"/>
      <c r="BX236" s="487"/>
      <c r="BY236" s="487"/>
      <c r="BZ236" s="487"/>
      <c r="CA236" s="487"/>
      <c r="CB236" s="487"/>
      <c r="CC236" s="487"/>
      <c r="CD236" s="487"/>
      <c r="CE236" s="487"/>
      <c r="CF236" s="487"/>
      <c r="CG236" s="487"/>
      <c r="CH236" s="487"/>
      <c r="CI236" s="487"/>
      <c r="CJ236" s="487"/>
      <c r="CK236" s="487"/>
      <c r="CL236" s="487"/>
      <c r="CM236" s="487"/>
      <c r="CN236" s="487"/>
      <c r="CO236" s="487"/>
      <c r="CP236" s="487"/>
      <c r="CQ236" s="487"/>
      <c r="CR236" s="487"/>
      <c r="CS236" s="487"/>
      <c r="CT236" s="487"/>
      <c r="CU236" s="487"/>
      <c r="CV236" s="487"/>
      <c r="CW236" s="487"/>
      <c r="CX236" s="487"/>
      <c r="CY236" s="487"/>
      <c r="CZ236" s="487"/>
      <c r="DA236" s="487"/>
      <c r="DB236" s="487"/>
      <c r="DC236" s="487"/>
      <c r="DD236" s="487"/>
      <c r="DE236" s="487"/>
      <c r="DF236" s="487"/>
      <c r="DG236" s="487"/>
      <c r="DH236" s="487"/>
      <c r="DI236" s="487"/>
      <c r="DJ236" s="487"/>
      <c r="DK236" s="487"/>
      <c r="DL236" s="487"/>
      <c r="DM236" s="487"/>
      <c r="DN236" s="487"/>
      <c r="DO236" s="487"/>
      <c r="DP236" s="487"/>
      <c r="DQ236" s="487"/>
      <c r="DR236" s="487"/>
      <c r="DS236" s="487"/>
      <c r="DT236" s="487"/>
      <c r="DU236" s="487"/>
      <c r="DV236" s="487"/>
      <c r="DW236" s="487"/>
      <c r="DX236" s="487"/>
      <c r="DY236" s="487"/>
      <c r="DZ236" s="487"/>
      <c r="EA236" s="487"/>
      <c r="EB236" s="487"/>
      <c r="EC236" s="487"/>
      <c r="ED236" s="487"/>
      <c r="EE236" s="487"/>
      <c r="EF236" s="487"/>
      <c r="EG236" s="487"/>
      <c r="EH236" s="487"/>
      <c r="EI236" s="487"/>
      <c r="EJ236" s="487"/>
      <c r="EK236" s="487"/>
      <c r="EL236" s="487"/>
      <c r="EM236" s="487"/>
      <c r="EN236" s="487"/>
      <c r="EO236" s="487"/>
      <c r="EP236" s="487"/>
      <c r="EQ236" s="487"/>
      <c r="ER236" s="487"/>
      <c r="ES236" s="487"/>
      <c r="ET236" s="487"/>
      <c r="EU236" s="487"/>
      <c r="EV236" s="487"/>
      <c r="EW236" s="487"/>
      <c r="EX236" s="487"/>
      <c r="EY236" s="487"/>
      <c r="EZ236" s="487"/>
      <c r="FA236" s="487"/>
      <c r="FB236" s="487"/>
      <c r="FC236" s="487"/>
      <c r="FD236" s="487"/>
      <c r="FE236" s="487"/>
      <c r="FF236" s="487"/>
      <c r="FG236" s="487"/>
      <c r="FH236" s="487"/>
      <c r="FI236" s="487"/>
      <c r="FJ236" s="487"/>
      <c r="FK236" s="487"/>
      <c r="FL236" s="487"/>
      <c r="FM236" s="487"/>
      <c r="FN236" s="487"/>
      <c r="FO236" s="487"/>
      <c r="FP236" s="487"/>
      <c r="FQ236" s="487"/>
      <c r="FR236" s="487"/>
      <c r="FS236" s="487"/>
      <c r="FT236" s="487"/>
      <c r="FU236" s="487"/>
      <c r="FV236" s="487"/>
      <c r="FW236" s="487"/>
      <c r="FX236" s="487"/>
      <c r="FY236" s="487"/>
      <c r="FZ236" s="487"/>
      <c r="GA236" s="487"/>
      <c r="GB236" s="487"/>
      <c r="GC236" s="487"/>
      <c r="GD236" s="487"/>
      <c r="GE236" s="487"/>
      <c r="GF236" s="487"/>
      <c r="GG236" s="487"/>
      <c r="GH236" s="487"/>
      <c r="GI236" s="487"/>
      <c r="GJ236" s="487"/>
      <c r="GK236" s="487"/>
      <c r="GL236" s="487"/>
      <c r="GM236" s="487"/>
      <c r="GN236" s="487"/>
      <c r="GO236" s="487"/>
      <c r="GP236" s="487"/>
      <c r="GQ236" s="487"/>
      <c r="GR236" s="487"/>
      <c r="GS236" s="487"/>
      <c r="GT236" s="487"/>
      <c r="GU236" s="487"/>
      <c r="GV236" s="487"/>
      <c r="GW236" s="487"/>
      <c r="GX236" s="487"/>
      <c r="GY236" s="487"/>
      <c r="GZ236" s="487"/>
      <c r="HA236" s="487"/>
      <c r="HB236" s="487"/>
      <c r="HC236" s="487"/>
      <c r="HD236" s="487"/>
      <c r="HE236" s="487"/>
      <c r="HF236" s="487"/>
      <c r="HG236" s="487"/>
      <c r="HH236" s="487"/>
      <c r="HI236" s="487"/>
      <c r="HJ236" s="487"/>
      <c r="HK236" s="487"/>
      <c r="HL236" s="487"/>
      <c r="HM236" s="487"/>
      <c r="HN236" s="487"/>
      <c r="HO236" s="487"/>
      <c r="HP236" s="487"/>
      <c r="HQ236" s="487"/>
      <c r="HR236" s="487"/>
      <c r="HS236" s="490"/>
    </row>
    <row r="237" spans="1:251" s="486" customFormat="1" ht="15" customHeight="1" x14ac:dyDescent="0.2">
      <c r="A237" s="453" t="s">
        <v>10190</v>
      </c>
      <c r="B237" s="453" t="s">
        <v>10191</v>
      </c>
      <c r="C237" s="473" t="s">
        <v>386</v>
      </c>
      <c r="D237" s="455" t="s">
        <v>9783</v>
      </c>
      <c r="E237" s="456" t="s">
        <v>9710</v>
      </c>
      <c r="F237" s="456" t="s">
        <v>10179</v>
      </c>
      <c r="G237" s="456" t="s">
        <v>7180</v>
      </c>
      <c r="H237" s="457">
        <v>155.52000000000001</v>
      </c>
      <c r="I237" s="457">
        <f t="shared" si="15"/>
        <v>167.184</v>
      </c>
      <c r="J237" s="457" t="s">
        <v>9706</v>
      </c>
      <c r="K237" s="458">
        <v>0.3</v>
      </c>
      <c r="L237" s="459">
        <f t="shared" si="12"/>
        <v>108.864</v>
      </c>
      <c r="M237" s="460">
        <v>0.18</v>
      </c>
      <c r="N237" s="461">
        <f t="shared" si="13"/>
        <v>137.09088</v>
      </c>
      <c r="O237" s="462">
        <v>0.1</v>
      </c>
      <c r="P237" s="463">
        <f t="shared" si="14"/>
        <v>150.46559999999999</v>
      </c>
      <c r="Q237" s="484"/>
      <c r="R237" s="465">
        <v>6</v>
      </c>
      <c r="S237" s="465">
        <v>6</v>
      </c>
      <c r="T237" s="465">
        <v>6</v>
      </c>
      <c r="U237" s="466"/>
      <c r="V237" s="485"/>
      <c r="W237" s="485"/>
      <c r="X237" s="485"/>
      <c r="Y237" s="485"/>
      <c r="Z237" s="485"/>
      <c r="AA237" s="485"/>
      <c r="AB237" s="485"/>
      <c r="AC237" s="485"/>
      <c r="AD237" s="485"/>
      <c r="AE237" s="485"/>
      <c r="AF237" s="485"/>
      <c r="AG237" s="485"/>
      <c r="AH237" s="485"/>
      <c r="AI237" s="485"/>
      <c r="AJ237" s="485"/>
      <c r="AK237" s="485"/>
      <c r="AL237" s="485"/>
      <c r="AM237" s="485"/>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7"/>
      <c r="BI237" s="487"/>
      <c r="BJ237" s="487"/>
      <c r="BK237" s="487"/>
      <c r="BL237" s="487"/>
      <c r="BM237" s="487"/>
      <c r="BN237" s="487"/>
      <c r="BO237" s="487"/>
      <c r="BP237" s="487"/>
      <c r="BQ237" s="487"/>
      <c r="BR237" s="487"/>
      <c r="BS237" s="487"/>
      <c r="BT237" s="487"/>
      <c r="BU237" s="487"/>
      <c r="BV237" s="487"/>
      <c r="BW237" s="487"/>
      <c r="BX237" s="487"/>
      <c r="BY237" s="487"/>
      <c r="BZ237" s="487"/>
      <c r="CA237" s="487"/>
      <c r="CB237" s="487"/>
      <c r="CC237" s="487"/>
      <c r="CD237" s="487"/>
      <c r="CE237" s="487"/>
      <c r="CF237" s="487"/>
      <c r="CG237" s="487"/>
      <c r="CH237" s="487"/>
      <c r="CI237" s="487"/>
      <c r="CJ237" s="487"/>
      <c r="CK237" s="487"/>
      <c r="CL237" s="487"/>
      <c r="CM237" s="487"/>
      <c r="CN237" s="487"/>
      <c r="CO237" s="487"/>
      <c r="CP237" s="487"/>
      <c r="CQ237" s="487"/>
      <c r="CR237" s="487"/>
      <c r="CS237" s="487"/>
      <c r="CT237" s="487"/>
      <c r="CU237" s="487"/>
      <c r="CV237" s="487"/>
      <c r="CW237" s="487"/>
      <c r="CX237" s="487"/>
      <c r="CY237" s="487"/>
      <c r="CZ237" s="487"/>
      <c r="DA237" s="487"/>
      <c r="DB237" s="487"/>
      <c r="DC237" s="487"/>
      <c r="DD237" s="487"/>
      <c r="DE237" s="487"/>
      <c r="DF237" s="487"/>
      <c r="DG237" s="487"/>
      <c r="DH237" s="487"/>
      <c r="DI237" s="487"/>
      <c r="DJ237" s="487"/>
      <c r="DK237" s="487"/>
      <c r="DL237" s="487"/>
      <c r="DM237" s="487"/>
      <c r="DN237" s="487"/>
      <c r="DO237" s="487"/>
      <c r="DP237" s="487"/>
      <c r="DQ237" s="487"/>
      <c r="DR237" s="487"/>
      <c r="DS237" s="487"/>
      <c r="DT237" s="487"/>
      <c r="DU237" s="487"/>
      <c r="DV237" s="487"/>
      <c r="DW237" s="487"/>
      <c r="DX237" s="487"/>
      <c r="DY237" s="487"/>
      <c r="DZ237" s="487"/>
      <c r="EA237" s="487"/>
      <c r="EB237" s="487"/>
      <c r="EC237" s="487"/>
      <c r="ED237" s="487"/>
      <c r="EE237" s="487"/>
      <c r="EF237" s="487"/>
      <c r="EG237" s="487"/>
      <c r="EH237" s="487"/>
      <c r="EI237" s="487"/>
      <c r="EJ237" s="487"/>
      <c r="EK237" s="487"/>
      <c r="EL237" s="487"/>
      <c r="EM237" s="487"/>
      <c r="EN237" s="487"/>
      <c r="EO237" s="487"/>
      <c r="EP237" s="487"/>
      <c r="EQ237" s="487"/>
      <c r="ER237" s="487"/>
      <c r="ES237" s="487"/>
      <c r="ET237" s="487"/>
      <c r="EU237" s="487"/>
      <c r="EV237" s="487"/>
      <c r="EW237" s="487"/>
      <c r="EX237" s="487"/>
      <c r="EY237" s="487"/>
      <c r="EZ237" s="487"/>
      <c r="FA237" s="487"/>
      <c r="FB237" s="487"/>
      <c r="FC237" s="487"/>
      <c r="FD237" s="487"/>
      <c r="FE237" s="487"/>
      <c r="FF237" s="487"/>
      <c r="FG237" s="487"/>
      <c r="FH237" s="487"/>
      <c r="FI237" s="487"/>
      <c r="FJ237" s="487"/>
      <c r="FK237" s="487"/>
      <c r="FL237" s="487"/>
      <c r="FM237" s="487"/>
      <c r="FN237" s="487"/>
      <c r="FO237" s="487"/>
      <c r="FP237" s="487"/>
      <c r="FQ237" s="487"/>
      <c r="FR237" s="487"/>
      <c r="FS237" s="487"/>
      <c r="FT237" s="487"/>
      <c r="FU237" s="487"/>
      <c r="FV237" s="487"/>
      <c r="FW237" s="487"/>
      <c r="FX237" s="487"/>
      <c r="FY237" s="487"/>
      <c r="FZ237" s="487"/>
      <c r="GA237" s="487"/>
      <c r="GB237" s="487"/>
      <c r="GC237" s="487"/>
      <c r="GD237" s="487"/>
      <c r="GE237" s="487"/>
      <c r="GF237" s="487"/>
      <c r="GG237" s="487"/>
      <c r="GH237" s="487"/>
      <c r="GI237" s="487"/>
      <c r="GJ237" s="487"/>
      <c r="GK237" s="487"/>
      <c r="GL237" s="487"/>
      <c r="GM237" s="487"/>
      <c r="GN237" s="487"/>
      <c r="GO237" s="487"/>
      <c r="GP237" s="487"/>
      <c r="GQ237" s="487"/>
      <c r="GR237" s="487"/>
      <c r="GS237" s="487"/>
      <c r="GT237" s="487"/>
      <c r="GU237" s="487"/>
      <c r="GV237" s="487"/>
      <c r="GW237" s="487"/>
      <c r="GX237" s="487"/>
      <c r="GY237" s="487"/>
      <c r="GZ237" s="487"/>
      <c r="HA237" s="487"/>
      <c r="HB237" s="487"/>
      <c r="HC237" s="487"/>
      <c r="HD237" s="487"/>
      <c r="HE237" s="487"/>
      <c r="HF237" s="487"/>
      <c r="HG237" s="487"/>
      <c r="HH237" s="487"/>
      <c r="HI237" s="487"/>
      <c r="HJ237" s="487"/>
      <c r="HK237" s="487"/>
      <c r="HL237" s="487"/>
      <c r="HM237" s="487"/>
      <c r="HN237" s="487"/>
      <c r="HO237" s="487"/>
      <c r="HP237" s="487"/>
      <c r="HQ237" s="487"/>
      <c r="HR237" s="487"/>
      <c r="HS237" s="490"/>
    </row>
    <row r="238" spans="1:251" s="486" customFormat="1" ht="15" customHeight="1" x14ac:dyDescent="0.2">
      <c r="A238" s="453" t="s">
        <v>10192</v>
      </c>
      <c r="B238" s="453" t="s">
        <v>10193</v>
      </c>
      <c r="C238" s="473" t="s">
        <v>386</v>
      </c>
      <c r="D238" s="455" t="s">
        <v>9783</v>
      </c>
      <c r="E238" s="456" t="s">
        <v>9710</v>
      </c>
      <c r="F238" s="456" t="s">
        <v>10179</v>
      </c>
      <c r="G238" s="456" t="s">
        <v>7180</v>
      </c>
      <c r="H238" s="457">
        <v>155.52000000000001</v>
      </c>
      <c r="I238" s="457">
        <f t="shared" si="15"/>
        <v>167.184</v>
      </c>
      <c r="J238" s="457" t="s">
        <v>9706</v>
      </c>
      <c r="K238" s="458">
        <v>0.3</v>
      </c>
      <c r="L238" s="459">
        <f t="shared" si="12"/>
        <v>108.864</v>
      </c>
      <c r="M238" s="460">
        <v>0.18</v>
      </c>
      <c r="N238" s="461">
        <f t="shared" si="13"/>
        <v>137.09088</v>
      </c>
      <c r="O238" s="462">
        <v>0.1</v>
      </c>
      <c r="P238" s="463">
        <f t="shared" si="14"/>
        <v>150.46559999999999</v>
      </c>
      <c r="Q238" s="484"/>
      <c r="R238" s="465">
        <v>6</v>
      </c>
      <c r="S238" s="465">
        <v>6</v>
      </c>
      <c r="T238" s="465">
        <v>6</v>
      </c>
      <c r="U238" s="466"/>
      <c r="V238" s="485"/>
      <c r="W238" s="485"/>
      <c r="X238" s="485"/>
      <c r="Y238" s="485"/>
      <c r="Z238" s="485"/>
      <c r="AA238" s="485"/>
      <c r="AB238" s="485"/>
      <c r="AC238" s="485"/>
      <c r="AD238" s="485"/>
      <c r="AE238" s="485"/>
      <c r="AF238" s="485"/>
      <c r="AG238" s="485"/>
      <c r="AH238" s="485"/>
      <c r="AI238" s="485"/>
      <c r="AJ238" s="485"/>
      <c r="AK238" s="485"/>
      <c r="AL238" s="485"/>
      <c r="AM238" s="485"/>
      <c r="AN238" s="487"/>
      <c r="AO238" s="487"/>
      <c r="AP238" s="487"/>
      <c r="AQ238" s="487"/>
      <c r="AR238" s="487"/>
      <c r="AS238" s="487"/>
      <c r="AT238" s="487"/>
      <c r="AU238" s="487"/>
      <c r="AV238" s="487"/>
      <c r="AW238" s="487"/>
      <c r="AX238" s="487"/>
      <c r="AY238" s="487"/>
      <c r="AZ238" s="487"/>
      <c r="BA238" s="487"/>
      <c r="BB238" s="487"/>
      <c r="BC238" s="487"/>
      <c r="BD238" s="487"/>
      <c r="BE238" s="487"/>
      <c r="BF238" s="487"/>
      <c r="BG238" s="487"/>
      <c r="BH238" s="487"/>
      <c r="BI238" s="487"/>
      <c r="BJ238" s="487"/>
      <c r="BK238" s="487"/>
      <c r="BL238" s="487"/>
      <c r="BM238" s="487"/>
      <c r="BN238" s="487"/>
      <c r="BO238" s="487"/>
      <c r="BP238" s="487"/>
      <c r="BQ238" s="487"/>
      <c r="BR238" s="487"/>
      <c r="BS238" s="487"/>
      <c r="BT238" s="487"/>
      <c r="BU238" s="487"/>
      <c r="BV238" s="487"/>
      <c r="BW238" s="487"/>
      <c r="BX238" s="487"/>
      <c r="BY238" s="487"/>
      <c r="BZ238" s="487"/>
      <c r="CA238" s="487"/>
      <c r="CB238" s="487"/>
      <c r="CC238" s="487"/>
      <c r="CD238" s="487"/>
      <c r="CE238" s="487"/>
      <c r="CF238" s="487"/>
      <c r="CG238" s="487"/>
      <c r="CH238" s="487"/>
      <c r="CI238" s="487"/>
      <c r="CJ238" s="487"/>
      <c r="CK238" s="487"/>
      <c r="CL238" s="487"/>
      <c r="CM238" s="487"/>
      <c r="CN238" s="487"/>
      <c r="CO238" s="487"/>
      <c r="CP238" s="487"/>
      <c r="CQ238" s="487"/>
      <c r="CR238" s="487"/>
      <c r="CS238" s="487"/>
      <c r="CT238" s="487"/>
      <c r="CU238" s="487"/>
      <c r="CV238" s="487"/>
      <c r="CW238" s="487"/>
      <c r="CX238" s="487"/>
      <c r="CY238" s="487"/>
      <c r="CZ238" s="487"/>
      <c r="DA238" s="487"/>
      <c r="DB238" s="487"/>
      <c r="DC238" s="487"/>
      <c r="DD238" s="487"/>
      <c r="DE238" s="487"/>
      <c r="DF238" s="487"/>
      <c r="DG238" s="487"/>
      <c r="DH238" s="487"/>
      <c r="DI238" s="487"/>
      <c r="DJ238" s="487"/>
      <c r="DK238" s="487"/>
      <c r="DL238" s="487"/>
      <c r="DM238" s="487"/>
      <c r="DN238" s="487"/>
      <c r="DO238" s="487"/>
      <c r="DP238" s="487"/>
      <c r="DQ238" s="487"/>
      <c r="DR238" s="487"/>
      <c r="DS238" s="487"/>
      <c r="DT238" s="487"/>
      <c r="DU238" s="487"/>
      <c r="DV238" s="487"/>
      <c r="DW238" s="487"/>
      <c r="DX238" s="487"/>
      <c r="DY238" s="487"/>
      <c r="DZ238" s="487"/>
      <c r="EA238" s="487"/>
      <c r="EB238" s="487"/>
      <c r="EC238" s="487"/>
      <c r="ED238" s="487"/>
      <c r="EE238" s="487"/>
      <c r="EF238" s="487"/>
      <c r="EG238" s="487"/>
      <c r="EH238" s="487"/>
      <c r="EI238" s="487"/>
      <c r="EJ238" s="487"/>
      <c r="EK238" s="487"/>
      <c r="EL238" s="487"/>
      <c r="EM238" s="487"/>
      <c r="EN238" s="487"/>
      <c r="EO238" s="487"/>
      <c r="EP238" s="487"/>
      <c r="EQ238" s="487"/>
      <c r="ER238" s="487"/>
      <c r="ES238" s="487"/>
      <c r="ET238" s="487"/>
      <c r="EU238" s="487"/>
      <c r="EV238" s="487"/>
      <c r="EW238" s="487"/>
      <c r="EX238" s="487"/>
      <c r="EY238" s="487"/>
      <c r="EZ238" s="487"/>
      <c r="FA238" s="487"/>
      <c r="FB238" s="487"/>
      <c r="FC238" s="487"/>
      <c r="FD238" s="487"/>
      <c r="FE238" s="487"/>
      <c r="FF238" s="487"/>
      <c r="FG238" s="487"/>
      <c r="FH238" s="487"/>
      <c r="FI238" s="487"/>
      <c r="FJ238" s="487"/>
      <c r="FK238" s="487"/>
      <c r="FL238" s="487"/>
      <c r="FM238" s="487"/>
      <c r="FN238" s="487"/>
      <c r="FO238" s="487"/>
      <c r="FP238" s="487"/>
      <c r="FQ238" s="487"/>
      <c r="FR238" s="487"/>
      <c r="FS238" s="487"/>
      <c r="FT238" s="487"/>
      <c r="FU238" s="487"/>
      <c r="FV238" s="487"/>
      <c r="FW238" s="487"/>
      <c r="FX238" s="487"/>
      <c r="FY238" s="487"/>
      <c r="FZ238" s="487"/>
      <c r="GA238" s="487"/>
      <c r="GB238" s="487"/>
      <c r="GC238" s="487"/>
      <c r="GD238" s="487"/>
      <c r="GE238" s="487"/>
      <c r="GF238" s="487"/>
      <c r="GG238" s="487"/>
      <c r="GH238" s="487"/>
      <c r="GI238" s="487"/>
      <c r="GJ238" s="487"/>
      <c r="GK238" s="487"/>
      <c r="GL238" s="487"/>
      <c r="GM238" s="487"/>
      <c r="GN238" s="487"/>
      <c r="GO238" s="487"/>
      <c r="GP238" s="487"/>
      <c r="GQ238" s="487"/>
      <c r="GR238" s="487"/>
      <c r="GS238" s="487"/>
      <c r="GT238" s="487"/>
      <c r="GU238" s="487"/>
      <c r="GV238" s="487"/>
      <c r="GW238" s="487"/>
      <c r="GX238" s="487"/>
      <c r="GY238" s="487"/>
      <c r="GZ238" s="487"/>
      <c r="HA238" s="487"/>
      <c r="HB238" s="487"/>
      <c r="HC238" s="487"/>
      <c r="HD238" s="487"/>
      <c r="HE238" s="487"/>
      <c r="HF238" s="487"/>
      <c r="HG238" s="487"/>
      <c r="HH238" s="487"/>
      <c r="HI238" s="487"/>
      <c r="HJ238" s="487"/>
      <c r="HK238" s="487"/>
      <c r="HL238" s="487"/>
      <c r="HM238" s="487"/>
      <c r="HN238" s="487"/>
      <c r="HO238" s="487"/>
      <c r="HP238" s="487"/>
      <c r="HQ238" s="487"/>
      <c r="HR238" s="487"/>
      <c r="HS238" s="490"/>
    </row>
    <row r="239" spans="1:251" s="486" customFormat="1" ht="15" customHeight="1" x14ac:dyDescent="0.2">
      <c r="A239" s="453" t="s">
        <v>10194</v>
      </c>
      <c r="B239" s="453" t="s">
        <v>10195</v>
      </c>
      <c r="C239" s="473" t="s">
        <v>386</v>
      </c>
      <c r="D239" s="455" t="s">
        <v>9783</v>
      </c>
      <c r="E239" s="456" t="s">
        <v>9739</v>
      </c>
      <c r="F239" s="456" t="s">
        <v>10179</v>
      </c>
      <c r="G239" s="456" t="s">
        <v>7180</v>
      </c>
      <c r="H239" s="457">
        <v>155.52000000000001</v>
      </c>
      <c r="I239" s="457">
        <f t="shared" si="15"/>
        <v>167.184</v>
      </c>
      <c r="J239" s="457" t="s">
        <v>9706</v>
      </c>
      <c r="K239" s="458">
        <v>0.3</v>
      </c>
      <c r="L239" s="459">
        <f t="shared" si="12"/>
        <v>108.864</v>
      </c>
      <c r="M239" s="460">
        <v>0.18</v>
      </c>
      <c r="N239" s="461">
        <f t="shared" si="13"/>
        <v>137.09088</v>
      </c>
      <c r="O239" s="462">
        <v>0.1</v>
      </c>
      <c r="P239" s="463">
        <f t="shared" si="14"/>
        <v>150.46559999999999</v>
      </c>
      <c r="Q239" s="484"/>
      <c r="R239" s="465">
        <v>6</v>
      </c>
      <c r="S239" s="465">
        <v>6</v>
      </c>
      <c r="T239" s="465">
        <v>6</v>
      </c>
      <c r="U239" s="466"/>
      <c r="V239" s="485"/>
      <c r="W239" s="485"/>
      <c r="X239" s="485"/>
      <c r="Y239" s="485"/>
      <c r="Z239" s="485"/>
      <c r="AA239" s="485"/>
      <c r="AB239" s="485"/>
      <c r="AC239" s="485"/>
      <c r="AD239" s="485"/>
      <c r="AE239" s="485"/>
      <c r="AF239" s="485"/>
      <c r="AG239" s="485"/>
      <c r="AH239" s="485"/>
      <c r="AI239" s="485"/>
      <c r="AJ239" s="485"/>
      <c r="AK239" s="485"/>
      <c r="AL239" s="485"/>
      <c r="AM239" s="485"/>
      <c r="AN239" s="487"/>
      <c r="AO239" s="487"/>
      <c r="AP239" s="487"/>
      <c r="AQ239" s="487"/>
      <c r="AR239" s="487"/>
      <c r="AS239" s="487"/>
      <c r="AT239" s="487"/>
      <c r="AU239" s="487"/>
      <c r="AV239" s="487"/>
      <c r="AW239" s="487"/>
      <c r="AX239" s="487"/>
      <c r="AY239" s="487"/>
      <c r="AZ239" s="487"/>
      <c r="BA239" s="487"/>
      <c r="BB239" s="487"/>
      <c r="BC239" s="487"/>
      <c r="BD239" s="487"/>
      <c r="BE239" s="487"/>
      <c r="BF239" s="487"/>
      <c r="BG239" s="487"/>
      <c r="BH239" s="487"/>
      <c r="BI239" s="487"/>
      <c r="BJ239" s="487"/>
      <c r="BK239" s="487"/>
      <c r="BL239" s="487"/>
      <c r="BM239" s="487"/>
      <c r="BN239" s="487"/>
      <c r="BO239" s="487"/>
      <c r="BP239" s="487"/>
      <c r="BQ239" s="487"/>
      <c r="BR239" s="487"/>
      <c r="BS239" s="487"/>
      <c r="BT239" s="487"/>
      <c r="BU239" s="487"/>
      <c r="BV239" s="487"/>
      <c r="BW239" s="487"/>
      <c r="BX239" s="487"/>
      <c r="BY239" s="487"/>
      <c r="BZ239" s="487"/>
      <c r="CA239" s="487"/>
      <c r="CB239" s="487"/>
      <c r="CC239" s="487"/>
      <c r="CD239" s="487"/>
      <c r="CE239" s="487"/>
      <c r="CF239" s="487"/>
      <c r="CG239" s="487"/>
      <c r="CH239" s="487"/>
      <c r="CI239" s="487"/>
      <c r="CJ239" s="487"/>
      <c r="CK239" s="487"/>
      <c r="CL239" s="487"/>
      <c r="CM239" s="487"/>
      <c r="CN239" s="487"/>
      <c r="CO239" s="487"/>
      <c r="CP239" s="487"/>
      <c r="CQ239" s="487"/>
      <c r="CR239" s="487"/>
      <c r="CS239" s="487"/>
      <c r="CT239" s="487"/>
      <c r="CU239" s="487"/>
      <c r="CV239" s="487"/>
      <c r="CW239" s="487"/>
      <c r="CX239" s="487"/>
      <c r="CY239" s="487"/>
      <c r="CZ239" s="487"/>
      <c r="DA239" s="487"/>
      <c r="DB239" s="487"/>
      <c r="DC239" s="487"/>
      <c r="DD239" s="487"/>
      <c r="DE239" s="487"/>
      <c r="DF239" s="487"/>
      <c r="DG239" s="487"/>
      <c r="DH239" s="487"/>
      <c r="DI239" s="487"/>
      <c r="DJ239" s="487"/>
      <c r="DK239" s="487"/>
      <c r="DL239" s="487"/>
      <c r="DM239" s="487"/>
      <c r="DN239" s="487"/>
      <c r="DO239" s="487"/>
      <c r="DP239" s="487"/>
      <c r="DQ239" s="487"/>
      <c r="DR239" s="487"/>
      <c r="DS239" s="487"/>
      <c r="DT239" s="487"/>
      <c r="DU239" s="487"/>
      <c r="DV239" s="487"/>
      <c r="DW239" s="487"/>
      <c r="DX239" s="487"/>
      <c r="DY239" s="487"/>
      <c r="DZ239" s="487"/>
      <c r="EA239" s="487"/>
      <c r="EB239" s="487"/>
      <c r="EC239" s="487"/>
      <c r="ED239" s="487"/>
      <c r="EE239" s="487"/>
      <c r="EF239" s="487"/>
      <c r="EG239" s="487"/>
      <c r="EH239" s="487"/>
      <c r="EI239" s="487"/>
      <c r="EJ239" s="487"/>
      <c r="EK239" s="487"/>
      <c r="EL239" s="487"/>
      <c r="EM239" s="487"/>
      <c r="EN239" s="487"/>
      <c r="EO239" s="487"/>
      <c r="EP239" s="487"/>
      <c r="EQ239" s="487"/>
      <c r="ER239" s="487"/>
      <c r="ES239" s="487"/>
      <c r="ET239" s="487"/>
      <c r="EU239" s="487"/>
      <c r="EV239" s="487"/>
      <c r="EW239" s="487"/>
      <c r="EX239" s="487"/>
      <c r="EY239" s="487"/>
      <c r="EZ239" s="487"/>
      <c r="FA239" s="487"/>
      <c r="FB239" s="487"/>
      <c r="FC239" s="487"/>
      <c r="FD239" s="487"/>
      <c r="FE239" s="487"/>
      <c r="FF239" s="487"/>
      <c r="FG239" s="487"/>
      <c r="FH239" s="487"/>
      <c r="FI239" s="487"/>
      <c r="FJ239" s="487"/>
      <c r="FK239" s="487"/>
      <c r="FL239" s="487"/>
      <c r="FM239" s="487"/>
      <c r="FN239" s="487"/>
      <c r="FO239" s="487"/>
      <c r="FP239" s="487"/>
      <c r="FQ239" s="487"/>
      <c r="FR239" s="487"/>
      <c r="FS239" s="487"/>
      <c r="FT239" s="487"/>
      <c r="FU239" s="487"/>
      <c r="FV239" s="487"/>
      <c r="FW239" s="487"/>
      <c r="FX239" s="487"/>
      <c r="FY239" s="487"/>
      <c r="FZ239" s="487"/>
      <c r="GA239" s="487"/>
      <c r="GB239" s="487"/>
      <c r="GC239" s="487"/>
      <c r="GD239" s="487"/>
      <c r="GE239" s="487"/>
      <c r="GF239" s="487"/>
      <c r="GG239" s="487"/>
      <c r="GH239" s="487"/>
      <c r="GI239" s="487"/>
      <c r="GJ239" s="487"/>
      <c r="GK239" s="487"/>
      <c r="GL239" s="487"/>
      <c r="GM239" s="487"/>
      <c r="GN239" s="487"/>
      <c r="GO239" s="487"/>
      <c r="GP239" s="487"/>
      <c r="GQ239" s="487"/>
      <c r="GR239" s="487"/>
      <c r="GS239" s="487"/>
      <c r="GT239" s="487"/>
      <c r="GU239" s="487"/>
      <c r="GV239" s="487"/>
      <c r="GW239" s="487"/>
      <c r="GX239" s="487"/>
      <c r="GY239" s="487"/>
      <c r="GZ239" s="487"/>
      <c r="HA239" s="487"/>
      <c r="HB239" s="487"/>
      <c r="HC239" s="487"/>
      <c r="HD239" s="487"/>
      <c r="HE239" s="487"/>
      <c r="HF239" s="487"/>
      <c r="HG239" s="487"/>
      <c r="HH239" s="487"/>
      <c r="HI239" s="487"/>
      <c r="HJ239" s="487"/>
      <c r="HK239" s="487"/>
      <c r="HL239" s="487"/>
      <c r="HM239" s="487"/>
      <c r="HN239" s="487"/>
      <c r="HO239" s="487"/>
      <c r="HP239" s="487"/>
      <c r="HQ239" s="487"/>
      <c r="HR239" s="487"/>
      <c r="HS239" s="490"/>
    </row>
    <row r="240" spans="1:251" s="486" customFormat="1" ht="15" customHeight="1" x14ac:dyDescent="0.2">
      <c r="A240" s="453" t="s">
        <v>10196</v>
      </c>
      <c r="B240" s="453" t="s">
        <v>10197</v>
      </c>
      <c r="C240" s="473" t="s">
        <v>386</v>
      </c>
      <c r="D240" s="455" t="s">
        <v>9783</v>
      </c>
      <c r="E240" s="456" t="s">
        <v>9739</v>
      </c>
      <c r="F240" s="456" t="s">
        <v>10179</v>
      </c>
      <c r="G240" s="456" t="s">
        <v>7180</v>
      </c>
      <c r="H240" s="457">
        <v>155.52000000000001</v>
      </c>
      <c r="I240" s="457">
        <f t="shared" si="15"/>
        <v>167.184</v>
      </c>
      <c r="J240" s="457" t="s">
        <v>9706</v>
      </c>
      <c r="K240" s="458">
        <v>0.3</v>
      </c>
      <c r="L240" s="459">
        <f t="shared" si="12"/>
        <v>108.864</v>
      </c>
      <c r="M240" s="460">
        <v>0.18</v>
      </c>
      <c r="N240" s="461">
        <f t="shared" si="13"/>
        <v>137.09088</v>
      </c>
      <c r="O240" s="462">
        <v>0.1</v>
      </c>
      <c r="P240" s="463">
        <f t="shared" si="14"/>
        <v>150.46559999999999</v>
      </c>
      <c r="Q240" s="484"/>
      <c r="R240" s="465">
        <v>6</v>
      </c>
      <c r="S240" s="465">
        <v>6</v>
      </c>
      <c r="T240" s="465">
        <v>6</v>
      </c>
      <c r="U240" s="466"/>
      <c r="V240" s="485"/>
      <c r="W240" s="485"/>
      <c r="X240" s="485"/>
      <c r="Y240" s="485"/>
      <c r="Z240" s="485"/>
      <c r="AA240" s="485"/>
      <c r="AB240" s="485"/>
      <c r="AC240" s="485"/>
      <c r="AD240" s="485"/>
      <c r="AE240" s="485"/>
      <c r="AF240" s="485"/>
      <c r="AG240" s="485"/>
      <c r="AH240" s="485"/>
      <c r="AI240" s="485"/>
      <c r="AJ240" s="485"/>
      <c r="AK240" s="485"/>
      <c r="AL240" s="485"/>
      <c r="AM240" s="485"/>
      <c r="AN240" s="487"/>
      <c r="AO240" s="487"/>
      <c r="AP240" s="487"/>
      <c r="AQ240" s="487"/>
      <c r="AR240" s="487"/>
      <c r="AS240" s="487"/>
      <c r="AT240" s="487"/>
      <c r="AU240" s="487"/>
      <c r="AV240" s="487"/>
      <c r="AW240" s="487"/>
      <c r="AX240" s="487"/>
      <c r="AY240" s="487"/>
      <c r="AZ240" s="487"/>
      <c r="BA240" s="487"/>
      <c r="BB240" s="487"/>
      <c r="BC240" s="487"/>
      <c r="BD240" s="487"/>
      <c r="BE240" s="487"/>
      <c r="BF240" s="487"/>
      <c r="BG240" s="487"/>
      <c r="BH240" s="487"/>
      <c r="BI240" s="487"/>
      <c r="BJ240" s="487"/>
      <c r="BK240" s="487"/>
      <c r="BL240" s="487"/>
      <c r="BM240" s="487"/>
      <c r="BN240" s="487"/>
      <c r="BO240" s="487"/>
      <c r="BP240" s="487"/>
      <c r="BQ240" s="487"/>
      <c r="BR240" s="487"/>
      <c r="BS240" s="487"/>
      <c r="BT240" s="487"/>
      <c r="BU240" s="487"/>
      <c r="BV240" s="487"/>
      <c r="BW240" s="487"/>
      <c r="BX240" s="487"/>
      <c r="BY240" s="487"/>
      <c r="BZ240" s="487"/>
      <c r="CA240" s="487"/>
      <c r="CB240" s="487"/>
      <c r="CC240" s="487"/>
      <c r="CD240" s="487"/>
      <c r="CE240" s="487"/>
      <c r="CF240" s="487"/>
      <c r="CG240" s="487"/>
      <c r="CH240" s="487"/>
      <c r="CI240" s="487"/>
      <c r="CJ240" s="487"/>
      <c r="CK240" s="487"/>
      <c r="CL240" s="487"/>
      <c r="CM240" s="487"/>
      <c r="CN240" s="487"/>
      <c r="CO240" s="487"/>
      <c r="CP240" s="487"/>
      <c r="CQ240" s="487"/>
      <c r="CR240" s="487"/>
      <c r="CS240" s="487"/>
      <c r="CT240" s="487"/>
      <c r="CU240" s="487"/>
      <c r="CV240" s="487"/>
      <c r="CW240" s="487"/>
      <c r="CX240" s="487"/>
      <c r="CY240" s="487"/>
      <c r="CZ240" s="487"/>
      <c r="DA240" s="487"/>
      <c r="DB240" s="487"/>
      <c r="DC240" s="487"/>
      <c r="DD240" s="487"/>
      <c r="DE240" s="487"/>
      <c r="DF240" s="487"/>
      <c r="DG240" s="487"/>
      <c r="DH240" s="487"/>
      <c r="DI240" s="487"/>
      <c r="DJ240" s="487"/>
      <c r="DK240" s="487"/>
      <c r="DL240" s="487"/>
      <c r="DM240" s="487"/>
      <c r="DN240" s="487"/>
      <c r="DO240" s="487"/>
      <c r="DP240" s="487"/>
      <c r="DQ240" s="487"/>
      <c r="DR240" s="487"/>
      <c r="DS240" s="487"/>
      <c r="DT240" s="487"/>
      <c r="DU240" s="487"/>
      <c r="DV240" s="487"/>
      <c r="DW240" s="487"/>
      <c r="DX240" s="487"/>
      <c r="DY240" s="487"/>
      <c r="DZ240" s="487"/>
      <c r="EA240" s="487"/>
      <c r="EB240" s="487"/>
      <c r="EC240" s="487"/>
      <c r="ED240" s="487"/>
      <c r="EE240" s="487"/>
      <c r="EF240" s="487"/>
      <c r="EG240" s="487"/>
      <c r="EH240" s="487"/>
      <c r="EI240" s="487"/>
      <c r="EJ240" s="487"/>
      <c r="EK240" s="487"/>
      <c r="EL240" s="487"/>
      <c r="EM240" s="487"/>
      <c r="EN240" s="487"/>
      <c r="EO240" s="487"/>
      <c r="EP240" s="487"/>
      <c r="EQ240" s="487"/>
      <c r="ER240" s="487"/>
      <c r="ES240" s="487"/>
      <c r="ET240" s="487"/>
      <c r="EU240" s="487"/>
      <c r="EV240" s="487"/>
      <c r="EW240" s="487"/>
      <c r="EX240" s="487"/>
      <c r="EY240" s="487"/>
      <c r="EZ240" s="487"/>
      <c r="FA240" s="487"/>
      <c r="FB240" s="487"/>
      <c r="FC240" s="487"/>
      <c r="FD240" s="487"/>
      <c r="FE240" s="487"/>
      <c r="FF240" s="487"/>
      <c r="FG240" s="487"/>
      <c r="FH240" s="487"/>
      <c r="FI240" s="487"/>
      <c r="FJ240" s="487"/>
      <c r="FK240" s="487"/>
      <c r="FL240" s="487"/>
      <c r="FM240" s="487"/>
      <c r="FN240" s="487"/>
      <c r="FO240" s="487"/>
      <c r="FP240" s="487"/>
      <c r="FQ240" s="487"/>
      <c r="FR240" s="487"/>
      <c r="FS240" s="487"/>
      <c r="FT240" s="487"/>
      <c r="FU240" s="487"/>
      <c r="FV240" s="487"/>
      <c r="FW240" s="487"/>
      <c r="FX240" s="487"/>
      <c r="FY240" s="487"/>
      <c r="FZ240" s="487"/>
      <c r="GA240" s="487"/>
      <c r="GB240" s="487"/>
      <c r="GC240" s="487"/>
      <c r="GD240" s="487"/>
      <c r="GE240" s="487"/>
      <c r="GF240" s="487"/>
      <c r="GG240" s="487"/>
      <c r="GH240" s="487"/>
      <c r="GI240" s="487"/>
      <c r="GJ240" s="487"/>
      <c r="GK240" s="487"/>
      <c r="GL240" s="487"/>
      <c r="GM240" s="487"/>
      <c r="GN240" s="487"/>
      <c r="GO240" s="487"/>
      <c r="GP240" s="487"/>
      <c r="GQ240" s="487"/>
      <c r="GR240" s="487"/>
      <c r="GS240" s="487"/>
      <c r="GT240" s="487"/>
      <c r="GU240" s="487"/>
      <c r="GV240" s="487"/>
      <c r="GW240" s="487"/>
      <c r="GX240" s="487"/>
      <c r="GY240" s="487"/>
      <c r="GZ240" s="487"/>
      <c r="HA240" s="487"/>
      <c r="HB240" s="487"/>
      <c r="HC240" s="487"/>
      <c r="HD240" s="487"/>
      <c r="HE240" s="487"/>
      <c r="HF240" s="487"/>
      <c r="HG240" s="487"/>
      <c r="HH240" s="487"/>
      <c r="HI240" s="487"/>
      <c r="HJ240" s="487"/>
      <c r="HK240" s="487"/>
      <c r="HL240" s="487"/>
      <c r="HM240" s="487"/>
      <c r="HN240" s="487"/>
      <c r="HO240" s="487"/>
      <c r="HP240" s="487"/>
      <c r="HQ240" s="487"/>
      <c r="HR240" s="487"/>
      <c r="HS240" s="490"/>
    </row>
    <row r="241" spans="1:227" s="486" customFormat="1" ht="15" customHeight="1" x14ac:dyDescent="0.2">
      <c r="A241" s="453" t="s">
        <v>10198</v>
      </c>
      <c r="B241" s="453" t="s">
        <v>10199</v>
      </c>
      <c r="C241" s="473" t="s">
        <v>386</v>
      </c>
      <c r="D241" s="455" t="s">
        <v>9783</v>
      </c>
      <c r="E241" s="456" t="s">
        <v>9734</v>
      </c>
      <c r="F241" s="456" t="s">
        <v>10179</v>
      </c>
      <c r="G241" s="456" t="s">
        <v>7180</v>
      </c>
      <c r="H241" s="457">
        <v>155.52000000000001</v>
      </c>
      <c r="I241" s="457">
        <f t="shared" si="15"/>
        <v>167.184</v>
      </c>
      <c r="J241" s="457" t="s">
        <v>9706</v>
      </c>
      <c r="K241" s="458">
        <v>0.3</v>
      </c>
      <c r="L241" s="459">
        <f t="shared" si="12"/>
        <v>108.864</v>
      </c>
      <c r="M241" s="460">
        <v>0.18</v>
      </c>
      <c r="N241" s="461">
        <f t="shared" si="13"/>
        <v>137.09088</v>
      </c>
      <c r="O241" s="462">
        <v>0.1</v>
      </c>
      <c r="P241" s="463">
        <f t="shared" si="14"/>
        <v>150.46559999999999</v>
      </c>
      <c r="Q241" s="484"/>
      <c r="R241" s="465">
        <v>6</v>
      </c>
      <c r="S241" s="465">
        <v>6</v>
      </c>
      <c r="T241" s="465">
        <v>6</v>
      </c>
      <c r="U241" s="466"/>
      <c r="V241" s="485"/>
      <c r="W241" s="485"/>
      <c r="X241" s="485"/>
      <c r="Y241" s="485"/>
      <c r="Z241" s="485"/>
      <c r="AA241" s="485"/>
      <c r="AB241" s="485"/>
      <c r="AC241" s="485"/>
      <c r="AD241" s="485"/>
      <c r="AE241" s="485"/>
      <c r="AF241" s="485"/>
      <c r="AG241" s="485"/>
      <c r="AH241" s="485"/>
      <c r="AI241" s="485"/>
      <c r="AJ241" s="485"/>
      <c r="AK241" s="485"/>
      <c r="AL241" s="485"/>
      <c r="AM241" s="485"/>
      <c r="AN241" s="487"/>
      <c r="AO241" s="487"/>
      <c r="AP241" s="487"/>
      <c r="AQ241" s="487"/>
      <c r="AR241" s="487"/>
      <c r="AS241" s="487"/>
      <c r="AT241" s="487"/>
      <c r="AU241" s="487"/>
      <c r="AV241" s="487"/>
      <c r="AW241" s="487"/>
      <c r="AX241" s="487"/>
      <c r="AY241" s="487"/>
      <c r="AZ241" s="487"/>
      <c r="BA241" s="487"/>
      <c r="BB241" s="487"/>
      <c r="BC241" s="487"/>
      <c r="BD241" s="487"/>
      <c r="BE241" s="487"/>
      <c r="BF241" s="487"/>
      <c r="BG241" s="487"/>
      <c r="BH241" s="487"/>
      <c r="BI241" s="487"/>
      <c r="BJ241" s="487"/>
      <c r="BK241" s="487"/>
      <c r="BL241" s="487"/>
      <c r="BM241" s="487"/>
      <c r="BN241" s="487"/>
      <c r="BO241" s="487"/>
      <c r="BP241" s="487"/>
      <c r="BQ241" s="487"/>
      <c r="BR241" s="487"/>
      <c r="BS241" s="487"/>
      <c r="BT241" s="487"/>
      <c r="BU241" s="487"/>
      <c r="BV241" s="487"/>
      <c r="BW241" s="487"/>
      <c r="BX241" s="487"/>
      <c r="BY241" s="487"/>
      <c r="BZ241" s="487"/>
      <c r="CA241" s="487"/>
      <c r="CB241" s="487"/>
      <c r="CC241" s="487"/>
      <c r="CD241" s="487"/>
      <c r="CE241" s="487"/>
      <c r="CF241" s="487"/>
      <c r="CG241" s="487"/>
      <c r="CH241" s="487"/>
      <c r="CI241" s="487"/>
      <c r="CJ241" s="487"/>
      <c r="CK241" s="487"/>
      <c r="CL241" s="487"/>
      <c r="CM241" s="487"/>
      <c r="CN241" s="487"/>
      <c r="CO241" s="487"/>
      <c r="CP241" s="487"/>
      <c r="CQ241" s="487"/>
      <c r="CR241" s="487"/>
      <c r="CS241" s="487"/>
      <c r="CT241" s="487"/>
      <c r="CU241" s="487"/>
      <c r="CV241" s="487"/>
      <c r="CW241" s="487"/>
      <c r="CX241" s="487"/>
      <c r="CY241" s="487"/>
      <c r="CZ241" s="487"/>
      <c r="DA241" s="487"/>
      <c r="DB241" s="487"/>
      <c r="DC241" s="487"/>
      <c r="DD241" s="487"/>
      <c r="DE241" s="487"/>
      <c r="DF241" s="487"/>
      <c r="DG241" s="487"/>
      <c r="DH241" s="487"/>
      <c r="DI241" s="487"/>
      <c r="DJ241" s="487"/>
      <c r="DK241" s="487"/>
      <c r="DL241" s="487"/>
      <c r="DM241" s="487"/>
      <c r="DN241" s="487"/>
      <c r="DO241" s="487"/>
      <c r="DP241" s="487"/>
      <c r="DQ241" s="487"/>
      <c r="DR241" s="487"/>
      <c r="DS241" s="487"/>
      <c r="DT241" s="487"/>
      <c r="DU241" s="487"/>
      <c r="DV241" s="487"/>
      <c r="DW241" s="487"/>
      <c r="DX241" s="487"/>
      <c r="DY241" s="487"/>
      <c r="DZ241" s="487"/>
      <c r="EA241" s="487"/>
      <c r="EB241" s="487"/>
      <c r="EC241" s="487"/>
      <c r="ED241" s="487"/>
      <c r="EE241" s="487"/>
      <c r="EF241" s="487"/>
      <c r="EG241" s="487"/>
      <c r="EH241" s="487"/>
      <c r="EI241" s="487"/>
      <c r="EJ241" s="487"/>
      <c r="EK241" s="487"/>
      <c r="EL241" s="487"/>
      <c r="EM241" s="487"/>
      <c r="EN241" s="487"/>
      <c r="EO241" s="487"/>
      <c r="EP241" s="487"/>
      <c r="EQ241" s="487"/>
      <c r="ER241" s="487"/>
      <c r="ES241" s="487"/>
      <c r="ET241" s="487"/>
      <c r="EU241" s="487"/>
      <c r="EV241" s="487"/>
      <c r="EW241" s="487"/>
      <c r="EX241" s="487"/>
      <c r="EY241" s="487"/>
      <c r="EZ241" s="487"/>
      <c r="FA241" s="487"/>
      <c r="FB241" s="487"/>
      <c r="FC241" s="487"/>
      <c r="FD241" s="487"/>
      <c r="FE241" s="487"/>
      <c r="FF241" s="487"/>
      <c r="FG241" s="487"/>
      <c r="FH241" s="487"/>
      <c r="FI241" s="487"/>
      <c r="FJ241" s="487"/>
      <c r="FK241" s="487"/>
      <c r="FL241" s="487"/>
      <c r="FM241" s="487"/>
      <c r="FN241" s="487"/>
      <c r="FO241" s="487"/>
      <c r="FP241" s="487"/>
      <c r="FQ241" s="487"/>
      <c r="FR241" s="487"/>
      <c r="FS241" s="487"/>
      <c r="FT241" s="487"/>
      <c r="FU241" s="487"/>
      <c r="FV241" s="487"/>
      <c r="FW241" s="487"/>
      <c r="FX241" s="487"/>
      <c r="FY241" s="487"/>
      <c r="FZ241" s="487"/>
      <c r="GA241" s="487"/>
      <c r="GB241" s="487"/>
      <c r="GC241" s="487"/>
      <c r="GD241" s="487"/>
      <c r="GE241" s="487"/>
      <c r="GF241" s="487"/>
      <c r="GG241" s="487"/>
      <c r="GH241" s="487"/>
      <c r="GI241" s="487"/>
      <c r="GJ241" s="487"/>
      <c r="GK241" s="487"/>
      <c r="GL241" s="487"/>
      <c r="GM241" s="487"/>
      <c r="GN241" s="487"/>
      <c r="GO241" s="487"/>
      <c r="GP241" s="487"/>
      <c r="GQ241" s="487"/>
      <c r="GR241" s="487"/>
      <c r="GS241" s="487"/>
      <c r="GT241" s="487"/>
      <c r="GU241" s="487"/>
      <c r="GV241" s="487"/>
      <c r="GW241" s="487"/>
      <c r="GX241" s="487"/>
      <c r="GY241" s="487"/>
      <c r="GZ241" s="487"/>
      <c r="HA241" s="487"/>
      <c r="HB241" s="487"/>
      <c r="HC241" s="487"/>
      <c r="HD241" s="487"/>
      <c r="HE241" s="487"/>
      <c r="HF241" s="487"/>
      <c r="HG241" s="487"/>
      <c r="HH241" s="487"/>
      <c r="HI241" s="487"/>
      <c r="HJ241" s="487"/>
      <c r="HK241" s="487"/>
      <c r="HL241" s="487"/>
      <c r="HM241" s="487"/>
      <c r="HN241" s="487"/>
      <c r="HO241" s="487"/>
      <c r="HP241" s="487"/>
      <c r="HQ241" s="487"/>
      <c r="HR241" s="487"/>
      <c r="HS241" s="490"/>
    </row>
    <row r="242" spans="1:227" s="486" customFormat="1" ht="15" customHeight="1" x14ac:dyDescent="0.2">
      <c r="A242" s="453" t="s">
        <v>10200</v>
      </c>
      <c r="B242" s="453" t="s">
        <v>10201</v>
      </c>
      <c r="C242" s="473" t="s">
        <v>386</v>
      </c>
      <c r="D242" s="455" t="s">
        <v>9783</v>
      </c>
      <c r="E242" s="456" t="s">
        <v>9734</v>
      </c>
      <c r="F242" s="456" t="s">
        <v>10179</v>
      </c>
      <c r="G242" s="456" t="s">
        <v>7180</v>
      </c>
      <c r="H242" s="457">
        <v>155.52000000000001</v>
      </c>
      <c r="I242" s="457">
        <f t="shared" si="15"/>
        <v>167.184</v>
      </c>
      <c r="J242" s="457" t="s">
        <v>9706</v>
      </c>
      <c r="K242" s="458">
        <v>0.3</v>
      </c>
      <c r="L242" s="459">
        <f t="shared" si="12"/>
        <v>108.864</v>
      </c>
      <c r="M242" s="460">
        <v>0.18</v>
      </c>
      <c r="N242" s="461">
        <f t="shared" si="13"/>
        <v>137.09088</v>
      </c>
      <c r="O242" s="462">
        <v>0.1</v>
      </c>
      <c r="P242" s="463">
        <f t="shared" si="14"/>
        <v>150.46559999999999</v>
      </c>
      <c r="Q242" s="484"/>
      <c r="R242" s="465">
        <v>6</v>
      </c>
      <c r="S242" s="465">
        <v>6</v>
      </c>
      <c r="T242" s="465">
        <v>6</v>
      </c>
      <c r="U242" s="466"/>
      <c r="V242" s="485"/>
      <c r="W242" s="485"/>
      <c r="X242" s="485"/>
      <c r="Y242" s="485"/>
      <c r="Z242" s="485"/>
      <c r="AA242" s="485"/>
      <c r="AB242" s="485"/>
      <c r="AC242" s="485"/>
      <c r="AD242" s="485"/>
      <c r="AE242" s="485"/>
      <c r="AF242" s="485"/>
      <c r="AG242" s="485"/>
      <c r="AH242" s="485"/>
      <c r="AI242" s="485"/>
      <c r="AJ242" s="485"/>
      <c r="AK242" s="485"/>
      <c r="AL242" s="485"/>
      <c r="AM242" s="485"/>
      <c r="AN242" s="487"/>
      <c r="AO242" s="487"/>
      <c r="AP242" s="487"/>
      <c r="AQ242" s="487"/>
      <c r="AR242" s="487"/>
      <c r="AS242" s="487"/>
      <c r="AT242" s="487"/>
      <c r="AU242" s="487"/>
      <c r="AV242" s="487"/>
      <c r="AW242" s="487"/>
      <c r="AX242" s="487"/>
      <c r="AY242" s="487"/>
      <c r="AZ242" s="487"/>
      <c r="BA242" s="487"/>
      <c r="BB242" s="487"/>
      <c r="BC242" s="487"/>
      <c r="BD242" s="487"/>
      <c r="BE242" s="487"/>
      <c r="BF242" s="487"/>
      <c r="BG242" s="487"/>
      <c r="BH242" s="487"/>
      <c r="BI242" s="487"/>
      <c r="BJ242" s="487"/>
      <c r="BK242" s="487"/>
      <c r="BL242" s="487"/>
      <c r="BM242" s="487"/>
      <c r="BN242" s="487"/>
      <c r="BO242" s="487"/>
      <c r="BP242" s="487"/>
      <c r="BQ242" s="487"/>
      <c r="BR242" s="487"/>
      <c r="BS242" s="487"/>
      <c r="BT242" s="487"/>
      <c r="BU242" s="487"/>
      <c r="BV242" s="487"/>
      <c r="BW242" s="487"/>
      <c r="BX242" s="487"/>
      <c r="BY242" s="487"/>
      <c r="BZ242" s="487"/>
      <c r="CA242" s="487"/>
      <c r="CB242" s="487"/>
      <c r="CC242" s="487"/>
      <c r="CD242" s="487"/>
      <c r="CE242" s="487"/>
      <c r="CF242" s="487"/>
      <c r="CG242" s="487"/>
      <c r="CH242" s="487"/>
      <c r="CI242" s="487"/>
      <c r="CJ242" s="487"/>
      <c r="CK242" s="487"/>
      <c r="CL242" s="487"/>
      <c r="CM242" s="487"/>
      <c r="CN242" s="487"/>
      <c r="CO242" s="487"/>
      <c r="CP242" s="487"/>
      <c r="CQ242" s="487"/>
      <c r="CR242" s="487"/>
      <c r="CS242" s="487"/>
      <c r="CT242" s="487"/>
      <c r="CU242" s="487"/>
      <c r="CV242" s="487"/>
      <c r="CW242" s="487"/>
      <c r="CX242" s="487"/>
      <c r="CY242" s="487"/>
      <c r="CZ242" s="487"/>
      <c r="DA242" s="487"/>
      <c r="DB242" s="487"/>
      <c r="DC242" s="487"/>
      <c r="DD242" s="487"/>
      <c r="DE242" s="487"/>
      <c r="DF242" s="487"/>
      <c r="DG242" s="487"/>
      <c r="DH242" s="487"/>
      <c r="DI242" s="487"/>
      <c r="DJ242" s="487"/>
      <c r="DK242" s="487"/>
      <c r="DL242" s="487"/>
      <c r="DM242" s="487"/>
      <c r="DN242" s="487"/>
      <c r="DO242" s="487"/>
      <c r="DP242" s="487"/>
      <c r="DQ242" s="487"/>
      <c r="DR242" s="487"/>
      <c r="DS242" s="487"/>
      <c r="DT242" s="487"/>
      <c r="DU242" s="487"/>
      <c r="DV242" s="487"/>
      <c r="DW242" s="487"/>
      <c r="DX242" s="487"/>
      <c r="DY242" s="487"/>
      <c r="DZ242" s="487"/>
      <c r="EA242" s="487"/>
      <c r="EB242" s="487"/>
      <c r="EC242" s="487"/>
      <c r="ED242" s="487"/>
      <c r="EE242" s="487"/>
      <c r="EF242" s="487"/>
      <c r="EG242" s="487"/>
      <c r="EH242" s="487"/>
      <c r="EI242" s="487"/>
      <c r="EJ242" s="487"/>
      <c r="EK242" s="487"/>
      <c r="EL242" s="487"/>
      <c r="EM242" s="487"/>
      <c r="EN242" s="487"/>
      <c r="EO242" s="487"/>
      <c r="EP242" s="487"/>
      <c r="EQ242" s="487"/>
      <c r="ER242" s="487"/>
      <c r="ES242" s="487"/>
      <c r="ET242" s="487"/>
      <c r="EU242" s="487"/>
      <c r="EV242" s="487"/>
      <c r="EW242" s="487"/>
      <c r="EX242" s="487"/>
      <c r="EY242" s="487"/>
      <c r="EZ242" s="487"/>
      <c r="FA242" s="487"/>
      <c r="FB242" s="487"/>
      <c r="FC242" s="487"/>
      <c r="FD242" s="487"/>
      <c r="FE242" s="487"/>
      <c r="FF242" s="487"/>
      <c r="FG242" s="487"/>
      <c r="FH242" s="487"/>
      <c r="FI242" s="487"/>
      <c r="FJ242" s="487"/>
      <c r="FK242" s="487"/>
      <c r="FL242" s="487"/>
      <c r="FM242" s="487"/>
      <c r="FN242" s="487"/>
      <c r="FO242" s="487"/>
      <c r="FP242" s="487"/>
      <c r="FQ242" s="487"/>
      <c r="FR242" s="487"/>
      <c r="FS242" s="487"/>
      <c r="FT242" s="487"/>
      <c r="FU242" s="487"/>
      <c r="FV242" s="487"/>
      <c r="FW242" s="487"/>
      <c r="FX242" s="487"/>
      <c r="FY242" s="487"/>
      <c r="FZ242" s="487"/>
      <c r="GA242" s="487"/>
      <c r="GB242" s="487"/>
      <c r="GC242" s="487"/>
      <c r="GD242" s="487"/>
      <c r="GE242" s="487"/>
      <c r="GF242" s="487"/>
      <c r="GG242" s="487"/>
      <c r="GH242" s="487"/>
      <c r="GI242" s="487"/>
      <c r="GJ242" s="487"/>
      <c r="GK242" s="487"/>
      <c r="GL242" s="487"/>
      <c r="GM242" s="487"/>
      <c r="GN242" s="487"/>
      <c r="GO242" s="487"/>
      <c r="GP242" s="487"/>
      <c r="GQ242" s="487"/>
      <c r="GR242" s="487"/>
      <c r="GS242" s="487"/>
      <c r="GT242" s="487"/>
      <c r="GU242" s="487"/>
      <c r="GV242" s="487"/>
      <c r="GW242" s="487"/>
      <c r="GX242" s="487"/>
      <c r="GY242" s="487"/>
      <c r="GZ242" s="487"/>
      <c r="HA242" s="487"/>
      <c r="HB242" s="487"/>
      <c r="HC242" s="487"/>
      <c r="HD242" s="487"/>
      <c r="HE242" s="487"/>
      <c r="HF242" s="487"/>
      <c r="HG242" s="487"/>
      <c r="HH242" s="487"/>
      <c r="HI242" s="487"/>
      <c r="HJ242" s="487"/>
      <c r="HK242" s="487"/>
      <c r="HL242" s="487"/>
      <c r="HM242" s="487"/>
      <c r="HN242" s="487"/>
      <c r="HO242" s="487"/>
      <c r="HP242" s="487"/>
      <c r="HQ242" s="487"/>
      <c r="HR242" s="487"/>
      <c r="HS242" s="490"/>
    </row>
    <row r="243" spans="1:227" s="486" customFormat="1" ht="15" customHeight="1" x14ac:dyDescent="0.2">
      <c r="A243" s="453" t="s">
        <v>10202</v>
      </c>
      <c r="B243" s="453" t="s">
        <v>10203</v>
      </c>
      <c r="C243" s="473" t="s">
        <v>386</v>
      </c>
      <c r="D243" s="455" t="s">
        <v>9783</v>
      </c>
      <c r="E243" s="456" t="s">
        <v>9739</v>
      </c>
      <c r="F243" s="456" t="s">
        <v>10179</v>
      </c>
      <c r="G243" s="456" t="s">
        <v>7180</v>
      </c>
      <c r="H243" s="457">
        <v>155.52000000000001</v>
      </c>
      <c r="I243" s="457">
        <f t="shared" si="15"/>
        <v>167.184</v>
      </c>
      <c r="J243" s="457" t="s">
        <v>9706</v>
      </c>
      <c r="K243" s="458">
        <v>0.3</v>
      </c>
      <c r="L243" s="459">
        <f t="shared" si="12"/>
        <v>108.864</v>
      </c>
      <c r="M243" s="460">
        <v>0.18</v>
      </c>
      <c r="N243" s="461">
        <f t="shared" si="13"/>
        <v>137.09088</v>
      </c>
      <c r="O243" s="462">
        <v>0.1</v>
      </c>
      <c r="P243" s="463">
        <f t="shared" si="14"/>
        <v>150.46559999999999</v>
      </c>
      <c r="Q243" s="484"/>
      <c r="R243" s="465">
        <v>6</v>
      </c>
      <c r="S243" s="465">
        <v>6</v>
      </c>
      <c r="T243" s="465">
        <v>6</v>
      </c>
      <c r="U243" s="466"/>
      <c r="V243" s="485"/>
      <c r="W243" s="485"/>
      <c r="X243" s="485"/>
      <c r="Y243" s="485"/>
      <c r="Z243" s="485"/>
      <c r="AA243" s="485"/>
      <c r="AB243" s="485"/>
      <c r="AC243" s="485"/>
      <c r="AD243" s="485"/>
      <c r="AE243" s="485"/>
      <c r="AF243" s="485"/>
      <c r="AG243" s="485"/>
      <c r="AH243" s="485"/>
      <c r="AI243" s="485"/>
      <c r="AJ243" s="485"/>
      <c r="AK243" s="485"/>
      <c r="AL243" s="485"/>
      <c r="AM243" s="485"/>
      <c r="AN243" s="487"/>
      <c r="AO243" s="487"/>
      <c r="AP243" s="487"/>
      <c r="AQ243" s="487"/>
      <c r="AR243" s="487"/>
      <c r="AS243" s="487"/>
      <c r="AT243" s="487"/>
      <c r="AU243" s="487"/>
      <c r="AV243" s="487"/>
      <c r="AW243" s="487"/>
      <c r="AX243" s="487"/>
      <c r="AY243" s="487"/>
      <c r="AZ243" s="487"/>
      <c r="BA243" s="487"/>
      <c r="BB243" s="487"/>
      <c r="BC243" s="487"/>
      <c r="BD243" s="487"/>
      <c r="BE243" s="487"/>
      <c r="BF243" s="487"/>
      <c r="BG243" s="487"/>
      <c r="BH243" s="487"/>
      <c r="BI243" s="487"/>
      <c r="BJ243" s="487"/>
      <c r="BK243" s="487"/>
      <c r="BL243" s="487"/>
      <c r="BM243" s="487"/>
      <c r="BN243" s="487"/>
      <c r="BO243" s="487"/>
      <c r="BP243" s="487"/>
      <c r="BQ243" s="487"/>
      <c r="BR243" s="487"/>
      <c r="BS243" s="487"/>
      <c r="BT243" s="487"/>
      <c r="BU243" s="487"/>
      <c r="BV243" s="487"/>
      <c r="BW243" s="487"/>
      <c r="BX243" s="487"/>
      <c r="BY243" s="487"/>
      <c r="BZ243" s="487"/>
      <c r="CA243" s="487"/>
      <c r="CB243" s="487"/>
      <c r="CC243" s="487"/>
      <c r="CD243" s="487"/>
      <c r="CE243" s="487"/>
      <c r="CF243" s="487"/>
      <c r="CG243" s="487"/>
      <c r="CH243" s="487"/>
      <c r="CI243" s="487"/>
      <c r="CJ243" s="487"/>
      <c r="CK243" s="487"/>
      <c r="CL243" s="487"/>
      <c r="CM243" s="487"/>
      <c r="CN243" s="487"/>
      <c r="CO243" s="487"/>
      <c r="CP243" s="487"/>
      <c r="CQ243" s="487"/>
      <c r="CR243" s="487"/>
      <c r="CS243" s="487"/>
      <c r="CT243" s="487"/>
      <c r="CU243" s="487"/>
      <c r="CV243" s="487"/>
      <c r="CW243" s="487"/>
      <c r="CX243" s="487"/>
      <c r="CY243" s="487"/>
      <c r="CZ243" s="487"/>
      <c r="DA243" s="487"/>
      <c r="DB243" s="487"/>
      <c r="DC243" s="487"/>
      <c r="DD243" s="487"/>
      <c r="DE243" s="487"/>
      <c r="DF243" s="487"/>
      <c r="DG243" s="487"/>
      <c r="DH243" s="487"/>
      <c r="DI243" s="487"/>
      <c r="DJ243" s="487"/>
      <c r="DK243" s="487"/>
      <c r="DL243" s="487"/>
      <c r="DM243" s="487"/>
      <c r="DN243" s="487"/>
      <c r="DO243" s="487"/>
      <c r="DP243" s="487"/>
      <c r="DQ243" s="487"/>
      <c r="DR243" s="487"/>
      <c r="DS243" s="487"/>
      <c r="DT243" s="487"/>
      <c r="DU243" s="487"/>
      <c r="DV243" s="487"/>
      <c r="DW243" s="487"/>
      <c r="DX243" s="487"/>
      <c r="DY243" s="487"/>
      <c r="DZ243" s="487"/>
      <c r="EA243" s="487"/>
      <c r="EB243" s="487"/>
      <c r="EC243" s="487"/>
      <c r="ED243" s="487"/>
      <c r="EE243" s="487"/>
      <c r="EF243" s="487"/>
      <c r="EG243" s="487"/>
      <c r="EH243" s="487"/>
      <c r="EI243" s="487"/>
      <c r="EJ243" s="487"/>
      <c r="EK243" s="487"/>
      <c r="EL243" s="487"/>
      <c r="EM243" s="487"/>
      <c r="EN243" s="487"/>
      <c r="EO243" s="487"/>
      <c r="EP243" s="487"/>
      <c r="EQ243" s="487"/>
      <c r="ER243" s="487"/>
      <c r="ES243" s="487"/>
      <c r="ET243" s="487"/>
      <c r="EU243" s="487"/>
      <c r="EV243" s="487"/>
      <c r="EW243" s="487"/>
      <c r="EX243" s="487"/>
      <c r="EY243" s="487"/>
      <c r="EZ243" s="487"/>
      <c r="FA243" s="487"/>
      <c r="FB243" s="487"/>
      <c r="FC243" s="487"/>
      <c r="FD243" s="487"/>
      <c r="FE243" s="487"/>
      <c r="FF243" s="487"/>
      <c r="FG243" s="487"/>
      <c r="FH243" s="487"/>
      <c r="FI243" s="487"/>
      <c r="FJ243" s="487"/>
      <c r="FK243" s="487"/>
      <c r="FL243" s="487"/>
      <c r="FM243" s="487"/>
      <c r="FN243" s="487"/>
      <c r="FO243" s="487"/>
      <c r="FP243" s="487"/>
      <c r="FQ243" s="487"/>
      <c r="FR243" s="487"/>
      <c r="FS243" s="487"/>
      <c r="FT243" s="487"/>
      <c r="FU243" s="487"/>
      <c r="FV243" s="487"/>
      <c r="FW243" s="487"/>
      <c r="FX243" s="487"/>
      <c r="FY243" s="487"/>
      <c r="FZ243" s="487"/>
      <c r="GA243" s="487"/>
      <c r="GB243" s="487"/>
      <c r="GC243" s="487"/>
      <c r="GD243" s="487"/>
      <c r="GE243" s="487"/>
      <c r="GF243" s="487"/>
      <c r="GG243" s="487"/>
      <c r="GH243" s="487"/>
      <c r="GI243" s="487"/>
      <c r="GJ243" s="487"/>
      <c r="GK243" s="487"/>
      <c r="GL243" s="487"/>
      <c r="GM243" s="487"/>
      <c r="GN243" s="487"/>
      <c r="GO243" s="487"/>
      <c r="GP243" s="487"/>
      <c r="GQ243" s="487"/>
      <c r="GR243" s="487"/>
      <c r="GS243" s="487"/>
      <c r="GT243" s="487"/>
      <c r="GU243" s="487"/>
      <c r="GV243" s="487"/>
      <c r="GW243" s="487"/>
      <c r="GX243" s="487"/>
      <c r="GY243" s="487"/>
      <c r="GZ243" s="487"/>
      <c r="HA243" s="487"/>
      <c r="HB243" s="487"/>
      <c r="HC243" s="487"/>
      <c r="HD243" s="487"/>
      <c r="HE243" s="487"/>
      <c r="HF243" s="487"/>
      <c r="HG243" s="487"/>
      <c r="HH243" s="487"/>
      <c r="HI243" s="487"/>
      <c r="HJ243" s="487"/>
      <c r="HK243" s="487"/>
      <c r="HL243" s="487"/>
      <c r="HM243" s="487"/>
      <c r="HN243" s="487"/>
      <c r="HO243" s="487"/>
      <c r="HP243" s="487"/>
      <c r="HQ243" s="487"/>
      <c r="HR243" s="487"/>
      <c r="HS243" s="490"/>
    </row>
    <row r="244" spans="1:227" s="486" customFormat="1" ht="15" customHeight="1" x14ac:dyDescent="0.2">
      <c r="A244" s="453" t="s">
        <v>10204</v>
      </c>
      <c r="B244" s="453" t="s">
        <v>10205</v>
      </c>
      <c r="C244" s="473" t="s">
        <v>386</v>
      </c>
      <c r="D244" s="455" t="s">
        <v>9783</v>
      </c>
      <c r="E244" s="456" t="s">
        <v>9710</v>
      </c>
      <c r="F244" s="456" t="s">
        <v>10179</v>
      </c>
      <c r="G244" s="456" t="s">
        <v>7180</v>
      </c>
      <c r="H244" s="457">
        <v>155.52000000000001</v>
      </c>
      <c r="I244" s="457">
        <f t="shared" si="15"/>
        <v>167.184</v>
      </c>
      <c r="J244" s="457" t="s">
        <v>9706</v>
      </c>
      <c r="K244" s="458">
        <v>0.3</v>
      </c>
      <c r="L244" s="459">
        <f t="shared" si="12"/>
        <v>108.864</v>
      </c>
      <c r="M244" s="460">
        <v>0.18</v>
      </c>
      <c r="N244" s="461">
        <f t="shared" si="13"/>
        <v>137.09088</v>
      </c>
      <c r="O244" s="462">
        <v>0.1</v>
      </c>
      <c r="P244" s="463">
        <f t="shared" si="14"/>
        <v>150.46559999999999</v>
      </c>
      <c r="Q244" s="484"/>
      <c r="R244" s="465">
        <v>6</v>
      </c>
      <c r="S244" s="465">
        <v>6</v>
      </c>
      <c r="T244" s="465">
        <v>6</v>
      </c>
      <c r="U244" s="466"/>
      <c r="V244" s="485"/>
      <c r="W244" s="485"/>
      <c r="X244" s="485"/>
      <c r="Y244" s="485"/>
      <c r="Z244" s="485"/>
      <c r="AA244" s="485"/>
      <c r="AB244" s="485"/>
      <c r="AC244" s="485"/>
      <c r="AD244" s="485"/>
      <c r="AE244" s="485"/>
      <c r="AF244" s="485"/>
      <c r="AG244" s="485"/>
      <c r="AH244" s="485"/>
      <c r="AI244" s="485"/>
      <c r="AJ244" s="485"/>
      <c r="AK244" s="485"/>
      <c r="AL244" s="485"/>
      <c r="AM244" s="485"/>
      <c r="AN244" s="487"/>
      <c r="AO244" s="487"/>
      <c r="AP244" s="487"/>
      <c r="AQ244" s="487"/>
      <c r="AR244" s="487"/>
      <c r="AS244" s="487"/>
      <c r="AT244" s="487"/>
      <c r="AU244" s="487"/>
      <c r="AV244" s="487"/>
      <c r="AW244" s="487"/>
      <c r="AX244" s="487"/>
      <c r="AY244" s="487"/>
      <c r="AZ244" s="487"/>
      <c r="BA244" s="487"/>
      <c r="BB244" s="487"/>
      <c r="BC244" s="487"/>
      <c r="BD244" s="487"/>
      <c r="BE244" s="487"/>
      <c r="BF244" s="487"/>
      <c r="BG244" s="487"/>
      <c r="BH244" s="487"/>
      <c r="BI244" s="487"/>
      <c r="BJ244" s="487"/>
      <c r="BK244" s="487"/>
      <c r="BL244" s="487"/>
      <c r="BM244" s="487"/>
      <c r="BN244" s="487"/>
      <c r="BO244" s="487"/>
      <c r="BP244" s="487"/>
      <c r="BQ244" s="487"/>
      <c r="BR244" s="487"/>
      <c r="BS244" s="487"/>
      <c r="BT244" s="487"/>
      <c r="BU244" s="487"/>
      <c r="BV244" s="487"/>
      <c r="BW244" s="487"/>
      <c r="BX244" s="487"/>
      <c r="BY244" s="487"/>
      <c r="BZ244" s="487"/>
      <c r="CA244" s="487"/>
      <c r="CB244" s="487"/>
      <c r="CC244" s="487"/>
      <c r="CD244" s="487"/>
      <c r="CE244" s="487"/>
      <c r="CF244" s="487"/>
      <c r="CG244" s="487"/>
      <c r="CH244" s="487"/>
      <c r="CI244" s="487"/>
      <c r="CJ244" s="487"/>
      <c r="CK244" s="487"/>
      <c r="CL244" s="487"/>
      <c r="CM244" s="487"/>
      <c r="CN244" s="487"/>
      <c r="CO244" s="487"/>
      <c r="CP244" s="487"/>
      <c r="CQ244" s="487"/>
      <c r="CR244" s="487"/>
      <c r="CS244" s="487"/>
      <c r="CT244" s="487"/>
      <c r="CU244" s="487"/>
      <c r="CV244" s="487"/>
      <c r="CW244" s="487"/>
      <c r="CX244" s="487"/>
      <c r="CY244" s="487"/>
      <c r="CZ244" s="487"/>
      <c r="DA244" s="487"/>
      <c r="DB244" s="487"/>
      <c r="DC244" s="487"/>
      <c r="DD244" s="487"/>
      <c r="DE244" s="487"/>
      <c r="DF244" s="487"/>
      <c r="DG244" s="487"/>
      <c r="DH244" s="487"/>
      <c r="DI244" s="487"/>
      <c r="DJ244" s="487"/>
      <c r="DK244" s="487"/>
      <c r="DL244" s="487"/>
      <c r="DM244" s="487"/>
      <c r="DN244" s="487"/>
      <c r="DO244" s="487"/>
      <c r="DP244" s="487"/>
      <c r="DQ244" s="487"/>
      <c r="DR244" s="487"/>
      <c r="DS244" s="487"/>
      <c r="DT244" s="487"/>
      <c r="DU244" s="487"/>
      <c r="DV244" s="487"/>
      <c r="DW244" s="487"/>
      <c r="DX244" s="487"/>
      <c r="DY244" s="487"/>
      <c r="DZ244" s="487"/>
      <c r="EA244" s="487"/>
      <c r="EB244" s="487"/>
      <c r="EC244" s="487"/>
      <c r="ED244" s="487"/>
      <c r="EE244" s="487"/>
      <c r="EF244" s="487"/>
      <c r="EG244" s="487"/>
      <c r="EH244" s="487"/>
      <c r="EI244" s="487"/>
      <c r="EJ244" s="487"/>
      <c r="EK244" s="487"/>
      <c r="EL244" s="487"/>
      <c r="EM244" s="487"/>
      <c r="EN244" s="487"/>
      <c r="EO244" s="487"/>
      <c r="EP244" s="487"/>
      <c r="EQ244" s="487"/>
      <c r="ER244" s="487"/>
      <c r="ES244" s="487"/>
      <c r="ET244" s="487"/>
      <c r="EU244" s="487"/>
      <c r="EV244" s="487"/>
      <c r="EW244" s="487"/>
      <c r="EX244" s="487"/>
      <c r="EY244" s="487"/>
      <c r="EZ244" s="487"/>
      <c r="FA244" s="487"/>
      <c r="FB244" s="487"/>
      <c r="FC244" s="487"/>
      <c r="FD244" s="487"/>
      <c r="FE244" s="487"/>
      <c r="FF244" s="487"/>
      <c r="FG244" s="487"/>
      <c r="FH244" s="487"/>
      <c r="FI244" s="487"/>
      <c r="FJ244" s="487"/>
      <c r="FK244" s="487"/>
      <c r="FL244" s="487"/>
      <c r="FM244" s="487"/>
      <c r="FN244" s="487"/>
      <c r="FO244" s="487"/>
      <c r="FP244" s="487"/>
      <c r="FQ244" s="487"/>
      <c r="FR244" s="487"/>
      <c r="FS244" s="487"/>
      <c r="FT244" s="487"/>
      <c r="FU244" s="487"/>
      <c r="FV244" s="487"/>
      <c r="FW244" s="487"/>
      <c r="FX244" s="487"/>
      <c r="FY244" s="487"/>
      <c r="FZ244" s="487"/>
      <c r="GA244" s="487"/>
      <c r="GB244" s="487"/>
      <c r="GC244" s="487"/>
      <c r="GD244" s="487"/>
      <c r="GE244" s="487"/>
      <c r="GF244" s="487"/>
      <c r="GG244" s="487"/>
      <c r="GH244" s="487"/>
      <c r="GI244" s="487"/>
      <c r="GJ244" s="487"/>
      <c r="GK244" s="487"/>
      <c r="GL244" s="487"/>
      <c r="GM244" s="487"/>
      <c r="GN244" s="487"/>
      <c r="GO244" s="487"/>
      <c r="GP244" s="487"/>
      <c r="GQ244" s="487"/>
      <c r="GR244" s="487"/>
      <c r="GS244" s="487"/>
      <c r="GT244" s="487"/>
      <c r="GU244" s="487"/>
      <c r="GV244" s="487"/>
      <c r="GW244" s="487"/>
      <c r="GX244" s="487"/>
      <c r="GY244" s="487"/>
      <c r="GZ244" s="487"/>
      <c r="HA244" s="487"/>
      <c r="HB244" s="487"/>
      <c r="HC244" s="487"/>
      <c r="HD244" s="487"/>
      <c r="HE244" s="487"/>
      <c r="HF244" s="487"/>
      <c r="HG244" s="487"/>
      <c r="HH244" s="487"/>
      <c r="HI244" s="487"/>
      <c r="HJ244" s="487"/>
      <c r="HK244" s="487"/>
      <c r="HL244" s="487"/>
      <c r="HM244" s="487"/>
      <c r="HN244" s="487"/>
      <c r="HO244" s="487"/>
      <c r="HP244" s="487"/>
      <c r="HQ244" s="487"/>
      <c r="HR244" s="487"/>
      <c r="HS244" s="490"/>
    </row>
    <row r="245" spans="1:227" s="486" customFormat="1" ht="15" customHeight="1" x14ac:dyDescent="0.2">
      <c r="A245" s="453" t="s">
        <v>10206</v>
      </c>
      <c r="B245" s="453" t="s">
        <v>10207</v>
      </c>
      <c r="C245" s="473" t="s">
        <v>386</v>
      </c>
      <c r="D245" s="455" t="s">
        <v>9783</v>
      </c>
      <c r="E245" s="456" t="s">
        <v>9710</v>
      </c>
      <c r="F245" s="456" t="s">
        <v>10179</v>
      </c>
      <c r="G245" s="456" t="s">
        <v>7180</v>
      </c>
      <c r="H245" s="457">
        <v>155.52000000000001</v>
      </c>
      <c r="I245" s="457">
        <f t="shared" si="15"/>
        <v>167.184</v>
      </c>
      <c r="J245" s="457" t="s">
        <v>9706</v>
      </c>
      <c r="K245" s="458">
        <v>0.3</v>
      </c>
      <c r="L245" s="459">
        <f t="shared" si="12"/>
        <v>108.864</v>
      </c>
      <c r="M245" s="460">
        <v>0.18</v>
      </c>
      <c r="N245" s="461">
        <f t="shared" si="13"/>
        <v>137.09088</v>
      </c>
      <c r="O245" s="462">
        <v>0.1</v>
      </c>
      <c r="P245" s="463">
        <f t="shared" si="14"/>
        <v>150.46559999999999</v>
      </c>
      <c r="Q245" s="484"/>
      <c r="R245" s="465">
        <v>6</v>
      </c>
      <c r="S245" s="465">
        <v>6</v>
      </c>
      <c r="T245" s="465">
        <v>6</v>
      </c>
      <c r="U245" s="466"/>
      <c r="V245" s="485"/>
      <c r="W245" s="485"/>
      <c r="X245" s="485"/>
      <c r="Y245" s="485"/>
      <c r="Z245" s="485"/>
      <c r="AA245" s="485"/>
      <c r="AB245" s="485"/>
      <c r="AC245" s="485"/>
      <c r="AD245" s="485"/>
      <c r="AE245" s="485"/>
      <c r="AF245" s="485"/>
      <c r="AG245" s="485"/>
      <c r="AH245" s="485"/>
      <c r="AI245" s="485"/>
      <c r="AJ245" s="485"/>
      <c r="AK245" s="485"/>
      <c r="AL245" s="485"/>
      <c r="AM245" s="485"/>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7"/>
      <c r="BI245" s="487"/>
      <c r="BJ245" s="487"/>
      <c r="BK245" s="487"/>
      <c r="BL245" s="487"/>
      <c r="BM245" s="487"/>
      <c r="BN245" s="487"/>
      <c r="BO245" s="487"/>
      <c r="BP245" s="487"/>
      <c r="BQ245" s="487"/>
      <c r="BR245" s="487"/>
      <c r="BS245" s="487"/>
      <c r="BT245" s="487"/>
      <c r="BU245" s="487"/>
      <c r="BV245" s="487"/>
      <c r="BW245" s="487"/>
      <c r="BX245" s="487"/>
      <c r="BY245" s="487"/>
      <c r="BZ245" s="487"/>
      <c r="CA245" s="487"/>
      <c r="CB245" s="487"/>
      <c r="CC245" s="487"/>
      <c r="CD245" s="487"/>
      <c r="CE245" s="487"/>
      <c r="CF245" s="487"/>
      <c r="CG245" s="487"/>
      <c r="CH245" s="487"/>
      <c r="CI245" s="487"/>
      <c r="CJ245" s="487"/>
      <c r="CK245" s="487"/>
      <c r="CL245" s="487"/>
      <c r="CM245" s="487"/>
      <c r="CN245" s="487"/>
      <c r="CO245" s="487"/>
      <c r="CP245" s="487"/>
      <c r="CQ245" s="487"/>
      <c r="CR245" s="487"/>
      <c r="CS245" s="487"/>
      <c r="CT245" s="487"/>
      <c r="CU245" s="487"/>
      <c r="CV245" s="487"/>
      <c r="CW245" s="487"/>
      <c r="CX245" s="487"/>
      <c r="CY245" s="487"/>
      <c r="CZ245" s="487"/>
      <c r="DA245" s="487"/>
      <c r="DB245" s="487"/>
      <c r="DC245" s="487"/>
      <c r="DD245" s="487"/>
      <c r="DE245" s="487"/>
      <c r="DF245" s="487"/>
      <c r="DG245" s="487"/>
      <c r="DH245" s="487"/>
      <c r="DI245" s="487"/>
      <c r="DJ245" s="487"/>
      <c r="DK245" s="487"/>
      <c r="DL245" s="487"/>
      <c r="DM245" s="487"/>
      <c r="DN245" s="487"/>
      <c r="DO245" s="487"/>
      <c r="DP245" s="487"/>
      <c r="DQ245" s="487"/>
      <c r="DR245" s="487"/>
      <c r="DS245" s="487"/>
      <c r="DT245" s="487"/>
      <c r="DU245" s="487"/>
      <c r="DV245" s="487"/>
      <c r="DW245" s="487"/>
      <c r="DX245" s="487"/>
      <c r="DY245" s="487"/>
      <c r="DZ245" s="487"/>
      <c r="EA245" s="487"/>
      <c r="EB245" s="487"/>
      <c r="EC245" s="487"/>
      <c r="ED245" s="487"/>
      <c r="EE245" s="487"/>
      <c r="EF245" s="487"/>
      <c r="EG245" s="487"/>
      <c r="EH245" s="487"/>
      <c r="EI245" s="487"/>
      <c r="EJ245" s="487"/>
      <c r="EK245" s="487"/>
      <c r="EL245" s="487"/>
      <c r="EM245" s="487"/>
      <c r="EN245" s="487"/>
      <c r="EO245" s="487"/>
      <c r="EP245" s="487"/>
      <c r="EQ245" s="487"/>
      <c r="ER245" s="487"/>
      <c r="ES245" s="487"/>
      <c r="ET245" s="487"/>
      <c r="EU245" s="487"/>
      <c r="EV245" s="487"/>
      <c r="EW245" s="487"/>
      <c r="EX245" s="487"/>
      <c r="EY245" s="487"/>
      <c r="EZ245" s="487"/>
      <c r="FA245" s="487"/>
      <c r="FB245" s="487"/>
      <c r="FC245" s="487"/>
      <c r="FD245" s="487"/>
      <c r="FE245" s="487"/>
      <c r="FF245" s="487"/>
      <c r="FG245" s="487"/>
      <c r="FH245" s="487"/>
      <c r="FI245" s="487"/>
      <c r="FJ245" s="487"/>
      <c r="FK245" s="487"/>
      <c r="FL245" s="487"/>
      <c r="FM245" s="487"/>
      <c r="FN245" s="487"/>
      <c r="FO245" s="487"/>
      <c r="FP245" s="487"/>
      <c r="FQ245" s="487"/>
      <c r="FR245" s="487"/>
      <c r="FS245" s="487"/>
      <c r="FT245" s="487"/>
      <c r="FU245" s="487"/>
      <c r="FV245" s="487"/>
      <c r="FW245" s="487"/>
      <c r="FX245" s="487"/>
      <c r="FY245" s="487"/>
      <c r="FZ245" s="487"/>
      <c r="GA245" s="487"/>
      <c r="GB245" s="487"/>
      <c r="GC245" s="487"/>
      <c r="GD245" s="487"/>
      <c r="GE245" s="487"/>
      <c r="GF245" s="487"/>
      <c r="GG245" s="487"/>
      <c r="GH245" s="487"/>
      <c r="GI245" s="487"/>
      <c r="GJ245" s="487"/>
      <c r="GK245" s="487"/>
      <c r="GL245" s="487"/>
      <c r="GM245" s="487"/>
      <c r="GN245" s="487"/>
      <c r="GO245" s="487"/>
      <c r="GP245" s="487"/>
      <c r="GQ245" s="487"/>
      <c r="GR245" s="487"/>
      <c r="GS245" s="487"/>
      <c r="GT245" s="487"/>
      <c r="GU245" s="487"/>
      <c r="GV245" s="487"/>
      <c r="GW245" s="487"/>
      <c r="GX245" s="487"/>
      <c r="GY245" s="487"/>
      <c r="GZ245" s="487"/>
      <c r="HA245" s="487"/>
      <c r="HB245" s="487"/>
      <c r="HC245" s="487"/>
      <c r="HD245" s="487"/>
      <c r="HE245" s="487"/>
      <c r="HF245" s="487"/>
      <c r="HG245" s="487"/>
      <c r="HH245" s="487"/>
      <c r="HI245" s="487"/>
      <c r="HJ245" s="487"/>
      <c r="HK245" s="487"/>
      <c r="HL245" s="487"/>
      <c r="HM245" s="487"/>
      <c r="HN245" s="487"/>
      <c r="HO245" s="487"/>
      <c r="HP245" s="487"/>
      <c r="HQ245" s="487"/>
      <c r="HR245" s="487"/>
      <c r="HS245" s="490"/>
    </row>
    <row r="246" spans="1:227" s="486" customFormat="1" ht="15" customHeight="1" x14ac:dyDescent="0.2">
      <c r="A246" s="453" t="s">
        <v>10208</v>
      </c>
      <c r="B246" s="453" t="s">
        <v>10209</v>
      </c>
      <c r="C246" s="473" t="s">
        <v>386</v>
      </c>
      <c r="D246" s="455" t="s">
        <v>9783</v>
      </c>
      <c r="E246" s="456" t="s">
        <v>9716</v>
      </c>
      <c r="F246" s="456" t="s">
        <v>10179</v>
      </c>
      <c r="G246" s="456" t="s">
        <v>7180</v>
      </c>
      <c r="H246" s="457">
        <v>166.32000000000002</v>
      </c>
      <c r="I246" s="457">
        <f t="shared" si="15"/>
        <v>178.79400000000001</v>
      </c>
      <c r="J246" s="457" t="s">
        <v>9706</v>
      </c>
      <c r="K246" s="458">
        <v>0.3</v>
      </c>
      <c r="L246" s="459">
        <f t="shared" si="12"/>
        <v>116.42400000000001</v>
      </c>
      <c r="M246" s="460">
        <v>0.18</v>
      </c>
      <c r="N246" s="461">
        <f t="shared" si="13"/>
        <v>146.61108000000002</v>
      </c>
      <c r="O246" s="462">
        <v>0.1</v>
      </c>
      <c r="P246" s="463">
        <f t="shared" si="14"/>
        <v>160.91460000000001</v>
      </c>
      <c r="Q246" s="484"/>
      <c r="R246" s="465">
        <v>6</v>
      </c>
      <c r="S246" s="465">
        <v>6</v>
      </c>
      <c r="T246" s="465">
        <v>6</v>
      </c>
      <c r="U246" s="466"/>
      <c r="V246" s="485"/>
      <c r="W246" s="485"/>
      <c r="X246" s="485"/>
      <c r="Y246" s="485"/>
      <c r="Z246" s="485"/>
      <c r="AA246" s="485"/>
      <c r="AB246" s="485"/>
      <c r="AC246" s="485"/>
      <c r="AD246" s="485"/>
      <c r="AE246" s="485"/>
      <c r="AF246" s="485"/>
      <c r="AG246" s="485"/>
      <c r="AH246" s="485"/>
      <c r="AI246" s="485"/>
      <c r="AJ246" s="485"/>
      <c r="AK246" s="485"/>
      <c r="AL246" s="485"/>
      <c r="AM246" s="485"/>
      <c r="AN246" s="487"/>
      <c r="AO246" s="487"/>
      <c r="AP246" s="487"/>
      <c r="AQ246" s="487"/>
      <c r="AR246" s="487"/>
      <c r="AS246" s="487"/>
      <c r="AT246" s="487"/>
      <c r="AU246" s="487"/>
      <c r="AV246" s="487"/>
      <c r="AW246" s="487"/>
      <c r="AX246" s="487"/>
      <c r="AY246" s="487"/>
      <c r="AZ246" s="487"/>
      <c r="BA246" s="487"/>
      <c r="BB246" s="487"/>
      <c r="BC246" s="487"/>
      <c r="BD246" s="487"/>
      <c r="BE246" s="487"/>
      <c r="BF246" s="487"/>
      <c r="BG246" s="487"/>
      <c r="BH246" s="487"/>
      <c r="BI246" s="487"/>
      <c r="BJ246" s="487"/>
      <c r="BK246" s="487"/>
      <c r="BL246" s="487"/>
      <c r="BM246" s="487"/>
      <c r="BN246" s="487"/>
      <c r="BO246" s="487"/>
      <c r="BP246" s="487"/>
      <c r="BQ246" s="487"/>
      <c r="BR246" s="487"/>
      <c r="BS246" s="487"/>
      <c r="BT246" s="487"/>
      <c r="BU246" s="487"/>
      <c r="BV246" s="487"/>
      <c r="BW246" s="487"/>
      <c r="BX246" s="487"/>
      <c r="BY246" s="487"/>
      <c r="BZ246" s="487"/>
      <c r="CA246" s="487"/>
      <c r="CB246" s="487"/>
      <c r="CC246" s="487"/>
      <c r="CD246" s="487"/>
      <c r="CE246" s="487"/>
      <c r="CF246" s="487"/>
      <c r="CG246" s="487"/>
      <c r="CH246" s="487"/>
      <c r="CI246" s="487"/>
      <c r="CJ246" s="487"/>
      <c r="CK246" s="487"/>
      <c r="CL246" s="487"/>
      <c r="CM246" s="487"/>
      <c r="CN246" s="487"/>
      <c r="CO246" s="487"/>
      <c r="CP246" s="487"/>
      <c r="CQ246" s="487"/>
      <c r="CR246" s="487"/>
      <c r="CS246" s="487"/>
      <c r="CT246" s="487"/>
      <c r="CU246" s="487"/>
      <c r="CV246" s="487"/>
      <c r="CW246" s="487"/>
      <c r="CX246" s="487"/>
      <c r="CY246" s="487"/>
      <c r="CZ246" s="487"/>
      <c r="DA246" s="487"/>
      <c r="DB246" s="487"/>
      <c r="DC246" s="487"/>
      <c r="DD246" s="487"/>
      <c r="DE246" s="487"/>
      <c r="DF246" s="487"/>
      <c r="DG246" s="487"/>
      <c r="DH246" s="487"/>
      <c r="DI246" s="487"/>
      <c r="DJ246" s="487"/>
      <c r="DK246" s="487"/>
      <c r="DL246" s="487"/>
      <c r="DM246" s="487"/>
      <c r="DN246" s="487"/>
      <c r="DO246" s="487"/>
      <c r="DP246" s="487"/>
      <c r="DQ246" s="487"/>
      <c r="DR246" s="487"/>
      <c r="DS246" s="487"/>
      <c r="DT246" s="487"/>
      <c r="DU246" s="487"/>
      <c r="DV246" s="487"/>
      <c r="DW246" s="487"/>
      <c r="DX246" s="487"/>
      <c r="DY246" s="487"/>
      <c r="DZ246" s="487"/>
      <c r="EA246" s="487"/>
      <c r="EB246" s="487"/>
      <c r="EC246" s="487"/>
      <c r="ED246" s="487"/>
      <c r="EE246" s="487"/>
      <c r="EF246" s="487"/>
      <c r="EG246" s="487"/>
      <c r="EH246" s="487"/>
      <c r="EI246" s="487"/>
      <c r="EJ246" s="487"/>
      <c r="EK246" s="487"/>
      <c r="EL246" s="487"/>
      <c r="EM246" s="487"/>
      <c r="EN246" s="487"/>
      <c r="EO246" s="487"/>
      <c r="EP246" s="487"/>
      <c r="EQ246" s="487"/>
      <c r="ER246" s="487"/>
      <c r="ES246" s="487"/>
      <c r="ET246" s="487"/>
      <c r="EU246" s="487"/>
      <c r="EV246" s="487"/>
      <c r="EW246" s="487"/>
      <c r="EX246" s="487"/>
      <c r="EY246" s="487"/>
      <c r="EZ246" s="487"/>
      <c r="FA246" s="487"/>
      <c r="FB246" s="487"/>
      <c r="FC246" s="487"/>
      <c r="FD246" s="487"/>
      <c r="FE246" s="487"/>
      <c r="FF246" s="487"/>
      <c r="FG246" s="487"/>
      <c r="FH246" s="487"/>
      <c r="FI246" s="487"/>
      <c r="FJ246" s="487"/>
      <c r="FK246" s="487"/>
      <c r="FL246" s="487"/>
      <c r="FM246" s="487"/>
      <c r="FN246" s="487"/>
      <c r="FO246" s="487"/>
      <c r="FP246" s="487"/>
      <c r="FQ246" s="487"/>
      <c r="FR246" s="487"/>
      <c r="FS246" s="487"/>
      <c r="FT246" s="487"/>
      <c r="FU246" s="487"/>
      <c r="FV246" s="487"/>
      <c r="FW246" s="487"/>
      <c r="FX246" s="487"/>
      <c r="FY246" s="487"/>
      <c r="FZ246" s="487"/>
      <c r="GA246" s="487"/>
      <c r="GB246" s="487"/>
      <c r="GC246" s="487"/>
      <c r="GD246" s="487"/>
      <c r="GE246" s="487"/>
      <c r="GF246" s="487"/>
      <c r="GG246" s="487"/>
      <c r="GH246" s="487"/>
      <c r="GI246" s="487"/>
      <c r="GJ246" s="487"/>
      <c r="GK246" s="487"/>
      <c r="GL246" s="487"/>
      <c r="GM246" s="487"/>
      <c r="GN246" s="487"/>
      <c r="GO246" s="487"/>
      <c r="GP246" s="487"/>
      <c r="GQ246" s="487"/>
      <c r="GR246" s="487"/>
      <c r="GS246" s="487"/>
      <c r="GT246" s="487"/>
      <c r="GU246" s="487"/>
      <c r="GV246" s="487"/>
      <c r="GW246" s="487"/>
      <c r="GX246" s="487"/>
      <c r="GY246" s="487"/>
      <c r="GZ246" s="487"/>
      <c r="HA246" s="487"/>
      <c r="HB246" s="487"/>
      <c r="HC246" s="487"/>
      <c r="HD246" s="487"/>
      <c r="HE246" s="487"/>
      <c r="HF246" s="487"/>
      <c r="HG246" s="487"/>
      <c r="HH246" s="487"/>
      <c r="HI246" s="487"/>
      <c r="HJ246" s="487"/>
      <c r="HK246" s="487"/>
      <c r="HL246" s="487"/>
      <c r="HM246" s="487"/>
      <c r="HN246" s="487"/>
      <c r="HO246" s="487"/>
      <c r="HP246" s="487"/>
      <c r="HQ246" s="487"/>
      <c r="HR246" s="487"/>
      <c r="HS246" s="490"/>
    </row>
    <row r="247" spans="1:227" s="486" customFormat="1" ht="15" customHeight="1" x14ac:dyDescent="0.2">
      <c r="A247" s="491" t="s">
        <v>10210</v>
      </c>
      <c r="B247" s="475" t="s">
        <v>10211</v>
      </c>
      <c r="C247" s="473" t="s">
        <v>386</v>
      </c>
      <c r="D247" s="455" t="s">
        <v>9783</v>
      </c>
      <c r="E247" s="456" t="s">
        <v>9710</v>
      </c>
      <c r="F247" s="456" t="s">
        <v>10212</v>
      </c>
      <c r="G247" s="456" t="s">
        <v>7180</v>
      </c>
      <c r="H247" s="457">
        <v>128.52000000000001</v>
      </c>
      <c r="I247" s="457">
        <f t="shared" si="15"/>
        <v>138.15899999999999</v>
      </c>
      <c r="J247" s="457" t="s">
        <v>9706</v>
      </c>
      <c r="K247" s="458">
        <v>0.3</v>
      </c>
      <c r="L247" s="459">
        <f t="shared" si="12"/>
        <v>89.963999999999999</v>
      </c>
      <c r="M247" s="460">
        <v>0.18</v>
      </c>
      <c r="N247" s="461">
        <f t="shared" si="13"/>
        <v>113.29038</v>
      </c>
      <c r="O247" s="462">
        <v>0.1</v>
      </c>
      <c r="P247" s="463">
        <f t="shared" si="14"/>
        <v>124.34309999999999</v>
      </c>
      <c r="Q247" s="484"/>
      <c r="R247" s="465">
        <v>6</v>
      </c>
      <c r="S247" s="465">
        <v>6</v>
      </c>
      <c r="T247" s="465">
        <v>6</v>
      </c>
      <c r="U247" s="466"/>
      <c r="V247" s="485"/>
      <c r="W247" s="485"/>
      <c r="X247" s="485"/>
      <c r="Y247" s="485"/>
      <c r="Z247" s="485"/>
      <c r="AA247" s="485"/>
      <c r="AB247" s="485"/>
      <c r="AC247" s="485"/>
      <c r="AD247" s="485"/>
      <c r="AE247" s="485"/>
      <c r="AF247" s="485"/>
      <c r="AG247" s="485"/>
      <c r="AH247" s="485"/>
      <c r="AI247" s="485"/>
      <c r="AJ247" s="485"/>
      <c r="AK247" s="485"/>
      <c r="AL247" s="485"/>
      <c r="AM247" s="485"/>
      <c r="AN247" s="487"/>
      <c r="AO247" s="487"/>
      <c r="AP247" s="487"/>
      <c r="AQ247" s="487"/>
      <c r="AR247" s="487"/>
      <c r="AS247" s="487"/>
      <c r="AT247" s="487"/>
      <c r="AU247" s="487"/>
      <c r="AV247" s="487"/>
      <c r="AW247" s="487"/>
      <c r="AX247" s="487"/>
      <c r="AY247" s="487"/>
      <c r="AZ247" s="487"/>
      <c r="BA247" s="487"/>
      <c r="BB247" s="487"/>
      <c r="BC247" s="487"/>
      <c r="BD247" s="487"/>
      <c r="BE247" s="487"/>
      <c r="BF247" s="487"/>
      <c r="BG247" s="487"/>
      <c r="BH247" s="487"/>
      <c r="BI247" s="487"/>
      <c r="BJ247" s="487"/>
      <c r="BK247" s="487"/>
      <c r="BL247" s="487"/>
      <c r="BM247" s="487"/>
      <c r="BN247" s="487"/>
      <c r="BO247" s="487"/>
      <c r="BP247" s="487"/>
      <c r="BQ247" s="487"/>
      <c r="BR247" s="487"/>
      <c r="BS247" s="487"/>
      <c r="BT247" s="487"/>
      <c r="BU247" s="487"/>
      <c r="BV247" s="487"/>
      <c r="BW247" s="487"/>
      <c r="BX247" s="487"/>
      <c r="BY247" s="487"/>
      <c r="BZ247" s="487"/>
      <c r="CA247" s="487"/>
      <c r="CB247" s="487"/>
      <c r="CC247" s="487"/>
      <c r="CD247" s="487"/>
      <c r="CE247" s="487"/>
      <c r="CF247" s="487"/>
      <c r="CG247" s="487"/>
      <c r="CH247" s="487"/>
      <c r="CI247" s="487"/>
      <c r="CJ247" s="487"/>
      <c r="CK247" s="487"/>
      <c r="CL247" s="487"/>
      <c r="CM247" s="487"/>
      <c r="CN247" s="487"/>
      <c r="CO247" s="487"/>
      <c r="CP247" s="487"/>
      <c r="CQ247" s="487"/>
      <c r="CR247" s="487"/>
      <c r="CS247" s="487"/>
      <c r="CT247" s="487"/>
      <c r="CU247" s="487"/>
      <c r="CV247" s="487"/>
      <c r="CW247" s="487"/>
      <c r="CX247" s="487"/>
      <c r="CY247" s="487"/>
      <c r="CZ247" s="487"/>
      <c r="DA247" s="487"/>
      <c r="DB247" s="487"/>
      <c r="DC247" s="487"/>
      <c r="DD247" s="487"/>
      <c r="DE247" s="487"/>
      <c r="DF247" s="487"/>
      <c r="DG247" s="487"/>
      <c r="DH247" s="487"/>
      <c r="DI247" s="487"/>
      <c r="DJ247" s="487"/>
      <c r="DK247" s="487"/>
      <c r="DL247" s="487"/>
      <c r="DM247" s="487"/>
      <c r="DN247" s="487"/>
      <c r="DO247" s="487"/>
      <c r="DP247" s="487"/>
      <c r="DQ247" s="487"/>
      <c r="DR247" s="487"/>
      <c r="DS247" s="487"/>
      <c r="DT247" s="487"/>
      <c r="DU247" s="487"/>
      <c r="DV247" s="487"/>
      <c r="DW247" s="487"/>
      <c r="DX247" s="487"/>
      <c r="DY247" s="487"/>
      <c r="DZ247" s="487"/>
      <c r="EA247" s="487"/>
      <c r="EB247" s="487"/>
      <c r="EC247" s="487"/>
      <c r="ED247" s="487"/>
      <c r="EE247" s="487"/>
      <c r="EF247" s="487"/>
      <c r="EG247" s="487"/>
      <c r="EH247" s="487"/>
      <c r="EI247" s="487"/>
      <c r="EJ247" s="487"/>
      <c r="EK247" s="487"/>
      <c r="EL247" s="487"/>
      <c r="EM247" s="487"/>
      <c r="EN247" s="487"/>
      <c r="EO247" s="487"/>
      <c r="EP247" s="487"/>
      <c r="EQ247" s="487"/>
      <c r="ER247" s="487"/>
      <c r="ES247" s="487"/>
      <c r="ET247" s="487"/>
      <c r="EU247" s="487"/>
      <c r="EV247" s="487"/>
      <c r="EW247" s="487"/>
      <c r="EX247" s="487"/>
      <c r="EY247" s="487"/>
      <c r="EZ247" s="487"/>
      <c r="FA247" s="487"/>
      <c r="FB247" s="487"/>
      <c r="FC247" s="487"/>
      <c r="FD247" s="487"/>
      <c r="FE247" s="487"/>
      <c r="FF247" s="487"/>
      <c r="FG247" s="487"/>
      <c r="FH247" s="487"/>
      <c r="FI247" s="487"/>
      <c r="FJ247" s="487"/>
      <c r="FK247" s="487"/>
      <c r="FL247" s="487"/>
      <c r="FM247" s="487"/>
      <c r="FN247" s="487"/>
      <c r="FO247" s="487"/>
      <c r="FP247" s="487"/>
      <c r="FQ247" s="487"/>
      <c r="FR247" s="487"/>
      <c r="FS247" s="487"/>
      <c r="FT247" s="487"/>
      <c r="FU247" s="487"/>
      <c r="FV247" s="487"/>
      <c r="FW247" s="487"/>
      <c r="FX247" s="487"/>
      <c r="FY247" s="487"/>
      <c r="FZ247" s="487"/>
      <c r="GA247" s="487"/>
      <c r="GB247" s="487"/>
      <c r="GC247" s="487"/>
      <c r="GD247" s="487"/>
      <c r="GE247" s="487"/>
      <c r="GF247" s="487"/>
      <c r="GG247" s="487"/>
      <c r="GH247" s="487"/>
      <c r="GI247" s="487"/>
      <c r="GJ247" s="487"/>
      <c r="GK247" s="487"/>
      <c r="GL247" s="487"/>
      <c r="GM247" s="487"/>
      <c r="GN247" s="487"/>
      <c r="GO247" s="487"/>
      <c r="GP247" s="487"/>
      <c r="GQ247" s="487"/>
      <c r="GR247" s="487"/>
      <c r="GS247" s="487"/>
      <c r="GT247" s="487"/>
      <c r="GU247" s="487"/>
      <c r="GV247" s="487"/>
      <c r="GW247" s="487"/>
      <c r="GX247" s="487"/>
      <c r="GY247" s="487"/>
      <c r="GZ247" s="487"/>
      <c r="HA247" s="487"/>
      <c r="HB247" s="487"/>
      <c r="HC247" s="487"/>
      <c r="HD247" s="487"/>
      <c r="HE247" s="487"/>
      <c r="HF247" s="487"/>
      <c r="HG247" s="487"/>
      <c r="HH247" s="487"/>
      <c r="HI247" s="487"/>
      <c r="HJ247" s="487"/>
      <c r="HK247" s="487"/>
      <c r="HL247" s="487"/>
      <c r="HM247" s="487"/>
      <c r="HN247" s="487"/>
      <c r="HO247" s="487"/>
      <c r="HP247" s="487"/>
      <c r="HQ247" s="487"/>
      <c r="HR247" s="487"/>
      <c r="HS247" s="490"/>
    </row>
    <row r="248" spans="1:227" s="486" customFormat="1" ht="15" customHeight="1" x14ac:dyDescent="0.2">
      <c r="A248" s="491" t="s">
        <v>10213</v>
      </c>
      <c r="B248" s="475" t="s">
        <v>10214</v>
      </c>
      <c r="C248" s="473" t="s">
        <v>386</v>
      </c>
      <c r="D248" s="455" t="s">
        <v>9783</v>
      </c>
      <c r="E248" s="456" t="s">
        <v>9710</v>
      </c>
      <c r="F248" s="456" t="s">
        <v>10212</v>
      </c>
      <c r="G248" s="456" t="s">
        <v>7180</v>
      </c>
      <c r="H248" s="457">
        <v>128.52000000000001</v>
      </c>
      <c r="I248" s="457">
        <f t="shared" si="15"/>
        <v>138.15899999999999</v>
      </c>
      <c r="J248" s="457" t="s">
        <v>9706</v>
      </c>
      <c r="K248" s="458">
        <v>0.3</v>
      </c>
      <c r="L248" s="459">
        <f t="shared" si="12"/>
        <v>89.963999999999999</v>
      </c>
      <c r="M248" s="460">
        <v>0.18</v>
      </c>
      <c r="N248" s="461">
        <f t="shared" si="13"/>
        <v>113.29038</v>
      </c>
      <c r="O248" s="462">
        <v>0.1</v>
      </c>
      <c r="P248" s="463">
        <f t="shared" si="14"/>
        <v>124.34309999999999</v>
      </c>
      <c r="Q248" s="484"/>
      <c r="R248" s="465">
        <v>6</v>
      </c>
      <c r="S248" s="465">
        <v>6</v>
      </c>
      <c r="T248" s="465">
        <v>6</v>
      </c>
      <c r="U248" s="466"/>
      <c r="V248" s="485"/>
      <c r="W248" s="485"/>
      <c r="X248" s="485"/>
      <c r="Y248" s="485"/>
      <c r="Z248" s="485"/>
      <c r="AA248" s="485"/>
      <c r="AB248" s="485"/>
      <c r="AC248" s="485"/>
      <c r="AD248" s="485"/>
      <c r="AE248" s="485"/>
      <c r="AF248" s="485"/>
      <c r="AG248" s="485"/>
      <c r="AH248" s="485"/>
      <c r="AI248" s="485"/>
      <c r="AJ248" s="485"/>
      <c r="AK248" s="485"/>
      <c r="AL248" s="485"/>
      <c r="AM248" s="485"/>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7"/>
      <c r="BI248" s="487"/>
      <c r="BJ248" s="487"/>
      <c r="BK248" s="487"/>
      <c r="BL248" s="487"/>
      <c r="BM248" s="487"/>
      <c r="BN248" s="487"/>
      <c r="BO248" s="487"/>
      <c r="BP248" s="487"/>
      <c r="BQ248" s="487"/>
      <c r="BR248" s="487"/>
      <c r="BS248" s="487"/>
      <c r="BT248" s="487"/>
      <c r="BU248" s="487"/>
      <c r="BV248" s="487"/>
      <c r="BW248" s="487"/>
      <c r="BX248" s="487"/>
      <c r="BY248" s="487"/>
      <c r="BZ248" s="487"/>
      <c r="CA248" s="487"/>
      <c r="CB248" s="487"/>
      <c r="CC248" s="487"/>
      <c r="CD248" s="487"/>
      <c r="CE248" s="487"/>
      <c r="CF248" s="487"/>
      <c r="CG248" s="487"/>
      <c r="CH248" s="487"/>
      <c r="CI248" s="487"/>
      <c r="CJ248" s="487"/>
      <c r="CK248" s="487"/>
      <c r="CL248" s="487"/>
      <c r="CM248" s="487"/>
      <c r="CN248" s="487"/>
      <c r="CO248" s="487"/>
      <c r="CP248" s="487"/>
      <c r="CQ248" s="487"/>
      <c r="CR248" s="487"/>
      <c r="CS248" s="487"/>
      <c r="CT248" s="487"/>
      <c r="CU248" s="487"/>
      <c r="CV248" s="487"/>
      <c r="CW248" s="487"/>
      <c r="CX248" s="487"/>
      <c r="CY248" s="487"/>
      <c r="CZ248" s="487"/>
      <c r="DA248" s="487"/>
      <c r="DB248" s="487"/>
      <c r="DC248" s="487"/>
      <c r="DD248" s="487"/>
      <c r="DE248" s="487"/>
      <c r="DF248" s="487"/>
      <c r="DG248" s="487"/>
      <c r="DH248" s="487"/>
      <c r="DI248" s="487"/>
      <c r="DJ248" s="487"/>
      <c r="DK248" s="487"/>
      <c r="DL248" s="487"/>
      <c r="DM248" s="487"/>
      <c r="DN248" s="487"/>
      <c r="DO248" s="487"/>
      <c r="DP248" s="487"/>
      <c r="DQ248" s="487"/>
      <c r="DR248" s="487"/>
      <c r="DS248" s="487"/>
      <c r="DT248" s="487"/>
      <c r="DU248" s="487"/>
      <c r="DV248" s="487"/>
      <c r="DW248" s="487"/>
      <c r="DX248" s="487"/>
      <c r="DY248" s="487"/>
      <c r="DZ248" s="487"/>
      <c r="EA248" s="487"/>
      <c r="EB248" s="487"/>
      <c r="EC248" s="487"/>
      <c r="ED248" s="487"/>
      <c r="EE248" s="487"/>
      <c r="EF248" s="487"/>
      <c r="EG248" s="487"/>
      <c r="EH248" s="487"/>
      <c r="EI248" s="487"/>
      <c r="EJ248" s="487"/>
      <c r="EK248" s="487"/>
      <c r="EL248" s="487"/>
      <c r="EM248" s="487"/>
      <c r="EN248" s="487"/>
      <c r="EO248" s="487"/>
      <c r="EP248" s="487"/>
      <c r="EQ248" s="487"/>
      <c r="ER248" s="487"/>
      <c r="ES248" s="487"/>
      <c r="ET248" s="487"/>
      <c r="EU248" s="487"/>
      <c r="EV248" s="487"/>
      <c r="EW248" s="487"/>
      <c r="EX248" s="487"/>
      <c r="EY248" s="487"/>
      <c r="EZ248" s="487"/>
      <c r="FA248" s="487"/>
      <c r="FB248" s="487"/>
      <c r="FC248" s="487"/>
      <c r="FD248" s="487"/>
      <c r="FE248" s="487"/>
      <c r="FF248" s="487"/>
      <c r="FG248" s="487"/>
      <c r="FH248" s="487"/>
      <c r="FI248" s="487"/>
      <c r="FJ248" s="487"/>
      <c r="FK248" s="487"/>
      <c r="FL248" s="487"/>
      <c r="FM248" s="487"/>
      <c r="FN248" s="487"/>
      <c r="FO248" s="487"/>
      <c r="FP248" s="487"/>
      <c r="FQ248" s="487"/>
      <c r="FR248" s="487"/>
      <c r="FS248" s="487"/>
      <c r="FT248" s="487"/>
      <c r="FU248" s="487"/>
      <c r="FV248" s="487"/>
      <c r="FW248" s="487"/>
      <c r="FX248" s="487"/>
      <c r="FY248" s="487"/>
      <c r="FZ248" s="487"/>
      <c r="GA248" s="487"/>
      <c r="GB248" s="487"/>
      <c r="GC248" s="487"/>
      <c r="GD248" s="487"/>
      <c r="GE248" s="487"/>
      <c r="GF248" s="487"/>
      <c r="GG248" s="487"/>
      <c r="GH248" s="487"/>
      <c r="GI248" s="487"/>
      <c r="GJ248" s="487"/>
      <c r="GK248" s="487"/>
      <c r="GL248" s="487"/>
      <c r="GM248" s="487"/>
      <c r="GN248" s="487"/>
      <c r="GO248" s="487"/>
      <c r="GP248" s="487"/>
      <c r="GQ248" s="487"/>
      <c r="GR248" s="487"/>
      <c r="GS248" s="487"/>
      <c r="GT248" s="487"/>
      <c r="GU248" s="487"/>
      <c r="GV248" s="487"/>
      <c r="GW248" s="487"/>
      <c r="GX248" s="487"/>
      <c r="GY248" s="487"/>
      <c r="GZ248" s="487"/>
      <c r="HA248" s="487"/>
      <c r="HB248" s="487"/>
      <c r="HC248" s="487"/>
      <c r="HD248" s="487"/>
      <c r="HE248" s="487"/>
      <c r="HF248" s="487"/>
      <c r="HG248" s="487"/>
      <c r="HH248" s="487"/>
      <c r="HI248" s="487"/>
      <c r="HJ248" s="487"/>
      <c r="HK248" s="487"/>
      <c r="HL248" s="487"/>
      <c r="HM248" s="487"/>
      <c r="HN248" s="487"/>
      <c r="HO248" s="487"/>
      <c r="HP248" s="487"/>
      <c r="HQ248" s="487"/>
      <c r="HR248" s="487"/>
      <c r="HS248" s="490"/>
    </row>
    <row r="249" spans="1:227" s="486" customFormat="1" ht="15" customHeight="1" x14ac:dyDescent="0.2">
      <c r="A249" s="491" t="s">
        <v>10215</v>
      </c>
      <c r="B249" s="475" t="s">
        <v>10216</v>
      </c>
      <c r="C249" s="473" t="s">
        <v>386</v>
      </c>
      <c r="D249" s="455" t="s">
        <v>9783</v>
      </c>
      <c r="E249" s="456" t="s">
        <v>9710</v>
      </c>
      <c r="F249" s="456" t="s">
        <v>10212</v>
      </c>
      <c r="G249" s="456" t="s">
        <v>7180</v>
      </c>
      <c r="H249" s="457">
        <v>128.52000000000001</v>
      </c>
      <c r="I249" s="457">
        <f t="shared" si="15"/>
        <v>138.15899999999999</v>
      </c>
      <c r="J249" s="457" t="s">
        <v>9706</v>
      </c>
      <c r="K249" s="458">
        <v>0.3</v>
      </c>
      <c r="L249" s="459">
        <f t="shared" si="12"/>
        <v>89.963999999999999</v>
      </c>
      <c r="M249" s="460">
        <v>0.18</v>
      </c>
      <c r="N249" s="461">
        <f t="shared" si="13"/>
        <v>113.29038</v>
      </c>
      <c r="O249" s="462">
        <v>0.1</v>
      </c>
      <c r="P249" s="463">
        <f t="shared" si="14"/>
        <v>124.34309999999999</v>
      </c>
      <c r="Q249" s="484"/>
      <c r="R249" s="465">
        <v>6</v>
      </c>
      <c r="S249" s="465">
        <v>6</v>
      </c>
      <c r="T249" s="465">
        <v>6</v>
      </c>
      <c r="U249" s="466"/>
      <c r="V249" s="485"/>
      <c r="W249" s="485"/>
      <c r="X249" s="485"/>
      <c r="Y249" s="485"/>
      <c r="Z249" s="485"/>
      <c r="AA249" s="485"/>
      <c r="AB249" s="485"/>
      <c r="AC249" s="485"/>
      <c r="AD249" s="485"/>
      <c r="AE249" s="485"/>
      <c r="AF249" s="485"/>
      <c r="AG249" s="485"/>
      <c r="AH249" s="485"/>
      <c r="AI249" s="485"/>
      <c r="AJ249" s="485"/>
      <c r="AK249" s="485"/>
      <c r="AL249" s="485"/>
      <c r="AM249" s="485"/>
      <c r="AN249" s="487"/>
      <c r="AO249" s="487"/>
      <c r="AP249" s="487"/>
      <c r="AQ249" s="487"/>
      <c r="AR249" s="487"/>
      <c r="AS249" s="487"/>
      <c r="AT249" s="487"/>
      <c r="AU249" s="487"/>
      <c r="AV249" s="487"/>
      <c r="AW249" s="487"/>
      <c r="AX249" s="487"/>
      <c r="AY249" s="487"/>
      <c r="AZ249" s="487"/>
      <c r="BA249" s="487"/>
      <c r="BB249" s="487"/>
      <c r="BC249" s="487"/>
      <c r="BD249" s="487"/>
      <c r="BE249" s="487"/>
      <c r="BF249" s="487"/>
      <c r="BG249" s="487"/>
      <c r="BH249" s="487"/>
      <c r="BI249" s="487"/>
      <c r="BJ249" s="487"/>
      <c r="BK249" s="487"/>
      <c r="BL249" s="487"/>
      <c r="BM249" s="487"/>
      <c r="BN249" s="487"/>
      <c r="BO249" s="487"/>
      <c r="BP249" s="487"/>
      <c r="BQ249" s="487"/>
      <c r="BR249" s="487"/>
      <c r="BS249" s="487"/>
      <c r="BT249" s="487"/>
      <c r="BU249" s="487"/>
      <c r="BV249" s="487"/>
      <c r="BW249" s="487"/>
      <c r="BX249" s="487"/>
      <c r="BY249" s="487"/>
      <c r="BZ249" s="487"/>
      <c r="CA249" s="487"/>
      <c r="CB249" s="487"/>
      <c r="CC249" s="487"/>
      <c r="CD249" s="487"/>
      <c r="CE249" s="487"/>
      <c r="CF249" s="487"/>
      <c r="CG249" s="487"/>
      <c r="CH249" s="487"/>
      <c r="CI249" s="487"/>
      <c r="CJ249" s="487"/>
      <c r="CK249" s="487"/>
      <c r="CL249" s="487"/>
      <c r="CM249" s="487"/>
      <c r="CN249" s="487"/>
      <c r="CO249" s="487"/>
      <c r="CP249" s="487"/>
      <c r="CQ249" s="487"/>
      <c r="CR249" s="487"/>
      <c r="CS249" s="487"/>
      <c r="CT249" s="487"/>
      <c r="CU249" s="487"/>
      <c r="CV249" s="487"/>
      <c r="CW249" s="487"/>
      <c r="CX249" s="487"/>
      <c r="CY249" s="487"/>
      <c r="CZ249" s="487"/>
      <c r="DA249" s="487"/>
      <c r="DB249" s="487"/>
      <c r="DC249" s="487"/>
      <c r="DD249" s="487"/>
      <c r="DE249" s="487"/>
      <c r="DF249" s="487"/>
      <c r="DG249" s="487"/>
      <c r="DH249" s="487"/>
      <c r="DI249" s="487"/>
      <c r="DJ249" s="487"/>
      <c r="DK249" s="487"/>
      <c r="DL249" s="487"/>
      <c r="DM249" s="487"/>
      <c r="DN249" s="487"/>
      <c r="DO249" s="487"/>
      <c r="DP249" s="487"/>
      <c r="DQ249" s="487"/>
      <c r="DR249" s="487"/>
      <c r="DS249" s="487"/>
      <c r="DT249" s="487"/>
      <c r="DU249" s="487"/>
      <c r="DV249" s="487"/>
      <c r="DW249" s="487"/>
      <c r="DX249" s="487"/>
      <c r="DY249" s="487"/>
      <c r="DZ249" s="487"/>
      <c r="EA249" s="487"/>
      <c r="EB249" s="487"/>
      <c r="EC249" s="487"/>
      <c r="ED249" s="487"/>
      <c r="EE249" s="487"/>
      <c r="EF249" s="487"/>
      <c r="EG249" s="487"/>
      <c r="EH249" s="487"/>
      <c r="EI249" s="487"/>
      <c r="EJ249" s="487"/>
      <c r="EK249" s="487"/>
      <c r="EL249" s="487"/>
      <c r="EM249" s="487"/>
      <c r="EN249" s="487"/>
      <c r="EO249" s="487"/>
      <c r="EP249" s="487"/>
      <c r="EQ249" s="487"/>
      <c r="ER249" s="487"/>
      <c r="ES249" s="487"/>
      <c r="ET249" s="487"/>
      <c r="EU249" s="487"/>
      <c r="EV249" s="487"/>
      <c r="EW249" s="487"/>
      <c r="EX249" s="487"/>
      <c r="EY249" s="487"/>
      <c r="EZ249" s="487"/>
      <c r="FA249" s="487"/>
      <c r="FB249" s="487"/>
      <c r="FC249" s="487"/>
      <c r="FD249" s="487"/>
      <c r="FE249" s="487"/>
      <c r="FF249" s="487"/>
      <c r="FG249" s="487"/>
      <c r="FH249" s="487"/>
      <c r="FI249" s="487"/>
      <c r="FJ249" s="487"/>
      <c r="FK249" s="487"/>
      <c r="FL249" s="487"/>
      <c r="FM249" s="487"/>
      <c r="FN249" s="487"/>
      <c r="FO249" s="487"/>
      <c r="FP249" s="487"/>
      <c r="FQ249" s="487"/>
      <c r="FR249" s="487"/>
      <c r="FS249" s="487"/>
      <c r="FT249" s="487"/>
      <c r="FU249" s="487"/>
      <c r="FV249" s="487"/>
      <c r="FW249" s="487"/>
      <c r="FX249" s="487"/>
      <c r="FY249" s="487"/>
      <c r="FZ249" s="487"/>
      <c r="GA249" s="487"/>
      <c r="GB249" s="487"/>
      <c r="GC249" s="487"/>
      <c r="GD249" s="487"/>
      <c r="GE249" s="487"/>
      <c r="GF249" s="487"/>
      <c r="GG249" s="487"/>
      <c r="GH249" s="487"/>
      <c r="GI249" s="487"/>
      <c r="GJ249" s="487"/>
      <c r="GK249" s="487"/>
      <c r="GL249" s="487"/>
      <c r="GM249" s="487"/>
      <c r="GN249" s="487"/>
      <c r="GO249" s="487"/>
      <c r="GP249" s="487"/>
      <c r="GQ249" s="487"/>
      <c r="GR249" s="487"/>
      <c r="GS249" s="487"/>
      <c r="GT249" s="487"/>
      <c r="GU249" s="487"/>
      <c r="GV249" s="487"/>
      <c r="GW249" s="487"/>
      <c r="GX249" s="487"/>
      <c r="GY249" s="487"/>
      <c r="GZ249" s="487"/>
      <c r="HA249" s="487"/>
      <c r="HB249" s="487"/>
      <c r="HC249" s="487"/>
      <c r="HD249" s="487"/>
      <c r="HE249" s="487"/>
      <c r="HF249" s="487"/>
      <c r="HG249" s="487"/>
      <c r="HH249" s="487"/>
      <c r="HI249" s="487"/>
      <c r="HJ249" s="487"/>
      <c r="HK249" s="487"/>
      <c r="HL249" s="487"/>
      <c r="HM249" s="487"/>
      <c r="HN249" s="487"/>
      <c r="HO249" s="487"/>
      <c r="HP249" s="487"/>
      <c r="HQ249" s="487"/>
      <c r="HR249" s="487"/>
      <c r="HS249" s="490"/>
    </row>
    <row r="250" spans="1:227" s="486" customFormat="1" ht="15" customHeight="1" x14ac:dyDescent="0.2">
      <c r="A250" s="491" t="s">
        <v>10217</v>
      </c>
      <c r="B250" s="475" t="s">
        <v>10218</v>
      </c>
      <c r="C250" s="473" t="s">
        <v>386</v>
      </c>
      <c r="D250" s="455" t="s">
        <v>9783</v>
      </c>
      <c r="E250" s="456" t="s">
        <v>9758</v>
      </c>
      <c r="F250" s="456" t="s">
        <v>10212</v>
      </c>
      <c r="G250" s="456" t="s">
        <v>7180</v>
      </c>
      <c r="H250" s="457">
        <v>128.52000000000001</v>
      </c>
      <c r="I250" s="457">
        <f t="shared" si="15"/>
        <v>138.15899999999999</v>
      </c>
      <c r="J250" s="457" t="s">
        <v>9706</v>
      </c>
      <c r="K250" s="458">
        <v>0.3</v>
      </c>
      <c r="L250" s="459">
        <f t="shared" si="12"/>
        <v>89.963999999999999</v>
      </c>
      <c r="M250" s="460">
        <v>0.18</v>
      </c>
      <c r="N250" s="461">
        <f t="shared" si="13"/>
        <v>113.29038</v>
      </c>
      <c r="O250" s="462">
        <v>0.1</v>
      </c>
      <c r="P250" s="463">
        <f t="shared" si="14"/>
        <v>124.34309999999999</v>
      </c>
      <c r="Q250" s="484"/>
      <c r="R250" s="465">
        <v>6</v>
      </c>
      <c r="S250" s="465">
        <v>6</v>
      </c>
      <c r="T250" s="465">
        <v>6</v>
      </c>
      <c r="U250" s="466"/>
      <c r="V250" s="485"/>
      <c r="W250" s="485"/>
      <c r="X250" s="485"/>
      <c r="Y250" s="485"/>
      <c r="Z250" s="485"/>
      <c r="AA250" s="485"/>
      <c r="AB250" s="485"/>
      <c r="AC250" s="485"/>
      <c r="AD250" s="485"/>
      <c r="AE250" s="485"/>
      <c r="AF250" s="485"/>
      <c r="AG250" s="485"/>
      <c r="AH250" s="485"/>
      <c r="AI250" s="485"/>
      <c r="AJ250" s="485"/>
      <c r="AK250" s="485"/>
      <c r="AL250" s="485"/>
      <c r="AM250" s="485"/>
      <c r="AN250" s="487"/>
      <c r="AO250" s="487"/>
      <c r="AP250" s="487"/>
      <c r="AQ250" s="487"/>
      <c r="AR250" s="487"/>
      <c r="AS250" s="487"/>
      <c r="AT250" s="487"/>
      <c r="AU250" s="487"/>
      <c r="AV250" s="487"/>
      <c r="AW250" s="487"/>
      <c r="AX250" s="487"/>
      <c r="AY250" s="487"/>
      <c r="AZ250" s="487"/>
      <c r="BA250" s="487"/>
      <c r="BB250" s="487"/>
      <c r="BC250" s="487"/>
      <c r="BD250" s="487"/>
      <c r="BE250" s="487"/>
      <c r="BF250" s="487"/>
      <c r="BG250" s="487"/>
      <c r="BH250" s="487"/>
      <c r="BI250" s="487"/>
      <c r="BJ250" s="487"/>
      <c r="BK250" s="487"/>
      <c r="BL250" s="487"/>
      <c r="BM250" s="487"/>
      <c r="BN250" s="487"/>
      <c r="BO250" s="487"/>
      <c r="BP250" s="487"/>
      <c r="BQ250" s="487"/>
      <c r="BR250" s="487"/>
      <c r="BS250" s="487"/>
      <c r="BT250" s="487"/>
      <c r="BU250" s="487"/>
      <c r="BV250" s="487"/>
      <c r="BW250" s="487"/>
      <c r="BX250" s="487"/>
      <c r="BY250" s="487"/>
      <c r="BZ250" s="487"/>
      <c r="CA250" s="487"/>
      <c r="CB250" s="487"/>
      <c r="CC250" s="487"/>
      <c r="CD250" s="487"/>
      <c r="CE250" s="487"/>
      <c r="CF250" s="487"/>
      <c r="CG250" s="487"/>
      <c r="CH250" s="487"/>
      <c r="CI250" s="487"/>
      <c r="CJ250" s="487"/>
      <c r="CK250" s="487"/>
      <c r="CL250" s="487"/>
      <c r="CM250" s="487"/>
      <c r="CN250" s="487"/>
      <c r="CO250" s="487"/>
      <c r="CP250" s="487"/>
      <c r="CQ250" s="487"/>
      <c r="CR250" s="487"/>
      <c r="CS250" s="487"/>
      <c r="CT250" s="487"/>
      <c r="CU250" s="487"/>
      <c r="CV250" s="487"/>
      <c r="CW250" s="487"/>
      <c r="CX250" s="487"/>
      <c r="CY250" s="487"/>
      <c r="CZ250" s="487"/>
      <c r="DA250" s="487"/>
      <c r="DB250" s="487"/>
      <c r="DC250" s="487"/>
      <c r="DD250" s="487"/>
      <c r="DE250" s="487"/>
      <c r="DF250" s="487"/>
      <c r="DG250" s="487"/>
      <c r="DH250" s="487"/>
      <c r="DI250" s="487"/>
      <c r="DJ250" s="487"/>
      <c r="DK250" s="487"/>
      <c r="DL250" s="487"/>
      <c r="DM250" s="487"/>
      <c r="DN250" s="487"/>
      <c r="DO250" s="487"/>
      <c r="DP250" s="487"/>
      <c r="DQ250" s="487"/>
      <c r="DR250" s="487"/>
      <c r="DS250" s="487"/>
      <c r="DT250" s="487"/>
      <c r="DU250" s="487"/>
      <c r="DV250" s="487"/>
      <c r="DW250" s="487"/>
      <c r="DX250" s="487"/>
      <c r="DY250" s="487"/>
      <c r="DZ250" s="487"/>
      <c r="EA250" s="487"/>
      <c r="EB250" s="487"/>
      <c r="EC250" s="487"/>
      <c r="ED250" s="487"/>
      <c r="EE250" s="487"/>
      <c r="EF250" s="487"/>
      <c r="EG250" s="487"/>
      <c r="EH250" s="487"/>
      <c r="EI250" s="487"/>
      <c r="EJ250" s="487"/>
      <c r="EK250" s="487"/>
      <c r="EL250" s="487"/>
      <c r="EM250" s="487"/>
      <c r="EN250" s="487"/>
      <c r="EO250" s="487"/>
      <c r="EP250" s="487"/>
      <c r="EQ250" s="487"/>
      <c r="ER250" s="487"/>
      <c r="ES250" s="487"/>
      <c r="ET250" s="487"/>
      <c r="EU250" s="487"/>
      <c r="EV250" s="487"/>
      <c r="EW250" s="487"/>
      <c r="EX250" s="487"/>
      <c r="EY250" s="487"/>
      <c r="EZ250" s="487"/>
      <c r="FA250" s="487"/>
      <c r="FB250" s="487"/>
      <c r="FC250" s="487"/>
      <c r="FD250" s="487"/>
      <c r="FE250" s="487"/>
      <c r="FF250" s="487"/>
      <c r="FG250" s="487"/>
      <c r="FH250" s="487"/>
      <c r="FI250" s="487"/>
      <c r="FJ250" s="487"/>
      <c r="FK250" s="487"/>
      <c r="FL250" s="487"/>
      <c r="FM250" s="487"/>
      <c r="FN250" s="487"/>
      <c r="FO250" s="487"/>
      <c r="FP250" s="487"/>
      <c r="FQ250" s="487"/>
      <c r="FR250" s="487"/>
      <c r="FS250" s="487"/>
      <c r="FT250" s="487"/>
      <c r="FU250" s="487"/>
      <c r="FV250" s="487"/>
      <c r="FW250" s="487"/>
      <c r="FX250" s="487"/>
      <c r="FY250" s="487"/>
      <c r="FZ250" s="487"/>
      <c r="GA250" s="487"/>
      <c r="GB250" s="487"/>
      <c r="GC250" s="487"/>
      <c r="GD250" s="487"/>
      <c r="GE250" s="487"/>
      <c r="GF250" s="487"/>
      <c r="GG250" s="487"/>
      <c r="GH250" s="487"/>
      <c r="GI250" s="487"/>
      <c r="GJ250" s="487"/>
      <c r="GK250" s="487"/>
      <c r="GL250" s="487"/>
      <c r="GM250" s="487"/>
      <c r="GN250" s="487"/>
      <c r="GO250" s="487"/>
      <c r="GP250" s="487"/>
      <c r="GQ250" s="487"/>
      <c r="GR250" s="487"/>
      <c r="GS250" s="487"/>
      <c r="GT250" s="487"/>
      <c r="GU250" s="487"/>
      <c r="GV250" s="487"/>
      <c r="GW250" s="487"/>
      <c r="GX250" s="487"/>
      <c r="GY250" s="487"/>
      <c r="GZ250" s="487"/>
      <c r="HA250" s="487"/>
      <c r="HB250" s="487"/>
      <c r="HC250" s="487"/>
      <c r="HD250" s="487"/>
      <c r="HE250" s="487"/>
      <c r="HF250" s="487"/>
      <c r="HG250" s="487"/>
      <c r="HH250" s="487"/>
      <c r="HI250" s="487"/>
      <c r="HJ250" s="487"/>
      <c r="HK250" s="487"/>
      <c r="HL250" s="487"/>
      <c r="HM250" s="487"/>
      <c r="HN250" s="487"/>
      <c r="HO250" s="487"/>
      <c r="HP250" s="487"/>
      <c r="HQ250" s="487"/>
      <c r="HR250" s="487"/>
      <c r="HS250" s="490"/>
    </row>
    <row r="251" spans="1:227" s="486" customFormat="1" ht="15" customHeight="1" x14ac:dyDescent="0.2">
      <c r="A251" s="491" t="s">
        <v>10219</v>
      </c>
      <c r="B251" s="475" t="s">
        <v>10220</v>
      </c>
      <c r="C251" s="473" t="s">
        <v>386</v>
      </c>
      <c r="D251" s="455" t="s">
        <v>9783</v>
      </c>
      <c r="E251" s="456" t="s">
        <v>9710</v>
      </c>
      <c r="F251" s="456" t="s">
        <v>10212</v>
      </c>
      <c r="G251" s="456" t="s">
        <v>7180</v>
      </c>
      <c r="H251" s="457">
        <v>128.52000000000001</v>
      </c>
      <c r="I251" s="457">
        <f t="shared" si="15"/>
        <v>138.15899999999999</v>
      </c>
      <c r="J251" s="457" t="s">
        <v>9706</v>
      </c>
      <c r="K251" s="458">
        <v>0.3</v>
      </c>
      <c r="L251" s="459">
        <f t="shared" si="12"/>
        <v>89.963999999999999</v>
      </c>
      <c r="M251" s="460">
        <v>0.18</v>
      </c>
      <c r="N251" s="461">
        <f t="shared" si="13"/>
        <v>113.29038</v>
      </c>
      <c r="O251" s="462">
        <v>0.1</v>
      </c>
      <c r="P251" s="463">
        <f t="shared" si="14"/>
        <v>124.34309999999999</v>
      </c>
      <c r="Q251" s="484"/>
      <c r="R251" s="465">
        <v>6</v>
      </c>
      <c r="S251" s="465">
        <v>6</v>
      </c>
      <c r="T251" s="465">
        <v>6</v>
      </c>
      <c r="U251" s="466"/>
      <c r="V251" s="485"/>
      <c r="W251" s="485"/>
      <c r="X251" s="485"/>
      <c r="Y251" s="485"/>
      <c r="Z251" s="485"/>
      <c r="AA251" s="485"/>
      <c r="AB251" s="485"/>
      <c r="AC251" s="485"/>
      <c r="AD251" s="485"/>
      <c r="AE251" s="485"/>
      <c r="AF251" s="485"/>
      <c r="AG251" s="485"/>
      <c r="AH251" s="485"/>
      <c r="AI251" s="485"/>
      <c r="AJ251" s="485"/>
      <c r="AK251" s="485"/>
      <c r="AL251" s="485"/>
      <c r="AM251" s="485"/>
      <c r="AN251" s="487"/>
      <c r="AO251" s="487"/>
      <c r="AP251" s="487"/>
      <c r="AQ251" s="487"/>
      <c r="AR251" s="487"/>
      <c r="AS251" s="487"/>
      <c r="AT251" s="487"/>
      <c r="AU251" s="487"/>
      <c r="AV251" s="487"/>
      <c r="AW251" s="487"/>
      <c r="AX251" s="487"/>
      <c r="AY251" s="487"/>
      <c r="AZ251" s="487"/>
      <c r="BA251" s="487"/>
      <c r="BB251" s="487"/>
      <c r="BC251" s="487"/>
      <c r="BD251" s="487"/>
      <c r="BE251" s="487"/>
      <c r="BF251" s="487"/>
      <c r="BG251" s="487"/>
      <c r="BH251" s="487"/>
      <c r="BI251" s="487"/>
      <c r="BJ251" s="487"/>
      <c r="BK251" s="487"/>
      <c r="BL251" s="487"/>
      <c r="BM251" s="487"/>
      <c r="BN251" s="487"/>
      <c r="BO251" s="487"/>
      <c r="BP251" s="487"/>
      <c r="BQ251" s="487"/>
      <c r="BR251" s="487"/>
      <c r="BS251" s="487"/>
      <c r="BT251" s="487"/>
      <c r="BU251" s="487"/>
      <c r="BV251" s="487"/>
      <c r="BW251" s="487"/>
      <c r="BX251" s="487"/>
      <c r="BY251" s="487"/>
      <c r="BZ251" s="487"/>
      <c r="CA251" s="487"/>
      <c r="CB251" s="487"/>
      <c r="CC251" s="487"/>
      <c r="CD251" s="487"/>
      <c r="CE251" s="487"/>
      <c r="CF251" s="487"/>
      <c r="CG251" s="487"/>
      <c r="CH251" s="487"/>
      <c r="CI251" s="487"/>
      <c r="CJ251" s="487"/>
      <c r="CK251" s="487"/>
      <c r="CL251" s="487"/>
      <c r="CM251" s="487"/>
      <c r="CN251" s="487"/>
      <c r="CO251" s="487"/>
      <c r="CP251" s="487"/>
      <c r="CQ251" s="487"/>
      <c r="CR251" s="487"/>
      <c r="CS251" s="487"/>
      <c r="CT251" s="487"/>
      <c r="CU251" s="487"/>
      <c r="CV251" s="487"/>
      <c r="CW251" s="487"/>
      <c r="CX251" s="487"/>
      <c r="CY251" s="487"/>
      <c r="CZ251" s="487"/>
      <c r="DA251" s="487"/>
      <c r="DB251" s="487"/>
      <c r="DC251" s="487"/>
      <c r="DD251" s="487"/>
      <c r="DE251" s="487"/>
      <c r="DF251" s="487"/>
      <c r="DG251" s="487"/>
      <c r="DH251" s="487"/>
      <c r="DI251" s="487"/>
      <c r="DJ251" s="487"/>
      <c r="DK251" s="487"/>
      <c r="DL251" s="487"/>
      <c r="DM251" s="487"/>
      <c r="DN251" s="487"/>
      <c r="DO251" s="487"/>
      <c r="DP251" s="487"/>
      <c r="DQ251" s="487"/>
      <c r="DR251" s="487"/>
      <c r="DS251" s="487"/>
      <c r="DT251" s="487"/>
      <c r="DU251" s="487"/>
      <c r="DV251" s="487"/>
      <c r="DW251" s="487"/>
      <c r="DX251" s="487"/>
      <c r="DY251" s="487"/>
      <c r="DZ251" s="487"/>
      <c r="EA251" s="487"/>
      <c r="EB251" s="487"/>
      <c r="EC251" s="487"/>
      <c r="ED251" s="487"/>
      <c r="EE251" s="487"/>
      <c r="EF251" s="487"/>
      <c r="EG251" s="487"/>
      <c r="EH251" s="487"/>
      <c r="EI251" s="487"/>
      <c r="EJ251" s="487"/>
      <c r="EK251" s="487"/>
      <c r="EL251" s="487"/>
      <c r="EM251" s="487"/>
      <c r="EN251" s="487"/>
      <c r="EO251" s="487"/>
      <c r="EP251" s="487"/>
      <c r="EQ251" s="487"/>
      <c r="ER251" s="487"/>
      <c r="ES251" s="487"/>
      <c r="ET251" s="487"/>
      <c r="EU251" s="487"/>
      <c r="EV251" s="487"/>
      <c r="EW251" s="487"/>
      <c r="EX251" s="487"/>
      <c r="EY251" s="487"/>
      <c r="EZ251" s="487"/>
      <c r="FA251" s="487"/>
      <c r="FB251" s="487"/>
      <c r="FC251" s="487"/>
      <c r="FD251" s="487"/>
      <c r="FE251" s="487"/>
      <c r="FF251" s="487"/>
      <c r="FG251" s="487"/>
      <c r="FH251" s="487"/>
      <c r="FI251" s="487"/>
      <c r="FJ251" s="487"/>
      <c r="FK251" s="487"/>
      <c r="FL251" s="487"/>
      <c r="FM251" s="487"/>
      <c r="FN251" s="487"/>
      <c r="FO251" s="487"/>
      <c r="FP251" s="487"/>
      <c r="FQ251" s="487"/>
      <c r="FR251" s="487"/>
      <c r="FS251" s="487"/>
      <c r="FT251" s="487"/>
      <c r="FU251" s="487"/>
      <c r="FV251" s="487"/>
      <c r="FW251" s="487"/>
      <c r="FX251" s="487"/>
      <c r="FY251" s="487"/>
      <c r="FZ251" s="487"/>
      <c r="GA251" s="487"/>
      <c r="GB251" s="487"/>
      <c r="GC251" s="487"/>
      <c r="GD251" s="487"/>
      <c r="GE251" s="487"/>
      <c r="GF251" s="487"/>
      <c r="GG251" s="487"/>
      <c r="GH251" s="487"/>
      <c r="GI251" s="487"/>
      <c r="GJ251" s="487"/>
      <c r="GK251" s="487"/>
      <c r="GL251" s="487"/>
      <c r="GM251" s="487"/>
      <c r="GN251" s="487"/>
      <c r="GO251" s="487"/>
      <c r="GP251" s="487"/>
      <c r="GQ251" s="487"/>
      <c r="GR251" s="487"/>
      <c r="GS251" s="487"/>
      <c r="GT251" s="487"/>
      <c r="GU251" s="487"/>
      <c r="GV251" s="487"/>
      <c r="GW251" s="487"/>
      <c r="GX251" s="487"/>
      <c r="GY251" s="487"/>
      <c r="GZ251" s="487"/>
      <c r="HA251" s="487"/>
      <c r="HB251" s="487"/>
      <c r="HC251" s="487"/>
      <c r="HD251" s="487"/>
      <c r="HE251" s="487"/>
      <c r="HF251" s="487"/>
      <c r="HG251" s="487"/>
      <c r="HH251" s="487"/>
      <c r="HI251" s="487"/>
      <c r="HJ251" s="487"/>
      <c r="HK251" s="487"/>
      <c r="HL251" s="487"/>
      <c r="HM251" s="487"/>
      <c r="HN251" s="487"/>
      <c r="HO251" s="487"/>
      <c r="HP251" s="487"/>
      <c r="HQ251" s="487"/>
      <c r="HR251" s="487"/>
      <c r="HS251" s="490"/>
    </row>
    <row r="252" spans="1:227" s="486" customFormat="1" ht="15" customHeight="1" x14ac:dyDescent="0.2">
      <c r="A252" s="491" t="s">
        <v>10221</v>
      </c>
      <c r="B252" s="475" t="s">
        <v>10222</v>
      </c>
      <c r="C252" s="473" t="s">
        <v>386</v>
      </c>
      <c r="D252" s="455" t="s">
        <v>9783</v>
      </c>
      <c r="E252" s="456" t="s">
        <v>9758</v>
      </c>
      <c r="F252" s="456" t="s">
        <v>10212</v>
      </c>
      <c r="G252" s="456" t="s">
        <v>7180</v>
      </c>
      <c r="H252" s="457">
        <v>128.52000000000001</v>
      </c>
      <c r="I252" s="457">
        <f t="shared" si="15"/>
        <v>138.15899999999999</v>
      </c>
      <c r="J252" s="457" t="s">
        <v>9706</v>
      </c>
      <c r="K252" s="458">
        <v>0.3</v>
      </c>
      <c r="L252" s="459">
        <f t="shared" si="12"/>
        <v>89.963999999999999</v>
      </c>
      <c r="M252" s="460">
        <v>0.18</v>
      </c>
      <c r="N252" s="461">
        <f t="shared" si="13"/>
        <v>113.29038</v>
      </c>
      <c r="O252" s="462">
        <v>0.1</v>
      </c>
      <c r="P252" s="463">
        <f t="shared" si="14"/>
        <v>124.34309999999999</v>
      </c>
      <c r="Q252" s="484"/>
      <c r="R252" s="465">
        <v>6</v>
      </c>
      <c r="S252" s="465">
        <v>6</v>
      </c>
      <c r="T252" s="465">
        <v>6</v>
      </c>
      <c r="U252" s="466"/>
      <c r="V252" s="485"/>
      <c r="W252" s="485"/>
      <c r="X252" s="485"/>
      <c r="Y252" s="485"/>
      <c r="Z252" s="485"/>
      <c r="AA252" s="485"/>
      <c r="AB252" s="485"/>
      <c r="AC252" s="485"/>
      <c r="AD252" s="485"/>
      <c r="AE252" s="485"/>
      <c r="AF252" s="485"/>
      <c r="AG252" s="485"/>
      <c r="AH252" s="485"/>
      <c r="AI252" s="485"/>
      <c r="AJ252" s="485"/>
      <c r="AK252" s="485"/>
      <c r="AL252" s="485"/>
      <c r="AM252" s="485"/>
      <c r="AN252" s="487"/>
      <c r="AO252" s="487"/>
      <c r="AP252" s="487"/>
      <c r="AQ252" s="487"/>
      <c r="AR252" s="487"/>
      <c r="AS252" s="487"/>
      <c r="AT252" s="487"/>
      <c r="AU252" s="487"/>
      <c r="AV252" s="487"/>
      <c r="AW252" s="487"/>
      <c r="AX252" s="487"/>
      <c r="AY252" s="487"/>
      <c r="AZ252" s="487"/>
      <c r="BA252" s="487"/>
      <c r="BB252" s="487"/>
      <c r="BC252" s="487"/>
      <c r="BD252" s="487"/>
      <c r="BE252" s="487"/>
      <c r="BF252" s="487"/>
      <c r="BG252" s="487"/>
      <c r="BH252" s="487"/>
      <c r="BI252" s="487"/>
      <c r="BJ252" s="487"/>
      <c r="BK252" s="487"/>
      <c r="BL252" s="487"/>
      <c r="BM252" s="487"/>
      <c r="BN252" s="487"/>
      <c r="BO252" s="487"/>
      <c r="BP252" s="487"/>
      <c r="BQ252" s="487"/>
      <c r="BR252" s="487"/>
      <c r="BS252" s="487"/>
      <c r="BT252" s="487"/>
      <c r="BU252" s="487"/>
      <c r="BV252" s="487"/>
      <c r="BW252" s="487"/>
      <c r="BX252" s="487"/>
      <c r="BY252" s="487"/>
      <c r="BZ252" s="487"/>
      <c r="CA252" s="487"/>
      <c r="CB252" s="487"/>
      <c r="CC252" s="487"/>
      <c r="CD252" s="487"/>
      <c r="CE252" s="487"/>
      <c r="CF252" s="487"/>
      <c r="CG252" s="487"/>
      <c r="CH252" s="487"/>
      <c r="CI252" s="487"/>
      <c r="CJ252" s="487"/>
      <c r="CK252" s="487"/>
      <c r="CL252" s="487"/>
      <c r="CM252" s="487"/>
      <c r="CN252" s="487"/>
      <c r="CO252" s="487"/>
      <c r="CP252" s="487"/>
      <c r="CQ252" s="487"/>
      <c r="CR252" s="487"/>
      <c r="CS252" s="487"/>
      <c r="CT252" s="487"/>
      <c r="CU252" s="487"/>
      <c r="CV252" s="487"/>
      <c r="CW252" s="487"/>
      <c r="CX252" s="487"/>
      <c r="CY252" s="487"/>
      <c r="CZ252" s="487"/>
      <c r="DA252" s="487"/>
      <c r="DB252" s="487"/>
      <c r="DC252" s="487"/>
      <c r="DD252" s="487"/>
      <c r="DE252" s="487"/>
      <c r="DF252" s="487"/>
      <c r="DG252" s="487"/>
      <c r="DH252" s="487"/>
      <c r="DI252" s="487"/>
      <c r="DJ252" s="487"/>
      <c r="DK252" s="487"/>
      <c r="DL252" s="487"/>
      <c r="DM252" s="487"/>
      <c r="DN252" s="487"/>
      <c r="DO252" s="487"/>
      <c r="DP252" s="487"/>
      <c r="DQ252" s="487"/>
      <c r="DR252" s="487"/>
      <c r="DS252" s="487"/>
      <c r="DT252" s="487"/>
      <c r="DU252" s="487"/>
      <c r="DV252" s="487"/>
      <c r="DW252" s="487"/>
      <c r="DX252" s="487"/>
      <c r="DY252" s="487"/>
      <c r="DZ252" s="487"/>
      <c r="EA252" s="487"/>
      <c r="EB252" s="487"/>
      <c r="EC252" s="487"/>
      <c r="ED252" s="487"/>
      <c r="EE252" s="487"/>
      <c r="EF252" s="487"/>
      <c r="EG252" s="487"/>
      <c r="EH252" s="487"/>
      <c r="EI252" s="487"/>
      <c r="EJ252" s="487"/>
      <c r="EK252" s="487"/>
      <c r="EL252" s="487"/>
      <c r="EM252" s="487"/>
      <c r="EN252" s="487"/>
      <c r="EO252" s="487"/>
      <c r="EP252" s="487"/>
      <c r="EQ252" s="487"/>
      <c r="ER252" s="487"/>
      <c r="ES252" s="487"/>
      <c r="ET252" s="487"/>
      <c r="EU252" s="487"/>
      <c r="EV252" s="487"/>
      <c r="EW252" s="487"/>
      <c r="EX252" s="487"/>
      <c r="EY252" s="487"/>
      <c r="EZ252" s="487"/>
      <c r="FA252" s="487"/>
      <c r="FB252" s="487"/>
      <c r="FC252" s="487"/>
      <c r="FD252" s="487"/>
      <c r="FE252" s="487"/>
      <c r="FF252" s="487"/>
      <c r="FG252" s="487"/>
      <c r="FH252" s="487"/>
      <c r="FI252" s="487"/>
      <c r="FJ252" s="487"/>
      <c r="FK252" s="487"/>
      <c r="FL252" s="487"/>
      <c r="FM252" s="487"/>
      <c r="FN252" s="487"/>
      <c r="FO252" s="487"/>
      <c r="FP252" s="487"/>
      <c r="FQ252" s="487"/>
      <c r="FR252" s="487"/>
      <c r="FS252" s="487"/>
      <c r="FT252" s="487"/>
      <c r="FU252" s="487"/>
      <c r="FV252" s="487"/>
      <c r="FW252" s="487"/>
      <c r="FX252" s="487"/>
      <c r="FY252" s="487"/>
      <c r="FZ252" s="487"/>
      <c r="GA252" s="487"/>
      <c r="GB252" s="487"/>
      <c r="GC252" s="487"/>
      <c r="GD252" s="487"/>
      <c r="GE252" s="487"/>
      <c r="GF252" s="487"/>
      <c r="GG252" s="487"/>
      <c r="GH252" s="487"/>
      <c r="GI252" s="487"/>
      <c r="GJ252" s="487"/>
      <c r="GK252" s="487"/>
      <c r="GL252" s="487"/>
      <c r="GM252" s="487"/>
      <c r="GN252" s="487"/>
      <c r="GO252" s="487"/>
      <c r="GP252" s="487"/>
      <c r="GQ252" s="487"/>
      <c r="GR252" s="487"/>
      <c r="GS252" s="487"/>
      <c r="GT252" s="487"/>
      <c r="GU252" s="487"/>
      <c r="GV252" s="487"/>
      <c r="GW252" s="487"/>
      <c r="GX252" s="487"/>
      <c r="GY252" s="487"/>
      <c r="GZ252" s="487"/>
      <c r="HA252" s="487"/>
      <c r="HB252" s="487"/>
      <c r="HC252" s="487"/>
      <c r="HD252" s="487"/>
      <c r="HE252" s="487"/>
      <c r="HF252" s="487"/>
      <c r="HG252" s="487"/>
      <c r="HH252" s="487"/>
      <c r="HI252" s="487"/>
      <c r="HJ252" s="487"/>
      <c r="HK252" s="487"/>
      <c r="HL252" s="487"/>
      <c r="HM252" s="487"/>
      <c r="HN252" s="487"/>
      <c r="HO252" s="487"/>
      <c r="HP252" s="487"/>
      <c r="HQ252" s="487"/>
      <c r="HR252" s="487"/>
      <c r="HS252" s="490"/>
    </row>
    <row r="253" spans="1:227" s="486" customFormat="1" ht="15" customHeight="1" x14ac:dyDescent="0.2">
      <c r="A253" s="491" t="s">
        <v>10223</v>
      </c>
      <c r="B253" s="475" t="s">
        <v>10224</v>
      </c>
      <c r="C253" s="473" t="s">
        <v>386</v>
      </c>
      <c r="D253" s="455" t="s">
        <v>9783</v>
      </c>
      <c r="E253" s="456" t="s">
        <v>9710</v>
      </c>
      <c r="F253" s="456" t="s">
        <v>10212</v>
      </c>
      <c r="G253" s="456" t="s">
        <v>7180</v>
      </c>
      <c r="H253" s="457">
        <v>128.52000000000001</v>
      </c>
      <c r="I253" s="457">
        <f t="shared" si="15"/>
        <v>138.15899999999999</v>
      </c>
      <c r="J253" s="457" t="s">
        <v>9706</v>
      </c>
      <c r="K253" s="458">
        <v>0.3</v>
      </c>
      <c r="L253" s="459">
        <f t="shared" si="12"/>
        <v>89.963999999999999</v>
      </c>
      <c r="M253" s="460">
        <v>0.18</v>
      </c>
      <c r="N253" s="461">
        <f t="shared" si="13"/>
        <v>113.29038</v>
      </c>
      <c r="O253" s="462">
        <v>0.1</v>
      </c>
      <c r="P253" s="463">
        <f t="shared" si="14"/>
        <v>124.34309999999999</v>
      </c>
      <c r="Q253" s="484"/>
      <c r="R253" s="465">
        <v>6</v>
      </c>
      <c r="S253" s="465">
        <v>6</v>
      </c>
      <c r="T253" s="465">
        <v>6</v>
      </c>
      <c r="U253" s="466"/>
      <c r="V253" s="485"/>
      <c r="W253" s="485"/>
      <c r="X253" s="485"/>
      <c r="Y253" s="485"/>
      <c r="Z253" s="485"/>
      <c r="AA253" s="485"/>
      <c r="AB253" s="485"/>
      <c r="AC253" s="485"/>
      <c r="AD253" s="485"/>
      <c r="AE253" s="485"/>
      <c r="AF253" s="485"/>
      <c r="AG253" s="485"/>
      <c r="AH253" s="485"/>
      <c r="AI253" s="485"/>
      <c r="AJ253" s="485"/>
      <c r="AK253" s="485"/>
      <c r="AL253" s="485"/>
      <c r="AM253" s="485"/>
      <c r="AN253" s="487"/>
      <c r="AO253" s="487"/>
      <c r="AP253" s="487"/>
      <c r="AQ253" s="487"/>
      <c r="AR253" s="487"/>
      <c r="AS253" s="487"/>
      <c r="AT253" s="487"/>
      <c r="AU253" s="487"/>
      <c r="AV253" s="487"/>
      <c r="AW253" s="487"/>
      <c r="AX253" s="487"/>
      <c r="AY253" s="487"/>
      <c r="AZ253" s="487"/>
      <c r="BA253" s="487"/>
      <c r="BB253" s="487"/>
      <c r="BC253" s="487"/>
      <c r="BD253" s="487"/>
      <c r="BE253" s="487"/>
      <c r="BF253" s="487"/>
      <c r="BG253" s="487"/>
      <c r="BH253" s="487"/>
      <c r="BI253" s="487"/>
      <c r="BJ253" s="487"/>
      <c r="BK253" s="487"/>
      <c r="BL253" s="487"/>
      <c r="BM253" s="487"/>
      <c r="BN253" s="487"/>
      <c r="BO253" s="487"/>
      <c r="BP253" s="487"/>
      <c r="BQ253" s="487"/>
      <c r="BR253" s="487"/>
      <c r="BS253" s="487"/>
      <c r="BT253" s="487"/>
      <c r="BU253" s="487"/>
      <c r="BV253" s="487"/>
      <c r="BW253" s="487"/>
      <c r="BX253" s="487"/>
      <c r="BY253" s="487"/>
      <c r="BZ253" s="487"/>
      <c r="CA253" s="487"/>
      <c r="CB253" s="487"/>
      <c r="CC253" s="487"/>
      <c r="CD253" s="487"/>
      <c r="CE253" s="487"/>
      <c r="CF253" s="487"/>
      <c r="CG253" s="487"/>
      <c r="CH253" s="487"/>
      <c r="CI253" s="487"/>
      <c r="CJ253" s="487"/>
      <c r="CK253" s="487"/>
      <c r="CL253" s="487"/>
      <c r="CM253" s="487"/>
      <c r="CN253" s="487"/>
      <c r="CO253" s="487"/>
      <c r="CP253" s="487"/>
      <c r="CQ253" s="487"/>
      <c r="CR253" s="487"/>
      <c r="CS253" s="487"/>
      <c r="CT253" s="487"/>
      <c r="CU253" s="487"/>
      <c r="CV253" s="487"/>
      <c r="CW253" s="487"/>
      <c r="CX253" s="487"/>
      <c r="CY253" s="487"/>
      <c r="CZ253" s="487"/>
      <c r="DA253" s="487"/>
      <c r="DB253" s="487"/>
      <c r="DC253" s="487"/>
      <c r="DD253" s="487"/>
      <c r="DE253" s="487"/>
      <c r="DF253" s="487"/>
      <c r="DG253" s="487"/>
      <c r="DH253" s="487"/>
      <c r="DI253" s="487"/>
      <c r="DJ253" s="487"/>
      <c r="DK253" s="487"/>
      <c r="DL253" s="487"/>
      <c r="DM253" s="487"/>
      <c r="DN253" s="487"/>
      <c r="DO253" s="487"/>
      <c r="DP253" s="487"/>
      <c r="DQ253" s="487"/>
      <c r="DR253" s="487"/>
      <c r="DS253" s="487"/>
      <c r="DT253" s="487"/>
      <c r="DU253" s="487"/>
      <c r="DV253" s="487"/>
      <c r="DW253" s="487"/>
      <c r="DX253" s="487"/>
      <c r="DY253" s="487"/>
      <c r="DZ253" s="487"/>
      <c r="EA253" s="487"/>
      <c r="EB253" s="487"/>
      <c r="EC253" s="487"/>
      <c r="ED253" s="487"/>
      <c r="EE253" s="487"/>
      <c r="EF253" s="487"/>
      <c r="EG253" s="487"/>
      <c r="EH253" s="487"/>
      <c r="EI253" s="487"/>
      <c r="EJ253" s="487"/>
      <c r="EK253" s="487"/>
      <c r="EL253" s="487"/>
      <c r="EM253" s="487"/>
      <c r="EN253" s="487"/>
      <c r="EO253" s="487"/>
      <c r="EP253" s="487"/>
      <c r="EQ253" s="487"/>
      <c r="ER253" s="487"/>
      <c r="ES253" s="487"/>
      <c r="ET253" s="487"/>
      <c r="EU253" s="487"/>
      <c r="EV253" s="487"/>
      <c r="EW253" s="487"/>
      <c r="EX253" s="487"/>
      <c r="EY253" s="487"/>
      <c r="EZ253" s="487"/>
      <c r="FA253" s="487"/>
      <c r="FB253" s="487"/>
      <c r="FC253" s="487"/>
      <c r="FD253" s="487"/>
      <c r="FE253" s="487"/>
      <c r="FF253" s="487"/>
      <c r="FG253" s="487"/>
      <c r="FH253" s="487"/>
      <c r="FI253" s="487"/>
      <c r="FJ253" s="487"/>
      <c r="FK253" s="487"/>
      <c r="FL253" s="487"/>
      <c r="FM253" s="487"/>
      <c r="FN253" s="487"/>
      <c r="FO253" s="487"/>
      <c r="FP253" s="487"/>
      <c r="FQ253" s="487"/>
      <c r="FR253" s="487"/>
      <c r="FS253" s="487"/>
      <c r="FT253" s="487"/>
      <c r="FU253" s="487"/>
      <c r="FV253" s="487"/>
      <c r="FW253" s="487"/>
      <c r="FX253" s="487"/>
      <c r="FY253" s="487"/>
      <c r="FZ253" s="487"/>
      <c r="GA253" s="487"/>
      <c r="GB253" s="487"/>
      <c r="GC253" s="487"/>
      <c r="GD253" s="487"/>
      <c r="GE253" s="487"/>
      <c r="GF253" s="487"/>
      <c r="GG253" s="487"/>
      <c r="GH253" s="487"/>
      <c r="GI253" s="487"/>
      <c r="GJ253" s="487"/>
      <c r="GK253" s="487"/>
      <c r="GL253" s="487"/>
      <c r="GM253" s="487"/>
      <c r="GN253" s="487"/>
      <c r="GO253" s="487"/>
      <c r="GP253" s="487"/>
      <c r="GQ253" s="487"/>
      <c r="GR253" s="487"/>
      <c r="GS253" s="487"/>
      <c r="GT253" s="487"/>
      <c r="GU253" s="487"/>
      <c r="GV253" s="487"/>
      <c r="GW253" s="487"/>
      <c r="GX253" s="487"/>
      <c r="GY253" s="487"/>
      <c r="GZ253" s="487"/>
      <c r="HA253" s="487"/>
      <c r="HB253" s="487"/>
      <c r="HC253" s="487"/>
      <c r="HD253" s="487"/>
      <c r="HE253" s="487"/>
      <c r="HF253" s="487"/>
      <c r="HG253" s="487"/>
      <c r="HH253" s="487"/>
      <c r="HI253" s="487"/>
      <c r="HJ253" s="487"/>
      <c r="HK253" s="487"/>
      <c r="HL253" s="487"/>
      <c r="HM253" s="487"/>
      <c r="HN253" s="487"/>
      <c r="HO253" s="487"/>
      <c r="HP253" s="487"/>
      <c r="HQ253" s="487"/>
      <c r="HR253" s="487"/>
      <c r="HS253" s="490"/>
    </row>
    <row r="254" spans="1:227" s="486" customFormat="1" ht="15" customHeight="1" x14ac:dyDescent="0.2">
      <c r="A254" s="491" t="s">
        <v>10225</v>
      </c>
      <c r="B254" s="475" t="s">
        <v>10226</v>
      </c>
      <c r="C254" s="473" t="s">
        <v>386</v>
      </c>
      <c r="D254" s="455" t="s">
        <v>9783</v>
      </c>
      <c r="E254" s="456" t="s">
        <v>12</v>
      </c>
      <c r="F254" s="456" t="s">
        <v>10212</v>
      </c>
      <c r="G254" s="456" t="s">
        <v>7180</v>
      </c>
      <c r="H254" s="457">
        <v>128.52000000000001</v>
      </c>
      <c r="I254" s="457">
        <f t="shared" si="15"/>
        <v>138.15899999999999</v>
      </c>
      <c r="J254" s="457" t="s">
        <v>9706</v>
      </c>
      <c r="K254" s="458">
        <v>0.3</v>
      </c>
      <c r="L254" s="459">
        <f t="shared" si="12"/>
        <v>89.963999999999999</v>
      </c>
      <c r="M254" s="460">
        <v>0.18</v>
      </c>
      <c r="N254" s="461">
        <f t="shared" si="13"/>
        <v>113.29038</v>
      </c>
      <c r="O254" s="462">
        <v>0.1</v>
      </c>
      <c r="P254" s="463">
        <f t="shared" si="14"/>
        <v>124.34309999999999</v>
      </c>
      <c r="Q254" s="484"/>
      <c r="R254" s="465">
        <v>6</v>
      </c>
      <c r="S254" s="465">
        <v>6</v>
      </c>
      <c r="T254" s="465">
        <v>6</v>
      </c>
      <c r="U254" s="466"/>
      <c r="V254" s="485"/>
      <c r="W254" s="485"/>
      <c r="X254" s="485"/>
      <c r="Y254" s="485"/>
      <c r="Z254" s="485"/>
      <c r="AA254" s="485"/>
      <c r="AB254" s="485"/>
      <c r="AC254" s="485"/>
      <c r="AD254" s="485"/>
      <c r="AE254" s="485"/>
      <c r="AF254" s="485"/>
      <c r="AG254" s="485"/>
      <c r="AH254" s="485"/>
      <c r="AI254" s="485"/>
      <c r="AJ254" s="485"/>
      <c r="AK254" s="485"/>
      <c r="AL254" s="485"/>
      <c r="AM254" s="485"/>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7"/>
      <c r="BI254" s="487"/>
      <c r="BJ254" s="487"/>
      <c r="BK254" s="487"/>
      <c r="BL254" s="487"/>
      <c r="BM254" s="487"/>
      <c r="BN254" s="487"/>
      <c r="BO254" s="487"/>
      <c r="BP254" s="487"/>
      <c r="BQ254" s="487"/>
      <c r="BR254" s="487"/>
      <c r="BS254" s="487"/>
      <c r="BT254" s="487"/>
      <c r="BU254" s="487"/>
      <c r="BV254" s="487"/>
      <c r="BW254" s="487"/>
      <c r="BX254" s="487"/>
      <c r="BY254" s="487"/>
      <c r="BZ254" s="487"/>
      <c r="CA254" s="487"/>
      <c r="CB254" s="487"/>
      <c r="CC254" s="487"/>
      <c r="CD254" s="487"/>
      <c r="CE254" s="487"/>
      <c r="CF254" s="487"/>
      <c r="CG254" s="487"/>
      <c r="CH254" s="487"/>
      <c r="CI254" s="487"/>
      <c r="CJ254" s="487"/>
      <c r="CK254" s="487"/>
      <c r="CL254" s="487"/>
      <c r="CM254" s="487"/>
      <c r="CN254" s="487"/>
      <c r="CO254" s="487"/>
      <c r="CP254" s="487"/>
      <c r="CQ254" s="487"/>
      <c r="CR254" s="487"/>
      <c r="CS254" s="487"/>
      <c r="CT254" s="487"/>
      <c r="CU254" s="487"/>
      <c r="CV254" s="487"/>
      <c r="CW254" s="487"/>
      <c r="CX254" s="487"/>
      <c r="CY254" s="487"/>
      <c r="CZ254" s="487"/>
      <c r="DA254" s="487"/>
      <c r="DB254" s="487"/>
      <c r="DC254" s="487"/>
      <c r="DD254" s="487"/>
      <c r="DE254" s="487"/>
      <c r="DF254" s="487"/>
      <c r="DG254" s="487"/>
      <c r="DH254" s="487"/>
      <c r="DI254" s="487"/>
      <c r="DJ254" s="487"/>
      <c r="DK254" s="487"/>
      <c r="DL254" s="487"/>
      <c r="DM254" s="487"/>
      <c r="DN254" s="487"/>
      <c r="DO254" s="487"/>
      <c r="DP254" s="487"/>
      <c r="DQ254" s="487"/>
      <c r="DR254" s="487"/>
      <c r="DS254" s="487"/>
      <c r="DT254" s="487"/>
      <c r="DU254" s="487"/>
      <c r="DV254" s="487"/>
      <c r="DW254" s="487"/>
      <c r="DX254" s="487"/>
      <c r="DY254" s="487"/>
      <c r="DZ254" s="487"/>
      <c r="EA254" s="487"/>
      <c r="EB254" s="487"/>
      <c r="EC254" s="487"/>
      <c r="ED254" s="487"/>
      <c r="EE254" s="487"/>
      <c r="EF254" s="487"/>
      <c r="EG254" s="487"/>
      <c r="EH254" s="487"/>
      <c r="EI254" s="487"/>
      <c r="EJ254" s="487"/>
      <c r="EK254" s="487"/>
      <c r="EL254" s="487"/>
      <c r="EM254" s="487"/>
      <c r="EN254" s="487"/>
      <c r="EO254" s="487"/>
      <c r="EP254" s="487"/>
      <c r="EQ254" s="487"/>
      <c r="ER254" s="487"/>
      <c r="ES254" s="487"/>
      <c r="ET254" s="487"/>
      <c r="EU254" s="487"/>
      <c r="EV254" s="487"/>
      <c r="EW254" s="487"/>
      <c r="EX254" s="487"/>
      <c r="EY254" s="487"/>
      <c r="EZ254" s="487"/>
      <c r="FA254" s="487"/>
      <c r="FB254" s="487"/>
      <c r="FC254" s="487"/>
      <c r="FD254" s="487"/>
      <c r="FE254" s="487"/>
      <c r="FF254" s="487"/>
      <c r="FG254" s="487"/>
      <c r="FH254" s="487"/>
      <c r="FI254" s="487"/>
      <c r="FJ254" s="487"/>
      <c r="FK254" s="487"/>
      <c r="FL254" s="487"/>
      <c r="FM254" s="487"/>
      <c r="FN254" s="487"/>
      <c r="FO254" s="487"/>
      <c r="FP254" s="487"/>
      <c r="FQ254" s="487"/>
      <c r="FR254" s="487"/>
      <c r="FS254" s="487"/>
      <c r="FT254" s="487"/>
      <c r="FU254" s="487"/>
      <c r="FV254" s="487"/>
      <c r="FW254" s="487"/>
      <c r="FX254" s="487"/>
      <c r="FY254" s="487"/>
      <c r="FZ254" s="487"/>
      <c r="GA254" s="487"/>
      <c r="GB254" s="487"/>
      <c r="GC254" s="487"/>
      <c r="GD254" s="487"/>
      <c r="GE254" s="487"/>
      <c r="GF254" s="487"/>
      <c r="GG254" s="487"/>
      <c r="GH254" s="487"/>
      <c r="GI254" s="487"/>
      <c r="GJ254" s="487"/>
      <c r="GK254" s="487"/>
      <c r="GL254" s="487"/>
      <c r="GM254" s="487"/>
      <c r="GN254" s="487"/>
      <c r="GO254" s="487"/>
      <c r="GP254" s="487"/>
      <c r="GQ254" s="487"/>
      <c r="GR254" s="487"/>
      <c r="GS254" s="487"/>
      <c r="GT254" s="487"/>
      <c r="GU254" s="487"/>
      <c r="GV254" s="487"/>
      <c r="GW254" s="487"/>
      <c r="GX254" s="487"/>
      <c r="GY254" s="487"/>
      <c r="GZ254" s="487"/>
      <c r="HA254" s="487"/>
      <c r="HB254" s="487"/>
      <c r="HC254" s="487"/>
      <c r="HD254" s="487"/>
      <c r="HE254" s="487"/>
      <c r="HF254" s="487"/>
      <c r="HG254" s="487"/>
      <c r="HH254" s="487"/>
      <c r="HI254" s="487"/>
      <c r="HJ254" s="487"/>
      <c r="HK254" s="487"/>
      <c r="HL254" s="487"/>
      <c r="HM254" s="487"/>
      <c r="HN254" s="487"/>
      <c r="HO254" s="487"/>
      <c r="HP254" s="487"/>
      <c r="HQ254" s="487"/>
      <c r="HR254" s="487"/>
      <c r="HS254" s="490"/>
    </row>
    <row r="255" spans="1:227" s="486" customFormat="1" ht="15" customHeight="1" x14ac:dyDescent="0.2">
      <c r="A255" s="491" t="s">
        <v>10227</v>
      </c>
      <c r="B255" s="475" t="s">
        <v>10228</v>
      </c>
      <c r="C255" s="473" t="s">
        <v>386</v>
      </c>
      <c r="D255" s="455" t="s">
        <v>9783</v>
      </c>
      <c r="E255" s="456" t="s">
        <v>9710</v>
      </c>
      <c r="F255" s="456" t="s">
        <v>10212</v>
      </c>
      <c r="G255" s="456" t="s">
        <v>7180</v>
      </c>
      <c r="H255" s="457">
        <v>128.52000000000001</v>
      </c>
      <c r="I255" s="457">
        <f t="shared" si="15"/>
        <v>138.15899999999999</v>
      </c>
      <c r="J255" s="457" t="s">
        <v>9706</v>
      </c>
      <c r="K255" s="458">
        <v>0.3</v>
      </c>
      <c r="L255" s="459">
        <f t="shared" si="12"/>
        <v>89.963999999999999</v>
      </c>
      <c r="M255" s="460">
        <v>0.18</v>
      </c>
      <c r="N255" s="461">
        <f t="shared" si="13"/>
        <v>113.29038</v>
      </c>
      <c r="O255" s="462">
        <v>0.1</v>
      </c>
      <c r="P255" s="463">
        <f t="shared" si="14"/>
        <v>124.34309999999999</v>
      </c>
      <c r="Q255" s="484"/>
      <c r="R255" s="465">
        <v>6</v>
      </c>
      <c r="S255" s="465">
        <v>6</v>
      </c>
      <c r="T255" s="465">
        <v>6</v>
      </c>
      <c r="U255" s="466"/>
      <c r="V255" s="485"/>
      <c r="W255" s="485"/>
      <c r="X255" s="485"/>
      <c r="Y255" s="485"/>
      <c r="Z255" s="485"/>
      <c r="AA255" s="485"/>
      <c r="AB255" s="485"/>
      <c r="AC255" s="485"/>
      <c r="AD255" s="485"/>
      <c r="AE255" s="485"/>
      <c r="AF255" s="485"/>
      <c r="AG255" s="485"/>
      <c r="AH255" s="485"/>
      <c r="AI255" s="485"/>
      <c r="AJ255" s="485"/>
      <c r="AK255" s="485"/>
      <c r="AL255" s="485"/>
      <c r="AM255" s="485"/>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7"/>
      <c r="BI255" s="487"/>
      <c r="BJ255" s="487"/>
      <c r="BK255" s="487"/>
      <c r="BL255" s="487"/>
      <c r="BM255" s="487"/>
      <c r="BN255" s="487"/>
      <c r="BO255" s="487"/>
      <c r="BP255" s="487"/>
      <c r="BQ255" s="487"/>
      <c r="BR255" s="487"/>
      <c r="BS255" s="487"/>
      <c r="BT255" s="487"/>
      <c r="BU255" s="487"/>
      <c r="BV255" s="487"/>
      <c r="BW255" s="487"/>
      <c r="BX255" s="487"/>
      <c r="BY255" s="487"/>
      <c r="BZ255" s="487"/>
      <c r="CA255" s="487"/>
      <c r="CB255" s="487"/>
      <c r="CC255" s="487"/>
      <c r="CD255" s="487"/>
      <c r="CE255" s="487"/>
      <c r="CF255" s="487"/>
      <c r="CG255" s="487"/>
      <c r="CH255" s="487"/>
      <c r="CI255" s="487"/>
      <c r="CJ255" s="487"/>
      <c r="CK255" s="487"/>
      <c r="CL255" s="487"/>
      <c r="CM255" s="487"/>
      <c r="CN255" s="487"/>
      <c r="CO255" s="487"/>
      <c r="CP255" s="487"/>
      <c r="CQ255" s="487"/>
      <c r="CR255" s="487"/>
      <c r="CS255" s="487"/>
      <c r="CT255" s="487"/>
      <c r="CU255" s="487"/>
      <c r="CV255" s="487"/>
      <c r="CW255" s="487"/>
      <c r="CX255" s="487"/>
      <c r="CY255" s="487"/>
      <c r="CZ255" s="487"/>
      <c r="DA255" s="487"/>
      <c r="DB255" s="487"/>
      <c r="DC255" s="487"/>
      <c r="DD255" s="487"/>
      <c r="DE255" s="487"/>
      <c r="DF255" s="487"/>
      <c r="DG255" s="487"/>
      <c r="DH255" s="487"/>
      <c r="DI255" s="487"/>
      <c r="DJ255" s="487"/>
      <c r="DK255" s="487"/>
      <c r="DL255" s="487"/>
      <c r="DM255" s="487"/>
      <c r="DN255" s="487"/>
      <c r="DO255" s="487"/>
      <c r="DP255" s="487"/>
      <c r="DQ255" s="487"/>
      <c r="DR255" s="487"/>
      <c r="DS255" s="487"/>
      <c r="DT255" s="487"/>
      <c r="DU255" s="487"/>
      <c r="DV255" s="487"/>
      <c r="DW255" s="487"/>
      <c r="DX255" s="487"/>
      <c r="DY255" s="487"/>
      <c r="DZ255" s="487"/>
      <c r="EA255" s="487"/>
      <c r="EB255" s="487"/>
      <c r="EC255" s="487"/>
      <c r="ED255" s="487"/>
      <c r="EE255" s="487"/>
      <c r="EF255" s="487"/>
      <c r="EG255" s="487"/>
      <c r="EH255" s="487"/>
      <c r="EI255" s="487"/>
      <c r="EJ255" s="487"/>
      <c r="EK255" s="487"/>
      <c r="EL255" s="487"/>
      <c r="EM255" s="487"/>
      <c r="EN255" s="487"/>
      <c r="EO255" s="487"/>
      <c r="EP255" s="487"/>
      <c r="EQ255" s="487"/>
      <c r="ER255" s="487"/>
      <c r="ES255" s="487"/>
      <c r="ET255" s="487"/>
      <c r="EU255" s="487"/>
      <c r="EV255" s="487"/>
      <c r="EW255" s="487"/>
      <c r="EX255" s="487"/>
      <c r="EY255" s="487"/>
      <c r="EZ255" s="487"/>
      <c r="FA255" s="487"/>
      <c r="FB255" s="487"/>
      <c r="FC255" s="487"/>
      <c r="FD255" s="487"/>
      <c r="FE255" s="487"/>
      <c r="FF255" s="487"/>
      <c r="FG255" s="487"/>
      <c r="FH255" s="487"/>
      <c r="FI255" s="487"/>
      <c r="FJ255" s="487"/>
      <c r="FK255" s="487"/>
      <c r="FL255" s="487"/>
      <c r="FM255" s="487"/>
      <c r="FN255" s="487"/>
      <c r="FO255" s="487"/>
      <c r="FP255" s="487"/>
      <c r="FQ255" s="487"/>
      <c r="FR255" s="487"/>
      <c r="FS255" s="487"/>
      <c r="FT255" s="487"/>
      <c r="FU255" s="487"/>
      <c r="FV255" s="487"/>
      <c r="FW255" s="487"/>
      <c r="FX255" s="487"/>
      <c r="FY255" s="487"/>
      <c r="FZ255" s="487"/>
      <c r="GA255" s="487"/>
      <c r="GB255" s="487"/>
      <c r="GC255" s="487"/>
      <c r="GD255" s="487"/>
      <c r="GE255" s="487"/>
      <c r="GF255" s="487"/>
      <c r="GG255" s="487"/>
      <c r="GH255" s="487"/>
      <c r="GI255" s="487"/>
      <c r="GJ255" s="487"/>
      <c r="GK255" s="487"/>
      <c r="GL255" s="487"/>
      <c r="GM255" s="487"/>
      <c r="GN255" s="487"/>
      <c r="GO255" s="487"/>
      <c r="GP255" s="487"/>
      <c r="GQ255" s="487"/>
      <c r="GR255" s="487"/>
      <c r="GS255" s="487"/>
      <c r="GT255" s="487"/>
      <c r="GU255" s="487"/>
      <c r="GV255" s="487"/>
      <c r="GW255" s="487"/>
      <c r="GX255" s="487"/>
      <c r="GY255" s="487"/>
      <c r="GZ255" s="487"/>
      <c r="HA255" s="487"/>
      <c r="HB255" s="487"/>
      <c r="HC255" s="487"/>
      <c r="HD255" s="487"/>
      <c r="HE255" s="487"/>
      <c r="HF255" s="487"/>
      <c r="HG255" s="487"/>
      <c r="HH255" s="487"/>
      <c r="HI255" s="487"/>
      <c r="HJ255" s="487"/>
      <c r="HK255" s="487"/>
      <c r="HL255" s="487"/>
      <c r="HM255" s="487"/>
      <c r="HN255" s="487"/>
      <c r="HO255" s="487"/>
      <c r="HP255" s="487"/>
      <c r="HQ255" s="487"/>
      <c r="HR255" s="487"/>
      <c r="HS255" s="490"/>
    </row>
    <row r="256" spans="1:227" s="486" customFormat="1" ht="15" customHeight="1" x14ac:dyDescent="0.2">
      <c r="A256" s="491" t="s">
        <v>10229</v>
      </c>
      <c r="B256" s="475" t="s">
        <v>10230</v>
      </c>
      <c r="C256" s="473" t="s">
        <v>386</v>
      </c>
      <c r="D256" s="455" t="s">
        <v>9783</v>
      </c>
      <c r="E256" s="456" t="s">
        <v>9710</v>
      </c>
      <c r="F256" s="456" t="s">
        <v>10212</v>
      </c>
      <c r="G256" s="456" t="s">
        <v>7180</v>
      </c>
      <c r="H256" s="457">
        <v>128.52000000000001</v>
      </c>
      <c r="I256" s="457">
        <f t="shared" si="15"/>
        <v>138.15899999999999</v>
      </c>
      <c r="J256" s="457" t="s">
        <v>9706</v>
      </c>
      <c r="K256" s="458">
        <v>0.3</v>
      </c>
      <c r="L256" s="459">
        <f t="shared" si="12"/>
        <v>89.963999999999999</v>
      </c>
      <c r="M256" s="460">
        <v>0.18</v>
      </c>
      <c r="N256" s="461">
        <f t="shared" si="13"/>
        <v>113.29038</v>
      </c>
      <c r="O256" s="462">
        <v>0.1</v>
      </c>
      <c r="P256" s="463">
        <f t="shared" si="14"/>
        <v>124.34309999999999</v>
      </c>
      <c r="Q256" s="484"/>
      <c r="R256" s="465">
        <v>6</v>
      </c>
      <c r="S256" s="465">
        <v>6</v>
      </c>
      <c r="T256" s="465">
        <v>6</v>
      </c>
      <c r="U256" s="466"/>
      <c r="V256" s="485"/>
      <c r="W256" s="485"/>
      <c r="X256" s="485"/>
      <c r="Y256" s="485"/>
      <c r="Z256" s="485"/>
      <c r="AA256" s="485"/>
      <c r="AB256" s="485"/>
      <c r="AC256" s="485"/>
      <c r="AD256" s="485"/>
      <c r="AE256" s="485"/>
      <c r="AF256" s="485"/>
      <c r="AG256" s="485"/>
      <c r="AH256" s="485"/>
      <c r="AI256" s="485"/>
      <c r="AJ256" s="485"/>
      <c r="AK256" s="485"/>
      <c r="AL256" s="485"/>
      <c r="AM256" s="485"/>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7"/>
      <c r="BI256" s="487"/>
      <c r="BJ256" s="487"/>
      <c r="BK256" s="487"/>
      <c r="BL256" s="487"/>
      <c r="BM256" s="487"/>
      <c r="BN256" s="487"/>
      <c r="BO256" s="487"/>
      <c r="BP256" s="487"/>
      <c r="BQ256" s="487"/>
      <c r="BR256" s="487"/>
      <c r="BS256" s="487"/>
      <c r="BT256" s="487"/>
      <c r="BU256" s="487"/>
      <c r="BV256" s="487"/>
      <c r="BW256" s="487"/>
      <c r="BX256" s="487"/>
      <c r="BY256" s="487"/>
      <c r="BZ256" s="487"/>
      <c r="CA256" s="487"/>
      <c r="CB256" s="487"/>
      <c r="CC256" s="487"/>
      <c r="CD256" s="487"/>
      <c r="CE256" s="487"/>
      <c r="CF256" s="487"/>
      <c r="CG256" s="487"/>
      <c r="CH256" s="487"/>
      <c r="CI256" s="487"/>
      <c r="CJ256" s="487"/>
      <c r="CK256" s="487"/>
      <c r="CL256" s="487"/>
      <c r="CM256" s="487"/>
      <c r="CN256" s="487"/>
      <c r="CO256" s="487"/>
      <c r="CP256" s="487"/>
      <c r="CQ256" s="487"/>
      <c r="CR256" s="487"/>
      <c r="CS256" s="487"/>
      <c r="CT256" s="487"/>
      <c r="CU256" s="487"/>
      <c r="CV256" s="487"/>
      <c r="CW256" s="487"/>
      <c r="CX256" s="487"/>
      <c r="CY256" s="487"/>
      <c r="CZ256" s="487"/>
      <c r="DA256" s="487"/>
      <c r="DB256" s="487"/>
      <c r="DC256" s="487"/>
      <c r="DD256" s="487"/>
      <c r="DE256" s="487"/>
      <c r="DF256" s="487"/>
      <c r="DG256" s="487"/>
      <c r="DH256" s="487"/>
      <c r="DI256" s="487"/>
      <c r="DJ256" s="487"/>
      <c r="DK256" s="487"/>
      <c r="DL256" s="487"/>
      <c r="DM256" s="487"/>
      <c r="DN256" s="487"/>
      <c r="DO256" s="487"/>
      <c r="DP256" s="487"/>
      <c r="DQ256" s="487"/>
      <c r="DR256" s="487"/>
      <c r="DS256" s="487"/>
      <c r="DT256" s="487"/>
      <c r="DU256" s="487"/>
      <c r="DV256" s="487"/>
      <c r="DW256" s="487"/>
      <c r="DX256" s="487"/>
      <c r="DY256" s="487"/>
      <c r="DZ256" s="487"/>
      <c r="EA256" s="487"/>
      <c r="EB256" s="487"/>
      <c r="EC256" s="487"/>
      <c r="ED256" s="487"/>
      <c r="EE256" s="487"/>
      <c r="EF256" s="487"/>
      <c r="EG256" s="487"/>
      <c r="EH256" s="487"/>
      <c r="EI256" s="487"/>
      <c r="EJ256" s="487"/>
      <c r="EK256" s="487"/>
      <c r="EL256" s="487"/>
      <c r="EM256" s="487"/>
      <c r="EN256" s="487"/>
      <c r="EO256" s="487"/>
      <c r="EP256" s="487"/>
      <c r="EQ256" s="487"/>
      <c r="ER256" s="487"/>
      <c r="ES256" s="487"/>
      <c r="ET256" s="487"/>
      <c r="EU256" s="487"/>
      <c r="EV256" s="487"/>
      <c r="EW256" s="487"/>
      <c r="EX256" s="487"/>
      <c r="EY256" s="487"/>
      <c r="EZ256" s="487"/>
      <c r="FA256" s="487"/>
      <c r="FB256" s="487"/>
      <c r="FC256" s="487"/>
      <c r="FD256" s="487"/>
      <c r="FE256" s="487"/>
      <c r="FF256" s="487"/>
      <c r="FG256" s="487"/>
      <c r="FH256" s="487"/>
      <c r="FI256" s="487"/>
      <c r="FJ256" s="487"/>
      <c r="FK256" s="487"/>
      <c r="FL256" s="487"/>
      <c r="FM256" s="487"/>
      <c r="FN256" s="487"/>
      <c r="FO256" s="487"/>
      <c r="FP256" s="487"/>
      <c r="FQ256" s="487"/>
      <c r="FR256" s="487"/>
      <c r="FS256" s="487"/>
      <c r="FT256" s="487"/>
      <c r="FU256" s="487"/>
      <c r="FV256" s="487"/>
      <c r="FW256" s="487"/>
      <c r="FX256" s="487"/>
      <c r="FY256" s="487"/>
      <c r="FZ256" s="487"/>
      <c r="GA256" s="487"/>
      <c r="GB256" s="487"/>
      <c r="GC256" s="487"/>
      <c r="GD256" s="487"/>
      <c r="GE256" s="487"/>
      <c r="GF256" s="487"/>
      <c r="GG256" s="487"/>
      <c r="GH256" s="487"/>
      <c r="GI256" s="487"/>
      <c r="GJ256" s="487"/>
      <c r="GK256" s="487"/>
      <c r="GL256" s="487"/>
      <c r="GM256" s="487"/>
      <c r="GN256" s="487"/>
      <c r="GO256" s="487"/>
      <c r="GP256" s="487"/>
      <c r="GQ256" s="487"/>
      <c r="GR256" s="487"/>
      <c r="GS256" s="487"/>
      <c r="GT256" s="487"/>
      <c r="GU256" s="487"/>
      <c r="GV256" s="487"/>
      <c r="GW256" s="487"/>
      <c r="GX256" s="487"/>
      <c r="GY256" s="487"/>
      <c r="GZ256" s="487"/>
      <c r="HA256" s="487"/>
      <c r="HB256" s="487"/>
      <c r="HC256" s="487"/>
      <c r="HD256" s="487"/>
      <c r="HE256" s="487"/>
      <c r="HF256" s="487"/>
      <c r="HG256" s="487"/>
      <c r="HH256" s="487"/>
      <c r="HI256" s="487"/>
      <c r="HJ256" s="487"/>
      <c r="HK256" s="487"/>
      <c r="HL256" s="487"/>
      <c r="HM256" s="487"/>
      <c r="HN256" s="487"/>
      <c r="HO256" s="487"/>
      <c r="HP256" s="487"/>
      <c r="HQ256" s="487"/>
      <c r="HR256" s="487"/>
      <c r="HS256" s="490"/>
    </row>
    <row r="257" spans="1:227" s="486" customFormat="1" ht="15" customHeight="1" x14ac:dyDescent="0.2">
      <c r="A257" s="491" t="s">
        <v>10231</v>
      </c>
      <c r="B257" s="475" t="s">
        <v>10232</v>
      </c>
      <c r="C257" s="473" t="s">
        <v>386</v>
      </c>
      <c r="D257" s="455" t="s">
        <v>9783</v>
      </c>
      <c r="E257" s="456" t="s">
        <v>9710</v>
      </c>
      <c r="F257" s="456" t="s">
        <v>10212</v>
      </c>
      <c r="G257" s="456" t="s">
        <v>7180</v>
      </c>
      <c r="H257" s="457">
        <v>128.52000000000001</v>
      </c>
      <c r="I257" s="457">
        <f t="shared" si="15"/>
        <v>138.15899999999999</v>
      </c>
      <c r="J257" s="457" t="s">
        <v>9706</v>
      </c>
      <c r="K257" s="458">
        <v>0.3</v>
      </c>
      <c r="L257" s="459">
        <f t="shared" si="12"/>
        <v>89.963999999999999</v>
      </c>
      <c r="M257" s="460">
        <v>0.18</v>
      </c>
      <c r="N257" s="461">
        <f t="shared" si="13"/>
        <v>113.29038</v>
      </c>
      <c r="O257" s="462">
        <v>0.1</v>
      </c>
      <c r="P257" s="463">
        <f t="shared" si="14"/>
        <v>124.34309999999999</v>
      </c>
      <c r="Q257" s="484"/>
      <c r="R257" s="465">
        <v>6</v>
      </c>
      <c r="S257" s="465">
        <v>6</v>
      </c>
      <c r="T257" s="465">
        <v>6</v>
      </c>
      <c r="U257" s="466"/>
      <c r="V257" s="485"/>
      <c r="W257" s="485"/>
      <c r="X257" s="485"/>
      <c r="Y257" s="485"/>
      <c r="Z257" s="485"/>
      <c r="AA257" s="485"/>
      <c r="AB257" s="485"/>
      <c r="AC257" s="485"/>
      <c r="AD257" s="485"/>
      <c r="AE257" s="485"/>
      <c r="AF257" s="485"/>
      <c r="AG257" s="485"/>
      <c r="AH257" s="485"/>
      <c r="AI257" s="485"/>
      <c r="AJ257" s="485"/>
      <c r="AK257" s="485"/>
      <c r="AL257" s="485"/>
      <c r="AM257" s="485"/>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7"/>
      <c r="BI257" s="487"/>
      <c r="BJ257" s="487"/>
      <c r="BK257" s="487"/>
      <c r="BL257" s="487"/>
      <c r="BM257" s="487"/>
      <c r="BN257" s="487"/>
      <c r="BO257" s="487"/>
      <c r="BP257" s="487"/>
      <c r="BQ257" s="487"/>
      <c r="BR257" s="487"/>
      <c r="BS257" s="487"/>
      <c r="BT257" s="487"/>
      <c r="BU257" s="487"/>
      <c r="BV257" s="487"/>
      <c r="BW257" s="487"/>
      <c r="BX257" s="487"/>
      <c r="BY257" s="487"/>
      <c r="BZ257" s="487"/>
      <c r="CA257" s="487"/>
      <c r="CB257" s="487"/>
      <c r="CC257" s="487"/>
      <c r="CD257" s="487"/>
      <c r="CE257" s="487"/>
      <c r="CF257" s="487"/>
      <c r="CG257" s="487"/>
      <c r="CH257" s="487"/>
      <c r="CI257" s="487"/>
      <c r="CJ257" s="487"/>
      <c r="CK257" s="487"/>
      <c r="CL257" s="487"/>
      <c r="CM257" s="487"/>
      <c r="CN257" s="487"/>
      <c r="CO257" s="487"/>
      <c r="CP257" s="487"/>
      <c r="CQ257" s="487"/>
      <c r="CR257" s="487"/>
      <c r="CS257" s="487"/>
      <c r="CT257" s="487"/>
      <c r="CU257" s="487"/>
      <c r="CV257" s="487"/>
      <c r="CW257" s="487"/>
      <c r="CX257" s="487"/>
      <c r="CY257" s="487"/>
      <c r="CZ257" s="487"/>
      <c r="DA257" s="487"/>
      <c r="DB257" s="487"/>
      <c r="DC257" s="487"/>
      <c r="DD257" s="487"/>
      <c r="DE257" s="487"/>
      <c r="DF257" s="487"/>
      <c r="DG257" s="487"/>
      <c r="DH257" s="487"/>
      <c r="DI257" s="487"/>
      <c r="DJ257" s="487"/>
      <c r="DK257" s="487"/>
      <c r="DL257" s="487"/>
      <c r="DM257" s="487"/>
      <c r="DN257" s="487"/>
      <c r="DO257" s="487"/>
      <c r="DP257" s="487"/>
      <c r="DQ257" s="487"/>
      <c r="DR257" s="487"/>
      <c r="DS257" s="487"/>
      <c r="DT257" s="487"/>
      <c r="DU257" s="487"/>
      <c r="DV257" s="487"/>
      <c r="DW257" s="487"/>
      <c r="DX257" s="487"/>
      <c r="DY257" s="487"/>
      <c r="DZ257" s="487"/>
      <c r="EA257" s="487"/>
      <c r="EB257" s="487"/>
      <c r="EC257" s="487"/>
      <c r="ED257" s="487"/>
      <c r="EE257" s="487"/>
      <c r="EF257" s="487"/>
      <c r="EG257" s="487"/>
      <c r="EH257" s="487"/>
      <c r="EI257" s="487"/>
      <c r="EJ257" s="487"/>
      <c r="EK257" s="487"/>
      <c r="EL257" s="487"/>
      <c r="EM257" s="487"/>
      <c r="EN257" s="487"/>
      <c r="EO257" s="487"/>
      <c r="EP257" s="487"/>
      <c r="EQ257" s="487"/>
      <c r="ER257" s="487"/>
      <c r="ES257" s="487"/>
      <c r="ET257" s="487"/>
      <c r="EU257" s="487"/>
      <c r="EV257" s="487"/>
      <c r="EW257" s="487"/>
      <c r="EX257" s="487"/>
      <c r="EY257" s="487"/>
      <c r="EZ257" s="487"/>
      <c r="FA257" s="487"/>
      <c r="FB257" s="487"/>
      <c r="FC257" s="487"/>
      <c r="FD257" s="487"/>
      <c r="FE257" s="487"/>
      <c r="FF257" s="487"/>
      <c r="FG257" s="487"/>
      <c r="FH257" s="487"/>
      <c r="FI257" s="487"/>
      <c r="FJ257" s="487"/>
      <c r="FK257" s="487"/>
      <c r="FL257" s="487"/>
      <c r="FM257" s="487"/>
      <c r="FN257" s="487"/>
      <c r="FO257" s="487"/>
      <c r="FP257" s="487"/>
      <c r="FQ257" s="487"/>
      <c r="FR257" s="487"/>
      <c r="FS257" s="487"/>
      <c r="FT257" s="487"/>
      <c r="FU257" s="487"/>
      <c r="FV257" s="487"/>
      <c r="FW257" s="487"/>
      <c r="FX257" s="487"/>
      <c r="FY257" s="487"/>
      <c r="FZ257" s="487"/>
      <c r="GA257" s="487"/>
      <c r="GB257" s="487"/>
      <c r="GC257" s="487"/>
      <c r="GD257" s="487"/>
      <c r="GE257" s="487"/>
      <c r="GF257" s="487"/>
      <c r="GG257" s="487"/>
      <c r="GH257" s="487"/>
      <c r="GI257" s="487"/>
      <c r="GJ257" s="487"/>
      <c r="GK257" s="487"/>
      <c r="GL257" s="487"/>
      <c r="GM257" s="487"/>
      <c r="GN257" s="487"/>
      <c r="GO257" s="487"/>
      <c r="GP257" s="487"/>
      <c r="GQ257" s="487"/>
      <c r="GR257" s="487"/>
      <c r="GS257" s="487"/>
      <c r="GT257" s="487"/>
      <c r="GU257" s="487"/>
      <c r="GV257" s="487"/>
      <c r="GW257" s="487"/>
      <c r="GX257" s="487"/>
      <c r="GY257" s="487"/>
      <c r="GZ257" s="487"/>
      <c r="HA257" s="487"/>
      <c r="HB257" s="487"/>
      <c r="HC257" s="487"/>
      <c r="HD257" s="487"/>
      <c r="HE257" s="487"/>
      <c r="HF257" s="487"/>
      <c r="HG257" s="487"/>
      <c r="HH257" s="487"/>
      <c r="HI257" s="487"/>
      <c r="HJ257" s="487"/>
      <c r="HK257" s="487"/>
      <c r="HL257" s="487"/>
      <c r="HM257" s="487"/>
      <c r="HN257" s="487"/>
      <c r="HO257" s="487"/>
      <c r="HP257" s="487"/>
      <c r="HQ257" s="487"/>
      <c r="HR257" s="487"/>
      <c r="HS257" s="490"/>
    </row>
    <row r="258" spans="1:227" s="486" customFormat="1" ht="15" customHeight="1" x14ac:dyDescent="0.2">
      <c r="A258" s="491" t="s">
        <v>10233</v>
      </c>
      <c r="B258" s="475" t="s">
        <v>10234</v>
      </c>
      <c r="C258" s="473" t="s">
        <v>386</v>
      </c>
      <c r="D258" s="455" t="s">
        <v>9783</v>
      </c>
      <c r="E258" s="456" t="s">
        <v>9710</v>
      </c>
      <c r="F258" s="456" t="s">
        <v>10212</v>
      </c>
      <c r="G258" s="456" t="s">
        <v>7180</v>
      </c>
      <c r="H258" s="457">
        <v>128.52000000000001</v>
      </c>
      <c r="I258" s="457">
        <f t="shared" si="15"/>
        <v>138.15899999999999</v>
      </c>
      <c r="J258" s="457" t="s">
        <v>9706</v>
      </c>
      <c r="K258" s="458">
        <v>0.3</v>
      </c>
      <c r="L258" s="459">
        <f t="shared" si="12"/>
        <v>89.963999999999999</v>
      </c>
      <c r="M258" s="460">
        <v>0.18</v>
      </c>
      <c r="N258" s="461">
        <f t="shared" si="13"/>
        <v>113.29038</v>
      </c>
      <c r="O258" s="462">
        <v>0.1</v>
      </c>
      <c r="P258" s="463">
        <f t="shared" si="14"/>
        <v>124.34309999999999</v>
      </c>
      <c r="Q258" s="484"/>
      <c r="R258" s="465">
        <v>6</v>
      </c>
      <c r="S258" s="465">
        <v>6</v>
      </c>
      <c r="T258" s="465">
        <v>6</v>
      </c>
      <c r="U258" s="466"/>
      <c r="V258" s="485"/>
      <c r="W258" s="485"/>
      <c r="X258" s="485"/>
      <c r="Y258" s="485"/>
      <c r="Z258" s="485"/>
      <c r="AA258" s="485"/>
      <c r="AB258" s="485"/>
      <c r="AC258" s="485"/>
      <c r="AD258" s="485"/>
      <c r="AE258" s="485"/>
      <c r="AF258" s="485"/>
      <c r="AG258" s="485"/>
      <c r="AH258" s="485"/>
      <c r="AI258" s="485"/>
      <c r="AJ258" s="485"/>
      <c r="AK258" s="485"/>
      <c r="AL258" s="485"/>
      <c r="AM258" s="485"/>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7"/>
      <c r="BI258" s="487"/>
      <c r="BJ258" s="487"/>
      <c r="BK258" s="487"/>
      <c r="BL258" s="487"/>
      <c r="BM258" s="487"/>
      <c r="BN258" s="487"/>
      <c r="BO258" s="487"/>
      <c r="BP258" s="487"/>
      <c r="BQ258" s="487"/>
      <c r="BR258" s="487"/>
      <c r="BS258" s="487"/>
      <c r="BT258" s="487"/>
      <c r="BU258" s="487"/>
      <c r="BV258" s="487"/>
      <c r="BW258" s="487"/>
      <c r="BX258" s="487"/>
      <c r="BY258" s="487"/>
      <c r="BZ258" s="487"/>
      <c r="CA258" s="487"/>
      <c r="CB258" s="487"/>
      <c r="CC258" s="487"/>
      <c r="CD258" s="487"/>
      <c r="CE258" s="487"/>
      <c r="CF258" s="487"/>
      <c r="CG258" s="487"/>
      <c r="CH258" s="487"/>
      <c r="CI258" s="487"/>
      <c r="CJ258" s="487"/>
      <c r="CK258" s="487"/>
      <c r="CL258" s="487"/>
      <c r="CM258" s="487"/>
      <c r="CN258" s="487"/>
      <c r="CO258" s="487"/>
      <c r="CP258" s="487"/>
      <c r="CQ258" s="487"/>
      <c r="CR258" s="487"/>
      <c r="CS258" s="487"/>
      <c r="CT258" s="487"/>
      <c r="CU258" s="487"/>
      <c r="CV258" s="487"/>
      <c r="CW258" s="487"/>
      <c r="CX258" s="487"/>
      <c r="CY258" s="487"/>
      <c r="CZ258" s="487"/>
      <c r="DA258" s="487"/>
      <c r="DB258" s="487"/>
      <c r="DC258" s="487"/>
      <c r="DD258" s="487"/>
      <c r="DE258" s="487"/>
      <c r="DF258" s="487"/>
      <c r="DG258" s="487"/>
      <c r="DH258" s="487"/>
      <c r="DI258" s="487"/>
      <c r="DJ258" s="487"/>
      <c r="DK258" s="487"/>
      <c r="DL258" s="487"/>
      <c r="DM258" s="487"/>
      <c r="DN258" s="487"/>
      <c r="DO258" s="487"/>
      <c r="DP258" s="487"/>
      <c r="DQ258" s="487"/>
      <c r="DR258" s="487"/>
      <c r="DS258" s="487"/>
      <c r="DT258" s="487"/>
      <c r="DU258" s="487"/>
      <c r="DV258" s="487"/>
      <c r="DW258" s="487"/>
      <c r="DX258" s="487"/>
      <c r="DY258" s="487"/>
      <c r="DZ258" s="487"/>
      <c r="EA258" s="487"/>
      <c r="EB258" s="487"/>
      <c r="EC258" s="487"/>
      <c r="ED258" s="487"/>
      <c r="EE258" s="487"/>
      <c r="EF258" s="487"/>
      <c r="EG258" s="487"/>
      <c r="EH258" s="487"/>
      <c r="EI258" s="487"/>
      <c r="EJ258" s="487"/>
      <c r="EK258" s="487"/>
      <c r="EL258" s="487"/>
      <c r="EM258" s="487"/>
      <c r="EN258" s="487"/>
      <c r="EO258" s="487"/>
      <c r="EP258" s="487"/>
      <c r="EQ258" s="487"/>
      <c r="ER258" s="487"/>
      <c r="ES258" s="487"/>
      <c r="ET258" s="487"/>
      <c r="EU258" s="487"/>
      <c r="EV258" s="487"/>
      <c r="EW258" s="487"/>
      <c r="EX258" s="487"/>
      <c r="EY258" s="487"/>
      <c r="EZ258" s="487"/>
      <c r="FA258" s="487"/>
      <c r="FB258" s="487"/>
      <c r="FC258" s="487"/>
      <c r="FD258" s="487"/>
      <c r="FE258" s="487"/>
      <c r="FF258" s="487"/>
      <c r="FG258" s="487"/>
      <c r="FH258" s="487"/>
      <c r="FI258" s="487"/>
      <c r="FJ258" s="487"/>
      <c r="FK258" s="487"/>
      <c r="FL258" s="487"/>
      <c r="FM258" s="487"/>
      <c r="FN258" s="487"/>
      <c r="FO258" s="487"/>
      <c r="FP258" s="487"/>
      <c r="FQ258" s="487"/>
      <c r="FR258" s="487"/>
      <c r="FS258" s="487"/>
      <c r="FT258" s="487"/>
      <c r="FU258" s="487"/>
      <c r="FV258" s="487"/>
      <c r="FW258" s="487"/>
      <c r="FX258" s="487"/>
      <c r="FY258" s="487"/>
      <c r="FZ258" s="487"/>
      <c r="GA258" s="487"/>
      <c r="GB258" s="487"/>
      <c r="GC258" s="487"/>
      <c r="GD258" s="487"/>
      <c r="GE258" s="487"/>
      <c r="GF258" s="487"/>
      <c r="GG258" s="487"/>
      <c r="GH258" s="487"/>
      <c r="GI258" s="487"/>
      <c r="GJ258" s="487"/>
      <c r="GK258" s="487"/>
      <c r="GL258" s="487"/>
      <c r="GM258" s="487"/>
      <c r="GN258" s="487"/>
      <c r="GO258" s="487"/>
      <c r="GP258" s="487"/>
      <c r="GQ258" s="487"/>
      <c r="GR258" s="487"/>
      <c r="GS258" s="487"/>
      <c r="GT258" s="487"/>
      <c r="GU258" s="487"/>
      <c r="GV258" s="487"/>
      <c r="GW258" s="487"/>
      <c r="GX258" s="487"/>
      <c r="GY258" s="487"/>
      <c r="GZ258" s="487"/>
      <c r="HA258" s="487"/>
      <c r="HB258" s="487"/>
      <c r="HC258" s="487"/>
      <c r="HD258" s="487"/>
      <c r="HE258" s="487"/>
      <c r="HF258" s="487"/>
      <c r="HG258" s="487"/>
      <c r="HH258" s="487"/>
      <c r="HI258" s="487"/>
      <c r="HJ258" s="487"/>
      <c r="HK258" s="487"/>
      <c r="HL258" s="487"/>
      <c r="HM258" s="487"/>
      <c r="HN258" s="487"/>
      <c r="HO258" s="487"/>
      <c r="HP258" s="487"/>
      <c r="HQ258" s="487"/>
      <c r="HR258" s="487"/>
      <c r="HS258" s="490"/>
    </row>
    <row r="259" spans="1:227" s="486" customFormat="1" ht="15" customHeight="1" x14ac:dyDescent="0.2">
      <c r="A259" s="491" t="s">
        <v>10235</v>
      </c>
      <c r="B259" s="475" t="s">
        <v>10236</v>
      </c>
      <c r="C259" s="473" t="s">
        <v>386</v>
      </c>
      <c r="D259" s="455" t="s">
        <v>9783</v>
      </c>
      <c r="E259" s="456" t="s">
        <v>9710</v>
      </c>
      <c r="F259" s="456" t="s">
        <v>10212</v>
      </c>
      <c r="G259" s="456" t="s">
        <v>7180</v>
      </c>
      <c r="H259" s="457">
        <v>128.52000000000001</v>
      </c>
      <c r="I259" s="457">
        <f t="shared" si="15"/>
        <v>138.15899999999999</v>
      </c>
      <c r="J259" s="457" t="s">
        <v>9706</v>
      </c>
      <c r="K259" s="458">
        <v>0.3</v>
      </c>
      <c r="L259" s="459">
        <f t="shared" si="12"/>
        <v>89.963999999999999</v>
      </c>
      <c r="M259" s="460">
        <v>0.18</v>
      </c>
      <c r="N259" s="461">
        <f t="shared" si="13"/>
        <v>113.29038</v>
      </c>
      <c r="O259" s="462">
        <v>0.1</v>
      </c>
      <c r="P259" s="463">
        <f t="shared" si="14"/>
        <v>124.34309999999999</v>
      </c>
      <c r="Q259" s="484"/>
      <c r="R259" s="465">
        <v>6</v>
      </c>
      <c r="S259" s="465">
        <v>6</v>
      </c>
      <c r="T259" s="465">
        <v>6</v>
      </c>
      <c r="U259" s="466"/>
      <c r="V259" s="485"/>
      <c r="W259" s="485"/>
      <c r="X259" s="485"/>
      <c r="Y259" s="485"/>
      <c r="Z259" s="485"/>
      <c r="AA259" s="485"/>
      <c r="AB259" s="485"/>
      <c r="AC259" s="485"/>
      <c r="AD259" s="485"/>
      <c r="AE259" s="485"/>
      <c r="AF259" s="485"/>
      <c r="AG259" s="485"/>
      <c r="AH259" s="485"/>
      <c r="AI259" s="485"/>
      <c r="AJ259" s="485"/>
      <c r="AK259" s="485"/>
      <c r="AL259" s="485"/>
      <c r="AM259" s="485"/>
      <c r="AN259" s="487"/>
      <c r="AO259" s="487"/>
      <c r="AP259" s="487"/>
      <c r="AQ259" s="487"/>
      <c r="AR259" s="487"/>
      <c r="AS259" s="487"/>
      <c r="AT259" s="487"/>
      <c r="AU259" s="487"/>
      <c r="AV259" s="487"/>
      <c r="AW259" s="487"/>
      <c r="AX259" s="487"/>
      <c r="AY259" s="487"/>
      <c r="AZ259" s="487"/>
      <c r="BA259" s="487"/>
      <c r="BB259" s="487"/>
      <c r="BC259" s="487"/>
      <c r="BD259" s="487"/>
      <c r="BE259" s="487"/>
      <c r="BF259" s="487"/>
      <c r="BG259" s="487"/>
      <c r="BH259" s="487"/>
      <c r="BI259" s="487"/>
      <c r="BJ259" s="487"/>
      <c r="BK259" s="487"/>
      <c r="BL259" s="487"/>
      <c r="BM259" s="487"/>
      <c r="BN259" s="487"/>
      <c r="BO259" s="487"/>
      <c r="BP259" s="487"/>
      <c r="BQ259" s="487"/>
      <c r="BR259" s="487"/>
      <c r="BS259" s="487"/>
      <c r="BT259" s="487"/>
      <c r="BU259" s="487"/>
      <c r="BV259" s="487"/>
      <c r="BW259" s="487"/>
      <c r="BX259" s="487"/>
      <c r="BY259" s="487"/>
      <c r="BZ259" s="487"/>
      <c r="CA259" s="487"/>
      <c r="CB259" s="487"/>
      <c r="CC259" s="487"/>
      <c r="CD259" s="487"/>
      <c r="CE259" s="487"/>
      <c r="CF259" s="487"/>
      <c r="CG259" s="487"/>
      <c r="CH259" s="487"/>
      <c r="CI259" s="487"/>
      <c r="CJ259" s="487"/>
      <c r="CK259" s="487"/>
      <c r="CL259" s="487"/>
      <c r="CM259" s="487"/>
      <c r="CN259" s="487"/>
      <c r="CO259" s="487"/>
      <c r="CP259" s="487"/>
      <c r="CQ259" s="487"/>
      <c r="CR259" s="487"/>
      <c r="CS259" s="487"/>
      <c r="CT259" s="487"/>
      <c r="CU259" s="487"/>
      <c r="CV259" s="487"/>
      <c r="CW259" s="487"/>
      <c r="CX259" s="487"/>
      <c r="CY259" s="487"/>
      <c r="CZ259" s="487"/>
      <c r="DA259" s="487"/>
      <c r="DB259" s="487"/>
      <c r="DC259" s="487"/>
      <c r="DD259" s="487"/>
      <c r="DE259" s="487"/>
      <c r="DF259" s="487"/>
      <c r="DG259" s="487"/>
      <c r="DH259" s="487"/>
      <c r="DI259" s="487"/>
      <c r="DJ259" s="487"/>
      <c r="DK259" s="487"/>
      <c r="DL259" s="487"/>
      <c r="DM259" s="487"/>
      <c r="DN259" s="487"/>
      <c r="DO259" s="487"/>
      <c r="DP259" s="487"/>
      <c r="DQ259" s="487"/>
      <c r="DR259" s="487"/>
      <c r="DS259" s="487"/>
      <c r="DT259" s="487"/>
      <c r="DU259" s="487"/>
      <c r="DV259" s="487"/>
      <c r="DW259" s="487"/>
      <c r="DX259" s="487"/>
      <c r="DY259" s="487"/>
      <c r="DZ259" s="487"/>
      <c r="EA259" s="487"/>
      <c r="EB259" s="487"/>
      <c r="EC259" s="487"/>
      <c r="ED259" s="487"/>
      <c r="EE259" s="487"/>
      <c r="EF259" s="487"/>
      <c r="EG259" s="487"/>
      <c r="EH259" s="487"/>
      <c r="EI259" s="487"/>
      <c r="EJ259" s="487"/>
      <c r="EK259" s="487"/>
      <c r="EL259" s="487"/>
      <c r="EM259" s="487"/>
      <c r="EN259" s="487"/>
      <c r="EO259" s="487"/>
      <c r="EP259" s="487"/>
      <c r="EQ259" s="487"/>
      <c r="ER259" s="487"/>
      <c r="ES259" s="487"/>
      <c r="ET259" s="487"/>
      <c r="EU259" s="487"/>
      <c r="EV259" s="487"/>
      <c r="EW259" s="487"/>
      <c r="EX259" s="487"/>
      <c r="EY259" s="487"/>
      <c r="EZ259" s="487"/>
      <c r="FA259" s="487"/>
      <c r="FB259" s="487"/>
      <c r="FC259" s="487"/>
      <c r="FD259" s="487"/>
      <c r="FE259" s="487"/>
      <c r="FF259" s="487"/>
      <c r="FG259" s="487"/>
      <c r="FH259" s="487"/>
      <c r="FI259" s="487"/>
      <c r="FJ259" s="487"/>
      <c r="FK259" s="487"/>
      <c r="FL259" s="487"/>
      <c r="FM259" s="487"/>
      <c r="FN259" s="487"/>
      <c r="FO259" s="487"/>
      <c r="FP259" s="487"/>
      <c r="FQ259" s="487"/>
      <c r="FR259" s="487"/>
      <c r="FS259" s="487"/>
      <c r="FT259" s="487"/>
      <c r="FU259" s="487"/>
      <c r="FV259" s="487"/>
      <c r="FW259" s="487"/>
      <c r="FX259" s="487"/>
      <c r="FY259" s="487"/>
      <c r="FZ259" s="487"/>
      <c r="GA259" s="487"/>
      <c r="GB259" s="487"/>
      <c r="GC259" s="487"/>
      <c r="GD259" s="487"/>
      <c r="GE259" s="487"/>
      <c r="GF259" s="487"/>
      <c r="GG259" s="487"/>
      <c r="GH259" s="487"/>
      <c r="GI259" s="487"/>
      <c r="GJ259" s="487"/>
      <c r="GK259" s="487"/>
      <c r="GL259" s="487"/>
      <c r="GM259" s="487"/>
      <c r="GN259" s="487"/>
      <c r="GO259" s="487"/>
      <c r="GP259" s="487"/>
      <c r="GQ259" s="487"/>
      <c r="GR259" s="487"/>
      <c r="GS259" s="487"/>
      <c r="GT259" s="487"/>
      <c r="GU259" s="487"/>
      <c r="GV259" s="487"/>
      <c r="GW259" s="487"/>
      <c r="GX259" s="487"/>
      <c r="GY259" s="487"/>
      <c r="GZ259" s="487"/>
      <c r="HA259" s="487"/>
      <c r="HB259" s="487"/>
      <c r="HC259" s="487"/>
      <c r="HD259" s="487"/>
      <c r="HE259" s="487"/>
      <c r="HF259" s="487"/>
      <c r="HG259" s="487"/>
      <c r="HH259" s="487"/>
      <c r="HI259" s="487"/>
      <c r="HJ259" s="487"/>
      <c r="HK259" s="487"/>
      <c r="HL259" s="487"/>
      <c r="HM259" s="487"/>
      <c r="HN259" s="487"/>
      <c r="HO259" s="487"/>
      <c r="HP259" s="487"/>
      <c r="HQ259" s="487"/>
      <c r="HR259" s="487"/>
      <c r="HS259" s="490"/>
    </row>
    <row r="260" spans="1:227" s="486" customFormat="1" ht="15" customHeight="1" x14ac:dyDescent="0.2">
      <c r="A260" s="491" t="s">
        <v>10237</v>
      </c>
      <c r="B260" s="475" t="s">
        <v>10238</v>
      </c>
      <c r="C260" s="473" t="s">
        <v>386</v>
      </c>
      <c r="D260" s="455" t="s">
        <v>9783</v>
      </c>
      <c r="E260" s="456" t="s">
        <v>9710</v>
      </c>
      <c r="F260" s="456" t="s">
        <v>10212</v>
      </c>
      <c r="G260" s="456" t="s">
        <v>7180</v>
      </c>
      <c r="H260" s="457">
        <v>128.52000000000001</v>
      </c>
      <c r="I260" s="457">
        <f t="shared" si="15"/>
        <v>138.15899999999999</v>
      </c>
      <c r="J260" s="457" t="s">
        <v>9706</v>
      </c>
      <c r="K260" s="458">
        <v>0.3</v>
      </c>
      <c r="L260" s="459">
        <f t="shared" si="12"/>
        <v>89.963999999999999</v>
      </c>
      <c r="M260" s="460">
        <v>0.18</v>
      </c>
      <c r="N260" s="461">
        <f t="shared" si="13"/>
        <v>113.29038</v>
      </c>
      <c r="O260" s="462">
        <v>0.1</v>
      </c>
      <c r="P260" s="463">
        <f t="shared" si="14"/>
        <v>124.34309999999999</v>
      </c>
      <c r="Q260" s="484"/>
      <c r="R260" s="465">
        <v>6</v>
      </c>
      <c r="S260" s="465">
        <v>6</v>
      </c>
      <c r="T260" s="465">
        <v>6</v>
      </c>
      <c r="U260" s="466"/>
      <c r="V260" s="485"/>
      <c r="W260" s="485"/>
      <c r="X260" s="485"/>
      <c r="Y260" s="485"/>
      <c r="Z260" s="485"/>
      <c r="AA260" s="485"/>
      <c r="AB260" s="485"/>
      <c r="AC260" s="485"/>
      <c r="AD260" s="485"/>
      <c r="AE260" s="485"/>
      <c r="AF260" s="485"/>
      <c r="AG260" s="485"/>
      <c r="AH260" s="485"/>
      <c r="AI260" s="485"/>
      <c r="AJ260" s="485"/>
      <c r="AK260" s="485"/>
      <c r="AL260" s="485"/>
      <c r="AM260" s="485"/>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7"/>
      <c r="BI260" s="487"/>
      <c r="BJ260" s="487"/>
      <c r="BK260" s="487"/>
      <c r="BL260" s="487"/>
      <c r="BM260" s="487"/>
      <c r="BN260" s="487"/>
      <c r="BO260" s="487"/>
      <c r="BP260" s="487"/>
      <c r="BQ260" s="487"/>
      <c r="BR260" s="487"/>
      <c r="BS260" s="487"/>
      <c r="BT260" s="487"/>
      <c r="BU260" s="487"/>
      <c r="BV260" s="487"/>
      <c r="BW260" s="487"/>
      <c r="BX260" s="487"/>
      <c r="BY260" s="487"/>
      <c r="BZ260" s="487"/>
      <c r="CA260" s="487"/>
      <c r="CB260" s="487"/>
      <c r="CC260" s="487"/>
      <c r="CD260" s="487"/>
      <c r="CE260" s="487"/>
      <c r="CF260" s="487"/>
      <c r="CG260" s="487"/>
      <c r="CH260" s="487"/>
      <c r="CI260" s="487"/>
      <c r="CJ260" s="487"/>
      <c r="CK260" s="487"/>
      <c r="CL260" s="487"/>
      <c r="CM260" s="487"/>
      <c r="CN260" s="487"/>
      <c r="CO260" s="487"/>
      <c r="CP260" s="487"/>
      <c r="CQ260" s="487"/>
      <c r="CR260" s="487"/>
      <c r="CS260" s="487"/>
      <c r="CT260" s="487"/>
      <c r="CU260" s="487"/>
      <c r="CV260" s="487"/>
      <c r="CW260" s="487"/>
      <c r="CX260" s="487"/>
      <c r="CY260" s="487"/>
      <c r="CZ260" s="487"/>
      <c r="DA260" s="487"/>
      <c r="DB260" s="487"/>
      <c r="DC260" s="487"/>
      <c r="DD260" s="487"/>
      <c r="DE260" s="487"/>
      <c r="DF260" s="487"/>
      <c r="DG260" s="487"/>
      <c r="DH260" s="487"/>
      <c r="DI260" s="487"/>
      <c r="DJ260" s="487"/>
      <c r="DK260" s="487"/>
      <c r="DL260" s="487"/>
      <c r="DM260" s="487"/>
      <c r="DN260" s="487"/>
      <c r="DO260" s="487"/>
      <c r="DP260" s="487"/>
      <c r="DQ260" s="487"/>
      <c r="DR260" s="487"/>
      <c r="DS260" s="487"/>
      <c r="DT260" s="487"/>
      <c r="DU260" s="487"/>
      <c r="DV260" s="487"/>
      <c r="DW260" s="487"/>
      <c r="DX260" s="487"/>
      <c r="DY260" s="487"/>
      <c r="DZ260" s="487"/>
      <c r="EA260" s="487"/>
      <c r="EB260" s="487"/>
      <c r="EC260" s="487"/>
      <c r="ED260" s="487"/>
      <c r="EE260" s="487"/>
      <c r="EF260" s="487"/>
      <c r="EG260" s="487"/>
      <c r="EH260" s="487"/>
      <c r="EI260" s="487"/>
      <c r="EJ260" s="487"/>
      <c r="EK260" s="487"/>
      <c r="EL260" s="487"/>
      <c r="EM260" s="487"/>
      <c r="EN260" s="487"/>
      <c r="EO260" s="487"/>
      <c r="EP260" s="487"/>
      <c r="EQ260" s="487"/>
      <c r="ER260" s="487"/>
      <c r="ES260" s="487"/>
      <c r="ET260" s="487"/>
      <c r="EU260" s="487"/>
      <c r="EV260" s="487"/>
      <c r="EW260" s="487"/>
      <c r="EX260" s="487"/>
      <c r="EY260" s="487"/>
      <c r="EZ260" s="487"/>
      <c r="FA260" s="487"/>
      <c r="FB260" s="487"/>
      <c r="FC260" s="487"/>
      <c r="FD260" s="487"/>
      <c r="FE260" s="487"/>
      <c r="FF260" s="487"/>
      <c r="FG260" s="487"/>
      <c r="FH260" s="487"/>
      <c r="FI260" s="487"/>
      <c r="FJ260" s="487"/>
      <c r="FK260" s="487"/>
      <c r="FL260" s="487"/>
      <c r="FM260" s="487"/>
      <c r="FN260" s="487"/>
      <c r="FO260" s="487"/>
      <c r="FP260" s="487"/>
      <c r="FQ260" s="487"/>
      <c r="FR260" s="487"/>
      <c r="FS260" s="487"/>
      <c r="FT260" s="487"/>
      <c r="FU260" s="487"/>
      <c r="FV260" s="487"/>
      <c r="FW260" s="487"/>
      <c r="FX260" s="487"/>
      <c r="FY260" s="487"/>
      <c r="FZ260" s="487"/>
      <c r="GA260" s="487"/>
      <c r="GB260" s="487"/>
      <c r="GC260" s="487"/>
      <c r="GD260" s="487"/>
      <c r="GE260" s="487"/>
      <c r="GF260" s="487"/>
      <c r="GG260" s="487"/>
      <c r="GH260" s="487"/>
      <c r="GI260" s="487"/>
      <c r="GJ260" s="487"/>
      <c r="GK260" s="487"/>
      <c r="GL260" s="487"/>
      <c r="GM260" s="487"/>
      <c r="GN260" s="487"/>
      <c r="GO260" s="487"/>
      <c r="GP260" s="487"/>
      <c r="GQ260" s="487"/>
      <c r="GR260" s="487"/>
      <c r="GS260" s="487"/>
      <c r="GT260" s="487"/>
      <c r="GU260" s="487"/>
      <c r="GV260" s="487"/>
      <c r="GW260" s="487"/>
      <c r="GX260" s="487"/>
      <c r="GY260" s="487"/>
      <c r="GZ260" s="487"/>
      <c r="HA260" s="487"/>
      <c r="HB260" s="487"/>
      <c r="HC260" s="487"/>
      <c r="HD260" s="487"/>
      <c r="HE260" s="487"/>
      <c r="HF260" s="487"/>
      <c r="HG260" s="487"/>
      <c r="HH260" s="487"/>
      <c r="HI260" s="487"/>
      <c r="HJ260" s="487"/>
      <c r="HK260" s="487"/>
      <c r="HL260" s="487"/>
      <c r="HM260" s="487"/>
      <c r="HN260" s="487"/>
      <c r="HO260" s="487"/>
      <c r="HP260" s="487"/>
      <c r="HQ260" s="487"/>
      <c r="HR260" s="487"/>
      <c r="HS260" s="490"/>
    </row>
    <row r="261" spans="1:227" s="486" customFormat="1" ht="15" customHeight="1" x14ac:dyDescent="0.2">
      <c r="A261" s="453" t="s">
        <v>10239</v>
      </c>
      <c r="B261" s="453" t="s">
        <v>10240</v>
      </c>
      <c r="C261" s="473" t="s">
        <v>386</v>
      </c>
      <c r="D261" s="455" t="s">
        <v>9709</v>
      </c>
      <c r="E261" s="456" t="s">
        <v>9710</v>
      </c>
      <c r="F261" s="456" t="s">
        <v>10241</v>
      </c>
      <c r="G261" s="456" t="s">
        <v>7180</v>
      </c>
      <c r="H261" s="457">
        <v>247.32000000000002</v>
      </c>
      <c r="I261" s="457">
        <f t="shared" si="15"/>
        <v>265.86900000000003</v>
      </c>
      <c r="J261" s="457" t="s">
        <v>9706</v>
      </c>
      <c r="K261" s="458">
        <v>0.3</v>
      </c>
      <c r="L261" s="459">
        <f t="shared" ref="L261:L324" si="16">H261*(1-K261)</f>
        <v>173.124</v>
      </c>
      <c r="M261" s="460">
        <v>0.18</v>
      </c>
      <c r="N261" s="461">
        <f t="shared" ref="N261:N324" si="17">I261*(1-M261)</f>
        <v>218.01258000000004</v>
      </c>
      <c r="O261" s="462">
        <v>0.1</v>
      </c>
      <c r="P261" s="463">
        <f t="shared" ref="P261:P324" si="18">I261*(1-O261)</f>
        <v>239.28210000000004</v>
      </c>
      <c r="Q261" s="484"/>
      <c r="R261" s="465">
        <v>6</v>
      </c>
      <c r="S261" s="465">
        <v>6</v>
      </c>
      <c r="T261" s="465">
        <v>6</v>
      </c>
      <c r="U261" s="466"/>
      <c r="V261" s="485"/>
      <c r="W261" s="485"/>
      <c r="X261" s="485"/>
      <c r="Y261" s="485"/>
      <c r="Z261" s="485"/>
      <c r="AA261" s="485"/>
      <c r="AB261" s="485"/>
      <c r="AC261" s="485"/>
      <c r="AD261" s="485"/>
      <c r="AE261" s="485"/>
      <c r="AF261" s="485"/>
      <c r="AG261" s="485"/>
      <c r="AH261" s="485"/>
      <c r="AI261" s="485"/>
      <c r="AJ261" s="485"/>
      <c r="AK261" s="485"/>
      <c r="AL261" s="485"/>
      <c r="AM261" s="485"/>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7"/>
      <c r="BI261" s="487"/>
      <c r="BJ261" s="487"/>
      <c r="BK261" s="487"/>
      <c r="BL261" s="487"/>
      <c r="BM261" s="487"/>
      <c r="BN261" s="487"/>
      <c r="BO261" s="487"/>
      <c r="BP261" s="487"/>
      <c r="BQ261" s="487"/>
      <c r="BR261" s="487"/>
      <c r="BS261" s="487"/>
      <c r="BT261" s="487"/>
      <c r="BU261" s="487"/>
      <c r="BV261" s="487"/>
      <c r="BW261" s="487"/>
      <c r="BX261" s="487"/>
      <c r="BY261" s="487"/>
      <c r="BZ261" s="487"/>
      <c r="CA261" s="487"/>
      <c r="CB261" s="487"/>
      <c r="CC261" s="487"/>
      <c r="CD261" s="487"/>
      <c r="CE261" s="487"/>
      <c r="CF261" s="487"/>
      <c r="CG261" s="487"/>
      <c r="CH261" s="487"/>
      <c r="CI261" s="487"/>
      <c r="CJ261" s="487"/>
      <c r="CK261" s="487"/>
      <c r="CL261" s="487"/>
      <c r="CM261" s="487"/>
      <c r="CN261" s="487"/>
      <c r="CO261" s="487"/>
      <c r="CP261" s="487"/>
      <c r="CQ261" s="487"/>
      <c r="CR261" s="487"/>
      <c r="CS261" s="487"/>
      <c r="CT261" s="487"/>
      <c r="CU261" s="487"/>
      <c r="CV261" s="487"/>
      <c r="CW261" s="487"/>
      <c r="CX261" s="487"/>
      <c r="CY261" s="487"/>
      <c r="CZ261" s="487"/>
      <c r="DA261" s="487"/>
      <c r="DB261" s="487"/>
      <c r="DC261" s="487"/>
      <c r="DD261" s="487"/>
      <c r="DE261" s="487"/>
      <c r="DF261" s="487"/>
      <c r="DG261" s="487"/>
      <c r="DH261" s="487"/>
      <c r="DI261" s="487"/>
      <c r="DJ261" s="487"/>
      <c r="DK261" s="487"/>
      <c r="DL261" s="487"/>
      <c r="DM261" s="487"/>
      <c r="DN261" s="487"/>
      <c r="DO261" s="487"/>
      <c r="DP261" s="487"/>
      <c r="DQ261" s="487"/>
      <c r="DR261" s="487"/>
      <c r="DS261" s="487"/>
      <c r="DT261" s="487"/>
      <c r="DU261" s="487"/>
      <c r="DV261" s="487"/>
      <c r="DW261" s="487"/>
      <c r="DX261" s="487"/>
      <c r="DY261" s="487"/>
      <c r="DZ261" s="487"/>
      <c r="EA261" s="487"/>
      <c r="EB261" s="487"/>
      <c r="EC261" s="487"/>
      <c r="ED261" s="487"/>
      <c r="EE261" s="487"/>
      <c r="EF261" s="487"/>
      <c r="EG261" s="487"/>
      <c r="EH261" s="487"/>
      <c r="EI261" s="487"/>
      <c r="EJ261" s="487"/>
      <c r="EK261" s="487"/>
      <c r="EL261" s="487"/>
      <c r="EM261" s="487"/>
      <c r="EN261" s="487"/>
      <c r="EO261" s="487"/>
      <c r="EP261" s="487"/>
      <c r="EQ261" s="487"/>
      <c r="ER261" s="487"/>
      <c r="ES261" s="487"/>
      <c r="ET261" s="487"/>
      <c r="EU261" s="487"/>
      <c r="EV261" s="487"/>
      <c r="EW261" s="487"/>
      <c r="EX261" s="487"/>
      <c r="EY261" s="487"/>
      <c r="EZ261" s="487"/>
      <c r="FA261" s="487"/>
      <c r="FB261" s="487"/>
      <c r="FC261" s="487"/>
      <c r="FD261" s="487"/>
      <c r="FE261" s="487"/>
      <c r="FF261" s="487"/>
      <c r="FG261" s="487"/>
      <c r="FH261" s="487"/>
      <c r="FI261" s="487"/>
      <c r="FJ261" s="487"/>
      <c r="FK261" s="487"/>
      <c r="FL261" s="487"/>
      <c r="FM261" s="487"/>
      <c r="FN261" s="487"/>
      <c r="FO261" s="487"/>
      <c r="FP261" s="487"/>
      <c r="FQ261" s="487"/>
      <c r="FR261" s="487"/>
      <c r="FS261" s="487"/>
      <c r="FT261" s="487"/>
      <c r="FU261" s="487"/>
      <c r="FV261" s="487"/>
      <c r="FW261" s="487"/>
      <c r="FX261" s="487"/>
      <c r="FY261" s="487"/>
      <c r="FZ261" s="487"/>
      <c r="GA261" s="487"/>
      <c r="GB261" s="487"/>
      <c r="GC261" s="487"/>
      <c r="GD261" s="487"/>
      <c r="GE261" s="487"/>
      <c r="GF261" s="487"/>
      <c r="GG261" s="487"/>
      <c r="GH261" s="487"/>
      <c r="GI261" s="487"/>
      <c r="GJ261" s="487"/>
      <c r="GK261" s="487"/>
      <c r="GL261" s="487"/>
      <c r="GM261" s="487"/>
      <c r="GN261" s="487"/>
      <c r="GO261" s="487"/>
      <c r="GP261" s="487"/>
      <c r="GQ261" s="487"/>
      <c r="GR261" s="487"/>
      <c r="GS261" s="487"/>
      <c r="GT261" s="487"/>
      <c r="GU261" s="487"/>
      <c r="GV261" s="487"/>
      <c r="GW261" s="487"/>
      <c r="GX261" s="487"/>
      <c r="GY261" s="487"/>
      <c r="GZ261" s="487"/>
      <c r="HA261" s="487"/>
      <c r="HB261" s="487"/>
      <c r="HC261" s="487"/>
      <c r="HD261" s="487"/>
      <c r="HE261" s="487"/>
      <c r="HF261" s="487"/>
      <c r="HG261" s="487"/>
      <c r="HH261" s="487"/>
      <c r="HI261" s="487"/>
      <c r="HJ261" s="487"/>
      <c r="HK261" s="487"/>
      <c r="HL261" s="487"/>
      <c r="HM261" s="487"/>
      <c r="HN261" s="487"/>
      <c r="HO261" s="487"/>
      <c r="HP261" s="487"/>
      <c r="HQ261" s="487"/>
      <c r="HR261" s="487"/>
      <c r="HS261" s="490"/>
    </row>
    <row r="262" spans="1:227" s="486" customFormat="1" ht="15" customHeight="1" x14ac:dyDescent="0.2">
      <c r="A262" s="492" t="s">
        <v>10242</v>
      </c>
      <c r="B262" s="492" t="s">
        <v>10243</v>
      </c>
      <c r="C262" s="473" t="s">
        <v>386</v>
      </c>
      <c r="D262" s="455" t="s">
        <v>9709</v>
      </c>
      <c r="E262" s="456" t="s">
        <v>9710</v>
      </c>
      <c r="F262" s="456" t="s">
        <v>10241</v>
      </c>
      <c r="G262" s="456" t="s">
        <v>7180</v>
      </c>
      <c r="H262" s="457">
        <v>247.32000000000002</v>
      </c>
      <c r="I262" s="457">
        <f t="shared" ref="I262:I340" si="19">H262*(1+0.075)</f>
        <v>265.86900000000003</v>
      </c>
      <c r="J262" s="457" t="s">
        <v>9706</v>
      </c>
      <c r="K262" s="458">
        <v>0.3</v>
      </c>
      <c r="L262" s="459">
        <f t="shared" si="16"/>
        <v>173.124</v>
      </c>
      <c r="M262" s="460">
        <v>0.18</v>
      </c>
      <c r="N262" s="461">
        <f t="shared" si="17"/>
        <v>218.01258000000004</v>
      </c>
      <c r="O262" s="462">
        <v>0.1</v>
      </c>
      <c r="P262" s="463">
        <f t="shared" si="18"/>
        <v>239.28210000000004</v>
      </c>
      <c r="Q262" s="484"/>
      <c r="R262" s="465">
        <v>4</v>
      </c>
      <c r="S262" s="465">
        <v>4</v>
      </c>
      <c r="T262" s="465">
        <v>48</v>
      </c>
      <c r="U262" s="466"/>
      <c r="V262" s="485"/>
      <c r="W262" s="485"/>
      <c r="X262" s="485"/>
      <c r="Y262" s="485"/>
      <c r="Z262" s="485"/>
      <c r="AA262" s="485"/>
      <c r="AB262" s="485"/>
      <c r="AC262" s="485"/>
      <c r="AD262" s="485"/>
      <c r="AE262" s="485"/>
      <c r="AF262" s="485"/>
      <c r="AG262" s="485"/>
      <c r="AH262" s="485"/>
      <c r="AI262" s="485"/>
      <c r="AJ262" s="485"/>
      <c r="AK262" s="485"/>
      <c r="AL262" s="485"/>
      <c r="AM262" s="485"/>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7"/>
      <c r="BI262" s="487"/>
      <c r="BJ262" s="487"/>
      <c r="BK262" s="487"/>
      <c r="BL262" s="487"/>
      <c r="BM262" s="487"/>
      <c r="BN262" s="487"/>
      <c r="BO262" s="487"/>
      <c r="BP262" s="487"/>
      <c r="BQ262" s="487"/>
      <c r="BR262" s="487"/>
      <c r="BS262" s="487"/>
      <c r="BT262" s="487"/>
      <c r="BU262" s="487"/>
      <c r="BV262" s="487"/>
      <c r="BW262" s="487"/>
      <c r="BX262" s="487"/>
      <c r="BY262" s="487"/>
      <c r="BZ262" s="487"/>
      <c r="CA262" s="487"/>
      <c r="CB262" s="487"/>
      <c r="CC262" s="487"/>
      <c r="CD262" s="487"/>
      <c r="CE262" s="487"/>
      <c r="CF262" s="487"/>
      <c r="CG262" s="487"/>
      <c r="CH262" s="487"/>
      <c r="CI262" s="487"/>
      <c r="CJ262" s="487"/>
      <c r="CK262" s="487"/>
      <c r="CL262" s="487"/>
      <c r="CM262" s="487"/>
      <c r="CN262" s="487"/>
      <c r="CO262" s="487"/>
      <c r="CP262" s="487"/>
      <c r="CQ262" s="487"/>
      <c r="CR262" s="487"/>
      <c r="CS262" s="487"/>
      <c r="CT262" s="487"/>
      <c r="CU262" s="487"/>
      <c r="CV262" s="487"/>
      <c r="CW262" s="487"/>
      <c r="CX262" s="487"/>
      <c r="CY262" s="487"/>
      <c r="CZ262" s="487"/>
      <c r="DA262" s="487"/>
      <c r="DB262" s="487"/>
      <c r="DC262" s="487"/>
      <c r="DD262" s="487"/>
      <c r="DE262" s="487"/>
      <c r="DF262" s="487"/>
      <c r="DG262" s="487"/>
      <c r="DH262" s="487"/>
      <c r="DI262" s="487"/>
      <c r="DJ262" s="487"/>
      <c r="DK262" s="487"/>
      <c r="DL262" s="487"/>
      <c r="DM262" s="487"/>
      <c r="DN262" s="487"/>
      <c r="DO262" s="487"/>
      <c r="DP262" s="487"/>
      <c r="DQ262" s="487"/>
      <c r="DR262" s="487"/>
      <c r="DS262" s="487"/>
      <c r="DT262" s="487"/>
      <c r="DU262" s="487"/>
      <c r="DV262" s="487"/>
      <c r="DW262" s="487"/>
      <c r="DX262" s="487"/>
      <c r="DY262" s="487"/>
      <c r="DZ262" s="487"/>
      <c r="EA262" s="487"/>
      <c r="EB262" s="487"/>
      <c r="EC262" s="487"/>
      <c r="ED262" s="487"/>
      <c r="EE262" s="487"/>
      <c r="EF262" s="487"/>
      <c r="EG262" s="487"/>
      <c r="EH262" s="487"/>
      <c r="EI262" s="487"/>
      <c r="EJ262" s="487"/>
      <c r="EK262" s="487"/>
      <c r="EL262" s="487"/>
      <c r="EM262" s="487"/>
      <c r="EN262" s="487"/>
      <c r="EO262" s="487"/>
      <c r="EP262" s="487"/>
      <c r="EQ262" s="487"/>
      <c r="ER262" s="487"/>
      <c r="ES262" s="487"/>
      <c r="ET262" s="487"/>
      <c r="EU262" s="487"/>
      <c r="EV262" s="487"/>
      <c r="EW262" s="487"/>
      <c r="EX262" s="487"/>
      <c r="EY262" s="487"/>
      <c r="EZ262" s="487"/>
      <c r="FA262" s="487"/>
      <c r="FB262" s="487"/>
      <c r="FC262" s="487"/>
      <c r="FD262" s="487"/>
      <c r="FE262" s="487"/>
      <c r="FF262" s="487"/>
      <c r="FG262" s="487"/>
      <c r="FH262" s="487"/>
      <c r="FI262" s="487"/>
      <c r="FJ262" s="487"/>
      <c r="FK262" s="487"/>
      <c r="FL262" s="487"/>
      <c r="FM262" s="487"/>
      <c r="FN262" s="487"/>
      <c r="FO262" s="487"/>
      <c r="FP262" s="487"/>
      <c r="FQ262" s="487"/>
      <c r="FR262" s="487"/>
      <c r="FS262" s="487"/>
      <c r="FT262" s="487"/>
      <c r="FU262" s="487"/>
      <c r="FV262" s="487"/>
      <c r="FW262" s="487"/>
      <c r="FX262" s="487"/>
      <c r="FY262" s="487"/>
      <c r="FZ262" s="487"/>
      <c r="GA262" s="487"/>
      <c r="GB262" s="487"/>
      <c r="GC262" s="487"/>
      <c r="GD262" s="487"/>
      <c r="GE262" s="487"/>
      <c r="GF262" s="487"/>
      <c r="GG262" s="487"/>
      <c r="GH262" s="487"/>
      <c r="GI262" s="487"/>
      <c r="GJ262" s="487"/>
      <c r="GK262" s="487"/>
      <c r="GL262" s="487"/>
      <c r="GM262" s="487"/>
      <c r="GN262" s="487"/>
      <c r="GO262" s="487"/>
      <c r="GP262" s="487"/>
      <c r="GQ262" s="487"/>
      <c r="GR262" s="487"/>
      <c r="GS262" s="487"/>
      <c r="GT262" s="487"/>
      <c r="GU262" s="487"/>
      <c r="GV262" s="487"/>
      <c r="GW262" s="487"/>
      <c r="GX262" s="487"/>
      <c r="GY262" s="487"/>
      <c r="GZ262" s="487"/>
      <c r="HA262" s="487"/>
      <c r="HB262" s="487"/>
      <c r="HC262" s="487"/>
      <c r="HD262" s="487"/>
      <c r="HE262" s="487"/>
      <c r="HF262" s="487"/>
      <c r="HG262" s="487"/>
      <c r="HH262" s="487"/>
      <c r="HI262" s="487"/>
      <c r="HJ262" s="487"/>
      <c r="HK262" s="487"/>
      <c r="HL262" s="487"/>
      <c r="HM262" s="487"/>
      <c r="HN262" s="487"/>
      <c r="HO262" s="487"/>
      <c r="HP262" s="487"/>
      <c r="HQ262" s="487"/>
      <c r="HR262" s="487"/>
      <c r="HS262" s="490"/>
    </row>
    <row r="263" spans="1:227" s="486" customFormat="1" ht="15" customHeight="1" x14ac:dyDescent="0.2">
      <c r="A263" s="453" t="s">
        <v>10244</v>
      </c>
      <c r="B263" s="453" t="s">
        <v>10245</v>
      </c>
      <c r="C263" s="473" t="s">
        <v>386</v>
      </c>
      <c r="D263" s="455" t="s">
        <v>9709</v>
      </c>
      <c r="E263" s="456" t="s">
        <v>9716</v>
      </c>
      <c r="F263" s="456" t="s">
        <v>10241</v>
      </c>
      <c r="G263" s="456" t="s">
        <v>7180</v>
      </c>
      <c r="H263" s="457">
        <v>258.12</v>
      </c>
      <c r="I263" s="457">
        <f t="shared" si="19"/>
        <v>277.47899999999998</v>
      </c>
      <c r="J263" s="457" t="s">
        <v>9706</v>
      </c>
      <c r="K263" s="458">
        <v>0.3</v>
      </c>
      <c r="L263" s="459">
        <f t="shared" si="16"/>
        <v>180.684</v>
      </c>
      <c r="M263" s="460">
        <v>0.18</v>
      </c>
      <c r="N263" s="461">
        <f t="shared" si="17"/>
        <v>227.53278</v>
      </c>
      <c r="O263" s="462">
        <v>0.1</v>
      </c>
      <c r="P263" s="463">
        <f t="shared" si="18"/>
        <v>249.7311</v>
      </c>
      <c r="Q263" s="484"/>
      <c r="R263" s="465">
        <v>4</v>
      </c>
      <c r="S263" s="465">
        <v>4</v>
      </c>
      <c r="T263" s="465">
        <v>48</v>
      </c>
      <c r="U263" s="466"/>
      <c r="V263" s="485"/>
      <c r="W263" s="485"/>
      <c r="X263" s="485"/>
      <c r="Y263" s="485"/>
      <c r="Z263" s="485"/>
      <c r="AA263" s="485"/>
      <c r="AB263" s="485"/>
      <c r="AC263" s="485"/>
      <c r="AD263" s="485"/>
      <c r="AE263" s="485"/>
      <c r="AF263" s="485"/>
      <c r="AG263" s="485"/>
      <c r="AH263" s="485"/>
      <c r="AI263" s="485"/>
      <c r="AJ263" s="485"/>
      <c r="AK263" s="485"/>
      <c r="AL263" s="485"/>
      <c r="AM263" s="485"/>
      <c r="AN263" s="487"/>
      <c r="AO263" s="487"/>
      <c r="AP263" s="487"/>
      <c r="AQ263" s="487"/>
      <c r="AR263" s="487"/>
      <c r="AS263" s="487"/>
      <c r="AT263" s="487"/>
      <c r="AU263" s="487"/>
      <c r="AV263" s="487"/>
      <c r="AW263" s="487"/>
      <c r="AX263" s="487"/>
      <c r="AY263" s="487"/>
      <c r="AZ263" s="487"/>
      <c r="BA263" s="487"/>
      <c r="BB263" s="487"/>
      <c r="BC263" s="487"/>
      <c r="BD263" s="487"/>
      <c r="BE263" s="487"/>
      <c r="BF263" s="487"/>
      <c r="BG263" s="487"/>
      <c r="BH263" s="487"/>
      <c r="BI263" s="487"/>
      <c r="BJ263" s="487"/>
      <c r="BK263" s="487"/>
      <c r="BL263" s="487"/>
      <c r="BM263" s="487"/>
      <c r="BN263" s="487"/>
      <c r="BO263" s="487"/>
      <c r="BP263" s="487"/>
      <c r="BQ263" s="487"/>
      <c r="BR263" s="487"/>
      <c r="BS263" s="487"/>
      <c r="BT263" s="487"/>
      <c r="BU263" s="487"/>
      <c r="BV263" s="487"/>
      <c r="BW263" s="487"/>
      <c r="BX263" s="487"/>
      <c r="BY263" s="487"/>
      <c r="BZ263" s="487"/>
      <c r="CA263" s="487"/>
      <c r="CB263" s="487"/>
      <c r="CC263" s="487"/>
      <c r="CD263" s="487"/>
      <c r="CE263" s="487"/>
      <c r="CF263" s="487"/>
      <c r="CG263" s="487"/>
      <c r="CH263" s="487"/>
      <c r="CI263" s="487"/>
      <c r="CJ263" s="487"/>
      <c r="CK263" s="487"/>
      <c r="CL263" s="487"/>
      <c r="CM263" s="487"/>
      <c r="CN263" s="487"/>
      <c r="CO263" s="487"/>
      <c r="CP263" s="487"/>
      <c r="CQ263" s="487"/>
      <c r="CR263" s="487"/>
      <c r="CS263" s="487"/>
      <c r="CT263" s="487"/>
      <c r="CU263" s="487"/>
      <c r="CV263" s="487"/>
      <c r="CW263" s="487"/>
      <c r="CX263" s="487"/>
      <c r="CY263" s="487"/>
      <c r="CZ263" s="487"/>
      <c r="DA263" s="487"/>
      <c r="DB263" s="487"/>
      <c r="DC263" s="487"/>
      <c r="DD263" s="487"/>
      <c r="DE263" s="487"/>
      <c r="DF263" s="487"/>
      <c r="DG263" s="487"/>
      <c r="DH263" s="487"/>
      <c r="DI263" s="487"/>
      <c r="DJ263" s="487"/>
      <c r="DK263" s="487"/>
      <c r="DL263" s="487"/>
      <c r="DM263" s="487"/>
      <c r="DN263" s="487"/>
      <c r="DO263" s="487"/>
      <c r="DP263" s="487"/>
      <c r="DQ263" s="487"/>
      <c r="DR263" s="487"/>
      <c r="DS263" s="487"/>
      <c r="DT263" s="487"/>
      <c r="DU263" s="487"/>
      <c r="DV263" s="487"/>
      <c r="DW263" s="487"/>
      <c r="DX263" s="487"/>
      <c r="DY263" s="487"/>
      <c r="DZ263" s="487"/>
      <c r="EA263" s="487"/>
      <c r="EB263" s="487"/>
      <c r="EC263" s="487"/>
      <c r="ED263" s="487"/>
      <c r="EE263" s="487"/>
      <c r="EF263" s="487"/>
      <c r="EG263" s="487"/>
      <c r="EH263" s="487"/>
      <c r="EI263" s="487"/>
      <c r="EJ263" s="487"/>
      <c r="EK263" s="487"/>
      <c r="EL263" s="487"/>
      <c r="EM263" s="487"/>
      <c r="EN263" s="487"/>
      <c r="EO263" s="487"/>
      <c r="EP263" s="487"/>
      <c r="EQ263" s="487"/>
      <c r="ER263" s="487"/>
      <c r="ES263" s="487"/>
      <c r="ET263" s="487"/>
      <c r="EU263" s="487"/>
      <c r="EV263" s="487"/>
      <c r="EW263" s="487"/>
      <c r="EX263" s="487"/>
      <c r="EY263" s="487"/>
      <c r="EZ263" s="487"/>
      <c r="FA263" s="487"/>
      <c r="FB263" s="487"/>
      <c r="FC263" s="487"/>
      <c r="FD263" s="487"/>
      <c r="FE263" s="487"/>
      <c r="FF263" s="487"/>
      <c r="FG263" s="487"/>
      <c r="FH263" s="487"/>
      <c r="FI263" s="487"/>
      <c r="FJ263" s="487"/>
      <c r="FK263" s="487"/>
      <c r="FL263" s="487"/>
      <c r="FM263" s="487"/>
      <c r="FN263" s="487"/>
      <c r="FO263" s="487"/>
      <c r="FP263" s="487"/>
      <c r="FQ263" s="487"/>
      <c r="FR263" s="487"/>
      <c r="FS263" s="487"/>
      <c r="FT263" s="487"/>
      <c r="FU263" s="487"/>
      <c r="FV263" s="487"/>
      <c r="FW263" s="487"/>
      <c r="FX263" s="487"/>
      <c r="FY263" s="487"/>
      <c r="FZ263" s="487"/>
      <c r="GA263" s="487"/>
      <c r="GB263" s="487"/>
      <c r="GC263" s="487"/>
      <c r="GD263" s="487"/>
      <c r="GE263" s="487"/>
      <c r="GF263" s="487"/>
      <c r="GG263" s="487"/>
      <c r="GH263" s="487"/>
      <c r="GI263" s="487"/>
      <c r="GJ263" s="487"/>
      <c r="GK263" s="487"/>
      <c r="GL263" s="487"/>
      <c r="GM263" s="487"/>
      <c r="GN263" s="487"/>
      <c r="GO263" s="487"/>
      <c r="GP263" s="487"/>
      <c r="GQ263" s="487"/>
      <c r="GR263" s="487"/>
      <c r="GS263" s="487"/>
      <c r="GT263" s="487"/>
      <c r="GU263" s="487"/>
      <c r="GV263" s="487"/>
      <c r="GW263" s="487"/>
      <c r="GX263" s="487"/>
      <c r="GY263" s="487"/>
      <c r="GZ263" s="487"/>
      <c r="HA263" s="487"/>
      <c r="HB263" s="487"/>
      <c r="HC263" s="487"/>
      <c r="HD263" s="487"/>
      <c r="HE263" s="487"/>
      <c r="HF263" s="487"/>
      <c r="HG263" s="487"/>
      <c r="HH263" s="487"/>
      <c r="HI263" s="487"/>
      <c r="HJ263" s="487"/>
      <c r="HK263" s="487"/>
      <c r="HL263" s="487"/>
      <c r="HM263" s="487"/>
      <c r="HN263" s="487"/>
      <c r="HO263" s="487"/>
      <c r="HP263" s="487"/>
      <c r="HQ263" s="487"/>
      <c r="HR263" s="487"/>
      <c r="HS263" s="490"/>
    </row>
    <row r="264" spans="1:227" s="486" customFormat="1" ht="15" customHeight="1" x14ac:dyDescent="0.2">
      <c r="A264" s="453" t="s">
        <v>10246</v>
      </c>
      <c r="B264" s="453" t="s">
        <v>10247</v>
      </c>
      <c r="C264" s="473" t="s">
        <v>386</v>
      </c>
      <c r="D264" s="455" t="s">
        <v>9709</v>
      </c>
      <c r="E264" s="456" t="s">
        <v>9710</v>
      </c>
      <c r="F264" s="456" t="s">
        <v>10241</v>
      </c>
      <c r="G264" s="456" t="s">
        <v>7180</v>
      </c>
      <c r="H264" s="457">
        <v>247.32000000000002</v>
      </c>
      <c r="I264" s="457">
        <f t="shared" si="19"/>
        <v>265.86900000000003</v>
      </c>
      <c r="J264" s="457" t="s">
        <v>9706</v>
      </c>
      <c r="K264" s="458">
        <v>0.3</v>
      </c>
      <c r="L264" s="459">
        <f t="shared" si="16"/>
        <v>173.124</v>
      </c>
      <c r="M264" s="460">
        <v>0.18</v>
      </c>
      <c r="N264" s="461">
        <f t="shared" si="17"/>
        <v>218.01258000000004</v>
      </c>
      <c r="O264" s="462">
        <v>0.1</v>
      </c>
      <c r="P264" s="463">
        <f t="shared" si="18"/>
        <v>239.28210000000004</v>
      </c>
      <c r="Q264" s="484"/>
      <c r="R264" s="465">
        <v>4</v>
      </c>
      <c r="S264" s="465">
        <v>4</v>
      </c>
      <c r="T264" s="465">
        <v>48</v>
      </c>
      <c r="U264" s="466"/>
      <c r="V264" s="485"/>
      <c r="W264" s="485"/>
      <c r="X264" s="485"/>
      <c r="Y264" s="485"/>
      <c r="Z264" s="485"/>
      <c r="AA264" s="485"/>
      <c r="AB264" s="485"/>
      <c r="AC264" s="485"/>
      <c r="AD264" s="485"/>
      <c r="AE264" s="485"/>
      <c r="AF264" s="485"/>
      <c r="AG264" s="485"/>
      <c r="AH264" s="485"/>
      <c r="AI264" s="485"/>
      <c r="AJ264" s="485"/>
      <c r="AK264" s="485"/>
      <c r="AL264" s="485"/>
      <c r="AM264" s="485"/>
      <c r="AN264" s="487"/>
      <c r="AO264" s="487"/>
      <c r="AP264" s="487"/>
      <c r="AQ264" s="487"/>
      <c r="AR264" s="487"/>
      <c r="AS264" s="487"/>
      <c r="AT264" s="487"/>
      <c r="AU264" s="487"/>
      <c r="AV264" s="487"/>
      <c r="AW264" s="487"/>
      <c r="AX264" s="487"/>
      <c r="AY264" s="487"/>
      <c r="AZ264" s="487"/>
      <c r="BA264" s="487"/>
      <c r="BB264" s="487"/>
      <c r="BC264" s="487"/>
      <c r="BD264" s="487"/>
      <c r="BE264" s="487"/>
      <c r="BF264" s="487"/>
      <c r="BG264" s="487"/>
      <c r="BH264" s="487"/>
      <c r="BI264" s="487"/>
      <c r="BJ264" s="487"/>
      <c r="BK264" s="487"/>
      <c r="BL264" s="487"/>
      <c r="BM264" s="487"/>
      <c r="BN264" s="487"/>
      <c r="BO264" s="487"/>
      <c r="BP264" s="487"/>
      <c r="BQ264" s="487"/>
      <c r="BR264" s="487"/>
      <c r="BS264" s="487"/>
      <c r="BT264" s="487"/>
      <c r="BU264" s="487"/>
      <c r="BV264" s="487"/>
      <c r="BW264" s="487"/>
      <c r="BX264" s="487"/>
      <c r="BY264" s="487"/>
      <c r="BZ264" s="487"/>
      <c r="CA264" s="487"/>
      <c r="CB264" s="487"/>
      <c r="CC264" s="487"/>
      <c r="CD264" s="487"/>
      <c r="CE264" s="487"/>
      <c r="CF264" s="487"/>
      <c r="CG264" s="487"/>
      <c r="CH264" s="487"/>
      <c r="CI264" s="487"/>
      <c r="CJ264" s="487"/>
      <c r="CK264" s="487"/>
      <c r="CL264" s="487"/>
      <c r="CM264" s="487"/>
      <c r="CN264" s="487"/>
      <c r="CO264" s="487"/>
      <c r="CP264" s="487"/>
      <c r="CQ264" s="487"/>
      <c r="CR264" s="487"/>
      <c r="CS264" s="487"/>
      <c r="CT264" s="487"/>
      <c r="CU264" s="487"/>
      <c r="CV264" s="487"/>
      <c r="CW264" s="487"/>
      <c r="CX264" s="487"/>
      <c r="CY264" s="487"/>
      <c r="CZ264" s="487"/>
      <c r="DA264" s="487"/>
      <c r="DB264" s="487"/>
      <c r="DC264" s="487"/>
      <c r="DD264" s="487"/>
      <c r="DE264" s="487"/>
      <c r="DF264" s="487"/>
      <c r="DG264" s="487"/>
      <c r="DH264" s="487"/>
      <c r="DI264" s="487"/>
      <c r="DJ264" s="487"/>
      <c r="DK264" s="487"/>
      <c r="DL264" s="487"/>
      <c r="DM264" s="487"/>
      <c r="DN264" s="487"/>
      <c r="DO264" s="487"/>
      <c r="DP264" s="487"/>
      <c r="DQ264" s="487"/>
      <c r="DR264" s="487"/>
      <c r="DS264" s="487"/>
      <c r="DT264" s="487"/>
      <c r="DU264" s="487"/>
      <c r="DV264" s="487"/>
      <c r="DW264" s="487"/>
      <c r="DX264" s="487"/>
      <c r="DY264" s="487"/>
      <c r="DZ264" s="487"/>
      <c r="EA264" s="487"/>
      <c r="EB264" s="487"/>
      <c r="EC264" s="487"/>
      <c r="ED264" s="487"/>
      <c r="EE264" s="487"/>
      <c r="EF264" s="487"/>
      <c r="EG264" s="487"/>
      <c r="EH264" s="487"/>
      <c r="EI264" s="487"/>
      <c r="EJ264" s="487"/>
      <c r="EK264" s="487"/>
      <c r="EL264" s="487"/>
      <c r="EM264" s="487"/>
      <c r="EN264" s="487"/>
      <c r="EO264" s="487"/>
      <c r="EP264" s="487"/>
      <c r="EQ264" s="487"/>
      <c r="ER264" s="487"/>
      <c r="ES264" s="487"/>
      <c r="ET264" s="487"/>
      <c r="EU264" s="487"/>
      <c r="EV264" s="487"/>
      <c r="EW264" s="487"/>
      <c r="EX264" s="487"/>
      <c r="EY264" s="487"/>
      <c r="EZ264" s="487"/>
      <c r="FA264" s="487"/>
      <c r="FB264" s="487"/>
      <c r="FC264" s="487"/>
      <c r="FD264" s="487"/>
      <c r="FE264" s="487"/>
      <c r="FF264" s="487"/>
      <c r="FG264" s="487"/>
      <c r="FH264" s="487"/>
      <c r="FI264" s="487"/>
      <c r="FJ264" s="487"/>
      <c r="FK264" s="487"/>
      <c r="FL264" s="487"/>
      <c r="FM264" s="487"/>
      <c r="FN264" s="487"/>
      <c r="FO264" s="487"/>
      <c r="FP264" s="487"/>
      <c r="FQ264" s="487"/>
      <c r="FR264" s="487"/>
      <c r="FS264" s="487"/>
      <c r="FT264" s="487"/>
      <c r="FU264" s="487"/>
      <c r="FV264" s="487"/>
      <c r="FW264" s="487"/>
      <c r="FX264" s="487"/>
      <c r="FY264" s="487"/>
      <c r="FZ264" s="487"/>
      <c r="GA264" s="487"/>
      <c r="GB264" s="487"/>
      <c r="GC264" s="487"/>
      <c r="GD264" s="487"/>
      <c r="GE264" s="487"/>
      <c r="GF264" s="487"/>
      <c r="GG264" s="487"/>
      <c r="GH264" s="487"/>
      <c r="GI264" s="487"/>
      <c r="GJ264" s="487"/>
      <c r="GK264" s="487"/>
      <c r="GL264" s="487"/>
      <c r="GM264" s="487"/>
      <c r="GN264" s="487"/>
      <c r="GO264" s="487"/>
      <c r="GP264" s="487"/>
      <c r="GQ264" s="487"/>
      <c r="GR264" s="487"/>
      <c r="GS264" s="487"/>
      <c r="GT264" s="487"/>
      <c r="GU264" s="487"/>
      <c r="GV264" s="487"/>
      <c r="GW264" s="487"/>
      <c r="GX264" s="487"/>
      <c r="GY264" s="487"/>
      <c r="GZ264" s="487"/>
      <c r="HA264" s="487"/>
      <c r="HB264" s="487"/>
      <c r="HC264" s="487"/>
      <c r="HD264" s="487"/>
      <c r="HE264" s="487"/>
      <c r="HF264" s="487"/>
      <c r="HG264" s="487"/>
      <c r="HH264" s="487"/>
      <c r="HI264" s="487"/>
      <c r="HJ264" s="487"/>
      <c r="HK264" s="487"/>
      <c r="HL264" s="487"/>
      <c r="HM264" s="487"/>
      <c r="HN264" s="487"/>
      <c r="HO264" s="487"/>
      <c r="HP264" s="487"/>
      <c r="HQ264" s="487"/>
      <c r="HR264" s="487"/>
      <c r="HS264" s="490"/>
    </row>
    <row r="265" spans="1:227" s="486" customFormat="1" ht="15" customHeight="1" x14ac:dyDescent="0.2">
      <c r="A265" s="453" t="s">
        <v>10248</v>
      </c>
      <c r="B265" s="453" t="s">
        <v>10249</v>
      </c>
      <c r="C265" s="473" t="s">
        <v>386</v>
      </c>
      <c r="D265" s="455" t="s">
        <v>9709</v>
      </c>
      <c r="E265" s="456" t="s">
        <v>9758</v>
      </c>
      <c r="F265" s="456" t="s">
        <v>10241</v>
      </c>
      <c r="G265" s="456" t="s">
        <v>7180</v>
      </c>
      <c r="H265" s="457">
        <v>247.32000000000002</v>
      </c>
      <c r="I265" s="457">
        <f t="shared" si="19"/>
        <v>265.86900000000003</v>
      </c>
      <c r="J265" s="457" t="s">
        <v>9706</v>
      </c>
      <c r="K265" s="458">
        <v>0.3</v>
      </c>
      <c r="L265" s="459">
        <f t="shared" si="16"/>
        <v>173.124</v>
      </c>
      <c r="M265" s="460">
        <v>0.18</v>
      </c>
      <c r="N265" s="461">
        <f t="shared" si="17"/>
        <v>218.01258000000004</v>
      </c>
      <c r="O265" s="462">
        <v>0.1</v>
      </c>
      <c r="P265" s="463">
        <f t="shared" si="18"/>
        <v>239.28210000000004</v>
      </c>
      <c r="Q265" s="484"/>
      <c r="R265" s="465">
        <v>4</v>
      </c>
      <c r="S265" s="465">
        <v>4</v>
      </c>
      <c r="T265" s="465">
        <v>48</v>
      </c>
      <c r="U265" s="466"/>
      <c r="V265" s="485"/>
      <c r="W265" s="485"/>
      <c r="X265" s="485"/>
      <c r="Y265" s="485"/>
      <c r="Z265" s="485"/>
      <c r="AA265" s="485"/>
      <c r="AB265" s="485"/>
      <c r="AC265" s="485"/>
      <c r="AD265" s="485"/>
      <c r="AE265" s="485"/>
      <c r="AF265" s="485"/>
      <c r="AG265" s="485"/>
      <c r="AH265" s="485"/>
      <c r="AI265" s="485"/>
      <c r="AJ265" s="485"/>
      <c r="AK265" s="485"/>
      <c r="AL265" s="485"/>
      <c r="AM265" s="485"/>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7"/>
      <c r="BI265" s="487"/>
      <c r="BJ265" s="487"/>
      <c r="BK265" s="487"/>
      <c r="BL265" s="487"/>
      <c r="BM265" s="487"/>
      <c r="BN265" s="487"/>
      <c r="BO265" s="487"/>
      <c r="BP265" s="487"/>
      <c r="BQ265" s="487"/>
      <c r="BR265" s="487"/>
      <c r="BS265" s="487"/>
      <c r="BT265" s="487"/>
      <c r="BU265" s="487"/>
      <c r="BV265" s="487"/>
      <c r="BW265" s="487"/>
      <c r="BX265" s="487"/>
      <c r="BY265" s="487"/>
      <c r="BZ265" s="487"/>
      <c r="CA265" s="487"/>
      <c r="CB265" s="487"/>
      <c r="CC265" s="487"/>
      <c r="CD265" s="487"/>
      <c r="CE265" s="487"/>
      <c r="CF265" s="487"/>
      <c r="CG265" s="487"/>
      <c r="CH265" s="487"/>
      <c r="CI265" s="487"/>
      <c r="CJ265" s="487"/>
      <c r="CK265" s="487"/>
      <c r="CL265" s="487"/>
      <c r="CM265" s="487"/>
      <c r="CN265" s="487"/>
      <c r="CO265" s="487"/>
      <c r="CP265" s="487"/>
      <c r="CQ265" s="487"/>
      <c r="CR265" s="487"/>
      <c r="CS265" s="487"/>
      <c r="CT265" s="487"/>
      <c r="CU265" s="487"/>
      <c r="CV265" s="487"/>
      <c r="CW265" s="487"/>
      <c r="CX265" s="487"/>
      <c r="CY265" s="487"/>
      <c r="CZ265" s="487"/>
      <c r="DA265" s="487"/>
      <c r="DB265" s="487"/>
      <c r="DC265" s="487"/>
      <c r="DD265" s="487"/>
      <c r="DE265" s="487"/>
      <c r="DF265" s="487"/>
      <c r="DG265" s="487"/>
      <c r="DH265" s="487"/>
      <c r="DI265" s="487"/>
      <c r="DJ265" s="487"/>
      <c r="DK265" s="487"/>
      <c r="DL265" s="487"/>
      <c r="DM265" s="487"/>
      <c r="DN265" s="487"/>
      <c r="DO265" s="487"/>
      <c r="DP265" s="487"/>
      <c r="DQ265" s="487"/>
      <c r="DR265" s="487"/>
      <c r="DS265" s="487"/>
      <c r="DT265" s="487"/>
      <c r="DU265" s="487"/>
      <c r="DV265" s="487"/>
      <c r="DW265" s="487"/>
      <c r="DX265" s="487"/>
      <c r="DY265" s="487"/>
      <c r="DZ265" s="487"/>
      <c r="EA265" s="487"/>
      <c r="EB265" s="487"/>
      <c r="EC265" s="487"/>
      <c r="ED265" s="487"/>
      <c r="EE265" s="487"/>
      <c r="EF265" s="487"/>
      <c r="EG265" s="487"/>
      <c r="EH265" s="487"/>
      <c r="EI265" s="487"/>
      <c r="EJ265" s="487"/>
      <c r="EK265" s="487"/>
      <c r="EL265" s="487"/>
      <c r="EM265" s="487"/>
      <c r="EN265" s="487"/>
      <c r="EO265" s="487"/>
      <c r="EP265" s="487"/>
      <c r="EQ265" s="487"/>
      <c r="ER265" s="487"/>
      <c r="ES265" s="487"/>
      <c r="ET265" s="487"/>
      <c r="EU265" s="487"/>
      <c r="EV265" s="487"/>
      <c r="EW265" s="487"/>
      <c r="EX265" s="487"/>
      <c r="EY265" s="487"/>
      <c r="EZ265" s="487"/>
      <c r="FA265" s="487"/>
      <c r="FB265" s="487"/>
      <c r="FC265" s="487"/>
      <c r="FD265" s="487"/>
      <c r="FE265" s="487"/>
      <c r="FF265" s="487"/>
      <c r="FG265" s="487"/>
      <c r="FH265" s="487"/>
      <c r="FI265" s="487"/>
      <c r="FJ265" s="487"/>
      <c r="FK265" s="487"/>
      <c r="FL265" s="487"/>
      <c r="FM265" s="487"/>
      <c r="FN265" s="487"/>
      <c r="FO265" s="487"/>
      <c r="FP265" s="487"/>
      <c r="FQ265" s="487"/>
      <c r="FR265" s="487"/>
      <c r="FS265" s="487"/>
      <c r="FT265" s="487"/>
      <c r="FU265" s="487"/>
      <c r="FV265" s="487"/>
      <c r="FW265" s="487"/>
      <c r="FX265" s="487"/>
      <c r="FY265" s="487"/>
      <c r="FZ265" s="487"/>
      <c r="GA265" s="487"/>
      <c r="GB265" s="487"/>
      <c r="GC265" s="487"/>
      <c r="GD265" s="487"/>
      <c r="GE265" s="487"/>
      <c r="GF265" s="487"/>
      <c r="GG265" s="487"/>
      <c r="GH265" s="487"/>
      <c r="GI265" s="487"/>
      <c r="GJ265" s="487"/>
      <c r="GK265" s="487"/>
      <c r="GL265" s="487"/>
      <c r="GM265" s="487"/>
      <c r="GN265" s="487"/>
      <c r="GO265" s="487"/>
      <c r="GP265" s="487"/>
      <c r="GQ265" s="487"/>
      <c r="GR265" s="487"/>
      <c r="GS265" s="487"/>
      <c r="GT265" s="487"/>
      <c r="GU265" s="487"/>
      <c r="GV265" s="487"/>
      <c r="GW265" s="487"/>
      <c r="GX265" s="487"/>
      <c r="GY265" s="487"/>
      <c r="GZ265" s="487"/>
      <c r="HA265" s="487"/>
      <c r="HB265" s="487"/>
      <c r="HC265" s="487"/>
      <c r="HD265" s="487"/>
      <c r="HE265" s="487"/>
      <c r="HF265" s="487"/>
      <c r="HG265" s="487"/>
      <c r="HH265" s="487"/>
      <c r="HI265" s="487"/>
      <c r="HJ265" s="487"/>
      <c r="HK265" s="487"/>
      <c r="HL265" s="487"/>
      <c r="HM265" s="487"/>
      <c r="HN265" s="487"/>
      <c r="HO265" s="487"/>
      <c r="HP265" s="487"/>
      <c r="HQ265" s="487"/>
      <c r="HR265" s="487"/>
      <c r="HS265" s="490"/>
    </row>
    <row r="266" spans="1:227" s="486" customFormat="1" ht="15" customHeight="1" x14ac:dyDescent="0.2">
      <c r="A266" s="453" t="s">
        <v>10250</v>
      </c>
      <c r="B266" s="453" t="s">
        <v>10251</v>
      </c>
      <c r="C266" s="473" t="s">
        <v>386</v>
      </c>
      <c r="D266" s="455" t="s">
        <v>9709</v>
      </c>
      <c r="E266" s="456" t="s">
        <v>9710</v>
      </c>
      <c r="F266" s="456" t="s">
        <v>10241</v>
      </c>
      <c r="G266" s="456" t="s">
        <v>7180</v>
      </c>
      <c r="H266" s="457">
        <v>247.32000000000002</v>
      </c>
      <c r="I266" s="457">
        <f t="shared" si="19"/>
        <v>265.86900000000003</v>
      </c>
      <c r="J266" s="457" t="s">
        <v>9706</v>
      </c>
      <c r="K266" s="458">
        <v>0.3</v>
      </c>
      <c r="L266" s="459">
        <f t="shared" si="16"/>
        <v>173.124</v>
      </c>
      <c r="M266" s="460">
        <v>0.18</v>
      </c>
      <c r="N266" s="461">
        <f t="shared" si="17"/>
        <v>218.01258000000004</v>
      </c>
      <c r="O266" s="462">
        <v>0.1</v>
      </c>
      <c r="P266" s="463">
        <f t="shared" si="18"/>
        <v>239.28210000000004</v>
      </c>
      <c r="Q266" s="484"/>
      <c r="R266" s="465">
        <v>4</v>
      </c>
      <c r="S266" s="465">
        <v>4</v>
      </c>
      <c r="T266" s="465">
        <v>48</v>
      </c>
      <c r="U266" s="466"/>
      <c r="V266" s="485"/>
      <c r="W266" s="485"/>
      <c r="X266" s="485"/>
      <c r="Y266" s="485"/>
      <c r="Z266" s="485"/>
      <c r="AA266" s="485"/>
      <c r="AB266" s="485"/>
      <c r="AC266" s="485"/>
      <c r="AD266" s="485"/>
      <c r="AE266" s="485"/>
      <c r="AF266" s="485"/>
      <c r="AG266" s="485"/>
      <c r="AH266" s="485"/>
      <c r="AI266" s="485"/>
      <c r="AJ266" s="485"/>
      <c r="AK266" s="485"/>
      <c r="AL266" s="485"/>
      <c r="AM266" s="485"/>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7"/>
      <c r="BI266" s="487"/>
      <c r="BJ266" s="487"/>
      <c r="BK266" s="487"/>
      <c r="BL266" s="487"/>
      <c r="BM266" s="487"/>
      <c r="BN266" s="487"/>
      <c r="BO266" s="487"/>
      <c r="BP266" s="487"/>
      <c r="BQ266" s="487"/>
      <c r="BR266" s="487"/>
      <c r="BS266" s="487"/>
      <c r="BT266" s="487"/>
      <c r="BU266" s="487"/>
      <c r="BV266" s="487"/>
      <c r="BW266" s="487"/>
      <c r="BX266" s="487"/>
      <c r="BY266" s="487"/>
      <c r="BZ266" s="487"/>
      <c r="CA266" s="487"/>
      <c r="CB266" s="487"/>
      <c r="CC266" s="487"/>
      <c r="CD266" s="487"/>
      <c r="CE266" s="487"/>
      <c r="CF266" s="487"/>
      <c r="CG266" s="487"/>
      <c r="CH266" s="487"/>
      <c r="CI266" s="487"/>
      <c r="CJ266" s="487"/>
      <c r="CK266" s="487"/>
      <c r="CL266" s="487"/>
      <c r="CM266" s="487"/>
      <c r="CN266" s="487"/>
      <c r="CO266" s="487"/>
      <c r="CP266" s="487"/>
      <c r="CQ266" s="487"/>
      <c r="CR266" s="487"/>
      <c r="CS266" s="487"/>
      <c r="CT266" s="487"/>
      <c r="CU266" s="487"/>
      <c r="CV266" s="487"/>
      <c r="CW266" s="487"/>
      <c r="CX266" s="487"/>
      <c r="CY266" s="487"/>
      <c r="CZ266" s="487"/>
      <c r="DA266" s="487"/>
      <c r="DB266" s="487"/>
      <c r="DC266" s="487"/>
      <c r="DD266" s="487"/>
      <c r="DE266" s="487"/>
      <c r="DF266" s="487"/>
      <c r="DG266" s="487"/>
      <c r="DH266" s="487"/>
      <c r="DI266" s="487"/>
      <c r="DJ266" s="487"/>
      <c r="DK266" s="487"/>
      <c r="DL266" s="487"/>
      <c r="DM266" s="487"/>
      <c r="DN266" s="487"/>
      <c r="DO266" s="487"/>
      <c r="DP266" s="487"/>
      <c r="DQ266" s="487"/>
      <c r="DR266" s="487"/>
      <c r="DS266" s="487"/>
      <c r="DT266" s="487"/>
      <c r="DU266" s="487"/>
      <c r="DV266" s="487"/>
      <c r="DW266" s="487"/>
      <c r="DX266" s="487"/>
      <c r="DY266" s="487"/>
      <c r="DZ266" s="487"/>
      <c r="EA266" s="487"/>
      <c r="EB266" s="487"/>
      <c r="EC266" s="487"/>
      <c r="ED266" s="487"/>
      <c r="EE266" s="487"/>
      <c r="EF266" s="487"/>
      <c r="EG266" s="487"/>
      <c r="EH266" s="487"/>
      <c r="EI266" s="487"/>
      <c r="EJ266" s="487"/>
      <c r="EK266" s="487"/>
      <c r="EL266" s="487"/>
      <c r="EM266" s="487"/>
      <c r="EN266" s="487"/>
      <c r="EO266" s="487"/>
      <c r="EP266" s="487"/>
      <c r="EQ266" s="487"/>
      <c r="ER266" s="487"/>
      <c r="ES266" s="487"/>
      <c r="ET266" s="487"/>
      <c r="EU266" s="487"/>
      <c r="EV266" s="487"/>
      <c r="EW266" s="487"/>
      <c r="EX266" s="487"/>
      <c r="EY266" s="487"/>
      <c r="EZ266" s="487"/>
      <c r="FA266" s="487"/>
      <c r="FB266" s="487"/>
      <c r="FC266" s="487"/>
      <c r="FD266" s="487"/>
      <c r="FE266" s="487"/>
      <c r="FF266" s="487"/>
      <c r="FG266" s="487"/>
      <c r="FH266" s="487"/>
      <c r="FI266" s="487"/>
      <c r="FJ266" s="487"/>
      <c r="FK266" s="487"/>
      <c r="FL266" s="487"/>
      <c r="FM266" s="487"/>
      <c r="FN266" s="487"/>
      <c r="FO266" s="487"/>
      <c r="FP266" s="487"/>
      <c r="FQ266" s="487"/>
      <c r="FR266" s="487"/>
      <c r="FS266" s="487"/>
      <c r="FT266" s="487"/>
      <c r="FU266" s="487"/>
      <c r="FV266" s="487"/>
      <c r="FW266" s="487"/>
      <c r="FX266" s="487"/>
      <c r="FY266" s="487"/>
      <c r="FZ266" s="487"/>
      <c r="GA266" s="487"/>
      <c r="GB266" s="487"/>
      <c r="GC266" s="487"/>
      <c r="GD266" s="487"/>
      <c r="GE266" s="487"/>
      <c r="GF266" s="487"/>
      <c r="GG266" s="487"/>
      <c r="GH266" s="487"/>
      <c r="GI266" s="487"/>
      <c r="GJ266" s="487"/>
      <c r="GK266" s="487"/>
      <c r="GL266" s="487"/>
      <c r="GM266" s="487"/>
      <c r="GN266" s="487"/>
      <c r="GO266" s="487"/>
      <c r="GP266" s="487"/>
      <c r="GQ266" s="487"/>
      <c r="GR266" s="487"/>
      <c r="GS266" s="487"/>
      <c r="GT266" s="487"/>
      <c r="GU266" s="487"/>
      <c r="GV266" s="487"/>
      <c r="GW266" s="487"/>
      <c r="GX266" s="487"/>
      <c r="GY266" s="487"/>
      <c r="GZ266" s="487"/>
      <c r="HA266" s="487"/>
      <c r="HB266" s="487"/>
      <c r="HC266" s="487"/>
      <c r="HD266" s="487"/>
      <c r="HE266" s="487"/>
      <c r="HF266" s="487"/>
      <c r="HG266" s="487"/>
      <c r="HH266" s="487"/>
      <c r="HI266" s="487"/>
      <c r="HJ266" s="487"/>
      <c r="HK266" s="487"/>
      <c r="HL266" s="487"/>
      <c r="HM266" s="487"/>
      <c r="HN266" s="487"/>
      <c r="HO266" s="487"/>
      <c r="HP266" s="487"/>
      <c r="HQ266" s="487"/>
      <c r="HR266" s="487"/>
      <c r="HS266" s="490"/>
    </row>
    <row r="267" spans="1:227" s="486" customFormat="1" ht="15" customHeight="1" x14ac:dyDescent="0.2">
      <c r="A267" s="453" t="s">
        <v>10252</v>
      </c>
      <c r="B267" s="453" t="s">
        <v>10253</v>
      </c>
      <c r="C267" s="473" t="s">
        <v>386</v>
      </c>
      <c r="D267" s="455" t="s">
        <v>9709</v>
      </c>
      <c r="E267" s="456" t="s">
        <v>9758</v>
      </c>
      <c r="F267" s="456" t="s">
        <v>10241</v>
      </c>
      <c r="G267" s="456" t="s">
        <v>7180</v>
      </c>
      <c r="H267" s="457">
        <v>247.32000000000002</v>
      </c>
      <c r="I267" s="457">
        <f t="shared" si="19"/>
        <v>265.86900000000003</v>
      </c>
      <c r="J267" s="457" t="s">
        <v>9706</v>
      </c>
      <c r="K267" s="458">
        <v>0.3</v>
      </c>
      <c r="L267" s="459">
        <f t="shared" si="16"/>
        <v>173.124</v>
      </c>
      <c r="M267" s="460">
        <v>0.18</v>
      </c>
      <c r="N267" s="461">
        <f t="shared" si="17"/>
        <v>218.01258000000004</v>
      </c>
      <c r="O267" s="462">
        <v>0.1</v>
      </c>
      <c r="P267" s="463">
        <f t="shared" si="18"/>
        <v>239.28210000000004</v>
      </c>
      <c r="Q267" s="484"/>
      <c r="R267" s="465">
        <v>4</v>
      </c>
      <c r="S267" s="465">
        <v>4</v>
      </c>
      <c r="T267" s="465">
        <v>48</v>
      </c>
      <c r="U267" s="466"/>
      <c r="V267" s="485"/>
      <c r="W267" s="485"/>
      <c r="X267" s="485"/>
      <c r="Y267" s="485"/>
      <c r="Z267" s="485"/>
      <c r="AA267" s="485"/>
      <c r="AB267" s="485"/>
      <c r="AC267" s="485"/>
      <c r="AD267" s="485"/>
      <c r="AE267" s="485"/>
      <c r="AF267" s="485"/>
      <c r="AG267" s="485"/>
      <c r="AH267" s="485"/>
      <c r="AI267" s="485"/>
      <c r="AJ267" s="485"/>
      <c r="AK267" s="485"/>
      <c r="AL267" s="485"/>
      <c r="AM267" s="485"/>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7"/>
      <c r="BI267" s="487"/>
      <c r="BJ267" s="487"/>
      <c r="BK267" s="487"/>
      <c r="BL267" s="487"/>
      <c r="BM267" s="487"/>
      <c r="BN267" s="487"/>
      <c r="BO267" s="487"/>
      <c r="BP267" s="487"/>
      <c r="BQ267" s="487"/>
      <c r="BR267" s="487"/>
      <c r="BS267" s="487"/>
      <c r="BT267" s="487"/>
      <c r="BU267" s="487"/>
      <c r="BV267" s="487"/>
      <c r="BW267" s="487"/>
      <c r="BX267" s="487"/>
      <c r="BY267" s="487"/>
      <c r="BZ267" s="487"/>
      <c r="CA267" s="487"/>
      <c r="CB267" s="487"/>
      <c r="CC267" s="487"/>
      <c r="CD267" s="487"/>
      <c r="CE267" s="487"/>
      <c r="CF267" s="487"/>
      <c r="CG267" s="487"/>
      <c r="CH267" s="487"/>
      <c r="CI267" s="487"/>
      <c r="CJ267" s="487"/>
      <c r="CK267" s="487"/>
      <c r="CL267" s="487"/>
      <c r="CM267" s="487"/>
      <c r="CN267" s="487"/>
      <c r="CO267" s="487"/>
      <c r="CP267" s="487"/>
      <c r="CQ267" s="487"/>
      <c r="CR267" s="487"/>
      <c r="CS267" s="487"/>
      <c r="CT267" s="487"/>
      <c r="CU267" s="487"/>
      <c r="CV267" s="487"/>
      <c r="CW267" s="487"/>
      <c r="CX267" s="487"/>
      <c r="CY267" s="487"/>
      <c r="CZ267" s="487"/>
      <c r="DA267" s="487"/>
      <c r="DB267" s="487"/>
      <c r="DC267" s="487"/>
      <c r="DD267" s="487"/>
      <c r="DE267" s="487"/>
      <c r="DF267" s="487"/>
      <c r="DG267" s="487"/>
      <c r="DH267" s="487"/>
      <c r="DI267" s="487"/>
      <c r="DJ267" s="487"/>
      <c r="DK267" s="487"/>
      <c r="DL267" s="487"/>
      <c r="DM267" s="487"/>
      <c r="DN267" s="487"/>
      <c r="DO267" s="487"/>
      <c r="DP267" s="487"/>
      <c r="DQ267" s="487"/>
      <c r="DR267" s="487"/>
      <c r="DS267" s="487"/>
      <c r="DT267" s="487"/>
      <c r="DU267" s="487"/>
      <c r="DV267" s="487"/>
      <c r="DW267" s="487"/>
      <c r="DX267" s="487"/>
      <c r="DY267" s="487"/>
      <c r="DZ267" s="487"/>
      <c r="EA267" s="487"/>
      <c r="EB267" s="487"/>
      <c r="EC267" s="487"/>
      <c r="ED267" s="487"/>
      <c r="EE267" s="487"/>
      <c r="EF267" s="487"/>
      <c r="EG267" s="487"/>
      <c r="EH267" s="487"/>
      <c r="EI267" s="487"/>
      <c r="EJ267" s="487"/>
      <c r="EK267" s="487"/>
      <c r="EL267" s="487"/>
      <c r="EM267" s="487"/>
      <c r="EN267" s="487"/>
      <c r="EO267" s="487"/>
      <c r="EP267" s="487"/>
      <c r="EQ267" s="487"/>
      <c r="ER267" s="487"/>
      <c r="ES267" s="487"/>
      <c r="ET267" s="487"/>
      <c r="EU267" s="487"/>
      <c r="EV267" s="487"/>
      <c r="EW267" s="487"/>
      <c r="EX267" s="487"/>
      <c r="EY267" s="487"/>
      <c r="EZ267" s="487"/>
      <c r="FA267" s="487"/>
      <c r="FB267" s="487"/>
      <c r="FC267" s="487"/>
      <c r="FD267" s="487"/>
      <c r="FE267" s="487"/>
      <c r="FF267" s="487"/>
      <c r="FG267" s="487"/>
      <c r="FH267" s="487"/>
      <c r="FI267" s="487"/>
      <c r="FJ267" s="487"/>
      <c r="FK267" s="487"/>
      <c r="FL267" s="487"/>
      <c r="FM267" s="487"/>
      <c r="FN267" s="487"/>
      <c r="FO267" s="487"/>
      <c r="FP267" s="487"/>
      <c r="FQ267" s="487"/>
      <c r="FR267" s="487"/>
      <c r="FS267" s="487"/>
      <c r="FT267" s="487"/>
      <c r="FU267" s="487"/>
      <c r="FV267" s="487"/>
      <c r="FW267" s="487"/>
      <c r="FX267" s="487"/>
      <c r="FY267" s="487"/>
      <c r="FZ267" s="487"/>
      <c r="GA267" s="487"/>
      <c r="GB267" s="487"/>
      <c r="GC267" s="487"/>
      <c r="GD267" s="487"/>
      <c r="GE267" s="487"/>
      <c r="GF267" s="487"/>
      <c r="GG267" s="487"/>
      <c r="GH267" s="487"/>
      <c r="GI267" s="487"/>
      <c r="GJ267" s="487"/>
      <c r="GK267" s="487"/>
      <c r="GL267" s="487"/>
      <c r="GM267" s="487"/>
      <c r="GN267" s="487"/>
      <c r="GO267" s="487"/>
      <c r="GP267" s="487"/>
      <c r="GQ267" s="487"/>
      <c r="GR267" s="487"/>
      <c r="GS267" s="487"/>
      <c r="GT267" s="487"/>
      <c r="GU267" s="487"/>
      <c r="GV267" s="487"/>
      <c r="GW267" s="487"/>
      <c r="GX267" s="487"/>
      <c r="GY267" s="487"/>
      <c r="GZ267" s="487"/>
      <c r="HA267" s="487"/>
      <c r="HB267" s="487"/>
      <c r="HC267" s="487"/>
      <c r="HD267" s="487"/>
      <c r="HE267" s="487"/>
      <c r="HF267" s="487"/>
      <c r="HG267" s="487"/>
      <c r="HH267" s="487"/>
      <c r="HI267" s="487"/>
      <c r="HJ267" s="487"/>
      <c r="HK267" s="487"/>
      <c r="HL267" s="487"/>
      <c r="HM267" s="487"/>
      <c r="HN267" s="487"/>
      <c r="HO267" s="487"/>
      <c r="HP267" s="487"/>
      <c r="HQ267" s="487"/>
      <c r="HR267" s="487"/>
      <c r="HS267" s="490"/>
    </row>
    <row r="268" spans="1:227" s="486" customFormat="1" ht="15" customHeight="1" x14ac:dyDescent="0.2">
      <c r="A268" s="453" t="s">
        <v>10254</v>
      </c>
      <c r="B268" s="453" t="s">
        <v>10255</v>
      </c>
      <c r="C268" s="473" t="s">
        <v>386</v>
      </c>
      <c r="D268" s="455" t="s">
        <v>9709</v>
      </c>
      <c r="E268" s="456" t="s">
        <v>9739</v>
      </c>
      <c r="F268" s="456" t="s">
        <v>10241</v>
      </c>
      <c r="G268" s="456" t="s">
        <v>7180</v>
      </c>
      <c r="H268" s="457">
        <v>247.32000000000002</v>
      </c>
      <c r="I268" s="457">
        <f t="shared" si="19"/>
        <v>265.86900000000003</v>
      </c>
      <c r="J268" s="457" t="s">
        <v>9706</v>
      </c>
      <c r="K268" s="458">
        <v>0.3</v>
      </c>
      <c r="L268" s="459">
        <f t="shared" si="16"/>
        <v>173.124</v>
      </c>
      <c r="M268" s="460">
        <v>0.18</v>
      </c>
      <c r="N268" s="461">
        <f t="shared" si="17"/>
        <v>218.01258000000004</v>
      </c>
      <c r="O268" s="462">
        <v>0.1</v>
      </c>
      <c r="P268" s="463">
        <f t="shared" si="18"/>
        <v>239.28210000000004</v>
      </c>
      <c r="Q268" s="484"/>
      <c r="R268" s="465">
        <v>4</v>
      </c>
      <c r="S268" s="465">
        <v>4</v>
      </c>
      <c r="T268" s="465">
        <v>48</v>
      </c>
      <c r="U268" s="466"/>
      <c r="V268" s="485"/>
      <c r="W268" s="485"/>
      <c r="X268" s="485"/>
      <c r="Y268" s="485"/>
      <c r="Z268" s="485"/>
      <c r="AA268" s="485"/>
      <c r="AB268" s="485"/>
      <c r="AC268" s="485"/>
      <c r="AD268" s="485"/>
      <c r="AE268" s="485"/>
      <c r="AF268" s="485"/>
      <c r="AG268" s="485"/>
      <c r="AH268" s="485"/>
      <c r="AI268" s="485"/>
      <c r="AJ268" s="485"/>
      <c r="AK268" s="485"/>
      <c r="AL268" s="485"/>
      <c r="AM268" s="485"/>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7"/>
      <c r="BI268" s="487"/>
      <c r="BJ268" s="487"/>
      <c r="BK268" s="487"/>
      <c r="BL268" s="487"/>
      <c r="BM268" s="487"/>
      <c r="BN268" s="487"/>
      <c r="BO268" s="487"/>
      <c r="BP268" s="487"/>
      <c r="BQ268" s="487"/>
      <c r="BR268" s="487"/>
      <c r="BS268" s="487"/>
      <c r="BT268" s="487"/>
      <c r="BU268" s="487"/>
      <c r="BV268" s="487"/>
      <c r="BW268" s="487"/>
      <c r="BX268" s="487"/>
      <c r="BY268" s="487"/>
      <c r="BZ268" s="487"/>
      <c r="CA268" s="487"/>
      <c r="CB268" s="487"/>
      <c r="CC268" s="487"/>
      <c r="CD268" s="487"/>
      <c r="CE268" s="487"/>
      <c r="CF268" s="487"/>
      <c r="CG268" s="487"/>
      <c r="CH268" s="487"/>
      <c r="CI268" s="487"/>
      <c r="CJ268" s="487"/>
      <c r="CK268" s="487"/>
      <c r="CL268" s="487"/>
      <c r="CM268" s="487"/>
      <c r="CN268" s="487"/>
      <c r="CO268" s="487"/>
      <c r="CP268" s="487"/>
      <c r="CQ268" s="487"/>
      <c r="CR268" s="487"/>
      <c r="CS268" s="487"/>
      <c r="CT268" s="487"/>
      <c r="CU268" s="487"/>
      <c r="CV268" s="487"/>
      <c r="CW268" s="487"/>
      <c r="CX268" s="487"/>
      <c r="CY268" s="487"/>
      <c r="CZ268" s="487"/>
      <c r="DA268" s="487"/>
      <c r="DB268" s="487"/>
      <c r="DC268" s="487"/>
      <c r="DD268" s="487"/>
      <c r="DE268" s="487"/>
      <c r="DF268" s="487"/>
      <c r="DG268" s="487"/>
      <c r="DH268" s="487"/>
      <c r="DI268" s="487"/>
      <c r="DJ268" s="487"/>
      <c r="DK268" s="487"/>
      <c r="DL268" s="487"/>
      <c r="DM268" s="487"/>
      <c r="DN268" s="487"/>
      <c r="DO268" s="487"/>
      <c r="DP268" s="487"/>
      <c r="DQ268" s="487"/>
      <c r="DR268" s="487"/>
      <c r="DS268" s="487"/>
      <c r="DT268" s="487"/>
      <c r="DU268" s="487"/>
      <c r="DV268" s="487"/>
      <c r="DW268" s="487"/>
      <c r="DX268" s="487"/>
      <c r="DY268" s="487"/>
      <c r="DZ268" s="487"/>
      <c r="EA268" s="487"/>
      <c r="EB268" s="487"/>
      <c r="EC268" s="487"/>
      <c r="ED268" s="487"/>
      <c r="EE268" s="487"/>
      <c r="EF268" s="487"/>
      <c r="EG268" s="487"/>
      <c r="EH268" s="487"/>
      <c r="EI268" s="487"/>
      <c r="EJ268" s="487"/>
      <c r="EK268" s="487"/>
      <c r="EL268" s="487"/>
      <c r="EM268" s="487"/>
      <c r="EN268" s="487"/>
      <c r="EO268" s="487"/>
      <c r="EP268" s="487"/>
      <c r="EQ268" s="487"/>
      <c r="ER268" s="487"/>
      <c r="ES268" s="487"/>
      <c r="ET268" s="487"/>
      <c r="EU268" s="487"/>
      <c r="EV268" s="487"/>
      <c r="EW268" s="487"/>
      <c r="EX268" s="487"/>
      <c r="EY268" s="487"/>
      <c r="EZ268" s="487"/>
      <c r="FA268" s="487"/>
      <c r="FB268" s="487"/>
      <c r="FC268" s="487"/>
      <c r="FD268" s="487"/>
      <c r="FE268" s="487"/>
      <c r="FF268" s="487"/>
      <c r="FG268" s="487"/>
      <c r="FH268" s="487"/>
      <c r="FI268" s="487"/>
      <c r="FJ268" s="487"/>
      <c r="FK268" s="487"/>
      <c r="FL268" s="487"/>
      <c r="FM268" s="487"/>
      <c r="FN268" s="487"/>
      <c r="FO268" s="487"/>
      <c r="FP268" s="487"/>
      <c r="FQ268" s="487"/>
      <c r="FR268" s="487"/>
      <c r="FS268" s="487"/>
      <c r="FT268" s="487"/>
      <c r="FU268" s="487"/>
      <c r="FV268" s="487"/>
      <c r="FW268" s="487"/>
      <c r="FX268" s="487"/>
      <c r="FY268" s="487"/>
      <c r="FZ268" s="487"/>
      <c r="GA268" s="487"/>
      <c r="GB268" s="487"/>
      <c r="GC268" s="487"/>
      <c r="GD268" s="487"/>
      <c r="GE268" s="487"/>
      <c r="GF268" s="487"/>
      <c r="GG268" s="487"/>
      <c r="GH268" s="487"/>
      <c r="GI268" s="487"/>
      <c r="GJ268" s="487"/>
      <c r="GK268" s="487"/>
      <c r="GL268" s="487"/>
      <c r="GM268" s="487"/>
      <c r="GN268" s="487"/>
      <c r="GO268" s="487"/>
      <c r="GP268" s="487"/>
      <c r="GQ268" s="487"/>
      <c r="GR268" s="487"/>
      <c r="GS268" s="487"/>
      <c r="GT268" s="487"/>
      <c r="GU268" s="487"/>
      <c r="GV268" s="487"/>
      <c r="GW268" s="487"/>
      <c r="GX268" s="487"/>
      <c r="GY268" s="487"/>
      <c r="GZ268" s="487"/>
      <c r="HA268" s="487"/>
      <c r="HB268" s="487"/>
      <c r="HC268" s="487"/>
      <c r="HD268" s="487"/>
      <c r="HE268" s="487"/>
      <c r="HF268" s="487"/>
      <c r="HG268" s="487"/>
      <c r="HH268" s="487"/>
      <c r="HI268" s="487"/>
      <c r="HJ268" s="487"/>
      <c r="HK268" s="487"/>
      <c r="HL268" s="487"/>
      <c r="HM268" s="487"/>
      <c r="HN268" s="487"/>
      <c r="HO268" s="487"/>
      <c r="HP268" s="487"/>
      <c r="HQ268" s="487"/>
      <c r="HR268" s="487"/>
      <c r="HS268" s="490"/>
    </row>
    <row r="269" spans="1:227" s="486" customFormat="1" ht="15" customHeight="1" x14ac:dyDescent="0.2">
      <c r="A269" s="453" t="s">
        <v>10256</v>
      </c>
      <c r="B269" s="453" t="s">
        <v>10257</v>
      </c>
      <c r="C269" s="473" t="s">
        <v>386</v>
      </c>
      <c r="D269" s="455" t="s">
        <v>9709</v>
      </c>
      <c r="E269" s="456" t="s">
        <v>9739</v>
      </c>
      <c r="F269" s="456" t="s">
        <v>10241</v>
      </c>
      <c r="G269" s="456" t="s">
        <v>7180</v>
      </c>
      <c r="H269" s="457">
        <v>247.32000000000002</v>
      </c>
      <c r="I269" s="457">
        <f t="shared" si="19"/>
        <v>265.86900000000003</v>
      </c>
      <c r="J269" s="457" t="s">
        <v>9706</v>
      </c>
      <c r="K269" s="458">
        <v>0.3</v>
      </c>
      <c r="L269" s="459">
        <f t="shared" si="16"/>
        <v>173.124</v>
      </c>
      <c r="M269" s="460">
        <v>0.18</v>
      </c>
      <c r="N269" s="461">
        <f t="shared" si="17"/>
        <v>218.01258000000004</v>
      </c>
      <c r="O269" s="462">
        <v>0.1</v>
      </c>
      <c r="P269" s="463">
        <f t="shared" si="18"/>
        <v>239.28210000000004</v>
      </c>
      <c r="Q269" s="484"/>
      <c r="R269" s="465">
        <v>4</v>
      </c>
      <c r="S269" s="465">
        <v>4</v>
      </c>
      <c r="T269" s="465">
        <v>48</v>
      </c>
      <c r="U269" s="466"/>
      <c r="V269" s="485"/>
      <c r="W269" s="485"/>
      <c r="X269" s="485"/>
      <c r="Y269" s="485"/>
      <c r="Z269" s="485"/>
      <c r="AA269" s="485"/>
      <c r="AB269" s="485"/>
      <c r="AC269" s="485"/>
      <c r="AD269" s="485"/>
      <c r="AE269" s="485"/>
      <c r="AF269" s="485"/>
      <c r="AG269" s="485"/>
      <c r="AH269" s="485"/>
      <c r="AI269" s="485"/>
      <c r="AJ269" s="485"/>
      <c r="AK269" s="485"/>
      <c r="AL269" s="485"/>
      <c r="AM269" s="485"/>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7"/>
      <c r="BI269" s="487"/>
      <c r="BJ269" s="487"/>
      <c r="BK269" s="487"/>
      <c r="BL269" s="487"/>
      <c r="BM269" s="487"/>
      <c r="BN269" s="487"/>
      <c r="BO269" s="487"/>
      <c r="BP269" s="487"/>
      <c r="BQ269" s="487"/>
      <c r="BR269" s="487"/>
      <c r="BS269" s="487"/>
      <c r="BT269" s="487"/>
      <c r="BU269" s="487"/>
      <c r="BV269" s="487"/>
      <c r="BW269" s="487"/>
      <c r="BX269" s="487"/>
      <c r="BY269" s="487"/>
      <c r="BZ269" s="487"/>
      <c r="CA269" s="487"/>
      <c r="CB269" s="487"/>
      <c r="CC269" s="487"/>
      <c r="CD269" s="487"/>
      <c r="CE269" s="487"/>
      <c r="CF269" s="487"/>
      <c r="CG269" s="487"/>
      <c r="CH269" s="487"/>
      <c r="CI269" s="487"/>
      <c r="CJ269" s="487"/>
      <c r="CK269" s="487"/>
      <c r="CL269" s="487"/>
      <c r="CM269" s="487"/>
      <c r="CN269" s="487"/>
      <c r="CO269" s="487"/>
      <c r="CP269" s="487"/>
      <c r="CQ269" s="487"/>
      <c r="CR269" s="487"/>
      <c r="CS269" s="487"/>
      <c r="CT269" s="487"/>
      <c r="CU269" s="487"/>
      <c r="CV269" s="487"/>
      <c r="CW269" s="487"/>
      <c r="CX269" s="487"/>
      <c r="CY269" s="487"/>
      <c r="CZ269" s="487"/>
      <c r="DA269" s="487"/>
      <c r="DB269" s="487"/>
      <c r="DC269" s="487"/>
      <c r="DD269" s="487"/>
      <c r="DE269" s="487"/>
      <c r="DF269" s="487"/>
      <c r="DG269" s="487"/>
      <c r="DH269" s="487"/>
      <c r="DI269" s="487"/>
      <c r="DJ269" s="487"/>
      <c r="DK269" s="487"/>
      <c r="DL269" s="487"/>
      <c r="DM269" s="487"/>
      <c r="DN269" s="487"/>
      <c r="DO269" s="487"/>
      <c r="DP269" s="487"/>
      <c r="DQ269" s="487"/>
      <c r="DR269" s="487"/>
      <c r="DS269" s="487"/>
      <c r="DT269" s="487"/>
      <c r="DU269" s="487"/>
      <c r="DV269" s="487"/>
      <c r="DW269" s="487"/>
      <c r="DX269" s="487"/>
      <c r="DY269" s="487"/>
      <c r="DZ269" s="487"/>
      <c r="EA269" s="487"/>
      <c r="EB269" s="487"/>
      <c r="EC269" s="487"/>
      <c r="ED269" s="487"/>
      <c r="EE269" s="487"/>
      <c r="EF269" s="487"/>
      <c r="EG269" s="487"/>
      <c r="EH269" s="487"/>
      <c r="EI269" s="487"/>
      <c r="EJ269" s="487"/>
      <c r="EK269" s="487"/>
      <c r="EL269" s="487"/>
      <c r="EM269" s="487"/>
      <c r="EN269" s="487"/>
      <c r="EO269" s="487"/>
      <c r="EP269" s="487"/>
      <c r="EQ269" s="487"/>
      <c r="ER269" s="487"/>
      <c r="ES269" s="487"/>
      <c r="ET269" s="487"/>
      <c r="EU269" s="487"/>
      <c r="EV269" s="487"/>
      <c r="EW269" s="487"/>
      <c r="EX269" s="487"/>
      <c r="EY269" s="487"/>
      <c r="EZ269" s="487"/>
      <c r="FA269" s="487"/>
      <c r="FB269" s="487"/>
      <c r="FC269" s="487"/>
      <c r="FD269" s="487"/>
      <c r="FE269" s="487"/>
      <c r="FF269" s="487"/>
      <c r="FG269" s="487"/>
      <c r="FH269" s="487"/>
      <c r="FI269" s="487"/>
      <c r="FJ269" s="487"/>
      <c r="FK269" s="487"/>
      <c r="FL269" s="487"/>
      <c r="FM269" s="487"/>
      <c r="FN269" s="487"/>
      <c r="FO269" s="487"/>
      <c r="FP269" s="487"/>
      <c r="FQ269" s="487"/>
      <c r="FR269" s="487"/>
      <c r="FS269" s="487"/>
      <c r="FT269" s="487"/>
      <c r="FU269" s="487"/>
      <c r="FV269" s="487"/>
      <c r="FW269" s="487"/>
      <c r="FX269" s="487"/>
      <c r="FY269" s="487"/>
      <c r="FZ269" s="487"/>
      <c r="GA269" s="487"/>
      <c r="GB269" s="487"/>
      <c r="GC269" s="487"/>
      <c r="GD269" s="487"/>
      <c r="GE269" s="487"/>
      <c r="GF269" s="487"/>
      <c r="GG269" s="487"/>
      <c r="GH269" s="487"/>
      <c r="GI269" s="487"/>
      <c r="GJ269" s="487"/>
      <c r="GK269" s="487"/>
      <c r="GL269" s="487"/>
      <c r="GM269" s="487"/>
      <c r="GN269" s="487"/>
      <c r="GO269" s="487"/>
      <c r="GP269" s="487"/>
      <c r="GQ269" s="487"/>
      <c r="GR269" s="487"/>
      <c r="GS269" s="487"/>
      <c r="GT269" s="487"/>
      <c r="GU269" s="487"/>
      <c r="GV269" s="487"/>
      <c r="GW269" s="487"/>
      <c r="GX269" s="487"/>
      <c r="GY269" s="487"/>
      <c r="GZ269" s="487"/>
      <c r="HA269" s="487"/>
      <c r="HB269" s="487"/>
      <c r="HC269" s="487"/>
      <c r="HD269" s="487"/>
      <c r="HE269" s="487"/>
      <c r="HF269" s="487"/>
      <c r="HG269" s="487"/>
      <c r="HH269" s="487"/>
      <c r="HI269" s="487"/>
      <c r="HJ269" s="487"/>
      <c r="HK269" s="487"/>
      <c r="HL269" s="487"/>
      <c r="HM269" s="487"/>
      <c r="HN269" s="487"/>
      <c r="HO269" s="487"/>
      <c r="HP269" s="487"/>
      <c r="HQ269" s="487"/>
      <c r="HR269" s="487"/>
      <c r="HS269" s="490"/>
    </row>
    <row r="270" spans="1:227" s="486" customFormat="1" ht="15" customHeight="1" x14ac:dyDescent="0.2">
      <c r="A270" s="453" t="s">
        <v>10258</v>
      </c>
      <c r="B270" s="453" t="s">
        <v>10259</v>
      </c>
      <c r="C270" s="473" t="s">
        <v>386</v>
      </c>
      <c r="D270" s="455" t="s">
        <v>9709</v>
      </c>
      <c r="E270" s="456" t="s">
        <v>9739</v>
      </c>
      <c r="F270" s="456" t="s">
        <v>10241</v>
      </c>
      <c r="G270" s="456" t="s">
        <v>7180</v>
      </c>
      <c r="H270" s="457">
        <v>247.32000000000002</v>
      </c>
      <c r="I270" s="457">
        <f t="shared" si="19"/>
        <v>265.86900000000003</v>
      </c>
      <c r="J270" s="457" t="s">
        <v>9706</v>
      </c>
      <c r="K270" s="458">
        <v>0.3</v>
      </c>
      <c r="L270" s="459">
        <f t="shared" si="16"/>
        <v>173.124</v>
      </c>
      <c r="M270" s="460">
        <v>0.18</v>
      </c>
      <c r="N270" s="461">
        <f t="shared" si="17"/>
        <v>218.01258000000004</v>
      </c>
      <c r="O270" s="462">
        <v>0.1</v>
      </c>
      <c r="P270" s="463">
        <f t="shared" si="18"/>
        <v>239.28210000000004</v>
      </c>
      <c r="Q270" s="484"/>
      <c r="R270" s="465">
        <v>4</v>
      </c>
      <c r="S270" s="465">
        <v>4</v>
      </c>
      <c r="T270" s="465">
        <v>48</v>
      </c>
      <c r="U270" s="466"/>
      <c r="V270" s="485"/>
      <c r="W270" s="485"/>
      <c r="X270" s="485"/>
      <c r="Y270" s="485"/>
      <c r="Z270" s="485"/>
      <c r="AA270" s="485"/>
      <c r="AB270" s="485"/>
      <c r="AC270" s="485"/>
      <c r="AD270" s="485"/>
      <c r="AE270" s="485"/>
      <c r="AF270" s="485"/>
      <c r="AG270" s="485"/>
      <c r="AH270" s="485"/>
      <c r="AI270" s="485"/>
      <c r="AJ270" s="485"/>
      <c r="AK270" s="485"/>
      <c r="AL270" s="485"/>
      <c r="AM270" s="485"/>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7"/>
      <c r="BI270" s="487"/>
      <c r="BJ270" s="487"/>
      <c r="BK270" s="487"/>
      <c r="BL270" s="487"/>
      <c r="BM270" s="487"/>
      <c r="BN270" s="487"/>
      <c r="BO270" s="487"/>
      <c r="BP270" s="487"/>
      <c r="BQ270" s="487"/>
      <c r="BR270" s="487"/>
      <c r="BS270" s="487"/>
      <c r="BT270" s="487"/>
      <c r="BU270" s="487"/>
      <c r="BV270" s="487"/>
      <c r="BW270" s="487"/>
      <c r="BX270" s="487"/>
      <c r="BY270" s="487"/>
      <c r="BZ270" s="487"/>
      <c r="CA270" s="487"/>
      <c r="CB270" s="487"/>
      <c r="CC270" s="487"/>
      <c r="CD270" s="487"/>
      <c r="CE270" s="487"/>
      <c r="CF270" s="487"/>
      <c r="CG270" s="487"/>
      <c r="CH270" s="487"/>
      <c r="CI270" s="487"/>
      <c r="CJ270" s="487"/>
      <c r="CK270" s="487"/>
      <c r="CL270" s="487"/>
      <c r="CM270" s="487"/>
      <c r="CN270" s="487"/>
      <c r="CO270" s="487"/>
      <c r="CP270" s="487"/>
      <c r="CQ270" s="487"/>
      <c r="CR270" s="487"/>
      <c r="CS270" s="487"/>
      <c r="CT270" s="487"/>
      <c r="CU270" s="487"/>
      <c r="CV270" s="487"/>
      <c r="CW270" s="487"/>
      <c r="CX270" s="487"/>
      <c r="CY270" s="487"/>
      <c r="CZ270" s="487"/>
      <c r="DA270" s="487"/>
      <c r="DB270" s="487"/>
      <c r="DC270" s="487"/>
      <c r="DD270" s="487"/>
      <c r="DE270" s="487"/>
      <c r="DF270" s="487"/>
      <c r="DG270" s="487"/>
      <c r="DH270" s="487"/>
      <c r="DI270" s="487"/>
      <c r="DJ270" s="487"/>
      <c r="DK270" s="487"/>
      <c r="DL270" s="487"/>
      <c r="DM270" s="487"/>
      <c r="DN270" s="487"/>
      <c r="DO270" s="487"/>
      <c r="DP270" s="487"/>
      <c r="DQ270" s="487"/>
      <c r="DR270" s="487"/>
      <c r="DS270" s="487"/>
      <c r="DT270" s="487"/>
      <c r="DU270" s="487"/>
      <c r="DV270" s="487"/>
      <c r="DW270" s="487"/>
      <c r="DX270" s="487"/>
      <c r="DY270" s="487"/>
      <c r="DZ270" s="487"/>
      <c r="EA270" s="487"/>
      <c r="EB270" s="487"/>
      <c r="EC270" s="487"/>
      <c r="ED270" s="487"/>
      <c r="EE270" s="487"/>
      <c r="EF270" s="487"/>
      <c r="EG270" s="487"/>
      <c r="EH270" s="487"/>
      <c r="EI270" s="487"/>
      <c r="EJ270" s="487"/>
      <c r="EK270" s="487"/>
      <c r="EL270" s="487"/>
      <c r="EM270" s="487"/>
      <c r="EN270" s="487"/>
      <c r="EO270" s="487"/>
      <c r="EP270" s="487"/>
      <c r="EQ270" s="487"/>
      <c r="ER270" s="487"/>
      <c r="ES270" s="487"/>
      <c r="ET270" s="487"/>
      <c r="EU270" s="487"/>
      <c r="EV270" s="487"/>
      <c r="EW270" s="487"/>
      <c r="EX270" s="487"/>
      <c r="EY270" s="487"/>
      <c r="EZ270" s="487"/>
      <c r="FA270" s="487"/>
      <c r="FB270" s="487"/>
      <c r="FC270" s="487"/>
      <c r="FD270" s="487"/>
      <c r="FE270" s="487"/>
      <c r="FF270" s="487"/>
      <c r="FG270" s="487"/>
      <c r="FH270" s="487"/>
      <c r="FI270" s="487"/>
      <c r="FJ270" s="487"/>
      <c r="FK270" s="487"/>
      <c r="FL270" s="487"/>
      <c r="FM270" s="487"/>
      <c r="FN270" s="487"/>
      <c r="FO270" s="487"/>
      <c r="FP270" s="487"/>
      <c r="FQ270" s="487"/>
      <c r="FR270" s="487"/>
      <c r="FS270" s="487"/>
      <c r="FT270" s="487"/>
      <c r="FU270" s="487"/>
      <c r="FV270" s="487"/>
      <c r="FW270" s="487"/>
      <c r="FX270" s="487"/>
      <c r="FY270" s="487"/>
      <c r="FZ270" s="487"/>
      <c r="GA270" s="487"/>
      <c r="GB270" s="487"/>
      <c r="GC270" s="487"/>
      <c r="GD270" s="487"/>
      <c r="GE270" s="487"/>
      <c r="GF270" s="487"/>
      <c r="GG270" s="487"/>
      <c r="GH270" s="487"/>
      <c r="GI270" s="487"/>
      <c r="GJ270" s="487"/>
      <c r="GK270" s="487"/>
      <c r="GL270" s="487"/>
      <c r="GM270" s="487"/>
      <c r="GN270" s="487"/>
      <c r="GO270" s="487"/>
      <c r="GP270" s="487"/>
      <c r="GQ270" s="487"/>
      <c r="GR270" s="487"/>
      <c r="GS270" s="487"/>
      <c r="GT270" s="487"/>
      <c r="GU270" s="487"/>
      <c r="GV270" s="487"/>
      <c r="GW270" s="487"/>
      <c r="GX270" s="487"/>
      <c r="GY270" s="487"/>
      <c r="GZ270" s="487"/>
      <c r="HA270" s="487"/>
      <c r="HB270" s="487"/>
      <c r="HC270" s="487"/>
      <c r="HD270" s="487"/>
      <c r="HE270" s="487"/>
      <c r="HF270" s="487"/>
      <c r="HG270" s="487"/>
      <c r="HH270" s="487"/>
      <c r="HI270" s="487"/>
      <c r="HJ270" s="487"/>
      <c r="HK270" s="487"/>
      <c r="HL270" s="487"/>
      <c r="HM270" s="487"/>
      <c r="HN270" s="487"/>
      <c r="HO270" s="487"/>
      <c r="HP270" s="487"/>
      <c r="HQ270" s="487"/>
      <c r="HR270" s="487"/>
      <c r="HS270" s="490"/>
    </row>
    <row r="271" spans="1:227" s="486" customFormat="1" ht="15" customHeight="1" x14ac:dyDescent="0.2">
      <c r="A271" s="453" t="s">
        <v>10260</v>
      </c>
      <c r="B271" s="453" t="s">
        <v>10261</v>
      </c>
      <c r="C271" s="473" t="s">
        <v>386</v>
      </c>
      <c r="D271" s="455" t="s">
        <v>9709</v>
      </c>
      <c r="E271" s="456" t="s">
        <v>9734</v>
      </c>
      <c r="F271" s="456" t="s">
        <v>10241</v>
      </c>
      <c r="G271" s="456" t="s">
        <v>7180</v>
      </c>
      <c r="H271" s="457">
        <v>247.32000000000002</v>
      </c>
      <c r="I271" s="457">
        <f t="shared" si="19"/>
        <v>265.86900000000003</v>
      </c>
      <c r="J271" s="457" t="s">
        <v>9706</v>
      </c>
      <c r="K271" s="458">
        <v>0.3</v>
      </c>
      <c r="L271" s="459">
        <f t="shared" si="16"/>
        <v>173.124</v>
      </c>
      <c r="M271" s="460">
        <v>0.18</v>
      </c>
      <c r="N271" s="461">
        <f t="shared" si="17"/>
        <v>218.01258000000004</v>
      </c>
      <c r="O271" s="462">
        <v>0.1</v>
      </c>
      <c r="P271" s="463">
        <f t="shared" si="18"/>
        <v>239.28210000000004</v>
      </c>
      <c r="Q271" s="484"/>
      <c r="R271" s="465">
        <v>4</v>
      </c>
      <c r="S271" s="465">
        <v>4</v>
      </c>
      <c r="T271" s="465">
        <v>48</v>
      </c>
      <c r="U271" s="466"/>
      <c r="V271" s="485"/>
      <c r="W271" s="485"/>
      <c r="X271" s="485"/>
      <c r="Y271" s="485"/>
      <c r="Z271" s="485"/>
      <c r="AA271" s="485"/>
      <c r="AB271" s="485"/>
      <c r="AC271" s="485"/>
      <c r="AD271" s="485"/>
      <c r="AE271" s="485"/>
      <c r="AF271" s="485"/>
      <c r="AG271" s="485"/>
      <c r="AH271" s="485"/>
      <c r="AI271" s="485"/>
      <c r="AJ271" s="485"/>
      <c r="AK271" s="485"/>
      <c r="AL271" s="485"/>
      <c r="AM271" s="485"/>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7"/>
      <c r="BI271" s="487"/>
      <c r="BJ271" s="487"/>
      <c r="BK271" s="487"/>
      <c r="BL271" s="487"/>
      <c r="BM271" s="487"/>
      <c r="BN271" s="487"/>
      <c r="BO271" s="487"/>
      <c r="BP271" s="487"/>
      <c r="BQ271" s="487"/>
      <c r="BR271" s="487"/>
      <c r="BS271" s="487"/>
      <c r="BT271" s="487"/>
      <c r="BU271" s="487"/>
      <c r="BV271" s="487"/>
      <c r="BW271" s="487"/>
      <c r="BX271" s="487"/>
      <c r="BY271" s="487"/>
      <c r="BZ271" s="487"/>
      <c r="CA271" s="487"/>
      <c r="CB271" s="487"/>
      <c r="CC271" s="487"/>
      <c r="CD271" s="487"/>
      <c r="CE271" s="487"/>
      <c r="CF271" s="487"/>
      <c r="CG271" s="487"/>
      <c r="CH271" s="487"/>
      <c r="CI271" s="487"/>
      <c r="CJ271" s="487"/>
      <c r="CK271" s="487"/>
      <c r="CL271" s="487"/>
      <c r="CM271" s="487"/>
      <c r="CN271" s="487"/>
      <c r="CO271" s="487"/>
      <c r="CP271" s="487"/>
      <c r="CQ271" s="487"/>
      <c r="CR271" s="487"/>
      <c r="CS271" s="487"/>
      <c r="CT271" s="487"/>
      <c r="CU271" s="487"/>
      <c r="CV271" s="487"/>
      <c r="CW271" s="487"/>
      <c r="CX271" s="487"/>
      <c r="CY271" s="487"/>
      <c r="CZ271" s="487"/>
      <c r="DA271" s="487"/>
      <c r="DB271" s="487"/>
      <c r="DC271" s="487"/>
      <c r="DD271" s="487"/>
      <c r="DE271" s="487"/>
      <c r="DF271" s="487"/>
      <c r="DG271" s="487"/>
      <c r="DH271" s="487"/>
      <c r="DI271" s="487"/>
      <c r="DJ271" s="487"/>
      <c r="DK271" s="487"/>
      <c r="DL271" s="487"/>
      <c r="DM271" s="487"/>
      <c r="DN271" s="487"/>
      <c r="DO271" s="487"/>
      <c r="DP271" s="487"/>
      <c r="DQ271" s="487"/>
      <c r="DR271" s="487"/>
      <c r="DS271" s="487"/>
      <c r="DT271" s="487"/>
      <c r="DU271" s="487"/>
      <c r="DV271" s="487"/>
      <c r="DW271" s="487"/>
      <c r="DX271" s="487"/>
      <c r="DY271" s="487"/>
      <c r="DZ271" s="487"/>
      <c r="EA271" s="487"/>
      <c r="EB271" s="487"/>
      <c r="EC271" s="487"/>
      <c r="ED271" s="487"/>
      <c r="EE271" s="487"/>
      <c r="EF271" s="487"/>
      <c r="EG271" s="487"/>
      <c r="EH271" s="487"/>
      <c r="EI271" s="487"/>
      <c r="EJ271" s="487"/>
      <c r="EK271" s="487"/>
      <c r="EL271" s="487"/>
      <c r="EM271" s="487"/>
      <c r="EN271" s="487"/>
      <c r="EO271" s="487"/>
      <c r="EP271" s="487"/>
      <c r="EQ271" s="487"/>
      <c r="ER271" s="487"/>
      <c r="ES271" s="487"/>
      <c r="ET271" s="487"/>
      <c r="EU271" s="487"/>
      <c r="EV271" s="487"/>
      <c r="EW271" s="487"/>
      <c r="EX271" s="487"/>
      <c r="EY271" s="487"/>
      <c r="EZ271" s="487"/>
      <c r="FA271" s="487"/>
      <c r="FB271" s="487"/>
      <c r="FC271" s="487"/>
      <c r="FD271" s="487"/>
      <c r="FE271" s="487"/>
      <c r="FF271" s="487"/>
      <c r="FG271" s="487"/>
      <c r="FH271" s="487"/>
      <c r="FI271" s="487"/>
      <c r="FJ271" s="487"/>
      <c r="FK271" s="487"/>
      <c r="FL271" s="487"/>
      <c r="FM271" s="487"/>
      <c r="FN271" s="487"/>
      <c r="FO271" s="487"/>
      <c r="FP271" s="487"/>
      <c r="FQ271" s="487"/>
      <c r="FR271" s="487"/>
      <c r="FS271" s="487"/>
      <c r="FT271" s="487"/>
      <c r="FU271" s="487"/>
      <c r="FV271" s="487"/>
      <c r="FW271" s="487"/>
      <c r="FX271" s="487"/>
      <c r="FY271" s="487"/>
      <c r="FZ271" s="487"/>
      <c r="GA271" s="487"/>
      <c r="GB271" s="487"/>
      <c r="GC271" s="487"/>
      <c r="GD271" s="487"/>
      <c r="GE271" s="487"/>
      <c r="GF271" s="487"/>
      <c r="GG271" s="487"/>
      <c r="GH271" s="487"/>
      <c r="GI271" s="487"/>
      <c r="GJ271" s="487"/>
      <c r="GK271" s="487"/>
      <c r="GL271" s="487"/>
      <c r="GM271" s="487"/>
      <c r="GN271" s="487"/>
      <c r="GO271" s="487"/>
      <c r="GP271" s="487"/>
      <c r="GQ271" s="487"/>
      <c r="GR271" s="487"/>
      <c r="GS271" s="487"/>
      <c r="GT271" s="487"/>
      <c r="GU271" s="487"/>
      <c r="GV271" s="487"/>
      <c r="GW271" s="487"/>
      <c r="GX271" s="487"/>
      <c r="GY271" s="487"/>
      <c r="GZ271" s="487"/>
      <c r="HA271" s="487"/>
      <c r="HB271" s="487"/>
      <c r="HC271" s="487"/>
      <c r="HD271" s="487"/>
      <c r="HE271" s="487"/>
      <c r="HF271" s="487"/>
      <c r="HG271" s="487"/>
      <c r="HH271" s="487"/>
      <c r="HI271" s="487"/>
      <c r="HJ271" s="487"/>
      <c r="HK271" s="487"/>
      <c r="HL271" s="487"/>
      <c r="HM271" s="487"/>
      <c r="HN271" s="487"/>
      <c r="HO271" s="487"/>
      <c r="HP271" s="487"/>
      <c r="HQ271" s="487"/>
      <c r="HR271" s="487"/>
      <c r="HS271" s="490"/>
    </row>
    <row r="272" spans="1:227" s="486" customFormat="1" ht="15" customHeight="1" x14ac:dyDescent="0.2">
      <c r="A272" s="453" t="s">
        <v>10262</v>
      </c>
      <c r="B272" s="453" t="s">
        <v>10263</v>
      </c>
      <c r="C272" s="473" t="s">
        <v>386</v>
      </c>
      <c r="D272" s="455" t="s">
        <v>9709</v>
      </c>
      <c r="E272" s="456" t="s">
        <v>9734</v>
      </c>
      <c r="F272" s="456" t="s">
        <v>10241</v>
      </c>
      <c r="G272" s="456" t="s">
        <v>7180</v>
      </c>
      <c r="H272" s="457">
        <v>247.32000000000002</v>
      </c>
      <c r="I272" s="457">
        <f t="shared" si="19"/>
        <v>265.86900000000003</v>
      </c>
      <c r="J272" s="457" t="s">
        <v>9706</v>
      </c>
      <c r="K272" s="458">
        <v>0.3</v>
      </c>
      <c r="L272" s="459">
        <f t="shared" si="16"/>
        <v>173.124</v>
      </c>
      <c r="M272" s="460">
        <v>0.18</v>
      </c>
      <c r="N272" s="461">
        <f t="shared" si="17"/>
        <v>218.01258000000004</v>
      </c>
      <c r="O272" s="462">
        <v>0.1</v>
      </c>
      <c r="P272" s="463">
        <f t="shared" si="18"/>
        <v>239.28210000000004</v>
      </c>
      <c r="Q272" s="484"/>
      <c r="R272" s="465">
        <v>4</v>
      </c>
      <c r="S272" s="465">
        <v>4</v>
      </c>
      <c r="T272" s="465">
        <v>48</v>
      </c>
      <c r="U272" s="466"/>
      <c r="V272" s="485"/>
      <c r="W272" s="485"/>
      <c r="X272" s="485"/>
      <c r="Y272" s="485"/>
      <c r="Z272" s="485"/>
      <c r="AA272" s="485"/>
      <c r="AB272" s="485"/>
      <c r="AC272" s="485"/>
      <c r="AD272" s="485"/>
      <c r="AE272" s="485"/>
      <c r="AF272" s="485"/>
      <c r="AG272" s="485"/>
      <c r="AH272" s="485"/>
      <c r="AI272" s="485"/>
      <c r="AJ272" s="485"/>
      <c r="AK272" s="485"/>
      <c r="AL272" s="485"/>
      <c r="AM272" s="485"/>
      <c r="AN272" s="487"/>
      <c r="AO272" s="487"/>
      <c r="AP272" s="487"/>
      <c r="AQ272" s="487"/>
      <c r="AR272" s="487"/>
      <c r="AS272" s="487"/>
      <c r="AT272" s="487"/>
      <c r="AU272" s="487"/>
      <c r="AV272" s="487"/>
      <c r="AW272" s="487"/>
      <c r="AX272" s="487"/>
      <c r="AY272" s="487"/>
      <c r="AZ272" s="487"/>
      <c r="BA272" s="487"/>
      <c r="BB272" s="487"/>
      <c r="BC272" s="487"/>
      <c r="BD272" s="487"/>
      <c r="BE272" s="487"/>
      <c r="BF272" s="487"/>
      <c r="BG272" s="487"/>
      <c r="BH272" s="487"/>
      <c r="BI272" s="487"/>
      <c r="BJ272" s="487"/>
      <c r="BK272" s="487"/>
      <c r="BL272" s="487"/>
      <c r="BM272" s="487"/>
      <c r="BN272" s="487"/>
      <c r="BO272" s="487"/>
      <c r="BP272" s="487"/>
      <c r="BQ272" s="487"/>
      <c r="BR272" s="487"/>
      <c r="BS272" s="487"/>
      <c r="BT272" s="487"/>
      <c r="BU272" s="487"/>
      <c r="BV272" s="487"/>
      <c r="BW272" s="487"/>
      <c r="BX272" s="487"/>
      <c r="BY272" s="487"/>
      <c r="BZ272" s="487"/>
      <c r="CA272" s="487"/>
      <c r="CB272" s="487"/>
      <c r="CC272" s="487"/>
      <c r="CD272" s="487"/>
      <c r="CE272" s="487"/>
      <c r="CF272" s="487"/>
      <c r="CG272" s="487"/>
      <c r="CH272" s="487"/>
      <c r="CI272" s="487"/>
      <c r="CJ272" s="487"/>
      <c r="CK272" s="487"/>
      <c r="CL272" s="487"/>
      <c r="CM272" s="487"/>
      <c r="CN272" s="487"/>
      <c r="CO272" s="487"/>
      <c r="CP272" s="487"/>
      <c r="CQ272" s="487"/>
      <c r="CR272" s="487"/>
      <c r="CS272" s="487"/>
      <c r="CT272" s="487"/>
      <c r="CU272" s="487"/>
      <c r="CV272" s="487"/>
      <c r="CW272" s="487"/>
      <c r="CX272" s="487"/>
      <c r="CY272" s="487"/>
      <c r="CZ272" s="487"/>
      <c r="DA272" s="487"/>
      <c r="DB272" s="487"/>
      <c r="DC272" s="487"/>
      <c r="DD272" s="487"/>
      <c r="DE272" s="487"/>
      <c r="DF272" s="487"/>
      <c r="DG272" s="487"/>
      <c r="DH272" s="487"/>
      <c r="DI272" s="487"/>
      <c r="DJ272" s="487"/>
      <c r="DK272" s="487"/>
      <c r="DL272" s="487"/>
      <c r="DM272" s="487"/>
      <c r="DN272" s="487"/>
      <c r="DO272" s="487"/>
      <c r="DP272" s="487"/>
      <c r="DQ272" s="487"/>
      <c r="DR272" s="487"/>
      <c r="DS272" s="487"/>
      <c r="DT272" s="487"/>
      <c r="DU272" s="487"/>
      <c r="DV272" s="487"/>
      <c r="DW272" s="487"/>
      <c r="DX272" s="487"/>
      <c r="DY272" s="487"/>
      <c r="DZ272" s="487"/>
      <c r="EA272" s="487"/>
      <c r="EB272" s="487"/>
      <c r="EC272" s="487"/>
      <c r="ED272" s="487"/>
      <c r="EE272" s="487"/>
      <c r="EF272" s="487"/>
      <c r="EG272" s="487"/>
      <c r="EH272" s="487"/>
      <c r="EI272" s="487"/>
      <c r="EJ272" s="487"/>
      <c r="EK272" s="487"/>
      <c r="EL272" s="487"/>
      <c r="EM272" s="487"/>
      <c r="EN272" s="487"/>
      <c r="EO272" s="487"/>
      <c r="EP272" s="487"/>
      <c r="EQ272" s="487"/>
      <c r="ER272" s="487"/>
      <c r="ES272" s="487"/>
      <c r="ET272" s="487"/>
      <c r="EU272" s="487"/>
      <c r="EV272" s="487"/>
      <c r="EW272" s="487"/>
      <c r="EX272" s="487"/>
      <c r="EY272" s="487"/>
      <c r="EZ272" s="487"/>
      <c r="FA272" s="487"/>
      <c r="FB272" s="487"/>
      <c r="FC272" s="487"/>
      <c r="FD272" s="487"/>
      <c r="FE272" s="487"/>
      <c r="FF272" s="487"/>
      <c r="FG272" s="487"/>
      <c r="FH272" s="487"/>
      <c r="FI272" s="487"/>
      <c r="FJ272" s="487"/>
      <c r="FK272" s="487"/>
      <c r="FL272" s="487"/>
      <c r="FM272" s="487"/>
      <c r="FN272" s="487"/>
      <c r="FO272" s="487"/>
      <c r="FP272" s="487"/>
      <c r="FQ272" s="487"/>
      <c r="FR272" s="487"/>
      <c r="FS272" s="487"/>
      <c r="FT272" s="487"/>
      <c r="FU272" s="487"/>
      <c r="FV272" s="487"/>
      <c r="FW272" s="487"/>
      <c r="FX272" s="487"/>
      <c r="FY272" s="487"/>
      <c r="FZ272" s="487"/>
      <c r="GA272" s="487"/>
      <c r="GB272" s="487"/>
      <c r="GC272" s="487"/>
      <c r="GD272" s="487"/>
      <c r="GE272" s="487"/>
      <c r="GF272" s="487"/>
      <c r="GG272" s="487"/>
      <c r="GH272" s="487"/>
      <c r="GI272" s="487"/>
      <c r="GJ272" s="487"/>
      <c r="GK272" s="487"/>
      <c r="GL272" s="487"/>
      <c r="GM272" s="487"/>
      <c r="GN272" s="487"/>
      <c r="GO272" s="487"/>
      <c r="GP272" s="487"/>
      <c r="GQ272" s="487"/>
      <c r="GR272" s="487"/>
      <c r="GS272" s="487"/>
      <c r="GT272" s="487"/>
      <c r="GU272" s="487"/>
      <c r="GV272" s="487"/>
      <c r="GW272" s="487"/>
      <c r="GX272" s="487"/>
      <c r="GY272" s="487"/>
      <c r="GZ272" s="487"/>
      <c r="HA272" s="487"/>
      <c r="HB272" s="487"/>
      <c r="HC272" s="487"/>
      <c r="HD272" s="487"/>
      <c r="HE272" s="487"/>
      <c r="HF272" s="487"/>
      <c r="HG272" s="487"/>
      <c r="HH272" s="487"/>
      <c r="HI272" s="487"/>
      <c r="HJ272" s="487"/>
      <c r="HK272" s="487"/>
      <c r="HL272" s="487"/>
      <c r="HM272" s="487"/>
      <c r="HN272" s="487"/>
      <c r="HO272" s="487"/>
      <c r="HP272" s="487"/>
      <c r="HQ272" s="487"/>
      <c r="HR272" s="487"/>
      <c r="HS272" s="490"/>
    </row>
    <row r="273" spans="1:227" s="486" customFormat="1" ht="15" customHeight="1" x14ac:dyDescent="0.2">
      <c r="A273" s="453" t="s">
        <v>10264</v>
      </c>
      <c r="B273" s="453" t="s">
        <v>10265</v>
      </c>
      <c r="C273" s="473" t="s">
        <v>386</v>
      </c>
      <c r="D273" s="455" t="s">
        <v>9709</v>
      </c>
      <c r="E273" s="456" t="s">
        <v>9739</v>
      </c>
      <c r="F273" s="456" t="s">
        <v>10241</v>
      </c>
      <c r="G273" s="456" t="s">
        <v>7180</v>
      </c>
      <c r="H273" s="457">
        <v>247.32000000000002</v>
      </c>
      <c r="I273" s="457">
        <f t="shared" si="19"/>
        <v>265.86900000000003</v>
      </c>
      <c r="J273" s="457" t="s">
        <v>9706</v>
      </c>
      <c r="K273" s="458">
        <v>0.3</v>
      </c>
      <c r="L273" s="459">
        <f t="shared" si="16"/>
        <v>173.124</v>
      </c>
      <c r="M273" s="460">
        <v>0.18</v>
      </c>
      <c r="N273" s="461">
        <f t="shared" si="17"/>
        <v>218.01258000000004</v>
      </c>
      <c r="O273" s="462">
        <v>0.1</v>
      </c>
      <c r="P273" s="463">
        <f t="shared" si="18"/>
        <v>239.28210000000004</v>
      </c>
      <c r="Q273" s="484"/>
      <c r="R273" s="465">
        <v>4</v>
      </c>
      <c r="S273" s="465">
        <v>4</v>
      </c>
      <c r="T273" s="465">
        <v>48</v>
      </c>
      <c r="U273" s="466"/>
      <c r="V273" s="485"/>
      <c r="W273" s="485"/>
      <c r="X273" s="485"/>
      <c r="Y273" s="485"/>
      <c r="Z273" s="485"/>
      <c r="AA273" s="485"/>
      <c r="AB273" s="485"/>
      <c r="AC273" s="485"/>
      <c r="AD273" s="485"/>
      <c r="AE273" s="485"/>
      <c r="AF273" s="485"/>
      <c r="AG273" s="485"/>
      <c r="AH273" s="485"/>
      <c r="AI273" s="485"/>
      <c r="AJ273" s="485"/>
      <c r="AK273" s="485"/>
      <c r="AL273" s="485"/>
      <c r="AM273" s="485"/>
      <c r="AN273" s="487"/>
      <c r="AO273" s="487"/>
      <c r="AP273" s="487"/>
      <c r="AQ273" s="487"/>
      <c r="AR273" s="487"/>
      <c r="AS273" s="487"/>
      <c r="AT273" s="487"/>
      <c r="AU273" s="487"/>
      <c r="AV273" s="487"/>
      <c r="AW273" s="487"/>
      <c r="AX273" s="487"/>
      <c r="AY273" s="487"/>
      <c r="AZ273" s="487"/>
      <c r="BA273" s="487"/>
      <c r="BB273" s="487"/>
      <c r="BC273" s="487"/>
      <c r="BD273" s="487"/>
      <c r="BE273" s="487"/>
      <c r="BF273" s="487"/>
      <c r="BG273" s="487"/>
      <c r="BH273" s="487"/>
      <c r="BI273" s="487"/>
      <c r="BJ273" s="487"/>
      <c r="BK273" s="487"/>
      <c r="BL273" s="487"/>
      <c r="BM273" s="487"/>
      <c r="BN273" s="487"/>
      <c r="BO273" s="487"/>
      <c r="BP273" s="487"/>
      <c r="BQ273" s="487"/>
      <c r="BR273" s="487"/>
      <c r="BS273" s="487"/>
      <c r="BT273" s="487"/>
      <c r="BU273" s="487"/>
      <c r="BV273" s="487"/>
      <c r="BW273" s="487"/>
      <c r="BX273" s="487"/>
      <c r="BY273" s="487"/>
      <c r="BZ273" s="487"/>
      <c r="CA273" s="487"/>
      <c r="CB273" s="487"/>
      <c r="CC273" s="487"/>
      <c r="CD273" s="487"/>
      <c r="CE273" s="487"/>
      <c r="CF273" s="487"/>
      <c r="CG273" s="487"/>
      <c r="CH273" s="487"/>
      <c r="CI273" s="487"/>
      <c r="CJ273" s="487"/>
      <c r="CK273" s="487"/>
      <c r="CL273" s="487"/>
      <c r="CM273" s="487"/>
      <c r="CN273" s="487"/>
      <c r="CO273" s="487"/>
      <c r="CP273" s="487"/>
      <c r="CQ273" s="487"/>
      <c r="CR273" s="487"/>
      <c r="CS273" s="487"/>
      <c r="CT273" s="487"/>
      <c r="CU273" s="487"/>
      <c r="CV273" s="487"/>
      <c r="CW273" s="487"/>
      <c r="CX273" s="487"/>
      <c r="CY273" s="487"/>
      <c r="CZ273" s="487"/>
      <c r="DA273" s="487"/>
      <c r="DB273" s="487"/>
      <c r="DC273" s="487"/>
      <c r="DD273" s="487"/>
      <c r="DE273" s="487"/>
      <c r="DF273" s="487"/>
      <c r="DG273" s="487"/>
      <c r="DH273" s="487"/>
      <c r="DI273" s="487"/>
      <c r="DJ273" s="487"/>
      <c r="DK273" s="487"/>
      <c r="DL273" s="487"/>
      <c r="DM273" s="487"/>
      <c r="DN273" s="487"/>
      <c r="DO273" s="487"/>
      <c r="DP273" s="487"/>
      <c r="DQ273" s="487"/>
      <c r="DR273" s="487"/>
      <c r="DS273" s="487"/>
      <c r="DT273" s="487"/>
      <c r="DU273" s="487"/>
      <c r="DV273" s="487"/>
      <c r="DW273" s="487"/>
      <c r="DX273" s="487"/>
      <c r="DY273" s="487"/>
      <c r="DZ273" s="487"/>
      <c r="EA273" s="487"/>
      <c r="EB273" s="487"/>
      <c r="EC273" s="487"/>
      <c r="ED273" s="487"/>
      <c r="EE273" s="487"/>
      <c r="EF273" s="487"/>
      <c r="EG273" s="487"/>
      <c r="EH273" s="487"/>
      <c r="EI273" s="487"/>
      <c r="EJ273" s="487"/>
      <c r="EK273" s="487"/>
      <c r="EL273" s="487"/>
      <c r="EM273" s="487"/>
      <c r="EN273" s="487"/>
      <c r="EO273" s="487"/>
      <c r="EP273" s="487"/>
      <c r="EQ273" s="487"/>
      <c r="ER273" s="487"/>
      <c r="ES273" s="487"/>
      <c r="ET273" s="487"/>
      <c r="EU273" s="487"/>
      <c r="EV273" s="487"/>
      <c r="EW273" s="487"/>
      <c r="EX273" s="487"/>
      <c r="EY273" s="487"/>
      <c r="EZ273" s="487"/>
      <c r="FA273" s="487"/>
      <c r="FB273" s="487"/>
      <c r="FC273" s="487"/>
      <c r="FD273" s="487"/>
      <c r="FE273" s="487"/>
      <c r="FF273" s="487"/>
      <c r="FG273" s="487"/>
      <c r="FH273" s="487"/>
      <c r="FI273" s="487"/>
      <c r="FJ273" s="487"/>
      <c r="FK273" s="487"/>
      <c r="FL273" s="487"/>
      <c r="FM273" s="487"/>
      <c r="FN273" s="487"/>
      <c r="FO273" s="487"/>
      <c r="FP273" s="487"/>
      <c r="FQ273" s="487"/>
      <c r="FR273" s="487"/>
      <c r="FS273" s="487"/>
      <c r="FT273" s="487"/>
      <c r="FU273" s="487"/>
      <c r="FV273" s="487"/>
      <c r="FW273" s="487"/>
      <c r="FX273" s="487"/>
      <c r="FY273" s="487"/>
      <c r="FZ273" s="487"/>
      <c r="GA273" s="487"/>
      <c r="GB273" s="487"/>
      <c r="GC273" s="487"/>
      <c r="GD273" s="487"/>
      <c r="GE273" s="487"/>
      <c r="GF273" s="487"/>
      <c r="GG273" s="487"/>
      <c r="GH273" s="487"/>
      <c r="GI273" s="487"/>
      <c r="GJ273" s="487"/>
      <c r="GK273" s="487"/>
      <c r="GL273" s="487"/>
      <c r="GM273" s="487"/>
      <c r="GN273" s="487"/>
      <c r="GO273" s="487"/>
      <c r="GP273" s="487"/>
      <c r="GQ273" s="487"/>
      <c r="GR273" s="487"/>
      <c r="GS273" s="487"/>
      <c r="GT273" s="487"/>
      <c r="GU273" s="487"/>
      <c r="GV273" s="487"/>
      <c r="GW273" s="487"/>
      <c r="GX273" s="487"/>
      <c r="GY273" s="487"/>
      <c r="GZ273" s="487"/>
      <c r="HA273" s="487"/>
      <c r="HB273" s="487"/>
      <c r="HC273" s="487"/>
      <c r="HD273" s="487"/>
      <c r="HE273" s="487"/>
      <c r="HF273" s="487"/>
      <c r="HG273" s="487"/>
      <c r="HH273" s="487"/>
      <c r="HI273" s="487"/>
      <c r="HJ273" s="487"/>
      <c r="HK273" s="487"/>
      <c r="HL273" s="487"/>
      <c r="HM273" s="487"/>
      <c r="HN273" s="487"/>
      <c r="HO273" s="487"/>
      <c r="HP273" s="487"/>
      <c r="HQ273" s="487"/>
      <c r="HR273" s="487"/>
      <c r="HS273" s="490"/>
    </row>
    <row r="274" spans="1:227" s="486" customFormat="1" ht="15" customHeight="1" x14ac:dyDescent="0.2">
      <c r="A274" s="453" t="s">
        <v>10266</v>
      </c>
      <c r="B274" s="453" t="s">
        <v>10267</v>
      </c>
      <c r="C274" s="473" t="s">
        <v>386</v>
      </c>
      <c r="D274" s="455" t="s">
        <v>9709</v>
      </c>
      <c r="E274" s="456" t="s">
        <v>9710</v>
      </c>
      <c r="F274" s="456" t="s">
        <v>10241</v>
      </c>
      <c r="G274" s="456" t="s">
        <v>7180</v>
      </c>
      <c r="H274" s="457">
        <v>247.32000000000002</v>
      </c>
      <c r="I274" s="457">
        <f t="shared" si="19"/>
        <v>265.86900000000003</v>
      </c>
      <c r="J274" s="457" t="s">
        <v>9706</v>
      </c>
      <c r="K274" s="458">
        <v>0.3</v>
      </c>
      <c r="L274" s="459">
        <f t="shared" si="16"/>
        <v>173.124</v>
      </c>
      <c r="M274" s="460">
        <v>0.18</v>
      </c>
      <c r="N274" s="461">
        <f t="shared" si="17"/>
        <v>218.01258000000004</v>
      </c>
      <c r="O274" s="462">
        <v>0.1</v>
      </c>
      <c r="P274" s="463">
        <f t="shared" si="18"/>
        <v>239.28210000000004</v>
      </c>
      <c r="Q274" s="484"/>
      <c r="R274" s="465">
        <v>4</v>
      </c>
      <c r="S274" s="465">
        <v>4</v>
      </c>
      <c r="T274" s="465">
        <v>48</v>
      </c>
      <c r="U274" s="466"/>
      <c r="V274" s="485"/>
      <c r="W274" s="485"/>
      <c r="X274" s="485"/>
      <c r="Y274" s="485"/>
      <c r="Z274" s="485"/>
      <c r="AA274" s="485"/>
      <c r="AB274" s="485"/>
      <c r="AC274" s="485"/>
      <c r="AD274" s="485"/>
      <c r="AE274" s="485"/>
      <c r="AF274" s="485"/>
      <c r="AG274" s="485"/>
      <c r="AH274" s="485"/>
      <c r="AI274" s="485"/>
      <c r="AJ274" s="485"/>
      <c r="AK274" s="485"/>
      <c r="AL274" s="485"/>
      <c r="AM274" s="485"/>
      <c r="AN274" s="487"/>
      <c r="AO274" s="487"/>
      <c r="AP274" s="487"/>
      <c r="AQ274" s="487"/>
      <c r="AR274" s="487"/>
      <c r="AS274" s="487"/>
      <c r="AT274" s="487"/>
      <c r="AU274" s="487"/>
      <c r="AV274" s="487"/>
      <c r="AW274" s="487"/>
      <c r="AX274" s="487"/>
      <c r="AY274" s="487"/>
      <c r="AZ274" s="487"/>
      <c r="BA274" s="487"/>
      <c r="BB274" s="487"/>
      <c r="BC274" s="487"/>
      <c r="BD274" s="487"/>
      <c r="BE274" s="487"/>
      <c r="BF274" s="487"/>
      <c r="BG274" s="487"/>
      <c r="BH274" s="487"/>
      <c r="BI274" s="487"/>
      <c r="BJ274" s="487"/>
      <c r="BK274" s="487"/>
      <c r="BL274" s="487"/>
      <c r="BM274" s="487"/>
      <c r="BN274" s="487"/>
      <c r="BO274" s="487"/>
      <c r="BP274" s="487"/>
      <c r="BQ274" s="487"/>
      <c r="BR274" s="487"/>
      <c r="BS274" s="487"/>
      <c r="BT274" s="487"/>
      <c r="BU274" s="487"/>
      <c r="BV274" s="487"/>
      <c r="BW274" s="487"/>
      <c r="BX274" s="487"/>
      <c r="BY274" s="487"/>
      <c r="BZ274" s="487"/>
      <c r="CA274" s="487"/>
      <c r="CB274" s="487"/>
      <c r="CC274" s="487"/>
      <c r="CD274" s="487"/>
      <c r="CE274" s="487"/>
      <c r="CF274" s="487"/>
      <c r="CG274" s="487"/>
      <c r="CH274" s="487"/>
      <c r="CI274" s="487"/>
      <c r="CJ274" s="487"/>
      <c r="CK274" s="487"/>
      <c r="CL274" s="487"/>
      <c r="CM274" s="487"/>
      <c r="CN274" s="487"/>
      <c r="CO274" s="487"/>
      <c r="CP274" s="487"/>
      <c r="CQ274" s="487"/>
      <c r="CR274" s="487"/>
      <c r="CS274" s="487"/>
      <c r="CT274" s="487"/>
      <c r="CU274" s="487"/>
      <c r="CV274" s="487"/>
      <c r="CW274" s="487"/>
      <c r="CX274" s="487"/>
      <c r="CY274" s="487"/>
      <c r="CZ274" s="487"/>
      <c r="DA274" s="487"/>
      <c r="DB274" s="487"/>
      <c r="DC274" s="487"/>
      <c r="DD274" s="487"/>
      <c r="DE274" s="487"/>
      <c r="DF274" s="487"/>
      <c r="DG274" s="487"/>
      <c r="DH274" s="487"/>
      <c r="DI274" s="487"/>
      <c r="DJ274" s="487"/>
      <c r="DK274" s="487"/>
      <c r="DL274" s="487"/>
      <c r="DM274" s="487"/>
      <c r="DN274" s="487"/>
      <c r="DO274" s="487"/>
      <c r="DP274" s="487"/>
      <c r="DQ274" s="487"/>
      <c r="DR274" s="487"/>
      <c r="DS274" s="487"/>
      <c r="DT274" s="487"/>
      <c r="DU274" s="487"/>
      <c r="DV274" s="487"/>
      <c r="DW274" s="487"/>
      <c r="DX274" s="487"/>
      <c r="DY274" s="487"/>
      <c r="DZ274" s="487"/>
      <c r="EA274" s="487"/>
      <c r="EB274" s="487"/>
      <c r="EC274" s="487"/>
      <c r="ED274" s="487"/>
      <c r="EE274" s="487"/>
      <c r="EF274" s="487"/>
      <c r="EG274" s="487"/>
      <c r="EH274" s="487"/>
      <c r="EI274" s="487"/>
      <c r="EJ274" s="487"/>
      <c r="EK274" s="487"/>
      <c r="EL274" s="487"/>
      <c r="EM274" s="487"/>
      <c r="EN274" s="487"/>
      <c r="EO274" s="487"/>
      <c r="EP274" s="487"/>
      <c r="EQ274" s="487"/>
      <c r="ER274" s="487"/>
      <c r="ES274" s="487"/>
      <c r="ET274" s="487"/>
      <c r="EU274" s="487"/>
      <c r="EV274" s="487"/>
      <c r="EW274" s="487"/>
      <c r="EX274" s="487"/>
      <c r="EY274" s="487"/>
      <c r="EZ274" s="487"/>
      <c r="FA274" s="487"/>
      <c r="FB274" s="487"/>
      <c r="FC274" s="487"/>
      <c r="FD274" s="487"/>
      <c r="FE274" s="487"/>
      <c r="FF274" s="487"/>
      <c r="FG274" s="487"/>
      <c r="FH274" s="487"/>
      <c r="FI274" s="487"/>
      <c r="FJ274" s="487"/>
      <c r="FK274" s="487"/>
      <c r="FL274" s="487"/>
      <c r="FM274" s="487"/>
      <c r="FN274" s="487"/>
      <c r="FO274" s="487"/>
      <c r="FP274" s="487"/>
      <c r="FQ274" s="487"/>
      <c r="FR274" s="487"/>
      <c r="FS274" s="487"/>
      <c r="FT274" s="487"/>
      <c r="FU274" s="487"/>
      <c r="FV274" s="487"/>
      <c r="FW274" s="487"/>
      <c r="FX274" s="487"/>
      <c r="FY274" s="487"/>
      <c r="FZ274" s="487"/>
      <c r="GA274" s="487"/>
      <c r="GB274" s="487"/>
      <c r="GC274" s="487"/>
      <c r="GD274" s="487"/>
      <c r="GE274" s="487"/>
      <c r="GF274" s="487"/>
      <c r="GG274" s="487"/>
      <c r="GH274" s="487"/>
      <c r="GI274" s="487"/>
      <c r="GJ274" s="487"/>
      <c r="GK274" s="487"/>
      <c r="GL274" s="487"/>
      <c r="GM274" s="487"/>
      <c r="GN274" s="487"/>
      <c r="GO274" s="487"/>
      <c r="GP274" s="487"/>
      <c r="GQ274" s="487"/>
      <c r="GR274" s="487"/>
      <c r="GS274" s="487"/>
      <c r="GT274" s="487"/>
      <c r="GU274" s="487"/>
      <c r="GV274" s="487"/>
      <c r="GW274" s="487"/>
      <c r="GX274" s="487"/>
      <c r="GY274" s="487"/>
      <c r="GZ274" s="487"/>
      <c r="HA274" s="487"/>
      <c r="HB274" s="487"/>
      <c r="HC274" s="487"/>
      <c r="HD274" s="487"/>
      <c r="HE274" s="487"/>
      <c r="HF274" s="487"/>
      <c r="HG274" s="487"/>
      <c r="HH274" s="487"/>
      <c r="HI274" s="487"/>
      <c r="HJ274" s="487"/>
      <c r="HK274" s="487"/>
      <c r="HL274" s="487"/>
      <c r="HM274" s="487"/>
      <c r="HN274" s="487"/>
      <c r="HO274" s="487"/>
      <c r="HP274" s="487"/>
      <c r="HQ274" s="487"/>
      <c r="HR274" s="487"/>
      <c r="HS274" s="490"/>
    </row>
    <row r="275" spans="1:227" s="486" customFormat="1" ht="15" customHeight="1" x14ac:dyDescent="0.2">
      <c r="A275" s="453" t="s">
        <v>10268</v>
      </c>
      <c r="B275" s="453" t="s">
        <v>10269</v>
      </c>
      <c r="C275" s="473" t="s">
        <v>386</v>
      </c>
      <c r="D275" s="455" t="s">
        <v>9709</v>
      </c>
      <c r="E275" s="456" t="s">
        <v>9710</v>
      </c>
      <c r="F275" s="456" t="s">
        <v>10241</v>
      </c>
      <c r="G275" s="456" t="s">
        <v>7180</v>
      </c>
      <c r="H275" s="457">
        <v>247.32000000000002</v>
      </c>
      <c r="I275" s="457">
        <f t="shared" si="19"/>
        <v>265.86900000000003</v>
      </c>
      <c r="J275" s="457" t="s">
        <v>9706</v>
      </c>
      <c r="K275" s="458">
        <v>0.3</v>
      </c>
      <c r="L275" s="459">
        <f t="shared" si="16"/>
        <v>173.124</v>
      </c>
      <c r="M275" s="460">
        <v>0.18</v>
      </c>
      <c r="N275" s="461">
        <f t="shared" si="17"/>
        <v>218.01258000000004</v>
      </c>
      <c r="O275" s="462">
        <v>0.1</v>
      </c>
      <c r="P275" s="463">
        <f t="shared" si="18"/>
        <v>239.28210000000004</v>
      </c>
      <c r="Q275" s="484"/>
      <c r="R275" s="465">
        <v>4</v>
      </c>
      <c r="S275" s="465">
        <v>4</v>
      </c>
      <c r="T275" s="465">
        <v>48</v>
      </c>
      <c r="U275" s="466"/>
      <c r="V275" s="485"/>
      <c r="W275" s="485"/>
      <c r="X275" s="485"/>
      <c r="Y275" s="485"/>
      <c r="Z275" s="485"/>
      <c r="AA275" s="485"/>
      <c r="AB275" s="485"/>
      <c r="AC275" s="485"/>
      <c r="AD275" s="485"/>
      <c r="AE275" s="485"/>
      <c r="AF275" s="485"/>
      <c r="AG275" s="485"/>
      <c r="AH275" s="485"/>
      <c r="AI275" s="485"/>
      <c r="AJ275" s="485"/>
      <c r="AK275" s="485"/>
      <c r="AL275" s="485"/>
      <c r="AM275" s="485"/>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7"/>
      <c r="BI275" s="487"/>
      <c r="BJ275" s="487"/>
      <c r="BK275" s="487"/>
      <c r="BL275" s="487"/>
      <c r="BM275" s="487"/>
      <c r="BN275" s="487"/>
      <c r="BO275" s="487"/>
      <c r="BP275" s="487"/>
      <c r="BQ275" s="487"/>
      <c r="BR275" s="487"/>
      <c r="BS275" s="487"/>
      <c r="BT275" s="487"/>
      <c r="BU275" s="487"/>
      <c r="BV275" s="487"/>
      <c r="BW275" s="487"/>
      <c r="BX275" s="487"/>
      <c r="BY275" s="487"/>
      <c r="BZ275" s="487"/>
      <c r="CA275" s="487"/>
      <c r="CB275" s="487"/>
      <c r="CC275" s="487"/>
      <c r="CD275" s="487"/>
      <c r="CE275" s="487"/>
      <c r="CF275" s="487"/>
      <c r="CG275" s="487"/>
      <c r="CH275" s="487"/>
      <c r="CI275" s="487"/>
      <c r="CJ275" s="487"/>
      <c r="CK275" s="487"/>
      <c r="CL275" s="487"/>
      <c r="CM275" s="487"/>
      <c r="CN275" s="487"/>
      <c r="CO275" s="487"/>
      <c r="CP275" s="487"/>
      <c r="CQ275" s="487"/>
      <c r="CR275" s="487"/>
      <c r="CS275" s="487"/>
      <c r="CT275" s="487"/>
      <c r="CU275" s="487"/>
      <c r="CV275" s="487"/>
      <c r="CW275" s="487"/>
      <c r="CX275" s="487"/>
      <c r="CY275" s="487"/>
      <c r="CZ275" s="487"/>
      <c r="DA275" s="487"/>
      <c r="DB275" s="487"/>
      <c r="DC275" s="487"/>
      <c r="DD275" s="487"/>
      <c r="DE275" s="487"/>
      <c r="DF275" s="487"/>
      <c r="DG275" s="487"/>
      <c r="DH275" s="487"/>
      <c r="DI275" s="487"/>
      <c r="DJ275" s="487"/>
      <c r="DK275" s="487"/>
      <c r="DL275" s="487"/>
      <c r="DM275" s="487"/>
      <c r="DN275" s="487"/>
      <c r="DO275" s="487"/>
      <c r="DP275" s="487"/>
      <c r="DQ275" s="487"/>
      <c r="DR275" s="487"/>
      <c r="DS275" s="487"/>
      <c r="DT275" s="487"/>
      <c r="DU275" s="487"/>
      <c r="DV275" s="487"/>
      <c r="DW275" s="487"/>
      <c r="DX275" s="487"/>
      <c r="DY275" s="487"/>
      <c r="DZ275" s="487"/>
      <c r="EA275" s="487"/>
      <c r="EB275" s="487"/>
      <c r="EC275" s="487"/>
      <c r="ED275" s="487"/>
      <c r="EE275" s="487"/>
      <c r="EF275" s="487"/>
      <c r="EG275" s="487"/>
      <c r="EH275" s="487"/>
      <c r="EI275" s="487"/>
      <c r="EJ275" s="487"/>
      <c r="EK275" s="487"/>
      <c r="EL275" s="487"/>
      <c r="EM275" s="487"/>
      <c r="EN275" s="487"/>
      <c r="EO275" s="487"/>
      <c r="EP275" s="487"/>
      <c r="EQ275" s="487"/>
      <c r="ER275" s="487"/>
      <c r="ES275" s="487"/>
      <c r="ET275" s="487"/>
      <c r="EU275" s="487"/>
      <c r="EV275" s="487"/>
      <c r="EW275" s="487"/>
      <c r="EX275" s="487"/>
      <c r="EY275" s="487"/>
      <c r="EZ275" s="487"/>
      <c r="FA275" s="487"/>
      <c r="FB275" s="487"/>
      <c r="FC275" s="487"/>
      <c r="FD275" s="487"/>
      <c r="FE275" s="487"/>
      <c r="FF275" s="487"/>
      <c r="FG275" s="487"/>
      <c r="FH275" s="487"/>
      <c r="FI275" s="487"/>
      <c r="FJ275" s="487"/>
      <c r="FK275" s="487"/>
      <c r="FL275" s="487"/>
      <c r="FM275" s="487"/>
      <c r="FN275" s="487"/>
      <c r="FO275" s="487"/>
      <c r="FP275" s="487"/>
      <c r="FQ275" s="487"/>
      <c r="FR275" s="487"/>
      <c r="FS275" s="487"/>
      <c r="FT275" s="487"/>
      <c r="FU275" s="487"/>
      <c r="FV275" s="487"/>
      <c r="FW275" s="487"/>
      <c r="FX275" s="487"/>
      <c r="FY275" s="487"/>
      <c r="FZ275" s="487"/>
      <c r="GA275" s="487"/>
      <c r="GB275" s="487"/>
      <c r="GC275" s="487"/>
      <c r="GD275" s="487"/>
      <c r="GE275" s="487"/>
      <c r="GF275" s="487"/>
      <c r="GG275" s="487"/>
      <c r="GH275" s="487"/>
      <c r="GI275" s="487"/>
      <c r="GJ275" s="487"/>
      <c r="GK275" s="487"/>
      <c r="GL275" s="487"/>
      <c r="GM275" s="487"/>
      <c r="GN275" s="487"/>
      <c r="GO275" s="487"/>
      <c r="GP275" s="487"/>
      <c r="GQ275" s="487"/>
      <c r="GR275" s="487"/>
      <c r="GS275" s="487"/>
      <c r="GT275" s="487"/>
      <c r="GU275" s="487"/>
      <c r="GV275" s="487"/>
      <c r="GW275" s="487"/>
      <c r="GX275" s="487"/>
      <c r="GY275" s="487"/>
      <c r="GZ275" s="487"/>
      <c r="HA275" s="487"/>
      <c r="HB275" s="487"/>
      <c r="HC275" s="487"/>
      <c r="HD275" s="487"/>
      <c r="HE275" s="487"/>
      <c r="HF275" s="487"/>
      <c r="HG275" s="487"/>
      <c r="HH275" s="487"/>
      <c r="HI275" s="487"/>
      <c r="HJ275" s="487"/>
      <c r="HK275" s="487"/>
      <c r="HL275" s="487"/>
      <c r="HM275" s="487"/>
      <c r="HN275" s="487"/>
      <c r="HO275" s="487"/>
      <c r="HP275" s="487"/>
      <c r="HQ275" s="487"/>
      <c r="HR275" s="487"/>
      <c r="HS275" s="490"/>
    </row>
    <row r="276" spans="1:227" s="486" customFormat="1" ht="15" customHeight="1" x14ac:dyDescent="0.2">
      <c r="A276" s="492" t="s">
        <v>10270</v>
      </c>
      <c r="B276" s="492" t="s">
        <v>10271</v>
      </c>
      <c r="C276" s="454" t="s">
        <v>386</v>
      </c>
      <c r="D276" s="455" t="s">
        <v>9709</v>
      </c>
      <c r="E276" s="456" t="s">
        <v>9716</v>
      </c>
      <c r="F276" s="456" t="s">
        <v>10241</v>
      </c>
      <c r="G276" s="456" t="s">
        <v>7180</v>
      </c>
      <c r="H276" s="457">
        <v>258.12</v>
      </c>
      <c r="I276" s="457">
        <f t="shared" si="19"/>
        <v>277.47899999999998</v>
      </c>
      <c r="J276" s="457" t="s">
        <v>9706</v>
      </c>
      <c r="K276" s="458">
        <v>0.3</v>
      </c>
      <c r="L276" s="459">
        <f t="shared" si="16"/>
        <v>180.684</v>
      </c>
      <c r="M276" s="460">
        <v>0.18</v>
      </c>
      <c r="N276" s="461">
        <f t="shared" si="17"/>
        <v>227.53278</v>
      </c>
      <c r="O276" s="462">
        <v>0.1</v>
      </c>
      <c r="P276" s="463">
        <f t="shared" si="18"/>
        <v>249.7311</v>
      </c>
      <c r="Q276" s="484"/>
      <c r="R276" s="465">
        <v>4</v>
      </c>
      <c r="S276" s="465">
        <v>4</v>
      </c>
      <c r="T276" s="465">
        <v>48</v>
      </c>
      <c r="U276" s="466"/>
      <c r="V276" s="485"/>
      <c r="W276" s="485"/>
      <c r="X276" s="485"/>
      <c r="Y276" s="485"/>
      <c r="Z276" s="485"/>
      <c r="AA276" s="485"/>
      <c r="AB276" s="485"/>
      <c r="AC276" s="485"/>
      <c r="AD276" s="485"/>
      <c r="AE276" s="485"/>
      <c r="AF276" s="485"/>
      <c r="AG276" s="485"/>
      <c r="AH276" s="485"/>
      <c r="AI276" s="485"/>
      <c r="AJ276" s="485"/>
      <c r="AK276" s="485"/>
      <c r="AL276" s="485"/>
      <c r="AM276" s="485"/>
      <c r="AN276" s="487"/>
      <c r="AO276" s="487"/>
      <c r="AP276" s="487"/>
      <c r="AQ276" s="487"/>
      <c r="AR276" s="487"/>
      <c r="AS276" s="487"/>
      <c r="AT276" s="487"/>
      <c r="AU276" s="487"/>
      <c r="AV276" s="487"/>
      <c r="AW276" s="487"/>
      <c r="AX276" s="487"/>
      <c r="AY276" s="487"/>
      <c r="AZ276" s="487"/>
      <c r="BA276" s="487"/>
      <c r="BB276" s="487"/>
      <c r="BC276" s="487"/>
      <c r="BD276" s="487"/>
      <c r="BE276" s="487"/>
      <c r="BF276" s="487"/>
      <c r="BG276" s="487"/>
      <c r="BH276" s="487"/>
      <c r="BI276" s="487"/>
      <c r="BJ276" s="487"/>
      <c r="BK276" s="487"/>
      <c r="BL276" s="487"/>
      <c r="BM276" s="487"/>
      <c r="BN276" s="487"/>
      <c r="BO276" s="487"/>
      <c r="BP276" s="487"/>
      <c r="BQ276" s="487"/>
      <c r="BR276" s="487"/>
      <c r="BS276" s="487"/>
      <c r="BT276" s="487"/>
      <c r="BU276" s="487"/>
      <c r="BV276" s="487"/>
      <c r="BW276" s="487"/>
      <c r="BX276" s="487"/>
      <c r="BY276" s="487"/>
      <c r="BZ276" s="487"/>
      <c r="CA276" s="487"/>
      <c r="CB276" s="487"/>
      <c r="CC276" s="487"/>
      <c r="CD276" s="487"/>
      <c r="CE276" s="487"/>
      <c r="CF276" s="487"/>
      <c r="CG276" s="487"/>
      <c r="CH276" s="487"/>
      <c r="CI276" s="487"/>
      <c r="CJ276" s="487"/>
      <c r="CK276" s="487"/>
      <c r="CL276" s="487"/>
      <c r="CM276" s="487"/>
      <c r="CN276" s="487"/>
      <c r="CO276" s="487"/>
      <c r="CP276" s="487"/>
      <c r="CQ276" s="487"/>
      <c r="CR276" s="487"/>
      <c r="CS276" s="487"/>
      <c r="CT276" s="487"/>
      <c r="CU276" s="487"/>
      <c r="CV276" s="487"/>
      <c r="CW276" s="487"/>
      <c r="CX276" s="487"/>
      <c r="CY276" s="487"/>
      <c r="CZ276" s="487"/>
      <c r="DA276" s="487"/>
      <c r="DB276" s="487"/>
      <c r="DC276" s="487"/>
      <c r="DD276" s="487"/>
      <c r="DE276" s="487"/>
      <c r="DF276" s="487"/>
      <c r="DG276" s="487"/>
      <c r="DH276" s="487"/>
      <c r="DI276" s="487"/>
      <c r="DJ276" s="487"/>
      <c r="DK276" s="487"/>
      <c r="DL276" s="487"/>
      <c r="DM276" s="487"/>
      <c r="DN276" s="487"/>
      <c r="DO276" s="487"/>
      <c r="DP276" s="487"/>
      <c r="DQ276" s="487"/>
      <c r="DR276" s="487"/>
      <c r="DS276" s="487"/>
      <c r="DT276" s="487"/>
      <c r="DU276" s="487"/>
      <c r="DV276" s="487"/>
      <c r="DW276" s="487"/>
      <c r="DX276" s="487"/>
      <c r="DY276" s="487"/>
      <c r="DZ276" s="487"/>
      <c r="EA276" s="487"/>
      <c r="EB276" s="487"/>
      <c r="EC276" s="487"/>
      <c r="ED276" s="487"/>
      <c r="EE276" s="487"/>
      <c r="EF276" s="487"/>
      <c r="EG276" s="487"/>
      <c r="EH276" s="487"/>
      <c r="EI276" s="487"/>
      <c r="EJ276" s="487"/>
      <c r="EK276" s="487"/>
      <c r="EL276" s="487"/>
      <c r="EM276" s="487"/>
      <c r="EN276" s="487"/>
      <c r="EO276" s="487"/>
      <c r="EP276" s="487"/>
      <c r="EQ276" s="487"/>
      <c r="ER276" s="487"/>
      <c r="ES276" s="487"/>
      <c r="ET276" s="487"/>
      <c r="EU276" s="487"/>
      <c r="EV276" s="487"/>
      <c r="EW276" s="487"/>
      <c r="EX276" s="487"/>
      <c r="EY276" s="487"/>
      <c r="EZ276" s="487"/>
      <c r="FA276" s="487"/>
      <c r="FB276" s="487"/>
      <c r="FC276" s="487"/>
      <c r="FD276" s="487"/>
      <c r="FE276" s="487"/>
      <c r="FF276" s="487"/>
      <c r="FG276" s="487"/>
      <c r="FH276" s="487"/>
      <c r="FI276" s="487"/>
      <c r="FJ276" s="487"/>
      <c r="FK276" s="487"/>
      <c r="FL276" s="487"/>
      <c r="FM276" s="487"/>
      <c r="FN276" s="487"/>
      <c r="FO276" s="487"/>
      <c r="FP276" s="487"/>
      <c r="FQ276" s="487"/>
      <c r="FR276" s="487"/>
      <c r="FS276" s="487"/>
      <c r="FT276" s="487"/>
      <c r="FU276" s="487"/>
      <c r="FV276" s="487"/>
      <c r="FW276" s="487"/>
      <c r="FX276" s="487"/>
      <c r="FY276" s="487"/>
      <c r="FZ276" s="487"/>
      <c r="GA276" s="487"/>
      <c r="GB276" s="487"/>
      <c r="GC276" s="487"/>
      <c r="GD276" s="487"/>
      <c r="GE276" s="487"/>
      <c r="GF276" s="487"/>
      <c r="GG276" s="487"/>
      <c r="GH276" s="487"/>
      <c r="GI276" s="487"/>
      <c r="GJ276" s="487"/>
      <c r="GK276" s="487"/>
      <c r="GL276" s="487"/>
      <c r="GM276" s="487"/>
      <c r="GN276" s="487"/>
      <c r="GO276" s="487"/>
      <c r="GP276" s="487"/>
      <c r="GQ276" s="487"/>
      <c r="GR276" s="487"/>
      <c r="GS276" s="487"/>
      <c r="GT276" s="487"/>
      <c r="GU276" s="487"/>
      <c r="GV276" s="487"/>
      <c r="GW276" s="487"/>
      <c r="GX276" s="487"/>
      <c r="GY276" s="487"/>
      <c r="GZ276" s="487"/>
      <c r="HA276" s="487"/>
      <c r="HB276" s="487"/>
      <c r="HC276" s="487"/>
      <c r="HD276" s="487"/>
      <c r="HE276" s="487"/>
      <c r="HF276" s="487"/>
      <c r="HG276" s="487"/>
      <c r="HH276" s="487"/>
      <c r="HI276" s="487"/>
      <c r="HJ276" s="487"/>
      <c r="HK276" s="487"/>
      <c r="HL276" s="487"/>
      <c r="HM276" s="487"/>
      <c r="HN276" s="487"/>
      <c r="HO276" s="487"/>
      <c r="HP276" s="487"/>
      <c r="HQ276" s="487"/>
      <c r="HR276" s="487"/>
      <c r="HS276" s="490"/>
    </row>
    <row r="277" spans="1:227" s="486" customFormat="1" x14ac:dyDescent="0.2">
      <c r="A277" s="453" t="s">
        <v>10272</v>
      </c>
      <c r="B277" s="453" t="s">
        <v>10273</v>
      </c>
      <c r="C277" s="454" t="s">
        <v>386</v>
      </c>
      <c r="D277" s="455" t="s">
        <v>9783</v>
      </c>
      <c r="E277" s="456" t="s">
        <v>9710</v>
      </c>
      <c r="F277" s="456" t="s">
        <v>10274</v>
      </c>
      <c r="G277" s="456" t="s">
        <v>7180</v>
      </c>
      <c r="H277" s="457">
        <v>166.32000000000002</v>
      </c>
      <c r="I277" s="457">
        <f t="shared" si="19"/>
        <v>178.79400000000001</v>
      </c>
      <c r="J277" s="457" t="s">
        <v>9706</v>
      </c>
      <c r="K277" s="458">
        <v>0.3</v>
      </c>
      <c r="L277" s="459">
        <f t="shared" si="16"/>
        <v>116.42400000000001</v>
      </c>
      <c r="M277" s="460">
        <v>0.18</v>
      </c>
      <c r="N277" s="461">
        <f t="shared" si="17"/>
        <v>146.61108000000002</v>
      </c>
      <c r="O277" s="462">
        <v>0.1</v>
      </c>
      <c r="P277" s="463">
        <f t="shared" si="18"/>
        <v>160.91460000000001</v>
      </c>
      <c r="Q277" s="484"/>
      <c r="R277" s="465">
        <v>4</v>
      </c>
      <c r="S277" s="465">
        <v>4</v>
      </c>
      <c r="T277" s="465">
        <v>48</v>
      </c>
      <c r="U277" s="466"/>
      <c r="V277" s="485"/>
      <c r="W277" s="485"/>
      <c r="X277" s="485"/>
      <c r="Y277" s="485"/>
      <c r="Z277" s="485"/>
      <c r="AA277" s="485"/>
      <c r="AB277" s="485"/>
      <c r="AC277" s="485"/>
      <c r="AD277" s="485"/>
      <c r="AE277" s="485"/>
      <c r="AF277" s="485"/>
      <c r="AG277" s="485"/>
      <c r="AH277" s="485"/>
      <c r="AI277" s="485"/>
      <c r="AJ277" s="485"/>
      <c r="AK277" s="485"/>
      <c r="AL277" s="485"/>
      <c r="AM277" s="485"/>
      <c r="AN277" s="487"/>
      <c r="AO277" s="487"/>
      <c r="AP277" s="487"/>
      <c r="AQ277" s="487"/>
      <c r="AR277" s="487"/>
      <c r="AS277" s="487"/>
      <c r="AT277" s="487"/>
      <c r="AU277" s="487"/>
      <c r="AV277" s="487"/>
      <c r="AW277" s="487"/>
      <c r="AX277" s="487"/>
      <c r="AY277" s="487"/>
      <c r="AZ277" s="487"/>
      <c r="BA277" s="487"/>
      <c r="BB277" s="487"/>
      <c r="BC277" s="487"/>
      <c r="BD277" s="487"/>
      <c r="BE277" s="487"/>
      <c r="BF277" s="487"/>
      <c r="BG277" s="487"/>
      <c r="BH277" s="487"/>
      <c r="BI277" s="487"/>
      <c r="BJ277" s="487"/>
      <c r="BK277" s="487"/>
      <c r="BL277" s="487"/>
      <c r="BM277" s="487"/>
      <c r="BN277" s="487"/>
      <c r="BO277" s="487"/>
      <c r="BP277" s="487"/>
      <c r="BQ277" s="487"/>
      <c r="BR277" s="487"/>
      <c r="BS277" s="487"/>
      <c r="BT277" s="487"/>
      <c r="BU277" s="487"/>
      <c r="BV277" s="487"/>
      <c r="BW277" s="487"/>
      <c r="BX277" s="487"/>
      <c r="BY277" s="487"/>
      <c r="BZ277" s="487"/>
      <c r="CA277" s="487"/>
      <c r="CB277" s="487"/>
      <c r="CC277" s="487"/>
      <c r="CD277" s="487"/>
      <c r="CE277" s="487"/>
      <c r="CF277" s="487"/>
      <c r="CG277" s="487"/>
      <c r="CH277" s="487"/>
      <c r="CI277" s="487"/>
      <c r="CJ277" s="487"/>
      <c r="CK277" s="487"/>
      <c r="CL277" s="487"/>
      <c r="CM277" s="487"/>
      <c r="CN277" s="487"/>
      <c r="CO277" s="487"/>
      <c r="CP277" s="487"/>
      <c r="CQ277" s="487"/>
      <c r="CR277" s="487"/>
      <c r="CS277" s="487"/>
      <c r="CT277" s="487"/>
      <c r="CU277" s="487"/>
      <c r="CV277" s="487"/>
      <c r="CW277" s="487"/>
      <c r="CX277" s="487"/>
      <c r="CY277" s="487"/>
      <c r="CZ277" s="487"/>
      <c r="DA277" s="487"/>
      <c r="DB277" s="487"/>
      <c r="DC277" s="487"/>
      <c r="DD277" s="487"/>
      <c r="DE277" s="487"/>
      <c r="DF277" s="487"/>
      <c r="DG277" s="487"/>
      <c r="DH277" s="487"/>
      <c r="DI277" s="487"/>
      <c r="DJ277" s="487"/>
      <c r="DK277" s="487"/>
      <c r="DL277" s="487"/>
      <c r="DM277" s="487"/>
      <c r="DN277" s="487"/>
      <c r="DO277" s="487"/>
      <c r="DP277" s="487"/>
      <c r="DQ277" s="487"/>
      <c r="DR277" s="487"/>
      <c r="DS277" s="487"/>
      <c r="DT277" s="487"/>
      <c r="DU277" s="487"/>
      <c r="DV277" s="487"/>
      <c r="DW277" s="487"/>
      <c r="DX277" s="487"/>
      <c r="DY277" s="487"/>
      <c r="DZ277" s="487"/>
      <c r="EA277" s="487"/>
      <c r="EB277" s="487"/>
      <c r="EC277" s="487"/>
      <c r="ED277" s="487"/>
      <c r="EE277" s="487"/>
      <c r="EF277" s="487"/>
      <c r="EG277" s="487"/>
      <c r="EH277" s="487"/>
      <c r="EI277" s="487"/>
      <c r="EJ277" s="487"/>
      <c r="EK277" s="487"/>
      <c r="EL277" s="487"/>
      <c r="EM277" s="487"/>
      <c r="EN277" s="487"/>
      <c r="EO277" s="487"/>
      <c r="EP277" s="487"/>
      <c r="EQ277" s="487"/>
      <c r="ER277" s="487"/>
      <c r="ES277" s="487"/>
      <c r="ET277" s="487"/>
      <c r="EU277" s="487"/>
      <c r="EV277" s="487"/>
      <c r="EW277" s="487"/>
      <c r="EX277" s="487"/>
      <c r="EY277" s="487"/>
      <c r="EZ277" s="487"/>
      <c r="FA277" s="487"/>
      <c r="FB277" s="487"/>
      <c r="FC277" s="487"/>
      <c r="FD277" s="487"/>
      <c r="FE277" s="487"/>
      <c r="FF277" s="487"/>
      <c r="FG277" s="487"/>
      <c r="FH277" s="487"/>
      <c r="FI277" s="487"/>
      <c r="FJ277" s="487"/>
      <c r="FK277" s="487"/>
      <c r="FL277" s="487"/>
      <c r="FM277" s="487"/>
      <c r="FN277" s="487"/>
      <c r="FO277" s="487"/>
      <c r="FP277" s="487"/>
      <c r="FQ277" s="487"/>
      <c r="FR277" s="487"/>
      <c r="FS277" s="487"/>
      <c r="FT277" s="487"/>
      <c r="FU277" s="487"/>
      <c r="FV277" s="487"/>
      <c r="FW277" s="487"/>
      <c r="FX277" s="487"/>
      <c r="FY277" s="487"/>
      <c r="FZ277" s="487"/>
      <c r="GA277" s="487"/>
      <c r="GB277" s="487"/>
      <c r="GC277" s="487"/>
      <c r="GD277" s="487"/>
      <c r="GE277" s="487"/>
      <c r="GF277" s="487"/>
      <c r="GG277" s="487"/>
      <c r="GH277" s="487"/>
      <c r="GI277" s="487"/>
      <c r="GJ277" s="487"/>
      <c r="GK277" s="487"/>
      <c r="GL277" s="487"/>
      <c r="GM277" s="487"/>
      <c r="GN277" s="487"/>
      <c r="GO277" s="487"/>
      <c r="GP277" s="487"/>
      <c r="GQ277" s="487"/>
      <c r="GR277" s="487"/>
      <c r="GS277" s="487"/>
      <c r="GT277" s="487"/>
      <c r="GU277" s="487"/>
      <c r="GV277" s="487"/>
      <c r="GW277" s="487"/>
      <c r="GX277" s="487"/>
      <c r="GY277" s="487"/>
      <c r="GZ277" s="487"/>
      <c r="HA277" s="487"/>
      <c r="HB277" s="487"/>
      <c r="HC277" s="487"/>
      <c r="HD277" s="487"/>
      <c r="HE277" s="487"/>
      <c r="HF277" s="487"/>
      <c r="HG277" s="487"/>
      <c r="HH277" s="487"/>
      <c r="HI277" s="487"/>
      <c r="HJ277" s="487"/>
      <c r="HK277" s="487"/>
      <c r="HL277" s="487"/>
      <c r="HM277" s="487"/>
      <c r="HN277" s="487"/>
      <c r="HO277" s="487"/>
      <c r="HP277" s="487"/>
      <c r="HQ277" s="487"/>
      <c r="HR277" s="487"/>
      <c r="HS277" s="490"/>
    </row>
    <row r="278" spans="1:227" s="486" customFormat="1" x14ac:dyDescent="0.2">
      <c r="A278" s="453" t="s">
        <v>10275</v>
      </c>
      <c r="B278" s="453" t="s">
        <v>10276</v>
      </c>
      <c r="C278" s="454" t="s">
        <v>386</v>
      </c>
      <c r="D278" s="455" t="s">
        <v>9783</v>
      </c>
      <c r="E278" s="456" t="s">
        <v>9705</v>
      </c>
      <c r="F278" s="456" t="s">
        <v>10274</v>
      </c>
      <c r="G278" s="456" t="s">
        <v>7180</v>
      </c>
      <c r="H278" s="457">
        <v>166.32000000000002</v>
      </c>
      <c r="I278" s="457">
        <f t="shared" si="19"/>
        <v>178.79400000000001</v>
      </c>
      <c r="J278" s="457" t="s">
        <v>9706</v>
      </c>
      <c r="K278" s="458">
        <v>0.3</v>
      </c>
      <c r="L278" s="459">
        <f t="shared" si="16"/>
        <v>116.42400000000001</v>
      </c>
      <c r="M278" s="460">
        <v>0.18</v>
      </c>
      <c r="N278" s="461">
        <f t="shared" si="17"/>
        <v>146.61108000000002</v>
      </c>
      <c r="O278" s="462">
        <v>0.1</v>
      </c>
      <c r="P278" s="463">
        <f t="shared" si="18"/>
        <v>160.91460000000001</v>
      </c>
      <c r="Q278" s="484"/>
      <c r="R278" s="465">
        <v>4</v>
      </c>
      <c r="S278" s="465">
        <v>4</v>
      </c>
      <c r="T278" s="465">
        <v>48</v>
      </c>
      <c r="U278" s="466"/>
      <c r="V278" s="485"/>
      <c r="W278" s="485"/>
      <c r="X278" s="485"/>
      <c r="Y278" s="485"/>
      <c r="Z278" s="485"/>
      <c r="AA278" s="485"/>
      <c r="AB278" s="485"/>
      <c r="AC278" s="485"/>
      <c r="AD278" s="485"/>
      <c r="AE278" s="485"/>
      <c r="AF278" s="485"/>
      <c r="AG278" s="485"/>
      <c r="AH278" s="485"/>
      <c r="AI278" s="485"/>
      <c r="AJ278" s="485"/>
      <c r="AK278" s="485"/>
      <c r="AL278" s="485"/>
      <c r="AM278" s="485"/>
      <c r="AN278" s="487"/>
      <c r="AO278" s="487"/>
      <c r="AP278" s="487"/>
      <c r="AQ278" s="487"/>
      <c r="AR278" s="487"/>
      <c r="AS278" s="487"/>
      <c r="AT278" s="487"/>
      <c r="AU278" s="487"/>
      <c r="AV278" s="487"/>
      <c r="AW278" s="487"/>
      <c r="AX278" s="487"/>
      <c r="AY278" s="487"/>
      <c r="AZ278" s="487"/>
      <c r="BA278" s="487"/>
      <c r="BB278" s="487"/>
      <c r="BC278" s="487"/>
      <c r="BD278" s="487"/>
      <c r="BE278" s="487"/>
      <c r="BF278" s="487"/>
      <c r="BG278" s="487"/>
      <c r="BH278" s="487"/>
      <c r="BI278" s="487"/>
      <c r="BJ278" s="487"/>
      <c r="BK278" s="487"/>
      <c r="BL278" s="487"/>
      <c r="BM278" s="487"/>
      <c r="BN278" s="487"/>
      <c r="BO278" s="487"/>
      <c r="BP278" s="487"/>
      <c r="BQ278" s="487"/>
      <c r="BR278" s="487"/>
      <c r="BS278" s="487"/>
      <c r="BT278" s="487"/>
      <c r="BU278" s="487"/>
      <c r="BV278" s="487"/>
      <c r="BW278" s="487"/>
      <c r="BX278" s="487"/>
      <c r="BY278" s="487"/>
      <c r="BZ278" s="487"/>
      <c r="CA278" s="487"/>
      <c r="CB278" s="487"/>
      <c r="CC278" s="487"/>
      <c r="CD278" s="487"/>
      <c r="CE278" s="487"/>
      <c r="CF278" s="487"/>
      <c r="CG278" s="487"/>
      <c r="CH278" s="487"/>
      <c r="CI278" s="487"/>
      <c r="CJ278" s="487"/>
      <c r="CK278" s="487"/>
      <c r="CL278" s="487"/>
      <c r="CM278" s="487"/>
      <c r="CN278" s="487"/>
      <c r="CO278" s="487"/>
      <c r="CP278" s="487"/>
      <c r="CQ278" s="487"/>
      <c r="CR278" s="487"/>
      <c r="CS278" s="487"/>
      <c r="CT278" s="487"/>
      <c r="CU278" s="487"/>
      <c r="CV278" s="487"/>
      <c r="CW278" s="487"/>
      <c r="CX278" s="487"/>
      <c r="CY278" s="487"/>
      <c r="CZ278" s="487"/>
      <c r="DA278" s="487"/>
      <c r="DB278" s="487"/>
      <c r="DC278" s="487"/>
      <c r="DD278" s="487"/>
      <c r="DE278" s="487"/>
      <c r="DF278" s="487"/>
      <c r="DG278" s="487"/>
      <c r="DH278" s="487"/>
      <c r="DI278" s="487"/>
      <c r="DJ278" s="487"/>
      <c r="DK278" s="487"/>
      <c r="DL278" s="487"/>
      <c r="DM278" s="487"/>
      <c r="DN278" s="487"/>
      <c r="DO278" s="487"/>
      <c r="DP278" s="487"/>
      <c r="DQ278" s="487"/>
      <c r="DR278" s="487"/>
      <c r="DS278" s="487"/>
      <c r="DT278" s="487"/>
      <c r="DU278" s="487"/>
      <c r="DV278" s="487"/>
      <c r="DW278" s="487"/>
      <c r="DX278" s="487"/>
      <c r="DY278" s="487"/>
      <c r="DZ278" s="487"/>
      <c r="EA278" s="487"/>
      <c r="EB278" s="487"/>
      <c r="EC278" s="487"/>
      <c r="ED278" s="487"/>
      <c r="EE278" s="487"/>
      <c r="EF278" s="487"/>
      <c r="EG278" s="487"/>
      <c r="EH278" s="487"/>
      <c r="EI278" s="487"/>
      <c r="EJ278" s="487"/>
      <c r="EK278" s="487"/>
      <c r="EL278" s="487"/>
      <c r="EM278" s="487"/>
      <c r="EN278" s="487"/>
      <c r="EO278" s="487"/>
      <c r="EP278" s="487"/>
      <c r="EQ278" s="487"/>
      <c r="ER278" s="487"/>
      <c r="ES278" s="487"/>
      <c r="ET278" s="487"/>
      <c r="EU278" s="487"/>
      <c r="EV278" s="487"/>
      <c r="EW278" s="487"/>
      <c r="EX278" s="487"/>
      <c r="EY278" s="487"/>
      <c r="EZ278" s="487"/>
      <c r="FA278" s="487"/>
      <c r="FB278" s="487"/>
      <c r="FC278" s="487"/>
      <c r="FD278" s="487"/>
      <c r="FE278" s="487"/>
      <c r="FF278" s="487"/>
      <c r="FG278" s="487"/>
      <c r="FH278" s="487"/>
      <c r="FI278" s="487"/>
      <c r="FJ278" s="487"/>
      <c r="FK278" s="487"/>
      <c r="FL278" s="487"/>
      <c r="FM278" s="487"/>
      <c r="FN278" s="487"/>
      <c r="FO278" s="487"/>
      <c r="FP278" s="487"/>
      <c r="FQ278" s="487"/>
      <c r="FR278" s="487"/>
      <c r="FS278" s="487"/>
      <c r="FT278" s="487"/>
      <c r="FU278" s="487"/>
      <c r="FV278" s="487"/>
      <c r="FW278" s="487"/>
      <c r="FX278" s="487"/>
      <c r="FY278" s="487"/>
      <c r="FZ278" s="487"/>
      <c r="GA278" s="487"/>
      <c r="GB278" s="487"/>
      <c r="GC278" s="487"/>
      <c r="GD278" s="487"/>
      <c r="GE278" s="487"/>
      <c r="GF278" s="487"/>
      <c r="GG278" s="487"/>
      <c r="GH278" s="487"/>
      <c r="GI278" s="487"/>
      <c r="GJ278" s="487"/>
      <c r="GK278" s="487"/>
      <c r="GL278" s="487"/>
      <c r="GM278" s="487"/>
      <c r="GN278" s="487"/>
      <c r="GO278" s="487"/>
      <c r="GP278" s="487"/>
      <c r="GQ278" s="487"/>
      <c r="GR278" s="487"/>
      <c r="GS278" s="487"/>
      <c r="GT278" s="487"/>
      <c r="GU278" s="487"/>
      <c r="GV278" s="487"/>
      <c r="GW278" s="487"/>
      <c r="GX278" s="487"/>
      <c r="GY278" s="487"/>
      <c r="GZ278" s="487"/>
      <c r="HA278" s="487"/>
      <c r="HB278" s="487"/>
      <c r="HC278" s="487"/>
      <c r="HD278" s="487"/>
      <c r="HE278" s="487"/>
      <c r="HF278" s="487"/>
      <c r="HG278" s="487"/>
      <c r="HH278" s="487"/>
      <c r="HI278" s="487"/>
      <c r="HJ278" s="487"/>
      <c r="HK278" s="487"/>
      <c r="HL278" s="487"/>
      <c r="HM278" s="487"/>
      <c r="HN278" s="487"/>
      <c r="HO278" s="487"/>
      <c r="HP278" s="487"/>
      <c r="HQ278" s="487"/>
      <c r="HR278" s="487"/>
      <c r="HS278" s="490"/>
    </row>
    <row r="279" spans="1:227" s="486" customFormat="1" x14ac:dyDescent="0.2">
      <c r="A279" s="453" t="s">
        <v>10277</v>
      </c>
      <c r="B279" s="453" t="s">
        <v>10278</v>
      </c>
      <c r="C279" s="454" t="s">
        <v>386</v>
      </c>
      <c r="D279" s="455" t="s">
        <v>9783</v>
      </c>
      <c r="E279" s="456" t="s">
        <v>9710</v>
      </c>
      <c r="F279" s="456" t="s">
        <v>10274</v>
      </c>
      <c r="G279" s="456" t="s">
        <v>7180</v>
      </c>
      <c r="H279" s="457">
        <v>166.32000000000002</v>
      </c>
      <c r="I279" s="457">
        <f t="shared" si="19"/>
        <v>178.79400000000001</v>
      </c>
      <c r="J279" s="457" t="s">
        <v>9706</v>
      </c>
      <c r="K279" s="458">
        <v>0.3</v>
      </c>
      <c r="L279" s="459">
        <f t="shared" si="16"/>
        <v>116.42400000000001</v>
      </c>
      <c r="M279" s="460">
        <v>0.18</v>
      </c>
      <c r="N279" s="461">
        <f t="shared" si="17"/>
        <v>146.61108000000002</v>
      </c>
      <c r="O279" s="462">
        <v>0.1</v>
      </c>
      <c r="P279" s="463">
        <f t="shared" si="18"/>
        <v>160.91460000000001</v>
      </c>
      <c r="Q279" s="484"/>
      <c r="R279" s="465">
        <v>8</v>
      </c>
      <c r="S279" s="465">
        <v>8</v>
      </c>
      <c r="T279" s="465">
        <v>8</v>
      </c>
      <c r="U279" s="466"/>
      <c r="V279" s="485"/>
      <c r="W279" s="485"/>
      <c r="X279" s="485"/>
      <c r="Y279" s="485"/>
      <c r="Z279" s="485"/>
      <c r="AA279" s="485"/>
      <c r="AB279" s="485"/>
      <c r="AC279" s="485"/>
      <c r="AD279" s="485"/>
      <c r="AE279" s="485"/>
      <c r="AF279" s="485"/>
      <c r="AG279" s="485"/>
      <c r="AH279" s="485"/>
      <c r="AI279" s="485"/>
      <c r="AJ279" s="485"/>
      <c r="AK279" s="485"/>
      <c r="AL279" s="485"/>
      <c r="AM279" s="485"/>
      <c r="AN279" s="487"/>
      <c r="AO279" s="487"/>
      <c r="AP279" s="487"/>
      <c r="AQ279" s="487"/>
      <c r="AR279" s="487"/>
      <c r="AS279" s="487"/>
      <c r="AT279" s="487"/>
      <c r="AU279" s="487"/>
      <c r="AV279" s="487"/>
      <c r="AW279" s="487"/>
      <c r="AX279" s="487"/>
      <c r="AY279" s="487"/>
      <c r="AZ279" s="487"/>
      <c r="BA279" s="487"/>
      <c r="BB279" s="487"/>
      <c r="BC279" s="487"/>
      <c r="BD279" s="487"/>
      <c r="BE279" s="487"/>
      <c r="BF279" s="487"/>
      <c r="BG279" s="487"/>
      <c r="BH279" s="487"/>
      <c r="BI279" s="487"/>
      <c r="BJ279" s="487"/>
      <c r="BK279" s="487"/>
      <c r="BL279" s="487"/>
      <c r="BM279" s="487"/>
      <c r="BN279" s="487"/>
      <c r="BO279" s="487"/>
      <c r="BP279" s="487"/>
      <c r="BQ279" s="487"/>
      <c r="BR279" s="487"/>
      <c r="BS279" s="487"/>
      <c r="BT279" s="487"/>
      <c r="BU279" s="487"/>
      <c r="BV279" s="487"/>
      <c r="BW279" s="487"/>
      <c r="BX279" s="487"/>
      <c r="BY279" s="487"/>
      <c r="BZ279" s="487"/>
      <c r="CA279" s="487"/>
      <c r="CB279" s="487"/>
      <c r="CC279" s="487"/>
      <c r="CD279" s="487"/>
      <c r="CE279" s="487"/>
      <c r="CF279" s="487"/>
      <c r="CG279" s="487"/>
      <c r="CH279" s="487"/>
      <c r="CI279" s="487"/>
      <c r="CJ279" s="487"/>
      <c r="CK279" s="487"/>
      <c r="CL279" s="487"/>
      <c r="CM279" s="487"/>
      <c r="CN279" s="487"/>
      <c r="CO279" s="487"/>
      <c r="CP279" s="487"/>
      <c r="CQ279" s="487"/>
      <c r="CR279" s="487"/>
      <c r="CS279" s="487"/>
      <c r="CT279" s="487"/>
      <c r="CU279" s="487"/>
      <c r="CV279" s="487"/>
      <c r="CW279" s="487"/>
      <c r="CX279" s="487"/>
      <c r="CY279" s="487"/>
      <c r="CZ279" s="487"/>
      <c r="DA279" s="487"/>
      <c r="DB279" s="487"/>
      <c r="DC279" s="487"/>
      <c r="DD279" s="487"/>
      <c r="DE279" s="487"/>
      <c r="DF279" s="487"/>
      <c r="DG279" s="487"/>
      <c r="DH279" s="487"/>
      <c r="DI279" s="487"/>
      <c r="DJ279" s="487"/>
      <c r="DK279" s="487"/>
      <c r="DL279" s="487"/>
      <c r="DM279" s="487"/>
      <c r="DN279" s="487"/>
      <c r="DO279" s="487"/>
      <c r="DP279" s="487"/>
      <c r="DQ279" s="487"/>
      <c r="DR279" s="487"/>
      <c r="DS279" s="487"/>
      <c r="DT279" s="487"/>
      <c r="DU279" s="487"/>
      <c r="DV279" s="487"/>
      <c r="DW279" s="487"/>
      <c r="DX279" s="487"/>
      <c r="DY279" s="487"/>
      <c r="DZ279" s="487"/>
      <c r="EA279" s="487"/>
      <c r="EB279" s="487"/>
      <c r="EC279" s="487"/>
      <c r="ED279" s="487"/>
      <c r="EE279" s="487"/>
      <c r="EF279" s="487"/>
      <c r="EG279" s="487"/>
      <c r="EH279" s="487"/>
      <c r="EI279" s="487"/>
      <c r="EJ279" s="487"/>
      <c r="EK279" s="487"/>
      <c r="EL279" s="487"/>
      <c r="EM279" s="487"/>
      <c r="EN279" s="487"/>
      <c r="EO279" s="487"/>
      <c r="EP279" s="487"/>
      <c r="EQ279" s="487"/>
      <c r="ER279" s="487"/>
      <c r="ES279" s="487"/>
      <c r="ET279" s="487"/>
      <c r="EU279" s="487"/>
      <c r="EV279" s="487"/>
      <c r="EW279" s="487"/>
      <c r="EX279" s="487"/>
      <c r="EY279" s="487"/>
      <c r="EZ279" s="487"/>
      <c r="FA279" s="487"/>
      <c r="FB279" s="487"/>
      <c r="FC279" s="487"/>
      <c r="FD279" s="487"/>
      <c r="FE279" s="487"/>
      <c r="FF279" s="487"/>
      <c r="FG279" s="487"/>
      <c r="FH279" s="487"/>
      <c r="FI279" s="487"/>
      <c r="FJ279" s="487"/>
      <c r="FK279" s="487"/>
      <c r="FL279" s="487"/>
      <c r="FM279" s="487"/>
      <c r="FN279" s="487"/>
      <c r="FO279" s="487"/>
      <c r="FP279" s="487"/>
      <c r="FQ279" s="487"/>
      <c r="FR279" s="487"/>
      <c r="FS279" s="487"/>
      <c r="FT279" s="487"/>
      <c r="FU279" s="487"/>
      <c r="FV279" s="487"/>
      <c r="FW279" s="487"/>
      <c r="FX279" s="487"/>
      <c r="FY279" s="487"/>
      <c r="FZ279" s="487"/>
      <c r="GA279" s="487"/>
      <c r="GB279" s="487"/>
      <c r="GC279" s="487"/>
      <c r="GD279" s="487"/>
      <c r="GE279" s="487"/>
      <c r="GF279" s="487"/>
      <c r="GG279" s="487"/>
      <c r="GH279" s="487"/>
      <c r="GI279" s="487"/>
      <c r="GJ279" s="487"/>
      <c r="GK279" s="487"/>
      <c r="GL279" s="487"/>
      <c r="GM279" s="487"/>
      <c r="GN279" s="487"/>
      <c r="GO279" s="487"/>
      <c r="GP279" s="487"/>
      <c r="GQ279" s="487"/>
      <c r="GR279" s="487"/>
      <c r="GS279" s="487"/>
      <c r="GT279" s="487"/>
      <c r="GU279" s="487"/>
      <c r="GV279" s="487"/>
      <c r="GW279" s="487"/>
      <c r="GX279" s="487"/>
      <c r="GY279" s="487"/>
      <c r="GZ279" s="487"/>
      <c r="HA279" s="487"/>
      <c r="HB279" s="487"/>
      <c r="HC279" s="487"/>
      <c r="HD279" s="487"/>
      <c r="HE279" s="487"/>
      <c r="HF279" s="487"/>
      <c r="HG279" s="487"/>
      <c r="HH279" s="487"/>
      <c r="HI279" s="487"/>
      <c r="HJ279" s="487"/>
      <c r="HK279" s="487"/>
      <c r="HL279" s="487"/>
      <c r="HM279" s="487"/>
      <c r="HN279" s="487"/>
      <c r="HO279" s="487"/>
      <c r="HP279" s="487"/>
      <c r="HQ279" s="487"/>
      <c r="HR279" s="487"/>
      <c r="HS279" s="490"/>
    </row>
    <row r="280" spans="1:227" s="486" customFormat="1" x14ac:dyDescent="0.2">
      <c r="A280" s="453" t="s">
        <v>10279</v>
      </c>
      <c r="B280" s="453" t="s">
        <v>10280</v>
      </c>
      <c r="C280" s="454" t="s">
        <v>386</v>
      </c>
      <c r="D280" s="455" t="s">
        <v>9783</v>
      </c>
      <c r="E280" s="456" t="s">
        <v>9734</v>
      </c>
      <c r="F280" s="456" t="s">
        <v>10274</v>
      </c>
      <c r="G280" s="456" t="s">
        <v>7180</v>
      </c>
      <c r="H280" s="457">
        <v>166.32000000000002</v>
      </c>
      <c r="I280" s="457">
        <f t="shared" si="19"/>
        <v>178.79400000000001</v>
      </c>
      <c r="J280" s="457" t="s">
        <v>9706</v>
      </c>
      <c r="K280" s="458">
        <v>0.3</v>
      </c>
      <c r="L280" s="459">
        <f t="shared" si="16"/>
        <v>116.42400000000001</v>
      </c>
      <c r="M280" s="460">
        <v>0.18</v>
      </c>
      <c r="N280" s="461">
        <f t="shared" si="17"/>
        <v>146.61108000000002</v>
      </c>
      <c r="O280" s="462">
        <v>0.1</v>
      </c>
      <c r="P280" s="463">
        <f t="shared" si="18"/>
        <v>160.91460000000001</v>
      </c>
      <c r="Q280" s="484"/>
      <c r="R280" s="465">
        <v>8</v>
      </c>
      <c r="S280" s="465">
        <v>8</v>
      </c>
      <c r="T280" s="465">
        <v>8</v>
      </c>
      <c r="U280" s="466"/>
      <c r="V280" s="485"/>
      <c r="W280" s="485"/>
      <c r="X280" s="485"/>
      <c r="Y280" s="485"/>
      <c r="Z280" s="485"/>
      <c r="AA280" s="485"/>
      <c r="AB280" s="485"/>
      <c r="AC280" s="485"/>
      <c r="AD280" s="485"/>
      <c r="AE280" s="485"/>
      <c r="AF280" s="485"/>
      <c r="AG280" s="485"/>
      <c r="AH280" s="485"/>
      <c r="AI280" s="485"/>
      <c r="AJ280" s="485"/>
      <c r="AK280" s="485"/>
      <c r="AL280" s="485"/>
      <c r="AM280" s="485"/>
      <c r="AN280" s="487"/>
      <c r="AO280" s="487"/>
      <c r="AP280" s="487"/>
      <c r="AQ280" s="487"/>
      <c r="AR280" s="487"/>
      <c r="AS280" s="487"/>
      <c r="AT280" s="487"/>
      <c r="AU280" s="487"/>
      <c r="AV280" s="487"/>
      <c r="AW280" s="487"/>
      <c r="AX280" s="487"/>
      <c r="AY280" s="487"/>
      <c r="AZ280" s="487"/>
      <c r="BA280" s="487"/>
      <c r="BB280" s="487"/>
      <c r="BC280" s="487"/>
      <c r="BD280" s="487"/>
      <c r="BE280" s="487"/>
      <c r="BF280" s="487"/>
      <c r="BG280" s="487"/>
      <c r="BH280" s="487"/>
      <c r="BI280" s="487"/>
      <c r="BJ280" s="487"/>
      <c r="BK280" s="487"/>
      <c r="BL280" s="487"/>
      <c r="BM280" s="487"/>
      <c r="BN280" s="487"/>
      <c r="BO280" s="487"/>
      <c r="BP280" s="487"/>
      <c r="BQ280" s="487"/>
      <c r="BR280" s="487"/>
      <c r="BS280" s="487"/>
      <c r="BT280" s="487"/>
      <c r="BU280" s="487"/>
      <c r="BV280" s="487"/>
      <c r="BW280" s="487"/>
      <c r="BX280" s="487"/>
      <c r="BY280" s="487"/>
      <c r="BZ280" s="487"/>
      <c r="CA280" s="487"/>
      <c r="CB280" s="487"/>
      <c r="CC280" s="487"/>
      <c r="CD280" s="487"/>
      <c r="CE280" s="487"/>
      <c r="CF280" s="487"/>
      <c r="CG280" s="487"/>
      <c r="CH280" s="487"/>
      <c r="CI280" s="487"/>
      <c r="CJ280" s="487"/>
      <c r="CK280" s="487"/>
      <c r="CL280" s="487"/>
      <c r="CM280" s="487"/>
      <c r="CN280" s="487"/>
      <c r="CO280" s="487"/>
      <c r="CP280" s="487"/>
      <c r="CQ280" s="487"/>
      <c r="CR280" s="487"/>
      <c r="CS280" s="487"/>
      <c r="CT280" s="487"/>
      <c r="CU280" s="487"/>
      <c r="CV280" s="487"/>
      <c r="CW280" s="487"/>
      <c r="CX280" s="487"/>
      <c r="CY280" s="487"/>
      <c r="CZ280" s="487"/>
      <c r="DA280" s="487"/>
      <c r="DB280" s="487"/>
      <c r="DC280" s="487"/>
      <c r="DD280" s="487"/>
      <c r="DE280" s="487"/>
      <c r="DF280" s="487"/>
      <c r="DG280" s="487"/>
      <c r="DH280" s="487"/>
      <c r="DI280" s="487"/>
      <c r="DJ280" s="487"/>
      <c r="DK280" s="487"/>
      <c r="DL280" s="487"/>
      <c r="DM280" s="487"/>
      <c r="DN280" s="487"/>
      <c r="DO280" s="487"/>
      <c r="DP280" s="487"/>
      <c r="DQ280" s="487"/>
      <c r="DR280" s="487"/>
      <c r="DS280" s="487"/>
      <c r="DT280" s="487"/>
      <c r="DU280" s="487"/>
      <c r="DV280" s="487"/>
      <c r="DW280" s="487"/>
      <c r="DX280" s="487"/>
      <c r="DY280" s="487"/>
      <c r="DZ280" s="487"/>
      <c r="EA280" s="487"/>
      <c r="EB280" s="487"/>
      <c r="EC280" s="487"/>
      <c r="ED280" s="487"/>
      <c r="EE280" s="487"/>
      <c r="EF280" s="487"/>
      <c r="EG280" s="487"/>
      <c r="EH280" s="487"/>
      <c r="EI280" s="487"/>
      <c r="EJ280" s="487"/>
      <c r="EK280" s="487"/>
      <c r="EL280" s="487"/>
      <c r="EM280" s="487"/>
      <c r="EN280" s="487"/>
      <c r="EO280" s="487"/>
      <c r="EP280" s="487"/>
      <c r="EQ280" s="487"/>
      <c r="ER280" s="487"/>
      <c r="ES280" s="487"/>
      <c r="ET280" s="487"/>
      <c r="EU280" s="487"/>
      <c r="EV280" s="487"/>
      <c r="EW280" s="487"/>
      <c r="EX280" s="487"/>
      <c r="EY280" s="487"/>
      <c r="EZ280" s="487"/>
      <c r="FA280" s="487"/>
      <c r="FB280" s="487"/>
      <c r="FC280" s="487"/>
      <c r="FD280" s="487"/>
      <c r="FE280" s="487"/>
      <c r="FF280" s="487"/>
      <c r="FG280" s="487"/>
      <c r="FH280" s="487"/>
      <c r="FI280" s="487"/>
      <c r="FJ280" s="487"/>
      <c r="FK280" s="487"/>
      <c r="FL280" s="487"/>
      <c r="FM280" s="487"/>
      <c r="FN280" s="487"/>
      <c r="FO280" s="487"/>
      <c r="FP280" s="487"/>
      <c r="FQ280" s="487"/>
      <c r="FR280" s="487"/>
      <c r="FS280" s="487"/>
      <c r="FT280" s="487"/>
      <c r="FU280" s="487"/>
      <c r="FV280" s="487"/>
      <c r="FW280" s="487"/>
      <c r="FX280" s="487"/>
      <c r="FY280" s="487"/>
      <c r="FZ280" s="487"/>
      <c r="GA280" s="487"/>
      <c r="GB280" s="487"/>
      <c r="GC280" s="487"/>
      <c r="GD280" s="487"/>
      <c r="GE280" s="487"/>
      <c r="GF280" s="487"/>
      <c r="GG280" s="487"/>
      <c r="GH280" s="487"/>
      <c r="GI280" s="487"/>
      <c r="GJ280" s="487"/>
      <c r="GK280" s="487"/>
      <c r="GL280" s="487"/>
      <c r="GM280" s="487"/>
      <c r="GN280" s="487"/>
      <c r="GO280" s="487"/>
      <c r="GP280" s="487"/>
      <c r="GQ280" s="487"/>
      <c r="GR280" s="487"/>
      <c r="GS280" s="487"/>
      <c r="GT280" s="487"/>
      <c r="GU280" s="487"/>
      <c r="GV280" s="487"/>
      <c r="GW280" s="487"/>
      <c r="GX280" s="487"/>
      <c r="GY280" s="487"/>
      <c r="GZ280" s="487"/>
      <c r="HA280" s="487"/>
      <c r="HB280" s="487"/>
      <c r="HC280" s="487"/>
      <c r="HD280" s="487"/>
      <c r="HE280" s="487"/>
      <c r="HF280" s="487"/>
      <c r="HG280" s="487"/>
      <c r="HH280" s="487"/>
      <c r="HI280" s="487"/>
      <c r="HJ280" s="487"/>
      <c r="HK280" s="487"/>
      <c r="HL280" s="487"/>
      <c r="HM280" s="487"/>
      <c r="HN280" s="487"/>
      <c r="HO280" s="487"/>
      <c r="HP280" s="487"/>
      <c r="HQ280" s="487"/>
      <c r="HR280" s="487"/>
      <c r="HS280" s="490"/>
    </row>
    <row r="281" spans="1:227" s="493" customFormat="1" x14ac:dyDescent="0.2">
      <c r="A281" s="453" t="s">
        <v>10281</v>
      </c>
      <c r="B281" s="453" t="s">
        <v>10282</v>
      </c>
      <c r="C281" s="454" t="s">
        <v>386</v>
      </c>
      <c r="D281" s="455" t="s">
        <v>9783</v>
      </c>
      <c r="E281" s="456" t="s">
        <v>9705</v>
      </c>
      <c r="F281" s="456" t="s">
        <v>10274</v>
      </c>
      <c r="G281" s="456" t="s">
        <v>7180</v>
      </c>
      <c r="H281" s="457">
        <v>166.32000000000002</v>
      </c>
      <c r="I281" s="457">
        <f t="shared" si="19"/>
        <v>178.79400000000001</v>
      </c>
      <c r="J281" s="457" t="s">
        <v>9706</v>
      </c>
      <c r="K281" s="458">
        <v>0.3</v>
      </c>
      <c r="L281" s="459">
        <f t="shared" si="16"/>
        <v>116.42400000000001</v>
      </c>
      <c r="M281" s="460">
        <v>0.18</v>
      </c>
      <c r="N281" s="461">
        <f t="shared" si="17"/>
        <v>146.61108000000002</v>
      </c>
      <c r="O281" s="462">
        <v>0.1</v>
      </c>
      <c r="P281" s="463">
        <f t="shared" si="18"/>
        <v>160.91460000000001</v>
      </c>
      <c r="Q281" s="464"/>
      <c r="R281" s="465">
        <v>8</v>
      </c>
      <c r="S281" s="465">
        <v>8</v>
      </c>
      <c r="T281" s="465">
        <v>8</v>
      </c>
      <c r="U281" s="466"/>
    </row>
    <row r="282" spans="1:227" s="493" customFormat="1" x14ac:dyDescent="0.2">
      <c r="A282" s="453" t="s">
        <v>10283</v>
      </c>
      <c r="B282" s="453" t="s">
        <v>10284</v>
      </c>
      <c r="C282" s="454" t="s">
        <v>386</v>
      </c>
      <c r="D282" s="455" t="s">
        <v>9783</v>
      </c>
      <c r="E282" s="456" t="s">
        <v>9710</v>
      </c>
      <c r="F282" s="456" t="s">
        <v>10274</v>
      </c>
      <c r="G282" s="456" t="s">
        <v>7180</v>
      </c>
      <c r="H282" s="457">
        <v>155.52000000000001</v>
      </c>
      <c r="I282" s="457">
        <f t="shared" si="19"/>
        <v>167.184</v>
      </c>
      <c r="J282" s="457" t="s">
        <v>9706</v>
      </c>
      <c r="K282" s="458">
        <v>0.3</v>
      </c>
      <c r="L282" s="459">
        <f t="shared" si="16"/>
        <v>108.864</v>
      </c>
      <c r="M282" s="460">
        <v>0.18</v>
      </c>
      <c r="N282" s="461">
        <f t="shared" si="17"/>
        <v>137.09088</v>
      </c>
      <c r="O282" s="462">
        <v>0.1</v>
      </c>
      <c r="P282" s="463">
        <f t="shared" si="18"/>
        <v>150.46559999999999</v>
      </c>
      <c r="Q282" s="464"/>
      <c r="R282" s="465">
        <v>8</v>
      </c>
      <c r="S282" s="465">
        <v>8</v>
      </c>
      <c r="T282" s="465">
        <v>8</v>
      </c>
      <c r="U282" s="466"/>
    </row>
    <row r="283" spans="1:227" s="493" customFormat="1" x14ac:dyDescent="0.2">
      <c r="A283" s="453" t="s">
        <v>10285</v>
      </c>
      <c r="B283" s="453" t="s">
        <v>10286</v>
      </c>
      <c r="C283" s="454" t="s">
        <v>386</v>
      </c>
      <c r="D283" s="455" t="s">
        <v>9783</v>
      </c>
      <c r="E283" s="456" t="s">
        <v>9758</v>
      </c>
      <c r="F283" s="456" t="s">
        <v>10274</v>
      </c>
      <c r="G283" s="456" t="s">
        <v>7180</v>
      </c>
      <c r="H283" s="457">
        <v>155.52000000000001</v>
      </c>
      <c r="I283" s="457">
        <f t="shared" si="19"/>
        <v>167.184</v>
      </c>
      <c r="J283" s="457" t="s">
        <v>9706</v>
      </c>
      <c r="K283" s="458">
        <v>0.3</v>
      </c>
      <c r="L283" s="459">
        <f t="shared" si="16"/>
        <v>108.864</v>
      </c>
      <c r="M283" s="460">
        <v>0.18</v>
      </c>
      <c r="N283" s="461">
        <f t="shared" si="17"/>
        <v>137.09088</v>
      </c>
      <c r="O283" s="462">
        <v>0.1</v>
      </c>
      <c r="P283" s="463">
        <f t="shared" si="18"/>
        <v>150.46559999999999</v>
      </c>
      <c r="Q283" s="464"/>
      <c r="R283" s="465">
        <v>8</v>
      </c>
      <c r="S283" s="465">
        <v>8</v>
      </c>
      <c r="T283" s="465">
        <v>8</v>
      </c>
      <c r="U283" s="466"/>
    </row>
    <row r="284" spans="1:227" s="494" customFormat="1" x14ac:dyDescent="0.2">
      <c r="A284" s="453" t="s">
        <v>10287</v>
      </c>
      <c r="B284" s="453" t="s">
        <v>10288</v>
      </c>
      <c r="C284" s="454" t="s">
        <v>386</v>
      </c>
      <c r="D284" s="455" t="s">
        <v>9783</v>
      </c>
      <c r="E284" s="456" t="s">
        <v>9710</v>
      </c>
      <c r="F284" s="456" t="s">
        <v>10274</v>
      </c>
      <c r="G284" s="456" t="s">
        <v>7180</v>
      </c>
      <c r="H284" s="457">
        <v>155.52000000000001</v>
      </c>
      <c r="I284" s="457">
        <f t="shared" si="19"/>
        <v>167.184</v>
      </c>
      <c r="J284" s="457" t="s">
        <v>9706</v>
      </c>
      <c r="K284" s="458">
        <v>0.3</v>
      </c>
      <c r="L284" s="459">
        <f t="shared" si="16"/>
        <v>108.864</v>
      </c>
      <c r="M284" s="460">
        <v>0.18</v>
      </c>
      <c r="N284" s="461">
        <f t="shared" si="17"/>
        <v>137.09088</v>
      </c>
      <c r="O284" s="462">
        <v>0.1</v>
      </c>
      <c r="P284" s="463">
        <f t="shared" si="18"/>
        <v>150.46559999999999</v>
      </c>
      <c r="Q284" s="464"/>
      <c r="R284" s="465">
        <v>8</v>
      </c>
      <c r="S284" s="465">
        <v>8</v>
      </c>
      <c r="T284" s="465">
        <v>8</v>
      </c>
      <c r="U284" s="466"/>
    </row>
    <row r="285" spans="1:227" ht="15" customHeight="1" x14ac:dyDescent="0.2">
      <c r="A285" s="453" t="s">
        <v>10289</v>
      </c>
      <c r="B285" s="453" t="s">
        <v>10290</v>
      </c>
      <c r="C285" s="454" t="s">
        <v>386</v>
      </c>
      <c r="D285" s="455" t="s">
        <v>9783</v>
      </c>
      <c r="E285" s="456" t="s">
        <v>9716</v>
      </c>
      <c r="F285" s="456" t="s">
        <v>10274</v>
      </c>
      <c r="G285" s="456" t="s">
        <v>7180</v>
      </c>
      <c r="H285" s="457">
        <v>155.52000000000001</v>
      </c>
      <c r="I285" s="457">
        <f t="shared" si="19"/>
        <v>167.184</v>
      </c>
      <c r="J285" s="457" t="s">
        <v>9706</v>
      </c>
      <c r="K285" s="458">
        <v>0.3</v>
      </c>
      <c r="L285" s="459">
        <f t="shared" si="16"/>
        <v>108.864</v>
      </c>
      <c r="M285" s="460">
        <v>0.18</v>
      </c>
      <c r="N285" s="461">
        <f t="shared" si="17"/>
        <v>137.09088</v>
      </c>
      <c r="O285" s="462">
        <v>0.1</v>
      </c>
      <c r="P285" s="463">
        <f t="shared" si="18"/>
        <v>150.46559999999999</v>
      </c>
      <c r="Q285" s="464"/>
      <c r="R285" s="465">
        <v>8</v>
      </c>
      <c r="S285" s="465">
        <v>8</v>
      </c>
      <c r="T285" s="465">
        <v>8</v>
      </c>
      <c r="U285" s="466"/>
      <c r="W285" s="415"/>
      <c r="X285" s="415"/>
    </row>
    <row r="286" spans="1:227" x14ac:dyDescent="0.2">
      <c r="A286" s="453" t="s">
        <v>10291</v>
      </c>
      <c r="B286" s="453" t="s">
        <v>10292</v>
      </c>
      <c r="C286" s="454" t="s">
        <v>386</v>
      </c>
      <c r="D286" s="455" t="s">
        <v>9783</v>
      </c>
      <c r="E286" s="456" t="s">
        <v>9710</v>
      </c>
      <c r="F286" s="456" t="s">
        <v>10274</v>
      </c>
      <c r="G286" s="456" t="s">
        <v>7180</v>
      </c>
      <c r="H286" s="457">
        <v>155.52000000000001</v>
      </c>
      <c r="I286" s="457">
        <f t="shared" si="19"/>
        <v>167.184</v>
      </c>
      <c r="J286" s="457" t="s">
        <v>9706</v>
      </c>
      <c r="K286" s="458">
        <v>0.3</v>
      </c>
      <c r="L286" s="459">
        <f t="shared" si="16"/>
        <v>108.864</v>
      </c>
      <c r="M286" s="460">
        <v>0.18</v>
      </c>
      <c r="N286" s="461">
        <f t="shared" si="17"/>
        <v>137.09088</v>
      </c>
      <c r="O286" s="462">
        <v>0.1</v>
      </c>
      <c r="P286" s="463">
        <f t="shared" si="18"/>
        <v>150.46559999999999</v>
      </c>
      <c r="Q286" s="464"/>
      <c r="R286" s="465">
        <v>8</v>
      </c>
      <c r="S286" s="465">
        <v>8</v>
      </c>
      <c r="T286" s="465">
        <v>8</v>
      </c>
      <c r="U286" s="466"/>
      <c r="W286" s="415"/>
      <c r="X286" s="415"/>
    </row>
    <row r="287" spans="1:227" x14ac:dyDescent="0.2">
      <c r="A287" s="453" t="s">
        <v>10293</v>
      </c>
      <c r="B287" s="453" t="s">
        <v>10294</v>
      </c>
      <c r="C287" s="454" t="s">
        <v>386</v>
      </c>
      <c r="D287" s="455" t="s">
        <v>9783</v>
      </c>
      <c r="E287" s="456" t="s">
        <v>9710</v>
      </c>
      <c r="F287" s="456" t="s">
        <v>10274</v>
      </c>
      <c r="G287" s="456" t="s">
        <v>7180</v>
      </c>
      <c r="H287" s="457">
        <v>155.52000000000001</v>
      </c>
      <c r="I287" s="457">
        <f t="shared" si="19"/>
        <v>167.184</v>
      </c>
      <c r="J287" s="457" t="s">
        <v>9706</v>
      </c>
      <c r="K287" s="458">
        <v>0.3</v>
      </c>
      <c r="L287" s="459">
        <f t="shared" si="16"/>
        <v>108.864</v>
      </c>
      <c r="M287" s="460">
        <v>0.18</v>
      </c>
      <c r="N287" s="461">
        <f t="shared" si="17"/>
        <v>137.09088</v>
      </c>
      <c r="O287" s="462">
        <v>0.1</v>
      </c>
      <c r="P287" s="463">
        <f t="shared" si="18"/>
        <v>150.46559999999999</v>
      </c>
      <c r="Q287" s="464"/>
      <c r="R287" s="465">
        <v>8</v>
      </c>
      <c r="S287" s="465">
        <v>8</v>
      </c>
      <c r="T287" s="465">
        <v>8</v>
      </c>
      <c r="U287" s="466"/>
      <c r="W287" s="415"/>
      <c r="X287" s="415"/>
    </row>
    <row r="288" spans="1:227" ht="15" customHeight="1" x14ac:dyDescent="0.2">
      <c r="A288" s="453" t="s">
        <v>10295</v>
      </c>
      <c r="B288" s="453" t="s">
        <v>10296</v>
      </c>
      <c r="C288" s="454" t="s">
        <v>386</v>
      </c>
      <c r="D288" s="455" t="s">
        <v>9783</v>
      </c>
      <c r="E288" s="456" t="s">
        <v>9758</v>
      </c>
      <c r="F288" s="456" t="s">
        <v>10274</v>
      </c>
      <c r="G288" s="456" t="s">
        <v>7180</v>
      </c>
      <c r="H288" s="457">
        <v>155.52000000000001</v>
      </c>
      <c r="I288" s="457">
        <f t="shared" si="19"/>
        <v>167.184</v>
      </c>
      <c r="J288" s="457" t="s">
        <v>9706</v>
      </c>
      <c r="K288" s="458">
        <v>0.3</v>
      </c>
      <c r="L288" s="459">
        <f t="shared" si="16"/>
        <v>108.864</v>
      </c>
      <c r="M288" s="460">
        <v>0.18</v>
      </c>
      <c r="N288" s="461">
        <f t="shared" si="17"/>
        <v>137.09088</v>
      </c>
      <c r="O288" s="462">
        <v>0.1</v>
      </c>
      <c r="P288" s="463">
        <f t="shared" si="18"/>
        <v>150.46559999999999</v>
      </c>
      <c r="Q288" s="464"/>
      <c r="R288" s="465">
        <v>8</v>
      </c>
      <c r="S288" s="465">
        <v>8</v>
      </c>
      <c r="T288" s="465">
        <v>8</v>
      </c>
      <c r="U288" s="466"/>
      <c r="W288" s="415"/>
      <c r="X288" s="415"/>
    </row>
    <row r="289" spans="1:24" x14ac:dyDescent="0.2">
      <c r="A289" s="453" t="s">
        <v>10297</v>
      </c>
      <c r="B289" s="453" t="s">
        <v>10298</v>
      </c>
      <c r="C289" s="454" t="s">
        <v>386</v>
      </c>
      <c r="D289" s="455" t="s">
        <v>9783</v>
      </c>
      <c r="E289" s="456" t="s">
        <v>9710</v>
      </c>
      <c r="F289" s="456" t="s">
        <v>10274</v>
      </c>
      <c r="G289" s="456" t="s">
        <v>7180</v>
      </c>
      <c r="H289" s="457">
        <v>155.52000000000001</v>
      </c>
      <c r="I289" s="457">
        <f t="shared" si="19"/>
        <v>167.184</v>
      </c>
      <c r="J289" s="457" t="s">
        <v>9706</v>
      </c>
      <c r="K289" s="458">
        <v>0.3</v>
      </c>
      <c r="L289" s="459">
        <f t="shared" si="16"/>
        <v>108.864</v>
      </c>
      <c r="M289" s="460">
        <v>0.18</v>
      </c>
      <c r="N289" s="461">
        <f t="shared" si="17"/>
        <v>137.09088</v>
      </c>
      <c r="O289" s="462">
        <v>0.1</v>
      </c>
      <c r="P289" s="463">
        <f t="shared" si="18"/>
        <v>150.46559999999999</v>
      </c>
      <c r="Q289" s="464"/>
      <c r="R289" s="465">
        <v>8</v>
      </c>
      <c r="S289" s="465">
        <v>8</v>
      </c>
      <c r="T289" s="465">
        <v>8</v>
      </c>
      <c r="U289" s="466"/>
      <c r="W289" s="415"/>
      <c r="X289" s="415"/>
    </row>
    <row r="290" spans="1:24" x14ac:dyDescent="0.2">
      <c r="A290" s="453" t="s">
        <v>10299</v>
      </c>
      <c r="B290" s="453" t="s">
        <v>10300</v>
      </c>
      <c r="C290" s="454" t="s">
        <v>386</v>
      </c>
      <c r="D290" s="455" t="s">
        <v>9783</v>
      </c>
      <c r="E290" s="456" t="s">
        <v>9734</v>
      </c>
      <c r="F290" s="456" t="s">
        <v>10274</v>
      </c>
      <c r="G290" s="456" t="s">
        <v>7180</v>
      </c>
      <c r="H290" s="457">
        <v>155.52000000000001</v>
      </c>
      <c r="I290" s="457">
        <f t="shared" si="19"/>
        <v>167.184</v>
      </c>
      <c r="J290" s="457" t="s">
        <v>9706</v>
      </c>
      <c r="K290" s="458">
        <v>0.3</v>
      </c>
      <c r="L290" s="459">
        <f t="shared" si="16"/>
        <v>108.864</v>
      </c>
      <c r="M290" s="460">
        <v>0.18</v>
      </c>
      <c r="N290" s="461">
        <f t="shared" si="17"/>
        <v>137.09088</v>
      </c>
      <c r="O290" s="462">
        <v>0.1</v>
      </c>
      <c r="P290" s="463">
        <f t="shared" si="18"/>
        <v>150.46559999999999</v>
      </c>
      <c r="Q290" s="464"/>
      <c r="R290" s="465">
        <v>20</v>
      </c>
      <c r="S290" s="465">
        <v>20</v>
      </c>
      <c r="T290" s="465">
        <v>240</v>
      </c>
      <c r="U290" s="466"/>
      <c r="W290" s="415"/>
      <c r="X290" s="415"/>
    </row>
    <row r="291" spans="1:24" x14ac:dyDescent="0.2">
      <c r="A291" s="453" t="s">
        <v>10301</v>
      </c>
      <c r="B291" s="453" t="s">
        <v>10302</v>
      </c>
      <c r="C291" s="454" t="s">
        <v>386</v>
      </c>
      <c r="D291" s="455" t="s">
        <v>9783</v>
      </c>
      <c r="E291" s="456" t="s">
        <v>9734</v>
      </c>
      <c r="F291" s="456" t="s">
        <v>10274</v>
      </c>
      <c r="G291" s="456" t="s">
        <v>7180</v>
      </c>
      <c r="H291" s="457">
        <v>155.52000000000001</v>
      </c>
      <c r="I291" s="457">
        <f t="shared" si="19"/>
        <v>167.184</v>
      </c>
      <c r="J291" s="457" t="s">
        <v>9706</v>
      </c>
      <c r="K291" s="458">
        <v>0.3</v>
      </c>
      <c r="L291" s="459">
        <f t="shared" si="16"/>
        <v>108.864</v>
      </c>
      <c r="M291" s="460">
        <v>0.18</v>
      </c>
      <c r="N291" s="461">
        <f t="shared" si="17"/>
        <v>137.09088</v>
      </c>
      <c r="O291" s="462">
        <v>0.1</v>
      </c>
      <c r="P291" s="463">
        <f t="shared" si="18"/>
        <v>150.46559999999999</v>
      </c>
      <c r="Q291" s="464"/>
      <c r="R291" s="465">
        <v>20</v>
      </c>
      <c r="S291" s="465">
        <v>20</v>
      </c>
      <c r="T291" s="465">
        <v>240</v>
      </c>
      <c r="U291" s="466"/>
      <c r="W291" s="415"/>
      <c r="X291" s="415"/>
    </row>
    <row r="292" spans="1:24" x14ac:dyDescent="0.2">
      <c r="A292" s="453" t="s">
        <v>10303</v>
      </c>
      <c r="B292" s="453" t="s">
        <v>10304</v>
      </c>
      <c r="C292" s="454" t="s">
        <v>386</v>
      </c>
      <c r="D292" s="455" t="s">
        <v>9783</v>
      </c>
      <c r="E292" s="456" t="s">
        <v>9710</v>
      </c>
      <c r="F292" s="456" t="s">
        <v>10274</v>
      </c>
      <c r="G292" s="456" t="s">
        <v>7180</v>
      </c>
      <c r="H292" s="457">
        <v>155.52000000000001</v>
      </c>
      <c r="I292" s="457">
        <f t="shared" si="19"/>
        <v>167.184</v>
      </c>
      <c r="J292" s="457" t="s">
        <v>9706</v>
      </c>
      <c r="K292" s="458">
        <v>0.3</v>
      </c>
      <c r="L292" s="459">
        <f t="shared" si="16"/>
        <v>108.864</v>
      </c>
      <c r="M292" s="460">
        <v>0.18</v>
      </c>
      <c r="N292" s="461">
        <f t="shared" si="17"/>
        <v>137.09088</v>
      </c>
      <c r="O292" s="462">
        <v>0.1</v>
      </c>
      <c r="P292" s="463">
        <f t="shared" si="18"/>
        <v>150.46559999999999</v>
      </c>
      <c r="Q292" s="464"/>
      <c r="R292" s="465">
        <v>20</v>
      </c>
      <c r="S292" s="465">
        <v>20</v>
      </c>
      <c r="T292" s="465">
        <v>240</v>
      </c>
      <c r="U292" s="466"/>
      <c r="W292" s="415"/>
      <c r="X292" s="415"/>
    </row>
    <row r="293" spans="1:24" x14ac:dyDescent="0.2">
      <c r="A293" s="453" t="s">
        <v>10305</v>
      </c>
      <c r="B293" s="453" t="s">
        <v>10306</v>
      </c>
      <c r="C293" s="454" t="s">
        <v>386</v>
      </c>
      <c r="D293" s="455" t="s">
        <v>9783</v>
      </c>
      <c r="E293" s="456" t="s">
        <v>9716</v>
      </c>
      <c r="F293" s="456" t="s">
        <v>10274</v>
      </c>
      <c r="G293" s="456" t="s">
        <v>7180</v>
      </c>
      <c r="H293" s="457">
        <v>155.52000000000001</v>
      </c>
      <c r="I293" s="457">
        <f t="shared" si="19"/>
        <v>167.184</v>
      </c>
      <c r="J293" s="457" t="s">
        <v>9706</v>
      </c>
      <c r="K293" s="458">
        <v>0.3</v>
      </c>
      <c r="L293" s="459">
        <f t="shared" si="16"/>
        <v>108.864</v>
      </c>
      <c r="M293" s="460">
        <v>0.18</v>
      </c>
      <c r="N293" s="461">
        <f t="shared" si="17"/>
        <v>137.09088</v>
      </c>
      <c r="O293" s="462">
        <v>0.1</v>
      </c>
      <c r="P293" s="463">
        <f t="shared" si="18"/>
        <v>150.46559999999999</v>
      </c>
      <c r="Q293" s="464"/>
      <c r="R293" s="465">
        <v>20</v>
      </c>
      <c r="S293" s="465">
        <v>20</v>
      </c>
      <c r="T293" s="465">
        <v>240</v>
      </c>
      <c r="U293" s="466"/>
      <c r="W293" s="415"/>
      <c r="X293" s="415"/>
    </row>
    <row r="294" spans="1:24" x14ac:dyDescent="0.2">
      <c r="A294" s="495" t="s">
        <v>10307</v>
      </c>
      <c r="B294" s="481" t="s">
        <v>10308</v>
      </c>
      <c r="C294" s="454" t="s">
        <v>386</v>
      </c>
      <c r="D294" s="455" t="s">
        <v>9783</v>
      </c>
      <c r="E294" s="456" t="s">
        <v>9710</v>
      </c>
      <c r="F294" s="456" t="s">
        <v>10309</v>
      </c>
      <c r="G294" s="456" t="s">
        <v>7180</v>
      </c>
      <c r="H294" s="457">
        <v>117.72000000000001</v>
      </c>
      <c r="I294" s="457">
        <f t="shared" si="19"/>
        <v>126.54900000000001</v>
      </c>
      <c r="J294" s="457" t="s">
        <v>9706</v>
      </c>
      <c r="K294" s="458">
        <v>0.3</v>
      </c>
      <c r="L294" s="459">
        <f t="shared" si="16"/>
        <v>82.404000000000011</v>
      </c>
      <c r="M294" s="460">
        <v>0.18</v>
      </c>
      <c r="N294" s="461">
        <f t="shared" si="17"/>
        <v>103.77018000000001</v>
      </c>
      <c r="O294" s="462">
        <v>0.1</v>
      </c>
      <c r="P294" s="463">
        <f t="shared" si="18"/>
        <v>113.89410000000001</v>
      </c>
      <c r="Q294" s="464"/>
      <c r="R294" s="465">
        <v>20</v>
      </c>
      <c r="S294" s="465">
        <v>20</v>
      </c>
      <c r="T294" s="465">
        <v>240</v>
      </c>
      <c r="U294" s="466"/>
      <c r="W294" s="415"/>
      <c r="X294" s="415"/>
    </row>
    <row r="295" spans="1:24" x14ac:dyDescent="0.2">
      <c r="A295" s="495" t="s">
        <v>10310</v>
      </c>
      <c r="B295" s="481" t="s">
        <v>10311</v>
      </c>
      <c r="C295" s="454" t="s">
        <v>386</v>
      </c>
      <c r="D295" s="455" t="s">
        <v>9783</v>
      </c>
      <c r="E295" s="456" t="s">
        <v>9710</v>
      </c>
      <c r="F295" s="456" t="s">
        <v>10309</v>
      </c>
      <c r="G295" s="456" t="s">
        <v>7180</v>
      </c>
      <c r="H295" s="457">
        <v>117.72000000000001</v>
      </c>
      <c r="I295" s="457">
        <f t="shared" si="19"/>
        <v>126.54900000000001</v>
      </c>
      <c r="J295" s="457" t="s">
        <v>9706</v>
      </c>
      <c r="K295" s="458">
        <v>0.3</v>
      </c>
      <c r="L295" s="459">
        <f t="shared" si="16"/>
        <v>82.404000000000011</v>
      </c>
      <c r="M295" s="460">
        <v>0.18</v>
      </c>
      <c r="N295" s="461">
        <f t="shared" si="17"/>
        <v>103.77018000000001</v>
      </c>
      <c r="O295" s="462">
        <v>0.1</v>
      </c>
      <c r="P295" s="463">
        <f t="shared" si="18"/>
        <v>113.89410000000001</v>
      </c>
      <c r="Q295" s="464"/>
      <c r="R295" s="465">
        <v>20</v>
      </c>
      <c r="S295" s="465">
        <v>20</v>
      </c>
      <c r="T295" s="465">
        <v>240</v>
      </c>
      <c r="U295" s="466"/>
      <c r="W295" s="415"/>
      <c r="X295" s="415"/>
    </row>
    <row r="296" spans="1:24" x14ac:dyDescent="0.2">
      <c r="A296" s="495" t="s">
        <v>10312</v>
      </c>
      <c r="B296" s="481" t="s">
        <v>10313</v>
      </c>
      <c r="C296" s="454" t="s">
        <v>386</v>
      </c>
      <c r="D296" s="455" t="s">
        <v>9783</v>
      </c>
      <c r="E296" s="456" t="s">
        <v>9710</v>
      </c>
      <c r="F296" s="456" t="s">
        <v>10309</v>
      </c>
      <c r="G296" s="456" t="s">
        <v>7180</v>
      </c>
      <c r="H296" s="457">
        <v>117.72000000000001</v>
      </c>
      <c r="I296" s="457">
        <f t="shared" si="19"/>
        <v>126.54900000000001</v>
      </c>
      <c r="J296" s="457" t="s">
        <v>9706</v>
      </c>
      <c r="K296" s="458">
        <v>0.3</v>
      </c>
      <c r="L296" s="459">
        <f t="shared" si="16"/>
        <v>82.404000000000011</v>
      </c>
      <c r="M296" s="460">
        <v>0.18</v>
      </c>
      <c r="N296" s="461">
        <f t="shared" si="17"/>
        <v>103.77018000000001</v>
      </c>
      <c r="O296" s="462">
        <v>0.1</v>
      </c>
      <c r="P296" s="463">
        <f t="shared" si="18"/>
        <v>113.89410000000001</v>
      </c>
      <c r="Q296" s="464"/>
      <c r="R296" s="465">
        <v>20</v>
      </c>
      <c r="S296" s="465">
        <v>20</v>
      </c>
      <c r="T296" s="465">
        <v>240</v>
      </c>
      <c r="U296" s="466"/>
      <c r="W296" s="415"/>
      <c r="X296" s="415"/>
    </row>
    <row r="297" spans="1:24" x14ac:dyDescent="0.2">
      <c r="A297" s="495" t="s">
        <v>10314</v>
      </c>
      <c r="B297" s="481" t="s">
        <v>10315</v>
      </c>
      <c r="C297" s="454" t="s">
        <v>386</v>
      </c>
      <c r="D297" s="455" t="s">
        <v>9783</v>
      </c>
      <c r="E297" s="456" t="s">
        <v>9710</v>
      </c>
      <c r="F297" s="456" t="s">
        <v>10309</v>
      </c>
      <c r="G297" s="456" t="s">
        <v>7180</v>
      </c>
      <c r="H297" s="457">
        <v>117.72000000000001</v>
      </c>
      <c r="I297" s="457">
        <f t="shared" si="19"/>
        <v>126.54900000000001</v>
      </c>
      <c r="J297" s="457" t="s">
        <v>9706</v>
      </c>
      <c r="K297" s="458">
        <v>0.3</v>
      </c>
      <c r="L297" s="459">
        <f t="shared" si="16"/>
        <v>82.404000000000011</v>
      </c>
      <c r="M297" s="460">
        <v>0.18</v>
      </c>
      <c r="N297" s="461">
        <f t="shared" si="17"/>
        <v>103.77018000000001</v>
      </c>
      <c r="O297" s="462">
        <v>0.1</v>
      </c>
      <c r="P297" s="463">
        <f t="shared" si="18"/>
        <v>113.89410000000001</v>
      </c>
      <c r="Q297" s="464"/>
      <c r="R297" s="465">
        <v>20</v>
      </c>
      <c r="S297" s="465">
        <v>20</v>
      </c>
      <c r="T297" s="465">
        <v>240</v>
      </c>
      <c r="U297" s="466"/>
      <c r="W297" s="415"/>
      <c r="X297" s="415"/>
    </row>
    <row r="298" spans="1:24" x14ac:dyDescent="0.2">
      <c r="A298" s="495" t="s">
        <v>10316</v>
      </c>
      <c r="B298" s="481" t="s">
        <v>10317</v>
      </c>
      <c r="C298" s="454" t="s">
        <v>386</v>
      </c>
      <c r="D298" s="455" t="s">
        <v>9783</v>
      </c>
      <c r="E298" s="456" t="s">
        <v>9710</v>
      </c>
      <c r="F298" s="456" t="s">
        <v>10309</v>
      </c>
      <c r="G298" s="456" t="s">
        <v>7180</v>
      </c>
      <c r="H298" s="457">
        <v>117.72000000000001</v>
      </c>
      <c r="I298" s="457">
        <f t="shared" si="19"/>
        <v>126.54900000000001</v>
      </c>
      <c r="J298" s="457" t="s">
        <v>9706</v>
      </c>
      <c r="K298" s="458">
        <v>0.3</v>
      </c>
      <c r="L298" s="459">
        <f t="shared" si="16"/>
        <v>82.404000000000011</v>
      </c>
      <c r="M298" s="460">
        <v>0.18</v>
      </c>
      <c r="N298" s="461">
        <f t="shared" si="17"/>
        <v>103.77018000000001</v>
      </c>
      <c r="O298" s="462">
        <v>0.1</v>
      </c>
      <c r="P298" s="463">
        <f t="shared" si="18"/>
        <v>113.89410000000001</v>
      </c>
      <c r="Q298" s="464"/>
      <c r="R298" s="465">
        <v>20</v>
      </c>
      <c r="S298" s="465">
        <v>20</v>
      </c>
      <c r="T298" s="465">
        <v>240</v>
      </c>
      <c r="U298" s="466"/>
      <c r="W298" s="415"/>
      <c r="X298" s="415"/>
    </row>
    <row r="299" spans="1:24" x14ac:dyDescent="0.2">
      <c r="A299" s="495" t="s">
        <v>10318</v>
      </c>
      <c r="B299" s="481" t="s">
        <v>10319</v>
      </c>
      <c r="C299" s="454" t="s">
        <v>386</v>
      </c>
      <c r="D299" s="455" t="s">
        <v>9783</v>
      </c>
      <c r="E299" s="456" t="s">
        <v>9710</v>
      </c>
      <c r="F299" s="456" t="s">
        <v>10309</v>
      </c>
      <c r="G299" s="456" t="s">
        <v>7180</v>
      </c>
      <c r="H299" s="457">
        <v>117.72000000000001</v>
      </c>
      <c r="I299" s="457">
        <f t="shared" si="19"/>
        <v>126.54900000000001</v>
      </c>
      <c r="J299" s="457" t="s">
        <v>9706</v>
      </c>
      <c r="K299" s="458">
        <v>0.3</v>
      </c>
      <c r="L299" s="459">
        <f t="shared" si="16"/>
        <v>82.404000000000011</v>
      </c>
      <c r="M299" s="460">
        <v>0.18</v>
      </c>
      <c r="N299" s="461">
        <f t="shared" si="17"/>
        <v>103.77018000000001</v>
      </c>
      <c r="O299" s="462">
        <v>0.1</v>
      </c>
      <c r="P299" s="463">
        <f t="shared" si="18"/>
        <v>113.89410000000001</v>
      </c>
      <c r="Q299" s="464"/>
      <c r="R299" s="465">
        <v>20</v>
      </c>
      <c r="S299" s="465">
        <v>20</v>
      </c>
      <c r="T299" s="465">
        <v>240</v>
      </c>
      <c r="U299" s="466"/>
      <c r="W299" s="415"/>
      <c r="X299" s="415"/>
    </row>
    <row r="300" spans="1:24" x14ac:dyDescent="0.2">
      <c r="A300" s="495" t="s">
        <v>10320</v>
      </c>
      <c r="B300" s="481" t="s">
        <v>10321</v>
      </c>
      <c r="C300" s="454" t="s">
        <v>386</v>
      </c>
      <c r="D300" s="455" t="s">
        <v>9783</v>
      </c>
      <c r="E300" s="456" t="s">
        <v>9710</v>
      </c>
      <c r="F300" s="456" t="s">
        <v>10309</v>
      </c>
      <c r="G300" s="456" t="s">
        <v>7180</v>
      </c>
      <c r="H300" s="457">
        <v>117.72000000000001</v>
      </c>
      <c r="I300" s="457">
        <f t="shared" si="19"/>
        <v>126.54900000000001</v>
      </c>
      <c r="J300" s="457" t="s">
        <v>9706</v>
      </c>
      <c r="K300" s="458">
        <v>0.3</v>
      </c>
      <c r="L300" s="459">
        <f t="shared" si="16"/>
        <v>82.404000000000011</v>
      </c>
      <c r="M300" s="460">
        <v>0.18</v>
      </c>
      <c r="N300" s="461">
        <f t="shared" si="17"/>
        <v>103.77018000000001</v>
      </c>
      <c r="O300" s="462">
        <v>0.1</v>
      </c>
      <c r="P300" s="463">
        <f t="shared" si="18"/>
        <v>113.89410000000001</v>
      </c>
      <c r="Q300" s="464"/>
      <c r="R300" s="465">
        <v>20</v>
      </c>
      <c r="S300" s="465">
        <v>20</v>
      </c>
      <c r="T300" s="465">
        <v>240</v>
      </c>
      <c r="U300" s="466"/>
      <c r="W300" s="415"/>
      <c r="X300" s="415"/>
    </row>
    <row r="301" spans="1:24" x14ac:dyDescent="0.2">
      <c r="A301" s="495" t="s">
        <v>10322</v>
      </c>
      <c r="B301" s="481" t="s">
        <v>10323</v>
      </c>
      <c r="C301" s="454" t="s">
        <v>386</v>
      </c>
      <c r="D301" s="455" t="s">
        <v>9783</v>
      </c>
      <c r="E301" s="456" t="s">
        <v>9710</v>
      </c>
      <c r="F301" s="456" t="s">
        <v>10309</v>
      </c>
      <c r="G301" s="456" t="s">
        <v>7180</v>
      </c>
      <c r="H301" s="457">
        <v>117.72000000000001</v>
      </c>
      <c r="I301" s="457">
        <f t="shared" si="19"/>
        <v>126.54900000000001</v>
      </c>
      <c r="J301" s="457" t="s">
        <v>9706</v>
      </c>
      <c r="K301" s="458">
        <v>0.3</v>
      </c>
      <c r="L301" s="459">
        <f t="shared" si="16"/>
        <v>82.404000000000011</v>
      </c>
      <c r="M301" s="460">
        <v>0.18</v>
      </c>
      <c r="N301" s="461">
        <f t="shared" si="17"/>
        <v>103.77018000000001</v>
      </c>
      <c r="O301" s="462">
        <v>0.1</v>
      </c>
      <c r="P301" s="463">
        <f t="shared" si="18"/>
        <v>113.89410000000001</v>
      </c>
      <c r="Q301" s="464"/>
      <c r="R301" s="465">
        <v>20</v>
      </c>
      <c r="S301" s="465">
        <v>20</v>
      </c>
      <c r="T301" s="465">
        <v>240</v>
      </c>
      <c r="U301" s="466"/>
      <c r="W301" s="415"/>
      <c r="X301" s="415"/>
    </row>
    <row r="302" spans="1:24" x14ac:dyDescent="0.2">
      <c r="A302" s="495" t="s">
        <v>10324</v>
      </c>
      <c r="B302" s="481" t="s">
        <v>10325</v>
      </c>
      <c r="C302" s="454" t="s">
        <v>386</v>
      </c>
      <c r="D302" s="455" t="s">
        <v>9783</v>
      </c>
      <c r="E302" s="456" t="s">
        <v>9710</v>
      </c>
      <c r="F302" s="456" t="s">
        <v>10309</v>
      </c>
      <c r="G302" s="456" t="s">
        <v>7180</v>
      </c>
      <c r="H302" s="457">
        <v>117.72000000000001</v>
      </c>
      <c r="I302" s="457">
        <f t="shared" si="19"/>
        <v>126.54900000000001</v>
      </c>
      <c r="J302" s="457" t="s">
        <v>9706</v>
      </c>
      <c r="K302" s="458">
        <v>0.3</v>
      </c>
      <c r="L302" s="459">
        <f t="shared" si="16"/>
        <v>82.404000000000011</v>
      </c>
      <c r="M302" s="460">
        <v>0.18</v>
      </c>
      <c r="N302" s="461">
        <f t="shared" si="17"/>
        <v>103.77018000000001</v>
      </c>
      <c r="O302" s="462">
        <v>0.1</v>
      </c>
      <c r="P302" s="463">
        <f t="shared" si="18"/>
        <v>113.89410000000001</v>
      </c>
      <c r="Q302" s="464"/>
      <c r="R302" s="465">
        <v>20</v>
      </c>
      <c r="S302" s="465">
        <v>20</v>
      </c>
      <c r="T302" s="465">
        <v>240</v>
      </c>
      <c r="U302" s="466"/>
      <c r="W302" s="415"/>
      <c r="X302" s="415"/>
    </row>
    <row r="303" spans="1:24" x14ac:dyDescent="0.2">
      <c r="A303" s="495" t="s">
        <v>10326</v>
      </c>
      <c r="B303" s="481" t="s">
        <v>10327</v>
      </c>
      <c r="C303" s="454" t="s">
        <v>386</v>
      </c>
      <c r="D303" s="455" t="s">
        <v>9783</v>
      </c>
      <c r="E303" s="456" t="s">
        <v>9710</v>
      </c>
      <c r="F303" s="456" t="s">
        <v>10309</v>
      </c>
      <c r="G303" s="456" t="s">
        <v>7180</v>
      </c>
      <c r="H303" s="457">
        <v>117.72000000000001</v>
      </c>
      <c r="I303" s="457">
        <f t="shared" si="19"/>
        <v>126.54900000000001</v>
      </c>
      <c r="J303" s="457" t="s">
        <v>9706</v>
      </c>
      <c r="K303" s="458">
        <v>0.3</v>
      </c>
      <c r="L303" s="459">
        <f t="shared" si="16"/>
        <v>82.404000000000011</v>
      </c>
      <c r="M303" s="460">
        <v>0.18</v>
      </c>
      <c r="N303" s="461">
        <f t="shared" si="17"/>
        <v>103.77018000000001</v>
      </c>
      <c r="O303" s="462">
        <v>0.1</v>
      </c>
      <c r="P303" s="463">
        <f t="shared" si="18"/>
        <v>113.89410000000001</v>
      </c>
      <c r="Q303" s="464"/>
      <c r="R303" s="465">
        <v>20</v>
      </c>
      <c r="S303" s="465">
        <v>20</v>
      </c>
      <c r="T303" s="465">
        <v>240</v>
      </c>
      <c r="U303" s="466"/>
      <c r="W303" s="415"/>
      <c r="X303" s="415"/>
    </row>
    <row r="304" spans="1:24" x14ac:dyDescent="0.2">
      <c r="A304" s="495" t="s">
        <v>10328</v>
      </c>
      <c r="B304" s="481" t="s">
        <v>10329</v>
      </c>
      <c r="C304" s="454" t="s">
        <v>386</v>
      </c>
      <c r="D304" s="455" t="s">
        <v>9783</v>
      </c>
      <c r="E304" s="456" t="s">
        <v>9710</v>
      </c>
      <c r="F304" s="456" t="s">
        <v>10309</v>
      </c>
      <c r="G304" s="456" t="s">
        <v>7180</v>
      </c>
      <c r="H304" s="457">
        <v>117.72000000000001</v>
      </c>
      <c r="I304" s="457">
        <f t="shared" si="19"/>
        <v>126.54900000000001</v>
      </c>
      <c r="J304" s="457" t="s">
        <v>9706</v>
      </c>
      <c r="K304" s="458">
        <v>0.3</v>
      </c>
      <c r="L304" s="459">
        <f t="shared" si="16"/>
        <v>82.404000000000011</v>
      </c>
      <c r="M304" s="460">
        <v>0.18</v>
      </c>
      <c r="N304" s="461">
        <f t="shared" si="17"/>
        <v>103.77018000000001</v>
      </c>
      <c r="O304" s="462">
        <v>0.1</v>
      </c>
      <c r="P304" s="463">
        <f t="shared" si="18"/>
        <v>113.89410000000001</v>
      </c>
      <c r="Q304" s="464"/>
      <c r="R304" s="465">
        <v>20</v>
      </c>
      <c r="S304" s="465">
        <v>20</v>
      </c>
      <c r="T304" s="465">
        <v>20</v>
      </c>
      <c r="U304" s="466"/>
      <c r="W304" s="415"/>
      <c r="X304" s="415"/>
    </row>
    <row r="305" spans="1:24" x14ac:dyDescent="0.2">
      <c r="A305" s="495" t="s">
        <v>10330</v>
      </c>
      <c r="B305" s="481" t="s">
        <v>10331</v>
      </c>
      <c r="C305" s="454" t="s">
        <v>386</v>
      </c>
      <c r="D305" s="455" t="s">
        <v>9783</v>
      </c>
      <c r="E305" s="456" t="s">
        <v>9710</v>
      </c>
      <c r="F305" s="456" t="s">
        <v>10309</v>
      </c>
      <c r="G305" s="456" t="s">
        <v>7180</v>
      </c>
      <c r="H305" s="457">
        <v>117.72000000000001</v>
      </c>
      <c r="I305" s="457">
        <f t="shared" si="19"/>
        <v>126.54900000000001</v>
      </c>
      <c r="J305" s="457" t="s">
        <v>9706</v>
      </c>
      <c r="K305" s="458">
        <v>0.3</v>
      </c>
      <c r="L305" s="459">
        <f t="shared" si="16"/>
        <v>82.404000000000011</v>
      </c>
      <c r="M305" s="460">
        <v>0.18</v>
      </c>
      <c r="N305" s="461">
        <f t="shared" si="17"/>
        <v>103.77018000000001</v>
      </c>
      <c r="O305" s="462">
        <v>0.1</v>
      </c>
      <c r="P305" s="463">
        <f t="shared" si="18"/>
        <v>113.89410000000001</v>
      </c>
      <c r="Q305" s="464"/>
      <c r="R305" s="465">
        <v>20</v>
      </c>
      <c r="S305" s="465">
        <v>20</v>
      </c>
      <c r="T305" s="465">
        <v>20</v>
      </c>
      <c r="U305" s="466"/>
      <c r="W305" s="415"/>
      <c r="X305" s="415"/>
    </row>
    <row r="306" spans="1:24" x14ac:dyDescent="0.2">
      <c r="A306" s="495" t="s">
        <v>10332</v>
      </c>
      <c r="B306" s="481" t="s">
        <v>10333</v>
      </c>
      <c r="C306" s="454" t="s">
        <v>386</v>
      </c>
      <c r="D306" s="455" t="s">
        <v>9783</v>
      </c>
      <c r="E306" s="456" t="s">
        <v>9710</v>
      </c>
      <c r="F306" s="456" t="s">
        <v>10309</v>
      </c>
      <c r="G306" s="456" t="s">
        <v>7180</v>
      </c>
      <c r="H306" s="457">
        <v>117.72000000000001</v>
      </c>
      <c r="I306" s="457">
        <f t="shared" si="19"/>
        <v>126.54900000000001</v>
      </c>
      <c r="J306" s="457" t="s">
        <v>9706</v>
      </c>
      <c r="K306" s="458">
        <v>0.3</v>
      </c>
      <c r="L306" s="459">
        <f t="shared" si="16"/>
        <v>82.404000000000011</v>
      </c>
      <c r="M306" s="460">
        <v>0.18</v>
      </c>
      <c r="N306" s="461">
        <f t="shared" si="17"/>
        <v>103.77018000000001</v>
      </c>
      <c r="O306" s="462">
        <v>0.1</v>
      </c>
      <c r="P306" s="463">
        <f t="shared" si="18"/>
        <v>113.89410000000001</v>
      </c>
      <c r="Q306" s="464"/>
      <c r="R306" s="465">
        <v>20</v>
      </c>
      <c r="S306" s="465">
        <v>20</v>
      </c>
      <c r="T306" s="465">
        <v>20</v>
      </c>
      <c r="U306" s="466"/>
      <c r="W306" s="415"/>
      <c r="X306" s="415"/>
    </row>
    <row r="307" spans="1:24" x14ac:dyDescent="0.2">
      <c r="A307" s="495" t="s">
        <v>10334</v>
      </c>
      <c r="B307" s="481" t="s">
        <v>10335</v>
      </c>
      <c r="C307" s="454" t="s">
        <v>386</v>
      </c>
      <c r="D307" s="455" t="s">
        <v>9783</v>
      </c>
      <c r="E307" s="456" t="s">
        <v>9710</v>
      </c>
      <c r="F307" s="456" t="s">
        <v>10309</v>
      </c>
      <c r="G307" s="456" t="s">
        <v>7180</v>
      </c>
      <c r="H307" s="457">
        <v>117.72000000000001</v>
      </c>
      <c r="I307" s="457">
        <f t="shared" si="19"/>
        <v>126.54900000000001</v>
      </c>
      <c r="J307" s="457" t="s">
        <v>9706</v>
      </c>
      <c r="K307" s="458">
        <v>0.3</v>
      </c>
      <c r="L307" s="459">
        <f t="shared" si="16"/>
        <v>82.404000000000011</v>
      </c>
      <c r="M307" s="460">
        <v>0.18</v>
      </c>
      <c r="N307" s="461">
        <f t="shared" si="17"/>
        <v>103.77018000000001</v>
      </c>
      <c r="O307" s="462">
        <v>0.1</v>
      </c>
      <c r="P307" s="463">
        <f t="shared" si="18"/>
        <v>113.89410000000001</v>
      </c>
      <c r="Q307" s="464"/>
      <c r="R307" s="465">
        <v>20</v>
      </c>
      <c r="S307" s="465">
        <v>20</v>
      </c>
      <c r="T307" s="465">
        <v>20</v>
      </c>
      <c r="U307" s="466"/>
      <c r="W307" s="415"/>
      <c r="X307" s="415"/>
    </row>
    <row r="308" spans="1:24" x14ac:dyDescent="0.2">
      <c r="A308" s="495" t="s">
        <v>10336</v>
      </c>
      <c r="B308" s="481" t="s">
        <v>10337</v>
      </c>
      <c r="C308" s="454" t="s">
        <v>386</v>
      </c>
      <c r="D308" s="455" t="s">
        <v>9783</v>
      </c>
      <c r="E308" s="456" t="s">
        <v>9710</v>
      </c>
      <c r="F308" s="456" t="s">
        <v>10309</v>
      </c>
      <c r="G308" s="456" t="s">
        <v>7180</v>
      </c>
      <c r="H308" s="457">
        <v>117.72000000000001</v>
      </c>
      <c r="I308" s="457">
        <f t="shared" si="19"/>
        <v>126.54900000000001</v>
      </c>
      <c r="J308" s="457" t="s">
        <v>9706</v>
      </c>
      <c r="K308" s="458">
        <v>0.3</v>
      </c>
      <c r="L308" s="459">
        <f t="shared" si="16"/>
        <v>82.404000000000011</v>
      </c>
      <c r="M308" s="460">
        <v>0.18</v>
      </c>
      <c r="N308" s="461">
        <f t="shared" si="17"/>
        <v>103.77018000000001</v>
      </c>
      <c r="O308" s="462">
        <v>0.1</v>
      </c>
      <c r="P308" s="463">
        <f t="shared" si="18"/>
        <v>113.89410000000001</v>
      </c>
      <c r="Q308" s="464"/>
      <c r="R308" s="465">
        <v>20</v>
      </c>
      <c r="S308" s="465">
        <v>20</v>
      </c>
      <c r="T308" s="465">
        <v>20</v>
      </c>
      <c r="U308" s="466"/>
      <c r="W308" s="415"/>
      <c r="X308" s="415"/>
    </row>
    <row r="309" spans="1:24" x14ac:dyDescent="0.2">
      <c r="A309" s="495" t="s">
        <v>10338</v>
      </c>
      <c r="B309" s="481" t="s">
        <v>10308</v>
      </c>
      <c r="C309" s="454" t="s">
        <v>386</v>
      </c>
      <c r="D309" s="455" t="s">
        <v>9783</v>
      </c>
      <c r="E309" s="456" t="s">
        <v>9710</v>
      </c>
      <c r="F309" s="456" t="s">
        <v>10309</v>
      </c>
      <c r="G309" s="456" t="s">
        <v>7180</v>
      </c>
      <c r="H309" s="457">
        <v>117.72000000000001</v>
      </c>
      <c r="I309" s="457">
        <f t="shared" si="19"/>
        <v>126.54900000000001</v>
      </c>
      <c r="J309" s="457" t="s">
        <v>9706</v>
      </c>
      <c r="K309" s="458">
        <v>0.3</v>
      </c>
      <c r="L309" s="459">
        <f t="shared" si="16"/>
        <v>82.404000000000011</v>
      </c>
      <c r="M309" s="460">
        <v>0.18</v>
      </c>
      <c r="N309" s="461">
        <f t="shared" si="17"/>
        <v>103.77018000000001</v>
      </c>
      <c r="O309" s="462">
        <v>0.1</v>
      </c>
      <c r="P309" s="463">
        <f t="shared" si="18"/>
        <v>113.89410000000001</v>
      </c>
      <c r="Q309" s="464"/>
      <c r="R309" s="465">
        <v>20</v>
      </c>
      <c r="S309" s="465">
        <v>20</v>
      </c>
      <c r="T309" s="465">
        <v>240</v>
      </c>
      <c r="U309" s="466"/>
      <c r="W309" s="415"/>
      <c r="X309" s="415"/>
    </row>
    <row r="310" spans="1:24" x14ac:dyDescent="0.2">
      <c r="A310" s="495" t="s">
        <v>10339</v>
      </c>
      <c r="B310" s="481" t="s">
        <v>10311</v>
      </c>
      <c r="C310" s="454" t="s">
        <v>386</v>
      </c>
      <c r="D310" s="455" t="s">
        <v>9783</v>
      </c>
      <c r="E310" s="456" t="s">
        <v>9710</v>
      </c>
      <c r="F310" s="456" t="s">
        <v>10309</v>
      </c>
      <c r="G310" s="456" t="s">
        <v>7180</v>
      </c>
      <c r="H310" s="457">
        <v>117.72000000000001</v>
      </c>
      <c r="I310" s="457">
        <f t="shared" si="19"/>
        <v>126.54900000000001</v>
      </c>
      <c r="J310" s="457" t="s">
        <v>9706</v>
      </c>
      <c r="K310" s="458">
        <v>0.3</v>
      </c>
      <c r="L310" s="459">
        <f t="shared" si="16"/>
        <v>82.404000000000011</v>
      </c>
      <c r="M310" s="460">
        <v>0.18</v>
      </c>
      <c r="N310" s="461">
        <f t="shared" si="17"/>
        <v>103.77018000000001</v>
      </c>
      <c r="O310" s="462">
        <v>0.1</v>
      </c>
      <c r="P310" s="463">
        <f t="shared" si="18"/>
        <v>113.89410000000001</v>
      </c>
      <c r="Q310" s="464"/>
      <c r="R310" s="465">
        <v>20</v>
      </c>
      <c r="S310" s="465">
        <v>20</v>
      </c>
      <c r="T310" s="465">
        <v>240</v>
      </c>
      <c r="U310" s="466"/>
      <c r="W310" s="415"/>
      <c r="X310" s="415"/>
    </row>
    <row r="311" spans="1:24" x14ac:dyDescent="0.2">
      <c r="A311" s="495" t="s">
        <v>10340</v>
      </c>
      <c r="B311" s="481" t="s">
        <v>10313</v>
      </c>
      <c r="C311" s="454" t="s">
        <v>386</v>
      </c>
      <c r="D311" s="455" t="s">
        <v>9783</v>
      </c>
      <c r="E311" s="456" t="s">
        <v>9710</v>
      </c>
      <c r="F311" s="456" t="s">
        <v>10309</v>
      </c>
      <c r="G311" s="456" t="s">
        <v>7180</v>
      </c>
      <c r="H311" s="457">
        <v>117.72000000000001</v>
      </c>
      <c r="I311" s="457">
        <f t="shared" si="19"/>
        <v>126.54900000000001</v>
      </c>
      <c r="J311" s="457" t="s">
        <v>9706</v>
      </c>
      <c r="K311" s="458">
        <v>0.3</v>
      </c>
      <c r="L311" s="459">
        <f t="shared" si="16"/>
        <v>82.404000000000011</v>
      </c>
      <c r="M311" s="460">
        <v>0.18</v>
      </c>
      <c r="N311" s="461">
        <f t="shared" si="17"/>
        <v>103.77018000000001</v>
      </c>
      <c r="O311" s="462">
        <v>0.1</v>
      </c>
      <c r="P311" s="463">
        <f t="shared" si="18"/>
        <v>113.89410000000001</v>
      </c>
      <c r="Q311" s="464"/>
      <c r="R311" s="465">
        <v>20</v>
      </c>
      <c r="S311" s="465">
        <v>20</v>
      </c>
      <c r="T311" s="465">
        <v>240</v>
      </c>
      <c r="U311" s="466"/>
      <c r="W311" s="415"/>
      <c r="X311" s="415"/>
    </row>
    <row r="312" spans="1:24" x14ac:dyDescent="0.2">
      <c r="A312" s="495" t="s">
        <v>10341</v>
      </c>
      <c r="B312" s="481" t="s">
        <v>10315</v>
      </c>
      <c r="C312" s="454" t="s">
        <v>386</v>
      </c>
      <c r="D312" s="455" t="s">
        <v>9783</v>
      </c>
      <c r="E312" s="456" t="s">
        <v>9710</v>
      </c>
      <c r="F312" s="456" t="s">
        <v>10309</v>
      </c>
      <c r="G312" s="456" t="s">
        <v>7180</v>
      </c>
      <c r="H312" s="457">
        <v>117.72000000000001</v>
      </c>
      <c r="I312" s="457">
        <f t="shared" si="19"/>
        <v>126.54900000000001</v>
      </c>
      <c r="J312" s="457" t="s">
        <v>9706</v>
      </c>
      <c r="K312" s="458">
        <v>0.3</v>
      </c>
      <c r="L312" s="459">
        <f t="shared" si="16"/>
        <v>82.404000000000011</v>
      </c>
      <c r="M312" s="460">
        <v>0.18</v>
      </c>
      <c r="N312" s="461">
        <f t="shared" si="17"/>
        <v>103.77018000000001</v>
      </c>
      <c r="O312" s="462">
        <v>0.1</v>
      </c>
      <c r="P312" s="463">
        <f t="shared" si="18"/>
        <v>113.89410000000001</v>
      </c>
      <c r="Q312" s="464"/>
      <c r="R312" s="465">
        <v>20</v>
      </c>
      <c r="S312" s="465">
        <v>20</v>
      </c>
      <c r="T312" s="465">
        <v>240</v>
      </c>
      <c r="U312" s="466"/>
      <c r="W312" s="415"/>
      <c r="X312" s="415"/>
    </row>
    <row r="313" spans="1:24" x14ac:dyDescent="0.2">
      <c r="A313" s="495" t="s">
        <v>10342</v>
      </c>
      <c r="B313" s="481" t="s">
        <v>10317</v>
      </c>
      <c r="C313" s="454" t="s">
        <v>386</v>
      </c>
      <c r="D313" s="455" t="s">
        <v>9783</v>
      </c>
      <c r="E313" s="456" t="s">
        <v>9710</v>
      </c>
      <c r="F313" s="456" t="s">
        <v>10309</v>
      </c>
      <c r="G313" s="456" t="s">
        <v>7180</v>
      </c>
      <c r="H313" s="457">
        <v>117.72000000000001</v>
      </c>
      <c r="I313" s="457">
        <f t="shared" si="19"/>
        <v>126.54900000000001</v>
      </c>
      <c r="J313" s="457" t="s">
        <v>9706</v>
      </c>
      <c r="K313" s="458">
        <v>0.3</v>
      </c>
      <c r="L313" s="459">
        <f t="shared" si="16"/>
        <v>82.404000000000011</v>
      </c>
      <c r="M313" s="460">
        <v>0.18</v>
      </c>
      <c r="N313" s="461">
        <f t="shared" si="17"/>
        <v>103.77018000000001</v>
      </c>
      <c r="O313" s="462">
        <v>0.1</v>
      </c>
      <c r="P313" s="463">
        <f t="shared" si="18"/>
        <v>113.89410000000001</v>
      </c>
      <c r="Q313" s="464"/>
      <c r="R313" s="465">
        <v>20</v>
      </c>
      <c r="S313" s="465">
        <v>20</v>
      </c>
      <c r="T313" s="465">
        <v>240</v>
      </c>
      <c r="U313" s="466"/>
      <c r="W313" s="415"/>
      <c r="X313" s="415"/>
    </row>
    <row r="314" spans="1:24" x14ac:dyDescent="0.2">
      <c r="A314" s="495" t="s">
        <v>10343</v>
      </c>
      <c r="B314" s="481" t="s">
        <v>10319</v>
      </c>
      <c r="C314" s="454" t="s">
        <v>386</v>
      </c>
      <c r="D314" s="455" t="s">
        <v>9783</v>
      </c>
      <c r="E314" s="456" t="s">
        <v>9710</v>
      </c>
      <c r="F314" s="456" t="s">
        <v>10309</v>
      </c>
      <c r="G314" s="456" t="s">
        <v>7180</v>
      </c>
      <c r="H314" s="457">
        <v>117.72000000000001</v>
      </c>
      <c r="I314" s="457">
        <f t="shared" si="19"/>
        <v>126.54900000000001</v>
      </c>
      <c r="J314" s="457" t="s">
        <v>9706</v>
      </c>
      <c r="K314" s="458">
        <v>0.3</v>
      </c>
      <c r="L314" s="459">
        <f t="shared" si="16"/>
        <v>82.404000000000011</v>
      </c>
      <c r="M314" s="460">
        <v>0.18</v>
      </c>
      <c r="N314" s="461">
        <f t="shared" si="17"/>
        <v>103.77018000000001</v>
      </c>
      <c r="O314" s="462">
        <v>0.1</v>
      </c>
      <c r="P314" s="463">
        <f t="shared" si="18"/>
        <v>113.89410000000001</v>
      </c>
      <c r="Q314" s="464"/>
      <c r="R314" s="465">
        <v>20</v>
      </c>
      <c r="S314" s="465">
        <v>20</v>
      </c>
      <c r="T314" s="465">
        <v>240</v>
      </c>
      <c r="U314" s="466"/>
      <c r="W314" s="415"/>
      <c r="X314" s="415"/>
    </row>
    <row r="315" spans="1:24" x14ac:dyDescent="0.2">
      <c r="A315" s="495" t="s">
        <v>10344</v>
      </c>
      <c r="B315" s="481" t="s">
        <v>10321</v>
      </c>
      <c r="C315" s="454" t="s">
        <v>386</v>
      </c>
      <c r="D315" s="455" t="s">
        <v>9783</v>
      </c>
      <c r="E315" s="456" t="s">
        <v>9710</v>
      </c>
      <c r="F315" s="456" t="s">
        <v>10309</v>
      </c>
      <c r="G315" s="456" t="s">
        <v>7180</v>
      </c>
      <c r="H315" s="457">
        <v>117.72000000000001</v>
      </c>
      <c r="I315" s="457">
        <f t="shared" si="19"/>
        <v>126.54900000000001</v>
      </c>
      <c r="J315" s="457" t="s">
        <v>9706</v>
      </c>
      <c r="K315" s="458">
        <v>0.3</v>
      </c>
      <c r="L315" s="459">
        <f t="shared" si="16"/>
        <v>82.404000000000011</v>
      </c>
      <c r="M315" s="460">
        <v>0.18</v>
      </c>
      <c r="N315" s="461">
        <f t="shared" si="17"/>
        <v>103.77018000000001</v>
      </c>
      <c r="O315" s="462">
        <v>0.1</v>
      </c>
      <c r="P315" s="463">
        <f t="shared" si="18"/>
        <v>113.89410000000001</v>
      </c>
      <c r="Q315" s="464"/>
      <c r="R315" s="465">
        <v>20</v>
      </c>
      <c r="S315" s="465">
        <v>20</v>
      </c>
      <c r="T315" s="465">
        <v>240</v>
      </c>
      <c r="U315" s="466"/>
      <c r="W315" s="415"/>
      <c r="X315" s="415"/>
    </row>
    <row r="316" spans="1:24" x14ac:dyDescent="0.2">
      <c r="A316" s="495" t="s">
        <v>10345</v>
      </c>
      <c r="B316" s="481" t="s">
        <v>10323</v>
      </c>
      <c r="C316" s="454" t="s">
        <v>386</v>
      </c>
      <c r="D316" s="455" t="s">
        <v>9783</v>
      </c>
      <c r="E316" s="456" t="s">
        <v>9710</v>
      </c>
      <c r="F316" s="456" t="s">
        <v>10309</v>
      </c>
      <c r="G316" s="456" t="s">
        <v>7180</v>
      </c>
      <c r="H316" s="457">
        <v>117.72000000000001</v>
      </c>
      <c r="I316" s="457">
        <f t="shared" si="19"/>
        <v>126.54900000000001</v>
      </c>
      <c r="J316" s="457" t="s">
        <v>9706</v>
      </c>
      <c r="K316" s="458">
        <v>0.3</v>
      </c>
      <c r="L316" s="459">
        <f t="shared" si="16"/>
        <v>82.404000000000011</v>
      </c>
      <c r="M316" s="460">
        <v>0.18</v>
      </c>
      <c r="N316" s="461">
        <f t="shared" si="17"/>
        <v>103.77018000000001</v>
      </c>
      <c r="O316" s="462">
        <v>0.1</v>
      </c>
      <c r="P316" s="463">
        <f t="shared" si="18"/>
        <v>113.89410000000001</v>
      </c>
      <c r="Q316" s="464"/>
      <c r="R316" s="465">
        <v>20</v>
      </c>
      <c r="S316" s="465">
        <v>20</v>
      </c>
      <c r="T316" s="465">
        <v>240</v>
      </c>
      <c r="U316" s="466"/>
      <c r="W316" s="415"/>
      <c r="X316" s="415"/>
    </row>
    <row r="317" spans="1:24" x14ac:dyDescent="0.2">
      <c r="A317" s="495" t="s">
        <v>10346</v>
      </c>
      <c r="B317" s="481" t="s">
        <v>10325</v>
      </c>
      <c r="C317" s="454" t="s">
        <v>386</v>
      </c>
      <c r="D317" s="455" t="s">
        <v>9783</v>
      </c>
      <c r="E317" s="456" t="s">
        <v>9710</v>
      </c>
      <c r="F317" s="456" t="s">
        <v>10309</v>
      </c>
      <c r="G317" s="456" t="s">
        <v>7180</v>
      </c>
      <c r="H317" s="457">
        <v>117.72000000000001</v>
      </c>
      <c r="I317" s="457">
        <f t="shared" si="19"/>
        <v>126.54900000000001</v>
      </c>
      <c r="J317" s="457" t="s">
        <v>9706</v>
      </c>
      <c r="K317" s="458">
        <v>0.3</v>
      </c>
      <c r="L317" s="459">
        <f t="shared" si="16"/>
        <v>82.404000000000011</v>
      </c>
      <c r="M317" s="460">
        <v>0.18</v>
      </c>
      <c r="N317" s="461">
        <f t="shared" si="17"/>
        <v>103.77018000000001</v>
      </c>
      <c r="O317" s="462">
        <v>0.1</v>
      </c>
      <c r="P317" s="463">
        <f t="shared" si="18"/>
        <v>113.89410000000001</v>
      </c>
      <c r="Q317" s="464"/>
      <c r="R317" s="465">
        <v>20</v>
      </c>
      <c r="S317" s="465">
        <v>20</v>
      </c>
      <c r="T317" s="465">
        <v>240</v>
      </c>
      <c r="U317" s="466"/>
      <c r="W317" s="415"/>
      <c r="X317" s="415"/>
    </row>
    <row r="318" spans="1:24" x14ac:dyDescent="0.2">
      <c r="A318" s="495" t="s">
        <v>10347</v>
      </c>
      <c r="B318" s="481" t="s">
        <v>10327</v>
      </c>
      <c r="C318" s="454" t="s">
        <v>386</v>
      </c>
      <c r="D318" s="455" t="s">
        <v>9783</v>
      </c>
      <c r="E318" s="456" t="s">
        <v>9710</v>
      </c>
      <c r="F318" s="456" t="s">
        <v>10309</v>
      </c>
      <c r="G318" s="456" t="s">
        <v>7180</v>
      </c>
      <c r="H318" s="457">
        <v>117.72000000000001</v>
      </c>
      <c r="I318" s="457">
        <f t="shared" si="19"/>
        <v>126.54900000000001</v>
      </c>
      <c r="J318" s="457" t="s">
        <v>9706</v>
      </c>
      <c r="K318" s="458">
        <v>0.3</v>
      </c>
      <c r="L318" s="459">
        <f t="shared" si="16"/>
        <v>82.404000000000011</v>
      </c>
      <c r="M318" s="460">
        <v>0.18</v>
      </c>
      <c r="N318" s="461">
        <f t="shared" si="17"/>
        <v>103.77018000000001</v>
      </c>
      <c r="O318" s="462">
        <v>0.1</v>
      </c>
      <c r="P318" s="463">
        <f t="shared" si="18"/>
        <v>113.89410000000001</v>
      </c>
      <c r="Q318" s="464"/>
      <c r="R318" s="465">
        <v>20</v>
      </c>
      <c r="S318" s="465">
        <v>20</v>
      </c>
      <c r="T318" s="465">
        <v>240</v>
      </c>
      <c r="U318" s="466"/>
      <c r="W318" s="415"/>
      <c r="X318" s="415"/>
    </row>
    <row r="319" spans="1:24" x14ac:dyDescent="0.2">
      <c r="A319" s="495" t="s">
        <v>10348</v>
      </c>
      <c r="B319" s="481" t="s">
        <v>10329</v>
      </c>
      <c r="C319" s="454" t="s">
        <v>386</v>
      </c>
      <c r="D319" s="455" t="s">
        <v>9783</v>
      </c>
      <c r="E319" s="456" t="s">
        <v>9710</v>
      </c>
      <c r="F319" s="456" t="s">
        <v>10309</v>
      </c>
      <c r="G319" s="456" t="s">
        <v>7180</v>
      </c>
      <c r="H319" s="457">
        <v>117.72000000000001</v>
      </c>
      <c r="I319" s="457">
        <f t="shared" si="19"/>
        <v>126.54900000000001</v>
      </c>
      <c r="J319" s="457" t="s">
        <v>9706</v>
      </c>
      <c r="K319" s="458">
        <v>0.3</v>
      </c>
      <c r="L319" s="459">
        <f t="shared" si="16"/>
        <v>82.404000000000011</v>
      </c>
      <c r="M319" s="460">
        <v>0.18</v>
      </c>
      <c r="N319" s="461">
        <f t="shared" si="17"/>
        <v>103.77018000000001</v>
      </c>
      <c r="O319" s="462">
        <v>0.1</v>
      </c>
      <c r="P319" s="463">
        <f t="shared" si="18"/>
        <v>113.89410000000001</v>
      </c>
      <c r="Q319" s="464"/>
      <c r="R319" s="465">
        <v>20</v>
      </c>
      <c r="S319" s="465">
        <v>20</v>
      </c>
      <c r="T319" s="465">
        <v>20</v>
      </c>
      <c r="U319" s="466"/>
      <c r="W319" s="415"/>
      <c r="X319" s="415"/>
    </row>
    <row r="320" spans="1:24" x14ac:dyDescent="0.2">
      <c r="A320" s="495" t="s">
        <v>10349</v>
      </c>
      <c r="B320" s="481" t="s">
        <v>10331</v>
      </c>
      <c r="C320" s="454" t="s">
        <v>386</v>
      </c>
      <c r="D320" s="455" t="s">
        <v>9783</v>
      </c>
      <c r="E320" s="456" t="s">
        <v>9710</v>
      </c>
      <c r="F320" s="456" t="s">
        <v>10309</v>
      </c>
      <c r="G320" s="456" t="s">
        <v>7180</v>
      </c>
      <c r="H320" s="457">
        <v>117.72000000000001</v>
      </c>
      <c r="I320" s="457">
        <f t="shared" si="19"/>
        <v>126.54900000000001</v>
      </c>
      <c r="J320" s="457" t="s">
        <v>9706</v>
      </c>
      <c r="K320" s="458">
        <v>0.3</v>
      </c>
      <c r="L320" s="459">
        <f t="shared" si="16"/>
        <v>82.404000000000011</v>
      </c>
      <c r="M320" s="460">
        <v>0.18</v>
      </c>
      <c r="N320" s="461">
        <f t="shared" si="17"/>
        <v>103.77018000000001</v>
      </c>
      <c r="O320" s="462">
        <v>0.1</v>
      </c>
      <c r="P320" s="463">
        <f t="shared" si="18"/>
        <v>113.89410000000001</v>
      </c>
      <c r="Q320" s="464"/>
      <c r="R320" s="465">
        <v>20</v>
      </c>
      <c r="S320" s="465">
        <v>20</v>
      </c>
      <c r="T320" s="465">
        <v>20</v>
      </c>
      <c r="U320" s="466"/>
      <c r="W320" s="415"/>
      <c r="X320" s="415"/>
    </row>
    <row r="321" spans="1:24" x14ac:dyDescent="0.2">
      <c r="A321" s="495" t="s">
        <v>10350</v>
      </c>
      <c r="B321" s="481" t="s">
        <v>10333</v>
      </c>
      <c r="C321" s="454" t="s">
        <v>386</v>
      </c>
      <c r="D321" s="455" t="s">
        <v>9783</v>
      </c>
      <c r="E321" s="456" t="s">
        <v>9710</v>
      </c>
      <c r="F321" s="456" t="s">
        <v>10309</v>
      </c>
      <c r="G321" s="456" t="s">
        <v>7180</v>
      </c>
      <c r="H321" s="457">
        <v>117.72000000000001</v>
      </c>
      <c r="I321" s="457">
        <f t="shared" si="19"/>
        <v>126.54900000000001</v>
      </c>
      <c r="J321" s="457" t="s">
        <v>9706</v>
      </c>
      <c r="K321" s="458">
        <v>0.3</v>
      </c>
      <c r="L321" s="459">
        <f t="shared" si="16"/>
        <v>82.404000000000011</v>
      </c>
      <c r="M321" s="460">
        <v>0.18</v>
      </c>
      <c r="N321" s="461">
        <f t="shared" si="17"/>
        <v>103.77018000000001</v>
      </c>
      <c r="O321" s="462">
        <v>0.1</v>
      </c>
      <c r="P321" s="463">
        <f t="shared" si="18"/>
        <v>113.89410000000001</v>
      </c>
      <c r="Q321" s="464"/>
      <c r="R321" s="465">
        <v>20</v>
      </c>
      <c r="S321" s="465">
        <v>20</v>
      </c>
      <c r="T321" s="465">
        <v>20</v>
      </c>
      <c r="U321" s="466"/>
      <c r="W321" s="415"/>
      <c r="X321" s="415"/>
    </row>
    <row r="322" spans="1:24" x14ac:dyDescent="0.2">
      <c r="A322" s="495" t="s">
        <v>10351</v>
      </c>
      <c r="B322" s="481" t="s">
        <v>10335</v>
      </c>
      <c r="C322" s="454" t="s">
        <v>386</v>
      </c>
      <c r="D322" s="455" t="s">
        <v>9783</v>
      </c>
      <c r="E322" s="456" t="s">
        <v>9710</v>
      </c>
      <c r="F322" s="456" t="s">
        <v>10309</v>
      </c>
      <c r="G322" s="456" t="s">
        <v>7180</v>
      </c>
      <c r="H322" s="457">
        <v>117.72000000000001</v>
      </c>
      <c r="I322" s="457">
        <f t="shared" si="19"/>
        <v>126.54900000000001</v>
      </c>
      <c r="J322" s="457" t="s">
        <v>9706</v>
      </c>
      <c r="K322" s="458">
        <v>0.3</v>
      </c>
      <c r="L322" s="459">
        <f t="shared" si="16"/>
        <v>82.404000000000011</v>
      </c>
      <c r="M322" s="460">
        <v>0.18</v>
      </c>
      <c r="N322" s="461">
        <f t="shared" si="17"/>
        <v>103.77018000000001</v>
      </c>
      <c r="O322" s="462">
        <v>0.1</v>
      </c>
      <c r="P322" s="463">
        <f t="shared" si="18"/>
        <v>113.89410000000001</v>
      </c>
      <c r="Q322" s="464"/>
      <c r="R322" s="465">
        <v>20</v>
      </c>
      <c r="S322" s="465">
        <v>20</v>
      </c>
      <c r="T322" s="465">
        <v>20</v>
      </c>
      <c r="U322" s="466"/>
      <c r="W322" s="415"/>
      <c r="X322" s="415"/>
    </row>
    <row r="323" spans="1:24" x14ac:dyDescent="0.2">
      <c r="A323" s="495" t="s">
        <v>10352</v>
      </c>
      <c r="B323" s="481" t="s">
        <v>10337</v>
      </c>
      <c r="C323" s="454" t="s">
        <v>386</v>
      </c>
      <c r="D323" s="455" t="s">
        <v>9783</v>
      </c>
      <c r="E323" s="456" t="s">
        <v>9710</v>
      </c>
      <c r="F323" s="456" t="s">
        <v>10309</v>
      </c>
      <c r="G323" s="456" t="s">
        <v>7180</v>
      </c>
      <c r="H323" s="457">
        <v>117.72000000000001</v>
      </c>
      <c r="I323" s="457">
        <f t="shared" si="19"/>
        <v>126.54900000000001</v>
      </c>
      <c r="J323" s="457" t="s">
        <v>9706</v>
      </c>
      <c r="K323" s="458">
        <v>0.3</v>
      </c>
      <c r="L323" s="459">
        <f t="shared" si="16"/>
        <v>82.404000000000011</v>
      </c>
      <c r="M323" s="460">
        <v>0.18</v>
      </c>
      <c r="N323" s="461">
        <f t="shared" si="17"/>
        <v>103.77018000000001</v>
      </c>
      <c r="O323" s="462">
        <v>0.1</v>
      </c>
      <c r="P323" s="463">
        <f t="shared" si="18"/>
        <v>113.89410000000001</v>
      </c>
      <c r="Q323" s="464"/>
      <c r="R323" s="465">
        <v>20</v>
      </c>
      <c r="S323" s="465">
        <v>20</v>
      </c>
      <c r="T323" s="465">
        <v>20</v>
      </c>
      <c r="U323" s="466"/>
      <c r="W323" s="415"/>
      <c r="X323" s="415"/>
    </row>
    <row r="324" spans="1:24" s="503" customFormat="1" x14ac:dyDescent="0.2">
      <c r="A324" s="496" t="s">
        <v>10353</v>
      </c>
      <c r="B324" s="496" t="s">
        <v>10354</v>
      </c>
      <c r="C324" s="497" t="s">
        <v>386</v>
      </c>
      <c r="D324" s="498" t="s">
        <v>9709</v>
      </c>
      <c r="E324" s="499" t="s">
        <v>9710</v>
      </c>
      <c r="F324" s="499" t="s">
        <v>10355</v>
      </c>
      <c r="G324" s="499" t="s">
        <v>7180</v>
      </c>
      <c r="H324" s="500">
        <v>117.72000000000001</v>
      </c>
      <c r="I324" s="457">
        <f t="shared" si="19"/>
        <v>126.54900000000001</v>
      </c>
      <c r="J324" s="457" t="s">
        <v>9706</v>
      </c>
      <c r="K324" s="501">
        <v>0.3</v>
      </c>
      <c r="L324" s="500">
        <f t="shared" si="16"/>
        <v>82.404000000000011</v>
      </c>
      <c r="M324" s="501">
        <v>0.18</v>
      </c>
      <c r="N324" s="461">
        <f t="shared" si="17"/>
        <v>103.77018000000001</v>
      </c>
      <c r="O324" s="462">
        <v>0.1</v>
      </c>
      <c r="P324" s="463">
        <f t="shared" si="18"/>
        <v>113.89410000000001</v>
      </c>
      <c r="Q324" s="464"/>
      <c r="R324" s="502">
        <v>20</v>
      </c>
      <c r="S324" s="502">
        <v>20</v>
      </c>
      <c r="T324" s="502">
        <v>20</v>
      </c>
      <c r="U324" s="477"/>
    </row>
    <row r="325" spans="1:24" s="503" customFormat="1" x14ac:dyDescent="0.2">
      <c r="A325" s="496" t="s">
        <v>10356</v>
      </c>
      <c r="B325" s="496" t="s">
        <v>10357</v>
      </c>
      <c r="C325" s="497" t="s">
        <v>386</v>
      </c>
      <c r="D325" s="498" t="s">
        <v>9709</v>
      </c>
      <c r="E325" s="499" t="s">
        <v>9758</v>
      </c>
      <c r="F325" s="499" t="s">
        <v>10355</v>
      </c>
      <c r="G325" s="499" t="s">
        <v>7180</v>
      </c>
      <c r="H325" s="500">
        <v>117.72000000000001</v>
      </c>
      <c r="I325" s="457">
        <f t="shared" si="19"/>
        <v>126.54900000000001</v>
      </c>
      <c r="J325" s="457" t="s">
        <v>9706</v>
      </c>
      <c r="K325" s="501">
        <v>0.3</v>
      </c>
      <c r="L325" s="500">
        <f t="shared" ref="L325:L388" si="20">H325*(1-K325)</f>
        <v>82.404000000000011</v>
      </c>
      <c r="M325" s="501">
        <v>0.18</v>
      </c>
      <c r="N325" s="461">
        <f t="shared" ref="N325:N388" si="21">I325*(1-M325)</f>
        <v>103.77018000000001</v>
      </c>
      <c r="O325" s="462">
        <v>0.1</v>
      </c>
      <c r="P325" s="463">
        <f t="shared" ref="P325:P388" si="22">I325*(1-O325)</f>
        <v>113.89410000000001</v>
      </c>
      <c r="Q325" s="464"/>
      <c r="R325" s="502">
        <v>20</v>
      </c>
      <c r="S325" s="502">
        <v>20</v>
      </c>
      <c r="T325" s="502">
        <v>20</v>
      </c>
      <c r="U325" s="477"/>
    </row>
    <row r="326" spans="1:24" s="503" customFormat="1" x14ac:dyDescent="0.2">
      <c r="A326" s="496" t="s">
        <v>10358</v>
      </c>
      <c r="B326" s="496" t="s">
        <v>10359</v>
      </c>
      <c r="C326" s="497" t="s">
        <v>386</v>
      </c>
      <c r="D326" s="498" t="s">
        <v>9709</v>
      </c>
      <c r="E326" s="499" t="s">
        <v>9710</v>
      </c>
      <c r="F326" s="499" t="s">
        <v>10355</v>
      </c>
      <c r="G326" s="499" t="s">
        <v>7180</v>
      </c>
      <c r="H326" s="500">
        <v>117.72000000000001</v>
      </c>
      <c r="I326" s="457">
        <f t="shared" si="19"/>
        <v>126.54900000000001</v>
      </c>
      <c r="J326" s="457" t="s">
        <v>9706</v>
      </c>
      <c r="K326" s="501">
        <v>0.3</v>
      </c>
      <c r="L326" s="500">
        <f t="shared" si="20"/>
        <v>82.404000000000011</v>
      </c>
      <c r="M326" s="501">
        <v>0.18</v>
      </c>
      <c r="N326" s="461">
        <f t="shared" si="21"/>
        <v>103.77018000000001</v>
      </c>
      <c r="O326" s="462">
        <v>0.1</v>
      </c>
      <c r="P326" s="463">
        <f t="shared" si="22"/>
        <v>113.89410000000001</v>
      </c>
      <c r="Q326" s="464"/>
      <c r="R326" s="502">
        <v>20</v>
      </c>
      <c r="S326" s="502">
        <v>20</v>
      </c>
      <c r="T326" s="502">
        <v>20</v>
      </c>
      <c r="U326" s="477"/>
    </row>
    <row r="327" spans="1:24" s="503" customFormat="1" x14ac:dyDescent="0.2">
      <c r="A327" s="496" t="s">
        <v>10360</v>
      </c>
      <c r="B327" s="496" t="s">
        <v>10361</v>
      </c>
      <c r="C327" s="497" t="s">
        <v>386</v>
      </c>
      <c r="D327" s="498" t="s">
        <v>9709</v>
      </c>
      <c r="E327" s="499" t="s">
        <v>9710</v>
      </c>
      <c r="F327" s="499" t="s">
        <v>10355</v>
      </c>
      <c r="G327" s="499" t="s">
        <v>7180</v>
      </c>
      <c r="H327" s="500">
        <v>117.72000000000001</v>
      </c>
      <c r="I327" s="457">
        <f t="shared" si="19"/>
        <v>126.54900000000001</v>
      </c>
      <c r="J327" s="457" t="s">
        <v>9706</v>
      </c>
      <c r="K327" s="501">
        <v>0.3</v>
      </c>
      <c r="L327" s="500">
        <f t="shared" si="20"/>
        <v>82.404000000000011</v>
      </c>
      <c r="M327" s="501">
        <v>0.18</v>
      </c>
      <c r="N327" s="461">
        <f t="shared" si="21"/>
        <v>103.77018000000001</v>
      </c>
      <c r="O327" s="462">
        <v>0.1</v>
      </c>
      <c r="P327" s="463">
        <f t="shared" si="22"/>
        <v>113.89410000000001</v>
      </c>
      <c r="Q327" s="464"/>
      <c r="R327" s="502">
        <v>20</v>
      </c>
      <c r="S327" s="502">
        <v>20</v>
      </c>
      <c r="T327" s="502">
        <v>20</v>
      </c>
      <c r="U327" s="477"/>
    </row>
    <row r="328" spans="1:24" s="503" customFormat="1" x14ac:dyDescent="0.2">
      <c r="A328" s="496" t="s">
        <v>10362</v>
      </c>
      <c r="B328" s="496" t="s">
        <v>10363</v>
      </c>
      <c r="C328" s="497" t="s">
        <v>386</v>
      </c>
      <c r="D328" s="498" t="s">
        <v>9709</v>
      </c>
      <c r="E328" s="499" t="s">
        <v>9710</v>
      </c>
      <c r="F328" s="499" t="s">
        <v>10355</v>
      </c>
      <c r="G328" s="499" t="s">
        <v>7180</v>
      </c>
      <c r="H328" s="500">
        <v>117.72000000000001</v>
      </c>
      <c r="I328" s="457">
        <f t="shared" si="19"/>
        <v>126.54900000000001</v>
      </c>
      <c r="J328" s="457" t="s">
        <v>9706</v>
      </c>
      <c r="K328" s="501">
        <v>0.3</v>
      </c>
      <c r="L328" s="500">
        <f t="shared" si="20"/>
        <v>82.404000000000011</v>
      </c>
      <c r="M328" s="501">
        <v>0.18</v>
      </c>
      <c r="N328" s="461">
        <f t="shared" si="21"/>
        <v>103.77018000000001</v>
      </c>
      <c r="O328" s="462">
        <v>0.1</v>
      </c>
      <c r="P328" s="463">
        <f t="shared" si="22"/>
        <v>113.89410000000001</v>
      </c>
      <c r="Q328" s="464"/>
      <c r="R328" s="502">
        <v>20</v>
      </c>
      <c r="S328" s="502">
        <v>20</v>
      </c>
      <c r="T328" s="502">
        <v>20</v>
      </c>
      <c r="U328" s="477"/>
    </row>
    <row r="329" spans="1:24" s="503" customFormat="1" x14ac:dyDescent="0.2">
      <c r="A329" s="496" t="s">
        <v>10364</v>
      </c>
      <c r="B329" s="496" t="s">
        <v>10365</v>
      </c>
      <c r="C329" s="497" t="s">
        <v>386</v>
      </c>
      <c r="D329" s="498" t="s">
        <v>9709</v>
      </c>
      <c r="E329" s="499" t="s">
        <v>9710</v>
      </c>
      <c r="F329" s="499" t="s">
        <v>10355</v>
      </c>
      <c r="G329" s="499" t="s">
        <v>7180</v>
      </c>
      <c r="H329" s="500">
        <v>117.72000000000001</v>
      </c>
      <c r="I329" s="457">
        <f t="shared" si="19"/>
        <v>126.54900000000001</v>
      </c>
      <c r="J329" s="457" t="s">
        <v>9706</v>
      </c>
      <c r="K329" s="501">
        <v>0.3</v>
      </c>
      <c r="L329" s="500">
        <f t="shared" si="20"/>
        <v>82.404000000000011</v>
      </c>
      <c r="M329" s="501">
        <v>0.18</v>
      </c>
      <c r="N329" s="461">
        <f t="shared" si="21"/>
        <v>103.77018000000001</v>
      </c>
      <c r="O329" s="462">
        <v>0.1</v>
      </c>
      <c r="P329" s="463">
        <f t="shared" si="22"/>
        <v>113.89410000000001</v>
      </c>
      <c r="Q329" s="464"/>
      <c r="R329" s="502">
        <v>20</v>
      </c>
      <c r="S329" s="502">
        <v>20</v>
      </c>
      <c r="T329" s="502">
        <v>20</v>
      </c>
      <c r="U329" s="477"/>
    </row>
    <row r="330" spans="1:24" s="503" customFormat="1" x14ac:dyDescent="0.2">
      <c r="A330" s="496" t="s">
        <v>10366</v>
      </c>
      <c r="B330" s="496" t="s">
        <v>10367</v>
      </c>
      <c r="C330" s="497" t="s">
        <v>386</v>
      </c>
      <c r="D330" s="498" t="s">
        <v>9709</v>
      </c>
      <c r="E330" s="499" t="s">
        <v>9734</v>
      </c>
      <c r="F330" s="499" t="s">
        <v>10355</v>
      </c>
      <c r="G330" s="499" t="s">
        <v>7180</v>
      </c>
      <c r="H330" s="500">
        <v>117.72000000000001</v>
      </c>
      <c r="I330" s="457">
        <f t="shared" si="19"/>
        <v>126.54900000000001</v>
      </c>
      <c r="J330" s="457" t="s">
        <v>9706</v>
      </c>
      <c r="K330" s="501">
        <v>0.3</v>
      </c>
      <c r="L330" s="500">
        <f t="shared" si="20"/>
        <v>82.404000000000011</v>
      </c>
      <c r="M330" s="501">
        <v>0.18</v>
      </c>
      <c r="N330" s="461">
        <f t="shared" si="21"/>
        <v>103.77018000000001</v>
      </c>
      <c r="O330" s="462">
        <v>0.1</v>
      </c>
      <c r="P330" s="463">
        <f t="shared" si="22"/>
        <v>113.89410000000001</v>
      </c>
      <c r="Q330" s="464"/>
      <c r="R330" s="502">
        <v>20</v>
      </c>
      <c r="S330" s="502">
        <v>20</v>
      </c>
      <c r="T330" s="502">
        <v>20</v>
      </c>
      <c r="U330" s="477"/>
    </row>
    <row r="331" spans="1:24" s="503" customFormat="1" x14ac:dyDescent="0.2">
      <c r="A331" s="496" t="s">
        <v>10368</v>
      </c>
      <c r="B331" s="496" t="s">
        <v>10369</v>
      </c>
      <c r="C331" s="497" t="s">
        <v>386</v>
      </c>
      <c r="D331" s="498" t="s">
        <v>9709</v>
      </c>
      <c r="E331" s="499" t="s">
        <v>9734</v>
      </c>
      <c r="F331" s="499" t="s">
        <v>10355</v>
      </c>
      <c r="G331" s="499" t="s">
        <v>7180</v>
      </c>
      <c r="H331" s="500">
        <v>117.72000000000001</v>
      </c>
      <c r="I331" s="457">
        <f t="shared" si="19"/>
        <v>126.54900000000001</v>
      </c>
      <c r="J331" s="457" t="s">
        <v>9706</v>
      </c>
      <c r="K331" s="501">
        <v>0.3</v>
      </c>
      <c r="L331" s="500">
        <f t="shared" si="20"/>
        <v>82.404000000000011</v>
      </c>
      <c r="M331" s="501">
        <v>0.18</v>
      </c>
      <c r="N331" s="461">
        <f t="shared" si="21"/>
        <v>103.77018000000001</v>
      </c>
      <c r="O331" s="462">
        <v>0.1</v>
      </c>
      <c r="P331" s="463">
        <f t="shared" si="22"/>
        <v>113.89410000000001</v>
      </c>
      <c r="Q331" s="464"/>
      <c r="R331" s="502">
        <v>20</v>
      </c>
      <c r="S331" s="502">
        <v>20</v>
      </c>
      <c r="T331" s="502">
        <v>20</v>
      </c>
      <c r="U331" s="477"/>
    </row>
    <row r="332" spans="1:24" s="503" customFormat="1" x14ac:dyDescent="0.2">
      <c r="A332" s="496" t="s">
        <v>10370</v>
      </c>
      <c r="B332" s="496" t="s">
        <v>10371</v>
      </c>
      <c r="C332" s="497" t="s">
        <v>386</v>
      </c>
      <c r="D332" s="498" t="s">
        <v>9709</v>
      </c>
      <c r="E332" s="499" t="s">
        <v>9758</v>
      </c>
      <c r="F332" s="499" t="s">
        <v>10355</v>
      </c>
      <c r="G332" s="499" t="s">
        <v>7180</v>
      </c>
      <c r="H332" s="500">
        <v>117.72000000000001</v>
      </c>
      <c r="I332" s="457">
        <f t="shared" si="19"/>
        <v>126.54900000000001</v>
      </c>
      <c r="J332" s="457" t="s">
        <v>9706</v>
      </c>
      <c r="K332" s="501">
        <v>0.3</v>
      </c>
      <c r="L332" s="500">
        <f t="shared" si="20"/>
        <v>82.404000000000011</v>
      </c>
      <c r="M332" s="501">
        <v>0.18</v>
      </c>
      <c r="N332" s="461">
        <f t="shared" si="21"/>
        <v>103.77018000000001</v>
      </c>
      <c r="O332" s="462">
        <v>0.1</v>
      </c>
      <c r="P332" s="463">
        <f t="shared" si="22"/>
        <v>113.89410000000001</v>
      </c>
      <c r="Q332" s="464"/>
      <c r="R332" s="502">
        <v>20</v>
      </c>
      <c r="S332" s="502">
        <v>20</v>
      </c>
      <c r="T332" s="502">
        <v>20</v>
      </c>
      <c r="U332" s="477"/>
    </row>
    <row r="333" spans="1:24" s="503" customFormat="1" x14ac:dyDescent="0.2">
      <c r="A333" s="496" t="s">
        <v>10372</v>
      </c>
      <c r="B333" s="496" t="s">
        <v>10373</v>
      </c>
      <c r="C333" s="497" t="s">
        <v>386</v>
      </c>
      <c r="D333" s="498" t="s">
        <v>9709</v>
      </c>
      <c r="E333" s="499" t="s">
        <v>9739</v>
      </c>
      <c r="F333" s="499" t="s">
        <v>10355</v>
      </c>
      <c r="G333" s="499" t="s">
        <v>7180</v>
      </c>
      <c r="H333" s="500">
        <v>117.72000000000001</v>
      </c>
      <c r="I333" s="457">
        <f t="shared" si="19"/>
        <v>126.54900000000001</v>
      </c>
      <c r="J333" s="457" t="s">
        <v>9706</v>
      </c>
      <c r="K333" s="501">
        <v>0.3</v>
      </c>
      <c r="L333" s="500">
        <f t="shared" si="20"/>
        <v>82.404000000000011</v>
      </c>
      <c r="M333" s="501">
        <v>0.18</v>
      </c>
      <c r="N333" s="461">
        <f t="shared" si="21"/>
        <v>103.77018000000001</v>
      </c>
      <c r="O333" s="462">
        <v>0.1</v>
      </c>
      <c r="P333" s="463">
        <f t="shared" si="22"/>
        <v>113.89410000000001</v>
      </c>
      <c r="Q333" s="464"/>
      <c r="R333" s="502">
        <v>20</v>
      </c>
      <c r="S333" s="502">
        <v>20</v>
      </c>
      <c r="T333" s="502">
        <v>20</v>
      </c>
      <c r="U333" s="477"/>
    </row>
    <row r="334" spans="1:24" s="503" customFormat="1" x14ac:dyDescent="0.2">
      <c r="A334" s="496" t="s">
        <v>10374</v>
      </c>
      <c r="B334" s="496" t="s">
        <v>10375</v>
      </c>
      <c r="C334" s="497" t="s">
        <v>386</v>
      </c>
      <c r="D334" s="498" t="s">
        <v>9709</v>
      </c>
      <c r="E334" s="499" t="s">
        <v>9710</v>
      </c>
      <c r="F334" s="499" t="s">
        <v>10355</v>
      </c>
      <c r="G334" s="499" t="s">
        <v>7180</v>
      </c>
      <c r="H334" s="500">
        <v>117.72000000000001</v>
      </c>
      <c r="I334" s="457">
        <f t="shared" si="19"/>
        <v>126.54900000000001</v>
      </c>
      <c r="J334" s="457" t="s">
        <v>9706</v>
      </c>
      <c r="K334" s="501">
        <v>0.3</v>
      </c>
      <c r="L334" s="500">
        <f t="shared" si="20"/>
        <v>82.404000000000011</v>
      </c>
      <c r="M334" s="501">
        <v>0.18</v>
      </c>
      <c r="N334" s="461">
        <f t="shared" si="21"/>
        <v>103.77018000000001</v>
      </c>
      <c r="O334" s="462">
        <v>0.1</v>
      </c>
      <c r="P334" s="463">
        <f t="shared" si="22"/>
        <v>113.89410000000001</v>
      </c>
      <c r="Q334" s="464"/>
      <c r="R334" s="502">
        <v>20</v>
      </c>
      <c r="S334" s="502">
        <v>20</v>
      </c>
      <c r="T334" s="502">
        <v>20</v>
      </c>
      <c r="U334" s="477"/>
    </row>
    <row r="335" spans="1:24" x14ac:dyDescent="0.2">
      <c r="A335" s="453" t="s">
        <v>10376</v>
      </c>
      <c r="B335" s="453" t="s">
        <v>10377</v>
      </c>
      <c r="C335" s="454" t="s">
        <v>386</v>
      </c>
      <c r="D335" s="455" t="s">
        <v>9709</v>
      </c>
      <c r="E335" s="456" t="s">
        <v>9710</v>
      </c>
      <c r="F335" s="456" t="s">
        <v>10378</v>
      </c>
      <c r="G335" s="456" t="s">
        <v>7180</v>
      </c>
      <c r="H335" s="457">
        <v>128.52000000000001</v>
      </c>
      <c r="I335" s="457">
        <f t="shared" si="19"/>
        <v>138.15899999999999</v>
      </c>
      <c r="J335" s="457" t="s">
        <v>9706</v>
      </c>
      <c r="K335" s="458">
        <v>0.3</v>
      </c>
      <c r="L335" s="459">
        <f t="shared" si="20"/>
        <v>89.963999999999999</v>
      </c>
      <c r="M335" s="460">
        <v>0.18</v>
      </c>
      <c r="N335" s="461">
        <f t="shared" si="21"/>
        <v>113.29038</v>
      </c>
      <c r="O335" s="462">
        <v>0.1</v>
      </c>
      <c r="P335" s="463">
        <f t="shared" si="22"/>
        <v>124.34309999999999</v>
      </c>
      <c r="Q335" s="464"/>
      <c r="R335" s="465">
        <v>20</v>
      </c>
      <c r="S335" s="465">
        <v>20</v>
      </c>
      <c r="T335" s="465">
        <v>20</v>
      </c>
      <c r="U335" s="477"/>
      <c r="W335" s="415"/>
      <c r="X335" s="415"/>
    </row>
    <row r="336" spans="1:24" x14ac:dyDescent="0.2">
      <c r="A336" s="453" t="s">
        <v>10379</v>
      </c>
      <c r="B336" s="453" t="s">
        <v>10380</v>
      </c>
      <c r="C336" s="454" t="s">
        <v>386</v>
      </c>
      <c r="D336" s="455" t="s">
        <v>9709</v>
      </c>
      <c r="E336" s="456" t="s">
        <v>9758</v>
      </c>
      <c r="F336" s="456" t="s">
        <v>10378</v>
      </c>
      <c r="G336" s="456" t="s">
        <v>7180</v>
      </c>
      <c r="H336" s="457">
        <v>128.52000000000001</v>
      </c>
      <c r="I336" s="457">
        <f t="shared" si="19"/>
        <v>138.15899999999999</v>
      </c>
      <c r="J336" s="457" t="s">
        <v>9706</v>
      </c>
      <c r="K336" s="458">
        <v>0.3</v>
      </c>
      <c r="L336" s="459">
        <f t="shared" si="20"/>
        <v>89.963999999999999</v>
      </c>
      <c r="M336" s="460">
        <v>0.18</v>
      </c>
      <c r="N336" s="461">
        <f t="shared" si="21"/>
        <v>113.29038</v>
      </c>
      <c r="O336" s="462">
        <v>0.1</v>
      </c>
      <c r="P336" s="463">
        <f t="shared" si="22"/>
        <v>124.34309999999999</v>
      </c>
      <c r="Q336" s="464"/>
      <c r="R336" s="465">
        <v>20</v>
      </c>
      <c r="S336" s="465">
        <v>20</v>
      </c>
      <c r="T336" s="465">
        <v>20</v>
      </c>
      <c r="U336" s="466"/>
      <c r="W336" s="415"/>
      <c r="X336" s="415"/>
    </row>
    <row r="337" spans="1:24" x14ac:dyDescent="0.2">
      <c r="A337" s="453" t="s">
        <v>10381</v>
      </c>
      <c r="B337" s="453" t="s">
        <v>10382</v>
      </c>
      <c r="C337" s="454" t="s">
        <v>386</v>
      </c>
      <c r="D337" s="455" t="s">
        <v>9709</v>
      </c>
      <c r="E337" s="456" t="s">
        <v>9710</v>
      </c>
      <c r="F337" s="456" t="s">
        <v>10378</v>
      </c>
      <c r="G337" s="456" t="s">
        <v>7180</v>
      </c>
      <c r="H337" s="457">
        <v>128.52000000000001</v>
      </c>
      <c r="I337" s="457">
        <f t="shared" si="19"/>
        <v>138.15899999999999</v>
      </c>
      <c r="J337" s="457" t="s">
        <v>9706</v>
      </c>
      <c r="K337" s="458">
        <v>0.3</v>
      </c>
      <c r="L337" s="459">
        <f t="shared" si="20"/>
        <v>89.963999999999999</v>
      </c>
      <c r="M337" s="460">
        <v>0.18</v>
      </c>
      <c r="N337" s="461">
        <f t="shared" si="21"/>
        <v>113.29038</v>
      </c>
      <c r="O337" s="462">
        <v>0.1</v>
      </c>
      <c r="P337" s="463">
        <f t="shared" si="22"/>
        <v>124.34309999999999</v>
      </c>
      <c r="Q337" s="464"/>
      <c r="R337" s="465">
        <v>20</v>
      </c>
      <c r="S337" s="465">
        <v>20</v>
      </c>
      <c r="T337" s="465">
        <v>20</v>
      </c>
      <c r="U337" s="466"/>
      <c r="W337" s="415"/>
      <c r="X337" s="415"/>
    </row>
    <row r="338" spans="1:24" x14ac:dyDescent="0.2">
      <c r="A338" s="453" t="s">
        <v>10383</v>
      </c>
      <c r="B338" s="453" t="s">
        <v>10384</v>
      </c>
      <c r="C338" s="454" t="s">
        <v>386</v>
      </c>
      <c r="D338" s="455" t="s">
        <v>9709</v>
      </c>
      <c r="E338" s="456" t="s">
        <v>9716</v>
      </c>
      <c r="F338" s="456" t="s">
        <v>10378</v>
      </c>
      <c r="G338" s="456" t="s">
        <v>7180</v>
      </c>
      <c r="H338" s="457">
        <v>128.52000000000001</v>
      </c>
      <c r="I338" s="457">
        <f t="shared" si="19"/>
        <v>138.15899999999999</v>
      </c>
      <c r="J338" s="457" t="s">
        <v>9706</v>
      </c>
      <c r="K338" s="458">
        <v>0.3</v>
      </c>
      <c r="L338" s="459">
        <f t="shared" si="20"/>
        <v>89.963999999999999</v>
      </c>
      <c r="M338" s="460">
        <v>0.18</v>
      </c>
      <c r="N338" s="461">
        <f t="shared" si="21"/>
        <v>113.29038</v>
      </c>
      <c r="O338" s="462">
        <v>0.1</v>
      </c>
      <c r="P338" s="463">
        <f t="shared" si="22"/>
        <v>124.34309999999999</v>
      </c>
      <c r="Q338" s="464"/>
      <c r="R338" s="465">
        <v>20</v>
      </c>
      <c r="S338" s="465">
        <v>20</v>
      </c>
      <c r="T338" s="465">
        <v>20</v>
      </c>
      <c r="U338" s="477"/>
      <c r="W338" s="415"/>
      <c r="X338" s="415"/>
    </row>
    <row r="339" spans="1:24" x14ac:dyDescent="0.2">
      <c r="A339" s="453" t="s">
        <v>10385</v>
      </c>
      <c r="B339" s="453" t="s">
        <v>10386</v>
      </c>
      <c r="C339" s="454" t="s">
        <v>386</v>
      </c>
      <c r="D339" s="455" t="s">
        <v>9709</v>
      </c>
      <c r="E339" s="456" t="s">
        <v>9710</v>
      </c>
      <c r="F339" s="456" t="s">
        <v>10378</v>
      </c>
      <c r="G339" s="456" t="s">
        <v>7180</v>
      </c>
      <c r="H339" s="457">
        <v>128.52000000000001</v>
      </c>
      <c r="I339" s="457">
        <f t="shared" si="19"/>
        <v>138.15899999999999</v>
      </c>
      <c r="J339" s="457" t="s">
        <v>9706</v>
      </c>
      <c r="K339" s="458">
        <v>0.3</v>
      </c>
      <c r="L339" s="459">
        <f t="shared" si="20"/>
        <v>89.963999999999999</v>
      </c>
      <c r="M339" s="460">
        <v>0.18</v>
      </c>
      <c r="N339" s="461">
        <f t="shared" si="21"/>
        <v>113.29038</v>
      </c>
      <c r="O339" s="462">
        <v>0.1</v>
      </c>
      <c r="P339" s="463">
        <f t="shared" si="22"/>
        <v>124.34309999999999</v>
      </c>
      <c r="Q339" s="464"/>
      <c r="R339" s="465">
        <v>20</v>
      </c>
      <c r="S339" s="465">
        <v>20</v>
      </c>
      <c r="T339" s="465">
        <v>20</v>
      </c>
      <c r="U339" s="466"/>
      <c r="W339" s="415"/>
      <c r="X339" s="415"/>
    </row>
    <row r="340" spans="1:24" x14ac:dyDescent="0.2">
      <c r="A340" s="453" t="s">
        <v>10387</v>
      </c>
      <c r="B340" s="453" t="s">
        <v>10388</v>
      </c>
      <c r="C340" s="454" t="s">
        <v>386</v>
      </c>
      <c r="D340" s="455" t="s">
        <v>9709</v>
      </c>
      <c r="E340" s="456" t="s">
        <v>9710</v>
      </c>
      <c r="F340" s="456" t="s">
        <v>10378</v>
      </c>
      <c r="G340" s="456" t="s">
        <v>7180</v>
      </c>
      <c r="H340" s="457">
        <v>128.52000000000001</v>
      </c>
      <c r="I340" s="457">
        <f t="shared" si="19"/>
        <v>138.15899999999999</v>
      </c>
      <c r="J340" s="457" t="s">
        <v>9706</v>
      </c>
      <c r="K340" s="458">
        <v>0.3</v>
      </c>
      <c r="L340" s="459">
        <f t="shared" si="20"/>
        <v>89.963999999999999</v>
      </c>
      <c r="M340" s="460">
        <v>0.18</v>
      </c>
      <c r="N340" s="461">
        <f t="shared" si="21"/>
        <v>113.29038</v>
      </c>
      <c r="O340" s="462">
        <v>0.1</v>
      </c>
      <c r="P340" s="463">
        <f t="shared" si="22"/>
        <v>124.34309999999999</v>
      </c>
      <c r="Q340" s="464"/>
      <c r="R340" s="465">
        <v>20</v>
      </c>
      <c r="S340" s="465">
        <v>20</v>
      </c>
      <c r="T340" s="465">
        <v>20</v>
      </c>
      <c r="U340" s="466"/>
      <c r="W340" s="415"/>
      <c r="X340" s="415"/>
    </row>
    <row r="341" spans="1:24" x14ac:dyDescent="0.2">
      <c r="A341" s="453" t="s">
        <v>10389</v>
      </c>
      <c r="B341" s="453" t="s">
        <v>10390</v>
      </c>
      <c r="C341" s="454" t="s">
        <v>386</v>
      </c>
      <c r="D341" s="455" t="s">
        <v>9709</v>
      </c>
      <c r="E341" s="456" t="s">
        <v>9758</v>
      </c>
      <c r="F341" s="456" t="s">
        <v>10378</v>
      </c>
      <c r="G341" s="456" t="s">
        <v>7180</v>
      </c>
      <c r="H341" s="457">
        <v>128.52000000000001</v>
      </c>
      <c r="I341" s="457">
        <f t="shared" ref="I341:I404" si="23">H341*(1+0.075)</f>
        <v>138.15899999999999</v>
      </c>
      <c r="J341" s="457" t="s">
        <v>9706</v>
      </c>
      <c r="K341" s="458">
        <v>0.3</v>
      </c>
      <c r="L341" s="459">
        <f t="shared" si="20"/>
        <v>89.963999999999999</v>
      </c>
      <c r="M341" s="460">
        <v>0.18</v>
      </c>
      <c r="N341" s="461">
        <f t="shared" si="21"/>
        <v>113.29038</v>
      </c>
      <c r="O341" s="462">
        <v>0.1</v>
      </c>
      <c r="P341" s="463">
        <f t="shared" si="22"/>
        <v>124.34309999999999</v>
      </c>
      <c r="Q341" s="464"/>
      <c r="R341" s="465">
        <v>20</v>
      </c>
      <c r="S341" s="465">
        <v>20</v>
      </c>
      <c r="T341" s="465">
        <v>20</v>
      </c>
      <c r="U341" s="466"/>
      <c r="W341" s="415"/>
      <c r="X341" s="415"/>
    </row>
    <row r="342" spans="1:24" x14ac:dyDescent="0.2">
      <c r="A342" s="453" t="s">
        <v>10391</v>
      </c>
      <c r="B342" s="453" t="s">
        <v>10392</v>
      </c>
      <c r="C342" s="454" t="s">
        <v>386</v>
      </c>
      <c r="D342" s="455" t="s">
        <v>9709</v>
      </c>
      <c r="E342" s="456" t="s">
        <v>9710</v>
      </c>
      <c r="F342" s="456" t="s">
        <v>10378</v>
      </c>
      <c r="G342" s="456" t="s">
        <v>7180</v>
      </c>
      <c r="H342" s="457">
        <v>128.52000000000001</v>
      </c>
      <c r="I342" s="457">
        <f t="shared" si="23"/>
        <v>138.15899999999999</v>
      </c>
      <c r="J342" s="457" t="s">
        <v>9706</v>
      </c>
      <c r="K342" s="458">
        <v>0.3</v>
      </c>
      <c r="L342" s="459">
        <f t="shared" si="20"/>
        <v>89.963999999999999</v>
      </c>
      <c r="M342" s="460">
        <v>0.18</v>
      </c>
      <c r="N342" s="461">
        <f t="shared" si="21"/>
        <v>113.29038</v>
      </c>
      <c r="O342" s="462">
        <v>0.1</v>
      </c>
      <c r="P342" s="463">
        <f t="shared" si="22"/>
        <v>124.34309999999999</v>
      </c>
      <c r="Q342" s="464"/>
      <c r="R342" s="465">
        <v>20</v>
      </c>
      <c r="S342" s="465">
        <v>20</v>
      </c>
      <c r="T342" s="465">
        <v>20</v>
      </c>
      <c r="U342" s="466"/>
      <c r="W342" s="415"/>
      <c r="X342" s="415"/>
    </row>
    <row r="343" spans="1:24" x14ac:dyDescent="0.2">
      <c r="A343" s="453" t="s">
        <v>10393</v>
      </c>
      <c r="B343" s="453" t="s">
        <v>10394</v>
      </c>
      <c r="C343" s="454" t="s">
        <v>386</v>
      </c>
      <c r="D343" s="455" t="s">
        <v>9709</v>
      </c>
      <c r="E343" s="456" t="s">
        <v>9710</v>
      </c>
      <c r="F343" s="456" t="s">
        <v>10378</v>
      </c>
      <c r="G343" s="456" t="s">
        <v>7180</v>
      </c>
      <c r="H343" s="457">
        <v>128.52000000000001</v>
      </c>
      <c r="I343" s="457">
        <f t="shared" si="23"/>
        <v>138.15899999999999</v>
      </c>
      <c r="J343" s="457" t="s">
        <v>9706</v>
      </c>
      <c r="K343" s="458">
        <v>0.3</v>
      </c>
      <c r="L343" s="459">
        <f t="shared" si="20"/>
        <v>89.963999999999999</v>
      </c>
      <c r="M343" s="460">
        <v>0.18</v>
      </c>
      <c r="N343" s="461">
        <f t="shared" si="21"/>
        <v>113.29038</v>
      </c>
      <c r="O343" s="462">
        <v>0.1</v>
      </c>
      <c r="P343" s="463">
        <f t="shared" si="22"/>
        <v>124.34309999999999</v>
      </c>
      <c r="Q343" s="464"/>
      <c r="R343" s="465">
        <v>20</v>
      </c>
      <c r="S343" s="465">
        <v>20</v>
      </c>
      <c r="T343" s="465">
        <v>20</v>
      </c>
      <c r="U343" s="466"/>
      <c r="W343" s="415"/>
      <c r="X343" s="415"/>
    </row>
    <row r="344" spans="1:24" x14ac:dyDescent="0.2">
      <c r="A344" s="453" t="s">
        <v>10395</v>
      </c>
      <c r="B344" s="453" t="s">
        <v>10396</v>
      </c>
      <c r="C344" s="454" t="s">
        <v>386</v>
      </c>
      <c r="D344" s="455" t="s">
        <v>9709</v>
      </c>
      <c r="E344" s="456" t="s">
        <v>9734</v>
      </c>
      <c r="F344" s="456" t="s">
        <v>10378</v>
      </c>
      <c r="G344" s="456" t="s">
        <v>7180</v>
      </c>
      <c r="H344" s="457">
        <v>128.52000000000001</v>
      </c>
      <c r="I344" s="457">
        <f t="shared" si="23"/>
        <v>138.15899999999999</v>
      </c>
      <c r="J344" s="457" t="s">
        <v>9706</v>
      </c>
      <c r="K344" s="458">
        <v>0.3</v>
      </c>
      <c r="L344" s="459">
        <f t="shared" si="20"/>
        <v>89.963999999999999</v>
      </c>
      <c r="M344" s="460">
        <v>0.18</v>
      </c>
      <c r="N344" s="461">
        <f t="shared" si="21"/>
        <v>113.29038</v>
      </c>
      <c r="O344" s="462">
        <v>0.1</v>
      </c>
      <c r="P344" s="463">
        <f t="shared" si="22"/>
        <v>124.34309999999999</v>
      </c>
      <c r="Q344" s="464"/>
      <c r="R344" s="465">
        <v>20</v>
      </c>
      <c r="S344" s="465">
        <v>20</v>
      </c>
      <c r="T344" s="465">
        <v>20</v>
      </c>
      <c r="U344" s="466"/>
      <c r="W344" s="415"/>
      <c r="X344" s="415"/>
    </row>
    <row r="345" spans="1:24" x14ac:dyDescent="0.2">
      <c r="A345" s="453" t="s">
        <v>10397</v>
      </c>
      <c r="B345" s="453" t="s">
        <v>10398</v>
      </c>
      <c r="C345" s="454" t="s">
        <v>386</v>
      </c>
      <c r="D345" s="455" t="s">
        <v>9709</v>
      </c>
      <c r="E345" s="456" t="s">
        <v>9734</v>
      </c>
      <c r="F345" s="456" t="s">
        <v>10378</v>
      </c>
      <c r="G345" s="456" t="s">
        <v>7180</v>
      </c>
      <c r="H345" s="457">
        <v>128.52000000000001</v>
      </c>
      <c r="I345" s="457">
        <f t="shared" si="23"/>
        <v>138.15899999999999</v>
      </c>
      <c r="J345" s="457" t="s">
        <v>9706</v>
      </c>
      <c r="K345" s="458">
        <v>0.3</v>
      </c>
      <c r="L345" s="459">
        <f t="shared" si="20"/>
        <v>89.963999999999999</v>
      </c>
      <c r="M345" s="460">
        <v>0.18</v>
      </c>
      <c r="N345" s="461">
        <f t="shared" si="21"/>
        <v>113.29038</v>
      </c>
      <c r="O345" s="462">
        <v>0.1</v>
      </c>
      <c r="P345" s="463">
        <f t="shared" si="22"/>
        <v>124.34309999999999</v>
      </c>
      <c r="Q345" s="464"/>
      <c r="R345" s="465">
        <v>10</v>
      </c>
      <c r="S345" s="465">
        <v>10</v>
      </c>
      <c r="T345" s="465">
        <v>10</v>
      </c>
      <c r="U345" s="466"/>
      <c r="W345" s="415"/>
      <c r="X345" s="415"/>
    </row>
    <row r="346" spans="1:24" x14ac:dyDescent="0.2">
      <c r="A346" s="453" t="s">
        <v>10399</v>
      </c>
      <c r="B346" s="453" t="s">
        <v>10400</v>
      </c>
      <c r="C346" s="454" t="s">
        <v>386</v>
      </c>
      <c r="D346" s="455" t="s">
        <v>9709</v>
      </c>
      <c r="E346" s="456" t="s">
        <v>9739</v>
      </c>
      <c r="F346" s="456" t="s">
        <v>10378</v>
      </c>
      <c r="G346" s="456" t="s">
        <v>7180</v>
      </c>
      <c r="H346" s="457">
        <v>128.52000000000001</v>
      </c>
      <c r="I346" s="457">
        <f t="shared" si="23"/>
        <v>138.15899999999999</v>
      </c>
      <c r="J346" s="457" t="s">
        <v>9706</v>
      </c>
      <c r="K346" s="458">
        <v>0.3</v>
      </c>
      <c r="L346" s="459">
        <f t="shared" si="20"/>
        <v>89.963999999999999</v>
      </c>
      <c r="M346" s="460">
        <v>0.18</v>
      </c>
      <c r="N346" s="461">
        <f t="shared" si="21"/>
        <v>113.29038</v>
      </c>
      <c r="O346" s="462">
        <v>0.1</v>
      </c>
      <c r="P346" s="463">
        <f t="shared" si="22"/>
        <v>124.34309999999999</v>
      </c>
      <c r="Q346" s="464"/>
      <c r="R346" s="465">
        <v>10</v>
      </c>
      <c r="S346" s="465">
        <v>10</v>
      </c>
      <c r="T346" s="465">
        <v>10</v>
      </c>
      <c r="U346" s="466"/>
      <c r="W346" s="415"/>
      <c r="X346" s="415"/>
    </row>
    <row r="347" spans="1:24" x14ac:dyDescent="0.2">
      <c r="A347" s="453" t="s">
        <v>9178</v>
      </c>
      <c r="B347" s="453" t="s">
        <v>10401</v>
      </c>
      <c r="C347" s="454" t="s">
        <v>386</v>
      </c>
      <c r="D347" s="455" t="s">
        <v>9709</v>
      </c>
      <c r="E347" s="456" t="s">
        <v>9716</v>
      </c>
      <c r="F347" s="456" t="s">
        <v>10378</v>
      </c>
      <c r="G347" s="456" t="s">
        <v>7180</v>
      </c>
      <c r="H347" s="457">
        <v>128.52000000000001</v>
      </c>
      <c r="I347" s="457">
        <f t="shared" si="23"/>
        <v>138.15899999999999</v>
      </c>
      <c r="J347" s="457" t="s">
        <v>9706</v>
      </c>
      <c r="K347" s="458">
        <v>0.3</v>
      </c>
      <c r="L347" s="459">
        <f t="shared" si="20"/>
        <v>89.963999999999999</v>
      </c>
      <c r="M347" s="460">
        <v>0.18</v>
      </c>
      <c r="N347" s="461">
        <f t="shared" si="21"/>
        <v>113.29038</v>
      </c>
      <c r="O347" s="462">
        <v>0.1</v>
      </c>
      <c r="P347" s="463">
        <f t="shared" si="22"/>
        <v>124.34309999999999</v>
      </c>
      <c r="Q347" s="464"/>
      <c r="R347" s="465">
        <v>10</v>
      </c>
      <c r="S347" s="465">
        <v>10</v>
      </c>
      <c r="T347" s="465">
        <v>10</v>
      </c>
      <c r="U347" s="466"/>
      <c r="W347" s="415"/>
      <c r="X347" s="415"/>
    </row>
    <row r="348" spans="1:24" x14ac:dyDescent="0.2">
      <c r="A348" s="453" t="s">
        <v>10402</v>
      </c>
      <c r="B348" s="453" t="s">
        <v>10403</v>
      </c>
      <c r="C348" s="454" t="s">
        <v>386</v>
      </c>
      <c r="D348" s="455" t="s">
        <v>9709</v>
      </c>
      <c r="E348" s="456" t="s">
        <v>9710</v>
      </c>
      <c r="F348" s="456" t="s">
        <v>10378</v>
      </c>
      <c r="G348" s="456" t="s">
        <v>7180</v>
      </c>
      <c r="H348" s="457">
        <v>133.92000000000002</v>
      </c>
      <c r="I348" s="457">
        <f t="shared" si="23"/>
        <v>143.964</v>
      </c>
      <c r="J348" s="457" t="s">
        <v>9706</v>
      </c>
      <c r="K348" s="458">
        <v>0.3</v>
      </c>
      <c r="L348" s="459">
        <f t="shared" si="20"/>
        <v>93.744</v>
      </c>
      <c r="M348" s="460">
        <v>0.18</v>
      </c>
      <c r="N348" s="461">
        <f t="shared" si="21"/>
        <v>118.05048000000001</v>
      </c>
      <c r="O348" s="462">
        <v>0.1</v>
      </c>
      <c r="P348" s="463">
        <f t="shared" si="22"/>
        <v>129.5676</v>
      </c>
      <c r="Q348" s="464"/>
      <c r="R348" s="465">
        <v>10</v>
      </c>
      <c r="S348" s="465">
        <v>10</v>
      </c>
      <c r="T348" s="465">
        <v>10</v>
      </c>
      <c r="U348" s="466"/>
      <c r="W348" s="415"/>
      <c r="X348" s="415"/>
    </row>
    <row r="349" spans="1:24" x14ac:dyDescent="0.2">
      <c r="A349" s="453" t="s">
        <v>10404</v>
      </c>
      <c r="B349" s="453" t="s">
        <v>10405</v>
      </c>
      <c r="C349" s="454" t="s">
        <v>386</v>
      </c>
      <c r="D349" s="455" t="s">
        <v>9783</v>
      </c>
      <c r="E349" s="456" t="s">
        <v>9710</v>
      </c>
      <c r="F349" s="456" t="s">
        <v>10406</v>
      </c>
      <c r="G349" s="456" t="s">
        <v>7180</v>
      </c>
      <c r="H349" s="457">
        <v>85.320000000000007</v>
      </c>
      <c r="I349" s="457">
        <f t="shared" si="23"/>
        <v>91.719000000000008</v>
      </c>
      <c r="J349" s="457" t="s">
        <v>9706</v>
      </c>
      <c r="K349" s="458">
        <v>0.3</v>
      </c>
      <c r="L349" s="459">
        <f t="shared" si="20"/>
        <v>59.724000000000004</v>
      </c>
      <c r="M349" s="460">
        <v>0.18</v>
      </c>
      <c r="N349" s="461">
        <f t="shared" si="21"/>
        <v>75.209580000000017</v>
      </c>
      <c r="O349" s="462">
        <v>0.1</v>
      </c>
      <c r="P349" s="463">
        <f t="shared" si="22"/>
        <v>82.547100000000015</v>
      </c>
      <c r="Q349" s="464"/>
      <c r="R349" s="465">
        <v>10</v>
      </c>
      <c r="S349" s="465">
        <v>10</v>
      </c>
      <c r="T349" s="465">
        <v>10</v>
      </c>
      <c r="U349" s="466"/>
      <c r="W349" s="415"/>
      <c r="X349" s="415"/>
    </row>
    <row r="350" spans="1:24" x14ac:dyDescent="0.2">
      <c r="A350" s="453" t="s">
        <v>10407</v>
      </c>
      <c r="B350" s="453" t="s">
        <v>10408</v>
      </c>
      <c r="C350" s="454" t="s">
        <v>386</v>
      </c>
      <c r="D350" s="455" t="s">
        <v>9783</v>
      </c>
      <c r="E350" s="456" t="s">
        <v>9710</v>
      </c>
      <c r="F350" s="456" t="s">
        <v>10406</v>
      </c>
      <c r="G350" s="456" t="s">
        <v>7180</v>
      </c>
      <c r="H350" s="457">
        <v>85.320000000000007</v>
      </c>
      <c r="I350" s="457">
        <f t="shared" si="23"/>
        <v>91.719000000000008</v>
      </c>
      <c r="J350" s="457" t="s">
        <v>9706</v>
      </c>
      <c r="K350" s="458">
        <v>0.3</v>
      </c>
      <c r="L350" s="459">
        <f t="shared" si="20"/>
        <v>59.724000000000004</v>
      </c>
      <c r="M350" s="460">
        <v>0.18</v>
      </c>
      <c r="N350" s="461">
        <f t="shared" si="21"/>
        <v>75.209580000000017</v>
      </c>
      <c r="O350" s="462">
        <v>0.1</v>
      </c>
      <c r="P350" s="463">
        <f t="shared" si="22"/>
        <v>82.547100000000015</v>
      </c>
      <c r="Q350" s="464"/>
      <c r="R350" s="465">
        <v>4</v>
      </c>
      <c r="S350" s="465">
        <v>4</v>
      </c>
      <c r="T350" s="465">
        <v>4</v>
      </c>
      <c r="U350" s="466"/>
      <c r="W350" s="415"/>
      <c r="X350" s="415"/>
    </row>
    <row r="351" spans="1:24" x14ac:dyDescent="0.2">
      <c r="A351" s="453" t="s">
        <v>10409</v>
      </c>
      <c r="B351" s="453" t="s">
        <v>10410</v>
      </c>
      <c r="C351" s="454" t="s">
        <v>386</v>
      </c>
      <c r="D351" s="455" t="s">
        <v>9783</v>
      </c>
      <c r="E351" s="456" t="s">
        <v>9710</v>
      </c>
      <c r="F351" s="456" t="s">
        <v>10406</v>
      </c>
      <c r="G351" s="456" t="s">
        <v>7180</v>
      </c>
      <c r="H351" s="457">
        <v>85.320000000000007</v>
      </c>
      <c r="I351" s="457">
        <f t="shared" si="23"/>
        <v>91.719000000000008</v>
      </c>
      <c r="J351" s="457" t="s">
        <v>9706</v>
      </c>
      <c r="K351" s="458">
        <v>0.3</v>
      </c>
      <c r="L351" s="459">
        <f t="shared" si="20"/>
        <v>59.724000000000004</v>
      </c>
      <c r="M351" s="460">
        <v>0.18</v>
      </c>
      <c r="N351" s="461">
        <f t="shared" si="21"/>
        <v>75.209580000000017</v>
      </c>
      <c r="O351" s="462">
        <v>0.1</v>
      </c>
      <c r="P351" s="463">
        <f t="shared" si="22"/>
        <v>82.547100000000015</v>
      </c>
      <c r="Q351" s="464"/>
      <c r="R351" s="465">
        <v>4</v>
      </c>
      <c r="S351" s="465">
        <v>4</v>
      </c>
      <c r="T351" s="465">
        <v>4</v>
      </c>
      <c r="U351" s="466"/>
      <c r="W351" s="415"/>
      <c r="X351" s="415"/>
    </row>
    <row r="352" spans="1:24" x14ac:dyDescent="0.2">
      <c r="A352" s="453" t="s">
        <v>10411</v>
      </c>
      <c r="B352" s="453" t="s">
        <v>10412</v>
      </c>
      <c r="C352" s="454" t="s">
        <v>386</v>
      </c>
      <c r="D352" s="455" t="s">
        <v>9783</v>
      </c>
      <c r="E352" s="456" t="s">
        <v>9710</v>
      </c>
      <c r="F352" s="456" t="s">
        <v>10406</v>
      </c>
      <c r="G352" s="456" t="s">
        <v>7180</v>
      </c>
      <c r="H352" s="457">
        <v>85.320000000000007</v>
      </c>
      <c r="I352" s="457">
        <f t="shared" si="23"/>
        <v>91.719000000000008</v>
      </c>
      <c r="J352" s="457" t="s">
        <v>9706</v>
      </c>
      <c r="K352" s="458">
        <v>0.3</v>
      </c>
      <c r="L352" s="459">
        <f t="shared" si="20"/>
        <v>59.724000000000004</v>
      </c>
      <c r="M352" s="460">
        <v>0.18</v>
      </c>
      <c r="N352" s="461">
        <f t="shared" si="21"/>
        <v>75.209580000000017</v>
      </c>
      <c r="O352" s="462">
        <v>0.1</v>
      </c>
      <c r="P352" s="463">
        <f t="shared" si="22"/>
        <v>82.547100000000015</v>
      </c>
      <c r="Q352" s="464"/>
      <c r="R352" s="465">
        <v>4</v>
      </c>
      <c r="S352" s="465">
        <v>4</v>
      </c>
      <c r="T352" s="465">
        <v>4</v>
      </c>
      <c r="U352" s="466"/>
      <c r="W352" s="415"/>
      <c r="X352" s="415"/>
    </row>
    <row r="353" spans="1:24" x14ac:dyDescent="0.2">
      <c r="A353" s="453" t="s">
        <v>10413</v>
      </c>
      <c r="B353" s="453" t="s">
        <v>10414</v>
      </c>
      <c r="C353" s="454" t="s">
        <v>386</v>
      </c>
      <c r="D353" s="455" t="s">
        <v>9783</v>
      </c>
      <c r="E353" s="456" t="s">
        <v>9710</v>
      </c>
      <c r="F353" s="456" t="s">
        <v>10406</v>
      </c>
      <c r="G353" s="456" t="s">
        <v>7180</v>
      </c>
      <c r="H353" s="457">
        <v>85.320000000000007</v>
      </c>
      <c r="I353" s="457">
        <f t="shared" si="23"/>
        <v>91.719000000000008</v>
      </c>
      <c r="J353" s="457" t="s">
        <v>9706</v>
      </c>
      <c r="K353" s="458">
        <v>0.3</v>
      </c>
      <c r="L353" s="459">
        <f t="shared" si="20"/>
        <v>59.724000000000004</v>
      </c>
      <c r="M353" s="460">
        <v>0.18</v>
      </c>
      <c r="N353" s="461">
        <f t="shared" si="21"/>
        <v>75.209580000000017</v>
      </c>
      <c r="O353" s="462">
        <v>0.1</v>
      </c>
      <c r="P353" s="463">
        <f t="shared" si="22"/>
        <v>82.547100000000015</v>
      </c>
      <c r="Q353" s="464"/>
      <c r="R353" s="465">
        <v>4</v>
      </c>
      <c r="S353" s="465">
        <v>4</v>
      </c>
      <c r="T353" s="465">
        <v>4</v>
      </c>
      <c r="U353" s="466"/>
      <c r="W353" s="415"/>
      <c r="X353" s="415"/>
    </row>
    <row r="354" spans="1:24" x14ac:dyDescent="0.2">
      <c r="A354" s="453" t="s">
        <v>10415</v>
      </c>
      <c r="B354" s="453" t="s">
        <v>10416</v>
      </c>
      <c r="C354" s="454" t="s">
        <v>386</v>
      </c>
      <c r="D354" s="455" t="s">
        <v>9783</v>
      </c>
      <c r="E354" s="456" t="s">
        <v>9739</v>
      </c>
      <c r="F354" s="456" t="s">
        <v>10406</v>
      </c>
      <c r="G354" s="456" t="s">
        <v>7180</v>
      </c>
      <c r="H354" s="457">
        <v>85.320000000000007</v>
      </c>
      <c r="I354" s="457">
        <f t="shared" si="23"/>
        <v>91.719000000000008</v>
      </c>
      <c r="J354" s="457" t="s">
        <v>9706</v>
      </c>
      <c r="K354" s="458">
        <v>0.3</v>
      </c>
      <c r="L354" s="459">
        <f t="shared" si="20"/>
        <v>59.724000000000004</v>
      </c>
      <c r="M354" s="460">
        <v>0.18</v>
      </c>
      <c r="N354" s="461">
        <f t="shared" si="21"/>
        <v>75.209580000000017</v>
      </c>
      <c r="O354" s="462">
        <v>0.1</v>
      </c>
      <c r="P354" s="463">
        <f t="shared" si="22"/>
        <v>82.547100000000015</v>
      </c>
      <c r="Q354" s="464"/>
      <c r="R354" s="465">
        <v>4</v>
      </c>
      <c r="S354" s="465">
        <v>4</v>
      </c>
      <c r="T354" s="465">
        <v>4</v>
      </c>
      <c r="U354" s="466"/>
      <c r="W354" s="415"/>
      <c r="X354" s="415"/>
    </row>
    <row r="355" spans="1:24" ht="18" customHeight="1" x14ac:dyDescent="0.2">
      <c r="A355" s="453" t="s">
        <v>10417</v>
      </c>
      <c r="B355" s="453" t="s">
        <v>10418</v>
      </c>
      <c r="C355" s="454" t="s">
        <v>386</v>
      </c>
      <c r="D355" s="455" t="s">
        <v>9783</v>
      </c>
      <c r="E355" s="456" t="s">
        <v>9739</v>
      </c>
      <c r="F355" s="456" t="s">
        <v>10406</v>
      </c>
      <c r="G355" s="456" t="s">
        <v>7180</v>
      </c>
      <c r="H355" s="457">
        <v>85.320000000000007</v>
      </c>
      <c r="I355" s="457">
        <f t="shared" si="23"/>
        <v>91.719000000000008</v>
      </c>
      <c r="J355" s="457" t="s">
        <v>9706</v>
      </c>
      <c r="K355" s="458">
        <v>0.3</v>
      </c>
      <c r="L355" s="459">
        <f t="shared" si="20"/>
        <v>59.724000000000004</v>
      </c>
      <c r="M355" s="460">
        <v>0.18</v>
      </c>
      <c r="N355" s="461">
        <f t="shared" si="21"/>
        <v>75.209580000000017</v>
      </c>
      <c r="O355" s="462">
        <v>0.1</v>
      </c>
      <c r="P355" s="463">
        <f t="shared" si="22"/>
        <v>82.547100000000015</v>
      </c>
      <c r="Q355" s="464"/>
      <c r="R355" s="465">
        <v>4</v>
      </c>
      <c r="S355" s="465">
        <v>4</v>
      </c>
      <c r="T355" s="465">
        <v>4</v>
      </c>
      <c r="U355" s="466"/>
      <c r="W355" s="415"/>
      <c r="X355" s="415"/>
    </row>
    <row r="356" spans="1:24" ht="18" customHeight="1" x14ac:dyDescent="0.2">
      <c r="A356" s="453" t="s">
        <v>10419</v>
      </c>
      <c r="B356" s="453" t="s">
        <v>10420</v>
      </c>
      <c r="C356" s="454" t="s">
        <v>386</v>
      </c>
      <c r="D356" s="455" t="s">
        <v>9783</v>
      </c>
      <c r="E356" s="456" t="s">
        <v>9734</v>
      </c>
      <c r="F356" s="456" t="s">
        <v>10406</v>
      </c>
      <c r="G356" s="456" t="s">
        <v>7180</v>
      </c>
      <c r="H356" s="457">
        <v>85.320000000000007</v>
      </c>
      <c r="I356" s="457">
        <f t="shared" si="23"/>
        <v>91.719000000000008</v>
      </c>
      <c r="J356" s="457" t="s">
        <v>9706</v>
      </c>
      <c r="K356" s="458">
        <v>0.3</v>
      </c>
      <c r="L356" s="459">
        <f t="shared" si="20"/>
        <v>59.724000000000004</v>
      </c>
      <c r="M356" s="460">
        <v>0.18</v>
      </c>
      <c r="N356" s="461">
        <f t="shared" si="21"/>
        <v>75.209580000000017</v>
      </c>
      <c r="O356" s="462">
        <v>0.1</v>
      </c>
      <c r="P356" s="463">
        <f t="shared" si="22"/>
        <v>82.547100000000015</v>
      </c>
      <c r="Q356" s="464"/>
      <c r="R356" s="465">
        <v>4</v>
      </c>
      <c r="S356" s="465">
        <v>4</v>
      </c>
      <c r="T356" s="465">
        <v>4</v>
      </c>
      <c r="U356" s="466"/>
      <c r="W356" s="415"/>
      <c r="X356" s="415"/>
    </row>
    <row r="357" spans="1:24" ht="18" customHeight="1" x14ac:dyDescent="0.2">
      <c r="A357" s="453" t="s">
        <v>10421</v>
      </c>
      <c r="B357" s="453" t="s">
        <v>10422</v>
      </c>
      <c r="C357" s="454" t="s">
        <v>386</v>
      </c>
      <c r="D357" s="455" t="s">
        <v>9783</v>
      </c>
      <c r="E357" s="456" t="s">
        <v>9734</v>
      </c>
      <c r="F357" s="456" t="s">
        <v>10406</v>
      </c>
      <c r="G357" s="456" t="s">
        <v>7180</v>
      </c>
      <c r="H357" s="457">
        <v>85.320000000000007</v>
      </c>
      <c r="I357" s="457">
        <f t="shared" si="23"/>
        <v>91.719000000000008</v>
      </c>
      <c r="J357" s="457" t="s">
        <v>9706</v>
      </c>
      <c r="K357" s="458">
        <v>0.3</v>
      </c>
      <c r="L357" s="459">
        <f t="shared" si="20"/>
        <v>59.724000000000004</v>
      </c>
      <c r="M357" s="460">
        <v>0.18</v>
      </c>
      <c r="N357" s="461">
        <f t="shared" si="21"/>
        <v>75.209580000000017</v>
      </c>
      <c r="O357" s="462">
        <v>0.1</v>
      </c>
      <c r="P357" s="463">
        <f t="shared" si="22"/>
        <v>82.547100000000015</v>
      </c>
      <c r="Q357" s="464"/>
      <c r="R357" s="465">
        <v>4</v>
      </c>
      <c r="S357" s="465">
        <v>4</v>
      </c>
      <c r="T357" s="465">
        <v>4</v>
      </c>
      <c r="U357" s="466"/>
      <c r="W357" s="415"/>
      <c r="X357" s="415"/>
    </row>
    <row r="358" spans="1:24" ht="18" customHeight="1" x14ac:dyDescent="0.2">
      <c r="A358" s="453" t="s">
        <v>10423</v>
      </c>
      <c r="B358" s="453" t="s">
        <v>10424</v>
      </c>
      <c r="C358" s="454" t="s">
        <v>386</v>
      </c>
      <c r="D358" s="455" t="s">
        <v>9783</v>
      </c>
      <c r="E358" s="456" t="s">
        <v>9739</v>
      </c>
      <c r="F358" s="456" t="s">
        <v>10406</v>
      </c>
      <c r="G358" s="456" t="s">
        <v>7180</v>
      </c>
      <c r="H358" s="457">
        <v>85.320000000000007</v>
      </c>
      <c r="I358" s="457">
        <f t="shared" si="23"/>
        <v>91.719000000000008</v>
      </c>
      <c r="J358" s="457" t="s">
        <v>9706</v>
      </c>
      <c r="K358" s="458">
        <v>0.3</v>
      </c>
      <c r="L358" s="459">
        <f t="shared" si="20"/>
        <v>59.724000000000004</v>
      </c>
      <c r="M358" s="460">
        <v>0.18</v>
      </c>
      <c r="N358" s="461">
        <f t="shared" si="21"/>
        <v>75.209580000000017</v>
      </c>
      <c r="O358" s="462">
        <v>0.1</v>
      </c>
      <c r="P358" s="463">
        <f t="shared" si="22"/>
        <v>82.547100000000015</v>
      </c>
      <c r="Q358" s="464"/>
      <c r="R358" s="465">
        <v>4</v>
      </c>
      <c r="S358" s="465">
        <v>4</v>
      </c>
      <c r="T358" s="465">
        <v>4</v>
      </c>
      <c r="U358" s="466"/>
      <c r="W358" s="415"/>
      <c r="X358" s="415"/>
    </row>
    <row r="359" spans="1:24" ht="18" customHeight="1" x14ac:dyDescent="0.2">
      <c r="A359" s="453" t="s">
        <v>10425</v>
      </c>
      <c r="B359" s="453" t="s">
        <v>10426</v>
      </c>
      <c r="C359" s="454" t="s">
        <v>386</v>
      </c>
      <c r="D359" s="455" t="s">
        <v>9783</v>
      </c>
      <c r="E359" s="456" t="s">
        <v>9710</v>
      </c>
      <c r="F359" s="456" t="s">
        <v>10406</v>
      </c>
      <c r="G359" s="456" t="s">
        <v>7180</v>
      </c>
      <c r="H359" s="457">
        <v>85.320000000000007</v>
      </c>
      <c r="I359" s="457">
        <f t="shared" si="23"/>
        <v>91.719000000000008</v>
      </c>
      <c r="J359" s="457" t="s">
        <v>9706</v>
      </c>
      <c r="K359" s="458">
        <v>0.3</v>
      </c>
      <c r="L359" s="459">
        <f t="shared" si="20"/>
        <v>59.724000000000004</v>
      </c>
      <c r="M359" s="460">
        <v>0.18</v>
      </c>
      <c r="N359" s="461">
        <f t="shared" si="21"/>
        <v>75.209580000000017</v>
      </c>
      <c r="O359" s="462">
        <v>0.1</v>
      </c>
      <c r="P359" s="463">
        <f t="shared" si="22"/>
        <v>82.547100000000015</v>
      </c>
      <c r="Q359" s="464"/>
      <c r="R359" s="465">
        <v>4</v>
      </c>
      <c r="S359" s="465">
        <v>4</v>
      </c>
      <c r="T359" s="465">
        <v>4</v>
      </c>
      <c r="U359" s="466"/>
      <c r="W359" s="415"/>
      <c r="X359" s="415"/>
    </row>
    <row r="360" spans="1:24" ht="18" customHeight="1" x14ac:dyDescent="0.2">
      <c r="A360" s="453" t="s">
        <v>10427</v>
      </c>
      <c r="B360" s="453" t="s">
        <v>10428</v>
      </c>
      <c r="C360" s="454" t="s">
        <v>386</v>
      </c>
      <c r="D360" s="455" t="s">
        <v>9783</v>
      </c>
      <c r="E360" s="456" t="s">
        <v>9710</v>
      </c>
      <c r="F360" s="456" t="s">
        <v>10406</v>
      </c>
      <c r="G360" s="456" t="s">
        <v>7180</v>
      </c>
      <c r="H360" s="457">
        <v>85.320000000000007</v>
      </c>
      <c r="I360" s="457">
        <f t="shared" si="23"/>
        <v>91.719000000000008</v>
      </c>
      <c r="J360" s="457" t="s">
        <v>9706</v>
      </c>
      <c r="K360" s="458">
        <v>0.3</v>
      </c>
      <c r="L360" s="459">
        <f t="shared" si="20"/>
        <v>59.724000000000004</v>
      </c>
      <c r="M360" s="460">
        <v>0.18</v>
      </c>
      <c r="N360" s="461">
        <f t="shared" si="21"/>
        <v>75.209580000000017</v>
      </c>
      <c r="O360" s="462">
        <v>0.1</v>
      </c>
      <c r="P360" s="463">
        <f t="shared" si="22"/>
        <v>82.547100000000015</v>
      </c>
      <c r="Q360" s="464"/>
      <c r="R360" s="465">
        <v>4</v>
      </c>
      <c r="S360" s="465">
        <v>4</v>
      </c>
      <c r="T360" s="465">
        <v>4</v>
      </c>
      <c r="U360" s="466"/>
      <c r="W360" s="415"/>
      <c r="X360" s="415"/>
    </row>
    <row r="361" spans="1:24" ht="18" customHeight="1" x14ac:dyDescent="0.2">
      <c r="A361" s="453" t="s">
        <v>10429</v>
      </c>
      <c r="B361" s="453" t="s">
        <v>10430</v>
      </c>
      <c r="C361" s="454" t="s">
        <v>386</v>
      </c>
      <c r="D361" s="455" t="s">
        <v>9783</v>
      </c>
      <c r="E361" s="456" t="s">
        <v>9758</v>
      </c>
      <c r="F361" s="456" t="s">
        <v>10406</v>
      </c>
      <c r="G361" s="456" t="s">
        <v>7180</v>
      </c>
      <c r="H361" s="457">
        <v>96.12</v>
      </c>
      <c r="I361" s="457">
        <f t="shared" si="23"/>
        <v>103.32899999999999</v>
      </c>
      <c r="J361" s="457" t="s">
        <v>9706</v>
      </c>
      <c r="K361" s="458">
        <v>0.3</v>
      </c>
      <c r="L361" s="459">
        <f t="shared" si="20"/>
        <v>67.283999999999992</v>
      </c>
      <c r="M361" s="460">
        <v>0.18</v>
      </c>
      <c r="N361" s="461">
        <f t="shared" si="21"/>
        <v>84.729780000000005</v>
      </c>
      <c r="O361" s="462">
        <v>0.1</v>
      </c>
      <c r="P361" s="463">
        <f t="shared" si="22"/>
        <v>92.996099999999998</v>
      </c>
      <c r="Q361" s="464"/>
      <c r="R361" s="465">
        <v>4</v>
      </c>
      <c r="S361" s="465">
        <v>4</v>
      </c>
      <c r="T361" s="465">
        <v>4</v>
      </c>
      <c r="U361" s="466"/>
      <c r="W361" s="415"/>
      <c r="X361" s="415"/>
    </row>
    <row r="362" spans="1:24" x14ac:dyDescent="0.2">
      <c r="A362" s="453" t="s">
        <v>10431</v>
      </c>
      <c r="B362" s="453" t="s">
        <v>10432</v>
      </c>
      <c r="C362" s="454" t="s">
        <v>386</v>
      </c>
      <c r="D362" s="455" t="s">
        <v>9783</v>
      </c>
      <c r="E362" s="456" t="s">
        <v>9758</v>
      </c>
      <c r="F362" s="456" t="s">
        <v>10406</v>
      </c>
      <c r="G362" s="456" t="s">
        <v>7180</v>
      </c>
      <c r="H362" s="457">
        <v>96.12</v>
      </c>
      <c r="I362" s="457">
        <f t="shared" si="23"/>
        <v>103.32899999999999</v>
      </c>
      <c r="J362" s="457" t="s">
        <v>9706</v>
      </c>
      <c r="K362" s="458">
        <v>0.3</v>
      </c>
      <c r="L362" s="459">
        <f t="shared" si="20"/>
        <v>67.283999999999992</v>
      </c>
      <c r="M362" s="460">
        <v>0.18</v>
      </c>
      <c r="N362" s="461">
        <f t="shared" si="21"/>
        <v>84.729780000000005</v>
      </c>
      <c r="O362" s="462">
        <v>0.1</v>
      </c>
      <c r="P362" s="463">
        <f t="shared" si="22"/>
        <v>92.996099999999998</v>
      </c>
      <c r="Q362" s="464"/>
      <c r="R362" s="465">
        <v>4</v>
      </c>
      <c r="S362" s="465">
        <v>4</v>
      </c>
      <c r="T362" s="465">
        <v>4</v>
      </c>
      <c r="U362" s="466"/>
      <c r="W362" s="415"/>
      <c r="X362" s="415"/>
    </row>
    <row r="363" spans="1:24" x14ac:dyDescent="0.2">
      <c r="A363" s="453" t="s">
        <v>10433</v>
      </c>
      <c r="B363" s="453" t="s">
        <v>10434</v>
      </c>
      <c r="C363" s="454" t="s">
        <v>386</v>
      </c>
      <c r="D363" s="455" t="s">
        <v>9783</v>
      </c>
      <c r="E363" s="456" t="s">
        <v>9710</v>
      </c>
      <c r="F363" s="456" t="s">
        <v>10406</v>
      </c>
      <c r="G363" s="456" t="s">
        <v>7180</v>
      </c>
      <c r="H363" s="457">
        <v>96.12</v>
      </c>
      <c r="I363" s="457">
        <f t="shared" si="23"/>
        <v>103.32899999999999</v>
      </c>
      <c r="J363" s="457" t="s">
        <v>9706</v>
      </c>
      <c r="K363" s="458">
        <v>0.3</v>
      </c>
      <c r="L363" s="459">
        <f t="shared" si="20"/>
        <v>67.283999999999992</v>
      </c>
      <c r="M363" s="460">
        <v>0.18</v>
      </c>
      <c r="N363" s="461">
        <f t="shared" si="21"/>
        <v>84.729780000000005</v>
      </c>
      <c r="O363" s="462">
        <v>0.1</v>
      </c>
      <c r="P363" s="463">
        <f t="shared" si="22"/>
        <v>92.996099999999998</v>
      </c>
      <c r="Q363" s="464"/>
      <c r="R363" s="465">
        <v>4</v>
      </c>
      <c r="S363" s="465">
        <v>4</v>
      </c>
      <c r="T363" s="465">
        <v>4</v>
      </c>
      <c r="U363" s="466"/>
      <c r="W363" s="415"/>
      <c r="X363" s="415"/>
    </row>
    <row r="364" spans="1:24" x14ac:dyDescent="0.2">
      <c r="A364" s="453" t="s">
        <v>10435</v>
      </c>
      <c r="B364" s="453" t="s">
        <v>10436</v>
      </c>
      <c r="C364" s="454" t="s">
        <v>386</v>
      </c>
      <c r="D364" s="455" t="s">
        <v>9783</v>
      </c>
      <c r="E364" s="456" t="s">
        <v>9710</v>
      </c>
      <c r="F364" s="456" t="s">
        <v>10406</v>
      </c>
      <c r="G364" s="456" t="s">
        <v>7180</v>
      </c>
      <c r="H364" s="457">
        <v>96.12</v>
      </c>
      <c r="I364" s="457">
        <f t="shared" si="23"/>
        <v>103.32899999999999</v>
      </c>
      <c r="J364" s="457" t="s">
        <v>9706</v>
      </c>
      <c r="K364" s="458">
        <v>0.3</v>
      </c>
      <c r="L364" s="459">
        <f t="shared" si="20"/>
        <v>67.283999999999992</v>
      </c>
      <c r="M364" s="460">
        <v>0.18</v>
      </c>
      <c r="N364" s="461">
        <f t="shared" si="21"/>
        <v>84.729780000000005</v>
      </c>
      <c r="O364" s="462">
        <v>0.1</v>
      </c>
      <c r="P364" s="463">
        <f t="shared" si="22"/>
        <v>92.996099999999998</v>
      </c>
      <c r="Q364" s="464"/>
      <c r="R364" s="465">
        <v>1</v>
      </c>
      <c r="S364" s="465">
        <v>1</v>
      </c>
      <c r="T364" s="465">
        <v>1</v>
      </c>
      <c r="U364" s="466"/>
      <c r="W364" s="415"/>
      <c r="X364" s="415"/>
    </row>
    <row r="365" spans="1:24" x14ac:dyDescent="0.2">
      <c r="A365" s="453" t="s">
        <v>10437</v>
      </c>
      <c r="B365" s="453" t="s">
        <v>10438</v>
      </c>
      <c r="C365" s="454" t="s">
        <v>386</v>
      </c>
      <c r="D365" s="455" t="s">
        <v>9783</v>
      </c>
      <c r="E365" s="456" t="s">
        <v>9710</v>
      </c>
      <c r="F365" s="456" t="s">
        <v>10406</v>
      </c>
      <c r="G365" s="456" t="s">
        <v>7180</v>
      </c>
      <c r="H365" s="457">
        <v>96.12</v>
      </c>
      <c r="I365" s="457">
        <f t="shared" si="23"/>
        <v>103.32899999999999</v>
      </c>
      <c r="J365" s="457" t="s">
        <v>9706</v>
      </c>
      <c r="K365" s="458">
        <v>0.3</v>
      </c>
      <c r="L365" s="459">
        <f t="shared" si="20"/>
        <v>67.283999999999992</v>
      </c>
      <c r="M365" s="460">
        <v>0.18</v>
      </c>
      <c r="N365" s="461">
        <f t="shared" si="21"/>
        <v>84.729780000000005</v>
      </c>
      <c r="O365" s="462">
        <v>0.1</v>
      </c>
      <c r="P365" s="463">
        <f t="shared" si="22"/>
        <v>92.996099999999998</v>
      </c>
      <c r="Q365" s="464"/>
      <c r="R365" s="465">
        <v>1</v>
      </c>
      <c r="S365" s="465">
        <v>1</v>
      </c>
      <c r="T365" s="465">
        <v>1</v>
      </c>
      <c r="U365" s="466"/>
      <c r="W365" s="415"/>
      <c r="X365" s="415"/>
    </row>
    <row r="366" spans="1:24" x14ac:dyDescent="0.2">
      <c r="A366" s="453" t="s">
        <v>10439</v>
      </c>
      <c r="B366" s="453" t="s">
        <v>10440</v>
      </c>
      <c r="C366" s="454" t="s">
        <v>386</v>
      </c>
      <c r="D366" s="455" t="s">
        <v>9783</v>
      </c>
      <c r="E366" s="456" t="s">
        <v>9710</v>
      </c>
      <c r="F366" s="456" t="s">
        <v>10406</v>
      </c>
      <c r="G366" s="456" t="s">
        <v>7180</v>
      </c>
      <c r="H366" s="457">
        <v>96.12</v>
      </c>
      <c r="I366" s="457">
        <f t="shared" si="23"/>
        <v>103.32899999999999</v>
      </c>
      <c r="J366" s="457" t="s">
        <v>9706</v>
      </c>
      <c r="K366" s="458">
        <v>0.3</v>
      </c>
      <c r="L366" s="459">
        <f t="shared" si="20"/>
        <v>67.283999999999992</v>
      </c>
      <c r="M366" s="460">
        <v>0.18</v>
      </c>
      <c r="N366" s="461">
        <f t="shared" si="21"/>
        <v>84.729780000000005</v>
      </c>
      <c r="O366" s="462">
        <v>0.1</v>
      </c>
      <c r="P366" s="463">
        <f t="shared" si="22"/>
        <v>92.996099999999998</v>
      </c>
      <c r="Q366" s="464"/>
      <c r="R366" s="465">
        <v>1</v>
      </c>
      <c r="S366" s="465">
        <v>1</v>
      </c>
      <c r="T366" s="465">
        <v>1</v>
      </c>
      <c r="U366" s="466"/>
      <c r="W366" s="415"/>
      <c r="X366" s="415"/>
    </row>
    <row r="367" spans="1:24" x14ac:dyDescent="0.2">
      <c r="A367" s="453" t="s">
        <v>10441</v>
      </c>
      <c r="B367" s="453" t="s">
        <v>10442</v>
      </c>
      <c r="C367" s="454" t="s">
        <v>386</v>
      </c>
      <c r="D367" s="455" t="s">
        <v>9783</v>
      </c>
      <c r="E367" s="456" t="s">
        <v>9739</v>
      </c>
      <c r="F367" s="456" t="s">
        <v>10406</v>
      </c>
      <c r="G367" s="456" t="s">
        <v>7180</v>
      </c>
      <c r="H367" s="457">
        <v>96.12</v>
      </c>
      <c r="I367" s="457">
        <f t="shared" si="23"/>
        <v>103.32899999999999</v>
      </c>
      <c r="J367" s="457" t="s">
        <v>9706</v>
      </c>
      <c r="K367" s="458">
        <v>0.3</v>
      </c>
      <c r="L367" s="459">
        <f t="shared" si="20"/>
        <v>67.283999999999992</v>
      </c>
      <c r="M367" s="460">
        <v>0.18</v>
      </c>
      <c r="N367" s="461">
        <f t="shared" si="21"/>
        <v>84.729780000000005</v>
      </c>
      <c r="O367" s="462">
        <v>0.1</v>
      </c>
      <c r="P367" s="463">
        <f t="shared" si="22"/>
        <v>92.996099999999998</v>
      </c>
      <c r="Q367" s="464"/>
      <c r="R367" s="465">
        <v>1</v>
      </c>
      <c r="S367" s="465">
        <v>1</v>
      </c>
      <c r="T367" s="465">
        <v>1</v>
      </c>
      <c r="U367" s="466"/>
      <c r="W367" s="415"/>
      <c r="X367" s="415"/>
    </row>
    <row r="368" spans="1:24" x14ac:dyDescent="0.2">
      <c r="A368" s="453" t="s">
        <v>10443</v>
      </c>
      <c r="B368" s="453" t="s">
        <v>10444</v>
      </c>
      <c r="C368" s="454" t="s">
        <v>386</v>
      </c>
      <c r="D368" s="455" t="s">
        <v>9783</v>
      </c>
      <c r="E368" s="456" t="s">
        <v>9739</v>
      </c>
      <c r="F368" s="456" t="s">
        <v>10406</v>
      </c>
      <c r="G368" s="456" t="s">
        <v>7180</v>
      </c>
      <c r="H368" s="457">
        <v>96.12</v>
      </c>
      <c r="I368" s="457">
        <f t="shared" si="23"/>
        <v>103.32899999999999</v>
      </c>
      <c r="J368" s="457" t="s">
        <v>9706</v>
      </c>
      <c r="K368" s="458">
        <v>0.3</v>
      </c>
      <c r="L368" s="459">
        <f t="shared" si="20"/>
        <v>67.283999999999992</v>
      </c>
      <c r="M368" s="460">
        <v>0.18</v>
      </c>
      <c r="N368" s="461">
        <f t="shared" si="21"/>
        <v>84.729780000000005</v>
      </c>
      <c r="O368" s="462">
        <v>0.1</v>
      </c>
      <c r="P368" s="463">
        <f t="shared" si="22"/>
        <v>92.996099999999998</v>
      </c>
      <c r="Q368" s="464"/>
      <c r="R368" s="465">
        <v>1</v>
      </c>
      <c r="S368" s="465">
        <v>1</v>
      </c>
      <c r="T368" s="465">
        <v>1</v>
      </c>
      <c r="U368" s="466"/>
      <c r="W368" s="415"/>
      <c r="X368" s="415"/>
    </row>
    <row r="369" spans="1:24" x14ac:dyDescent="0.2">
      <c r="A369" s="453" t="s">
        <v>10445</v>
      </c>
      <c r="B369" s="453" t="s">
        <v>10446</v>
      </c>
      <c r="C369" s="454" t="s">
        <v>386</v>
      </c>
      <c r="D369" s="455" t="s">
        <v>9783</v>
      </c>
      <c r="E369" s="456" t="s">
        <v>9739</v>
      </c>
      <c r="F369" s="456" t="s">
        <v>10406</v>
      </c>
      <c r="G369" s="456" t="s">
        <v>7180</v>
      </c>
      <c r="H369" s="457">
        <v>96.12</v>
      </c>
      <c r="I369" s="457">
        <f t="shared" si="23"/>
        <v>103.32899999999999</v>
      </c>
      <c r="J369" s="457" t="s">
        <v>9706</v>
      </c>
      <c r="K369" s="458">
        <v>0.3</v>
      </c>
      <c r="L369" s="459">
        <f t="shared" si="20"/>
        <v>67.283999999999992</v>
      </c>
      <c r="M369" s="460">
        <v>0.18</v>
      </c>
      <c r="N369" s="461">
        <f t="shared" si="21"/>
        <v>84.729780000000005</v>
      </c>
      <c r="O369" s="462">
        <v>0.1</v>
      </c>
      <c r="P369" s="463">
        <f t="shared" si="22"/>
        <v>92.996099999999998</v>
      </c>
      <c r="Q369" s="464"/>
      <c r="R369" s="465">
        <v>1</v>
      </c>
      <c r="S369" s="465">
        <v>1</v>
      </c>
      <c r="T369" s="465">
        <v>1</v>
      </c>
      <c r="U369" s="466"/>
      <c r="W369" s="415"/>
      <c r="X369" s="415"/>
    </row>
    <row r="370" spans="1:24" x14ac:dyDescent="0.2">
      <c r="A370" s="453" t="s">
        <v>10447</v>
      </c>
      <c r="B370" s="453" t="s">
        <v>10448</v>
      </c>
      <c r="C370" s="454" t="s">
        <v>386</v>
      </c>
      <c r="D370" s="455" t="s">
        <v>9783</v>
      </c>
      <c r="E370" s="456" t="s">
        <v>9734</v>
      </c>
      <c r="F370" s="456" t="s">
        <v>10406</v>
      </c>
      <c r="G370" s="456" t="s">
        <v>7180</v>
      </c>
      <c r="H370" s="457">
        <v>96.12</v>
      </c>
      <c r="I370" s="457">
        <f t="shared" si="23"/>
        <v>103.32899999999999</v>
      </c>
      <c r="J370" s="457" t="s">
        <v>9706</v>
      </c>
      <c r="K370" s="458">
        <v>0.3</v>
      </c>
      <c r="L370" s="459">
        <f t="shared" si="20"/>
        <v>67.283999999999992</v>
      </c>
      <c r="M370" s="460">
        <v>0.18</v>
      </c>
      <c r="N370" s="461">
        <f t="shared" si="21"/>
        <v>84.729780000000005</v>
      </c>
      <c r="O370" s="462">
        <v>0.1</v>
      </c>
      <c r="P370" s="463">
        <f t="shared" si="22"/>
        <v>92.996099999999998</v>
      </c>
      <c r="Q370" s="464"/>
      <c r="R370" s="465">
        <v>1</v>
      </c>
      <c r="S370" s="465">
        <v>1</v>
      </c>
      <c r="T370" s="465">
        <v>1</v>
      </c>
      <c r="U370" s="466"/>
      <c r="W370" s="415"/>
      <c r="X370" s="415"/>
    </row>
    <row r="371" spans="1:24" x14ac:dyDescent="0.2">
      <c r="A371" s="453" t="s">
        <v>10449</v>
      </c>
      <c r="B371" s="453" t="s">
        <v>10450</v>
      </c>
      <c r="C371" s="454" t="s">
        <v>386</v>
      </c>
      <c r="D371" s="455" t="s">
        <v>9783</v>
      </c>
      <c r="E371" s="456" t="s">
        <v>9734</v>
      </c>
      <c r="F371" s="456" t="s">
        <v>10406</v>
      </c>
      <c r="G371" s="456" t="s">
        <v>7180</v>
      </c>
      <c r="H371" s="457">
        <v>96.12</v>
      </c>
      <c r="I371" s="457">
        <f t="shared" si="23"/>
        <v>103.32899999999999</v>
      </c>
      <c r="J371" s="457" t="s">
        <v>9706</v>
      </c>
      <c r="K371" s="458">
        <v>0.3</v>
      </c>
      <c r="L371" s="459">
        <f t="shared" si="20"/>
        <v>67.283999999999992</v>
      </c>
      <c r="M371" s="460">
        <v>0.18</v>
      </c>
      <c r="N371" s="461">
        <f t="shared" si="21"/>
        <v>84.729780000000005</v>
      </c>
      <c r="O371" s="462">
        <v>0.1</v>
      </c>
      <c r="P371" s="463">
        <f t="shared" si="22"/>
        <v>92.996099999999998</v>
      </c>
      <c r="Q371" s="464"/>
      <c r="R371" s="465">
        <v>1</v>
      </c>
      <c r="S371" s="465">
        <v>1</v>
      </c>
      <c r="T371" s="465">
        <v>1</v>
      </c>
      <c r="U371" s="466"/>
      <c r="W371" s="415"/>
      <c r="X371" s="415"/>
    </row>
    <row r="372" spans="1:24" x14ac:dyDescent="0.2">
      <c r="A372" s="453" t="s">
        <v>10451</v>
      </c>
      <c r="B372" s="453" t="s">
        <v>10452</v>
      </c>
      <c r="C372" s="454" t="s">
        <v>386</v>
      </c>
      <c r="D372" s="455" t="s">
        <v>9783</v>
      </c>
      <c r="E372" s="456" t="s">
        <v>9739</v>
      </c>
      <c r="F372" s="456" t="s">
        <v>10406</v>
      </c>
      <c r="G372" s="456" t="s">
        <v>7180</v>
      </c>
      <c r="H372" s="457">
        <v>96.12</v>
      </c>
      <c r="I372" s="457">
        <f t="shared" si="23"/>
        <v>103.32899999999999</v>
      </c>
      <c r="J372" s="457" t="s">
        <v>9706</v>
      </c>
      <c r="K372" s="458">
        <v>0.3</v>
      </c>
      <c r="L372" s="459">
        <f t="shared" si="20"/>
        <v>67.283999999999992</v>
      </c>
      <c r="M372" s="460">
        <v>0.18</v>
      </c>
      <c r="N372" s="461">
        <f t="shared" si="21"/>
        <v>84.729780000000005</v>
      </c>
      <c r="O372" s="462">
        <v>0.1</v>
      </c>
      <c r="P372" s="463">
        <f t="shared" si="22"/>
        <v>92.996099999999998</v>
      </c>
      <c r="Q372" s="464"/>
      <c r="R372" s="465">
        <v>1</v>
      </c>
      <c r="S372" s="465">
        <v>1</v>
      </c>
      <c r="T372" s="465">
        <v>1</v>
      </c>
      <c r="U372" s="466"/>
      <c r="W372" s="415"/>
      <c r="X372" s="415"/>
    </row>
    <row r="373" spans="1:24" x14ac:dyDescent="0.2">
      <c r="A373" s="453" t="s">
        <v>10453</v>
      </c>
      <c r="B373" s="453" t="s">
        <v>10454</v>
      </c>
      <c r="C373" s="454" t="s">
        <v>386</v>
      </c>
      <c r="D373" s="455" t="s">
        <v>9783</v>
      </c>
      <c r="E373" s="456" t="s">
        <v>9710</v>
      </c>
      <c r="F373" s="456" t="s">
        <v>10406</v>
      </c>
      <c r="G373" s="456" t="s">
        <v>7180</v>
      </c>
      <c r="H373" s="457">
        <v>96.12</v>
      </c>
      <c r="I373" s="457">
        <f t="shared" si="23"/>
        <v>103.32899999999999</v>
      </c>
      <c r="J373" s="457" t="s">
        <v>9706</v>
      </c>
      <c r="K373" s="458">
        <v>0.3</v>
      </c>
      <c r="L373" s="459">
        <f t="shared" si="20"/>
        <v>67.283999999999992</v>
      </c>
      <c r="M373" s="460">
        <v>0.18</v>
      </c>
      <c r="N373" s="461">
        <f t="shared" si="21"/>
        <v>84.729780000000005</v>
      </c>
      <c r="O373" s="462">
        <v>0.1</v>
      </c>
      <c r="P373" s="463">
        <f t="shared" si="22"/>
        <v>92.996099999999998</v>
      </c>
      <c r="Q373" s="464"/>
      <c r="R373" s="465">
        <v>1</v>
      </c>
      <c r="S373" s="465">
        <v>1</v>
      </c>
      <c r="T373" s="465">
        <v>1</v>
      </c>
      <c r="U373" s="466"/>
      <c r="W373" s="415"/>
      <c r="X373" s="415"/>
    </row>
    <row r="374" spans="1:24" x14ac:dyDescent="0.2">
      <c r="A374" s="453" t="s">
        <v>10455</v>
      </c>
      <c r="B374" s="453" t="s">
        <v>10456</v>
      </c>
      <c r="C374" s="454" t="s">
        <v>386</v>
      </c>
      <c r="D374" s="455" t="s">
        <v>9783</v>
      </c>
      <c r="E374" s="456" t="s">
        <v>9710</v>
      </c>
      <c r="F374" s="456" t="s">
        <v>10406</v>
      </c>
      <c r="G374" s="456" t="s">
        <v>7180</v>
      </c>
      <c r="H374" s="457">
        <v>96.12</v>
      </c>
      <c r="I374" s="457">
        <f t="shared" si="23"/>
        <v>103.32899999999999</v>
      </c>
      <c r="J374" s="457" t="s">
        <v>9706</v>
      </c>
      <c r="K374" s="458">
        <v>0.3</v>
      </c>
      <c r="L374" s="459">
        <f t="shared" si="20"/>
        <v>67.283999999999992</v>
      </c>
      <c r="M374" s="460">
        <v>0.18</v>
      </c>
      <c r="N374" s="461">
        <f t="shared" si="21"/>
        <v>84.729780000000005</v>
      </c>
      <c r="O374" s="462">
        <v>0.1</v>
      </c>
      <c r="P374" s="463">
        <f t="shared" si="22"/>
        <v>92.996099999999998</v>
      </c>
      <c r="Q374" s="464"/>
      <c r="R374" s="465">
        <v>1</v>
      </c>
      <c r="S374" s="465">
        <v>1</v>
      </c>
      <c r="T374" s="465">
        <v>1</v>
      </c>
      <c r="U374" s="466"/>
      <c r="W374" s="415"/>
      <c r="X374" s="415"/>
    </row>
    <row r="375" spans="1:24" x14ac:dyDescent="0.2">
      <c r="A375" s="453" t="s">
        <v>10457</v>
      </c>
      <c r="B375" s="453" t="s">
        <v>10458</v>
      </c>
      <c r="C375" s="454" t="s">
        <v>386</v>
      </c>
      <c r="D375" s="455" t="s">
        <v>9783</v>
      </c>
      <c r="E375" s="456" t="s">
        <v>9710</v>
      </c>
      <c r="F375" s="456" t="s">
        <v>10459</v>
      </c>
      <c r="G375" s="456" t="s">
        <v>7070</v>
      </c>
      <c r="H375" s="457">
        <v>409.32000000000005</v>
      </c>
      <c r="I375" s="457">
        <f t="shared" si="23"/>
        <v>440.01900000000006</v>
      </c>
      <c r="J375" s="457" t="s">
        <v>9706</v>
      </c>
      <c r="K375" s="458">
        <v>0.4</v>
      </c>
      <c r="L375" s="459">
        <f t="shared" si="20"/>
        <v>245.59200000000001</v>
      </c>
      <c r="M375" s="460">
        <v>0.28000000000000003</v>
      </c>
      <c r="N375" s="461">
        <f t="shared" si="21"/>
        <v>316.81368000000003</v>
      </c>
      <c r="O375" s="462">
        <v>0.23</v>
      </c>
      <c r="P375" s="463">
        <f t="shared" si="22"/>
        <v>338.81463000000008</v>
      </c>
      <c r="Q375" s="464"/>
      <c r="R375" s="465">
        <v>1</v>
      </c>
      <c r="S375" s="465">
        <v>1</v>
      </c>
      <c r="T375" s="465">
        <v>1</v>
      </c>
      <c r="U375" s="466"/>
      <c r="W375" s="415"/>
      <c r="X375" s="415"/>
    </row>
    <row r="376" spans="1:24" x14ac:dyDescent="0.2">
      <c r="A376" s="453" t="s">
        <v>10460</v>
      </c>
      <c r="B376" s="453" t="s">
        <v>10461</v>
      </c>
      <c r="C376" s="454" t="s">
        <v>386</v>
      </c>
      <c r="D376" s="455" t="s">
        <v>9783</v>
      </c>
      <c r="E376" s="456" t="s">
        <v>9758</v>
      </c>
      <c r="F376" s="456" t="s">
        <v>10459</v>
      </c>
      <c r="G376" s="456" t="s">
        <v>7070</v>
      </c>
      <c r="H376" s="457">
        <v>409.32000000000005</v>
      </c>
      <c r="I376" s="457">
        <f t="shared" si="23"/>
        <v>440.01900000000006</v>
      </c>
      <c r="J376" s="457" t="s">
        <v>9706</v>
      </c>
      <c r="K376" s="458">
        <v>0.4</v>
      </c>
      <c r="L376" s="459">
        <f t="shared" si="20"/>
        <v>245.59200000000001</v>
      </c>
      <c r="M376" s="460">
        <v>0.28000000000000003</v>
      </c>
      <c r="N376" s="461">
        <f t="shared" si="21"/>
        <v>316.81368000000003</v>
      </c>
      <c r="O376" s="462">
        <v>0.23</v>
      </c>
      <c r="P376" s="463">
        <f t="shared" si="22"/>
        <v>338.81463000000008</v>
      </c>
      <c r="Q376" s="464"/>
      <c r="R376" s="465">
        <v>1</v>
      </c>
      <c r="S376" s="465">
        <v>1</v>
      </c>
      <c r="T376" s="465">
        <v>1</v>
      </c>
      <c r="U376" s="466"/>
      <c r="W376" s="415"/>
      <c r="X376" s="415"/>
    </row>
    <row r="377" spans="1:24" x14ac:dyDescent="0.2">
      <c r="A377" s="453" t="s">
        <v>10462</v>
      </c>
      <c r="B377" s="453" t="s">
        <v>10463</v>
      </c>
      <c r="C377" s="454" t="s">
        <v>386</v>
      </c>
      <c r="D377" s="455" t="s">
        <v>9783</v>
      </c>
      <c r="E377" s="456" t="s">
        <v>9710</v>
      </c>
      <c r="F377" s="456" t="s">
        <v>10459</v>
      </c>
      <c r="G377" s="456" t="s">
        <v>7070</v>
      </c>
      <c r="H377" s="457">
        <v>409.32000000000005</v>
      </c>
      <c r="I377" s="457">
        <f t="shared" si="23"/>
        <v>440.01900000000006</v>
      </c>
      <c r="J377" s="457" t="s">
        <v>9706</v>
      </c>
      <c r="K377" s="458">
        <v>0.4</v>
      </c>
      <c r="L377" s="459">
        <f t="shared" si="20"/>
        <v>245.59200000000001</v>
      </c>
      <c r="M377" s="460">
        <v>0.28000000000000003</v>
      </c>
      <c r="N377" s="461">
        <f t="shared" si="21"/>
        <v>316.81368000000003</v>
      </c>
      <c r="O377" s="462">
        <v>0.23</v>
      </c>
      <c r="P377" s="463">
        <f t="shared" si="22"/>
        <v>338.81463000000008</v>
      </c>
      <c r="Q377" s="464"/>
      <c r="R377" s="465">
        <v>1</v>
      </c>
      <c r="S377" s="465">
        <v>1</v>
      </c>
      <c r="T377" s="465">
        <v>1</v>
      </c>
      <c r="U377" s="466"/>
      <c r="W377" s="415"/>
      <c r="X377" s="415"/>
    </row>
    <row r="378" spans="1:24" x14ac:dyDescent="0.2">
      <c r="A378" s="453" t="s">
        <v>10464</v>
      </c>
      <c r="B378" s="453" t="s">
        <v>10465</v>
      </c>
      <c r="C378" s="454" t="s">
        <v>386</v>
      </c>
      <c r="D378" s="455" t="s">
        <v>9783</v>
      </c>
      <c r="E378" s="456" t="s">
        <v>9716</v>
      </c>
      <c r="F378" s="456" t="s">
        <v>10459</v>
      </c>
      <c r="G378" s="456" t="s">
        <v>7070</v>
      </c>
      <c r="H378" s="457">
        <v>409.32000000000005</v>
      </c>
      <c r="I378" s="457">
        <f t="shared" si="23"/>
        <v>440.01900000000006</v>
      </c>
      <c r="J378" s="457" t="s">
        <v>9706</v>
      </c>
      <c r="K378" s="458">
        <v>0.4</v>
      </c>
      <c r="L378" s="459">
        <f t="shared" si="20"/>
        <v>245.59200000000001</v>
      </c>
      <c r="M378" s="460">
        <v>0.28000000000000003</v>
      </c>
      <c r="N378" s="461">
        <f t="shared" si="21"/>
        <v>316.81368000000003</v>
      </c>
      <c r="O378" s="462">
        <v>0.23</v>
      </c>
      <c r="P378" s="463">
        <f t="shared" si="22"/>
        <v>338.81463000000008</v>
      </c>
      <c r="Q378" s="464"/>
      <c r="R378" s="465">
        <v>10</v>
      </c>
      <c r="S378" s="465">
        <v>10</v>
      </c>
      <c r="T378" s="465">
        <v>10</v>
      </c>
      <c r="U378" s="466"/>
      <c r="W378" s="415"/>
      <c r="X378" s="415"/>
    </row>
    <row r="379" spans="1:24" x14ac:dyDescent="0.2">
      <c r="A379" s="453" t="s">
        <v>10466</v>
      </c>
      <c r="B379" s="453" t="s">
        <v>10467</v>
      </c>
      <c r="C379" s="454" t="s">
        <v>386</v>
      </c>
      <c r="D379" s="455" t="s">
        <v>9783</v>
      </c>
      <c r="E379" s="456" t="s">
        <v>9710</v>
      </c>
      <c r="F379" s="456" t="s">
        <v>10459</v>
      </c>
      <c r="G379" s="456" t="s">
        <v>7070</v>
      </c>
      <c r="H379" s="457">
        <v>409.32000000000005</v>
      </c>
      <c r="I379" s="457">
        <f t="shared" si="23"/>
        <v>440.01900000000006</v>
      </c>
      <c r="J379" s="457" t="s">
        <v>9706</v>
      </c>
      <c r="K379" s="458">
        <v>0.4</v>
      </c>
      <c r="L379" s="459">
        <f t="shared" si="20"/>
        <v>245.59200000000001</v>
      </c>
      <c r="M379" s="460">
        <v>0.28000000000000003</v>
      </c>
      <c r="N379" s="461">
        <f t="shared" si="21"/>
        <v>316.81368000000003</v>
      </c>
      <c r="O379" s="462">
        <v>0.23</v>
      </c>
      <c r="P379" s="463">
        <f t="shared" si="22"/>
        <v>338.81463000000008</v>
      </c>
      <c r="Q379" s="464"/>
      <c r="R379" s="465">
        <v>4</v>
      </c>
      <c r="S379" s="465">
        <v>4</v>
      </c>
      <c r="T379" s="465">
        <v>4</v>
      </c>
      <c r="U379" s="466"/>
      <c r="W379" s="415"/>
      <c r="X379" s="415"/>
    </row>
    <row r="380" spans="1:24" x14ac:dyDescent="0.2">
      <c r="A380" s="452" t="s">
        <v>10468</v>
      </c>
      <c r="B380" s="453" t="s">
        <v>10469</v>
      </c>
      <c r="C380" s="454" t="s">
        <v>386</v>
      </c>
      <c r="D380" s="455" t="s">
        <v>9783</v>
      </c>
      <c r="E380" s="456" t="s">
        <v>9716</v>
      </c>
      <c r="F380" s="456" t="s">
        <v>10459</v>
      </c>
      <c r="G380" s="456" t="s">
        <v>7070</v>
      </c>
      <c r="H380" s="457">
        <v>420.12</v>
      </c>
      <c r="I380" s="457">
        <f t="shared" si="23"/>
        <v>451.62899999999996</v>
      </c>
      <c r="J380" s="457" t="s">
        <v>9706</v>
      </c>
      <c r="K380" s="458">
        <v>0.4</v>
      </c>
      <c r="L380" s="459">
        <f t="shared" si="20"/>
        <v>252.072</v>
      </c>
      <c r="M380" s="460">
        <v>0.28000000000000003</v>
      </c>
      <c r="N380" s="461">
        <f t="shared" si="21"/>
        <v>325.17287999999996</v>
      </c>
      <c r="O380" s="462">
        <v>0.23</v>
      </c>
      <c r="P380" s="463">
        <f t="shared" si="22"/>
        <v>347.75432999999998</v>
      </c>
      <c r="Q380" s="464"/>
      <c r="R380" s="465">
        <v>1</v>
      </c>
      <c r="S380" s="465">
        <v>1</v>
      </c>
      <c r="T380" s="465">
        <v>1</v>
      </c>
      <c r="U380" s="466"/>
      <c r="W380" s="415"/>
      <c r="X380" s="415"/>
    </row>
    <row r="381" spans="1:24" x14ac:dyDescent="0.2">
      <c r="A381" s="452" t="s">
        <v>10470</v>
      </c>
      <c r="B381" s="453" t="s">
        <v>10471</v>
      </c>
      <c r="C381" s="454" t="s">
        <v>386</v>
      </c>
      <c r="D381" s="455" t="s">
        <v>9783</v>
      </c>
      <c r="E381" s="456" t="s">
        <v>9758</v>
      </c>
      <c r="F381" s="456" t="s">
        <v>10459</v>
      </c>
      <c r="G381" s="456" t="s">
        <v>7070</v>
      </c>
      <c r="H381" s="457">
        <v>420.12</v>
      </c>
      <c r="I381" s="457">
        <f t="shared" si="23"/>
        <v>451.62899999999996</v>
      </c>
      <c r="J381" s="457" t="s">
        <v>9706</v>
      </c>
      <c r="K381" s="458">
        <v>0.4</v>
      </c>
      <c r="L381" s="459">
        <f t="shared" si="20"/>
        <v>252.072</v>
      </c>
      <c r="M381" s="460">
        <v>0.28000000000000003</v>
      </c>
      <c r="N381" s="461">
        <f t="shared" si="21"/>
        <v>325.17287999999996</v>
      </c>
      <c r="O381" s="462">
        <v>0.23</v>
      </c>
      <c r="P381" s="463">
        <f t="shared" si="22"/>
        <v>347.75432999999998</v>
      </c>
      <c r="Q381" s="464"/>
      <c r="R381" s="465">
        <v>20</v>
      </c>
      <c r="S381" s="465">
        <v>20</v>
      </c>
      <c r="T381" s="465">
        <v>20</v>
      </c>
      <c r="U381" s="466"/>
      <c r="W381" s="415"/>
      <c r="X381" s="415"/>
    </row>
    <row r="382" spans="1:24" x14ac:dyDescent="0.2">
      <c r="A382" s="452" t="s">
        <v>10472</v>
      </c>
      <c r="B382" s="453" t="s">
        <v>10473</v>
      </c>
      <c r="C382" s="454" t="s">
        <v>386</v>
      </c>
      <c r="D382" s="455" t="s">
        <v>9783</v>
      </c>
      <c r="E382" s="456" t="s">
        <v>9758</v>
      </c>
      <c r="F382" s="456" t="s">
        <v>10459</v>
      </c>
      <c r="G382" s="456" t="s">
        <v>7070</v>
      </c>
      <c r="H382" s="457">
        <v>420.12</v>
      </c>
      <c r="I382" s="457">
        <f t="shared" si="23"/>
        <v>451.62899999999996</v>
      </c>
      <c r="J382" s="457" t="s">
        <v>9706</v>
      </c>
      <c r="K382" s="458">
        <v>0.4</v>
      </c>
      <c r="L382" s="459">
        <f t="shared" si="20"/>
        <v>252.072</v>
      </c>
      <c r="M382" s="460">
        <v>0.28000000000000003</v>
      </c>
      <c r="N382" s="461">
        <f t="shared" si="21"/>
        <v>325.17287999999996</v>
      </c>
      <c r="O382" s="462">
        <v>0.23</v>
      </c>
      <c r="P382" s="463">
        <f t="shared" si="22"/>
        <v>347.75432999999998</v>
      </c>
      <c r="Q382" s="464"/>
      <c r="R382" s="465">
        <v>1</v>
      </c>
      <c r="S382" s="465">
        <v>1</v>
      </c>
      <c r="T382" s="465">
        <v>1</v>
      </c>
      <c r="U382" s="466"/>
      <c r="W382" s="415"/>
      <c r="X382" s="415"/>
    </row>
    <row r="383" spans="1:24" x14ac:dyDescent="0.2">
      <c r="A383" s="452" t="s">
        <v>10474</v>
      </c>
      <c r="B383" s="453" t="s">
        <v>10475</v>
      </c>
      <c r="C383" s="454" t="s">
        <v>386</v>
      </c>
      <c r="D383" s="455" t="s">
        <v>9783</v>
      </c>
      <c r="E383" s="456" t="s">
        <v>9710</v>
      </c>
      <c r="F383" s="456" t="s">
        <v>10459</v>
      </c>
      <c r="G383" s="456" t="s">
        <v>7070</v>
      </c>
      <c r="H383" s="457">
        <v>420.12</v>
      </c>
      <c r="I383" s="457">
        <f t="shared" si="23"/>
        <v>451.62899999999996</v>
      </c>
      <c r="J383" s="457" t="s">
        <v>9706</v>
      </c>
      <c r="K383" s="458">
        <v>0.4</v>
      </c>
      <c r="L383" s="459">
        <f t="shared" si="20"/>
        <v>252.072</v>
      </c>
      <c r="M383" s="460">
        <v>0.28000000000000003</v>
      </c>
      <c r="N383" s="461">
        <f t="shared" si="21"/>
        <v>325.17287999999996</v>
      </c>
      <c r="O383" s="462">
        <v>0.23</v>
      </c>
      <c r="P383" s="463">
        <f t="shared" si="22"/>
        <v>347.75432999999998</v>
      </c>
      <c r="Q383" s="464"/>
      <c r="R383" s="465">
        <v>1</v>
      </c>
      <c r="S383" s="465">
        <v>1</v>
      </c>
      <c r="T383" s="465">
        <v>30</v>
      </c>
      <c r="U383" s="466"/>
      <c r="W383" s="415"/>
      <c r="X383" s="415"/>
    </row>
    <row r="384" spans="1:24" x14ac:dyDescent="0.2">
      <c r="A384" s="452" t="s">
        <v>10476</v>
      </c>
      <c r="B384" s="453" t="s">
        <v>10477</v>
      </c>
      <c r="C384" s="454" t="s">
        <v>386</v>
      </c>
      <c r="D384" s="455" t="s">
        <v>9783</v>
      </c>
      <c r="E384" s="456" t="s">
        <v>9710</v>
      </c>
      <c r="F384" s="456" t="s">
        <v>10459</v>
      </c>
      <c r="G384" s="456" t="s">
        <v>7070</v>
      </c>
      <c r="H384" s="457">
        <v>420.12</v>
      </c>
      <c r="I384" s="457">
        <f t="shared" si="23"/>
        <v>451.62899999999996</v>
      </c>
      <c r="J384" s="457" t="s">
        <v>9706</v>
      </c>
      <c r="K384" s="458">
        <v>0.4</v>
      </c>
      <c r="L384" s="459">
        <f t="shared" si="20"/>
        <v>252.072</v>
      </c>
      <c r="M384" s="460">
        <v>0.28000000000000003</v>
      </c>
      <c r="N384" s="461">
        <f t="shared" si="21"/>
        <v>325.17287999999996</v>
      </c>
      <c r="O384" s="462">
        <v>0.23</v>
      </c>
      <c r="P384" s="463">
        <f t="shared" si="22"/>
        <v>347.75432999999998</v>
      </c>
      <c r="Q384" s="464"/>
      <c r="R384" s="465">
        <v>1</v>
      </c>
      <c r="S384" s="465">
        <v>1</v>
      </c>
      <c r="T384" s="465">
        <v>1</v>
      </c>
      <c r="U384" s="466"/>
      <c r="W384" s="415"/>
      <c r="X384" s="415"/>
    </row>
    <row r="385" spans="1:24" x14ac:dyDescent="0.2">
      <c r="A385" s="452" t="s">
        <v>10478</v>
      </c>
      <c r="B385" s="453" t="s">
        <v>10479</v>
      </c>
      <c r="C385" s="454" t="s">
        <v>386</v>
      </c>
      <c r="D385" s="455" t="s">
        <v>9783</v>
      </c>
      <c r="E385" s="456" t="s">
        <v>9710</v>
      </c>
      <c r="F385" s="456" t="s">
        <v>10459</v>
      </c>
      <c r="G385" s="456" t="s">
        <v>7070</v>
      </c>
      <c r="H385" s="457">
        <v>420.12</v>
      </c>
      <c r="I385" s="457">
        <f t="shared" si="23"/>
        <v>451.62899999999996</v>
      </c>
      <c r="J385" s="457" t="s">
        <v>9706</v>
      </c>
      <c r="K385" s="458">
        <v>0.4</v>
      </c>
      <c r="L385" s="459">
        <f t="shared" si="20"/>
        <v>252.072</v>
      </c>
      <c r="M385" s="460">
        <v>0.28000000000000003</v>
      </c>
      <c r="N385" s="461">
        <f t="shared" si="21"/>
        <v>325.17287999999996</v>
      </c>
      <c r="O385" s="462">
        <v>0.23</v>
      </c>
      <c r="P385" s="463">
        <f t="shared" si="22"/>
        <v>347.75432999999998</v>
      </c>
      <c r="Q385" s="464"/>
      <c r="R385" s="465">
        <v>1</v>
      </c>
      <c r="S385" s="465">
        <v>1</v>
      </c>
      <c r="T385" s="465">
        <v>8</v>
      </c>
      <c r="U385" s="466"/>
      <c r="W385" s="415"/>
      <c r="X385" s="415"/>
    </row>
    <row r="386" spans="1:24" x14ac:dyDescent="0.2">
      <c r="A386" s="452" t="s">
        <v>10480</v>
      </c>
      <c r="B386" s="453" t="s">
        <v>10481</v>
      </c>
      <c r="C386" s="454" t="s">
        <v>386</v>
      </c>
      <c r="D386" s="455" t="s">
        <v>9783</v>
      </c>
      <c r="E386" s="456" t="s">
        <v>9710</v>
      </c>
      <c r="F386" s="456" t="s">
        <v>10459</v>
      </c>
      <c r="G386" s="456" t="s">
        <v>7070</v>
      </c>
      <c r="H386" s="457">
        <v>420.12</v>
      </c>
      <c r="I386" s="457">
        <f t="shared" si="23"/>
        <v>451.62899999999996</v>
      </c>
      <c r="J386" s="457" t="s">
        <v>9706</v>
      </c>
      <c r="K386" s="458">
        <v>0.4</v>
      </c>
      <c r="L386" s="459">
        <f t="shared" si="20"/>
        <v>252.072</v>
      </c>
      <c r="M386" s="460">
        <v>0.28000000000000003</v>
      </c>
      <c r="N386" s="461">
        <f t="shared" si="21"/>
        <v>325.17287999999996</v>
      </c>
      <c r="O386" s="462">
        <v>0.23</v>
      </c>
      <c r="P386" s="463">
        <f t="shared" si="22"/>
        <v>347.75432999999998</v>
      </c>
      <c r="Q386" s="464"/>
      <c r="R386" s="465">
        <v>1</v>
      </c>
      <c r="S386" s="465">
        <v>1</v>
      </c>
      <c r="T386" s="465">
        <v>10</v>
      </c>
      <c r="U386" s="466"/>
      <c r="W386" s="415"/>
      <c r="X386" s="415"/>
    </row>
    <row r="387" spans="1:24" x14ac:dyDescent="0.2">
      <c r="A387" s="452" t="s">
        <v>10482</v>
      </c>
      <c r="B387" s="453" t="s">
        <v>10483</v>
      </c>
      <c r="C387" s="454" t="s">
        <v>386</v>
      </c>
      <c r="D387" s="455" t="s">
        <v>9783</v>
      </c>
      <c r="E387" s="456" t="s">
        <v>9710</v>
      </c>
      <c r="F387" s="456" t="s">
        <v>10459</v>
      </c>
      <c r="G387" s="456" t="s">
        <v>7070</v>
      </c>
      <c r="H387" s="457">
        <v>420.12</v>
      </c>
      <c r="I387" s="457">
        <f t="shared" si="23"/>
        <v>451.62899999999996</v>
      </c>
      <c r="J387" s="457" t="s">
        <v>9706</v>
      </c>
      <c r="K387" s="458">
        <v>0.4</v>
      </c>
      <c r="L387" s="459">
        <f t="shared" si="20"/>
        <v>252.072</v>
      </c>
      <c r="M387" s="460">
        <v>0.28000000000000003</v>
      </c>
      <c r="N387" s="461">
        <f t="shared" si="21"/>
        <v>325.17287999999996</v>
      </c>
      <c r="O387" s="462">
        <v>0.23</v>
      </c>
      <c r="P387" s="463">
        <f t="shared" si="22"/>
        <v>347.75432999999998</v>
      </c>
      <c r="Q387" s="464"/>
      <c r="R387" s="465">
        <v>50</v>
      </c>
      <c r="S387" s="465">
        <v>50</v>
      </c>
      <c r="T387" s="465">
        <v>50</v>
      </c>
      <c r="U387" s="466"/>
      <c r="W387" s="415"/>
      <c r="X387" s="415"/>
    </row>
    <row r="388" spans="1:24" ht="15" customHeight="1" x14ac:dyDescent="0.2">
      <c r="A388" s="452" t="s">
        <v>10484</v>
      </c>
      <c r="B388" s="453" t="s">
        <v>10485</v>
      </c>
      <c r="C388" s="454" t="s">
        <v>386</v>
      </c>
      <c r="D388" s="455" t="s">
        <v>9783</v>
      </c>
      <c r="E388" s="456" t="s">
        <v>9710</v>
      </c>
      <c r="F388" s="456" t="s">
        <v>10459</v>
      </c>
      <c r="G388" s="456" t="s">
        <v>7070</v>
      </c>
      <c r="H388" s="457">
        <v>420.12</v>
      </c>
      <c r="I388" s="457">
        <f t="shared" si="23"/>
        <v>451.62899999999996</v>
      </c>
      <c r="J388" s="457" t="s">
        <v>9706</v>
      </c>
      <c r="K388" s="458">
        <v>0.4</v>
      </c>
      <c r="L388" s="459">
        <f t="shared" si="20"/>
        <v>252.072</v>
      </c>
      <c r="M388" s="460">
        <v>0.28000000000000003</v>
      </c>
      <c r="N388" s="461">
        <f t="shared" si="21"/>
        <v>325.17287999999996</v>
      </c>
      <c r="O388" s="462">
        <v>0.23</v>
      </c>
      <c r="P388" s="463">
        <f t="shared" si="22"/>
        <v>347.75432999999998</v>
      </c>
      <c r="Q388" s="464"/>
      <c r="R388" s="465">
        <v>10</v>
      </c>
      <c r="S388" s="465">
        <v>10</v>
      </c>
      <c r="T388" s="465">
        <v>10</v>
      </c>
      <c r="U388" s="466"/>
      <c r="W388" s="415"/>
      <c r="X388" s="415"/>
    </row>
    <row r="389" spans="1:24" ht="15" customHeight="1" x14ac:dyDescent="0.2">
      <c r="A389" s="452" t="s">
        <v>10486</v>
      </c>
      <c r="B389" s="453" t="s">
        <v>10487</v>
      </c>
      <c r="C389" s="454" t="s">
        <v>386</v>
      </c>
      <c r="D389" s="455" t="s">
        <v>9783</v>
      </c>
      <c r="E389" s="456" t="s">
        <v>9710</v>
      </c>
      <c r="F389" s="456" t="s">
        <v>10459</v>
      </c>
      <c r="G389" s="456" t="s">
        <v>7070</v>
      </c>
      <c r="H389" s="457">
        <v>420.12</v>
      </c>
      <c r="I389" s="457">
        <f t="shared" si="23"/>
        <v>451.62899999999996</v>
      </c>
      <c r="J389" s="457" t="s">
        <v>9706</v>
      </c>
      <c r="K389" s="458">
        <v>0.4</v>
      </c>
      <c r="L389" s="459">
        <f t="shared" ref="L389:L452" si="24">H389*(1-K389)</f>
        <v>252.072</v>
      </c>
      <c r="M389" s="460">
        <v>0.28000000000000003</v>
      </c>
      <c r="N389" s="461">
        <f t="shared" ref="N389:N452" si="25">I389*(1-M389)</f>
        <v>325.17287999999996</v>
      </c>
      <c r="O389" s="462">
        <v>0.23</v>
      </c>
      <c r="P389" s="463">
        <f t="shared" ref="P389:P452" si="26">I389*(1-O389)</f>
        <v>347.75432999999998</v>
      </c>
      <c r="Q389" s="464"/>
      <c r="R389" s="465">
        <v>10</v>
      </c>
      <c r="S389" s="465">
        <v>10</v>
      </c>
      <c r="T389" s="465">
        <v>10</v>
      </c>
      <c r="U389" s="466"/>
      <c r="W389" s="415"/>
      <c r="X389" s="415"/>
    </row>
    <row r="390" spans="1:24" x14ac:dyDescent="0.2">
      <c r="A390" s="452" t="s">
        <v>10488</v>
      </c>
      <c r="B390" s="453" t="s">
        <v>10489</v>
      </c>
      <c r="C390" s="454" t="s">
        <v>386</v>
      </c>
      <c r="D390" s="455" t="s">
        <v>9783</v>
      </c>
      <c r="E390" s="456" t="s">
        <v>9710</v>
      </c>
      <c r="F390" s="456" t="s">
        <v>10459</v>
      </c>
      <c r="G390" s="456" t="s">
        <v>7070</v>
      </c>
      <c r="H390" s="457">
        <v>420.12</v>
      </c>
      <c r="I390" s="457">
        <f t="shared" si="23"/>
        <v>451.62899999999996</v>
      </c>
      <c r="J390" s="457" t="s">
        <v>9706</v>
      </c>
      <c r="K390" s="458">
        <v>0.4</v>
      </c>
      <c r="L390" s="459">
        <f t="shared" si="24"/>
        <v>252.072</v>
      </c>
      <c r="M390" s="460">
        <v>0.28000000000000003</v>
      </c>
      <c r="N390" s="461">
        <f t="shared" si="25"/>
        <v>325.17287999999996</v>
      </c>
      <c r="O390" s="462">
        <v>0.23</v>
      </c>
      <c r="P390" s="463">
        <f t="shared" si="26"/>
        <v>347.75432999999998</v>
      </c>
      <c r="Q390" s="464"/>
      <c r="R390" s="465">
        <v>50</v>
      </c>
      <c r="S390" s="465">
        <v>50</v>
      </c>
      <c r="T390" s="465">
        <v>50</v>
      </c>
      <c r="U390" s="466"/>
      <c r="W390" s="415"/>
      <c r="X390" s="415"/>
    </row>
    <row r="391" spans="1:24" x14ac:dyDescent="0.2">
      <c r="A391" s="452" t="s">
        <v>10490</v>
      </c>
      <c r="B391" s="453" t="s">
        <v>10491</v>
      </c>
      <c r="C391" s="454" t="s">
        <v>386</v>
      </c>
      <c r="D391" s="455" t="s">
        <v>9783</v>
      </c>
      <c r="E391" s="456" t="s">
        <v>9710</v>
      </c>
      <c r="F391" s="456" t="s">
        <v>10459</v>
      </c>
      <c r="G391" s="456" t="s">
        <v>7070</v>
      </c>
      <c r="H391" s="457">
        <v>420.12</v>
      </c>
      <c r="I391" s="457">
        <f t="shared" si="23"/>
        <v>451.62899999999996</v>
      </c>
      <c r="J391" s="457" t="s">
        <v>9706</v>
      </c>
      <c r="K391" s="458">
        <v>0.4</v>
      </c>
      <c r="L391" s="459">
        <f t="shared" si="24"/>
        <v>252.072</v>
      </c>
      <c r="M391" s="460">
        <v>0.28000000000000003</v>
      </c>
      <c r="N391" s="461">
        <f t="shared" si="25"/>
        <v>325.17287999999996</v>
      </c>
      <c r="O391" s="462">
        <v>0.23</v>
      </c>
      <c r="P391" s="463">
        <f t="shared" si="26"/>
        <v>347.75432999999998</v>
      </c>
      <c r="Q391" s="464"/>
      <c r="R391" s="465">
        <v>10</v>
      </c>
      <c r="S391" s="465">
        <v>10</v>
      </c>
      <c r="T391" s="465">
        <v>10</v>
      </c>
      <c r="U391" s="466"/>
      <c r="W391" s="415"/>
      <c r="X391" s="415"/>
    </row>
    <row r="392" spans="1:24" x14ac:dyDescent="0.2">
      <c r="A392" s="452" t="s">
        <v>10492</v>
      </c>
      <c r="B392" s="453" t="s">
        <v>10493</v>
      </c>
      <c r="C392" s="454" t="s">
        <v>386</v>
      </c>
      <c r="D392" s="455" t="s">
        <v>9783</v>
      </c>
      <c r="E392" s="456" t="s">
        <v>9710</v>
      </c>
      <c r="F392" s="456" t="s">
        <v>10459</v>
      </c>
      <c r="G392" s="456" t="s">
        <v>7070</v>
      </c>
      <c r="H392" s="457">
        <v>420.12</v>
      </c>
      <c r="I392" s="457">
        <f t="shared" si="23"/>
        <v>451.62899999999996</v>
      </c>
      <c r="J392" s="457" t="s">
        <v>9706</v>
      </c>
      <c r="K392" s="458">
        <v>0.4</v>
      </c>
      <c r="L392" s="459">
        <f t="shared" si="24"/>
        <v>252.072</v>
      </c>
      <c r="M392" s="460">
        <v>0.28000000000000003</v>
      </c>
      <c r="N392" s="461">
        <f t="shared" si="25"/>
        <v>325.17287999999996</v>
      </c>
      <c r="O392" s="462">
        <v>0.23</v>
      </c>
      <c r="P392" s="463">
        <f t="shared" si="26"/>
        <v>347.75432999999998</v>
      </c>
      <c r="Q392" s="464"/>
      <c r="R392" s="465">
        <v>10</v>
      </c>
      <c r="S392" s="465">
        <v>10</v>
      </c>
      <c r="T392" s="465">
        <v>10</v>
      </c>
      <c r="U392" s="466"/>
      <c r="W392" s="415"/>
      <c r="X392" s="415"/>
    </row>
    <row r="393" spans="1:24" x14ac:dyDescent="0.2">
      <c r="A393" s="452" t="s">
        <v>10494</v>
      </c>
      <c r="B393" s="453" t="s">
        <v>10495</v>
      </c>
      <c r="C393" s="454" t="s">
        <v>386</v>
      </c>
      <c r="D393" s="455" t="s">
        <v>9783</v>
      </c>
      <c r="E393" s="456" t="s">
        <v>9710</v>
      </c>
      <c r="F393" s="456" t="s">
        <v>10459</v>
      </c>
      <c r="G393" s="456" t="s">
        <v>7070</v>
      </c>
      <c r="H393" s="457">
        <v>420.12</v>
      </c>
      <c r="I393" s="457">
        <f t="shared" si="23"/>
        <v>451.62899999999996</v>
      </c>
      <c r="J393" s="457" t="s">
        <v>9706</v>
      </c>
      <c r="K393" s="458">
        <v>0.4</v>
      </c>
      <c r="L393" s="459">
        <f t="shared" si="24"/>
        <v>252.072</v>
      </c>
      <c r="M393" s="460">
        <v>0.28000000000000003</v>
      </c>
      <c r="N393" s="461">
        <f t="shared" si="25"/>
        <v>325.17287999999996</v>
      </c>
      <c r="O393" s="462">
        <v>0.23</v>
      </c>
      <c r="P393" s="463">
        <f t="shared" si="26"/>
        <v>347.75432999999998</v>
      </c>
      <c r="Q393" s="464"/>
      <c r="R393" s="465">
        <v>10</v>
      </c>
      <c r="S393" s="465">
        <v>10</v>
      </c>
      <c r="T393" s="465">
        <v>10</v>
      </c>
      <c r="U393" s="466"/>
      <c r="W393" s="415"/>
      <c r="X393" s="415"/>
    </row>
    <row r="394" spans="1:24" x14ac:dyDescent="0.2">
      <c r="A394" s="452" t="s">
        <v>10496</v>
      </c>
      <c r="B394" s="453" t="s">
        <v>10497</v>
      </c>
      <c r="C394" s="454" t="s">
        <v>386</v>
      </c>
      <c r="D394" s="455" t="s">
        <v>9783</v>
      </c>
      <c r="E394" s="456" t="s">
        <v>9716</v>
      </c>
      <c r="F394" s="456" t="s">
        <v>10459</v>
      </c>
      <c r="G394" s="456" t="s">
        <v>7070</v>
      </c>
      <c r="H394" s="457">
        <v>636.12</v>
      </c>
      <c r="I394" s="457">
        <f t="shared" si="23"/>
        <v>683.82899999999995</v>
      </c>
      <c r="J394" s="457" t="s">
        <v>9706</v>
      </c>
      <c r="K394" s="458">
        <v>0.4</v>
      </c>
      <c r="L394" s="459">
        <f t="shared" si="24"/>
        <v>381.67199999999997</v>
      </c>
      <c r="M394" s="460">
        <v>0.28000000000000003</v>
      </c>
      <c r="N394" s="461">
        <f t="shared" si="25"/>
        <v>492.35687999999993</v>
      </c>
      <c r="O394" s="462">
        <v>0.23</v>
      </c>
      <c r="P394" s="463">
        <f t="shared" si="26"/>
        <v>526.54832999999996</v>
      </c>
      <c r="Q394" s="464"/>
      <c r="R394" s="465">
        <v>10</v>
      </c>
      <c r="S394" s="465">
        <v>10</v>
      </c>
      <c r="T394" s="465">
        <v>10</v>
      </c>
      <c r="U394" s="466"/>
      <c r="W394" s="415"/>
      <c r="X394" s="415"/>
    </row>
    <row r="395" spans="1:24" x14ac:dyDescent="0.2">
      <c r="A395" s="452" t="s">
        <v>10498</v>
      </c>
      <c r="B395" s="453" t="s">
        <v>10499</v>
      </c>
      <c r="C395" s="454" t="s">
        <v>386</v>
      </c>
      <c r="D395" s="455" t="s">
        <v>9783</v>
      </c>
      <c r="E395" s="456" t="s">
        <v>9758</v>
      </c>
      <c r="F395" s="456" t="s">
        <v>10459</v>
      </c>
      <c r="G395" s="456" t="s">
        <v>7070</v>
      </c>
      <c r="H395" s="457">
        <v>636.12</v>
      </c>
      <c r="I395" s="457">
        <f t="shared" si="23"/>
        <v>683.82899999999995</v>
      </c>
      <c r="J395" s="457" t="s">
        <v>9706</v>
      </c>
      <c r="K395" s="458">
        <v>0.4</v>
      </c>
      <c r="L395" s="459">
        <f t="shared" si="24"/>
        <v>381.67199999999997</v>
      </c>
      <c r="M395" s="460">
        <v>0.28000000000000003</v>
      </c>
      <c r="N395" s="461">
        <f t="shared" si="25"/>
        <v>492.35687999999993</v>
      </c>
      <c r="O395" s="462">
        <v>0.23</v>
      </c>
      <c r="P395" s="463">
        <f t="shared" si="26"/>
        <v>526.54832999999996</v>
      </c>
      <c r="Q395" s="464"/>
      <c r="R395" s="465"/>
      <c r="S395" s="465"/>
      <c r="T395" s="465"/>
      <c r="U395" s="466"/>
      <c r="W395" s="415"/>
      <c r="X395" s="415"/>
    </row>
    <row r="396" spans="1:24" x14ac:dyDescent="0.2">
      <c r="A396" s="452" t="s">
        <v>10500</v>
      </c>
      <c r="B396" s="453" t="s">
        <v>10501</v>
      </c>
      <c r="C396" s="454" t="s">
        <v>386</v>
      </c>
      <c r="D396" s="455" t="s">
        <v>9783</v>
      </c>
      <c r="E396" s="456" t="s">
        <v>9758</v>
      </c>
      <c r="F396" s="456" t="s">
        <v>10459</v>
      </c>
      <c r="G396" s="456" t="s">
        <v>7070</v>
      </c>
      <c r="H396" s="457">
        <v>636.12</v>
      </c>
      <c r="I396" s="457">
        <f t="shared" si="23"/>
        <v>683.82899999999995</v>
      </c>
      <c r="J396" s="457" t="s">
        <v>9706</v>
      </c>
      <c r="K396" s="458">
        <v>0.4</v>
      </c>
      <c r="L396" s="459">
        <f t="shared" si="24"/>
        <v>381.67199999999997</v>
      </c>
      <c r="M396" s="460">
        <v>0.28000000000000003</v>
      </c>
      <c r="N396" s="461">
        <f t="shared" si="25"/>
        <v>492.35687999999993</v>
      </c>
      <c r="O396" s="462">
        <v>0.23</v>
      </c>
      <c r="P396" s="463">
        <f t="shared" si="26"/>
        <v>526.54832999999996</v>
      </c>
      <c r="Q396" s="464"/>
      <c r="R396" s="465"/>
      <c r="S396" s="465"/>
      <c r="T396" s="465"/>
      <c r="U396" s="466"/>
      <c r="W396" s="415"/>
      <c r="X396" s="415"/>
    </row>
    <row r="397" spans="1:24" x14ac:dyDescent="0.2">
      <c r="A397" s="452" t="s">
        <v>10502</v>
      </c>
      <c r="B397" s="453" t="s">
        <v>10503</v>
      </c>
      <c r="C397" s="454" t="s">
        <v>386</v>
      </c>
      <c r="D397" s="455" t="s">
        <v>9783</v>
      </c>
      <c r="E397" s="456" t="s">
        <v>9710</v>
      </c>
      <c r="F397" s="456" t="s">
        <v>10459</v>
      </c>
      <c r="G397" s="456" t="s">
        <v>7070</v>
      </c>
      <c r="H397" s="457">
        <v>636.12</v>
      </c>
      <c r="I397" s="457">
        <f t="shared" si="23"/>
        <v>683.82899999999995</v>
      </c>
      <c r="J397" s="457" t="s">
        <v>9706</v>
      </c>
      <c r="K397" s="458">
        <v>0.4</v>
      </c>
      <c r="L397" s="459">
        <f t="shared" si="24"/>
        <v>381.67199999999997</v>
      </c>
      <c r="M397" s="460">
        <v>0.28000000000000003</v>
      </c>
      <c r="N397" s="461">
        <f t="shared" si="25"/>
        <v>492.35687999999993</v>
      </c>
      <c r="O397" s="462">
        <v>0.23</v>
      </c>
      <c r="P397" s="463">
        <f t="shared" si="26"/>
        <v>526.54832999999996</v>
      </c>
      <c r="Q397" s="464"/>
      <c r="R397" s="465">
        <v>1</v>
      </c>
      <c r="S397" s="465" t="s">
        <v>10504</v>
      </c>
      <c r="T397" s="465" t="s">
        <v>10504</v>
      </c>
      <c r="U397" s="466"/>
      <c r="W397" s="415"/>
      <c r="X397" s="415"/>
    </row>
    <row r="398" spans="1:24" x14ac:dyDescent="0.2">
      <c r="A398" s="452" t="s">
        <v>10505</v>
      </c>
      <c r="B398" s="453" t="s">
        <v>10506</v>
      </c>
      <c r="C398" s="454" t="s">
        <v>386</v>
      </c>
      <c r="D398" s="455" t="s">
        <v>9783</v>
      </c>
      <c r="E398" s="456" t="s">
        <v>9710</v>
      </c>
      <c r="F398" s="456" t="s">
        <v>10459</v>
      </c>
      <c r="G398" s="456" t="s">
        <v>7070</v>
      </c>
      <c r="H398" s="457">
        <v>636.12</v>
      </c>
      <c r="I398" s="457">
        <f t="shared" si="23"/>
        <v>683.82899999999995</v>
      </c>
      <c r="J398" s="457" t="s">
        <v>9706</v>
      </c>
      <c r="K398" s="458">
        <v>0.4</v>
      </c>
      <c r="L398" s="459">
        <f t="shared" si="24"/>
        <v>381.67199999999997</v>
      </c>
      <c r="M398" s="460">
        <v>0.28000000000000003</v>
      </c>
      <c r="N398" s="461">
        <f t="shared" si="25"/>
        <v>492.35687999999993</v>
      </c>
      <c r="O398" s="462">
        <v>0.23</v>
      </c>
      <c r="P398" s="463">
        <f t="shared" si="26"/>
        <v>526.54832999999996</v>
      </c>
      <c r="Q398" s="464"/>
      <c r="R398" s="465">
        <v>20</v>
      </c>
      <c r="S398" s="465">
        <v>20</v>
      </c>
      <c r="T398" s="465">
        <v>20</v>
      </c>
      <c r="U398" s="466"/>
      <c r="W398" s="415"/>
      <c r="X398" s="415"/>
    </row>
    <row r="399" spans="1:24" x14ac:dyDescent="0.2">
      <c r="A399" s="452" t="s">
        <v>10507</v>
      </c>
      <c r="B399" s="453" t="s">
        <v>10508</v>
      </c>
      <c r="C399" s="454" t="s">
        <v>386</v>
      </c>
      <c r="D399" s="455" t="s">
        <v>9783</v>
      </c>
      <c r="E399" s="456" t="s">
        <v>9710</v>
      </c>
      <c r="F399" s="456" t="s">
        <v>10459</v>
      </c>
      <c r="G399" s="456" t="s">
        <v>7070</v>
      </c>
      <c r="H399" s="457">
        <v>636.12</v>
      </c>
      <c r="I399" s="457">
        <f t="shared" si="23"/>
        <v>683.82899999999995</v>
      </c>
      <c r="J399" s="457" t="s">
        <v>9706</v>
      </c>
      <c r="K399" s="458">
        <v>0.4</v>
      </c>
      <c r="L399" s="459">
        <f t="shared" si="24"/>
        <v>381.67199999999997</v>
      </c>
      <c r="M399" s="460">
        <v>0.28000000000000003</v>
      </c>
      <c r="N399" s="461">
        <f t="shared" si="25"/>
        <v>492.35687999999993</v>
      </c>
      <c r="O399" s="462">
        <v>0.23</v>
      </c>
      <c r="P399" s="463">
        <f t="shared" si="26"/>
        <v>526.54832999999996</v>
      </c>
      <c r="Q399" s="464"/>
      <c r="R399" s="465">
        <v>8</v>
      </c>
      <c r="S399" s="465">
        <v>8</v>
      </c>
      <c r="T399" s="465">
        <v>8</v>
      </c>
      <c r="U399" s="466"/>
      <c r="W399" s="415"/>
      <c r="X399" s="415"/>
    </row>
    <row r="400" spans="1:24" x14ac:dyDescent="0.2">
      <c r="A400" s="452" t="s">
        <v>10509</v>
      </c>
      <c r="B400" s="453" t="s">
        <v>10510</v>
      </c>
      <c r="C400" s="454" t="s">
        <v>386</v>
      </c>
      <c r="D400" s="455" t="s">
        <v>9783</v>
      </c>
      <c r="E400" s="456" t="s">
        <v>9710</v>
      </c>
      <c r="F400" s="456" t="s">
        <v>10459</v>
      </c>
      <c r="G400" s="456" t="s">
        <v>7070</v>
      </c>
      <c r="H400" s="457">
        <v>636.12</v>
      </c>
      <c r="I400" s="457">
        <f t="shared" si="23"/>
        <v>683.82899999999995</v>
      </c>
      <c r="J400" s="457" t="s">
        <v>9706</v>
      </c>
      <c r="K400" s="458">
        <v>0.4</v>
      </c>
      <c r="L400" s="459">
        <f t="shared" si="24"/>
        <v>381.67199999999997</v>
      </c>
      <c r="M400" s="460">
        <v>0.28000000000000003</v>
      </c>
      <c r="N400" s="461">
        <f t="shared" si="25"/>
        <v>492.35687999999993</v>
      </c>
      <c r="O400" s="462">
        <v>0.23</v>
      </c>
      <c r="P400" s="463">
        <f t="shared" si="26"/>
        <v>526.54832999999996</v>
      </c>
      <c r="Q400" s="464"/>
      <c r="R400" s="465">
        <v>20</v>
      </c>
      <c r="S400" s="465">
        <v>20</v>
      </c>
      <c r="T400" s="465">
        <v>20</v>
      </c>
      <c r="U400" s="466"/>
      <c r="W400" s="415"/>
      <c r="X400" s="415"/>
    </row>
    <row r="401" spans="1:24" x14ac:dyDescent="0.2">
      <c r="A401" s="452" t="s">
        <v>10511</v>
      </c>
      <c r="B401" s="453" t="s">
        <v>10512</v>
      </c>
      <c r="C401" s="454" t="s">
        <v>386</v>
      </c>
      <c r="D401" s="455" t="s">
        <v>9783</v>
      </c>
      <c r="E401" s="456" t="s">
        <v>9710</v>
      </c>
      <c r="F401" s="456" t="s">
        <v>10459</v>
      </c>
      <c r="G401" s="456" t="s">
        <v>7070</v>
      </c>
      <c r="H401" s="457">
        <v>636.12</v>
      </c>
      <c r="I401" s="457">
        <f t="shared" si="23"/>
        <v>683.82899999999995</v>
      </c>
      <c r="J401" s="457" t="s">
        <v>9706</v>
      </c>
      <c r="K401" s="458">
        <v>0.4</v>
      </c>
      <c r="L401" s="459">
        <f t="shared" si="24"/>
        <v>381.67199999999997</v>
      </c>
      <c r="M401" s="460">
        <v>0.28000000000000003</v>
      </c>
      <c r="N401" s="461">
        <f t="shared" si="25"/>
        <v>492.35687999999993</v>
      </c>
      <c r="O401" s="462">
        <v>0.23</v>
      </c>
      <c r="P401" s="463">
        <f t="shared" si="26"/>
        <v>526.54832999999996</v>
      </c>
      <c r="Q401" s="464"/>
      <c r="R401" s="465">
        <v>8</v>
      </c>
      <c r="S401" s="465">
        <v>8</v>
      </c>
      <c r="T401" s="465">
        <v>8</v>
      </c>
      <c r="U401" s="466"/>
      <c r="W401" s="415"/>
      <c r="X401" s="415"/>
    </row>
    <row r="402" spans="1:24" x14ac:dyDescent="0.2">
      <c r="A402" s="452" t="s">
        <v>10513</v>
      </c>
      <c r="B402" s="453" t="s">
        <v>10514</v>
      </c>
      <c r="C402" s="454" t="s">
        <v>386</v>
      </c>
      <c r="D402" s="455" t="s">
        <v>9783</v>
      </c>
      <c r="E402" s="456" t="s">
        <v>9710</v>
      </c>
      <c r="F402" s="456" t="s">
        <v>10459</v>
      </c>
      <c r="G402" s="456" t="s">
        <v>7070</v>
      </c>
      <c r="H402" s="457">
        <v>636.12</v>
      </c>
      <c r="I402" s="457">
        <f t="shared" si="23"/>
        <v>683.82899999999995</v>
      </c>
      <c r="J402" s="457" t="s">
        <v>9706</v>
      </c>
      <c r="K402" s="458">
        <v>0.4</v>
      </c>
      <c r="L402" s="459">
        <f t="shared" si="24"/>
        <v>381.67199999999997</v>
      </c>
      <c r="M402" s="460">
        <v>0.28000000000000003</v>
      </c>
      <c r="N402" s="461">
        <f t="shared" si="25"/>
        <v>492.35687999999993</v>
      </c>
      <c r="O402" s="462">
        <v>0.23</v>
      </c>
      <c r="P402" s="463">
        <f t="shared" si="26"/>
        <v>526.54832999999996</v>
      </c>
      <c r="Q402" s="464"/>
      <c r="R402" s="465"/>
      <c r="S402" s="465"/>
      <c r="T402" s="465"/>
      <c r="U402" s="466"/>
      <c r="W402" s="415"/>
      <c r="X402" s="415"/>
    </row>
    <row r="403" spans="1:24" x14ac:dyDescent="0.2">
      <c r="A403" s="452" t="s">
        <v>10515</v>
      </c>
      <c r="B403" s="453" t="s">
        <v>10516</v>
      </c>
      <c r="C403" s="454" t="s">
        <v>386</v>
      </c>
      <c r="D403" s="455" t="s">
        <v>9783</v>
      </c>
      <c r="E403" s="456" t="s">
        <v>9710</v>
      </c>
      <c r="F403" s="456" t="s">
        <v>10459</v>
      </c>
      <c r="G403" s="456" t="s">
        <v>7070</v>
      </c>
      <c r="H403" s="457">
        <v>636.12</v>
      </c>
      <c r="I403" s="457">
        <f t="shared" si="23"/>
        <v>683.82899999999995</v>
      </c>
      <c r="J403" s="457" t="s">
        <v>9706</v>
      </c>
      <c r="K403" s="458">
        <v>0.4</v>
      </c>
      <c r="L403" s="459">
        <f t="shared" si="24"/>
        <v>381.67199999999997</v>
      </c>
      <c r="M403" s="460">
        <v>0.28000000000000003</v>
      </c>
      <c r="N403" s="461">
        <f t="shared" si="25"/>
        <v>492.35687999999993</v>
      </c>
      <c r="O403" s="462">
        <v>0.23</v>
      </c>
      <c r="P403" s="463">
        <f t="shared" si="26"/>
        <v>526.54832999999996</v>
      </c>
      <c r="Q403" s="464"/>
      <c r="R403" s="465"/>
      <c r="S403" s="465"/>
      <c r="T403" s="465"/>
      <c r="U403" s="466"/>
      <c r="W403" s="415"/>
      <c r="X403" s="415"/>
    </row>
    <row r="404" spans="1:24" x14ac:dyDescent="0.2">
      <c r="A404" s="452" t="s">
        <v>10517</v>
      </c>
      <c r="B404" s="453" t="s">
        <v>10518</v>
      </c>
      <c r="C404" s="454" t="s">
        <v>386</v>
      </c>
      <c r="D404" s="455" t="s">
        <v>9783</v>
      </c>
      <c r="E404" s="456" t="s">
        <v>9710</v>
      </c>
      <c r="F404" s="456" t="s">
        <v>10459</v>
      </c>
      <c r="G404" s="456" t="s">
        <v>7070</v>
      </c>
      <c r="H404" s="457">
        <v>636.12</v>
      </c>
      <c r="I404" s="457">
        <f t="shared" si="23"/>
        <v>683.82899999999995</v>
      </c>
      <c r="J404" s="457" t="s">
        <v>9706</v>
      </c>
      <c r="K404" s="458">
        <v>0.4</v>
      </c>
      <c r="L404" s="459">
        <f t="shared" si="24"/>
        <v>381.67199999999997</v>
      </c>
      <c r="M404" s="460">
        <v>0.28000000000000003</v>
      </c>
      <c r="N404" s="461">
        <f t="shared" si="25"/>
        <v>492.35687999999993</v>
      </c>
      <c r="O404" s="462">
        <v>0.23</v>
      </c>
      <c r="P404" s="463">
        <f t="shared" si="26"/>
        <v>526.54832999999996</v>
      </c>
      <c r="Q404" s="464"/>
      <c r="R404" s="465">
        <v>8</v>
      </c>
      <c r="S404" s="465">
        <v>8</v>
      </c>
      <c r="T404" s="465">
        <v>8</v>
      </c>
      <c r="U404" s="466"/>
      <c r="W404" s="415"/>
      <c r="X404" s="415"/>
    </row>
    <row r="405" spans="1:24" x14ac:dyDescent="0.2">
      <c r="A405" s="452" t="s">
        <v>10519</v>
      </c>
      <c r="B405" s="453" t="s">
        <v>10520</v>
      </c>
      <c r="C405" s="454" t="s">
        <v>386</v>
      </c>
      <c r="D405" s="455" t="s">
        <v>9783</v>
      </c>
      <c r="E405" s="456" t="s">
        <v>9710</v>
      </c>
      <c r="F405" s="456" t="s">
        <v>10459</v>
      </c>
      <c r="G405" s="456" t="s">
        <v>7070</v>
      </c>
      <c r="H405" s="457">
        <v>636.12</v>
      </c>
      <c r="I405" s="457">
        <f t="shared" ref="I405:I468" si="27">H405*(1+0.075)</f>
        <v>683.82899999999995</v>
      </c>
      <c r="J405" s="457" t="s">
        <v>9706</v>
      </c>
      <c r="K405" s="458">
        <v>0.4</v>
      </c>
      <c r="L405" s="459">
        <f t="shared" si="24"/>
        <v>381.67199999999997</v>
      </c>
      <c r="M405" s="460">
        <v>0.28000000000000003</v>
      </c>
      <c r="N405" s="461">
        <f t="shared" si="25"/>
        <v>492.35687999999993</v>
      </c>
      <c r="O405" s="462">
        <v>0.23</v>
      </c>
      <c r="P405" s="463">
        <f t="shared" si="26"/>
        <v>526.54832999999996</v>
      </c>
      <c r="Q405" s="464"/>
      <c r="R405" s="465">
        <v>8</v>
      </c>
      <c r="S405" s="465">
        <v>8</v>
      </c>
      <c r="T405" s="465">
        <v>8</v>
      </c>
      <c r="U405" s="466"/>
      <c r="W405" s="415"/>
      <c r="X405" s="415"/>
    </row>
    <row r="406" spans="1:24" x14ac:dyDescent="0.2">
      <c r="A406" s="452" t="s">
        <v>10521</v>
      </c>
      <c r="B406" s="453" t="s">
        <v>10522</v>
      </c>
      <c r="C406" s="454" t="s">
        <v>386</v>
      </c>
      <c r="D406" s="455" t="s">
        <v>9783</v>
      </c>
      <c r="E406" s="456" t="s">
        <v>9710</v>
      </c>
      <c r="F406" s="456" t="s">
        <v>10459</v>
      </c>
      <c r="G406" s="456" t="s">
        <v>7070</v>
      </c>
      <c r="H406" s="457">
        <v>636.12</v>
      </c>
      <c r="I406" s="457">
        <f t="shared" si="27"/>
        <v>683.82899999999995</v>
      </c>
      <c r="J406" s="457" t="s">
        <v>9706</v>
      </c>
      <c r="K406" s="458">
        <v>0.4</v>
      </c>
      <c r="L406" s="459">
        <f t="shared" si="24"/>
        <v>381.67199999999997</v>
      </c>
      <c r="M406" s="460">
        <v>0.28000000000000003</v>
      </c>
      <c r="N406" s="461">
        <f t="shared" si="25"/>
        <v>492.35687999999993</v>
      </c>
      <c r="O406" s="462">
        <v>0.23</v>
      </c>
      <c r="P406" s="463">
        <f t="shared" si="26"/>
        <v>526.54832999999996</v>
      </c>
      <c r="Q406" s="464"/>
      <c r="R406" s="465">
        <v>8</v>
      </c>
      <c r="S406" s="465">
        <v>8</v>
      </c>
      <c r="T406" s="465">
        <v>8</v>
      </c>
      <c r="U406" s="466"/>
      <c r="W406" s="415"/>
      <c r="X406" s="415"/>
    </row>
    <row r="407" spans="1:24" x14ac:dyDescent="0.2">
      <c r="A407" s="453" t="s">
        <v>10523</v>
      </c>
      <c r="B407" s="453" t="s">
        <v>10524</v>
      </c>
      <c r="C407" s="454" t="s">
        <v>386</v>
      </c>
      <c r="D407" s="455" t="s">
        <v>9783</v>
      </c>
      <c r="E407" s="456" t="s">
        <v>9710</v>
      </c>
      <c r="F407" s="456" t="s">
        <v>10459</v>
      </c>
      <c r="G407" s="456" t="s">
        <v>7070</v>
      </c>
      <c r="H407" s="457">
        <v>636.12</v>
      </c>
      <c r="I407" s="457">
        <f t="shared" si="27"/>
        <v>683.82899999999995</v>
      </c>
      <c r="J407" s="457" t="s">
        <v>9706</v>
      </c>
      <c r="K407" s="458">
        <v>0.4</v>
      </c>
      <c r="L407" s="459">
        <f t="shared" si="24"/>
        <v>381.67199999999997</v>
      </c>
      <c r="M407" s="460">
        <v>0.28000000000000003</v>
      </c>
      <c r="N407" s="461">
        <f t="shared" si="25"/>
        <v>492.35687999999993</v>
      </c>
      <c r="O407" s="462">
        <v>0.23</v>
      </c>
      <c r="P407" s="463">
        <f t="shared" si="26"/>
        <v>526.54832999999996</v>
      </c>
      <c r="Q407" s="464"/>
      <c r="R407" s="465">
        <v>8</v>
      </c>
      <c r="S407" s="465">
        <v>8</v>
      </c>
      <c r="T407" s="465">
        <v>8</v>
      </c>
      <c r="U407" s="466"/>
      <c r="W407" s="415"/>
      <c r="X407" s="415"/>
    </row>
    <row r="408" spans="1:24" x14ac:dyDescent="0.2">
      <c r="A408" s="453" t="s">
        <v>10525</v>
      </c>
      <c r="B408" s="453" t="s">
        <v>10526</v>
      </c>
      <c r="C408" s="454" t="s">
        <v>386</v>
      </c>
      <c r="D408" s="455" t="s">
        <v>9783</v>
      </c>
      <c r="E408" s="456" t="s">
        <v>9716</v>
      </c>
      <c r="F408" s="456" t="s">
        <v>10459</v>
      </c>
      <c r="G408" s="456" t="s">
        <v>7070</v>
      </c>
      <c r="H408" s="457">
        <v>409.32000000000005</v>
      </c>
      <c r="I408" s="457">
        <f t="shared" si="27"/>
        <v>440.01900000000006</v>
      </c>
      <c r="J408" s="457" t="s">
        <v>9706</v>
      </c>
      <c r="K408" s="458">
        <v>0.4</v>
      </c>
      <c r="L408" s="459">
        <f t="shared" si="24"/>
        <v>245.59200000000001</v>
      </c>
      <c r="M408" s="460">
        <v>0.28000000000000003</v>
      </c>
      <c r="N408" s="461">
        <f t="shared" si="25"/>
        <v>316.81368000000003</v>
      </c>
      <c r="O408" s="462">
        <v>0.23</v>
      </c>
      <c r="P408" s="463">
        <f t="shared" si="26"/>
        <v>338.81463000000008</v>
      </c>
      <c r="Q408" s="464"/>
      <c r="R408" s="465">
        <v>8</v>
      </c>
      <c r="S408" s="465">
        <v>8</v>
      </c>
      <c r="T408" s="465">
        <v>8</v>
      </c>
      <c r="U408" s="466"/>
      <c r="W408" s="415"/>
      <c r="X408" s="415"/>
    </row>
    <row r="409" spans="1:24" x14ac:dyDescent="0.2">
      <c r="A409" s="452" t="s">
        <v>10527</v>
      </c>
      <c r="B409" s="453" t="s">
        <v>10528</v>
      </c>
      <c r="C409" s="454" t="s">
        <v>386</v>
      </c>
      <c r="D409" s="455" t="s">
        <v>9783</v>
      </c>
      <c r="E409" s="456" t="s">
        <v>9716</v>
      </c>
      <c r="F409" s="456" t="s">
        <v>10459</v>
      </c>
      <c r="G409" s="456" t="s">
        <v>7070</v>
      </c>
      <c r="H409" s="457">
        <v>420.12</v>
      </c>
      <c r="I409" s="457">
        <f t="shared" si="27"/>
        <v>451.62899999999996</v>
      </c>
      <c r="J409" s="457" t="s">
        <v>9706</v>
      </c>
      <c r="K409" s="458">
        <v>0.4</v>
      </c>
      <c r="L409" s="459">
        <f t="shared" si="24"/>
        <v>252.072</v>
      </c>
      <c r="M409" s="460">
        <v>0.28000000000000003</v>
      </c>
      <c r="N409" s="461">
        <f t="shared" si="25"/>
        <v>325.17287999999996</v>
      </c>
      <c r="O409" s="462">
        <v>0.23</v>
      </c>
      <c r="P409" s="463">
        <f t="shared" si="26"/>
        <v>347.75432999999998</v>
      </c>
      <c r="Q409" s="464"/>
      <c r="R409" s="465">
        <v>8</v>
      </c>
      <c r="S409" s="465">
        <v>8</v>
      </c>
      <c r="T409" s="465">
        <v>8</v>
      </c>
      <c r="U409" s="466"/>
      <c r="W409" s="415"/>
      <c r="X409" s="415"/>
    </row>
    <row r="410" spans="1:24" x14ac:dyDescent="0.2">
      <c r="A410" s="452" t="s">
        <v>10529</v>
      </c>
      <c r="B410" s="453" t="s">
        <v>10530</v>
      </c>
      <c r="C410" s="454" t="s">
        <v>386</v>
      </c>
      <c r="D410" s="455" t="s">
        <v>9783</v>
      </c>
      <c r="E410" s="456" t="s">
        <v>9716</v>
      </c>
      <c r="F410" s="456" t="s">
        <v>10459</v>
      </c>
      <c r="G410" s="456" t="s">
        <v>7070</v>
      </c>
      <c r="H410" s="457">
        <v>636.12</v>
      </c>
      <c r="I410" s="457">
        <f t="shared" si="27"/>
        <v>683.82899999999995</v>
      </c>
      <c r="J410" s="457" t="s">
        <v>9706</v>
      </c>
      <c r="K410" s="458">
        <v>0.4</v>
      </c>
      <c r="L410" s="459">
        <f t="shared" si="24"/>
        <v>381.67199999999997</v>
      </c>
      <c r="M410" s="460">
        <v>0.28000000000000003</v>
      </c>
      <c r="N410" s="461">
        <f t="shared" si="25"/>
        <v>492.35687999999993</v>
      </c>
      <c r="O410" s="462">
        <v>0.23</v>
      </c>
      <c r="P410" s="463">
        <f t="shared" si="26"/>
        <v>526.54832999999996</v>
      </c>
      <c r="Q410" s="464"/>
      <c r="R410" s="465">
        <v>8</v>
      </c>
      <c r="S410" s="465">
        <v>8</v>
      </c>
      <c r="T410" s="465">
        <v>8</v>
      </c>
      <c r="U410" s="466"/>
      <c r="W410" s="415"/>
      <c r="X410" s="415"/>
    </row>
    <row r="411" spans="1:24" x14ac:dyDescent="0.2">
      <c r="A411" s="453" t="s">
        <v>10531</v>
      </c>
      <c r="B411" s="453" t="s">
        <v>10532</v>
      </c>
      <c r="C411" s="454" t="s">
        <v>386</v>
      </c>
      <c r="D411" s="455" t="s">
        <v>11</v>
      </c>
      <c r="E411" s="456" t="s">
        <v>9705</v>
      </c>
      <c r="F411" s="456" t="s">
        <v>11</v>
      </c>
      <c r="G411" s="456" t="s">
        <v>7070</v>
      </c>
      <c r="H411" s="457">
        <v>225.72000000000003</v>
      </c>
      <c r="I411" s="457">
        <f t="shared" si="27"/>
        <v>242.64900000000003</v>
      </c>
      <c r="J411" s="457" t="s">
        <v>9706</v>
      </c>
      <c r="K411" s="458">
        <v>0.4</v>
      </c>
      <c r="L411" s="459">
        <f t="shared" si="24"/>
        <v>135.43200000000002</v>
      </c>
      <c r="M411" s="479">
        <v>0.3</v>
      </c>
      <c r="N411" s="461">
        <f t="shared" si="25"/>
        <v>169.85430000000002</v>
      </c>
      <c r="O411" s="480">
        <v>0.2</v>
      </c>
      <c r="P411" s="463">
        <f t="shared" si="26"/>
        <v>194.11920000000003</v>
      </c>
      <c r="Q411" s="464"/>
      <c r="R411" s="465">
        <v>8</v>
      </c>
      <c r="S411" s="465">
        <v>8</v>
      </c>
      <c r="T411" s="465">
        <v>8</v>
      </c>
      <c r="U411" s="466"/>
      <c r="W411" s="415"/>
      <c r="X411" s="415"/>
    </row>
    <row r="412" spans="1:24" x14ac:dyDescent="0.2">
      <c r="A412" s="453" t="s">
        <v>10533</v>
      </c>
      <c r="B412" s="453" t="s">
        <v>10534</v>
      </c>
      <c r="C412" s="473" t="s">
        <v>386</v>
      </c>
      <c r="D412" s="455" t="s">
        <v>1198</v>
      </c>
      <c r="E412" s="456" t="s">
        <v>9705</v>
      </c>
      <c r="F412" s="456" t="s">
        <v>11</v>
      </c>
      <c r="G412" s="456" t="s">
        <v>7070</v>
      </c>
      <c r="H412" s="457">
        <v>376.92</v>
      </c>
      <c r="I412" s="457">
        <f t="shared" si="27"/>
        <v>405.18900000000002</v>
      </c>
      <c r="J412" s="457" t="s">
        <v>9706</v>
      </c>
      <c r="K412" s="458">
        <v>0.4</v>
      </c>
      <c r="L412" s="459">
        <f t="shared" si="24"/>
        <v>226.15200000000002</v>
      </c>
      <c r="M412" s="479">
        <v>0.3</v>
      </c>
      <c r="N412" s="461">
        <f t="shared" si="25"/>
        <v>283.63229999999999</v>
      </c>
      <c r="O412" s="480">
        <v>0.2</v>
      </c>
      <c r="P412" s="463">
        <f t="shared" si="26"/>
        <v>324.15120000000002</v>
      </c>
      <c r="Q412" s="464"/>
      <c r="R412" s="465">
        <v>8</v>
      </c>
      <c r="S412" s="465">
        <v>8</v>
      </c>
      <c r="T412" s="465">
        <v>8</v>
      </c>
      <c r="U412" s="466"/>
      <c r="W412" s="415"/>
      <c r="X412" s="415"/>
    </row>
    <row r="413" spans="1:24" x14ac:dyDescent="0.2">
      <c r="A413" s="453" t="s">
        <v>2005</v>
      </c>
      <c r="B413" s="453" t="s">
        <v>10535</v>
      </c>
      <c r="C413" s="473" t="s">
        <v>386</v>
      </c>
      <c r="D413" s="455" t="s">
        <v>1198</v>
      </c>
      <c r="E413" s="456" t="s">
        <v>9705</v>
      </c>
      <c r="F413" s="456" t="s">
        <v>11</v>
      </c>
      <c r="G413" s="456" t="s">
        <v>7070</v>
      </c>
      <c r="H413" s="457">
        <v>409.32000000000005</v>
      </c>
      <c r="I413" s="457">
        <f t="shared" si="27"/>
        <v>440.01900000000006</v>
      </c>
      <c r="J413" s="457" t="s">
        <v>9706</v>
      </c>
      <c r="K413" s="458">
        <v>0.4</v>
      </c>
      <c r="L413" s="459">
        <f t="shared" si="24"/>
        <v>245.59200000000001</v>
      </c>
      <c r="M413" s="479">
        <v>0.3</v>
      </c>
      <c r="N413" s="461">
        <f t="shared" si="25"/>
        <v>308.01330000000002</v>
      </c>
      <c r="O413" s="480">
        <v>0.2</v>
      </c>
      <c r="P413" s="463">
        <f t="shared" si="26"/>
        <v>352.01520000000005</v>
      </c>
      <c r="Q413" s="464"/>
      <c r="R413" s="465">
        <v>8</v>
      </c>
      <c r="S413" s="465">
        <v>8</v>
      </c>
      <c r="T413" s="465">
        <v>8</v>
      </c>
      <c r="U413" s="466"/>
      <c r="W413" s="415"/>
      <c r="X413" s="415"/>
    </row>
    <row r="414" spans="1:24" x14ac:dyDescent="0.2">
      <c r="A414" s="453" t="s">
        <v>10536</v>
      </c>
      <c r="B414" s="453" t="s">
        <v>10537</v>
      </c>
      <c r="C414" s="454" t="s">
        <v>386</v>
      </c>
      <c r="D414" s="455" t="s">
        <v>1198</v>
      </c>
      <c r="E414" s="456" t="s">
        <v>9705</v>
      </c>
      <c r="F414" s="456" t="s">
        <v>11</v>
      </c>
      <c r="G414" s="456" t="s">
        <v>7070</v>
      </c>
      <c r="H414" s="457">
        <v>247.32000000000002</v>
      </c>
      <c r="I414" s="457">
        <f t="shared" si="27"/>
        <v>265.86900000000003</v>
      </c>
      <c r="J414" s="457" t="s">
        <v>9706</v>
      </c>
      <c r="K414" s="458">
        <v>0.4</v>
      </c>
      <c r="L414" s="459">
        <f t="shared" si="24"/>
        <v>148.392</v>
      </c>
      <c r="M414" s="479">
        <v>0.3</v>
      </c>
      <c r="N414" s="461">
        <f t="shared" si="25"/>
        <v>186.10830000000001</v>
      </c>
      <c r="O414" s="480">
        <v>0.2</v>
      </c>
      <c r="P414" s="463">
        <f t="shared" si="26"/>
        <v>212.69520000000003</v>
      </c>
      <c r="Q414" s="464"/>
      <c r="R414" s="465">
        <v>8</v>
      </c>
      <c r="S414" s="465">
        <v>8</v>
      </c>
      <c r="T414" s="465">
        <v>8</v>
      </c>
      <c r="U414" s="466"/>
      <c r="W414" s="415"/>
      <c r="X414" s="415"/>
    </row>
    <row r="415" spans="1:24" x14ac:dyDescent="0.2">
      <c r="A415" s="453" t="s">
        <v>9434</v>
      </c>
      <c r="B415" s="453" t="s">
        <v>650</v>
      </c>
      <c r="C415" s="454" t="s">
        <v>386</v>
      </c>
      <c r="D415" s="455" t="s">
        <v>10538</v>
      </c>
      <c r="E415" s="456" t="s">
        <v>9705</v>
      </c>
      <c r="F415" s="456" t="s">
        <v>11</v>
      </c>
      <c r="G415" s="456" t="s">
        <v>7070</v>
      </c>
      <c r="H415" s="457">
        <v>17.55</v>
      </c>
      <c r="I415" s="504">
        <f>H415</f>
        <v>17.55</v>
      </c>
      <c r="J415" s="457" t="s">
        <v>9706</v>
      </c>
      <c r="K415" s="458">
        <v>0.4</v>
      </c>
      <c r="L415" s="459">
        <f t="shared" si="24"/>
        <v>10.53</v>
      </c>
      <c r="M415" s="460">
        <v>0.3</v>
      </c>
      <c r="N415" s="461">
        <f t="shared" si="25"/>
        <v>12.285</v>
      </c>
      <c r="O415" s="480">
        <v>0.2</v>
      </c>
      <c r="P415" s="463">
        <f t="shared" si="26"/>
        <v>14.040000000000001</v>
      </c>
      <c r="Q415" s="464"/>
      <c r="R415" s="465">
        <v>8</v>
      </c>
      <c r="S415" s="465">
        <v>8</v>
      </c>
      <c r="T415" s="465">
        <v>8</v>
      </c>
      <c r="U415" s="466"/>
      <c r="W415" s="415"/>
      <c r="X415" s="415"/>
    </row>
    <row r="416" spans="1:24" x14ac:dyDescent="0.2">
      <c r="A416" s="453" t="s">
        <v>10539</v>
      </c>
      <c r="B416" s="453" t="s">
        <v>10540</v>
      </c>
      <c r="C416" s="454" t="s">
        <v>386</v>
      </c>
      <c r="D416" s="455" t="s">
        <v>11</v>
      </c>
      <c r="E416" s="456" t="s">
        <v>9705</v>
      </c>
      <c r="F416" s="456" t="s">
        <v>11</v>
      </c>
      <c r="G416" s="456" t="s">
        <v>7070</v>
      </c>
      <c r="H416" s="457">
        <v>20.520000000000003</v>
      </c>
      <c r="I416" s="457">
        <f t="shared" si="27"/>
        <v>22.059000000000001</v>
      </c>
      <c r="J416" s="457" t="s">
        <v>9706</v>
      </c>
      <c r="K416" s="458">
        <v>0.4</v>
      </c>
      <c r="L416" s="459">
        <f t="shared" si="24"/>
        <v>12.312000000000001</v>
      </c>
      <c r="M416" s="479">
        <v>0.3</v>
      </c>
      <c r="N416" s="461">
        <f t="shared" si="25"/>
        <v>15.4413</v>
      </c>
      <c r="O416" s="480">
        <v>0.2</v>
      </c>
      <c r="P416" s="463">
        <f t="shared" si="26"/>
        <v>17.647200000000002</v>
      </c>
      <c r="Q416" s="464"/>
      <c r="R416" s="465">
        <v>8</v>
      </c>
      <c r="S416" s="465">
        <v>8</v>
      </c>
      <c r="T416" s="465">
        <v>8</v>
      </c>
      <c r="U416" s="466"/>
      <c r="W416" s="415"/>
      <c r="X416" s="415"/>
    </row>
    <row r="417" spans="1:24" x14ac:dyDescent="0.2">
      <c r="A417" s="453" t="s">
        <v>8245</v>
      </c>
      <c r="B417" s="453" t="s">
        <v>10541</v>
      </c>
      <c r="C417" s="454" t="s">
        <v>386</v>
      </c>
      <c r="D417" s="455" t="s">
        <v>11</v>
      </c>
      <c r="E417" s="456" t="s">
        <v>9705</v>
      </c>
      <c r="F417" s="456" t="s">
        <v>11</v>
      </c>
      <c r="G417" s="456" t="s">
        <v>7070</v>
      </c>
      <c r="H417" s="457">
        <v>12.96</v>
      </c>
      <c r="I417" s="457">
        <f t="shared" si="27"/>
        <v>13.932</v>
      </c>
      <c r="J417" s="457" t="s">
        <v>9706</v>
      </c>
      <c r="K417" s="458">
        <v>0.4</v>
      </c>
      <c r="L417" s="459">
        <f t="shared" si="24"/>
        <v>7.7759999999999998</v>
      </c>
      <c r="M417" s="479">
        <v>0.3</v>
      </c>
      <c r="N417" s="461">
        <f t="shared" si="25"/>
        <v>9.7523999999999997</v>
      </c>
      <c r="O417" s="480">
        <v>0.2</v>
      </c>
      <c r="P417" s="463">
        <f t="shared" si="26"/>
        <v>11.145600000000002</v>
      </c>
      <c r="Q417" s="464"/>
      <c r="R417" s="465">
        <v>8</v>
      </c>
      <c r="S417" s="465">
        <v>8</v>
      </c>
      <c r="T417" s="465">
        <v>8</v>
      </c>
      <c r="U417" s="466"/>
      <c r="W417" s="415"/>
      <c r="X417" s="415"/>
    </row>
    <row r="418" spans="1:24" ht="15" customHeight="1" x14ac:dyDescent="0.2">
      <c r="A418" s="453" t="s">
        <v>10542</v>
      </c>
      <c r="B418" s="472" t="s">
        <v>10543</v>
      </c>
      <c r="C418" s="454" t="s">
        <v>386</v>
      </c>
      <c r="D418" s="455" t="s">
        <v>1198</v>
      </c>
      <c r="E418" s="456" t="s">
        <v>9705</v>
      </c>
      <c r="F418" s="456" t="s">
        <v>11</v>
      </c>
      <c r="G418" s="456" t="s">
        <v>7070</v>
      </c>
      <c r="H418" s="457">
        <v>27</v>
      </c>
      <c r="I418" s="457">
        <f t="shared" si="27"/>
        <v>29.024999999999999</v>
      </c>
      <c r="J418" s="457" t="s">
        <v>9706</v>
      </c>
      <c r="K418" s="458">
        <v>0.4</v>
      </c>
      <c r="L418" s="459">
        <f t="shared" si="24"/>
        <v>16.2</v>
      </c>
      <c r="M418" s="479">
        <v>0.3</v>
      </c>
      <c r="N418" s="461">
        <f t="shared" si="25"/>
        <v>20.317499999999999</v>
      </c>
      <c r="O418" s="480">
        <v>0.2</v>
      </c>
      <c r="P418" s="463">
        <f t="shared" si="26"/>
        <v>23.22</v>
      </c>
      <c r="Q418" s="464"/>
      <c r="R418" s="465">
        <v>8</v>
      </c>
      <c r="S418" s="465">
        <v>8</v>
      </c>
      <c r="T418" s="465">
        <v>8</v>
      </c>
      <c r="U418" s="466"/>
      <c r="W418" s="415"/>
      <c r="X418" s="415"/>
    </row>
    <row r="419" spans="1:24" ht="15" customHeight="1" x14ac:dyDescent="0.2">
      <c r="A419" s="452" t="s">
        <v>655</v>
      </c>
      <c r="B419" s="472" t="s">
        <v>656</v>
      </c>
      <c r="C419" s="454" t="s">
        <v>386</v>
      </c>
      <c r="D419" s="455" t="s">
        <v>11</v>
      </c>
      <c r="E419" s="456" t="s">
        <v>9705</v>
      </c>
      <c r="F419" s="456" t="s">
        <v>11</v>
      </c>
      <c r="G419" s="456" t="s">
        <v>7070</v>
      </c>
      <c r="H419" s="457">
        <v>12.96</v>
      </c>
      <c r="I419" s="457">
        <f t="shared" si="27"/>
        <v>13.932</v>
      </c>
      <c r="J419" s="457" t="s">
        <v>9706</v>
      </c>
      <c r="K419" s="458">
        <v>0.4</v>
      </c>
      <c r="L419" s="459">
        <f t="shared" si="24"/>
        <v>7.7759999999999998</v>
      </c>
      <c r="M419" s="479">
        <v>0.3</v>
      </c>
      <c r="N419" s="461">
        <f t="shared" si="25"/>
        <v>9.7523999999999997</v>
      </c>
      <c r="O419" s="480">
        <v>0.2</v>
      </c>
      <c r="P419" s="463">
        <f t="shared" si="26"/>
        <v>11.145600000000002</v>
      </c>
      <c r="Q419" s="464"/>
      <c r="R419" s="465">
        <v>8</v>
      </c>
      <c r="S419" s="465">
        <v>8</v>
      </c>
      <c r="T419" s="465">
        <v>8</v>
      </c>
      <c r="U419" s="466"/>
      <c r="W419" s="415"/>
      <c r="X419" s="415"/>
    </row>
    <row r="420" spans="1:24" x14ac:dyDescent="0.2">
      <c r="A420" s="453" t="s">
        <v>6289</v>
      </c>
      <c r="B420" s="453" t="s">
        <v>6292</v>
      </c>
      <c r="C420" s="453" t="s">
        <v>386</v>
      </c>
      <c r="D420" s="455" t="s">
        <v>10544</v>
      </c>
      <c r="E420" s="456" t="s">
        <v>9705</v>
      </c>
      <c r="F420" s="456" t="s">
        <v>10544</v>
      </c>
      <c r="G420" s="456" t="s">
        <v>7070</v>
      </c>
      <c r="H420" s="457">
        <v>15</v>
      </c>
      <c r="I420" s="457">
        <f>H420</f>
        <v>15</v>
      </c>
      <c r="J420" s="457" t="s">
        <v>9706</v>
      </c>
      <c r="K420" s="458">
        <v>0.4</v>
      </c>
      <c r="L420" s="459">
        <f t="shared" si="24"/>
        <v>9</v>
      </c>
      <c r="M420" s="460">
        <v>0.25</v>
      </c>
      <c r="N420" s="461">
        <f t="shared" si="25"/>
        <v>11.25</v>
      </c>
      <c r="O420" s="462">
        <v>0.1</v>
      </c>
      <c r="P420" s="463">
        <f t="shared" si="26"/>
        <v>13.5</v>
      </c>
      <c r="Q420" s="464"/>
      <c r="R420" s="465">
        <v>20</v>
      </c>
      <c r="S420" s="465">
        <v>20</v>
      </c>
      <c r="T420" s="465">
        <v>20</v>
      </c>
      <c r="U420" s="466"/>
      <c r="W420" s="415"/>
      <c r="X420" s="415"/>
    </row>
    <row r="421" spans="1:24" x14ac:dyDescent="0.2">
      <c r="A421" s="453" t="s">
        <v>6285</v>
      </c>
      <c r="B421" s="453" t="s">
        <v>6286</v>
      </c>
      <c r="C421" s="454" t="s">
        <v>386</v>
      </c>
      <c r="D421" s="455" t="s">
        <v>10544</v>
      </c>
      <c r="E421" s="456" t="s">
        <v>9705</v>
      </c>
      <c r="F421" s="456" t="s">
        <v>10544</v>
      </c>
      <c r="G421" s="456" t="s">
        <v>7070</v>
      </c>
      <c r="H421" s="457">
        <v>3</v>
      </c>
      <c r="I421" s="457">
        <f t="shared" ref="I421:I433" si="28">H421</f>
        <v>3</v>
      </c>
      <c r="J421" s="457" t="s">
        <v>9706</v>
      </c>
      <c r="K421" s="458">
        <v>0.4</v>
      </c>
      <c r="L421" s="459">
        <f t="shared" si="24"/>
        <v>1.7999999999999998</v>
      </c>
      <c r="M421" s="460">
        <v>0.25</v>
      </c>
      <c r="N421" s="461">
        <f t="shared" si="25"/>
        <v>2.25</v>
      </c>
      <c r="O421" s="462">
        <v>0.1</v>
      </c>
      <c r="P421" s="463">
        <f t="shared" si="26"/>
        <v>2.7</v>
      </c>
      <c r="Q421" s="464"/>
      <c r="R421" s="465">
        <v>20</v>
      </c>
      <c r="S421" s="465">
        <v>20</v>
      </c>
      <c r="T421" s="465">
        <v>20</v>
      </c>
      <c r="U421" s="466"/>
      <c r="W421" s="415"/>
      <c r="X421" s="415"/>
    </row>
    <row r="422" spans="1:24" x14ac:dyDescent="0.2">
      <c r="A422" s="453" t="s">
        <v>6283</v>
      </c>
      <c r="B422" s="453" t="s">
        <v>10545</v>
      </c>
      <c r="C422" s="453" t="s">
        <v>386</v>
      </c>
      <c r="D422" s="455" t="s">
        <v>10544</v>
      </c>
      <c r="E422" s="456" t="s">
        <v>9705</v>
      </c>
      <c r="F422" s="456" t="s">
        <v>10544</v>
      </c>
      <c r="G422" s="456" t="s">
        <v>7070</v>
      </c>
      <c r="H422" s="457">
        <v>18</v>
      </c>
      <c r="I422" s="457">
        <f t="shared" si="28"/>
        <v>18</v>
      </c>
      <c r="J422" s="457" t="s">
        <v>9706</v>
      </c>
      <c r="K422" s="458">
        <v>0.4</v>
      </c>
      <c r="L422" s="459">
        <f t="shared" si="24"/>
        <v>10.799999999999999</v>
      </c>
      <c r="M422" s="460">
        <v>0.25</v>
      </c>
      <c r="N422" s="461">
        <f t="shared" si="25"/>
        <v>13.5</v>
      </c>
      <c r="O422" s="462">
        <v>0.1</v>
      </c>
      <c r="P422" s="463">
        <f t="shared" si="26"/>
        <v>16.2</v>
      </c>
      <c r="Q422" s="464"/>
      <c r="R422" s="465">
        <v>20</v>
      </c>
      <c r="S422" s="465">
        <v>20</v>
      </c>
      <c r="T422" s="465">
        <v>20</v>
      </c>
      <c r="U422" s="466"/>
      <c r="W422" s="415"/>
      <c r="X422" s="415"/>
    </row>
    <row r="423" spans="1:24" x14ac:dyDescent="0.2">
      <c r="A423" s="453" t="s">
        <v>6275</v>
      </c>
      <c r="B423" s="453" t="s">
        <v>10546</v>
      </c>
      <c r="C423" s="454" t="s">
        <v>386</v>
      </c>
      <c r="D423" s="455" t="s">
        <v>10544</v>
      </c>
      <c r="E423" s="456" t="s">
        <v>9705</v>
      </c>
      <c r="F423" s="456" t="s">
        <v>10544</v>
      </c>
      <c r="G423" s="456" t="s">
        <v>7070</v>
      </c>
      <c r="H423" s="457">
        <v>4</v>
      </c>
      <c r="I423" s="457">
        <f t="shared" si="28"/>
        <v>4</v>
      </c>
      <c r="J423" s="457" t="s">
        <v>9706</v>
      </c>
      <c r="K423" s="458">
        <v>0.4</v>
      </c>
      <c r="L423" s="459">
        <f t="shared" si="24"/>
        <v>2.4</v>
      </c>
      <c r="M423" s="460">
        <v>0.25</v>
      </c>
      <c r="N423" s="461">
        <f t="shared" si="25"/>
        <v>3</v>
      </c>
      <c r="O423" s="462">
        <v>0.1</v>
      </c>
      <c r="P423" s="463">
        <f t="shared" si="26"/>
        <v>3.6</v>
      </c>
      <c r="Q423" s="464"/>
      <c r="R423" s="465">
        <v>20</v>
      </c>
      <c r="S423" s="465">
        <v>20</v>
      </c>
      <c r="T423" s="465">
        <v>20</v>
      </c>
      <c r="U423" s="466"/>
      <c r="W423" s="415"/>
      <c r="X423" s="415"/>
    </row>
    <row r="424" spans="1:24" x14ac:dyDescent="0.2">
      <c r="A424" s="453" t="s">
        <v>6277</v>
      </c>
      <c r="B424" s="453" t="s">
        <v>10547</v>
      </c>
      <c r="C424" s="453" t="s">
        <v>386</v>
      </c>
      <c r="D424" s="455" t="s">
        <v>10544</v>
      </c>
      <c r="E424" s="456" t="s">
        <v>9705</v>
      </c>
      <c r="F424" s="456" t="s">
        <v>10544</v>
      </c>
      <c r="G424" s="456" t="s">
        <v>7070</v>
      </c>
      <c r="H424" s="457">
        <v>5</v>
      </c>
      <c r="I424" s="457">
        <f t="shared" si="28"/>
        <v>5</v>
      </c>
      <c r="J424" s="457" t="s">
        <v>9706</v>
      </c>
      <c r="K424" s="458">
        <v>0.4</v>
      </c>
      <c r="L424" s="459">
        <f t="shared" si="24"/>
        <v>3</v>
      </c>
      <c r="M424" s="460">
        <v>0.25</v>
      </c>
      <c r="N424" s="461">
        <f t="shared" si="25"/>
        <v>3.75</v>
      </c>
      <c r="O424" s="462">
        <v>0.1</v>
      </c>
      <c r="P424" s="463">
        <f t="shared" si="26"/>
        <v>4.5</v>
      </c>
      <c r="Q424" s="464"/>
      <c r="R424" s="465">
        <v>20</v>
      </c>
      <c r="S424" s="465">
        <v>20</v>
      </c>
      <c r="T424" s="465">
        <v>20</v>
      </c>
      <c r="U424" s="466"/>
      <c r="W424" s="415"/>
      <c r="X424" s="415"/>
    </row>
    <row r="425" spans="1:24" x14ac:dyDescent="0.2">
      <c r="A425" s="453" t="s">
        <v>6279</v>
      </c>
      <c r="B425" s="453" t="s">
        <v>9299</v>
      </c>
      <c r="C425" s="453" t="s">
        <v>386</v>
      </c>
      <c r="D425" s="455" t="s">
        <v>10544</v>
      </c>
      <c r="E425" s="456" t="s">
        <v>9705</v>
      </c>
      <c r="F425" s="456" t="s">
        <v>10544</v>
      </c>
      <c r="G425" s="456" t="s">
        <v>7070</v>
      </c>
      <c r="H425" s="457">
        <v>12</v>
      </c>
      <c r="I425" s="457">
        <f t="shared" si="28"/>
        <v>12</v>
      </c>
      <c r="J425" s="457" t="s">
        <v>9706</v>
      </c>
      <c r="K425" s="458">
        <v>0.4</v>
      </c>
      <c r="L425" s="459">
        <f t="shared" si="24"/>
        <v>7.1999999999999993</v>
      </c>
      <c r="M425" s="460">
        <v>0.25</v>
      </c>
      <c r="N425" s="461">
        <f t="shared" si="25"/>
        <v>9</v>
      </c>
      <c r="O425" s="462">
        <v>0.1</v>
      </c>
      <c r="P425" s="463">
        <f t="shared" si="26"/>
        <v>10.8</v>
      </c>
      <c r="Q425" s="464"/>
      <c r="R425" s="465">
        <v>20</v>
      </c>
      <c r="S425" s="465">
        <v>20</v>
      </c>
      <c r="T425" s="465">
        <v>20</v>
      </c>
      <c r="U425" s="466"/>
      <c r="W425" s="415"/>
      <c r="X425" s="415"/>
    </row>
    <row r="426" spans="1:24" x14ac:dyDescent="0.2">
      <c r="A426" s="453" t="s">
        <v>6281</v>
      </c>
      <c r="B426" s="453" t="s">
        <v>7958</v>
      </c>
      <c r="C426" s="453" t="s">
        <v>386</v>
      </c>
      <c r="D426" s="455" t="s">
        <v>10544</v>
      </c>
      <c r="E426" s="456" t="s">
        <v>9705</v>
      </c>
      <c r="F426" s="456" t="s">
        <v>10544</v>
      </c>
      <c r="G426" s="456" t="s">
        <v>7070</v>
      </c>
      <c r="H426" s="457">
        <v>12</v>
      </c>
      <c r="I426" s="457">
        <f t="shared" si="28"/>
        <v>12</v>
      </c>
      <c r="J426" s="457" t="s">
        <v>9706</v>
      </c>
      <c r="K426" s="458">
        <v>0.4</v>
      </c>
      <c r="L426" s="459">
        <f t="shared" si="24"/>
        <v>7.1999999999999993</v>
      </c>
      <c r="M426" s="460">
        <v>0.25</v>
      </c>
      <c r="N426" s="461">
        <f t="shared" si="25"/>
        <v>9</v>
      </c>
      <c r="O426" s="462">
        <v>0.1</v>
      </c>
      <c r="P426" s="463">
        <f t="shared" si="26"/>
        <v>10.8</v>
      </c>
      <c r="Q426" s="464"/>
      <c r="R426" s="465">
        <v>20</v>
      </c>
      <c r="S426" s="465">
        <v>20</v>
      </c>
      <c r="T426" s="465">
        <v>20</v>
      </c>
      <c r="U426" s="466"/>
      <c r="W426" s="415"/>
      <c r="X426" s="415"/>
    </row>
    <row r="427" spans="1:24" x14ac:dyDescent="0.2">
      <c r="A427" s="453" t="s">
        <v>6290</v>
      </c>
      <c r="B427" s="453" t="s">
        <v>6291</v>
      </c>
      <c r="C427" s="453" t="s">
        <v>386</v>
      </c>
      <c r="D427" s="455" t="s">
        <v>10544</v>
      </c>
      <c r="E427" s="456" t="s">
        <v>9705</v>
      </c>
      <c r="F427" s="456" t="s">
        <v>10544</v>
      </c>
      <c r="G427" s="456" t="s">
        <v>7070</v>
      </c>
      <c r="H427" s="457">
        <v>27</v>
      </c>
      <c r="I427" s="457">
        <f t="shared" si="28"/>
        <v>27</v>
      </c>
      <c r="J427" s="457" t="s">
        <v>9706</v>
      </c>
      <c r="K427" s="458">
        <v>0.4</v>
      </c>
      <c r="L427" s="459">
        <f t="shared" si="24"/>
        <v>16.2</v>
      </c>
      <c r="M427" s="460">
        <v>0.25</v>
      </c>
      <c r="N427" s="461">
        <f t="shared" si="25"/>
        <v>20.25</v>
      </c>
      <c r="O427" s="462">
        <v>0.1</v>
      </c>
      <c r="P427" s="463">
        <f t="shared" si="26"/>
        <v>24.3</v>
      </c>
      <c r="Q427" s="464"/>
      <c r="R427" s="465">
        <v>20</v>
      </c>
      <c r="S427" s="465">
        <v>20</v>
      </c>
      <c r="T427" s="465">
        <v>20</v>
      </c>
      <c r="U427" s="466"/>
      <c r="W427" s="415"/>
      <c r="X427" s="415"/>
    </row>
    <row r="428" spans="1:24" x14ac:dyDescent="0.2">
      <c r="A428" s="453" t="s">
        <v>6287</v>
      </c>
      <c r="B428" s="453" t="s">
        <v>6288</v>
      </c>
      <c r="C428" s="454" t="s">
        <v>386</v>
      </c>
      <c r="D428" s="455" t="s">
        <v>10544</v>
      </c>
      <c r="E428" s="456" t="s">
        <v>9705</v>
      </c>
      <c r="F428" s="456" t="s">
        <v>10544</v>
      </c>
      <c r="G428" s="456" t="s">
        <v>7070</v>
      </c>
      <c r="H428" s="457">
        <v>5.5</v>
      </c>
      <c r="I428" s="457">
        <f t="shared" si="28"/>
        <v>5.5</v>
      </c>
      <c r="J428" s="457" t="s">
        <v>9706</v>
      </c>
      <c r="K428" s="458">
        <v>0.4</v>
      </c>
      <c r="L428" s="459">
        <f t="shared" si="24"/>
        <v>3.3</v>
      </c>
      <c r="M428" s="460">
        <v>0.25</v>
      </c>
      <c r="N428" s="461">
        <f t="shared" si="25"/>
        <v>4.125</v>
      </c>
      <c r="O428" s="462">
        <v>0.1</v>
      </c>
      <c r="P428" s="463">
        <f t="shared" si="26"/>
        <v>4.95</v>
      </c>
      <c r="Q428" s="464"/>
      <c r="R428" s="465">
        <v>20</v>
      </c>
      <c r="S428" s="465">
        <v>20</v>
      </c>
      <c r="T428" s="465">
        <v>20</v>
      </c>
      <c r="U428" s="466"/>
      <c r="W428" s="415"/>
      <c r="X428" s="415"/>
    </row>
    <row r="429" spans="1:24" s="467" customFormat="1" x14ac:dyDescent="0.2">
      <c r="A429" s="453" t="s">
        <v>6284</v>
      </c>
      <c r="B429" s="453" t="s">
        <v>10548</v>
      </c>
      <c r="C429" s="453" t="s">
        <v>386</v>
      </c>
      <c r="D429" s="455" t="s">
        <v>10544</v>
      </c>
      <c r="E429" s="456" t="s">
        <v>9705</v>
      </c>
      <c r="F429" s="456" t="s">
        <v>10544</v>
      </c>
      <c r="G429" s="456" t="s">
        <v>7070</v>
      </c>
      <c r="H429" s="457">
        <v>32</v>
      </c>
      <c r="I429" s="457">
        <f t="shared" si="28"/>
        <v>32</v>
      </c>
      <c r="J429" s="457" t="s">
        <v>9706</v>
      </c>
      <c r="K429" s="458">
        <v>0.4</v>
      </c>
      <c r="L429" s="459">
        <f t="shared" si="24"/>
        <v>19.2</v>
      </c>
      <c r="M429" s="460">
        <v>0.25</v>
      </c>
      <c r="N429" s="461">
        <f t="shared" si="25"/>
        <v>24</v>
      </c>
      <c r="O429" s="462">
        <v>0.1</v>
      </c>
      <c r="P429" s="463">
        <f t="shared" si="26"/>
        <v>28.8</v>
      </c>
      <c r="Q429" s="464"/>
      <c r="R429" s="465">
        <v>20</v>
      </c>
      <c r="S429" s="465">
        <v>20</v>
      </c>
      <c r="T429" s="465">
        <v>20</v>
      </c>
      <c r="U429" s="466"/>
    </row>
    <row r="430" spans="1:24" s="467" customFormat="1" x14ac:dyDescent="0.2">
      <c r="A430" s="453" t="s">
        <v>6276</v>
      </c>
      <c r="B430" s="453" t="s">
        <v>10549</v>
      </c>
      <c r="C430" s="454" t="s">
        <v>386</v>
      </c>
      <c r="D430" s="455" t="s">
        <v>10544</v>
      </c>
      <c r="E430" s="456" t="s">
        <v>9705</v>
      </c>
      <c r="F430" s="456" t="s">
        <v>10544</v>
      </c>
      <c r="G430" s="456" t="s">
        <v>7070</v>
      </c>
      <c r="H430" s="457">
        <v>7.5</v>
      </c>
      <c r="I430" s="457">
        <f t="shared" si="28"/>
        <v>7.5</v>
      </c>
      <c r="J430" s="457" t="s">
        <v>9706</v>
      </c>
      <c r="K430" s="458">
        <v>0.4</v>
      </c>
      <c r="L430" s="459">
        <f t="shared" si="24"/>
        <v>4.5</v>
      </c>
      <c r="M430" s="460">
        <v>0.25</v>
      </c>
      <c r="N430" s="461">
        <f t="shared" si="25"/>
        <v>5.625</v>
      </c>
      <c r="O430" s="462">
        <v>0.1</v>
      </c>
      <c r="P430" s="463">
        <f t="shared" si="26"/>
        <v>6.75</v>
      </c>
      <c r="Q430" s="464"/>
      <c r="R430" s="465">
        <v>20</v>
      </c>
      <c r="S430" s="465">
        <v>20</v>
      </c>
      <c r="T430" s="465">
        <v>20</v>
      </c>
      <c r="U430" s="466"/>
    </row>
    <row r="431" spans="1:24" s="467" customFormat="1" x14ac:dyDescent="0.2">
      <c r="A431" s="453" t="s">
        <v>6278</v>
      </c>
      <c r="B431" s="453" t="s">
        <v>10550</v>
      </c>
      <c r="C431" s="453" t="s">
        <v>386</v>
      </c>
      <c r="D431" s="455" t="s">
        <v>10544</v>
      </c>
      <c r="E431" s="456" t="s">
        <v>9705</v>
      </c>
      <c r="F431" s="456" t="s">
        <v>10544</v>
      </c>
      <c r="G431" s="456" t="s">
        <v>7070</v>
      </c>
      <c r="H431" s="457">
        <v>9</v>
      </c>
      <c r="I431" s="457">
        <f t="shared" si="28"/>
        <v>9</v>
      </c>
      <c r="J431" s="457" t="s">
        <v>9706</v>
      </c>
      <c r="K431" s="458">
        <v>0.4</v>
      </c>
      <c r="L431" s="459">
        <f t="shared" si="24"/>
        <v>5.3999999999999995</v>
      </c>
      <c r="M431" s="460">
        <v>0.25</v>
      </c>
      <c r="N431" s="461">
        <f t="shared" si="25"/>
        <v>6.75</v>
      </c>
      <c r="O431" s="462">
        <v>0.1</v>
      </c>
      <c r="P431" s="463">
        <f t="shared" si="26"/>
        <v>8.1</v>
      </c>
      <c r="Q431" s="464"/>
      <c r="R431" s="465">
        <v>20</v>
      </c>
      <c r="S431" s="465">
        <v>20</v>
      </c>
      <c r="T431" s="465">
        <v>20</v>
      </c>
      <c r="U431" s="466"/>
    </row>
    <row r="432" spans="1:24" s="467" customFormat="1" x14ac:dyDescent="0.2">
      <c r="A432" s="453" t="s">
        <v>10551</v>
      </c>
      <c r="B432" s="453" t="s">
        <v>10552</v>
      </c>
      <c r="C432" s="453" t="s">
        <v>386</v>
      </c>
      <c r="D432" s="455" t="s">
        <v>10544</v>
      </c>
      <c r="E432" s="456" t="s">
        <v>9705</v>
      </c>
      <c r="F432" s="456" t="s">
        <v>10544</v>
      </c>
      <c r="G432" s="456" t="s">
        <v>7070</v>
      </c>
      <c r="H432" s="457">
        <v>22</v>
      </c>
      <c r="I432" s="457">
        <f t="shared" si="28"/>
        <v>22</v>
      </c>
      <c r="J432" s="457" t="s">
        <v>9706</v>
      </c>
      <c r="K432" s="458">
        <v>0.4</v>
      </c>
      <c r="L432" s="459">
        <f t="shared" si="24"/>
        <v>13.2</v>
      </c>
      <c r="M432" s="460">
        <v>0.25</v>
      </c>
      <c r="N432" s="461">
        <f t="shared" si="25"/>
        <v>16.5</v>
      </c>
      <c r="O432" s="462">
        <v>0.1</v>
      </c>
      <c r="P432" s="463">
        <f t="shared" si="26"/>
        <v>19.8</v>
      </c>
      <c r="Q432" s="464"/>
      <c r="R432" s="465">
        <v>20</v>
      </c>
      <c r="S432" s="465">
        <v>20</v>
      </c>
      <c r="T432" s="465">
        <v>20</v>
      </c>
      <c r="U432" s="466"/>
    </row>
    <row r="433" spans="1:24" s="467" customFormat="1" x14ac:dyDescent="0.2">
      <c r="A433" s="453" t="s">
        <v>6282</v>
      </c>
      <c r="B433" s="453" t="s">
        <v>7984</v>
      </c>
      <c r="C433" s="453" t="s">
        <v>386</v>
      </c>
      <c r="D433" s="455" t="s">
        <v>10544</v>
      </c>
      <c r="E433" s="456" t="s">
        <v>9705</v>
      </c>
      <c r="F433" s="456" t="s">
        <v>10544</v>
      </c>
      <c r="G433" s="456" t="s">
        <v>7070</v>
      </c>
      <c r="H433" s="457">
        <v>22</v>
      </c>
      <c r="I433" s="457">
        <f t="shared" si="28"/>
        <v>22</v>
      </c>
      <c r="J433" s="457" t="s">
        <v>9706</v>
      </c>
      <c r="K433" s="458">
        <v>0.4</v>
      </c>
      <c r="L433" s="459">
        <f t="shared" si="24"/>
        <v>13.2</v>
      </c>
      <c r="M433" s="460">
        <v>0.25</v>
      </c>
      <c r="N433" s="461">
        <f t="shared" si="25"/>
        <v>16.5</v>
      </c>
      <c r="O433" s="462">
        <v>0.1</v>
      </c>
      <c r="P433" s="463">
        <f t="shared" si="26"/>
        <v>19.8</v>
      </c>
      <c r="Q433" s="464"/>
      <c r="R433" s="465">
        <v>20</v>
      </c>
      <c r="S433" s="465">
        <v>20</v>
      </c>
      <c r="T433" s="465">
        <v>20</v>
      </c>
      <c r="U433" s="466"/>
    </row>
    <row r="434" spans="1:24" x14ac:dyDescent="0.2">
      <c r="A434" s="453" t="s">
        <v>10553</v>
      </c>
      <c r="B434" s="453" t="s">
        <v>10554</v>
      </c>
      <c r="C434" s="505" t="s">
        <v>76</v>
      </c>
      <c r="D434" s="506" t="s">
        <v>9709</v>
      </c>
      <c r="E434" s="507" t="s">
        <v>9716</v>
      </c>
      <c r="F434" s="507" t="s">
        <v>1280</v>
      </c>
      <c r="G434" s="507" t="s">
        <v>1280</v>
      </c>
      <c r="H434" s="508">
        <v>754.92000000000007</v>
      </c>
      <c r="I434" s="457">
        <f t="shared" si="27"/>
        <v>811.5390000000001</v>
      </c>
      <c r="J434" s="457" t="s">
        <v>9706</v>
      </c>
      <c r="K434" s="458">
        <v>0.4</v>
      </c>
      <c r="L434" s="459">
        <f t="shared" si="24"/>
        <v>452.95200000000006</v>
      </c>
      <c r="M434" s="460">
        <v>0.3</v>
      </c>
      <c r="N434" s="461">
        <f t="shared" si="25"/>
        <v>568.07730000000004</v>
      </c>
      <c r="O434" s="462">
        <v>0.2</v>
      </c>
      <c r="P434" s="463">
        <f t="shared" si="26"/>
        <v>649.23120000000017</v>
      </c>
      <c r="Q434" s="464"/>
      <c r="R434" s="465">
        <v>1</v>
      </c>
      <c r="S434" s="465">
        <v>1</v>
      </c>
      <c r="T434" s="465">
        <v>1</v>
      </c>
      <c r="U434" s="466"/>
      <c r="W434" s="415"/>
      <c r="X434" s="415"/>
    </row>
    <row r="435" spans="1:24" x14ac:dyDescent="0.2">
      <c r="A435" s="453" t="s">
        <v>10555</v>
      </c>
      <c r="B435" s="453" t="s">
        <v>10556</v>
      </c>
      <c r="C435" s="505" t="s">
        <v>76</v>
      </c>
      <c r="D435" s="506" t="s">
        <v>9709</v>
      </c>
      <c r="E435" s="507" t="s">
        <v>9716</v>
      </c>
      <c r="F435" s="507" t="s">
        <v>1280</v>
      </c>
      <c r="G435" s="507" t="s">
        <v>1280</v>
      </c>
      <c r="H435" s="508">
        <v>754.92000000000007</v>
      </c>
      <c r="I435" s="457">
        <f t="shared" si="27"/>
        <v>811.5390000000001</v>
      </c>
      <c r="J435" s="457" t="s">
        <v>9706</v>
      </c>
      <c r="K435" s="458">
        <v>0.4</v>
      </c>
      <c r="L435" s="459">
        <f t="shared" si="24"/>
        <v>452.95200000000006</v>
      </c>
      <c r="M435" s="460">
        <v>0.3</v>
      </c>
      <c r="N435" s="461">
        <f t="shared" si="25"/>
        <v>568.07730000000004</v>
      </c>
      <c r="O435" s="462">
        <v>0.2</v>
      </c>
      <c r="P435" s="463">
        <f t="shared" si="26"/>
        <v>649.23120000000017</v>
      </c>
      <c r="Q435" s="464"/>
      <c r="R435" s="465">
        <v>1</v>
      </c>
      <c r="S435" s="465">
        <v>1</v>
      </c>
      <c r="T435" s="465">
        <v>1</v>
      </c>
      <c r="U435" s="466"/>
      <c r="W435" s="415"/>
      <c r="X435" s="415"/>
    </row>
    <row r="436" spans="1:24" ht="16" x14ac:dyDescent="0.2">
      <c r="A436" s="509" t="s">
        <v>10557</v>
      </c>
      <c r="B436" s="510" t="s">
        <v>10558</v>
      </c>
      <c r="C436" s="505" t="s">
        <v>76</v>
      </c>
      <c r="D436" s="506" t="s">
        <v>9709</v>
      </c>
      <c r="E436" s="507" t="s">
        <v>9758</v>
      </c>
      <c r="F436" s="507" t="s">
        <v>1280</v>
      </c>
      <c r="G436" s="507" t="s">
        <v>1280</v>
      </c>
      <c r="H436" s="508">
        <v>754.92000000000007</v>
      </c>
      <c r="I436" s="457">
        <f t="shared" si="27"/>
        <v>811.5390000000001</v>
      </c>
      <c r="J436" s="457" t="s">
        <v>9706</v>
      </c>
      <c r="K436" s="458">
        <v>0.4</v>
      </c>
      <c r="L436" s="459">
        <f t="shared" si="24"/>
        <v>452.95200000000006</v>
      </c>
      <c r="M436" s="460">
        <v>0.3</v>
      </c>
      <c r="N436" s="461">
        <f t="shared" si="25"/>
        <v>568.07730000000004</v>
      </c>
      <c r="O436" s="462">
        <v>0.2</v>
      </c>
      <c r="P436" s="463">
        <f t="shared" si="26"/>
        <v>649.23120000000017</v>
      </c>
      <c r="Q436" s="464"/>
      <c r="R436" s="465">
        <v>1</v>
      </c>
      <c r="S436" s="465">
        <v>1</v>
      </c>
      <c r="T436" s="465">
        <v>1</v>
      </c>
      <c r="U436" s="466"/>
      <c r="W436" s="415"/>
      <c r="X436" s="415"/>
    </row>
    <row r="437" spans="1:24" ht="16" x14ac:dyDescent="0.2">
      <c r="A437" s="509" t="s">
        <v>10559</v>
      </c>
      <c r="B437" s="510" t="s">
        <v>10560</v>
      </c>
      <c r="C437" s="505" t="s">
        <v>76</v>
      </c>
      <c r="D437" s="506" t="s">
        <v>9709</v>
      </c>
      <c r="E437" s="507" t="s">
        <v>9710</v>
      </c>
      <c r="F437" s="507" t="s">
        <v>1280</v>
      </c>
      <c r="G437" s="507" t="s">
        <v>1280</v>
      </c>
      <c r="H437" s="508">
        <v>754.92000000000007</v>
      </c>
      <c r="I437" s="457">
        <f t="shared" si="27"/>
        <v>811.5390000000001</v>
      </c>
      <c r="J437" s="457" t="s">
        <v>9706</v>
      </c>
      <c r="K437" s="458">
        <v>0.4</v>
      </c>
      <c r="L437" s="459">
        <f t="shared" si="24"/>
        <v>452.95200000000006</v>
      </c>
      <c r="M437" s="460">
        <v>0.3</v>
      </c>
      <c r="N437" s="461">
        <f t="shared" si="25"/>
        <v>568.07730000000004</v>
      </c>
      <c r="O437" s="462">
        <v>0.2</v>
      </c>
      <c r="P437" s="463">
        <f t="shared" si="26"/>
        <v>649.23120000000017</v>
      </c>
      <c r="Q437" s="464"/>
      <c r="R437" s="465">
        <v>1</v>
      </c>
      <c r="S437" s="465">
        <v>1</v>
      </c>
      <c r="T437" s="465">
        <v>1</v>
      </c>
      <c r="U437" s="466"/>
      <c r="W437" s="415"/>
      <c r="X437" s="415"/>
    </row>
    <row r="438" spans="1:24" ht="16" x14ac:dyDescent="0.2">
      <c r="A438" s="509" t="s">
        <v>10561</v>
      </c>
      <c r="B438" s="510" t="s">
        <v>10562</v>
      </c>
      <c r="C438" s="505" t="s">
        <v>76</v>
      </c>
      <c r="D438" s="506" t="s">
        <v>9709</v>
      </c>
      <c r="E438" s="507" t="s">
        <v>9710</v>
      </c>
      <c r="F438" s="507" t="s">
        <v>1280</v>
      </c>
      <c r="G438" s="507" t="s">
        <v>1280</v>
      </c>
      <c r="H438" s="508">
        <v>754.92000000000007</v>
      </c>
      <c r="I438" s="457">
        <f t="shared" si="27"/>
        <v>811.5390000000001</v>
      </c>
      <c r="J438" s="457" t="s">
        <v>9706</v>
      </c>
      <c r="K438" s="458">
        <v>0.4</v>
      </c>
      <c r="L438" s="459">
        <f t="shared" si="24"/>
        <v>452.95200000000006</v>
      </c>
      <c r="M438" s="460">
        <v>0.3</v>
      </c>
      <c r="N438" s="461">
        <f t="shared" si="25"/>
        <v>568.07730000000004</v>
      </c>
      <c r="O438" s="462">
        <v>0.2</v>
      </c>
      <c r="P438" s="463">
        <f t="shared" si="26"/>
        <v>649.23120000000017</v>
      </c>
      <c r="Q438" s="464"/>
      <c r="R438" s="465">
        <v>1</v>
      </c>
      <c r="S438" s="465">
        <v>1</v>
      </c>
      <c r="T438" s="465">
        <v>1</v>
      </c>
      <c r="U438" s="466"/>
      <c r="W438" s="415"/>
      <c r="X438" s="415"/>
    </row>
    <row r="439" spans="1:24" ht="16" x14ac:dyDescent="0.2">
      <c r="A439" s="509" t="s">
        <v>10563</v>
      </c>
      <c r="B439" s="510" t="s">
        <v>10564</v>
      </c>
      <c r="C439" s="505" t="s">
        <v>76</v>
      </c>
      <c r="D439" s="506" t="s">
        <v>9709</v>
      </c>
      <c r="E439" s="507" t="s">
        <v>9710</v>
      </c>
      <c r="F439" s="507" t="s">
        <v>1280</v>
      </c>
      <c r="G439" s="507" t="s">
        <v>1280</v>
      </c>
      <c r="H439" s="508">
        <v>754.92000000000007</v>
      </c>
      <c r="I439" s="457">
        <f t="shared" si="27"/>
        <v>811.5390000000001</v>
      </c>
      <c r="J439" s="457" t="s">
        <v>9706</v>
      </c>
      <c r="K439" s="458">
        <v>0.4</v>
      </c>
      <c r="L439" s="459">
        <f t="shared" si="24"/>
        <v>452.95200000000006</v>
      </c>
      <c r="M439" s="460">
        <v>0.3</v>
      </c>
      <c r="N439" s="461">
        <f t="shared" si="25"/>
        <v>568.07730000000004</v>
      </c>
      <c r="O439" s="462">
        <v>0.2</v>
      </c>
      <c r="P439" s="463">
        <f t="shared" si="26"/>
        <v>649.23120000000017</v>
      </c>
      <c r="Q439" s="464"/>
      <c r="R439" s="465">
        <v>1</v>
      </c>
      <c r="S439" s="465">
        <v>1</v>
      </c>
      <c r="T439" s="465">
        <v>1</v>
      </c>
      <c r="U439" s="466"/>
      <c r="W439" s="415"/>
      <c r="X439" s="415"/>
    </row>
    <row r="440" spans="1:24" ht="16" x14ac:dyDescent="0.2">
      <c r="A440" s="509" t="s">
        <v>10565</v>
      </c>
      <c r="B440" s="510" t="s">
        <v>10566</v>
      </c>
      <c r="C440" s="505" t="s">
        <v>76</v>
      </c>
      <c r="D440" s="506" t="s">
        <v>9783</v>
      </c>
      <c r="E440" s="507" t="s">
        <v>9716</v>
      </c>
      <c r="F440" s="507" t="s">
        <v>1280</v>
      </c>
      <c r="G440" s="507" t="s">
        <v>1280</v>
      </c>
      <c r="H440" s="508">
        <v>895.32</v>
      </c>
      <c r="I440" s="457">
        <f t="shared" si="27"/>
        <v>962.46900000000005</v>
      </c>
      <c r="J440" s="457" t="s">
        <v>9706</v>
      </c>
      <c r="K440" s="458">
        <v>0.4</v>
      </c>
      <c r="L440" s="459">
        <f t="shared" si="24"/>
        <v>537.19200000000001</v>
      </c>
      <c r="M440" s="460">
        <v>0.3</v>
      </c>
      <c r="N440" s="461">
        <f t="shared" si="25"/>
        <v>673.72829999999999</v>
      </c>
      <c r="O440" s="462">
        <v>0.2</v>
      </c>
      <c r="P440" s="463">
        <f t="shared" si="26"/>
        <v>769.97520000000009</v>
      </c>
      <c r="Q440" s="464"/>
      <c r="R440" s="465">
        <v>1</v>
      </c>
      <c r="S440" s="465">
        <v>1</v>
      </c>
      <c r="T440" s="465">
        <v>1</v>
      </c>
      <c r="U440" s="466"/>
      <c r="W440" s="415"/>
      <c r="X440" s="415"/>
    </row>
    <row r="441" spans="1:24" ht="16" x14ac:dyDescent="0.2">
      <c r="A441" s="509" t="s">
        <v>10567</v>
      </c>
      <c r="B441" s="510" t="s">
        <v>10568</v>
      </c>
      <c r="C441" s="505" t="s">
        <v>76</v>
      </c>
      <c r="D441" s="506" t="s">
        <v>9783</v>
      </c>
      <c r="E441" s="507" t="s">
        <v>9716</v>
      </c>
      <c r="F441" s="507" t="s">
        <v>1280</v>
      </c>
      <c r="G441" s="507" t="s">
        <v>1280</v>
      </c>
      <c r="H441" s="508">
        <v>895.32</v>
      </c>
      <c r="I441" s="457">
        <f t="shared" si="27"/>
        <v>962.46900000000005</v>
      </c>
      <c r="J441" s="457" t="s">
        <v>9706</v>
      </c>
      <c r="K441" s="458">
        <v>0.4</v>
      </c>
      <c r="L441" s="459">
        <f t="shared" si="24"/>
        <v>537.19200000000001</v>
      </c>
      <c r="M441" s="460">
        <v>0.3</v>
      </c>
      <c r="N441" s="461">
        <f t="shared" si="25"/>
        <v>673.72829999999999</v>
      </c>
      <c r="O441" s="462">
        <v>0.2</v>
      </c>
      <c r="P441" s="463">
        <f t="shared" si="26"/>
        <v>769.97520000000009</v>
      </c>
      <c r="Q441" s="464"/>
      <c r="R441" s="465">
        <v>1</v>
      </c>
      <c r="S441" s="465">
        <v>1</v>
      </c>
      <c r="T441" s="465">
        <v>1</v>
      </c>
      <c r="U441" s="466"/>
      <c r="W441" s="415"/>
      <c r="X441" s="415"/>
    </row>
    <row r="442" spans="1:24" ht="16" x14ac:dyDescent="0.2">
      <c r="A442" s="509" t="s">
        <v>10569</v>
      </c>
      <c r="B442" s="510" t="s">
        <v>10570</v>
      </c>
      <c r="C442" s="505" t="s">
        <v>76</v>
      </c>
      <c r="D442" s="506" t="s">
        <v>9783</v>
      </c>
      <c r="E442" s="507" t="s">
        <v>9758</v>
      </c>
      <c r="F442" s="507" t="s">
        <v>1280</v>
      </c>
      <c r="G442" s="507" t="s">
        <v>1280</v>
      </c>
      <c r="H442" s="508">
        <v>895.32</v>
      </c>
      <c r="I442" s="457">
        <f t="shared" si="27"/>
        <v>962.46900000000005</v>
      </c>
      <c r="J442" s="457" t="s">
        <v>9706</v>
      </c>
      <c r="K442" s="458">
        <v>0.4</v>
      </c>
      <c r="L442" s="459">
        <f t="shared" si="24"/>
        <v>537.19200000000001</v>
      </c>
      <c r="M442" s="460">
        <v>0.3</v>
      </c>
      <c r="N442" s="461">
        <f t="shared" si="25"/>
        <v>673.72829999999999</v>
      </c>
      <c r="O442" s="462">
        <v>0.2</v>
      </c>
      <c r="P442" s="463">
        <f t="shared" si="26"/>
        <v>769.97520000000009</v>
      </c>
      <c r="Q442" s="464"/>
      <c r="R442" s="465">
        <v>1</v>
      </c>
      <c r="S442" s="465">
        <v>1</v>
      </c>
      <c r="T442" s="465">
        <v>1</v>
      </c>
      <c r="U442" s="466"/>
      <c r="W442" s="415"/>
      <c r="X442" s="415"/>
    </row>
    <row r="443" spans="1:24" ht="16" x14ac:dyDescent="0.2">
      <c r="A443" s="509" t="s">
        <v>10571</v>
      </c>
      <c r="B443" s="510" t="s">
        <v>10572</v>
      </c>
      <c r="C443" s="505" t="s">
        <v>76</v>
      </c>
      <c r="D443" s="506" t="s">
        <v>9783</v>
      </c>
      <c r="E443" s="507" t="s">
        <v>9710</v>
      </c>
      <c r="F443" s="507" t="s">
        <v>1280</v>
      </c>
      <c r="G443" s="507" t="s">
        <v>1280</v>
      </c>
      <c r="H443" s="508">
        <v>895.32</v>
      </c>
      <c r="I443" s="457">
        <f t="shared" si="27"/>
        <v>962.46900000000005</v>
      </c>
      <c r="J443" s="457" t="s">
        <v>9706</v>
      </c>
      <c r="K443" s="458">
        <v>0.4</v>
      </c>
      <c r="L443" s="459">
        <f t="shared" si="24"/>
        <v>537.19200000000001</v>
      </c>
      <c r="M443" s="460">
        <v>0.3</v>
      </c>
      <c r="N443" s="461">
        <f t="shared" si="25"/>
        <v>673.72829999999999</v>
      </c>
      <c r="O443" s="462">
        <v>0.2</v>
      </c>
      <c r="P443" s="463">
        <f t="shared" si="26"/>
        <v>769.97520000000009</v>
      </c>
      <c r="Q443" s="464"/>
      <c r="R443" s="465">
        <v>1</v>
      </c>
      <c r="S443" s="465">
        <v>1</v>
      </c>
      <c r="T443" s="465">
        <v>1</v>
      </c>
      <c r="U443" s="466"/>
      <c r="W443" s="415"/>
      <c r="X443" s="415"/>
    </row>
    <row r="444" spans="1:24" ht="16" x14ac:dyDescent="0.2">
      <c r="A444" s="509" t="s">
        <v>10573</v>
      </c>
      <c r="B444" s="510" t="s">
        <v>10574</v>
      </c>
      <c r="C444" s="505" t="s">
        <v>76</v>
      </c>
      <c r="D444" s="506" t="s">
        <v>9783</v>
      </c>
      <c r="E444" s="507" t="s">
        <v>9710</v>
      </c>
      <c r="F444" s="507" t="s">
        <v>1280</v>
      </c>
      <c r="G444" s="507" t="s">
        <v>1280</v>
      </c>
      <c r="H444" s="508">
        <v>895.32</v>
      </c>
      <c r="I444" s="457">
        <f t="shared" si="27"/>
        <v>962.46900000000005</v>
      </c>
      <c r="J444" s="457" t="s">
        <v>9706</v>
      </c>
      <c r="K444" s="458">
        <v>0.4</v>
      </c>
      <c r="L444" s="459">
        <f t="shared" si="24"/>
        <v>537.19200000000001</v>
      </c>
      <c r="M444" s="460">
        <v>0.3</v>
      </c>
      <c r="N444" s="461">
        <f t="shared" si="25"/>
        <v>673.72829999999999</v>
      </c>
      <c r="O444" s="462">
        <v>0.2</v>
      </c>
      <c r="P444" s="463">
        <f t="shared" si="26"/>
        <v>769.97520000000009</v>
      </c>
      <c r="Q444" s="464"/>
      <c r="R444" s="465">
        <v>1</v>
      </c>
      <c r="S444" s="465">
        <v>1</v>
      </c>
      <c r="T444" s="465">
        <v>1</v>
      </c>
      <c r="U444" s="466"/>
      <c r="W444" s="415"/>
      <c r="X444" s="415"/>
    </row>
    <row r="445" spans="1:24" ht="16" x14ac:dyDescent="0.2">
      <c r="A445" s="509" t="s">
        <v>10575</v>
      </c>
      <c r="B445" s="510" t="s">
        <v>10576</v>
      </c>
      <c r="C445" s="505" t="s">
        <v>76</v>
      </c>
      <c r="D445" s="506" t="s">
        <v>9783</v>
      </c>
      <c r="E445" s="507" t="s">
        <v>9710</v>
      </c>
      <c r="F445" s="507" t="s">
        <v>1280</v>
      </c>
      <c r="G445" s="507" t="s">
        <v>1280</v>
      </c>
      <c r="H445" s="508">
        <v>895.32</v>
      </c>
      <c r="I445" s="457">
        <f t="shared" si="27"/>
        <v>962.46900000000005</v>
      </c>
      <c r="J445" s="457" t="s">
        <v>9706</v>
      </c>
      <c r="K445" s="458">
        <v>0.4</v>
      </c>
      <c r="L445" s="459">
        <f t="shared" si="24"/>
        <v>537.19200000000001</v>
      </c>
      <c r="M445" s="460">
        <v>0.3</v>
      </c>
      <c r="N445" s="461">
        <f t="shared" si="25"/>
        <v>673.72829999999999</v>
      </c>
      <c r="O445" s="462">
        <v>0.2</v>
      </c>
      <c r="P445" s="463">
        <f t="shared" si="26"/>
        <v>769.97520000000009</v>
      </c>
      <c r="Q445" s="464"/>
      <c r="R445" s="465">
        <v>1</v>
      </c>
      <c r="S445" s="465">
        <v>1</v>
      </c>
      <c r="T445" s="465">
        <v>1</v>
      </c>
      <c r="U445" s="466"/>
      <c r="W445" s="415"/>
      <c r="X445" s="415"/>
    </row>
    <row r="446" spans="1:24" x14ac:dyDescent="0.2">
      <c r="A446" s="511" t="s">
        <v>10577</v>
      </c>
      <c r="B446" s="505" t="s">
        <v>10578</v>
      </c>
      <c r="C446" s="505" t="s">
        <v>76</v>
      </c>
      <c r="D446" s="506" t="s">
        <v>9783</v>
      </c>
      <c r="E446" s="507" t="s">
        <v>9710</v>
      </c>
      <c r="F446" s="507" t="s">
        <v>10579</v>
      </c>
      <c r="G446" s="507" t="s">
        <v>1280</v>
      </c>
      <c r="H446" s="508">
        <v>754.92000000000007</v>
      </c>
      <c r="I446" s="457">
        <f t="shared" si="27"/>
        <v>811.5390000000001</v>
      </c>
      <c r="J446" s="457" t="s">
        <v>9706</v>
      </c>
      <c r="K446" s="458">
        <v>0.4</v>
      </c>
      <c r="L446" s="459">
        <f t="shared" si="24"/>
        <v>452.95200000000006</v>
      </c>
      <c r="M446" s="460">
        <v>0.3</v>
      </c>
      <c r="N446" s="461">
        <f t="shared" si="25"/>
        <v>568.07730000000004</v>
      </c>
      <c r="O446" s="462">
        <v>0.2</v>
      </c>
      <c r="P446" s="463">
        <f t="shared" si="26"/>
        <v>649.23120000000017</v>
      </c>
      <c r="Q446" s="464"/>
      <c r="R446" s="465">
        <v>1</v>
      </c>
      <c r="S446" s="465">
        <v>1</v>
      </c>
      <c r="T446" s="465">
        <v>1</v>
      </c>
      <c r="U446" s="466"/>
      <c r="W446" s="415"/>
      <c r="X446" s="415"/>
    </row>
    <row r="447" spans="1:24" x14ac:dyDescent="0.2">
      <c r="A447" s="511" t="s">
        <v>10580</v>
      </c>
      <c r="B447" s="505" t="s">
        <v>10581</v>
      </c>
      <c r="C447" s="505" t="s">
        <v>76</v>
      </c>
      <c r="D447" s="506" t="s">
        <v>9783</v>
      </c>
      <c r="E447" s="507" t="s">
        <v>9710</v>
      </c>
      <c r="F447" s="507" t="s">
        <v>10579</v>
      </c>
      <c r="G447" s="507" t="s">
        <v>1280</v>
      </c>
      <c r="H447" s="508">
        <v>754.92000000000007</v>
      </c>
      <c r="I447" s="457">
        <f t="shared" si="27"/>
        <v>811.5390000000001</v>
      </c>
      <c r="J447" s="457" t="s">
        <v>9706</v>
      </c>
      <c r="K447" s="458">
        <v>0.4</v>
      </c>
      <c r="L447" s="459">
        <f t="shared" si="24"/>
        <v>452.95200000000006</v>
      </c>
      <c r="M447" s="460">
        <v>0.3</v>
      </c>
      <c r="N447" s="461">
        <f t="shared" si="25"/>
        <v>568.07730000000004</v>
      </c>
      <c r="O447" s="462">
        <v>0.2</v>
      </c>
      <c r="P447" s="463">
        <f t="shared" si="26"/>
        <v>649.23120000000017</v>
      </c>
      <c r="Q447" s="464"/>
      <c r="R447" s="465">
        <v>1</v>
      </c>
      <c r="S447" s="465">
        <v>1</v>
      </c>
      <c r="T447" s="465">
        <v>1</v>
      </c>
      <c r="U447" s="466"/>
      <c r="W447" s="415"/>
      <c r="X447" s="415"/>
    </row>
    <row r="448" spans="1:24" x14ac:dyDescent="0.2">
      <c r="A448" s="511" t="s">
        <v>10582</v>
      </c>
      <c r="B448" s="505" t="s">
        <v>10583</v>
      </c>
      <c r="C448" s="505" t="s">
        <v>76</v>
      </c>
      <c r="D448" s="506" t="s">
        <v>9783</v>
      </c>
      <c r="E448" s="507" t="s">
        <v>9710</v>
      </c>
      <c r="F448" s="507" t="s">
        <v>10579</v>
      </c>
      <c r="G448" s="507" t="s">
        <v>1280</v>
      </c>
      <c r="H448" s="508">
        <v>895.32</v>
      </c>
      <c r="I448" s="457">
        <f t="shared" si="27"/>
        <v>962.46900000000005</v>
      </c>
      <c r="J448" s="457" t="s">
        <v>9706</v>
      </c>
      <c r="K448" s="458">
        <v>0.4</v>
      </c>
      <c r="L448" s="459">
        <f t="shared" si="24"/>
        <v>537.19200000000001</v>
      </c>
      <c r="M448" s="460">
        <v>0.3</v>
      </c>
      <c r="N448" s="461">
        <f t="shared" si="25"/>
        <v>673.72829999999999</v>
      </c>
      <c r="O448" s="462">
        <v>0.2</v>
      </c>
      <c r="P448" s="463">
        <f t="shared" si="26"/>
        <v>769.97520000000009</v>
      </c>
      <c r="Q448" s="464"/>
      <c r="R448" s="465">
        <v>1</v>
      </c>
      <c r="S448" s="465">
        <v>1</v>
      </c>
      <c r="T448" s="465">
        <v>1</v>
      </c>
      <c r="U448" s="466"/>
      <c r="W448" s="415"/>
      <c r="X448" s="415"/>
    </row>
    <row r="449" spans="1:24" x14ac:dyDescent="0.2">
      <c r="A449" s="511" t="s">
        <v>10584</v>
      </c>
      <c r="B449" s="505" t="s">
        <v>10585</v>
      </c>
      <c r="C449" s="505" t="s">
        <v>76</v>
      </c>
      <c r="D449" s="506" t="s">
        <v>9783</v>
      </c>
      <c r="E449" s="507" t="s">
        <v>9710</v>
      </c>
      <c r="F449" s="507" t="s">
        <v>10579</v>
      </c>
      <c r="G449" s="507" t="s">
        <v>1280</v>
      </c>
      <c r="H449" s="508">
        <v>895.32</v>
      </c>
      <c r="I449" s="457">
        <f t="shared" si="27"/>
        <v>962.46900000000005</v>
      </c>
      <c r="J449" s="457" t="s">
        <v>9706</v>
      </c>
      <c r="K449" s="458">
        <v>0.4</v>
      </c>
      <c r="L449" s="459">
        <f t="shared" si="24"/>
        <v>537.19200000000001</v>
      </c>
      <c r="M449" s="460">
        <v>0.3</v>
      </c>
      <c r="N449" s="461">
        <f t="shared" si="25"/>
        <v>673.72829999999999</v>
      </c>
      <c r="O449" s="462">
        <v>0.2</v>
      </c>
      <c r="P449" s="463">
        <f t="shared" si="26"/>
        <v>769.97520000000009</v>
      </c>
      <c r="Q449" s="464"/>
      <c r="R449" s="465">
        <v>1</v>
      </c>
      <c r="S449" s="465">
        <v>1</v>
      </c>
      <c r="T449" s="465">
        <v>1</v>
      </c>
      <c r="U449" s="466"/>
      <c r="W449" s="415"/>
      <c r="X449" s="415"/>
    </row>
    <row r="450" spans="1:24" x14ac:dyDescent="0.2">
      <c r="A450" s="511" t="s">
        <v>10586</v>
      </c>
      <c r="B450" s="505" t="s">
        <v>10587</v>
      </c>
      <c r="C450" s="505" t="s">
        <v>76</v>
      </c>
      <c r="D450" s="506" t="s">
        <v>9783</v>
      </c>
      <c r="E450" s="507" t="s">
        <v>9710</v>
      </c>
      <c r="F450" s="507" t="s">
        <v>10579</v>
      </c>
      <c r="G450" s="507" t="s">
        <v>1280</v>
      </c>
      <c r="H450" s="508">
        <v>754.92000000000007</v>
      </c>
      <c r="I450" s="457">
        <f t="shared" si="27"/>
        <v>811.5390000000001</v>
      </c>
      <c r="J450" s="457" t="s">
        <v>9706</v>
      </c>
      <c r="K450" s="458">
        <v>0.4</v>
      </c>
      <c r="L450" s="459">
        <f t="shared" si="24"/>
        <v>452.95200000000006</v>
      </c>
      <c r="M450" s="460">
        <v>0.3</v>
      </c>
      <c r="N450" s="461">
        <f t="shared" si="25"/>
        <v>568.07730000000004</v>
      </c>
      <c r="O450" s="462">
        <v>0.2</v>
      </c>
      <c r="P450" s="463">
        <f t="shared" si="26"/>
        <v>649.23120000000017</v>
      </c>
      <c r="Q450" s="464"/>
      <c r="R450" s="465">
        <v>1</v>
      </c>
      <c r="S450" s="465">
        <v>1</v>
      </c>
      <c r="T450" s="465">
        <v>1</v>
      </c>
      <c r="U450" s="466"/>
      <c r="W450" s="415"/>
      <c r="X450" s="415"/>
    </row>
    <row r="451" spans="1:24" x14ac:dyDescent="0.2">
      <c r="A451" s="511" t="s">
        <v>10588</v>
      </c>
      <c r="B451" s="505" t="s">
        <v>10589</v>
      </c>
      <c r="C451" s="505" t="s">
        <v>76</v>
      </c>
      <c r="D451" s="506" t="s">
        <v>9783</v>
      </c>
      <c r="E451" s="507" t="s">
        <v>9710</v>
      </c>
      <c r="F451" s="507" t="s">
        <v>10579</v>
      </c>
      <c r="G451" s="507" t="s">
        <v>1280</v>
      </c>
      <c r="H451" s="508">
        <v>754.92000000000007</v>
      </c>
      <c r="I451" s="457">
        <f t="shared" si="27"/>
        <v>811.5390000000001</v>
      </c>
      <c r="J451" s="457" t="s">
        <v>9706</v>
      </c>
      <c r="K451" s="458">
        <v>0.4</v>
      </c>
      <c r="L451" s="459">
        <f t="shared" si="24"/>
        <v>452.95200000000006</v>
      </c>
      <c r="M451" s="460">
        <v>0.3</v>
      </c>
      <c r="N451" s="461">
        <f t="shared" si="25"/>
        <v>568.07730000000004</v>
      </c>
      <c r="O451" s="462">
        <v>0.2</v>
      </c>
      <c r="P451" s="463">
        <f t="shared" si="26"/>
        <v>649.23120000000017</v>
      </c>
      <c r="Q451" s="464"/>
      <c r="R451" s="465">
        <v>1</v>
      </c>
      <c r="S451" s="465">
        <v>1</v>
      </c>
      <c r="T451" s="465">
        <v>1</v>
      </c>
      <c r="U451" s="466"/>
      <c r="W451" s="415"/>
      <c r="X451" s="415"/>
    </row>
    <row r="452" spans="1:24" x14ac:dyDescent="0.2">
      <c r="A452" s="511" t="s">
        <v>10590</v>
      </c>
      <c r="B452" s="505" t="s">
        <v>10591</v>
      </c>
      <c r="C452" s="505" t="s">
        <v>76</v>
      </c>
      <c r="D452" s="506" t="s">
        <v>9783</v>
      </c>
      <c r="E452" s="507" t="s">
        <v>9710</v>
      </c>
      <c r="F452" s="507" t="s">
        <v>10579</v>
      </c>
      <c r="G452" s="507" t="s">
        <v>1280</v>
      </c>
      <c r="H452" s="508">
        <v>895.32</v>
      </c>
      <c r="I452" s="457">
        <f t="shared" si="27"/>
        <v>962.46900000000005</v>
      </c>
      <c r="J452" s="457" t="s">
        <v>9706</v>
      </c>
      <c r="K452" s="458">
        <v>0.4</v>
      </c>
      <c r="L452" s="459">
        <f t="shared" si="24"/>
        <v>537.19200000000001</v>
      </c>
      <c r="M452" s="460">
        <v>0.3</v>
      </c>
      <c r="N452" s="461">
        <f t="shared" si="25"/>
        <v>673.72829999999999</v>
      </c>
      <c r="O452" s="462">
        <v>0.2</v>
      </c>
      <c r="P452" s="463">
        <f t="shared" si="26"/>
        <v>769.97520000000009</v>
      </c>
      <c r="Q452" s="464"/>
      <c r="R452" s="465">
        <v>1</v>
      </c>
      <c r="S452" s="465">
        <v>1</v>
      </c>
      <c r="T452" s="465">
        <v>1</v>
      </c>
      <c r="U452" s="466"/>
      <c r="W452" s="415"/>
      <c r="X452" s="415"/>
    </row>
    <row r="453" spans="1:24" x14ac:dyDescent="0.2">
      <c r="A453" s="511" t="s">
        <v>10592</v>
      </c>
      <c r="B453" s="505" t="s">
        <v>10593</v>
      </c>
      <c r="C453" s="505" t="s">
        <v>76</v>
      </c>
      <c r="D453" s="506" t="s">
        <v>9783</v>
      </c>
      <c r="E453" s="507" t="s">
        <v>9710</v>
      </c>
      <c r="F453" s="507" t="s">
        <v>10579</v>
      </c>
      <c r="G453" s="507" t="s">
        <v>1280</v>
      </c>
      <c r="H453" s="508">
        <v>895.32</v>
      </c>
      <c r="I453" s="457">
        <f t="shared" si="27"/>
        <v>962.46900000000005</v>
      </c>
      <c r="J453" s="457" t="s">
        <v>9706</v>
      </c>
      <c r="K453" s="458">
        <v>0.4</v>
      </c>
      <c r="L453" s="459">
        <f t="shared" ref="L453:L468" si="29">H453*(1-K453)</f>
        <v>537.19200000000001</v>
      </c>
      <c r="M453" s="460">
        <v>0.3</v>
      </c>
      <c r="N453" s="461">
        <f t="shared" ref="N453:N468" si="30">I453*(1-M453)</f>
        <v>673.72829999999999</v>
      </c>
      <c r="O453" s="462">
        <v>0.2</v>
      </c>
      <c r="P453" s="463">
        <f t="shared" ref="P453:P468" si="31">I453*(1-O453)</f>
        <v>769.97520000000009</v>
      </c>
      <c r="Q453" s="464"/>
      <c r="R453" s="465">
        <v>1</v>
      </c>
      <c r="S453" s="465">
        <v>1</v>
      </c>
      <c r="T453" s="465">
        <v>1</v>
      </c>
      <c r="U453" s="466"/>
      <c r="W453" s="415"/>
      <c r="X453" s="415"/>
    </row>
    <row r="454" spans="1:24" s="525" customFormat="1" x14ac:dyDescent="0.2">
      <c r="A454" s="512" t="s">
        <v>10594</v>
      </c>
      <c r="B454" s="513" t="s">
        <v>10595</v>
      </c>
      <c r="C454" s="514" t="s">
        <v>386</v>
      </c>
      <c r="D454" s="515" t="s">
        <v>9709</v>
      </c>
      <c r="E454" s="516" t="s">
        <v>9710</v>
      </c>
      <c r="F454" s="478" t="s">
        <v>10596</v>
      </c>
      <c r="G454" s="478" t="s">
        <v>7180</v>
      </c>
      <c r="H454" s="517">
        <v>160.91999999999999</v>
      </c>
      <c r="I454" s="504">
        <f t="shared" si="27"/>
        <v>172.98899999999998</v>
      </c>
      <c r="J454" s="504" t="s">
        <v>10597</v>
      </c>
      <c r="K454" s="518">
        <v>0.3</v>
      </c>
      <c r="L454" s="519">
        <f t="shared" si="29"/>
        <v>112.64399999999998</v>
      </c>
      <c r="M454" s="479">
        <v>0.18</v>
      </c>
      <c r="N454" s="520">
        <f t="shared" si="30"/>
        <v>141.85097999999999</v>
      </c>
      <c r="O454" s="480">
        <v>0.1</v>
      </c>
      <c r="P454" s="521">
        <f t="shared" si="31"/>
        <v>155.69009999999997</v>
      </c>
      <c r="Q454" s="522"/>
      <c r="R454" s="523">
        <v>20</v>
      </c>
      <c r="S454" s="523">
        <v>20</v>
      </c>
      <c r="T454" s="523">
        <v>600</v>
      </c>
      <c r="U454" s="524"/>
      <c r="W454" s="526"/>
      <c r="X454" s="527"/>
    </row>
    <row r="455" spans="1:24" s="525" customFormat="1" x14ac:dyDescent="0.2">
      <c r="A455" s="512" t="s">
        <v>10598</v>
      </c>
      <c r="B455" s="513" t="s">
        <v>10599</v>
      </c>
      <c r="C455" s="514" t="s">
        <v>386</v>
      </c>
      <c r="D455" s="515" t="s">
        <v>9709</v>
      </c>
      <c r="E455" s="516" t="s">
        <v>9710</v>
      </c>
      <c r="F455" s="478" t="s">
        <v>10596</v>
      </c>
      <c r="G455" s="478" t="s">
        <v>7180</v>
      </c>
      <c r="H455" s="517">
        <v>160.91999999999999</v>
      </c>
      <c r="I455" s="504">
        <f t="shared" si="27"/>
        <v>172.98899999999998</v>
      </c>
      <c r="J455" s="504" t="s">
        <v>10597</v>
      </c>
      <c r="K455" s="518">
        <v>0.3</v>
      </c>
      <c r="L455" s="519">
        <f t="shared" si="29"/>
        <v>112.64399999999998</v>
      </c>
      <c r="M455" s="479">
        <v>0.18</v>
      </c>
      <c r="N455" s="520">
        <f t="shared" si="30"/>
        <v>141.85097999999999</v>
      </c>
      <c r="O455" s="480">
        <v>0.1</v>
      </c>
      <c r="P455" s="521">
        <f t="shared" si="31"/>
        <v>155.69009999999997</v>
      </c>
      <c r="Q455" s="522"/>
      <c r="R455" s="523">
        <v>20</v>
      </c>
      <c r="S455" s="523">
        <v>20</v>
      </c>
      <c r="T455" s="523">
        <v>600</v>
      </c>
      <c r="U455" s="524"/>
      <c r="W455" s="526"/>
      <c r="X455" s="527"/>
    </row>
    <row r="456" spans="1:24" s="525" customFormat="1" x14ac:dyDescent="0.2">
      <c r="A456" s="512" t="s">
        <v>10600</v>
      </c>
      <c r="B456" s="513" t="s">
        <v>10601</v>
      </c>
      <c r="C456" s="514" t="s">
        <v>386</v>
      </c>
      <c r="D456" s="515" t="s">
        <v>9709</v>
      </c>
      <c r="E456" s="516" t="s">
        <v>9710</v>
      </c>
      <c r="F456" s="478" t="s">
        <v>10596</v>
      </c>
      <c r="G456" s="478" t="s">
        <v>7180</v>
      </c>
      <c r="H456" s="517">
        <v>160.91999999999999</v>
      </c>
      <c r="I456" s="504">
        <f t="shared" si="27"/>
        <v>172.98899999999998</v>
      </c>
      <c r="J456" s="504" t="s">
        <v>10597</v>
      </c>
      <c r="K456" s="518">
        <v>0.3</v>
      </c>
      <c r="L456" s="519">
        <f t="shared" si="29"/>
        <v>112.64399999999998</v>
      </c>
      <c r="M456" s="479">
        <v>0.18</v>
      </c>
      <c r="N456" s="520">
        <f t="shared" si="30"/>
        <v>141.85097999999999</v>
      </c>
      <c r="O456" s="480">
        <v>0.1</v>
      </c>
      <c r="P456" s="521">
        <f t="shared" si="31"/>
        <v>155.69009999999997</v>
      </c>
      <c r="Q456" s="522"/>
      <c r="R456" s="523">
        <v>20</v>
      </c>
      <c r="S456" s="523">
        <v>20</v>
      </c>
      <c r="T456" s="523">
        <v>600</v>
      </c>
      <c r="U456" s="524"/>
      <c r="W456" s="526"/>
      <c r="X456" s="527"/>
    </row>
    <row r="457" spans="1:24" s="525" customFormat="1" x14ac:dyDescent="0.2">
      <c r="A457" s="512" t="s">
        <v>10602</v>
      </c>
      <c r="B457" s="513" t="s">
        <v>10603</v>
      </c>
      <c r="C457" s="514" t="s">
        <v>386</v>
      </c>
      <c r="D457" s="515" t="s">
        <v>9709</v>
      </c>
      <c r="E457" s="478" t="s">
        <v>9758</v>
      </c>
      <c r="F457" s="478" t="s">
        <v>10596</v>
      </c>
      <c r="G457" s="478" t="s">
        <v>7180</v>
      </c>
      <c r="H457" s="517">
        <v>160.91999999999999</v>
      </c>
      <c r="I457" s="504">
        <f t="shared" si="27"/>
        <v>172.98899999999998</v>
      </c>
      <c r="J457" s="504" t="s">
        <v>10597</v>
      </c>
      <c r="K457" s="518">
        <v>0.3</v>
      </c>
      <c r="L457" s="519">
        <f t="shared" si="29"/>
        <v>112.64399999999998</v>
      </c>
      <c r="M457" s="479">
        <v>0.18</v>
      </c>
      <c r="N457" s="520">
        <f t="shared" si="30"/>
        <v>141.85097999999999</v>
      </c>
      <c r="O457" s="480">
        <v>0.1</v>
      </c>
      <c r="P457" s="521">
        <f t="shared" si="31"/>
        <v>155.69009999999997</v>
      </c>
      <c r="Q457" s="522"/>
      <c r="R457" s="523">
        <v>20</v>
      </c>
      <c r="S457" s="523">
        <v>20</v>
      </c>
      <c r="T457" s="523">
        <v>600</v>
      </c>
      <c r="U457" s="524"/>
      <c r="W457" s="526"/>
      <c r="X457" s="527"/>
    </row>
    <row r="458" spans="1:24" s="525" customFormat="1" x14ac:dyDescent="0.2">
      <c r="A458" s="512" t="s">
        <v>10604</v>
      </c>
      <c r="B458" s="513" t="s">
        <v>10605</v>
      </c>
      <c r="C458" s="514" t="s">
        <v>386</v>
      </c>
      <c r="D458" s="515" t="s">
        <v>9709</v>
      </c>
      <c r="E458" s="516" t="s">
        <v>9710</v>
      </c>
      <c r="F458" s="478" t="s">
        <v>10596</v>
      </c>
      <c r="G458" s="478" t="s">
        <v>7180</v>
      </c>
      <c r="H458" s="517">
        <v>160.91999999999999</v>
      </c>
      <c r="I458" s="504">
        <f t="shared" si="27"/>
        <v>172.98899999999998</v>
      </c>
      <c r="J458" s="504" t="s">
        <v>10597</v>
      </c>
      <c r="K458" s="518">
        <v>0.3</v>
      </c>
      <c r="L458" s="519">
        <f t="shared" si="29"/>
        <v>112.64399999999998</v>
      </c>
      <c r="M458" s="479">
        <v>0.18</v>
      </c>
      <c r="N458" s="520">
        <f t="shared" si="30"/>
        <v>141.85097999999999</v>
      </c>
      <c r="O458" s="480">
        <v>0.1</v>
      </c>
      <c r="P458" s="521">
        <f t="shared" si="31"/>
        <v>155.69009999999997</v>
      </c>
      <c r="Q458" s="522"/>
      <c r="R458" s="523">
        <v>20</v>
      </c>
      <c r="S458" s="523">
        <v>20</v>
      </c>
      <c r="T458" s="523">
        <v>600</v>
      </c>
      <c r="U458" s="524"/>
      <c r="W458" s="526"/>
      <c r="X458" s="527"/>
    </row>
    <row r="459" spans="1:24" s="525" customFormat="1" x14ac:dyDescent="0.2">
      <c r="A459" s="512" t="s">
        <v>10606</v>
      </c>
      <c r="B459" s="513" t="s">
        <v>10607</v>
      </c>
      <c r="C459" s="514" t="s">
        <v>386</v>
      </c>
      <c r="D459" s="515" t="s">
        <v>9709</v>
      </c>
      <c r="E459" s="478" t="s">
        <v>9758</v>
      </c>
      <c r="F459" s="478" t="s">
        <v>10596</v>
      </c>
      <c r="G459" s="478" t="s">
        <v>7180</v>
      </c>
      <c r="H459" s="517">
        <v>160.91999999999999</v>
      </c>
      <c r="I459" s="504">
        <f t="shared" si="27"/>
        <v>172.98899999999998</v>
      </c>
      <c r="J459" s="504" t="s">
        <v>10597</v>
      </c>
      <c r="K459" s="518">
        <v>0.3</v>
      </c>
      <c r="L459" s="519">
        <f t="shared" si="29"/>
        <v>112.64399999999998</v>
      </c>
      <c r="M459" s="479">
        <v>0.18</v>
      </c>
      <c r="N459" s="520">
        <f t="shared" si="30"/>
        <v>141.85097999999999</v>
      </c>
      <c r="O459" s="480">
        <v>0.1</v>
      </c>
      <c r="P459" s="521">
        <f t="shared" si="31"/>
        <v>155.69009999999997</v>
      </c>
      <c r="Q459" s="522"/>
      <c r="R459" s="523">
        <v>20</v>
      </c>
      <c r="S459" s="523">
        <v>20</v>
      </c>
      <c r="T459" s="523">
        <v>600</v>
      </c>
      <c r="U459" s="524"/>
      <c r="W459" s="526"/>
      <c r="X459" s="527"/>
    </row>
    <row r="460" spans="1:24" s="525" customFormat="1" x14ac:dyDescent="0.2">
      <c r="A460" s="512" t="s">
        <v>10608</v>
      </c>
      <c r="B460" s="513" t="s">
        <v>10609</v>
      </c>
      <c r="C460" s="514" t="s">
        <v>386</v>
      </c>
      <c r="D460" s="515" t="s">
        <v>9709</v>
      </c>
      <c r="E460" s="516" t="s">
        <v>9710</v>
      </c>
      <c r="F460" s="478" t="s">
        <v>10596</v>
      </c>
      <c r="G460" s="478" t="s">
        <v>7180</v>
      </c>
      <c r="H460" s="517">
        <v>160.91999999999999</v>
      </c>
      <c r="I460" s="504">
        <f t="shared" si="27"/>
        <v>172.98899999999998</v>
      </c>
      <c r="J460" s="504" t="s">
        <v>10597</v>
      </c>
      <c r="K460" s="518">
        <v>0.3</v>
      </c>
      <c r="L460" s="519">
        <f t="shared" si="29"/>
        <v>112.64399999999998</v>
      </c>
      <c r="M460" s="479">
        <v>0.18</v>
      </c>
      <c r="N460" s="520">
        <f t="shared" si="30"/>
        <v>141.85097999999999</v>
      </c>
      <c r="O460" s="480">
        <v>0.1</v>
      </c>
      <c r="P460" s="521">
        <f t="shared" si="31"/>
        <v>155.69009999999997</v>
      </c>
      <c r="Q460" s="522"/>
      <c r="R460" s="523">
        <v>20</v>
      </c>
      <c r="S460" s="523">
        <v>20</v>
      </c>
      <c r="T460" s="523">
        <v>600</v>
      </c>
      <c r="U460" s="524"/>
      <c r="W460" s="526"/>
      <c r="X460" s="527"/>
    </row>
    <row r="461" spans="1:24" s="525" customFormat="1" x14ac:dyDescent="0.2">
      <c r="A461" s="512" t="s">
        <v>10610</v>
      </c>
      <c r="B461" s="513" t="s">
        <v>10611</v>
      </c>
      <c r="C461" s="514" t="s">
        <v>386</v>
      </c>
      <c r="D461" s="515" t="s">
        <v>9709</v>
      </c>
      <c r="E461" s="478" t="s">
        <v>12</v>
      </c>
      <c r="F461" s="478" t="s">
        <v>10596</v>
      </c>
      <c r="G461" s="478" t="s">
        <v>7180</v>
      </c>
      <c r="H461" s="517">
        <v>160.91999999999999</v>
      </c>
      <c r="I461" s="504">
        <f t="shared" si="27"/>
        <v>172.98899999999998</v>
      </c>
      <c r="J461" s="504" t="s">
        <v>10597</v>
      </c>
      <c r="K461" s="518">
        <v>0.3</v>
      </c>
      <c r="L461" s="519">
        <f t="shared" si="29"/>
        <v>112.64399999999998</v>
      </c>
      <c r="M461" s="479">
        <v>0.18</v>
      </c>
      <c r="N461" s="520">
        <f t="shared" si="30"/>
        <v>141.85097999999999</v>
      </c>
      <c r="O461" s="480">
        <v>0.1</v>
      </c>
      <c r="P461" s="521">
        <f t="shared" si="31"/>
        <v>155.69009999999997</v>
      </c>
      <c r="Q461" s="522"/>
      <c r="R461" s="523">
        <v>20</v>
      </c>
      <c r="S461" s="523">
        <v>20</v>
      </c>
      <c r="T461" s="523">
        <v>600</v>
      </c>
      <c r="U461" s="524"/>
      <c r="W461" s="526"/>
      <c r="X461" s="527"/>
    </row>
    <row r="462" spans="1:24" s="525" customFormat="1" x14ac:dyDescent="0.2">
      <c r="A462" s="512" t="s">
        <v>10612</v>
      </c>
      <c r="B462" s="513" t="s">
        <v>10613</v>
      </c>
      <c r="C462" s="514" t="s">
        <v>386</v>
      </c>
      <c r="D462" s="515" t="s">
        <v>9709</v>
      </c>
      <c r="E462" s="516" t="s">
        <v>9710</v>
      </c>
      <c r="F462" s="478" t="s">
        <v>10596</v>
      </c>
      <c r="G462" s="478" t="s">
        <v>7180</v>
      </c>
      <c r="H462" s="517">
        <v>160.91999999999999</v>
      </c>
      <c r="I462" s="504">
        <f t="shared" si="27"/>
        <v>172.98899999999998</v>
      </c>
      <c r="J462" s="504" t="s">
        <v>10597</v>
      </c>
      <c r="K462" s="518">
        <v>0.3</v>
      </c>
      <c r="L462" s="519">
        <f t="shared" si="29"/>
        <v>112.64399999999998</v>
      </c>
      <c r="M462" s="479">
        <v>0.18</v>
      </c>
      <c r="N462" s="520">
        <f t="shared" si="30"/>
        <v>141.85097999999999</v>
      </c>
      <c r="O462" s="480">
        <v>0.1</v>
      </c>
      <c r="P462" s="521">
        <f t="shared" si="31"/>
        <v>155.69009999999997</v>
      </c>
      <c r="Q462" s="522"/>
      <c r="R462" s="523">
        <v>20</v>
      </c>
      <c r="S462" s="523">
        <v>20</v>
      </c>
      <c r="T462" s="523">
        <v>600</v>
      </c>
      <c r="U462" s="524"/>
      <c r="W462" s="526"/>
      <c r="X462" s="527"/>
    </row>
    <row r="463" spans="1:24" s="525" customFormat="1" x14ac:dyDescent="0.2">
      <c r="A463" s="512" t="s">
        <v>10614</v>
      </c>
      <c r="B463" s="513" t="s">
        <v>10615</v>
      </c>
      <c r="C463" s="514" t="s">
        <v>386</v>
      </c>
      <c r="D463" s="515" t="s">
        <v>9709</v>
      </c>
      <c r="E463" s="516" t="s">
        <v>9710</v>
      </c>
      <c r="F463" s="478" t="s">
        <v>10596</v>
      </c>
      <c r="G463" s="478" t="s">
        <v>7180</v>
      </c>
      <c r="H463" s="517">
        <v>160.91999999999999</v>
      </c>
      <c r="I463" s="504">
        <f t="shared" si="27"/>
        <v>172.98899999999998</v>
      </c>
      <c r="J463" s="504" t="s">
        <v>10597</v>
      </c>
      <c r="K463" s="518">
        <v>0.3</v>
      </c>
      <c r="L463" s="519">
        <f t="shared" si="29"/>
        <v>112.64399999999998</v>
      </c>
      <c r="M463" s="479">
        <v>0.18</v>
      </c>
      <c r="N463" s="520">
        <f t="shared" si="30"/>
        <v>141.85097999999999</v>
      </c>
      <c r="O463" s="480">
        <v>0.1</v>
      </c>
      <c r="P463" s="521">
        <f t="shared" si="31"/>
        <v>155.69009999999997</v>
      </c>
      <c r="Q463" s="522"/>
      <c r="R463" s="523">
        <v>20</v>
      </c>
      <c r="S463" s="523">
        <v>20</v>
      </c>
      <c r="T463" s="523">
        <v>600</v>
      </c>
      <c r="U463" s="524"/>
      <c r="W463" s="526"/>
      <c r="X463" s="527"/>
    </row>
    <row r="464" spans="1:24" s="525" customFormat="1" x14ac:dyDescent="0.2">
      <c r="A464" s="512" t="s">
        <v>10616</v>
      </c>
      <c r="B464" s="513" t="s">
        <v>10617</v>
      </c>
      <c r="C464" s="514" t="s">
        <v>386</v>
      </c>
      <c r="D464" s="515" t="s">
        <v>9709</v>
      </c>
      <c r="E464" s="516" t="s">
        <v>9710</v>
      </c>
      <c r="F464" s="478" t="s">
        <v>10596</v>
      </c>
      <c r="G464" s="478" t="s">
        <v>7180</v>
      </c>
      <c r="H464" s="517">
        <v>160.91999999999999</v>
      </c>
      <c r="I464" s="504">
        <f t="shared" si="27"/>
        <v>172.98899999999998</v>
      </c>
      <c r="J464" s="504" t="s">
        <v>10597</v>
      </c>
      <c r="K464" s="518">
        <v>0.3</v>
      </c>
      <c r="L464" s="519">
        <f t="shared" si="29"/>
        <v>112.64399999999998</v>
      </c>
      <c r="M464" s="479">
        <v>0.18</v>
      </c>
      <c r="N464" s="520">
        <f t="shared" si="30"/>
        <v>141.85097999999999</v>
      </c>
      <c r="O464" s="480">
        <v>0.1</v>
      </c>
      <c r="P464" s="521">
        <f t="shared" si="31"/>
        <v>155.69009999999997</v>
      </c>
      <c r="Q464" s="522"/>
      <c r="R464" s="523">
        <v>20</v>
      </c>
      <c r="S464" s="523">
        <v>20</v>
      </c>
      <c r="T464" s="523">
        <v>600</v>
      </c>
      <c r="U464" s="524"/>
      <c r="W464" s="526"/>
      <c r="X464" s="527"/>
    </row>
    <row r="465" spans="1:24" s="525" customFormat="1" x14ac:dyDescent="0.2">
      <c r="A465" s="512" t="s">
        <v>10618</v>
      </c>
      <c r="B465" s="513" t="s">
        <v>10619</v>
      </c>
      <c r="C465" s="514" t="s">
        <v>386</v>
      </c>
      <c r="D465" s="515" t="s">
        <v>9709</v>
      </c>
      <c r="E465" s="516" t="s">
        <v>9710</v>
      </c>
      <c r="F465" s="478" t="s">
        <v>10596</v>
      </c>
      <c r="G465" s="478" t="s">
        <v>7180</v>
      </c>
      <c r="H465" s="517">
        <v>160.91999999999999</v>
      </c>
      <c r="I465" s="504">
        <f t="shared" si="27"/>
        <v>172.98899999999998</v>
      </c>
      <c r="J465" s="504" t="s">
        <v>10597</v>
      </c>
      <c r="K465" s="518">
        <v>0.3</v>
      </c>
      <c r="L465" s="519">
        <f t="shared" si="29"/>
        <v>112.64399999999998</v>
      </c>
      <c r="M465" s="479">
        <v>0.18</v>
      </c>
      <c r="N465" s="520">
        <f t="shared" si="30"/>
        <v>141.85097999999999</v>
      </c>
      <c r="O465" s="480">
        <v>0.1</v>
      </c>
      <c r="P465" s="521">
        <f t="shared" si="31"/>
        <v>155.69009999999997</v>
      </c>
      <c r="Q465" s="522"/>
      <c r="R465" s="523">
        <v>20</v>
      </c>
      <c r="S465" s="523">
        <v>20</v>
      </c>
      <c r="T465" s="523">
        <v>600</v>
      </c>
      <c r="U465" s="524"/>
      <c r="W465" s="526"/>
      <c r="X465" s="527"/>
    </row>
    <row r="466" spans="1:24" s="525" customFormat="1" x14ac:dyDescent="0.2">
      <c r="A466" s="512" t="s">
        <v>10620</v>
      </c>
      <c r="B466" s="513" t="s">
        <v>10621</v>
      </c>
      <c r="C466" s="514" t="s">
        <v>386</v>
      </c>
      <c r="D466" s="515" t="s">
        <v>9709</v>
      </c>
      <c r="E466" s="516" t="s">
        <v>9710</v>
      </c>
      <c r="F466" s="478" t="s">
        <v>10596</v>
      </c>
      <c r="G466" s="478" t="s">
        <v>7180</v>
      </c>
      <c r="H466" s="517">
        <v>160.91999999999999</v>
      </c>
      <c r="I466" s="504">
        <f t="shared" si="27"/>
        <v>172.98899999999998</v>
      </c>
      <c r="J466" s="504" t="s">
        <v>10597</v>
      </c>
      <c r="K466" s="518">
        <v>0.3</v>
      </c>
      <c r="L466" s="519">
        <f t="shared" si="29"/>
        <v>112.64399999999998</v>
      </c>
      <c r="M466" s="479">
        <v>0.18</v>
      </c>
      <c r="N466" s="520">
        <f t="shared" si="30"/>
        <v>141.85097999999999</v>
      </c>
      <c r="O466" s="480">
        <v>0.1</v>
      </c>
      <c r="P466" s="521">
        <f t="shared" si="31"/>
        <v>155.69009999999997</v>
      </c>
      <c r="Q466" s="522"/>
      <c r="R466" s="523">
        <v>20</v>
      </c>
      <c r="S466" s="523">
        <v>20</v>
      </c>
      <c r="T466" s="523">
        <v>600</v>
      </c>
      <c r="U466" s="524"/>
      <c r="W466" s="526"/>
      <c r="X466" s="527"/>
    </row>
    <row r="467" spans="1:24" s="525" customFormat="1" x14ac:dyDescent="0.2">
      <c r="A467" s="512" t="s">
        <v>10622</v>
      </c>
      <c r="B467" s="513" t="s">
        <v>10623</v>
      </c>
      <c r="C467" s="514" t="s">
        <v>386</v>
      </c>
      <c r="D467" s="515" t="s">
        <v>9709</v>
      </c>
      <c r="E467" s="516" t="s">
        <v>9710</v>
      </c>
      <c r="F467" s="478" t="s">
        <v>10596</v>
      </c>
      <c r="G467" s="478" t="s">
        <v>7180</v>
      </c>
      <c r="H467" s="517">
        <v>160.91999999999999</v>
      </c>
      <c r="I467" s="504">
        <f t="shared" si="27"/>
        <v>172.98899999999998</v>
      </c>
      <c r="J467" s="504" t="s">
        <v>10597</v>
      </c>
      <c r="K467" s="518">
        <v>0.3</v>
      </c>
      <c r="L467" s="519">
        <f t="shared" si="29"/>
        <v>112.64399999999998</v>
      </c>
      <c r="M467" s="479">
        <v>0.18</v>
      </c>
      <c r="N467" s="520">
        <f t="shared" si="30"/>
        <v>141.85097999999999</v>
      </c>
      <c r="O467" s="480">
        <v>0.1</v>
      </c>
      <c r="P467" s="521">
        <f t="shared" si="31"/>
        <v>155.69009999999997</v>
      </c>
      <c r="Q467" s="522"/>
      <c r="R467" s="523">
        <v>20</v>
      </c>
      <c r="S467" s="523">
        <v>20</v>
      </c>
      <c r="T467" s="523">
        <v>600</v>
      </c>
      <c r="U467" s="524"/>
      <c r="W467" s="526"/>
      <c r="X467" s="527"/>
    </row>
    <row r="468" spans="1:24" s="525" customFormat="1" x14ac:dyDescent="0.2">
      <c r="A468" s="512" t="s">
        <v>10624</v>
      </c>
      <c r="B468" s="513" t="s">
        <v>10625</v>
      </c>
      <c r="C468" s="514" t="s">
        <v>386</v>
      </c>
      <c r="D468" s="515" t="s">
        <v>9709</v>
      </c>
      <c r="E468" s="516" t="s">
        <v>9710</v>
      </c>
      <c r="F468" s="478" t="s">
        <v>10596</v>
      </c>
      <c r="G468" s="478" t="s">
        <v>7180</v>
      </c>
      <c r="H468" s="517">
        <v>160.91999999999999</v>
      </c>
      <c r="I468" s="504">
        <f t="shared" si="27"/>
        <v>172.98899999999998</v>
      </c>
      <c r="J468" s="504" t="s">
        <v>10597</v>
      </c>
      <c r="K468" s="518">
        <v>0.3</v>
      </c>
      <c r="L468" s="519">
        <f t="shared" si="29"/>
        <v>112.64399999999998</v>
      </c>
      <c r="M468" s="479">
        <v>0.18</v>
      </c>
      <c r="N468" s="520">
        <f t="shared" si="30"/>
        <v>141.85097999999999</v>
      </c>
      <c r="O468" s="480">
        <v>0.1</v>
      </c>
      <c r="P468" s="521">
        <f t="shared" si="31"/>
        <v>155.69009999999997</v>
      </c>
      <c r="Q468" s="522"/>
      <c r="R468" s="523">
        <v>20</v>
      </c>
      <c r="S468" s="523">
        <v>20</v>
      </c>
      <c r="T468" s="523">
        <v>600</v>
      </c>
      <c r="U468" s="524"/>
      <c r="W468" s="526"/>
      <c r="X468" s="527"/>
    </row>
  </sheetData>
  <autoFilter ref="A3:IQ453" xr:uid="{00000000-0001-0000-0000-000000000000}">
    <filterColumn colId="10" showButton="0"/>
    <filterColumn colId="12" showButton="0"/>
    <filterColumn colId="14" showButton="0"/>
  </autoFilter>
  <mergeCells count="3">
    <mergeCell ref="K3:L3"/>
    <mergeCell ref="M3:N3"/>
    <mergeCell ref="O3:P3"/>
  </mergeCells>
  <pageMargins left="0.7" right="0.7" top="0.75" bottom="0.75" header="0.3" footer="0.3"/>
  <pageSetup scale="10" orientation="landscape" horizontalDpi="4294967293" verticalDpi="4294967293" r:id="rId1"/>
  <headerFooter>
    <oddHeader xml:space="preserve">&amp;L&amp;"-,Bold Italic"Proprietary Information--Do Not Distribute.&amp;C&amp;"-,Bold"&amp;12ePMP Price List/Discount Schedule&amp;"-,Regular"&amp;11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C85BD-ED2B-DC42-ADEC-2605FDEC7B69}">
  <sheetPr>
    <tabColor theme="9" tint="0.79998168889431442"/>
  </sheetPr>
  <dimension ref="A1:C19"/>
  <sheetViews>
    <sheetView zoomScale="90" zoomScaleNormal="90" workbookViewId="0">
      <selection activeCell="A10" sqref="A10"/>
    </sheetView>
  </sheetViews>
  <sheetFormatPr baseColWidth="10" defaultColWidth="8.6640625" defaultRowHeight="15" x14ac:dyDescent="0.2"/>
  <cols>
    <col min="1" max="1" width="19.1640625" style="400" bestFit="1" customWidth="1"/>
    <col min="2" max="2" width="63.33203125" style="400" customWidth="1"/>
    <col min="3" max="3" width="10.1640625" style="407" bestFit="1" customWidth="1"/>
    <col min="4" max="16384" width="8.6640625" style="400"/>
  </cols>
  <sheetData>
    <row r="1" spans="1:3" ht="16" thickBot="1" x14ac:dyDescent="0.25">
      <c r="A1" s="397" t="s">
        <v>8</v>
      </c>
      <c r="B1" s="398" t="s">
        <v>5</v>
      </c>
      <c r="C1" s="399" t="s">
        <v>5978</v>
      </c>
    </row>
    <row r="2" spans="1:3" x14ac:dyDescent="0.2">
      <c r="A2" s="401" t="s">
        <v>8999</v>
      </c>
      <c r="B2" s="401" t="s">
        <v>9000</v>
      </c>
      <c r="C2" s="402">
        <v>96</v>
      </c>
    </row>
    <row r="3" spans="1:3" x14ac:dyDescent="0.2">
      <c r="A3" s="403" t="s">
        <v>9001</v>
      </c>
      <c r="B3" s="403" t="s">
        <v>9002</v>
      </c>
      <c r="C3" s="404">
        <v>245</v>
      </c>
    </row>
    <row r="4" spans="1:3" x14ac:dyDescent="0.2">
      <c r="A4" s="401" t="s">
        <v>9003</v>
      </c>
      <c r="B4" s="401" t="s">
        <v>9004</v>
      </c>
      <c r="C4" s="402">
        <v>384</v>
      </c>
    </row>
    <row r="5" spans="1:3" x14ac:dyDescent="0.2">
      <c r="A5" s="403" t="s">
        <v>7393</v>
      </c>
      <c r="B5" s="403" t="s">
        <v>7394</v>
      </c>
      <c r="C5" s="404">
        <v>39</v>
      </c>
    </row>
    <row r="6" spans="1:3" x14ac:dyDescent="0.2">
      <c r="A6" s="401" t="s">
        <v>7395</v>
      </c>
      <c r="B6" s="401" t="s">
        <v>7396</v>
      </c>
      <c r="C6" s="402">
        <v>100</v>
      </c>
    </row>
    <row r="7" spans="1:3" x14ac:dyDescent="0.2">
      <c r="A7" s="403" t="s">
        <v>7397</v>
      </c>
      <c r="B7" s="403" t="s">
        <v>7398</v>
      </c>
      <c r="C7" s="404">
        <v>156</v>
      </c>
    </row>
    <row r="8" spans="1:3" x14ac:dyDescent="0.2">
      <c r="A8" s="401" t="s">
        <v>9005</v>
      </c>
      <c r="B8" s="401" t="s">
        <v>9006</v>
      </c>
      <c r="C8" s="402">
        <v>44</v>
      </c>
    </row>
    <row r="9" spans="1:3" x14ac:dyDescent="0.2">
      <c r="A9" s="403" t="s">
        <v>9007</v>
      </c>
      <c r="B9" s="403" t="s">
        <v>9008</v>
      </c>
      <c r="C9" s="404">
        <v>113</v>
      </c>
    </row>
    <row r="10" spans="1:3" x14ac:dyDescent="0.2">
      <c r="A10" s="401" t="s">
        <v>9009</v>
      </c>
      <c r="B10" s="401" t="s">
        <v>9010</v>
      </c>
      <c r="C10" s="402">
        <v>176</v>
      </c>
    </row>
    <row r="11" spans="1:3" x14ac:dyDescent="0.2">
      <c r="A11" s="403" t="s">
        <v>7443</v>
      </c>
      <c r="B11" s="403" t="s">
        <v>9011</v>
      </c>
      <c r="C11" s="404">
        <v>18</v>
      </c>
    </row>
    <row r="12" spans="1:3" x14ac:dyDescent="0.2">
      <c r="A12" s="401" t="s">
        <v>7445</v>
      </c>
      <c r="B12" s="401" t="s">
        <v>7444</v>
      </c>
      <c r="C12" s="402">
        <v>46</v>
      </c>
    </row>
    <row r="13" spans="1:3" x14ac:dyDescent="0.2">
      <c r="A13" s="403" t="s">
        <v>7446</v>
      </c>
      <c r="B13" s="403" t="s">
        <v>7447</v>
      </c>
      <c r="C13" s="404">
        <v>72</v>
      </c>
    </row>
    <row r="14" spans="1:3" x14ac:dyDescent="0.2">
      <c r="A14" s="401" t="s">
        <v>9012</v>
      </c>
      <c r="B14" s="401" t="s">
        <v>9013</v>
      </c>
      <c r="C14" s="402">
        <v>66</v>
      </c>
    </row>
    <row r="15" spans="1:3" x14ac:dyDescent="0.2">
      <c r="A15" s="403" t="s">
        <v>9014</v>
      </c>
      <c r="B15" s="403" t="s">
        <v>9015</v>
      </c>
      <c r="C15" s="404">
        <v>169</v>
      </c>
    </row>
    <row r="16" spans="1:3" x14ac:dyDescent="0.2">
      <c r="A16" s="401" t="s">
        <v>9016</v>
      </c>
      <c r="B16" s="401" t="s">
        <v>9017</v>
      </c>
      <c r="C16" s="402">
        <v>264</v>
      </c>
    </row>
    <row r="17" spans="1:3" x14ac:dyDescent="0.2">
      <c r="A17" s="403" t="s">
        <v>7831</v>
      </c>
      <c r="B17" s="403" t="s">
        <v>9018</v>
      </c>
      <c r="C17" s="404">
        <v>27</v>
      </c>
    </row>
    <row r="18" spans="1:3" x14ac:dyDescent="0.2">
      <c r="A18" s="401" t="s">
        <v>7833</v>
      </c>
      <c r="B18" s="401" t="s">
        <v>9019</v>
      </c>
      <c r="C18" s="402">
        <v>69</v>
      </c>
    </row>
    <row r="19" spans="1:3" ht="16" thickBot="1" x14ac:dyDescent="0.25">
      <c r="A19" s="405" t="s">
        <v>7835</v>
      </c>
      <c r="B19" s="405" t="s">
        <v>9020</v>
      </c>
      <c r="C19" s="406">
        <v>108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31AE-47B7-44D0-9CE7-2196209B3DE1}">
  <sheetPr>
    <tabColor theme="4" tint="0.79998168889431442"/>
  </sheetPr>
  <dimension ref="A1:AN521"/>
  <sheetViews>
    <sheetView zoomScaleNormal="100" workbookViewId="0">
      <pane ySplit="5" topLeftCell="A6" activePane="bottomLeft" state="frozen"/>
      <selection activeCell="B1" sqref="B1"/>
      <selection pane="bottomLeft"/>
    </sheetView>
  </sheetViews>
  <sheetFormatPr baseColWidth="10" defaultColWidth="8.83203125" defaultRowHeight="15" x14ac:dyDescent="0.2"/>
  <cols>
    <col min="1" max="2" width="1.83203125" customWidth="1"/>
    <col min="3" max="3" width="33.1640625" bestFit="1" customWidth="1"/>
    <col min="4" max="5" width="11.6640625" customWidth="1"/>
    <col min="6" max="6" width="12.6640625" style="7" customWidth="1"/>
    <col min="7" max="7" width="10.6640625" style="7" customWidth="1"/>
    <col min="8" max="8" width="12.6640625" style="7" customWidth="1"/>
    <col min="9" max="9" width="18.6640625" style="7" customWidth="1"/>
    <col min="10" max="10" width="13.1640625" style="7" customWidth="1"/>
    <col min="11" max="11" width="18.6640625" style="7" customWidth="1"/>
    <col min="12" max="12" width="13.6640625" style="7" customWidth="1"/>
    <col min="13" max="13" width="10.6640625" style="7" customWidth="1"/>
    <col min="14" max="16" width="10.6640625" style="130" customWidth="1"/>
    <col min="17" max="17" width="10.6640625" style="156" customWidth="1"/>
    <col min="18" max="20" width="10.6640625" style="130" customWidth="1"/>
    <col min="21" max="26" width="10.6640625" style="7" customWidth="1"/>
  </cols>
  <sheetData>
    <row r="1" spans="1:40" ht="14.5" customHeight="1" x14ac:dyDescent="0.2">
      <c r="A1" s="16"/>
      <c r="B1" s="16"/>
      <c r="C1" s="16"/>
      <c r="D1" s="16"/>
      <c r="E1" s="16"/>
      <c r="F1" s="109"/>
      <c r="G1" s="109"/>
      <c r="H1" s="109"/>
      <c r="I1" s="152"/>
      <c r="J1" s="128"/>
      <c r="K1" s="128"/>
      <c r="L1" s="128"/>
      <c r="M1" s="128"/>
      <c r="N1" s="152" t="s">
        <v>6266</v>
      </c>
      <c r="O1" s="152" t="s">
        <v>400</v>
      </c>
      <c r="P1" s="152" t="s">
        <v>6242</v>
      </c>
      <c r="Q1" s="152" t="s">
        <v>6263</v>
      </c>
      <c r="R1" s="152" t="s">
        <v>6264</v>
      </c>
      <c r="S1" s="152" t="s">
        <v>1628</v>
      </c>
      <c r="T1" s="211" t="s">
        <v>1262</v>
      </c>
      <c r="U1" s="152" t="s">
        <v>6332</v>
      </c>
      <c r="V1" s="152" t="s">
        <v>6333</v>
      </c>
      <c r="W1" s="152" t="s">
        <v>6416</v>
      </c>
      <c r="X1" s="128"/>
      <c r="Y1" s="128"/>
      <c r="Z1" s="128"/>
      <c r="AA1" s="128"/>
      <c r="AB1" s="109"/>
      <c r="AC1" s="109"/>
      <c r="AD1" s="16"/>
      <c r="AE1" s="16"/>
      <c r="AF1" s="16"/>
      <c r="AG1" s="16"/>
      <c r="AH1" s="16"/>
      <c r="AI1" s="16"/>
      <c r="AJ1" s="16"/>
      <c r="AK1" s="16"/>
      <c r="AL1" s="16"/>
      <c r="AM1" s="16"/>
    </row>
    <row r="2" spans="1:40" ht="24" customHeight="1" x14ac:dyDescent="0.3">
      <c r="A2" s="16"/>
      <c r="B2" s="32" t="s">
        <v>6400</v>
      </c>
      <c r="C2" s="23"/>
      <c r="D2" s="23"/>
      <c r="E2" s="23"/>
      <c r="F2" s="23"/>
      <c r="G2" s="23"/>
      <c r="H2" s="23"/>
      <c r="I2" s="23"/>
      <c r="J2" s="132"/>
      <c r="K2" s="132"/>
      <c r="L2" s="132"/>
      <c r="M2" s="132"/>
      <c r="N2" s="206" t="str">
        <f>Scenario</f>
        <v>Selections are incomplete</v>
      </c>
      <c r="O2" s="128" t="str">
        <f>Service</f>
        <v>Choose</v>
      </c>
      <c r="P2" s="128" t="str">
        <f>Device_Type</f>
        <v>Choose</v>
      </c>
      <c r="Q2" s="185"/>
      <c r="R2" s="128" t="str">
        <f>Hardware_Support</f>
        <v>Choose</v>
      </c>
      <c r="S2" s="128" t="b">
        <f>EW</f>
        <v>0</v>
      </c>
      <c r="T2" s="155" t="b">
        <f>AR</f>
        <v>0</v>
      </c>
      <c r="U2" s="132" t="b">
        <f>FWB_CCPro</f>
        <v>0</v>
      </c>
      <c r="V2" s="128" t="b">
        <f>FWB_CCPrime</f>
        <v>0</v>
      </c>
      <c r="W2" s="128" t="b">
        <f>X_AdvNo</f>
        <v>0</v>
      </c>
      <c r="X2" s="128"/>
      <c r="Y2" s="128"/>
      <c r="Z2" s="128"/>
      <c r="AA2" s="128"/>
      <c r="AB2" s="109"/>
      <c r="AC2" s="109"/>
      <c r="AD2" s="16"/>
      <c r="AE2" s="16"/>
      <c r="AF2" s="16"/>
      <c r="AG2" s="16"/>
      <c r="AH2" s="16"/>
      <c r="AI2" s="16"/>
      <c r="AJ2" s="16"/>
      <c r="AK2" s="16"/>
      <c r="AL2" s="16"/>
      <c r="AM2" s="16"/>
    </row>
    <row r="3" spans="1:40" ht="18" customHeight="1" thickBot="1" x14ac:dyDescent="0.25">
      <c r="A3" s="16"/>
      <c r="B3" s="16"/>
      <c r="C3" s="16"/>
      <c r="D3" s="16"/>
      <c r="E3" s="16"/>
      <c r="F3" s="220" t="str">
        <f>IF(NOT(Start_Here_Complete),"Go to the START HERE worksheet and make the required choices"," ")</f>
        <v>Go to the START HERE worksheet and make the required choices</v>
      </c>
      <c r="G3" s="109"/>
      <c r="H3" s="109"/>
      <c r="I3" s="109"/>
      <c r="J3" s="128"/>
      <c r="K3" s="207"/>
      <c r="L3" s="128"/>
      <c r="M3" s="206"/>
      <c r="N3" s="128"/>
      <c r="O3" s="128"/>
      <c r="P3" s="128"/>
      <c r="Q3" s="206" t="str">
        <f>CC_Type</f>
        <v>Choose</v>
      </c>
      <c r="R3" s="128" t="b">
        <f>EW</f>
        <v>0</v>
      </c>
      <c r="S3" s="128"/>
      <c r="T3" s="155"/>
      <c r="U3" s="128"/>
      <c r="V3" s="128"/>
      <c r="W3" s="128"/>
      <c r="X3" s="128"/>
      <c r="Y3" s="128"/>
      <c r="Z3" s="128"/>
      <c r="AA3" s="128"/>
      <c r="AB3" s="109"/>
      <c r="AC3" s="109"/>
      <c r="AD3" s="16"/>
      <c r="AE3" s="16"/>
      <c r="AF3" s="16"/>
      <c r="AG3" s="16"/>
      <c r="AH3" s="16"/>
      <c r="AI3" s="16"/>
      <c r="AJ3" s="16"/>
      <c r="AK3" s="16"/>
      <c r="AL3" s="16"/>
      <c r="AM3" s="16"/>
    </row>
    <row r="4" spans="1:40" ht="30" customHeight="1" thickBot="1" x14ac:dyDescent="0.25">
      <c r="A4" s="16"/>
      <c r="B4" s="33"/>
      <c r="C4" s="111" t="s">
        <v>1137</v>
      </c>
      <c r="D4" s="112" t="s">
        <v>3</v>
      </c>
      <c r="E4" s="113" t="s">
        <v>6239</v>
      </c>
      <c r="F4" s="113" t="s">
        <v>6271</v>
      </c>
      <c r="G4" s="113" t="s">
        <v>5909</v>
      </c>
      <c r="H4" s="113" t="s">
        <v>5907</v>
      </c>
      <c r="I4" s="113" t="str">
        <f>IF(AND(Service="Standalone Support",Device_Type="Fixed Wireless Broadband"),"Cambium Care Program/Service Cat",
"Cambium Care Program")</f>
        <v>Cambium Care Program</v>
      </c>
      <c r="J4" s="113" t="s">
        <v>6270</v>
      </c>
      <c r="K4" s="113" t="s">
        <v>6380</v>
      </c>
      <c r="L4" s="113" t="str">
        <f>IF(RIGHT(Scenario,2)="EW","Add'l Years Ext Wty",
IF(RIGHT(Scenario,2)="AR","Add'l Years ARAR",
"Add'l
Years"))</f>
        <v>Add'l
Years</v>
      </c>
      <c r="M4" s="116" t="s">
        <v>6260</v>
      </c>
      <c r="N4" s="209" t="s">
        <v>6396</v>
      </c>
      <c r="O4" s="186"/>
      <c r="P4" s="186"/>
      <c r="Q4" s="187"/>
      <c r="R4" s="186"/>
      <c r="S4" s="129"/>
      <c r="T4" s="129"/>
      <c r="U4" s="128"/>
      <c r="V4" s="128"/>
      <c r="W4" s="128"/>
      <c r="X4" s="128"/>
      <c r="Y4" s="128"/>
      <c r="Z4" s="128"/>
      <c r="AA4" s="171"/>
      <c r="AB4" s="16"/>
      <c r="AC4" s="16"/>
      <c r="AD4" s="16"/>
      <c r="AE4" s="16"/>
      <c r="AF4" s="16"/>
      <c r="AG4" s="16"/>
      <c r="AH4" s="16"/>
      <c r="AI4" s="16"/>
      <c r="AJ4" s="16"/>
    </row>
    <row r="5" spans="1:40" ht="16" thickBot="1" x14ac:dyDescent="0.25">
      <c r="A5" s="16"/>
      <c r="B5" s="36"/>
      <c r="C5" s="91" t="s">
        <v>1138</v>
      </c>
      <c r="D5" s="92"/>
      <c r="E5" s="92"/>
      <c r="F5" s="92"/>
      <c r="G5" s="92"/>
      <c r="H5" s="92"/>
      <c r="I5" s="92"/>
      <c r="J5" s="92"/>
      <c r="K5" s="92"/>
      <c r="L5" s="92"/>
      <c r="M5" s="106"/>
      <c r="N5" s="128" t="s">
        <v>6268</v>
      </c>
      <c r="O5" s="128" t="s">
        <v>6403</v>
      </c>
      <c r="P5" s="188" t="s">
        <v>6389</v>
      </c>
      <c r="Q5" s="188" t="s">
        <v>6366</v>
      </c>
      <c r="R5" s="188" t="s">
        <v>6365</v>
      </c>
      <c r="S5" s="188" t="s">
        <v>6367</v>
      </c>
      <c r="T5" s="188" t="s">
        <v>6363</v>
      </c>
      <c r="U5" s="189" t="s">
        <v>5972</v>
      </c>
      <c r="V5" s="188" t="s">
        <v>5973</v>
      </c>
      <c r="W5" s="188" t="s">
        <v>5965</v>
      </c>
      <c r="X5" s="188" t="s">
        <v>5966</v>
      </c>
      <c r="Y5" s="128" t="s">
        <v>5964</v>
      </c>
      <c r="Z5" s="188" t="s">
        <v>5967</v>
      </c>
      <c r="AA5" s="188" t="s">
        <v>5968</v>
      </c>
      <c r="AB5" s="188" t="s">
        <v>5969</v>
      </c>
      <c r="AC5" s="188" t="s">
        <v>5970</v>
      </c>
      <c r="AD5" s="188" t="s">
        <v>5971</v>
      </c>
      <c r="AE5" s="16"/>
      <c r="AF5" s="16"/>
      <c r="AG5" s="16"/>
      <c r="AH5" s="16"/>
      <c r="AI5" s="16"/>
      <c r="AJ5" s="16"/>
      <c r="AK5" s="16"/>
      <c r="AL5" s="16"/>
      <c r="AM5" s="16"/>
      <c r="AN5" s="16"/>
    </row>
    <row r="6" spans="1:40" ht="16" thickBot="1" x14ac:dyDescent="0.25">
      <c r="A6" s="16"/>
      <c r="B6" s="36"/>
      <c r="C6" s="105" t="s">
        <v>5915</v>
      </c>
      <c r="D6" s="56">
        <v>0</v>
      </c>
      <c r="E6" s="135" t="s">
        <v>5960</v>
      </c>
      <c r="F6" s="224" t="str">
        <f>IF(NOT(Start_Here_Complete)," ",
IF(D6=0," ",
IF(AND(Service="cnMaestro X",P6&lt;&gt;"N/A"),P6,
IF(AND(Service="cnMaestro X",P6="N/A"),"Not Available",
" "))))</f>
        <v xml:space="preserve"> </v>
      </c>
      <c r="G6" s="114" t="str">
        <f>IF(NOT(Start_Here_Complete)," ",
IF(D6=0," ",
IF(AND(Service="cnMaestro X",P6&lt;&gt;"N/A",P6&lt;&gt;"Free Tier"),cnMX_Term,
IF(AND(Service="cnMaestro X",P6="Free Tier")," ",
IF(AND(Service="cnMaestro X",P6="N/A")," ",
" ")))))</f>
        <v xml:space="preserve"> </v>
      </c>
      <c r="H6" s="214"/>
      <c r="I6" s="151" t="str">
        <f>IF(NOT((Start_Here_Complete))," ",
IF(D6=0," ",
IF(R6="Pro Go",CONCATENATE("CC Pro ",Q6),
IF(R6="Pro N/R","CC Pro not req'd *",
IF(T6="Prime Go",CONCATENATE("CC Prime ",S6),
IF(T6="Prime N/R","CC Prime not req'd *",
IF(T6="Prime N/A","Prime not available",
IF(CC_Type="Decline Cambium Care","CC Declined",
" "))))))))</f>
        <v xml:space="preserve"> </v>
      </c>
      <c r="J6" s="114" t="str">
        <f>IF(NOT(Start_Here_Complete)," ",
IF(D6=0," ",
IF(R6="Pro Go","1 year",
IF(T6="Prime Go","1 Year",
" "))))</f>
        <v xml:space="preserve"> </v>
      </c>
      <c r="K6" s="114" t="str">
        <f>IF(NOT(Start_Here_Complete)," ",
IF(D6=0," ",
IF(AND(EW,U6&lt;&gt;"N/A"),"Extended Warranty",
IF(AND(EW,U6="N/A"),"Ext Wty not available",
IF(AND(AR,V6&lt;&gt;"N/A"),"All Risks Adv Replace",
IF(AND(AR,V6="N/A"),"ARAR not available",
IF(NoHW,"HW Support Declined",
IF(AND(FWB_CCPrime,T6="Prime Go"),"ARAR included",
IF(Ent_CCAdv,"Includes Adv Repl",
"X")))))))))</f>
        <v xml:space="preserve"> </v>
      </c>
      <c r="L6" s="213" t="str">
        <f t="shared" ref="L6:L33" si="0">N6</f>
        <v xml:space="preserve"> </v>
      </c>
      <c r="M6" s="212" t="str">
        <f>IF(NOT(Start_Here_Complete)," ",
IF(D6=0," ",
IF(OR(FWB_CCPrime,Ent_CCAdv)," ",
"3 years")))</f>
        <v xml:space="preserve"> </v>
      </c>
      <c r="N6" s="128" t="str">
        <f>IF(D6=0," ",
IF(AND(EW,U6&lt;&gt;"N/A"),"Choose",
IF(AND(AR,V6&lt;&gt;"N/A"),"Choose",
" ")))</f>
        <v xml:space="preserve"> </v>
      </c>
      <c r="O6" s="128">
        <f>IF(AND(D6=0,L6=" "),0,1)</f>
        <v>0</v>
      </c>
      <c r="P6" s="190" t="s">
        <v>6246</v>
      </c>
      <c r="Q6" s="289" t="s">
        <v>6252</v>
      </c>
      <c r="R6" s="190" t="str">
        <f>IF(AND(FWB_CCPro,Q6&lt;&gt;"N/R"),"Pro Go",
IF(AND(FWB_CCPro,Q6="N/R"),"Pro N/R",
"Pro No"))</f>
        <v>Pro No</v>
      </c>
      <c r="S6" s="289" t="s">
        <v>6252</v>
      </c>
      <c r="T6" s="190" t="str">
        <f>IF(AND(FWB_CCPrime,LEFT(S6,2)="SC"),"Prime Go",
IF(AND(FWB_CCPrime,S6="N/R"),"Prime N/R",
IF(AND(FWB_CCPrime,S6="N/A"),"Prime N/A",
"Prime No")))</f>
        <v>Prime No</v>
      </c>
      <c r="U6" s="191">
        <v>2</v>
      </c>
      <c r="V6" s="192" t="s">
        <v>1226</v>
      </c>
      <c r="W6" s="192">
        <f>IF(NOT(Start_Here_Complete),0,
IF(D6=0,0,
IF(AND(Service="Standalone Support",Device_Type="Enterprise &amp; cnWave"),0,
IF(AND(FWB_CCPro,Q6="SC10"),D6,
IF(AND(FWB_CCPrime,S6="SC10"),D6,
0)))))</f>
        <v>0</v>
      </c>
      <c r="X6" s="192">
        <f>IF(NOT(Start_Here_Complete),0,
IF(D6=0,0,
IF(AND(Service="Standalone Support",Device_Type="Enterprise &amp; cnWave"),0,
IF(AND(FWB_CCPrime,S6="SC15"),D6,
0))))</f>
        <v>0</v>
      </c>
      <c r="Y6" s="128">
        <f>IF(NOT(Start_Here_Complete),0,
IF(D6=0,0,
IF(AND(Service="Standalone Support",Device_Type="Enterprise &amp; cnWave"),0,
IF(AND(FWB_CCPro,Q6="SC20"),D6,
IF(AND(FWB_CCPrime,S6="SC20"),D6,
0)))))</f>
        <v>0</v>
      </c>
      <c r="Z6" s="128">
        <f>IF(NOT(Start_Here_Complete),0,
IF(D6=0,0,
IF(AND(Service="Standalone Support",Device_Type="Enterprise &amp; cnWave"),0,
IF(AND(FWB_CCPrime,S6="SC25"),D6,
0))))</f>
        <v>0</v>
      </c>
      <c r="AA6" s="128">
        <f>IF(NOT(Start_Here_Complete),0,
IF(D6=0,0,
IF(AND(Service="Standalone Support",Device_Type="Enterprise &amp; cnWave"),0,
IF(AND(FWB_CCPro,Q6="SC30"),D6,
IF(AND(FWB_CCPrime,S6="SC30"),D6,
0)))))</f>
        <v>0</v>
      </c>
      <c r="AB6" s="128">
        <f>IF(NOT(Start_Here_Complete),0,
IF(D6=0,0,
IF(AND(Service="Standalone Support",Device_Type="Enterprise &amp; cnWave"),0,
IF(AND(FWB_CCPro,Q6="SC40"),D6,
IF(AND(FWB_CCPrime,S6="SC40"),D6,
0)))))</f>
        <v>0</v>
      </c>
      <c r="AC6" s="128">
        <f>IF(NOT(Start_Here_Complete),0,
IF(D6=0,0,
IF(AND(Service="Standalone Support",Device_Type="Enterprise &amp; cnWave"),0,
IF(AND(FWB_CCPro,Q6="SC50"),D6,
IF(AND(FWB_CCPrime,S6="SC50"),D6,
0)))))</f>
        <v>0</v>
      </c>
      <c r="AD6" s="128">
        <f>IF(NOT(Start_Here_Complete),0,
IF(D6=0,0,
IF(AND(Service="Standalone Support",Device_Type="Enterprise &amp; cnWave"),0,
IF(AND(FWB_CCPro,Q6="SC60"),D6,
IF(AND(FWB_CCPrime,S6="SC60"),D6,
0)))))</f>
        <v>0</v>
      </c>
      <c r="AE6" s="16"/>
      <c r="AF6" s="16"/>
      <c r="AG6" s="16"/>
      <c r="AH6" s="16"/>
      <c r="AI6" s="16"/>
      <c r="AJ6" s="16"/>
      <c r="AK6" s="16"/>
      <c r="AL6" s="16"/>
      <c r="AM6" s="16"/>
      <c r="AN6" s="16"/>
    </row>
    <row r="7" spans="1:40" ht="16" thickBot="1" x14ac:dyDescent="0.25">
      <c r="A7" s="16"/>
      <c r="B7" s="40"/>
      <c r="C7" s="16" t="s">
        <v>1139</v>
      </c>
      <c r="D7" s="56">
        <v>0</v>
      </c>
      <c r="E7" s="135" t="s">
        <v>5960</v>
      </c>
      <c r="F7" s="224" t="str">
        <f>IF(NOT(Start_Here_Complete)," ",
IF(D7=0," ",
IF(AND(Service="cnMaestro X",P7&lt;&gt;"N/A"),P7,
IF(AND(Service="cnMaestro X",P7="N/A"),"Not Available",
" "))))</f>
        <v xml:space="preserve"> </v>
      </c>
      <c r="G7" s="114" t="str">
        <f>IF(NOT(Start_Here_Complete)," ",
IF(D7=0," ",
IF(AND(Service="cnMaestro X",P7&lt;&gt;"N/A",P7&lt;&gt;"Free Tier"),cnMX_Term,
IF(AND(Service="cnMaestro X",P7="Free Tier")," ",
IF(AND(Service="cnMaestro X",P7="N/A")," ",
" ")))))</f>
        <v xml:space="preserve"> </v>
      </c>
      <c r="H7" s="214"/>
      <c r="I7" s="151" t="str">
        <f>IF(NOT((Start_Here_Complete))," ",
IF(D7=0," ",
IF(R7="Pro Go",CONCATENATE("CC Pro ",Q7),
IF(R7="Pro N/R","CC Pro not req'd *",
IF(T7="Prime Go",CONCATENATE("CC Prime ",S7),
IF(T7="Prime N/R","CC Prime not req'd *",
IF(T7="Prime N/A","Prime not available",
IF(CC_Type="Decline Cambium Care","CC Declined",
" "))))))))</f>
        <v xml:space="preserve"> </v>
      </c>
      <c r="J7" s="114" t="str">
        <f>IF(NOT(Start_Here_Complete)," ",
IF(D7=0," ",
IF(R7="Pro Go","1 year",
IF(T7="Prime Go","1 Year",
" "))))</f>
        <v xml:space="preserve"> </v>
      </c>
      <c r="K7" s="114" t="str">
        <f>IF(NOT(Start_Here_Complete)," ",
IF(D7=0," ",
IF(AND(EW,U7&lt;&gt;"N/A"),"Extended Warranty",
IF(AND(EW,U7="N/A"),"Ext Wty not available",
IF(AND(AR,V7&lt;&gt;"N/A"),"All Risks Adv Replace",
IF(AND(AR,V7="N/A"),"ARAR not available",
IF(NoHW,"HW Support Declined",
IF(AND(FWB_CCPrime,T7="Prime Go"),"ARAR included",
IF(Ent_CCAdv,"Includes Adv Repl",
"X")))))))))</f>
        <v xml:space="preserve"> </v>
      </c>
      <c r="L7" s="213" t="str">
        <f t="shared" si="0"/>
        <v xml:space="preserve"> </v>
      </c>
      <c r="M7" s="212" t="str">
        <f>IF(NOT(Start_Here_Complete)," ",
IF(D7=0," ",
IF(OR(FWB_CCPrime,Ent_CCAdv)," ",
"3 years")))</f>
        <v xml:space="preserve"> </v>
      </c>
      <c r="N7" s="128" t="str">
        <f>IF(D7=0," ",
IF(AND(EW,U7&lt;&gt;"N/A"),"Choose",
IF(AND(AR,V7&lt;&gt;"N/A"),"Choose",
" ")))</f>
        <v xml:space="preserve"> </v>
      </c>
      <c r="O7" s="128">
        <f t="shared" ref="O7:O32" si="1">IF(AND(D7=0,L7=" "),0,1)</f>
        <v>0</v>
      </c>
      <c r="P7" s="190" t="s">
        <v>6246</v>
      </c>
      <c r="Q7" s="289" t="s">
        <v>6252</v>
      </c>
      <c r="R7" s="190" t="str">
        <f>IF(AND(FWB_CCPro,Q7&lt;&gt;"N/R"),"Pro Go",
IF(AND(FWB_CCPro,Q7="N/R"),"Pro N/R",
"Pro No"))</f>
        <v>Pro No</v>
      </c>
      <c r="S7" s="289" t="s">
        <v>6252</v>
      </c>
      <c r="T7" s="190" t="str">
        <f>IF(AND(FWB_CCPrime,AND(S7&lt;&gt;"N/R",S7&lt;&gt;"N/A")),"Prime Go",
IF(AND(FWB_CCPrime,S7="N/R"),"Prime N/R",
IF(AND(FWB_CCPrime,S7="N/A"),"Prime N/A",
"Prime No")))</f>
        <v>Prime No</v>
      </c>
      <c r="U7" s="191">
        <v>2</v>
      </c>
      <c r="V7" s="192">
        <v>2</v>
      </c>
      <c r="W7" s="192">
        <f>IF(NOT(Start_Here_Complete),0,
IF(D7=0,0,
IF(AND(Service="Standalone Support",Device_Type="Enterprise &amp; cnWave"),0,
IF(AND(FWB_CCPro,Q7="SC10"),D7,
IF(AND(FWB_CCPrime,S7="SC10"),D7,
0)))))</f>
        <v>0</v>
      </c>
      <c r="X7" s="192">
        <f>IF(NOT(Start_Here_Complete),0,
IF(D7=0,0,
IF(AND(Service="Standalone Support",Device_Type="Enterprise &amp; cnWave"),0,
IF(AND(FWB_CCPrime,S7="SC15"),D7,
0))))</f>
        <v>0</v>
      </c>
      <c r="Y7" s="128">
        <f>IF(NOT(Start_Here_Complete),0,
IF(D7=0,0,
IF(AND(Service="Standalone Support",Device_Type="Enterprise &amp; cnWave"),0,
IF(AND(FWB_CCPro,Q7="SC20"),D7,
IF(AND(FWB_CCPrime,S7="SC20"),D7,
0)))))</f>
        <v>0</v>
      </c>
      <c r="Z7" s="128">
        <f>IF(NOT(Start_Here_Complete),0,
IF(D7=0,0,
IF(AND(Service="Standalone Support",Device_Type="Enterprise &amp; cnWave"),0,
IF(AND(FWB_CCPrime,S7="SC25"),D7,
0))))</f>
        <v>0</v>
      </c>
      <c r="AA7" s="128">
        <f>IF(NOT(Start_Here_Complete),0,
IF(D7=0,0,
IF(AND(Service="Standalone Support",Device_Type="Enterprise &amp; cnWave"),0,
IF(AND(FWB_CCPro,Q7="SC30"),D7,
IF(AND(FWB_CCPrime,S7="SC30"),D7,
0)))))</f>
        <v>0</v>
      </c>
      <c r="AB7" s="128">
        <f>IF(NOT(Start_Here_Complete),0,
IF(D7=0,0,
IF(AND(Service="Standalone Support",Device_Type="Enterprise &amp; cnWave"),0,
IF(AND(FWB_CCPro,Q7="SC40"),D7,
IF(AND(FWB_CCPrime,S7="SC40"),D7,
0)))))</f>
        <v>0</v>
      </c>
      <c r="AC7" s="128">
        <f>IF(NOT(Start_Here_Complete),0,
IF(D7=0,0,
IF(AND(Service="Standalone Support",Device_Type="Enterprise &amp; cnWave"),0,
IF(AND(FWB_CCPro,Q7="SC50"),D7,
IF(AND(FWB_CCPrime,S7="SC50"),D7,
0)))))</f>
        <v>0</v>
      </c>
      <c r="AD7" s="128">
        <f>IF(NOT(Start_Here_Complete),0,
IF(D7=0,0,
IF(AND(Service="Standalone Support",Device_Type="Enterprise &amp; cnWave"),0,
IF(AND(FWB_CCPro,Q7="SC60"),D7,
IF(AND(FWB_CCPrime,S7="SC60"),D7,
0)))))</f>
        <v>0</v>
      </c>
      <c r="AE7" s="16"/>
      <c r="AF7" s="16"/>
      <c r="AG7" s="16"/>
      <c r="AH7" s="16"/>
      <c r="AI7" s="16"/>
      <c r="AJ7" s="16"/>
      <c r="AK7" s="16"/>
      <c r="AL7" s="16"/>
      <c r="AM7" s="16"/>
      <c r="AN7" s="16"/>
    </row>
    <row r="8" spans="1:40" ht="16" thickBot="1" x14ac:dyDescent="0.25">
      <c r="A8" s="16"/>
      <c r="B8" s="40"/>
      <c r="C8" s="16" t="s">
        <v>1140</v>
      </c>
      <c r="D8" s="56">
        <v>0</v>
      </c>
      <c r="E8" s="135" t="s">
        <v>5960</v>
      </c>
      <c r="F8" s="224" t="str">
        <f>IF(NOT(Start_Here_Complete)," ",
IF(D8=0," ",
IF(AND(Service="cnMaestro X",P8&lt;&gt;"N/A"),P8,
IF(AND(Service="cnMaestro X",P8="N/A"),"Not Available",
" "))))</f>
        <v xml:space="preserve"> </v>
      </c>
      <c r="G8" s="114" t="str">
        <f>IF(NOT(Start_Here_Complete)," ",
IF(D8=0," ",
IF(AND(Service="cnMaestro X",P8&lt;&gt;"N/A",P8&lt;&gt;"Free Tier"),cnMX_Term,
IF(AND(Service="cnMaestro X",P8="Free Tier")," ",
IF(AND(Service="cnMaestro X",P8="N/A")," ",
" ")))))</f>
        <v xml:space="preserve"> </v>
      </c>
      <c r="H8" s="214"/>
      <c r="I8" s="151" t="str">
        <f>IF(NOT((Start_Here_Complete))," ",
IF(D8=0," ",
IF(R8="Pro Go",CONCATENATE("CC Pro ",Q8),
IF(R8="Pro N/R","CC Pro not req'd *",
IF(T8="Prime Go",CONCATENATE("CC Prime ",S8),
IF(T8="Prime N/R","CC Prime not req'd *",
IF(T8="Prime N/A","Prime not available",
IF(CC_Type="Decline Cambium Care","CC Declined",
" "))))))))</f>
        <v xml:space="preserve"> </v>
      </c>
      <c r="J8" s="114" t="str">
        <f>IF(NOT(Start_Here_Complete)," ",
IF(D8=0," ",
IF(R8="Pro Go","1 year",
IF(T8="Prime Go","1 Year",
" "))))</f>
        <v xml:space="preserve"> </v>
      </c>
      <c r="K8" s="114" t="str">
        <f>IF(NOT(Start_Here_Complete)," ",
IF(D8=0," ",
IF(AND(EW,U8&lt;&gt;"N/A"),"Extended Warranty",
IF(AND(EW,U8="N/A"),"Ext Wty not available",
IF(AND(AR,V8&lt;&gt;"N/A"),"All Risks Adv Replace",
IF(AND(AR,V8="N/A"),"ARAR not available",
IF(NoHW,"HW Support Declined",
IF(AND(FWB_CCPrime,T8="Prime Go"),"ARAR included",
IF(Ent_CCAdv,"Includes Adv Repl",
"X")))))))))</f>
        <v xml:space="preserve"> </v>
      </c>
      <c r="L8" s="213" t="str">
        <f t="shared" si="0"/>
        <v xml:space="preserve"> </v>
      </c>
      <c r="M8" s="212" t="str">
        <f>IF(NOT(Start_Here_Complete)," ",
IF(D8=0," ",
IF(OR(FWB_CCPrime,Ent_CCAdv)," ",
"3 years")))</f>
        <v xml:space="preserve"> </v>
      </c>
      <c r="N8" s="128" t="str">
        <f>IF(D8=0," ",
IF(AND(EW,U8&lt;&gt;"N/A"),"Choose",
IF(AND(AR,V8&lt;&gt;"N/A"),"Choose",
" ")))</f>
        <v xml:space="preserve"> </v>
      </c>
      <c r="O8" s="128">
        <f t="shared" si="1"/>
        <v>0</v>
      </c>
      <c r="P8" s="190" t="s">
        <v>6246</v>
      </c>
      <c r="Q8" s="289" t="s">
        <v>6252</v>
      </c>
      <c r="R8" s="190" t="str">
        <f>IF(AND(FWB_CCPro,Q8&lt;&gt;"N/R"),"Pro Go",
IF(AND(FWB_CCPro,Q8="N/R"),"Pro N/R",
"Pro No"))</f>
        <v>Pro No</v>
      </c>
      <c r="S8" s="289" t="s">
        <v>6252</v>
      </c>
      <c r="T8" s="190" t="str">
        <f>IF(AND(FWB_CCPrime,AND(S8&lt;&gt;"N/R",S8&lt;&gt;"N/A")),"Prime Go",
IF(AND(FWB_CCPrime,S8="N/R"),"Prime N/R",
IF(AND(FWB_CCPrime,S8="N/A"),"Prime N/A",
"Prime No")))</f>
        <v>Prime No</v>
      </c>
      <c r="U8" s="191">
        <v>2</v>
      </c>
      <c r="V8" s="192">
        <v>2</v>
      </c>
      <c r="W8" s="192">
        <f>IF(NOT(Start_Here_Complete),0,
IF(D8=0,0,
IF(AND(Service="Standalone Support",Device_Type="Enterprise &amp; cnWave"),0,
IF(AND(FWB_CCPro,Q8="SC10"),D8,
IF(AND(FWB_CCPrime,S8="SC10"),D8,
0)))))</f>
        <v>0</v>
      </c>
      <c r="X8" s="192">
        <f>IF(NOT(Start_Here_Complete),0,
IF(D8=0,0,
IF(AND(Service="Standalone Support",Device_Type="Enterprise &amp; cnWave"),0,
IF(AND(FWB_CCPrime,S8="SC15"),D8,
0))))</f>
        <v>0</v>
      </c>
      <c r="Y8" s="128">
        <f>IF(NOT(Start_Here_Complete),0,
IF(D8=0,0,
IF(AND(Service="Standalone Support",Device_Type="Enterprise &amp; cnWave"),0,
IF(AND(FWB_CCPro,Q8="SC20"),D8,
IF(AND(FWB_CCPrime,S8="SC20"),D8,
0)))))</f>
        <v>0</v>
      </c>
      <c r="Z8" s="128">
        <f>IF(NOT(Start_Here_Complete),0,
IF(D8=0,0,
IF(AND(Service="Standalone Support",Device_Type="Enterprise &amp; cnWave"),0,
IF(AND(FWB_CCPrime,S8="SC25"),D8,
0))))</f>
        <v>0</v>
      </c>
      <c r="AA8" s="128">
        <f>IF(NOT(Start_Here_Complete),0,
IF(D8=0,0,
IF(AND(Service="Standalone Support",Device_Type="Enterprise &amp; cnWave"),0,
IF(AND(FWB_CCPro,Q8="SC30"),D8,
IF(AND(FWB_CCPrime,S8="SC30"),D8,
0)))))</f>
        <v>0</v>
      </c>
      <c r="AB8" s="128">
        <f>IF(NOT(Start_Here_Complete),0,
IF(D8=0,0,
IF(AND(Service="Standalone Support",Device_Type="Enterprise &amp; cnWave"),0,
IF(AND(FWB_CCPro,Q8="SC40"),D8,
IF(AND(FWB_CCPrime,S8="SC40"),D8,
0)))))</f>
        <v>0</v>
      </c>
      <c r="AC8" s="128">
        <f>IF(NOT(Start_Here_Complete),0,
IF(D8=0,0,
IF(AND(Service="Standalone Support",Device_Type="Enterprise &amp; cnWave"),0,
IF(AND(FWB_CCPro,Q8="SC50"),D8,
IF(AND(FWB_CCPrime,S8="SC50"),D8,
0)))))</f>
        <v>0</v>
      </c>
      <c r="AD8" s="128">
        <f>IF(NOT(Start_Here_Complete),0,
IF(D8=0,0,
IF(AND(Service="Standalone Support",Device_Type="Enterprise &amp; cnWave"),0,
IF(AND(FWB_CCPro,Q8="SC60"),D8,
IF(AND(FWB_CCPrime,S8="SC60"),D8,
0)))))</f>
        <v>0</v>
      </c>
      <c r="AE8" s="16"/>
      <c r="AF8" s="16"/>
      <c r="AG8" s="16"/>
      <c r="AH8" s="16"/>
      <c r="AI8" s="16"/>
      <c r="AJ8" s="16"/>
      <c r="AK8" s="16"/>
      <c r="AL8" s="16"/>
      <c r="AM8" s="16"/>
      <c r="AN8" s="16"/>
    </row>
    <row r="9" spans="1:40" ht="16" thickBot="1" x14ac:dyDescent="0.25">
      <c r="A9" s="16"/>
      <c r="B9" s="40"/>
      <c r="C9" s="16" t="s">
        <v>6680</v>
      </c>
      <c r="D9" s="56">
        <v>0</v>
      </c>
      <c r="E9" s="135" t="s">
        <v>5960</v>
      </c>
      <c r="F9" s="224" t="str">
        <f>IF(NOT(Start_Here_Complete)," ",
IF(D9=0," ",
IF(AND(Service="cnMaestro X",P9&lt;&gt;"N/A"),P9,
IF(AND(Service="cnMaestro X",P9="N/A"),"Not Available",
" "))))</f>
        <v xml:space="preserve"> </v>
      </c>
      <c r="G9" s="114" t="str">
        <f>IF(NOT(Start_Here_Complete)," ",
IF(D9=0," ",
IF(AND(Service="cnMaestro X",P9&lt;&gt;"N/A",P9&lt;&gt;"Free Tier"),cnMX_Term,
IF(AND(Service="cnMaestro X",P9="Free Tier")," ",
IF(AND(Service="cnMaestro X",P9="N/A")," ",
" ")))))</f>
        <v xml:space="preserve"> </v>
      </c>
      <c r="H9" s="214"/>
      <c r="I9" s="151" t="str">
        <f>IF(NOT((Start_Here_Complete))," ",
IF(D9=0," ",
IF(R9="Pro Go",CONCATENATE("CC Pro ",Q9),
IF(R9="Pro N/R","CC Pro not req'd *",
IF(T9="Prime Go",CONCATENATE("CC Prime ",S9),
IF(T9="Prime N/R","CC Prime not req'd *",
IF(T9="Prime N/A","Prime not available",
IF(CC_Type="Decline Cambium Care","CC Declined",
" "))))))))</f>
        <v xml:space="preserve"> </v>
      </c>
      <c r="J9" s="114" t="str">
        <f>IF(NOT(Start_Here_Complete)," ",
IF(D9=0," ",
IF(R9="Pro Go","1 year",
IF(T9="Prime Go","1 Year",
" "))))</f>
        <v xml:space="preserve"> </v>
      </c>
      <c r="K9" s="114" t="str">
        <f>IF(NOT(Start_Here_Complete)," ",
IF(D9=0," ",
IF(AND(EW,U9&lt;&gt;"N/A"),"Extended Warranty",
IF(AND(EW,U9="N/A"),"Ext Wty not available",
IF(AND(AR,V9&lt;&gt;"N/A"),"All Risks Adv Replace",
IF(AND(AR,V9="N/A"),"ARAR not available",
IF(NoHW,"HW Support Declined",
IF(AND(FWB_CCPrime,T9="Prime Go"),"ARAR included",
IF(Ent_CCAdv,"Includes Adv Repl",
"X")))))))))</f>
        <v xml:space="preserve"> </v>
      </c>
      <c r="L9" s="213" t="str">
        <f t="shared" si="0"/>
        <v xml:space="preserve"> </v>
      </c>
      <c r="M9" s="212" t="str">
        <f>IF(NOT(Start_Here_Complete)," ",
IF(D9=0," ",
IF(OR(FWB_CCPrime,Ent_CCAdv)," ",
"3 years")))</f>
        <v xml:space="preserve"> </v>
      </c>
      <c r="N9" s="128" t="str">
        <f>IF(D9=0," ",
IF(AND(EW,U9&lt;&gt;"N/A"),"Choose",
IF(AND(AR,V9&lt;&gt;"N/A"),"Choose",
" ")))</f>
        <v xml:space="preserve"> </v>
      </c>
      <c r="O9" s="128">
        <f t="shared" ref="O9" si="2">IF(AND(D9=0,L9=" "),0,1)</f>
        <v>0</v>
      </c>
      <c r="P9" s="190" t="s">
        <v>6246</v>
      </c>
      <c r="Q9" s="289" t="s">
        <v>6252</v>
      </c>
      <c r="R9" s="190" t="str">
        <f>IF(AND(FWB_CCPro,Q9&lt;&gt;"N/R"),"Pro Go",
IF(AND(FWB_CCPro,Q9="N/R"),"Pro N/R",
"Pro No"))</f>
        <v>Pro No</v>
      </c>
      <c r="S9" s="289" t="s">
        <v>6252</v>
      </c>
      <c r="T9" s="190" t="str">
        <f>IF(AND(FWB_CCPrime,AND(S9&lt;&gt;"N/R",S9&lt;&gt;"N/A")),"Prime Go",
IF(AND(FWB_CCPrime,S9="N/R"),"Prime N/R",
IF(AND(FWB_CCPrime,S9="N/A"),"Prime N/A",
"Prime No")))</f>
        <v>Prime No</v>
      </c>
      <c r="U9" s="191">
        <v>2</v>
      </c>
      <c r="V9" s="192">
        <v>2</v>
      </c>
      <c r="W9" s="192">
        <f>IF(NOT(Start_Here_Complete),0,
IF(D9=0,0,
IF(AND(Service="Standalone Support",Device_Type="Enterprise &amp; cnWave"),0,
IF(AND(FWB_CCPro,Q9="SC10"),D9,
IF(AND(FWB_CCPrime,S9="SC10"),D9,
0)))))</f>
        <v>0</v>
      </c>
      <c r="X9" s="192">
        <f>IF(NOT(Start_Here_Complete),0,
IF(D9=0,0,
IF(AND(Service="Standalone Support",Device_Type="Enterprise &amp; cnWave"),0,
IF(AND(FWB_CCPrime,S9="SC15"),D9,
0))))</f>
        <v>0</v>
      </c>
      <c r="Y9" s="128">
        <f>IF(NOT(Start_Here_Complete),0,
IF(D9=0,0,
IF(AND(Service="Standalone Support",Device_Type="Enterprise &amp; cnWave"),0,
IF(AND(FWB_CCPro,Q9="SC20"),D9,
IF(AND(FWB_CCPrime,S9="SC20"),D9,
0)))))</f>
        <v>0</v>
      </c>
      <c r="Z9" s="128">
        <f>IF(NOT(Start_Here_Complete),0,
IF(D9=0,0,
IF(AND(Service="Standalone Support",Device_Type="Enterprise &amp; cnWave"),0,
IF(AND(FWB_CCPrime,S9="SC25"),D9,
0))))</f>
        <v>0</v>
      </c>
      <c r="AA9" s="128">
        <f>IF(NOT(Start_Here_Complete),0,
IF(D9=0,0,
IF(AND(Service="Standalone Support",Device_Type="Enterprise &amp; cnWave"),0,
IF(AND(FWB_CCPro,Q9="SC30"),D9,
IF(AND(FWB_CCPrime,S9="SC30"),D9,
0)))))</f>
        <v>0</v>
      </c>
      <c r="AB9" s="128">
        <f>IF(NOT(Start_Here_Complete),0,
IF(D9=0,0,
IF(AND(Service="Standalone Support",Device_Type="Enterprise &amp; cnWave"),0,
IF(AND(FWB_CCPro,Q9="SC40"),D9,
IF(AND(FWB_CCPrime,S9="SC40"),D9,
0)))))</f>
        <v>0</v>
      </c>
      <c r="AC9" s="128">
        <f>IF(NOT(Start_Here_Complete),0,
IF(D9=0,0,
IF(AND(Service="Standalone Support",Device_Type="Enterprise &amp; cnWave"),0,
IF(AND(FWB_CCPro,Q9="SC50"),D9,
IF(AND(FWB_CCPrime,S9="SC50"),D9,
0)))))</f>
        <v>0</v>
      </c>
      <c r="AD9" s="128">
        <f>IF(NOT(Start_Here_Complete),0,
IF(D9=0,0,
IF(AND(Service="Standalone Support",Device_Type="Enterprise &amp; cnWave"),0,
IF(AND(FWB_CCPro,Q9="SC60"),D9,
IF(AND(FWB_CCPrime,S9="SC60"),D9,
0)))))</f>
        <v>0</v>
      </c>
      <c r="AE9" s="16"/>
      <c r="AF9" s="16"/>
      <c r="AG9" s="16"/>
      <c r="AH9" s="16"/>
      <c r="AI9" s="16"/>
      <c r="AJ9" s="16"/>
      <c r="AK9" s="16"/>
      <c r="AL9" s="16"/>
      <c r="AM9" s="16"/>
      <c r="AN9" s="16"/>
    </row>
    <row r="10" spans="1:40" ht="16" thickBot="1" x14ac:dyDescent="0.25">
      <c r="A10" s="16"/>
      <c r="B10" s="40"/>
      <c r="C10" s="16" t="s">
        <v>1141</v>
      </c>
      <c r="D10" s="56">
        <v>0</v>
      </c>
      <c r="E10" s="135" t="s">
        <v>5960</v>
      </c>
      <c r="F10" s="224" t="str">
        <f>IF(NOT(Start_Here_Complete)," ",
IF(D10=0," ",
IF(AND(Service="cnMaestro X",P10&lt;&gt;"N/A"),P10,
IF(AND(Service="cnMaestro X",P10="N/A"),"Not Available",
" "))))</f>
        <v xml:space="preserve"> </v>
      </c>
      <c r="G10" s="114" t="str">
        <f>IF(NOT(Start_Here_Complete)," ",
IF(D10=0," ",
IF(AND(Service="cnMaestro X",P10&lt;&gt;"N/A",P10&lt;&gt;"Free Tier"),cnMX_Term,
IF(AND(Service="cnMaestro X",P10="Free Tier")," ",
IF(AND(Service="cnMaestro X",P10="N/A")," ",
" ")))))</f>
        <v xml:space="preserve"> </v>
      </c>
      <c r="H10" s="214"/>
      <c r="I10" s="151" t="str">
        <f>IF(NOT((Start_Here_Complete))," ",
IF(D10=0," ",
IF(R10="Pro Go",CONCATENATE("CC Pro ",Q10),
IF(R10="Pro N/R","CC Pro not req'd *",
IF(T10="Prime Go",CONCATENATE("CC Prime ",S10),
IF(T10="Prime N/R","CC Prime not req'd *",
IF(T10="Prime N/A","Prime not available",
IF(CC_Type="Decline Cambium Care","CC Declined",
" "))))))))</f>
        <v xml:space="preserve"> </v>
      </c>
      <c r="J10" s="114" t="str">
        <f>IF(NOT(Start_Here_Complete)," ",
IF(D10=0," ",
IF(R10="Pro Go","1 year",
IF(T10="Prime Go","1 Year",
" "))))</f>
        <v xml:space="preserve"> </v>
      </c>
      <c r="K10" s="114" t="str">
        <f>IF(NOT(Start_Here_Complete)," ",
IF(D10=0," ",
IF(AND(EW,U10&lt;&gt;"N/A"),"Extended Warranty",
IF(AND(EW,U10="N/A"),"Ext Wty not available",
IF(AND(AR,V10&lt;&gt;"N/A"),"All Risks Adv Replace",
IF(AND(AR,V10="N/A"),"ARAR not available",
IF(NoHW,"HW Support Declined",
IF(AND(FWB_CCPrime,T10="Prime Go"),"ARAR included",
IF(Ent_CCAdv,"Includes Adv Repl",
"X")))))))))</f>
        <v xml:space="preserve"> </v>
      </c>
      <c r="L10" s="213" t="str">
        <f t="shared" si="0"/>
        <v xml:space="preserve"> </v>
      </c>
      <c r="M10" s="212" t="str">
        <f>IF(NOT(Start_Here_Complete)," ",
IF(D10=0," ",
IF(OR(FWB_CCPrime,Ent_CCAdv)," ",
"3 years")))</f>
        <v xml:space="preserve"> </v>
      </c>
      <c r="N10" s="128" t="str">
        <f>IF(D10=0," ",
IF(AND(EW,U10&lt;&gt;"N/A"),"Choose",
IF(AND(AR,V10&lt;&gt;"N/A"),"Choose",
" ")))</f>
        <v xml:space="preserve"> </v>
      </c>
      <c r="O10" s="128">
        <f t="shared" si="1"/>
        <v>0</v>
      </c>
      <c r="P10" s="190" t="s">
        <v>6246</v>
      </c>
      <c r="Q10" s="289" t="s">
        <v>6254</v>
      </c>
      <c r="R10" s="190" t="str">
        <f>IF(AND(FWB_CCPro,Q10&lt;&gt;"N/R"),"Pro Go",
IF(AND(FWB_CCPro,Q10="N/R"),"Pro N/R",
"Pro No"))</f>
        <v>Pro No</v>
      </c>
      <c r="S10" s="289" t="s">
        <v>6254</v>
      </c>
      <c r="T10" s="190" t="str">
        <f>IF(AND(FWB_CCPrime,AND(S10&lt;&gt;"N/R",S10&lt;&gt;"N/A")),"Prime Go",
IF(AND(FWB_CCPrime,S10="N/R"),"Prime N/R",
IF(AND(FWB_CCPrime,S10="N/A"),"Prime N/A",
"Prime No")))</f>
        <v>Prime No</v>
      </c>
      <c r="U10" s="191">
        <v>2</v>
      </c>
      <c r="V10" s="192">
        <v>2</v>
      </c>
      <c r="W10" s="192">
        <f>IF(NOT(Start_Here_Complete),0,
IF(D10=0,0,
IF(AND(Service="Standalone Support",Device_Type="Enterprise &amp; cnWave"),0,
IF(AND(FWB_CCPro,Q10="SC10"),D10,
IF(AND(FWB_CCPrime,S10="SC10"),D10,
0)))))</f>
        <v>0</v>
      </c>
      <c r="X10" s="192">
        <f>IF(NOT(Start_Here_Complete),0,
IF(D10=0,0,
IF(AND(Service="Standalone Support",Device_Type="Enterprise &amp; cnWave"),0,
IF(AND(FWB_CCPrime,S10="SC15"),D10,
0))))</f>
        <v>0</v>
      </c>
      <c r="Y10" s="128">
        <f>IF(NOT(Start_Here_Complete),0,
IF(D10=0,0,
IF(AND(Service="Standalone Support",Device_Type="Enterprise &amp; cnWave"),0,
IF(AND(FWB_CCPro,Q10="SC20"),D10,
IF(AND(FWB_CCPrime,S10="SC20"),D10,
0)))))</f>
        <v>0</v>
      </c>
      <c r="Z10" s="128">
        <f>IF(NOT(Start_Here_Complete),0,
IF(D10=0,0,
IF(AND(Service="Standalone Support",Device_Type="Enterprise &amp; cnWave"),0,
IF(AND(FWB_CCPrime,S10="SC25"),D10,
0))))</f>
        <v>0</v>
      </c>
      <c r="AA10" s="128">
        <f>IF(NOT(Start_Here_Complete),0,
IF(D10=0,0,
IF(AND(Service="Standalone Support",Device_Type="Enterprise &amp; cnWave"),0,
IF(AND(FWB_CCPro,Q10="SC30"),D10,
IF(AND(FWB_CCPrime,S10="SC30"),D10,
0)))))</f>
        <v>0</v>
      </c>
      <c r="AB10" s="128">
        <f>IF(NOT(Start_Here_Complete),0,
IF(D10=0,0,
IF(AND(Service="Standalone Support",Device_Type="Enterprise &amp; cnWave"),0,
IF(AND(FWB_CCPro,Q10="SC40"),D10,
IF(AND(FWB_CCPrime,S10="SC40"),D10,
0)))))</f>
        <v>0</v>
      </c>
      <c r="AC10" s="128">
        <f>IF(NOT(Start_Here_Complete),0,
IF(D10=0,0,
IF(AND(Service="Standalone Support",Device_Type="Enterprise &amp; cnWave"),0,
IF(AND(FWB_CCPro,Q10="SC50"),D10,
IF(AND(FWB_CCPrime,S10="SC50"),D10,
0)))))</f>
        <v>0</v>
      </c>
      <c r="AD10" s="128">
        <f>IF(NOT(Start_Here_Complete),0,
IF(D10=0,0,
IF(AND(Service="Standalone Support",Device_Type="Enterprise &amp; cnWave"),0,
IF(AND(FWB_CCPro,Q10="SC60"),D10,
IF(AND(FWB_CCPrime,S10="SC60"),D10,
0)))))</f>
        <v>0</v>
      </c>
      <c r="AE10" s="16"/>
      <c r="AF10" s="16"/>
      <c r="AG10" s="16"/>
      <c r="AH10" s="16"/>
      <c r="AI10" s="16"/>
      <c r="AJ10" s="16"/>
      <c r="AK10" s="16"/>
      <c r="AL10" s="16"/>
      <c r="AM10" s="16"/>
      <c r="AN10" s="16"/>
    </row>
    <row r="11" spans="1:40" ht="16" thickBot="1" x14ac:dyDescent="0.25">
      <c r="A11" s="16"/>
      <c r="B11" s="40"/>
      <c r="C11" s="91" t="s">
        <v>1142</v>
      </c>
      <c r="D11" s="104"/>
      <c r="E11" s="104"/>
      <c r="F11" s="92"/>
      <c r="G11" s="92"/>
      <c r="H11" s="92"/>
      <c r="I11" s="92"/>
      <c r="J11" s="92"/>
      <c r="K11" s="92"/>
      <c r="L11" s="92"/>
      <c r="M11" s="106"/>
      <c r="N11" s="128"/>
      <c r="O11" s="128"/>
      <c r="P11" s="129"/>
      <c r="Q11" s="129"/>
      <c r="R11" s="190"/>
      <c r="S11" s="129"/>
      <c r="T11" s="190"/>
      <c r="U11" s="193"/>
      <c r="V11" s="129"/>
      <c r="W11" s="129"/>
      <c r="X11" s="129"/>
      <c r="Y11" s="128"/>
      <c r="Z11" s="128"/>
      <c r="AA11" s="128"/>
      <c r="AB11" s="128"/>
      <c r="AC11" s="128"/>
      <c r="AD11" s="128"/>
      <c r="AE11" s="16"/>
      <c r="AF11" s="16"/>
      <c r="AG11" s="16"/>
      <c r="AH11" s="16"/>
      <c r="AI11" s="16"/>
      <c r="AJ11" s="16"/>
      <c r="AK11" s="16"/>
      <c r="AL11" s="16"/>
      <c r="AM11" s="16"/>
      <c r="AN11" s="16"/>
    </row>
    <row r="12" spans="1:40" ht="16" thickBot="1" x14ac:dyDescent="0.25">
      <c r="A12" s="16"/>
      <c r="B12" s="38"/>
      <c r="C12" s="16" t="s">
        <v>1143</v>
      </c>
      <c r="D12" s="6">
        <v>0</v>
      </c>
      <c r="E12" s="135" t="s">
        <v>5960</v>
      </c>
      <c r="F12" s="224" t="str">
        <f t="shared" ref="F12:F17" si="3">IF(NOT(Start_Here_Complete)," ",
IF(D12=0," ",
IF(AND(Service="cnMaestro X",P12&lt;&gt;"N/A"),P12,
IF(AND(Service="cnMaestro X",P12="N/A"),"Not Available",
" "))))</f>
        <v xml:space="preserve"> </v>
      </c>
      <c r="G12" s="115" t="str">
        <f t="shared" ref="G12:G17" si="4">IF(NOT(Start_Here_Complete)," ",
IF(D12=0," ",
IF(AND(Service="cnMaestro X",P12&lt;&gt;"N/A",P12&lt;&gt;"Free Tier"),cnMX_Term,
IF(AND(Service="cnMaestro X",P12="Free Tier")," ",
IF(AND(Service="cnMaestro X",P12="N/A")," ",
" ")))))</f>
        <v xml:space="preserve"> </v>
      </c>
      <c r="H12" s="214"/>
      <c r="I12" s="151" t="str">
        <f t="shared" ref="I12:I23" si="5">IF(NOT((Start_Here_Complete))," ",
IF(D12=0," ",
IF(R12="Pro Go",CONCATENATE("CC Pro ",Q12),
IF(R12="Pro N/R","CC Pro not req'd *",
IF(T12="Prime Go",CONCATENATE("CC Prime ",S12),
IF(T12="Prime N/R","CC Prime not req'd *",
IF(T12="Prime N/A","Prime not available",
IF(CC_Type="Decline Cambium Care","CC Declined",
" "))))))))</f>
        <v xml:space="preserve"> </v>
      </c>
      <c r="J12" s="114" t="str">
        <f t="shared" ref="J12:J23" si="6">IF(NOT(Start_Here_Complete)," ",
IF(D12=0," ",
IF(R12="Pro Go","1 year",
IF(T12="Prime Go","1 Year",
" "))))</f>
        <v xml:space="preserve"> </v>
      </c>
      <c r="K12" s="114" t="str">
        <f t="shared" ref="K12:K23" si="7">IF(NOT(Start_Here_Complete)," ",
IF(D12=0," ",
IF(AND(EW,U12&lt;&gt;"N/A"),"Extended Warranty",
IF(AND(EW,U12="N/A"),"Ext Wty not available",
IF(AND(AR,V12&lt;&gt;"N/A"),"All Risks Adv Replace",
IF(AND(AR,V12="N/A"),"ARAR not available",
IF(NoHW,"HW Support Declined",
IF(AND(FWB_CCPrime,T12="Prime Go"),"ARAR included",
IF(Ent_CCAdv,"Includes Adv Repl",
"X")))))))))</f>
        <v xml:space="preserve"> </v>
      </c>
      <c r="L12" s="213" t="str">
        <f t="shared" si="0"/>
        <v xml:space="preserve"> </v>
      </c>
      <c r="M12" s="212" t="str">
        <f t="shared" ref="M12:M17" si="8">IF(NOT(Start_Here_Complete)," ",
IF(D12=0," ",
IF(OR(FWB_CCPrime,Ent_CCAdv)," ",
"3 years")))</f>
        <v xml:space="preserve"> </v>
      </c>
      <c r="N12" s="128" t="str">
        <f t="shared" ref="N12:N17" si="9">IF(D12=0," ",
IF(AND(EW,U12&lt;&gt;"N/A"),"Choose",
IF(AND(AR,V12&lt;&gt;"N/A"),"Choose",
" ")))</f>
        <v xml:space="preserve"> </v>
      </c>
      <c r="O12" s="128">
        <f t="shared" si="1"/>
        <v>0</v>
      </c>
      <c r="P12" s="190" t="s">
        <v>6245</v>
      </c>
      <c r="Q12" s="190" t="s">
        <v>6362</v>
      </c>
      <c r="R12" s="190" t="str">
        <f t="shared" ref="R12:R23" si="10">IF(AND(FWB_CCPro,Q12&lt;&gt;"N/R"),"Pro Go",
IF(AND(FWB_CCPro,Q12="N/R"),"Pro N/R",
"Pro No"))</f>
        <v>Pro No</v>
      </c>
      <c r="S12" s="190" t="s">
        <v>6362</v>
      </c>
      <c r="T12" s="190" t="str">
        <f t="shared" ref="T12:T23" si="11">IF(AND(FWB_CCPrime,AND(S12&lt;&gt;"N/R",S12&lt;&gt;"N/A")),"Prime Go",
IF(AND(FWB_CCPrime,S12="N/R"),"Prime N/R",
IF(AND(FWB_CCPrime,S12="N/A"),"Prime N/A",
"Prime No")))</f>
        <v>Prime No</v>
      </c>
      <c r="U12" s="191">
        <v>2</v>
      </c>
      <c r="V12" s="194" t="s">
        <v>1226</v>
      </c>
      <c r="W12" s="194"/>
      <c r="X12" s="194"/>
      <c r="Y12" s="128"/>
      <c r="Z12" s="128"/>
      <c r="AA12" s="128"/>
      <c r="AB12" s="128"/>
      <c r="AC12" s="128"/>
      <c r="AD12" s="128"/>
      <c r="AE12" s="16"/>
      <c r="AF12" s="16"/>
      <c r="AG12" s="16"/>
      <c r="AH12" s="16"/>
      <c r="AI12" s="16"/>
      <c r="AJ12" s="16"/>
      <c r="AK12" s="16"/>
      <c r="AL12" s="16"/>
      <c r="AM12" s="16"/>
      <c r="AN12" s="16"/>
    </row>
    <row r="13" spans="1:40" ht="16" thickBot="1" x14ac:dyDescent="0.25">
      <c r="A13" s="16"/>
      <c r="B13" s="38"/>
      <c r="C13" s="16" t="s">
        <v>6682</v>
      </c>
      <c r="D13" s="6">
        <v>0</v>
      </c>
      <c r="E13" s="135" t="s">
        <v>5960</v>
      </c>
      <c r="F13" s="226" t="str">
        <f t="shared" si="3"/>
        <v xml:space="preserve"> </v>
      </c>
      <c r="G13" s="115" t="str">
        <f t="shared" si="4"/>
        <v xml:space="preserve"> </v>
      </c>
      <c r="H13" s="214"/>
      <c r="I13" s="151" t="str">
        <f t="shared" si="5"/>
        <v xml:space="preserve"> </v>
      </c>
      <c r="J13" s="114" t="str">
        <f t="shared" si="6"/>
        <v xml:space="preserve"> </v>
      </c>
      <c r="K13" s="114" t="str">
        <f t="shared" si="7"/>
        <v xml:space="preserve"> </v>
      </c>
      <c r="L13" s="213" t="str">
        <f t="shared" si="0"/>
        <v xml:space="preserve"> </v>
      </c>
      <c r="M13" s="212" t="str">
        <f t="shared" si="8"/>
        <v xml:space="preserve"> </v>
      </c>
      <c r="N13" s="128" t="str">
        <f t="shared" si="9"/>
        <v xml:space="preserve"> </v>
      </c>
      <c r="O13" s="128">
        <f t="shared" si="1"/>
        <v>0</v>
      </c>
      <c r="P13" s="190" t="s">
        <v>6245</v>
      </c>
      <c r="Q13" s="190" t="s">
        <v>6362</v>
      </c>
      <c r="R13" s="190" t="str">
        <f t="shared" si="10"/>
        <v>Pro No</v>
      </c>
      <c r="S13" s="190" t="s">
        <v>6362</v>
      </c>
      <c r="T13" s="190" t="str">
        <f t="shared" si="11"/>
        <v>Prime No</v>
      </c>
      <c r="U13" s="191">
        <v>2</v>
      </c>
      <c r="V13" s="194" t="s">
        <v>1226</v>
      </c>
      <c r="W13" s="194"/>
      <c r="X13" s="194"/>
      <c r="Y13" s="128"/>
      <c r="Z13" s="128"/>
      <c r="AA13" s="128"/>
      <c r="AB13" s="128"/>
      <c r="AC13" s="128"/>
      <c r="AD13" s="128"/>
      <c r="AE13" s="16"/>
      <c r="AF13" s="16"/>
      <c r="AG13" s="16"/>
      <c r="AH13" s="16"/>
      <c r="AI13" s="16"/>
      <c r="AJ13" s="16"/>
      <c r="AK13" s="16"/>
      <c r="AL13" s="16"/>
      <c r="AM13" s="16"/>
      <c r="AN13" s="16"/>
    </row>
    <row r="14" spans="1:40" ht="16" thickBot="1" x14ac:dyDescent="0.25">
      <c r="A14" s="16"/>
      <c r="B14" s="38"/>
      <c r="C14" s="16" t="s">
        <v>6681</v>
      </c>
      <c r="D14" s="6">
        <v>0</v>
      </c>
      <c r="E14" s="135" t="s">
        <v>5960</v>
      </c>
      <c r="F14" s="226" t="str">
        <f t="shared" si="3"/>
        <v xml:space="preserve"> </v>
      </c>
      <c r="G14" s="115" t="str">
        <f t="shared" si="4"/>
        <v xml:space="preserve"> </v>
      </c>
      <c r="H14" s="214"/>
      <c r="I14" s="225" t="str">
        <f t="shared" si="5"/>
        <v xml:space="preserve"> </v>
      </c>
      <c r="J14" s="114" t="str">
        <f t="shared" si="6"/>
        <v xml:space="preserve"> </v>
      </c>
      <c r="K14" s="114" t="str">
        <f t="shared" si="7"/>
        <v xml:space="preserve"> </v>
      </c>
      <c r="L14" s="213" t="str">
        <f t="shared" si="0"/>
        <v xml:space="preserve"> </v>
      </c>
      <c r="M14" s="212" t="str">
        <f t="shared" si="8"/>
        <v xml:space="preserve"> </v>
      </c>
      <c r="N14" s="128" t="str">
        <f t="shared" si="9"/>
        <v xml:space="preserve"> </v>
      </c>
      <c r="O14" s="128">
        <f t="shared" si="1"/>
        <v>0</v>
      </c>
      <c r="P14" s="190" t="s">
        <v>6245</v>
      </c>
      <c r="Q14" s="190" t="s">
        <v>6362</v>
      </c>
      <c r="R14" s="190" t="str">
        <f t="shared" si="10"/>
        <v>Pro No</v>
      </c>
      <c r="S14" s="190" t="s">
        <v>6362</v>
      </c>
      <c r="T14" s="190" t="str">
        <f t="shared" si="11"/>
        <v>Prime No</v>
      </c>
      <c r="U14" s="191">
        <v>2</v>
      </c>
      <c r="V14" s="194" t="s">
        <v>1226</v>
      </c>
      <c r="W14" s="194"/>
      <c r="X14" s="194"/>
      <c r="Y14" s="128"/>
      <c r="Z14" s="128"/>
      <c r="AA14" s="128"/>
      <c r="AB14" s="128"/>
      <c r="AC14" s="128"/>
      <c r="AD14" s="128"/>
      <c r="AE14" s="16"/>
      <c r="AF14" s="16"/>
      <c r="AG14" s="16"/>
      <c r="AH14" s="16"/>
      <c r="AI14" s="16"/>
      <c r="AJ14" s="16"/>
      <c r="AK14" s="16"/>
      <c r="AL14" s="16"/>
      <c r="AM14" s="16"/>
      <c r="AN14" s="16"/>
    </row>
    <row r="15" spans="1:40" ht="16" thickBot="1" x14ac:dyDescent="0.25">
      <c r="A15" s="16"/>
      <c r="B15" s="38"/>
      <c r="C15" s="16" t="s">
        <v>6683</v>
      </c>
      <c r="D15" s="6">
        <v>0</v>
      </c>
      <c r="E15" s="135" t="s">
        <v>5960</v>
      </c>
      <c r="F15" s="226" t="str">
        <f t="shared" si="3"/>
        <v xml:space="preserve"> </v>
      </c>
      <c r="G15" s="115" t="str">
        <f t="shared" si="4"/>
        <v xml:space="preserve"> </v>
      </c>
      <c r="H15" s="214"/>
      <c r="I15" s="225" t="str">
        <f t="shared" si="5"/>
        <v xml:space="preserve"> </v>
      </c>
      <c r="J15" s="114" t="str">
        <f t="shared" si="6"/>
        <v xml:space="preserve"> </v>
      </c>
      <c r="K15" s="114" t="str">
        <f t="shared" si="7"/>
        <v xml:space="preserve"> </v>
      </c>
      <c r="L15" s="213" t="str">
        <f t="shared" si="0"/>
        <v xml:space="preserve"> </v>
      </c>
      <c r="M15" s="212" t="str">
        <f t="shared" si="8"/>
        <v xml:space="preserve"> </v>
      </c>
      <c r="N15" s="128" t="str">
        <f t="shared" si="9"/>
        <v xml:space="preserve"> </v>
      </c>
      <c r="O15" s="128">
        <f t="shared" si="1"/>
        <v>0</v>
      </c>
      <c r="P15" s="190" t="s">
        <v>6245</v>
      </c>
      <c r="Q15" s="190" t="s">
        <v>6362</v>
      </c>
      <c r="R15" s="190" t="str">
        <f t="shared" si="10"/>
        <v>Pro No</v>
      </c>
      <c r="S15" s="190" t="s">
        <v>6362</v>
      </c>
      <c r="T15" s="190" t="str">
        <f t="shared" si="11"/>
        <v>Prime No</v>
      </c>
      <c r="U15" s="191">
        <v>2</v>
      </c>
      <c r="V15" s="194" t="s">
        <v>1226</v>
      </c>
      <c r="W15" s="194"/>
      <c r="X15" s="194"/>
      <c r="Y15" s="128"/>
      <c r="Z15" s="128"/>
      <c r="AA15" s="128"/>
      <c r="AB15" s="128"/>
      <c r="AC15" s="128"/>
      <c r="AD15" s="128"/>
      <c r="AE15" s="16"/>
      <c r="AF15" s="16"/>
      <c r="AG15" s="16"/>
      <c r="AH15" s="16"/>
      <c r="AI15" s="16"/>
      <c r="AJ15" s="16"/>
      <c r="AK15" s="16"/>
      <c r="AL15" s="16"/>
      <c r="AM15" s="16"/>
      <c r="AN15" s="16"/>
    </row>
    <row r="16" spans="1:40" ht="16" thickBot="1" x14ac:dyDescent="0.25">
      <c r="A16" s="16"/>
      <c r="B16" s="38"/>
      <c r="C16" s="16" t="s">
        <v>1144</v>
      </c>
      <c r="D16" s="6">
        <v>0</v>
      </c>
      <c r="E16" s="135" t="s">
        <v>5960</v>
      </c>
      <c r="F16" s="226" t="str">
        <f t="shared" si="3"/>
        <v xml:space="preserve"> </v>
      </c>
      <c r="G16" s="115" t="str">
        <f t="shared" si="4"/>
        <v xml:space="preserve"> </v>
      </c>
      <c r="H16" s="214"/>
      <c r="I16" s="225" t="str">
        <f t="shared" si="5"/>
        <v xml:space="preserve"> </v>
      </c>
      <c r="J16" s="114" t="str">
        <f t="shared" si="6"/>
        <v xml:space="preserve"> </v>
      </c>
      <c r="K16" s="114" t="str">
        <f t="shared" si="7"/>
        <v xml:space="preserve"> </v>
      </c>
      <c r="L16" s="213" t="str">
        <f t="shared" si="0"/>
        <v xml:space="preserve"> </v>
      </c>
      <c r="M16" s="212" t="str">
        <f t="shared" si="8"/>
        <v xml:space="preserve"> </v>
      </c>
      <c r="N16" s="128" t="str">
        <f t="shared" si="9"/>
        <v xml:space="preserve"> </v>
      </c>
      <c r="O16" s="128">
        <f t="shared" si="1"/>
        <v>0</v>
      </c>
      <c r="P16" s="190" t="s">
        <v>6245</v>
      </c>
      <c r="Q16" s="190" t="s">
        <v>6362</v>
      </c>
      <c r="R16" s="190" t="str">
        <f t="shared" si="10"/>
        <v>Pro No</v>
      </c>
      <c r="S16" s="190" t="s">
        <v>6362</v>
      </c>
      <c r="T16" s="190" t="str">
        <f t="shared" si="11"/>
        <v>Prime No</v>
      </c>
      <c r="U16" s="191">
        <v>2</v>
      </c>
      <c r="V16" s="194" t="s">
        <v>1226</v>
      </c>
      <c r="W16" s="194"/>
      <c r="X16" s="194"/>
      <c r="Y16" s="128"/>
      <c r="Z16" s="128"/>
      <c r="AA16" s="128"/>
      <c r="AB16" s="128"/>
      <c r="AC16" s="128"/>
      <c r="AD16" s="128"/>
      <c r="AE16" s="16"/>
      <c r="AF16" s="16"/>
      <c r="AG16" s="16"/>
      <c r="AH16" s="16"/>
      <c r="AI16" s="16"/>
      <c r="AJ16" s="16"/>
      <c r="AK16" s="16"/>
      <c r="AL16" s="16"/>
      <c r="AM16" s="16"/>
      <c r="AN16" s="16"/>
    </row>
    <row r="17" spans="1:40" ht="16" thickBot="1" x14ac:dyDescent="0.25">
      <c r="A17" s="16"/>
      <c r="B17" s="38"/>
      <c r="C17" s="16" t="s">
        <v>1145</v>
      </c>
      <c r="D17" s="6">
        <v>0</v>
      </c>
      <c r="E17" s="135" t="s">
        <v>5960</v>
      </c>
      <c r="F17" s="226" t="str">
        <f t="shared" si="3"/>
        <v xml:space="preserve"> </v>
      </c>
      <c r="G17" s="115" t="str">
        <f t="shared" si="4"/>
        <v xml:space="preserve"> </v>
      </c>
      <c r="H17" s="214"/>
      <c r="I17" s="225" t="str">
        <f t="shared" si="5"/>
        <v xml:space="preserve"> </v>
      </c>
      <c r="J17" s="114" t="str">
        <f t="shared" si="6"/>
        <v xml:space="preserve"> </v>
      </c>
      <c r="K17" s="114" t="str">
        <f t="shared" si="7"/>
        <v xml:space="preserve"> </v>
      </c>
      <c r="L17" s="213" t="str">
        <f t="shared" si="0"/>
        <v xml:space="preserve"> </v>
      </c>
      <c r="M17" s="212" t="str">
        <f t="shared" si="8"/>
        <v xml:space="preserve"> </v>
      </c>
      <c r="N17" s="128" t="str">
        <f t="shared" si="9"/>
        <v xml:space="preserve"> </v>
      </c>
      <c r="O17" s="128">
        <f t="shared" si="1"/>
        <v>0</v>
      </c>
      <c r="P17" s="190" t="s">
        <v>6245</v>
      </c>
      <c r="Q17" s="190" t="s">
        <v>6362</v>
      </c>
      <c r="R17" s="190" t="str">
        <f t="shared" si="10"/>
        <v>Pro No</v>
      </c>
      <c r="S17" s="190" t="s">
        <v>6362</v>
      </c>
      <c r="T17" s="190" t="str">
        <f t="shared" si="11"/>
        <v>Prime No</v>
      </c>
      <c r="U17" s="191">
        <v>2</v>
      </c>
      <c r="V17" s="194" t="s">
        <v>1226</v>
      </c>
      <c r="W17" s="194"/>
      <c r="X17" s="194"/>
      <c r="Y17" s="128"/>
      <c r="Z17" s="128"/>
      <c r="AA17" s="128"/>
      <c r="AB17" s="128"/>
      <c r="AC17" s="128"/>
      <c r="AD17" s="128"/>
      <c r="AE17" s="16"/>
      <c r="AF17" s="16"/>
      <c r="AG17" s="16"/>
      <c r="AH17" s="16"/>
      <c r="AI17" s="16"/>
      <c r="AJ17" s="16"/>
      <c r="AK17" s="16"/>
      <c r="AL17" s="16"/>
      <c r="AM17" s="16"/>
      <c r="AN17" s="16"/>
    </row>
    <row r="18" spans="1:40" ht="16" thickBot="1" x14ac:dyDescent="0.25">
      <c r="A18" s="16"/>
      <c r="B18" s="38"/>
      <c r="C18" s="91" t="s">
        <v>7058</v>
      </c>
      <c r="D18" s="92"/>
      <c r="E18" s="92"/>
      <c r="F18" s="92"/>
      <c r="G18" s="92"/>
      <c r="H18" s="92"/>
      <c r="I18" s="92"/>
      <c r="J18" s="92"/>
      <c r="K18" s="92"/>
      <c r="L18" s="92"/>
      <c r="M18" s="106"/>
      <c r="N18" s="128"/>
      <c r="O18" s="128"/>
      <c r="P18" s="190"/>
      <c r="Q18" s="190"/>
      <c r="R18" s="190"/>
      <c r="S18" s="190"/>
      <c r="T18" s="190"/>
      <c r="U18" s="191"/>
      <c r="V18" s="194"/>
      <c r="W18" s="194"/>
      <c r="X18" s="194"/>
      <c r="Y18" s="128"/>
      <c r="Z18" s="128"/>
      <c r="AA18" s="128"/>
      <c r="AB18" s="128"/>
      <c r="AC18" s="128"/>
      <c r="AD18" s="128"/>
      <c r="AE18" s="16"/>
      <c r="AF18" s="16"/>
      <c r="AG18" s="16"/>
      <c r="AH18" s="16"/>
      <c r="AI18" s="16"/>
      <c r="AJ18" s="16"/>
      <c r="AK18" s="16"/>
      <c r="AL18" s="16"/>
      <c r="AM18" s="16"/>
      <c r="AN18" s="16"/>
    </row>
    <row r="19" spans="1:40" ht="16" thickBot="1" x14ac:dyDescent="0.25">
      <c r="A19" s="16"/>
      <c r="B19" s="38"/>
      <c r="C19" s="16" t="s">
        <v>6583</v>
      </c>
      <c r="D19" s="6">
        <v>0</v>
      </c>
      <c r="E19" s="135" t="s">
        <v>5960</v>
      </c>
      <c r="F19" s="226"/>
      <c r="G19" s="115"/>
      <c r="H19" s="214"/>
      <c r="I19" s="229" t="str">
        <f t="shared" si="5"/>
        <v xml:space="preserve"> </v>
      </c>
      <c r="J19" s="114" t="str">
        <f t="shared" si="6"/>
        <v xml:space="preserve"> </v>
      </c>
      <c r="K19" s="114" t="str">
        <f t="shared" si="7"/>
        <v xml:space="preserve"> </v>
      </c>
      <c r="L19" s="213" t="str">
        <f t="shared" si="0"/>
        <v xml:space="preserve"> </v>
      </c>
      <c r="M19" s="214" t="str">
        <f>IF(NOT(Start_Here_Complete)," ",
IF(D19=0," ",
IF(OR(FWB_CCPrime,Ent_CCAdv)," ",
"3 years")))</f>
        <v xml:space="preserve"> </v>
      </c>
      <c r="N19" s="128" t="str">
        <f t="shared" ref="N19:N23" si="12">IF(D19=0," ",
IF(AND(EW,U19&lt;&gt;"N/A"),"Choose",
IF(AND(AR,V19&lt;&gt;"N/A"),"Choose",
" ")))</f>
        <v xml:space="preserve"> </v>
      </c>
      <c r="O19" s="128">
        <f t="shared" ref="O19:O23" si="13">IF(AND(D19=0,L19=" "),0,1)</f>
        <v>0</v>
      </c>
      <c r="P19" s="190" t="s">
        <v>6421</v>
      </c>
      <c r="Q19" s="289" t="s">
        <v>6252</v>
      </c>
      <c r="R19" s="190" t="str">
        <f t="shared" si="10"/>
        <v>Pro No</v>
      </c>
      <c r="S19" s="289" t="s">
        <v>6252</v>
      </c>
      <c r="T19" s="190" t="str">
        <f t="shared" si="11"/>
        <v>Prime No</v>
      </c>
      <c r="U19" s="191">
        <v>2</v>
      </c>
      <c r="V19" s="191">
        <v>2</v>
      </c>
      <c r="W19" s="194">
        <f>IF(NOT(Start_Here_Complete),0,
IF(D19=0,0,
IF(AND(Service="Standalone Support",Device_Type="Enterprise &amp; cnWave"),0,
IF(AND(FWB_CCPro,Q19="SC10"),D19,
IF(AND(FWB_CCPrime,S19="SC10"),D19,
0)))))</f>
        <v>0</v>
      </c>
      <c r="X19" s="194">
        <f>IF(NOT(Start_Here_Complete),0,
IF(D19=0,0,
IF(AND(Service="Standalone Support",Device_Type="Enterprise &amp; cnWave"),0,
IF(AND(FWB_CCPrime,S19="SC15"),D19,
0))))</f>
        <v>0</v>
      </c>
      <c r="Y19" s="128">
        <f>IF(NOT(Start_Here_Complete),0,
IF(D19=0,0,
IF(AND(Service="Standalone Support",Device_Type="Enterprise &amp; cnWave"),0,
IF(AND(FWB_CCPro,Q19="SC20"),D19,
IF(AND(FWB_CCPrime,S19="SC20"),D19,
0)))))</f>
        <v>0</v>
      </c>
      <c r="Z19" s="128">
        <f>IF(NOT(Start_Here_Complete),0,
IF(D19=0,0,
IF(AND(Service="Standalone Support",Device_Type="Enterprise &amp; cnWave"),0,
IF(AND(FWB_CCPrime,S19="SC25"),D19,
0))))</f>
        <v>0</v>
      </c>
      <c r="AA19" s="128">
        <f>IF(NOT(Start_Here_Complete),0,
IF(D19=0,0,
IF(AND(Service="Standalone Support",Device_Type="Enterprise &amp; cnWave"),0,
IF(AND(FWB_CCPro,Q19="SC30"),D19,
IF(AND(FWB_CCPrime,S19="SC30"),D19,
0)))))</f>
        <v>0</v>
      </c>
      <c r="AB19" s="128">
        <f>IF(NOT(Start_Here_Complete),0,
IF(D19=0,0,
IF(AND(Service="Standalone Support",Device_Type="Enterprise &amp; cnWave"),0,
IF(AND(FWB_CCPro,Q19="SC40"),D19,
IF(AND(FWB_CCPrime,S19="SC40"),D19,
0)))))</f>
        <v>0</v>
      </c>
      <c r="AC19" s="128">
        <f>IF(NOT(Start_Here_Complete),0,
IF(D19=0,0,
IF(AND(Service="Standalone Support",Device_Type="Enterprise &amp; cnWave"),0,
IF(AND(FWB_CCPro,Q19="SC50"),D19,
IF(AND(FWB_CCPrime,S19="SC50"),D19,
0)))))</f>
        <v>0</v>
      </c>
      <c r="AD19" s="128">
        <f>IF(NOT(Start_Here_Complete),0,
IF(D19=0,0,
IF(AND(Service="Standalone Support",Device_Type="Enterprise &amp; cnWave"),0,
IF(AND(FWB_CCPro,Q19="SC60"),D19,
IF(AND(FWB_CCPrime,S19="SC60"),D19,
0)))))</f>
        <v>0</v>
      </c>
      <c r="AE19" s="16"/>
      <c r="AF19" s="16"/>
      <c r="AG19" s="16"/>
      <c r="AH19" s="16"/>
      <c r="AI19" s="16"/>
      <c r="AJ19" s="16"/>
      <c r="AK19" s="16"/>
      <c r="AL19" s="16"/>
      <c r="AM19" s="16"/>
      <c r="AN19" s="16"/>
    </row>
    <row r="20" spans="1:40" ht="16" thickBot="1" x14ac:dyDescent="0.25">
      <c r="A20" s="16"/>
      <c r="B20" s="38"/>
      <c r="C20" s="16" t="s">
        <v>6590</v>
      </c>
      <c r="D20" s="6">
        <v>0</v>
      </c>
      <c r="E20" s="135" t="s">
        <v>5960</v>
      </c>
      <c r="F20" s="226"/>
      <c r="G20" s="115"/>
      <c r="H20" s="214"/>
      <c r="I20" s="229" t="str">
        <f t="shared" si="5"/>
        <v xml:space="preserve"> </v>
      </c>
      <c r="J20" s="114" t="str">
        <f t="shared" si="6"/>
        <v xml:space="preserve"> </v>
      </c>
      <c r="K20" s="114" t="str">
        <f t="shared" si="7"/>
        <v xml:space="preserve"> </v>
      </c>
      <c r="L20" s="213" t="str">
        <f t="shared" si="0"/>
        <v xml:space="preserve"> </v>
      </c>
      <c r="M20" s="214" t="str">
        <f>IF(NOT(Start_Here_Complete)," ",
IF(D20=0," ",
IF(OR(FWB_CCPrime,Ent_CCAdv)," ",
"3 years")))</f>
        <v xml:space="preserve"> </v>
      </c>
      <c r="N20" s="128" t="str">
        <f t="shared" si="12"/>
        <v xml:space="preserve"> </v>
      </c>
      <c r="O20" s="128">
        <f t="shared" si="13"/>
        <v>0</v>
      </c>
      <c r="P20" s="190" t="s">
        <v>6421</v>
      </c>
      <c r="Q20" s="289" t="s">
        <v>6252</v>
      </c>
      <c r="R20" s="190" t="str">
        <f t="shared" si="10"/>
        <v>Pro No</v>
      </c>
      <c r="S20" s="289" t="s">
        <v>6252</v>
      </c>
      <c r="T20" s="190" t="str">
        <f t="shared" si="11"/>
        <v>Prime No</v>
      </c>
      <c r="U20" s="191">
        <v>2</v>
      </c>
      <c r="V20" s="191">
        <v>2</v>
      </c>
      <c r="W20" s="194">
        <f>IF(NOT(Start_Here_Complete),0,
IF(D20=0,0,
IF(AND(Service="Standalone Support",Device_Type="Enterprise &amp; cnWave"),0,
IF(AND(FWB_CCPro,Q20="SC10"),D20,
IF(AND(FWB_CCPrime,S20="SC10"),D20,
0)))))</f>
        <v>0</v>
      </c>
      <c r="X20" s="194">
        <f>IF(NOT(Start_Here_Complete),0,
IF(D20=0,0,
IF(AND(Service="Standalone Support",Device_Type="Enterprise &amp; cnWave"),0,
IF(AND(FWB_CCPrime,S20="SC15"),D20,
0))))</f>
        <v>0</v>
      </c>
      <c r="Y20" s="128">
        <f>IF(NOT(Start_Here_Complete),0,
IF(D20=0,0,
IF(AND(Service="Standalone Support",Device_Type="Enterprise &amp; cnWave"),0,
IF(AND(FWB_CCPro,Q20="SC20"),D20,
IF(AND(FWB_CCPrime,S20="SC20"),D20,
0)))))</f>
        <v>0</v>
      </c>
      <c r="Z20" s="128">
        <f>IF(NOT(Start_Here_Complete),0,
IF(D20=0,0,
IF(AND(Service="Standalone Support",Device_Type="Enterprise &amp; cnWave"),0,
IF(AND(FWB_CCPrime,S20="SC25"),D20,
0))))</f>
        <v>0</v>
      </c>
      <c r="AA20" s="128">
        <f>IF(NOT(Start_Here_Complete),0,
IF(D20=0,0,
IF(AND(Service="Standalone Support",Device_Type="Enterprise &amp; cnWave"),0,
IF(AND(FWB_CCPro,Q20="SC30"),D20,
IF(AND(FWB_CCPrime,S20="SC30"),D20,
0)))))</f>
        <v>0</v>
      </c>
      <c r="AB20" s="128">
        <f>IF(NOT(Start_Here_Complete),0,
IF(D20=0,0,
IF(AND(Service="Standalone Support",Device_Type="Enterprise &amp; cnWave"),0,
IF(AND(FWB_CCPro,Q20="SC40"),D20,
IF(AND(FWB_CCPrime,S20="SC40"),D20,
0)))))</f>
        <v>0</v>
      </c>
      <c r="AC20" s="128">
        <f>IF(NOT(Start_Here_Complete),0,
IF(D20=0,0,
IF(AND(Service="Standalone Support",Device_Type="Enterprise &amp; cnWave"),0,
IF(AND(FWB_CCPro,Q20="SC50"),D20,
IF(AND(FWB_CCPrime,S20="SC50"),D20,
0)))))</f>
        <v>0</v>
      </c>
      <c r="AD20" s="128">
        <f>IF(NOT(Start_Here_Complete),0,
IF(D20=0,0,
IF(AND(Service="Standalone Support",Device_Type="Enterprise &amp; cnWave"),0,
IF(AND(FWB_CCPro,Q20="SC60"),D20,
IF(AND(FWB_CCPrime,S20="SC60"),D20,
0)))))</f>
        <v>0</v>
      </c>
      <c r="AE20" s="16"/>
      <c r="AF20" s="16"/>
      <c r="AG20" s="16"/>
      <c r="AH20" s="16"/>
      <c r="AI20" s="16"/>
      <c r="AJ20" s="16"/>
      <c r="AK20" s="16"/>
      <c r="AL20" s="16"/>
      <c r="AM20" s="16"/>
      <c r="AN20" s="16"/>
    </row>
    <row r="21" spans="1:40" ht="16" thickBot="1" x14ac:dyDescent="0.25">
      <c r="A21" s="16"/>
      <c r="B21" s="38"/>
      <c r="C21" s="16" t="s">
        <v>6597</v>
      </c>
      <c r="D21" s="6">
        <v>0</v>
      </c>
      <c r="E21" s="135" t="s">
        <v>5960</v>
      </c>
      <c r="F21" s="226"/>
      <c r="G21" s="115"/>
      <c r="H21" s="214"/>
      <c r="I21" s="229" t="str">
        <f t="shared" si="5"/>
        <v xml:space="preserve"> </v>
      </c>
      <c r="J21" s="114" t="str">
        <f t="shared" si="6"/>
        <v xml:space="preserve"> </v>
      </c>
      <c r="K21" s="114" t="str">
        <f t="shared" si="7"/>
        <v xml:space="preserve"> </v>
      </c>
      <c r="L21" s="213" t="str">
        <f t="shared" si="0"/>
        <v xml:space="preserve"> </v>
      </c>
      <c r="M21" s="214" t="str">
        <f>IF(NOT(Start_Here_Complete)," ",
IF(D21=0," ",
IF(OR(FWB_CCPrime,Ent_CCAdv)," ",
"3 years")))</f>
        <v xml:space="preserve"> </v>
      </c>
      <c r="N21" s="128" t="str">
        <f t="shared" si="12"/>
        <v xml:space="preserve"> </v>
      </c>
      <c r="O21" s="128">
        <f t="shared" si="13"/>
        <v>0</v>
      </c>
      <c r="P21" s="190" t="s">
        <v>6421</v>
      </c>
      <c r="Q21" s="289" t="s">
        <v>6252</v>
      </c>
      <c r="R21" s="190" t="str">
        <f t="shared" si="10"/>
        <v>Pro No</v>
      </c>
      <c r="S21" s="289" t="s">
        <v>6252</v>
      </c>
      <c r="T21" s="190" t="str">
        <f t="shared" si="11"/>
        <v>Prime No</v>
      </c>
      <c r="U21" s="191">
        <v>2</v>
      </c>
      <c r="V21" s="191">
        <v>2</v>
      </c>
      <c r="W21" s="194">
        <f>IF(NOT(Start_Here_Complete),0,
IF(D21=0,0,
IF(AND(Service="Standalone Support",Device_Type="Enterprise &amp; cnWave"),0,
IF(AND(FWB_CCPro,Q21="SC10"),D21,
IF(AND(FWB_CCPrime,S21="SC10"),D21,
0)))))</f>
        <v>0</v>
      </c>
      <c r="X21" s="194">
        <f>IF(NOT(Start_Here_Complete),0,
IF(D21=0,0,
IF(AND(Service="Standalone Support",Device_Type="Enterprise &amp; cnWave"),0,
IF(AND(FWB_CCPrime,S21="SC15"),D21,
0))))</f>
        <v>0</v>
      </c>
      <c r="Y21" s="128">
        <f>IF(NOT(Start_Here_Complete),0,
IF(D21=0,0,
IF(AND(Service="Standalone Support",Device_Type="Enterprise &amp; cnWave"),0,
IF(AND(FWB_CCPro,Q21="SC20"),D21,
IF(AND(FWB_CCPrime,S21="SC20"),D21,
0)))))</f>
        <v>0</v>
      </c>
      <c r="Z21" s="128">
        <f>IF(NOT(Start_Here_Complete),0,
IF(D21=0,0,
IF(AND(Service="Standalone Support",Device_Type="Enterprise &amp; cnWave"),0,
IF(AND(FWB_CCPrime,S21="SC25"),D21,
0))))</f>
        <v>0</v>
      </c>
      <c r="AA21" s="128">
        <f>IF(NOT(Start_Here_Complete),0,
IF(D21=0,0,
IF(AND(Service="Standalone Support",Device_Type="Enterprise &amp; cnWave"),0,
IF(AND(FWB_CCPro,Q21="SC30"),D21,
IF(AND(FWB_CCPrime,S21="SC30"),D21,
0)))))</f>
        <v>0</v>
      </c>
      <c r="AB21" s="128">
        <f>IF(NOT(Start_Here_Complete),0,
IF(D21=0,0,
IF(AND(Service="Standalone Support",Device_Type="Enterprise &amp; cnWave"),0,
IF(AND(FWB_CCPro,Q21="SC40"),D21,
IF(AND(FWB_CCPrime,S21="SC40"),D21,
0)))))</f>
        <v>0</v>
      </c>
      <c r="AC21" s="128">
        <f>IF(NOT(Start_Here_Complete),0,
IF(D21=0,0,
IF(AND(Service="Standalone Support",Device_Type="Enterprise &amp; cnWave"),0,
IF(AND(FWB_CCPro,Q21="SC50"),D21,
IF(AND(FWB_CCPrime,S21="SC50"),D21,
0)))))</f>
        <v>0</v>
      </c>
      <c r="AD21" s="128">
        <f>IF(NOT(Start_Here_Complete),0,
IF(D21=0,0,
IF(AND(Service="Standalone Support",Device_Type="Enterprise &amp; cnWave"),0,
IF(AND(FWB_CCPro,Q21="SC60"),D21,
IF(AND(FWB_CCPrime,S21="SC60"),D21,
0)))))</f>
        <v>0</v>
      </c>
      <c r="AE21" s="16"/>
      <c r="AF21" s="16"/>
      <c r="AG21" s="16"/>
      <c r="AH21" s="16"/>
      <c r="AI21" s="16"/>
      <c r="AJ21" s="16"/>
      <c r="AK21" s="16"/>
      <c r="AL21" s="16"/>
      <c r="AM21" s="16"/>
      <c r="AN21" s="16"/>
    </row>
    <row r="22" spans="1:40" ht="16" thickBot="1" x14ac:dyDescent="0.25">
      <c r="A22" s="16"/>
      <c r="B22" s="38"/>
      <c r="C22" s="16" t="s">
        <v>1560</v>
      </c>
      <c r="D22" s="6">
        <v>0</v>
      </c>
      <c r="E22" s="135" t="s">
        <v>5960</v>
      </c>
      <c r="F22" s="226"/>
      <c r="G22" s="115"/>
      <c r="H22" s="214"/>
      <c r="I22" s="229" t="str">
        <f t="shared" si="5"/>
        <v xml:space="preserve"> </v>
      </c>
      <c r="J22" s="114" t="str">
        <f t="shared" si="6"/>
        <v xml:space="preserve"> </v>
      </c>
      <c r="K22" s="114" t="str">
        <f t="shared" si="7"/>
        <v xml:space="preserve"> </v>
      </c>
      <c r="L22" s="213" t="str">
        <f t="shared" si="0"/>
        <v xml:space="preserve"> </v>
      </c>
      <c r="M22" s="214" t="str">
        <f>IF(NOT(Start_Here_Complete)," ",
IF(D22=0," ",
IF(OR(FWB_CCPrime,Ent_CCAdv)," ",
"1 year")))</f>
        <v xml:space="preserve"> </v>
      </c>
      <c r="N22" s="128" t="str">
        <f t="shared" si="12"/>
        <v xml:space="preserve"> </v>
      </c>
      <c r="O22" s="128">
        <f t="shared" si="13"/>
        <v>0</v>
      </c>
      <c r="P22" s="190" t="s">
        <v>1226</v>
      </c>
      <c r="Q22" s="289" t="s">
        <v>6249</v>
      </c>
      <c r="R22" s="190" t="str">
        <f t="shared" si="10"/>
        <v>Pro No</v>
      </c>
      <c r="S22" s="289" t="s">
        <v>6256</v>
      </c>
      <c r="T22" s="190" t="str">
        <f t="shared" si="11"/>
        <v>Prime No</v>
      </c>
      <c r="U22" s="191">
        <v>4</v>
      </c>
      <c r="V22" s="191" t="s">
        <v>1226</v>
      </c>
      <c r="W22" s="194">
        <f>IF(NOT(Start_Here_Complete),0,
IF(D22=0,0,
IF(AND(Service="Standalone Support",Device_Type="Enterprise &amp; cnWave"),0,
IF(AND(FWB_CCPro,Q22="SC10"),D22,
IF(AND(FWB_CCPrime,S22="SC10"),D22,
0)))))</f>
        <v>0</v>
      </c>
      <c r="X22" s="194">
        <f>IF(NOT(Start_Here_Complete),0,
IF(D22=0,0,
IF(AND(Service="Standalone Support",Device_Type="Enterprise &amp; cnWave"),0,
IF(AND(FWB_CCPrime,S22="SC15"),D22,
0))))</f>
        <v>0</v>
      </c>
      <c r="Y22" s="128">
        <f>IF(NOT(Start_Here_Complete),0,
IF(D22=0,0,
IF(AND(Service="Standalone Support",Device_Type="Enterprise &amp; cnWave"),0,
IF(AND(FWB_CCPro,Q22="SC20"),D22,
IF(AND(FWB_CCPrime,S22="SC20"),D22,
0)))))</f>
        <v>0</v>
      </c>
      <c r="Z22" s="128">
        <f>IF(NOT(Start_Here_Complete),0,
IF(D22=0,0,
IF(AND(Service="Standalone Support",Device_Type="Enterprise &amp; cnWave"),0,
IF(AND(FWB_CCPrime,S22="SC25"),D22,
0))))</f>
        <v>0</v>
      </c>
      <c r="AA22" s="128">
        <f>IF(NOT(Start_Here_Complete),0,
IF(D22=0,0,
IF(AND(Service="Standalone Support",Device_Type="Enterprise &amp; cnWave"),0,
IF(AND(FWB_CCPro,Q22="SC30"),D22,
IF(AND(FWB_CCPrime,S22="SC30"),D22,
0)))))</f>
        <v>0</v>
      </c>
      <c r="AB22" s="128">
        <f>IF(NOT(Start_Here_Complete),0,
IF(D22=0,0,
IF(AND(Service="Standalone Support",Device_Type="Enterprise &amp; cnWave"),0,
IF(AND(FWB_CCPro,Q22="SC40"),D22,
IF(AND(FWB_CCPrime,S22="SC40"),D22,
0)))))</f>
        <v>0</v>
      </c>
      <c r="AC22" s="128">
        <f>IF(NOT(Start_Here_Complete),0,
IF(D22=0,0,
IF(AND(Service="Standalone Support",Device_Type="Enterprise &amp; cnWave"),0,
IF(AND(FWB_CCPro,Q22="SC50"),D22,
IF(AND(FWB_CCPrime,S22="SC50"),D22,
0)))))</f>
        <v>0</v>
      </c>
      <c r="AD22" s="128">
        <f>IF(NOT(Start_Here_Complete),0,
IF(D22=0,0,
IF(AND(Service="Standalone Support",Device_Type="Enterprise &amp; cnWave"),0,
IF(AND(FWB_CCPro,Q22="SC60"),D22,
IF(AND(FWB_CCPrime,S22="SC60"),D22,
0)))))</f>
        <v>0</v>
      </c>
      <c r="AE22" s="16"/>
      <c r="AF22" s="16"/>
      <c r="AG22" s="16"/>
      <c r="AH22" s="16"/>
      <c r="AI22" s="16"/>
      <c r="AJ22" s="16"/>
      <c r="AK22" s="16"/>
      <c r="AL22" s="16"/>
      <c r="AM22" s="16"/>
      <c r="AN22" s="16"/>
    </row>
    <row r="23" spans="1:40" ht="16" thickBot="1" x14ac:dyDescent="0.25">
      <c r="A23" s="16"/>
      <c r="B23" s="38"/>
      <c r="C23" s="16" t="s">
        <v>7059</v>
      </c>
      <c r="D23" s="6">
        <v>0</v>
      </c>
      <c r="E23" s="135" t="s">
        <v>5960</v>
      </c>
      <c r="F23" s="226"/>
      <c r="G23" s="115"/>
      <c r="H23" s="214"/>
      <c r="I23" s="229" t="str">
        <f t="shared" si="5"/>
        <v xml:space="preserve"> </v>
      </c>
      <c r="J23" s="114" t="str">
        <f t="shared" si="6"/>
        <v xml:space="preserve"> </v>
      </c>
      <c r="K23" s="114" t="str">
        <f t="shared" si="7"/>
        <v xml:space="preserve"> </v>
      </c>
      <c r="L23" s="213" t="str">
        <f t="shared" si="0"/>
        <v xml:space="preserve"> </v>
      </c>
      <c r="M23" s="214" t="str">
        <f>IF(NOT(Start_Here_Complete)," ",
IF(D23=0," ",
IF(OR(FWB_CCPrime,Ent_CCAdv)," ",
"1 year")))</f>
        <v xml:space="preserve"> </v>
      </c>
      <c r="N23" s="128" t="str">
        <f t="shared" si="12"/>
        <v xml:space="preserve"> </v>
      </c>
      <c r="O23" s="128">
        <f t="shared" si="13"/>
        <v>0</v>
      </c>
      <c r="P23" s="190" t="s">
        <v>1226</v>
      </c>
      <c r="Q23" s="289" t="s">
        <v>6251</v>
      </c>
      <c r="R23" s="190" t="str">
        <f t="shared" si="10"/>
        <v>Pro No</v>
      </c>
      <c r="S23" s="289" t="s">
        <v>6251</v>
      </c>
      <c r="T23" s="190" t="str">
        <f t="shared" si="11"/>
        <v>Prime No</v>
      </c>
      <c r="U23" s="191">
        <v>4</v>
      </c>
      <c r="V23" s="191" t="s">
        <v>1226</v>
      </c>
      <c r="W23" s="194">
        <f>IF(NOT(Start_Here_Complete),0,
IF(D23=0,0,
IF(AND(Service="Standalone Support",Device_Type="Enterprise &amp; cnWave"),0,
IF(AND(FWB_CCPro,Q23="SC10"),D23,
IF(AND(FWB_CCPrime,S23="SC10"),D23,
0)))))</f>
        <v>0</v>
      </c>
      <c r="X23" s="194">
        <f>IF(NOT(Start_Here_Complete),0,
IF(D23=0,0,
IF(AND(Service="Standalone Support",Device_Type="Enterprise &amp; cnWave"),0,
IF(AND(FWB_CCPrime,S23="SC15"),D23,
0))))</f>
        <v>0</v>
      </c>
      <c r="Y23" s="128">
        <f>IF(NOT(Start_Here_Complete),0,
IF(D23=0,0,
IF(AND(Service="Standalone Support",Device_Type="Enterprise &amp; cnWave"),0,
IF(AND(FWB_CCPro,Q23="SC20"),D23,
IF(AND(FWB_CCPrime,S23="SC20"),D23,
0)))))</f>
        <v>0</v>
      </c>
      <c r="Z23" s="128">
        <f>IF(NOT(Start_Here_Complete),0,
IF(D23=0,0,
IF(AND(Service="Standalone Support",Device_Type="Enterprise &amp; cnWave"),0,
IF(AND(FWB_CCPrime,S23="SC25"),D23,
0))))</f>
        <v>0</v>
      </c>
      <c r="AA23" s="128">
        <f>IF(NOT(Start_Here_Complete),0,
IF(D23=0,0,
IF(AND(Service="Standalone Support",Device_Type="Enterprise &amp; cnWave"),0,
IF(AND(FWB_CCPro,Q23="SC30"),D23,
IF(AND(FWB_CCPrime,S23="SC30"),D23,
0)))))</f>
        <v>0</v>
      </c>
      <c r="AB23" s="128">
        <f>IF(NOT(Start_Here_Complete),0,
IF(D23=0,0,
IF(AND(Service="Standalone Support",Device_Type="Enterprise &amp; cnWave"),0,
IF(AND(FWB_CCPro,Q23="SC40"),D23,
IF(AND(FWB_CCPrime,S23="SC40"),D23,
0)))))</f>
        <v>0</v>
      </c>
      <c r="AC23" s="128">
        <f>IF(NOT(Start_Here_Complete),0,
IF(D23=0,0,
IF(AND(Service="Standalone Support",Device_Type="Enterprise &amp; cnWave"),0,
IF(AND(FWB_CCPro,Q23="SC50"),D23,
IF(AND(FWB_CCPrime,S23="SC50"),D23,
0)))))</f>
        <v>0</v>
      </c>
      <c r="AD23" s="128">
        <f>IF(NOT(Start_Here_Complete),0,
IF(D23=0,0,
IF(AND(Service="Standalone Support",Device_Type="Enterprise &amp; cnWave"),0,
IF(AND(FWB_CCPro,Q23="SC60"),D23,
IF(AND(FWB_CCPrime,S23="SC60"),D23,
0)))))</f>
        <v>0</v>
      </c>
      <c r="AE23" s="16"/>
      <c r="AF23" s="16"/>
      <c r="AG23" s="16"/>
      <c r="AH23" s="16"/>
      <c r="AI23" s="16"/>
      <c r="AJ23" s="16"/>
      <c r="AK23" s="16"/>
      <c r="AL23" s="16"/>
      <c r="AM23" s="16"/>
      <c r="AN23" s="16"/>
    </row>
    <row r="24" spans="1:40" ht="16" thickBot="1" x14ac:dyDescent="0.25">
      <c r="A24" s="16"/>
      <c r="B24" s="38"/>
      <c r="C24" s="91" t="s">
        <v>1197</v>
      </c>
      <c r="D24" s="92"/>
      <c r="E24" s="92"/>
      <c r="F24" s="92"/>
      <c r="G24" s="92"/>
      <c r="H24" s="92"/>
      <c r="I24" s="92"/>
      <c r="J24" s="92"/>
      <c r="K24" s="92"/>
      <c r="L24" s="92"/>
      <c r="M24" s="106"/>
      <c r="N24" s="128"/>
      <c r="O24" s="128"/>
      <c r="P24" s="129"/>
      <c r="Q24" s="129"/>
      <c r="R24" s="190"/>
      <c r="S24" s="129"/>
      <c r="T24" s="190"/>
      <c r="U24" s="193"/>
      <c r="V24" s="129"/>
      <c r="W24" s="129"/>
      <c r="X24" s="129"/>
      <c r="Y24" s="128"/>
      <c r="Z24" s="128"/>
      <c r="AA24" s="128"/>
      <c r="AB24" s="128"/>
      <c r="AC24" s="128"/>
      <c r="AD24" s="128"/>
      <c r="AE24" s="16"/>
      <c r="AF24" s="16"/>
      <c r="AG24" s="16"/>
      <c r="AH24" s="16"/>
      <c r="AI24" s="16"/>
      <c r="AJ24" s="16"/>
      <c r="AK24" s="16"/>
      <c r="AL24" s="16"/>
      <c r="AM24" s="16"/>
      <c r="AN24" s="16"/>
    </row>
    <row r="25" spans="1:40" ht="16" thickBot="1" x14ac:dyDescent="0.25">
      <c r="A25" s="16"/>
      <c r="B25" s="38"/>
      <c r="C25" s="99" t="s">
        <v>5911</v>
      </c>
      <c r="D25" s="6">
        <v>0</v>
      </c>
      <c r="E25" s="135" t="s">
        <v>5960</v>
      </c>
      <c r="F25" s="226" t="str">
        <f>IF(NOT(Start_Here_Complete)," ",
IF(D25=0," ",
IF(AND(Service="cnMaestro X",P25&lt;&gt;"N/A"),P25,
IF(AND(Service="cnMaestro X",P25="N/A"),"Not Available",
" "))))</f>
        <v xml:space="preserve"> </v>
      </c>
      <c r="G25" s="115" t="str">
        <f>IF(NOT(Start_Here_Complete)," ",
IF(D25=0," ",
IF(AND(Service="cnMaestro X",P25&lt;&gt;"N/A",P25&lt;&gt;"Free Tier"),cnMX_Term,
IF(AND(Service="cnMaestro X",P25="Free Tier")," ",
IF(AND(Service="cnMaestro X",P25="N/A")," ",
" ")))))</f>
        <v xml:space="preserve"> </v>
      </c>
      <c r="H25" s="214"/>
      <c r="I25" s="151" t="str">
        <f>IF(NOT((Start_Here_Complete))," ",
IF(D25=0," ",
IF(R25="Pro Go",CONCATENATE("CC Pro ",Q25),
IF(R25="Pro N/R","CC Pro not req'd *",
IF(T25="Prime Go",CONCATENATE("CC Prime ",S25),
IF(T25="Prime N/R","CC Prime not req'd *",
IF(T25="Prime N/A","Prime not available",
IF(CC_Type="Decline Cambium Care","CC Declined",
" "))))))))</f>
        <v xml:space="preserve"> </v>
      </c>
      <c r="J25" s="114" t="str">
        <f>IF(NOT(Start_Here_Complete)," ",
IF(D25=0," ",
IF(R25="Pro Go","1 year",
IF(T25="Prime Go","1 Year",
" "))))</f>
        <v xml:space="preserve"> </v>
      </c>
      <c r="K25" s="114" t="str">
        <f>IF(NOT(Start_Here_Complete)," ",
IF(D25=0," ",
IF(AND(EW,U25&lt;&gt;"N/A"),"Extended Warranty",
IF(AND(EW,U25="N/A"),"Ext Wty not available",
IF(AND(AR,V25&lt;&gt;"N/A"),"All Risks Adv Replace",
IF(AND(AR,V25="N/A"),"ARAR not available",
IF(NoHW,"HW Support Declined",
IF(AND(FWB_CCPrime,T25="Prime Go"),"ARAR included",
IF(Ent_CCAdv,"Includes Adv Repl",
"X")))))))))</f>
        <v xml:space="preserve"> </v>
      </c>
      <c r="L25" s="213" t="str">
        <f t="shared" si="0"/>
        <v xml:space="preserve"> </v>
      </c>
      <c r="M25" s="214" t="str">
        <f>IF(NOT(Start_Here_Complete)," ",
IF(D25=0," ",
IF(OR(FWB_CCPrime,Ent_CCAdv)," ",
"3 years")))</f>
        <v xml:space="preserve"> </v>
      </c>
      <c r="N25" s="128" t="str">
        <f>IF(D25=0," ",
IF(AND(EW,U25&lt;&gt;"N/A"),"Choose",
IF(AND(AR,V25&lt;&gt;"N/A"),"Choose",
" ")))</f>
        <v xml:space="preserve"> </v>
      </c>
      <c r="O25" s="128">
        <f t="shared" si="1"/>
        <v>0</v>
      </c>
      <c r="P25" s="194" t="s">
        <v>6245</v>
      </c>
      <c r="Q25" s="190" t="s">
        <v>6362</v>
      </c>
      <c r="R25" s="190" t="str">
        <f>IF(AND(FWB_CCPro,Q25&lt;&gt;"N/R"),"Pro Go",
IF(AND(FWB_CCPro,Q25="N/R"),"Pro N/R",
"Pro No"))</f>
        <v>Pro No</v>
      </c>
      <c r="S25" s="190" t="s">
        <v>6362</v>
      </c>
      <c r="T25" s="190" t="str">
        <f>IF(AND(FWB_CCPrime,AND(S25&lt;&gt;"N/R",S25&lt;&gt;"N/A")),"Prime Go",
IF(AND(FWB_CCPrime,S25="N/R"),"Prime N/R",
IF(AND(FWB_CCPrime,S25="N/A"),"Prime N/A",
"Prime No")))</f>
        <v>Prime No</v>
      </c>
      <c r="U25" s="191">
        <v>2</v>
      </c>
      <c r="V25" s="191">
        <v>2</v>
      </c>
      <c r="W25" s="194"/>
      <c r="X25" s="194"/>
      <c r="Y25" s="128"/>
      <c r="Z25" s="128"/>
      <c r="AA25" s="128"/>
      <c r="AB25" s="128"/>
      <c r="AC25" s="128"/>
      <c r="AD25" s="128"/>
      <c r="AE25" s="16"/>
      <c r="AF25" s="16"/>
      <c r="AG25" s="16"/>
      <c r="AH25" s="16"/>
      <c r="AI25" s="16"/>
      <c r="AJ25" s="16"/>
      <c r="AK25" s="16"/>
      <c r="AL25" s="16"/>
      <c r="AM25" s="16"/>
      <c r="AN25" s="16"/>
    </row>
    <row r="26" spans="1:40" ht="16" thickBot="1" x14ac:dyDescent="0.25">
      <c r="A26" s="16"/>
      <c r="B26" s="38"/>
      <c r="C26" s="99" t="s">
        <v>5912</v>
      </c>
      <c r="D26" s="6">
        <v>0</v>
      </c>
      <c r="E26" s="135" t="s">
        <v>5960</v>
      </c>
      <c r="F26" s="226" t="str">
        <f>IF(NOT(Start_Here_Complete)," ",
IF(D26=0," ",
IF(AND(Service="cnMaestro X",P26&lt;&gt;"N/A"),P26,
IF(AND(Service="cnMaestro X",P26="N/A"),"Not Available",
" "))))</f>
        <v xml:space="preserve"> </v>
      </c>
      <c r="G26" s="115" t="str">
        <f>IF(NOT(Start_Here_Complete)," ",
IF(D26=0," ",
IF(AND(Service="cnMaestro X",P26&lt;&gt;"N/A",P26&lt;&gt;"Free Tier"),cnMX_Term,
IF(AND(Service="cnMaestro X",P26="Free Tier")," ",
IF(AND(Service="cnMaestro X",P26="N/A")," ",
" ")))))</f>
        <v xml:space="preserve"> </v>
      </c>
      <c r="H26" s="214"/>
      <c r="I26" s="151" t="str">
        <f>IF(NOT((Start_Here_Complete))," ",
IF(D26=0," ",
IF(R26="Pro Go",CONCATENATE("CC Pro ",Q26),
IF(R26="Pro N/R","CC Pro not req'd *",
IF(T26="Prime Go",CONCATENATE("CC Prime ",S26),
IF(T26="Prime N/R","CC Prime not req'd *",
IF(T26="Prime N/A","Prime not available",
IF(CC_Type="Decline Cambium Care","CC Declined",
" "))))))))</f>
        <v xml:space="preserve"> </v>
      </c>
      <c r="J26" s="114" t="str">
        <f>IF(NOT(Start_Here_Complete)," ",
IF(D26=0," ",
IF(R26="Pro Go","1 year",
IF(T26="Prime Go","1 Year",
" "))))</f>
        <v xml:space="preserve"> </v>
      </c>
      <c r="K26" s="114" t="str">
        <f>IF(NOT(Start_Here_Complete)," ",
IF(D26=0," ",
IF(AND(EW,U26&lt;&gt;"N/A"),"Extended Warranty",
IF(AND(EW,U26="N/A"),"Ext Wty not available",
IF(AND(AR,V26&lt;&gt;"N/A"),"All Risks Adv Replace",
IF(AND(AR,V26="N/A"),"ARAR not available",
IF(NoHW,"HW Support Declined",
IF(AND(FWB_CCPrime,T26="Prime Go"),"ARAR included",
IF(Ent_CCAdv,"Includes Adv Repl",
"X")))))))))</f>
        <v xml:space="preserve"> </v>
      </c>
      <c r="L26" s="213" t="str">
        <f t="shared" si="0"/>
        <v xml:space="preserve"> </v>
      </c>
      <c r="M26" s="214" t="str">
        <f>IF(NOT(Start_Here_Complete)," ",
IF(D26=0," ",
IF(OR(FWB_CCPrime,Ent_CCAdv)," ",
"3 years")))</f>
        <v xml:space="preserve"> </v>
      </c>
      <c r="N26" s="128" t="str">
        <f>IF(D26=0," ",
IF(AND(EW,U26&lt;&gt;"N/A"),"Choose",
IF(AND(AR,V26&lt;&gt;"N/A"),"Choose",
" ")))</f>
        <v xml:space="preserve"> </v>
      </c>
      <c r="O26" s="128">
        <f t="shared" si="1"/>
        <v>0</v>
      </c>
      <c r="P26" s="194" t="s">
        <v>6245</v>
      </c>
      <c r="Q26" s="190" t="s">
        <v>6362</v>
      </c>
      <c r="R26" s="190" t="str">
        <f>IF(AND(FWB_CCPro,Q26&lt;&gt;"N/R"),"Pro Go",
IF(AND(FWB_CCPro,Q26="N/R"),"Pro N/R",
"Pro No"))</f>
        <v>Pro No</v>
      </c>
      <c r="S26" s="190" t="s">
        <v>6362</v>
      </c>
      <c r="T26" s="190" t="str">
        <f>IF(AND(FWB_CCPrime,AND(S26&lt;&gt;"N/R",S26&lt;&gt;"N/A")),"Prime Go",
IF(AND(FWB_CCPrime,S26="N/R"),"Prime N/R",
IF(AND(FWB_CCPrime,S26="N/A"),"Prime N/A",
"Prime No")))</f>
        <v>Prime No</v>
      </c>
      <c r="U26" s="191">
        <v>2</v>
      </c>
      <c r="V26" s="191">
        <v>2</v>
      </c>
      <c r="W26" s="194"/>
      <c r="X26" s="194"/>
      <c r="Y26" s="128"/>
      <c r="Z26" s="128"/>
      <c r="AA26" s="128"/>
      <c r="AB26" s="128"/>
      <c r="AC26" s="128"/>
      <c r="AD26" s="128"/>
      <c r="AE26" s="16"/>
      <c r="AF26" s="16"/>
      <c r="AG26" s="16"/>
      <c r="AH26" s="16"/>
      <c r="AI26" s="16"/>
      <c r="AJ26" s="16"/>
      <c r="AK26" s="16"/>
      <c r="AL26" s="16"/>
      <c r="AM26" s="16"/>
      <c r="AN26" s="16"/>
    </row>
    <row r="27" spans="1:40" ht="16" thickBot="1" x14ac:dyDescent="0.25">
      <c r="A27" s="16"/>
      <c r="B27" s="38"/>
      <c r="C27" s="99" t="s">
        <v>1146</v>
      </c>
      <c r="D27" s="6">
        <v>0</v>
      </c>
      <c r="E27" s="135" t="s">
        <v>5960</v>
      </c>
      <c r="F27" s="224" t="str">
        <f>IF(NOT(Start_Here_Complete)," ",
IF(D27=0," ",
IF(AND(Service="cnMaestro X",P27&lt;&gt;"N/A"),P27,
IF(AND(Service="cnMaestro X",P27="N/A"),"Not Available",
" "))))</f>
        <v xml:space="preserve"> </v>
      </c>
      <c r="G27" s="115" t="str">
        <f>IF(NOT(Start_Here_Complete)," ",
IF(D27=0," ",
IF(AND(Service="cnMaestro X",P27&lt;&gt;"N/A",P27&lt;&gt;"Free Tier"),cnMX_Term,
IF(AND(Service="cnMaestro X",P27="Free Tier")," ",
IF(AND(Service="cnMaestro X",P27="N/A")," ",
" ")))))</f>
        <v xml:space="preserve"> </v>
      </c>
      <c r="H27" s="214"/>
      <c r="I27" s="151" t="str">
        <f>IF(NOT((Start_Here_Complete))," ",
IF(D27=0," ",
IF(R27="Pro Go",CONCATENATE("CC Pro ",Q27),
IF(R27="Pro N/R","CC Pro not req'd *",
IF(T27="Prime Go",CONCATENATE("CC Prime ",S27),
IF(T27="Prime N/R","CC Prime not req'd *",
IF(T27="Prime N/A","Prime not available",
IF(CC_Type="Decline Cambium Care","CC Declined",
" "))))))))</f>
        <v xml:space="preserve"> </v>
      </c>
      <c r="J27" s="114" t="str">
        <f>IF(NOT(Start_Here_Complete)," ",
IF(D27=0," ",
IF(R27="Pro Go","1 year",
IF(T27="Prime Go","1 Year",
" "))))</f>
        <v xml:space="preserve"> </v>
      </c>
      <c r="K27" s="114" t="str">
        <f>IF(NOT(Start_Here_Complete)," ",
IF(D27=0," ",
IF(AND(EW,U27&lt;&gt;"N/A"),"Extended Warranty",
IF(AND(EW,U27="N/A"),"Ext Wty not available",
IF(AND(AR,V27&lt;&gt;"N/A"),"All Risks Adv Replace",
IF(AND(AR,V27="N/A"),"ARAR not available",
IF(NoHW,"HW Support Declined",
IF(AND(FWB_CCPrime,T27="Prime Go"),"ARAR included",
IF(Ent_CCAdv,"Includes Adv Repl",
"X")))))))))</f>
        <v xml:space="preserve"> </v>
      </c>
      <c r="L27" s="213" t="str">
        <f t="shared" si="0"/>
        <v xml:space="preserve"> </v>
      </c>
      <c r="M27" s="214" t="str">
        <f>IF(NOT(Start_Here_Complete)," ",
IF(D27=0," ",
IF(OR(FWB_CCPrime,Ent_CCAdv)," ",
"3 years")))</f>
        <v xml:space="preserve"> </v>
      </c>
      <c r="N27" s="128" t="str">
        <f>IF(D27=0," ",
IF(AND(EW,U27&lt;&gt;"N/A"),"Choose",
IF(AND(AR,V27&lt;&gt;"N/A"),"Choose",
" ")))</f>
        <v xml:space="preserve"> </v>
      </c>
      <c r="O27" s="128">
        <f t="shared" si="1"/>
        <v>0</v>
      </c>
      <c r="P27" s="194" t="s">
        <v>6246</v>
      </c>
      <c r="Q27" s="290" t="s">
        <v>6252</v>
      </c>
      <c r="R27" s="190" t="str">
        <f>IF(AND(FWB_CCPro,Q27&lt;&gt;"N/R"),"Pro Go",
IF(AND(FWB_CCPro,Q27="N/R"),"Pro N/R",
"Pro No"))</f>
        <v>Pro No</v>
      </c>
      <c r="S27" s="290" t="s">
        <v>6254</v>
      </c>
      <c r="T27" s="190" t="str">
        <f>IF(AND(FWB_CCPrime,AND(S27&lt;&gt;"N/R",S27&lt;&gt;"N/A")),"Prime Go",
IF(AND(FWB_CCPrime,S27="N/R"),"Prime N/R",
IF(AND(FWB_CCPrime,S27="N/A"),"Prime N/A",
"Prime No")))</f>
        <v>Prime No</v>
      </c>
      <c r="U27" s="191">
        <v>2</v>
      </c>
      <c r="V27" s="191">
        <v>2</v>
      </c>
      <c r="W27" s="192">
        <f>IF(NOT(Start_Here_Complete),0,
IF(D27=0,0,
IF(AND(Service="Standalone Support",Device_Type="Enterprise &amp; cnWave"),0,
IF(AND(FWB_CCPro,Q27="SC10"),D27,
IF(AND(FWB_CCPrime,S27="SC10"),D27,
0)))))</f>
        <v>0</v>
      </c>
      <c r="X27" s="192">
        <f>IF(NOT(Start_Here_Complete),0,
IF(D27=0,0,
IF(AND(Service="Standalone Support",Device_Type="Enterprise &amp; cnWave"),0,
IF(AND(FWB_CCPrime,S27="SC15"),D27,
0))))</f>
        <v>0</v>
      </c>
      <c r="Y27" s="128">
        <f>IF(NOT(Start_Here_Complete),0,
IF(D27=0,0,
IF(AND(Service="Standalone Support",Device_Type="Enterprise &amp; cnWave"),0,
IF(AND(FWB_CCPro,Q27="SC20"),D27,
IF(AND(FWB_CCPrime,S27="SC20"),D27,
0)))))</f>
        <v>0</v>
      </c>
      <c r="Z27" s="128">
        <f>IF(NOT(Start_Here_Complete),0,
IF(D27=0,0,
IF(AND(Service="Standalone Support",Device_Type="Enterprise &amp; cnWave"),0,
IF(AND(FWB_CCPrime,S27="SC25"),D27,
0))))</f>
        <v>0</v>
      </c>
      <c r="AA27" s="128">
        <f>IF(NOT(Start_Here_Complete),0,
IF(D27=0,0,
IF(AND(Service="Standalone Support",Device_Type="Enterprise &amp; cnWave"),0,
IF(AND(FWB_CCPro,Q27="SC30"),D27,
IF(AND(FWB_CCPrime,S27="SC30"),D27,
0)))))</f>
        <v>0</v>
      </c>
      <c r="AB27" s="128">
        <f>IF(NOT(Start_Here_Complete),0,
IF(D27=0,0,
IF(AND(Service="Standalone Support",Device_Type="Enterprise &amp; cnWave"),0,
IF(AND(FWB_CCPro,Q27="SC40"),D27,
IF(AND(FWB_CCPrime,S27="SC40"),D27,
0)))))</f>
        <v>0</v>
      </c>
      <c r="AC27" s="128">
        <f>IF(NOT(Start_Here_Complete),0,
IF(D27=0,0,
IF(AND(Service="Standalone Support",Device_Type="Enterprise &amp; cnWave"),0,
IF(AND(FWB_CCPro,Q27="SC50"),D27,
IF(AND(FWB_CCPrime,S27="SC50"),D27,
0)))))</f>
        <v>0</v>
      </c>
      <c r="AD27" s="128">
        <f>IF(NOT(Start_Here_Complete),0,
IF(D27=0,0,
IF(AND(Service="Standalone Support",Device_Type="Enterprise &amp; cnWave"),0,
IF(AND(FWB_CCPro,Q27="SC60"),D27,
IF(AND(FWB_CCPrime,S27="SC60"),D27,
0)))))</f>
        <v>0</v>
      </c>
      <c r="AE27" s="16"/>
      <c r="AF27" s="16"/>
      <c r="AG27" s="16"/>
      <c r="AH27" s="16"/>
      <c r="AI27" s="16"/>
      <c r="AJ27" s="16"/>
      <c r="AK27" s="16"/>
      <c r="AL27" s="16"/>
      <c r="AM27" s="16"/>
      <c r="AN27" s="16"/>
    </row>
    <row r="28" spans="1:40" ht="16" thickBot="1" x14ac:dyDescent="0.25">
      <c r="A28" s="16"/>
      <c r="B28" s="38"/>
      <c r="C28" s="99" t="s">
        <v>1147</v>
      </c>
      <c r="D28" s="6">
        <v>0</v>
      </c>
      <c r="E28" s="135" t="s">
        <v>5960</v>
      </c>
      <c r="F28" s="224" t="str">
        <f>IF(NOT(Start_Here_Complete)," ",
IF(D28=0," ",
IF(AND(Service="cnMaestro X",P28&lt;&gt;"N/A"),P28,
IF(AND(Service="cnMaestro X",P28="N/A"),"Not Available",
" "))))</f>
        <v xml:space="preserve"> </v>
      </c>
      <c r="G28" s="115" t="str">
        <f>IF(NOT(Start_Here_Complete)," ",
IF(D28=0," ",
IF(AND(Service="cnMaestro X",P28&lt;&gt;"N/A",P28&lt;&gt;"Free Tier"),cnMX_Term,
IF(AND(Service="cnMaestro X",P28="Free Tier")," ",
IF(AND(Service="cnMaestro X",P28="N/A")," ",
" ")))))</f>
        <v xml:space="preserve"> </v>
      </c>
      <c r="H28" s="214"/>
      <c r="I28" s="151" t="str">
        <f>IF(NOT((Start_Here_Complete))," ",
IF(D28=0," ",
IF(R28="Pro Go",CONCATENATE("CC Pro ",Q28),
IF(R28="Pro N/R","CC Pro not req'd *",
IF(T28="Prime Go",CONCATENATE("CC Prime ",S28),
IF(T28="Prime N/R","CC Prime not req'd *",
IF(T28="Prime N/A","Prime not available",
IF(CC_Type="Decline Cambium Care","CC Declined",
" "))))))))</f>
        <v xml:space="preserve"> </v>
      </c>
      <c r="J28" s="114" t="str">
        <f>IF(NOT(Start_Here_Complete)," ",
IF(D28=0," ",
IF(R28="Pro Go","1 year",
IF(T28="Prime Go","1 Year",
" "))))</f>
        <v xml:space="preserve"> </v>
      </c>
      <c r="K28" s="114" t="str">
        <f>IF(NOT(Start_Here_Complete)," ",
IF(D28=0," ",
IF(AND(EW,U28&lt;&gt;"N/A"),"Extended Warranty",
IF(AND(EW,U28="N/A"),"Ext Wty not available",
IF(AND(AR,V28&lt;&gt;"N/A"),"All Risks Adv Replace",
IF(AND(AR,V28="N/A"),"ARAR not available",
IF(NoHW,"HW Support Declined",
IF(AND(FWB_CCPrime,T28="Prime Go"),"ARAR included",
IF(Ent_CCAdv,"Includes Adv Repl",
"X")))))))))</f>
        <v xml:space="preserve"> </v>
      </c>
      <c r="L28" s="213" t="str">
        <f t="shared" si="0"/>
        <v xml:space="preserve"> </v>
      </c>
      <c r="M28" s="214" t="str">
        <f>IF(NOT(Start_Here_Complete)," ",
IF(D28=0," ",
IF(OR(FWB_CCPrime,Ent_CCAdv)," ",
"3 years")))</f>
        <v xml:space="preserve"> </v>
      </c>
      <c r="N28" s="128" t="str">
        <f>IF(D28=0," ",
IF(AND(EW,U28&lt;&gt;"N/A"),"Choose",
IF(AND(AR,V28&lt;&gt;"N/A"),"Choose",
" ")))</f>
        <v xml:space="preserve"> </v>
      </c>
      <c r="O28" s="128">
        <f t="shared" si="1"/>
        <v>0</v>
      </c>
      <c r="P28" s="194" t="s">
        <v>6246</v>
      </c>
      <c r="Q28" s="290" t="s">
        <v>6252</v>
      </c>
      <c r="R28" s="190" t="str">
        <f>IF(AND(FWB_CCPro,Q28&lt;&gt;"N/R"),"Pro Go",
IF(AND(FWB_CCPro,Q28="N/R"),"Pro N/R",
"Pro No"))</f>
        <v>Pro No</v>
      </c>
      <c r="S28" s="290" t="s">
        <v>6254</v>
      </c>
      <c r="T28" s="190" t="str">
        <f>IF(AND(FWB_CCPrime,AND(S28&lt;&gt;"N/R",S28&lt;&gt;"N/A")),"Prime Go",
IF(AND(FWB_CCPrime,S28="N/R"),"Prime N/R",
IF(AND(FWB_CCPrime,S28="N/A"),"Prime N/A",
"Prime No")))</f>
        <v>Prime No</v>
      </c>
      <c r="U28" s="191">
        <v>2</v>
      </c>
      <c r="V28" s="191">
        <v>2</v>
      </c>
      <c r="W28" s="192">
        <f>IF(NOT(Start_Here_Complete),0,
IF(D28=0,0,
IF(AND(Service="Standalone Support",Device_Type="Enterprise &amp; cnWave"),0,
IF(AND(FWB_CCPro,Q28="SC10"),D28,
IF(AND(FWB_CCPrime,S28="SC10"),D28,
0)))))</f>
        <v>0</v>
      </c>
      <c r="X28" s="192">
        <f>IF(NOT(Start_Here_Complete),0,
IF(D28=0,0,
IF(AND(Service="Standalone Support",Device_Type="Enterprise &amp; cnWave"),0,
IF(AND(FWB_CCPrime,S28="SC15"),D28,
0))))</f>
        <v>0</v>
      </c>
      <c r="Y28" s="128">
        <f>IF(NOT(Start_Here_Complete),0,
IF(D28=0,0,
IF(AND(Service="Standalone Support",Device_Type="Enterprise &amp; cnWave"),0,
IF(AND(FWB_CCPro,Q28="SC20"),D28,
IF(AND(FWB_CCPrime,S28="SC20"),D28,
0)))))</f>
        <v>0</v>
      </c>
      <c r="Z28" s="128">
        <f>IF(NOT(Start_Here_Complete),0,
IF(D28=0,0,
IF(AND(Service="Standalone Support",Device_Type="Enterprise &amp; cnWave"),0,
IF(AND(FWB_CCPrime,S28="SC25"),D28,
0))))</f>
        <v>0</v>
      </c>
      <c r="AA28" s="128">
        <f>IF(NOT(Start_Here_Complete),0,
IF(D28=0,0,
IF(AND(Service="Standalone Support",Device_Type="Enterprise &amp; cnWave"),0,
IF(AND(FWB_CCPro,Q28="SC30"),D28,
IF(AND(FWB_CCPrime,S28="SC30"),D28,
0)))))</f>
        <v>0</v>
      </c>
      <c r="AB28" s="128">
        <f>IF(NOT(Start_Here_Complete),0,
IF(D28=0,0,
IF(AND(Service="Standalone Support",Device_Type="Enterprise &amp; cnWave"),0,
IF(AND(FWB_CCPro,Q28="SC40"),D28,
IF(AND(FWB_CCPrime,S28="SC40"),D28,
0)))))</f>
        <v>0</v>
      </c>
      <c r="AC28" s="128">
        <f>IF(NOT(Start_Here_Complete),0,
IF(D28=0,0,
IF(AND(Service="Standalone Support",Device_Type="Enterprise &amp; cnWave"),0,
IF(AND(FWB_CCPro,Q28="SC50"),D28,
IF(AND(FWB_CCPrime,S28="SC50"),D28,
0)))))</f>
        <v>0</v>
      </c>
      <c r="AD28" s="128">
        <f>IF(NOT(Start_Here_Complete),0,
IF(D28=0,0,
IF(AND(Service="Standalone Support",Device_Type="Enterprise &amp; cnWave"),0,
IF(AND(FWB_CCPro,Q28="SC60"),D28,
IF(AND(FWB_CCPrime,S28="SC60"),D28,
0)))))</f>
        <v>0</v>
      </c>
      <c r="AE28" s="16"/>
      <c r="AF28" s="16"/>
      <c r="AG28" s="16"/>
      <c r="AH28" s="16"/>
      <c r="AI28" s="16"/>
      <c r="AJ28" s="16"/>
      <c r="AK28" s="16"/>
      <c r="AL28" s="16"/>
      <c r="AM28" s="16"/>
      <c r="AN28" s="16"/>
    </row>
    <row r="29" spans="1:40" ht="16" thickBot="1" x14ac:dyDescent="0.25">
      <c r="A29" s="16"/>
      <c r="B29" s="38"/>
      <c r="C29" s="91" t="s">
        <v>6273</v>
      </c>
      <c r="D29" s="92"/>
      <c r="E29" s="92"/>
      <c r="F29" s="92"/>
      <c r="G29" s="92"/>
      <c r="H29" s="92"/>
      <c r="I29" s="133"/>
      <c r="J29" s="142"/>
      <c r="K29" s="92"/>
      <c r="L29" s="92"/>
      <c r="M29" s="106"/>
      <c r="N29" s="128"/>
      <c r="O29" s="128"/>
      <c r="P29" s="129"/>
      <c r="Q29" s="129"/>
      <c r="R29" s="129"/>
      <c r="S29" s="129"/>
      <c r="T29" s="129"/>
      <c r="U29" s="193"/>
      <c r="V29" s="129"/>
      <c r="W29" s="194"/>
      <c r="X29" s="194"/>
      <c r="Y29" s="128"/>
      <c r="Z29" s="128"/>
      <c r="AA29" s="128"/>
      <c r="AB29" s="128"/>
      <c r="AC29" s="128"/>
      <c r="AD29" s="128"/>
      <c r="AE29" s="16"/>
      <c r="AF29" s="16"/>
      <c r="AG29" s="16"/>
      <c r="AH29" s="16"/>
      <c r="AI29" s="16"/>
      <c r="AJ29" s="16"/>
      <c r="AK29" s="16"/>
      <c r="AL29" s="16"/>
      <c r="AM29" s="16"/>
      <c r="AN29" s="16"/>
    </row>
    <row r="30" spans="1:40" ht="16" thickBot="1" x14ac:dyDescent="0.25">
      <c r="A30" s="16"/>
      <c r="B30" s="38"/>
      <c r="C30" s="99" t="s">
        <v>5934</v>
      </c>
      <c r="D30" s="6">
        <v>0</v>
      </c>
      <c r="E30" s="135" t="s">
        <v>388</v>
      </c>
      <c r="F30" s="224" t="str">
        <f>IF(NOT(Start_Here_Complete)," ",
IF(D30=0," ",
IF(AND(Service="cnMaestro X",P30&lt;&gt;"N/A"),P30,
IF(AND(Service="cnMaestro X",P30="N/A"),"Not Available",
" "))))</f>
        <v xml:space="preserve"> </v>
      </c>
      <c r="G30" s="115" t="str">
        <f>IF(NOT(Start_Here_Complete)," ",
IF(D30=0," ",
IF(AND(Service="cnMaestro X",P30&lt;&gt;"N/A",P30&lt;&gt;"Free Tier"),cnMX_Term,
IF(AND(Service="cnMaestro X",P30="Free Tier")," ",
IF(AND(Service="cnMaestro X",P30="N/A")," ",
" ")))))</f>
        <v xml:space="preserve"> </v>
      </c>
      <c r="H30" s="214" t="str">
        <f>IF(NOT(Start_Here_Complete)," ",
IF(D30=0," ",
IF(CCAdv_Upgrade="Yes","Yes",
IF(CCAdv_Upgrade="Decline CC Advanced","Declined",
" "))))</f>
        <v xml:space="preserve"> </v>
      </c>
      <c r="I30" s="151" t="str">
        <f>IF(NOT(Start_Here_Complete)," ",
IF(D30=0," ",
IF(Ent_CCPro,"CC Pro",
IF(Ent_CCAdv,"CC Advanced",
IF(Ent_NoCC,"CC Declined",
" ")))))</f>
        <v xml:space="preserve"> </v>
      </c>
      <c r="J30" s="114" t="str">
        <f>IF(NOT(Start_Here_Complete)," ",
IF(D30=0," ",
IF(OR(Ent_CCPro,Ent_CCAdv),CC_Term,
IF(Ent_NoCC," ",
" "))))</f>
        <v xml:space="preserve"> </v>
      </c>
      <c r="K30" s="114" t="str">
        <f>IF(NOT(Start_Here_Complete)," ",
IF(D30=0," ",
IF(AND(EW,U30&lt;&gt;"N/A"),"Extended Warranty",
IF(AND(EW,U30="N/A"),"Ext Wty not available",
IF(AND(AR,V30&lt;&gt;"N/A"),"All Risks Adv Replace",
IF(AND(AR,V30="N/A"),"ARAR not available",
IF(NoHW,"HW Support Declined",
IF(AND(FWB_CCPrime,T30="Prime Go"),"ARAR included",
IF(Ent_CCAdv,"Includes Adv Repl",
"X")))))))))</f>
        <v xml:space="preserve"> </v>
      </c>
      <c r="L30" s="213" t="str">
        <f t="shared" si="0"/>
        <v xml:space="preserve"> </v>
      </c>
      <c r="M30" s="214" t="str">
        <f>IF(NOT(Start_Here_Complete)," ",
IF(D30=0," ",
IF(OR(FWB_CCPrime,Ent_CCAdv)," ",
"3 years")))</f>
        <v xml:space="preserve"> </v>
      </c>
      <c r="N30" s="128" t="str">
        <f>IF(D30=0," ",
IF(AND(EW,U30&lt;&gt;"N/A"),"Choose",
IF(AND(AR,V30&lt;&gt;"N/A"),"Choose",
" ")))</f>
        <v xml:space="preserve"> </v>
      </c>
      <c r="O30" s="128">
        <f t="shared" si="1"/>
        <v>0</v>
      </c>
      <c r="P30" s="194" t="s">
        <v>6247</v>
      </c>
      <c r="Q30" s="128" t="s">
        <v>1226</v>
      </c>
      <c r="R30" s="190"/>
      <c r="S30" s="128" t="s">
        <v>1226</v>
      </c>
      <c r="T30" s="190"/>
      <c r="U30" s="195">
        <v>2</v>
      </c>
      <c r="V30" s="195">
        <v>2</v>
      </c>
      <c r="W30" s="194"/>
      <c r="X30" s="194"/>
      <c r="Y30" s="128"/>
      <c r="Z30" s="128"/>
      <c r="AA30" s="128"/>
      <c r="AB30" s="128"/>
      <c r="AC30" s="128"/>
      <c r="AD30" s="128"/>
      <c r="AE30" s="16"/>
      <c r="AF30" s="16"/>
      <c r="AG30" s="16"/>
      <c r="AH30" s="16"/>
      <c r="AI30" s="16"/>
      <c r="AJ30" s="16"/>
      <c r="AK30" s="16"/>
      <c r="AL30" s="16"/>
      <c r="AM30" s="16"/>
      <c r="AN30" s="16"/>
    </row>
    <row r="31" spans="1:40" ht="16" thickBot="1" x14ac:dyDescent="0.25">
      <c r="A31" s="16"/>
      <c r="B31" s="38"/>
      <c r="C31" s="99" t="s">
        <v>5935</v>
      </c>
      <c r="D31" s="6">
        <v>0</v>
      </c>
      <c r="E31" s="135" t="s">
        <v>388</v>
      </c>
      <c r="F31" s="224" t="str">
        <f>IF(NOT(Start_Here_Complete)," ",
IF(D31=0," ",
IF(AND(Service="cnMaestro X",P31&lt;&gt;"N/A"),P31,
IF(AND(Service="cnMaestro X",P31="N/A"),"Not Available",
" "))))</f>
        <v xml:space="preserve"> </v>
      </c>
      <c r="G31" s="115" t="str">
        <f>IF(NOT(Start_Here_Complete)," ",
IF(D31=0," ",
IF(AND(Service="cnMaestro X",P31&lt;&gt;"N/A",P31&lt;&gt;"Free Tier"),cnMX_Term,
IF(AND(Service="cnMaestro X",P31="Free Tier")," ",
IF(AND(Service="cnMaestro X",P31="N/A")," ",
" ")))))</f>
        <v xml:space="preserve"> </v>
      </c>
      <c r="H31" s="214" t="str">
        <f>IF(NOT(Start_Here_Complete)," ",
IF(D31=0," ",
IF(CCAdv_Upgrade="Yes","Yes",
IF(CCAdv_Upgrade="Decline CC Advanced","Declined",
" "))))</f>
        <v xml:space="preserve"> </v>
      </c>
      <c r="I31" s="151" t="str">
        <f>IF(NOT(Start_Here_Complete)," ",
IF(D31=0," ",
IF(Ent_CCPro,"CC Pro",
IF(Ent_CCAdv,"CC Advanced",
IF(Ent_NoCC,"CC Declined",
" ")))))</f>
        <v xml:space="preserve"> </v>
      </c>
      <c r="J31" s="114" t="str">
        <f>IF(NOT(Start_Here_Complete)," ",
IF(D31=0," ",
IF(OR(Ent_CCPro,Ent_CCAdv),CC_Term,
IF(Ent_NoCC," ",
" "))))</f>
        <v xml:space="preserve"> </v>
      </c>
      <c r="K31" s="114" t="str">
        <f>IF(NOT(Start_Here_Complete)," ",
IF(D31=0," ",
IF(AND(EW,U31&lt;&gt;"N/A"),"Extended Warranty",
IF(AND(EW,U31="N/A"),"Ext Wty not available",
IF(AND(AR,V31&lt;&gt;"N/A"),"All Risks Adv Replace",
IF(AND(AR,V31="N/A"),"ARAR not available",
IF(NoHW,"HW Support Declined",
IF(AND(FWB_CCPrime,T31="Prime Go"),"ARAR included",
IF(Ent_CCAdv,"Includes Adv Repl",
"X")))))))))</f>
        <v xml:space="preserve"> </v>
      </c>
      <c r="L31" s="213" t="str">
        <f t="shared" si="0"/>
        <v xml:space="preserve"> </v>
      </c>
      <c r="M31" s="214" t="str">
        <f>IF(NOT(Start_Here_Complete)," ",
IF(D31=0," ",
IF(OR(FWB_CCPrime,Ent_CCAdv)," ",
"3 years")))</f>
        <v xml:space="preserve"> </v>
      </c>
      <c r="N31" s="128" t="str">
        <f>IF(D31=0," ",
IF(AND(EW,U31&lt;&gt;"N/A"),"Choose",
IF(AND(AR,V31&lt;&gt;"N/A"),"Choose",
" ")))</f>
        <v xml:space="preserve"> </v>
      </c>
      <c r="O31" s="128">
        <f t="shared" si="1"/>
        <v>0</v>
      </c>
      <c r="P31" s="194" t="s">
        <v>6247</v>
      </c>
      <c r="Q31" s="128" t="s">
        <v>1226</v>
      </c>
      <c r="R31" s="128"/>
      <c r="S31" s="128" t="s">
        <v>1226</v>
      </c>
      <c r="T31" s="194"/>
      <c r="U31" s="195">
        <v>2</v>
      </c>
      <c r="V31" s="195">
        <v>2</v>
      </c>
      <c r="W31" s="194"/>
      <c r="X31" s="194"/>
      <c r="Y31" s="128"/>
      <c r="Z31" s="128"/>
      <c r="AA31" s="128"/>
      <c r="AB31" s="128"/>
      <c r="AC31" s="128"/>
      <c r="AD31" s="128"/>
      <c r="AE31" s="16"/>
      <c r="AF31" s="16"/>
      <c r="AG31" s="16"/>
      <c r="AH31" s="16"/>
      <c r="AI31" s="16"/>
      <c r="AJ31" s="16"/>
      <c r="AK31" s="16"/>
      <c r="AL31" s="16"/>
      <c r="AM31" s="16"/>
      <c r="AN31" s="16"/>
    </row>
    <row r="32" spans="1:40" ht="16" thickBot="1" x14ac:dyDescent="0.25">
      <c r="A32" s="16"/>
      <c r="B32" s="39"/>
      <c r="C32" s="100" t="s">
        <v>5936</v>
      </c>
      <c r="D32" s="6">
        <v>0</v>
      </c>
      <c r="E32" s="135" t="s">
        <v>388</v>
      </c>
      <c r="F32" s="224" t="str">
        <f>IF(NOT(Start_Here_Complete)," ",
IF(D32=0," ",
IF(AND(Service="cnMaestro X",P32&lt;&gt;"N/A"),P32,
IF(AND(Service="cnMaestro X",P32="N/A"),"Not Available",
" "))))</f>
        <v xml:space="preserve"> </v>
      </c>
      <c r="G32" s="115" t="str">
        <f>IF(NOT(Start_Here_Complete)," ",
IF(D32=0," ",
IF(AND(Service="cnMaestro X",P32&lt;&gt;"N/A",P32&lt;&gt;"Free Tier"),cnMX_Term,
IF(AND(Service="cnMaestro X",P32="Free Tier")," ",
IF(AND(Service="cnMaestro X",P32="N/A")," ",
" ")))))</f>
        <v xml:space="preserve"> </v>
      </c>
      <c r="H32" s="228" t="str">
        <f>IF(NOT(Start_Here_Complete)," ",
IF(D32=0," ",
IF(CCAdv_Upgrade="Yes","Yes",
IF(CCAdv_Upgrade="Decline CC Advanced","Declined",
" "))))</f>
        <v xml:space="preserve"> </v>
      </c>
      <c r="I32" s="227" t="str">
        <f>IF(NOT(Start_Here_Complete)," ",
IF(D32=0," ",
IF(Ent_CCPro,"CC Pro",
IF(Ent_CCAdv,"CC Advanced",
IF(Ent_NoCC,"CC Declined",
" ")))))</f>
        <v xml:space="preserve"> </v>
      </c>
      <c r="J32" s="114" t="str">
        <f>IF(NOT(Start_Here_Complete)," ",
IF(D32=0," ",
IF(OR(Ent_CCPro,Ent_CCAdv),CC_Term,
IF(Ent_NoCC," ",
" "))))</f>
        <v xml:space="preserve"> </v>
      </c>
      <c r="K32" s="114" t="str">
        <f>IF(NOT(Start_Here_Complete)," ",
IF(D32=0," ",
IF(AND(EW,U32&lt;&gt;"N/A"),"Extended Warranty",
IF(AND(EW,U32="N/A"),"Ext Wty not available",
IF(AND(AR,V32&lt;&gt;"N/A"),"All Risks Adv Replace",
IF(AND(AR,V32="N/A"),"ARAR not available",
IF(NoHW,"HW Support Declined",
IF(AND(FWB_CCPrime,T32="Prime Go"),"ARAR included",
IF(Ent_CCAdv,"Includes Adv Repl",
"X")))))))))</f>
        <v xml:space="preserve"> </v>
      </c>
      <c r="L32" s="213" t="str">
        <f t="shared" si="0"/>
        <v xml:space="preserve"> </v>
      </c>
      <c r="M32" s="214" t="str">
        <f>IF(NOT(Start_Here_Complete)," ",
IF(D32=0," ",
IF(OR(FWB_CCPrime,Ent_CCAdv)," ",
"3 years")))</f>
        <v xml:space="preserve"> </v>
      </c>
      <c r="N32" s="128" t="str">
        <f>IF(D32=0," ",
IF(AND(EW,U32&lt;&gt;"N/A"),"Choose",
IF(AND(AR,V32&lt;&gt;"N/A"),"Choose",
" ")))</f>
        <v xml:space="preserve"> </v>
      </c>
      <c r="O32" s="128">
        <f t="shared" si="1"/>
        <v>0</v>
      </c>
      <c r="P32" s="194" t="s">
        <v>6248</v>
      </c>
      <c r="Q32" s="128" t="s">
        <v>1226</v>
      </c>
      <c r="R32" s="128"/>
      <c r="S32" s="128" t="s">
        <v>1226</v>
      </c>
      <c r="T32" s="194"/>
      <c r="U32" s="195">
        <v>2</v>
      </c>
      <c r="V32" s="195">
        <v>2</v>
      </c>
      <c r="W32" s="196"/>
      <c r="X32" s="196"/>
      <c r="Y32" s="128"/>
      <c r="Z32" s="128"/>
      <c r="AA32" s="128"/>
      <c r="AB32" s="128"/>
      <c r="AC32" s="128"/>
      <c r="AD32" s="128"/>
      <c r="AE32" s="16"/>
      <c r="AF32" s="16"/>
      <c r="AG32" s="16"/>
      <c r="AH32" s="16"/>
      <c r="AI32" s="16"/>
      <c r="AJ32" s="16"/>
      <c r="AK32" s="16"/>
      <c r="AL32" s="16"/>
      <c r="AM32" s="16"/>
      <c r="AN32" s="16"/>
    </row>
    <row r="33" spans="1:40" x14ac:dyDescent="0.2">
      <c r="A33" s="16"/>
      <c r="B33" s="16"/>
      <c r="C33" s="169"/>
      <c r="D33" s="16"/>
      <c r="E33" s="16"/>
      <c r="F33" s="118" t="str">
        <f>IF(SUM(D25:D32)&gt;0,"* Free Tier devices do not require a subscription."," ")</f>
        <v xml:space="preserve"> </v>
      </c>
      <c r="G33" s="110"/>
      <c r="H33" s="110" t="str">
        <f>IF(CC_Type="Cambium Care Pro","* CC Pro purchase not required for SMs.  CC Pro SKUs will not be added to",
IF(CC_Type="Cambium Care Prime","* CC Prime purchase not required for SMs.  CC Prime SKUs will not be added to",
" "))</f>
        <v xml:space="preserve"> </v>
      </c>
      <c r="I33" s="110"/>
      <c r="J33" s="109"/>
      <c r="K33" s="210" t="s">
        <v>6674</v>
      </c>
      <c r="L33" s="380">
        <f t="shared" si="0"/>
        <v>0</v>
      </c>
      <c r="M33" s="109"/>
      <c r="N33" s="109"/>
      <c r="O33" s="128" t="s">
        <v>6257</v>
      </c>
      <c r="P33" s="128"/>
      <c r="Q33" s="128"/>
      <c r="R33" s="128"/>
      <c r="S33" s="155"/>
      <c r="T33" s="155"/>
      <c r="U33" s="128"/>
      <c r="V33" s="128"/>
      <c r="W33" s="128">
        <f t="shared" ref="W33:AD33" si="14">SUM(W6:W32)</f>
        <v>0</v>
      </c>
      <c r="X33" s="128">
        <f t="shared" si="14"/>
        <v>0</v>
      </c>
      <c r="Y33" s="128">
        <f t="shared" si="14"/>
        <v>0</v>
      </c>
      <c r="Z33" s="128">
        <f t="shared" si="14"/>
        <v>0</v>
      </c>
      <c r="AA33" s="128">
        <f t="shared" si="14"/>
        <v>0</v>
      </c>
      <c r="AB33" s="128">
        <f t="shared" si="14"/>
        <v>0</v>
      </c>
      <c r="AC33" s="128">
        <f t="shared" si="14"/>
        <v>0</v>
      </c>
      <c r="AD33" s="128">
        <f t="shared" si="14"/>
        <v>0</v>
      </c>
      <c r="AE33" s="16"/>
      <c r="AF33" s="16"/>
      <c r="AG33" s="16"/>
      <c r="AH33" s="16"/>
      <c r="AI33" s="16"/>
      <c r="AJ33" s="16"/>
      <c r="AK33" s="16"/>
      <c r="AL33" s="16"/>
      <c r="AM33" s="16"/>
      <c r="AN33" s="16"/>
    </row>
    <row r="34" spans="1:40" x14ac:dyDescent="0.2">
      <c r="A34" s="16"/>
      <c r="B34" s="16"/>
      <c r="C34" s="169"/>
      <c r="D34" s="16"/>
      <c r="E34" s="16"/>
      <c r="F34" s="118"/>
      <c r="G34" s="110"/>
      <c r="H34" s="110" t="str">
        <f>IF(CC_Type="Cambium Care Pro","   the BOM for these SMs.  However, all infrastructure devices must have",
IF(CC_Type="Cambium Care Prime","   the BOM for these SMs.  However, all infrastructure devices must have",
" "))</f>
        <v xml:space="preserve"> </v>
      </c>
      <c r="I34" s="110"/>
      <c r="J34" s="109"/>
      <c r="K34" s="109"/>
      <c r="L34" s="109"/>
      <c r="M34" s="109"/>
      <c r="N34" s="128"/>
      <c r="O34" s="185"/>
      <c r="P34" s="185"/>
      <c r="Q34" s="185"/>
      <c r="R34" s="155"/>
      <c r="S34" s="128"/>
      <c r="T34" s="128"/>
      <c r="U34" s="128"/>
      <c r="V34" s="128"/>
      <c r="W34" s="128"/>
      <c r="X34" s="128"/>
      <c r="Y34" s="128"/>
      <c r="Z34" s="128"/>
      <c r="AA34" s="128"/>
      <c r="AB34" s="171"/>
      <c r="AC34" s="16"/>
      <c r="AD34" s="16"/>
      <c r="AE34" s="16"/>
      <c r="AF34" s="16"/>
      <c r="AG34" s="16"/>
      <c r="AH34" s="16"/>
      <c r="AI34" s="16"/>
      <c r="AJ34" s="16"/>
      <c r="AK34" s="16"/>
      <c r="AL34" s="16"/>
      <c r="AM34" s="16"/>
      <c r="AN34" s="16"/>
    </row>
    <row r="35" spans="1:40" x14ac:dyDescent="0.2">
      <c r="A35" s="16"/>
      <c r="B35" s="16"/>
      <c r="C35" s="169"/>
      <c r="D35" s="16"/>
      <c r="E35" s="16"/>
      <c r="F35" s="118"/>
      <c r="G35" s="110"/>
      <c r="H35" s="110" t="str">
        <f>IF(CC_Type="Cambium Care Pro","   Cambium Care Pro coverage.  See Cambium Care Program Guide for details.",
IF(CC_Type="Cambium Care Prime","   Cambium Care Prime coverage.  See Cambium Care Program Guide for details.",
" "))</f>
        <v xml:space="preserve"> </v>
      </c>
      <c r="I35" s="110"/>
      <c r="J35" s="109"/>
      <c r="K35" s="109"/>
      <c r="L35" s="109"/>
      <c r="M35" s="109"/>
      <c r="N35" s="185"/>
      <c r="O35" s="185"/>
      <c r="P35" s="185"/>
      <c r="Q35" s="155"/>
      <c r="R35" s="128"/>
      <c r="S35" s="128"/>
      <c r="T35" s="128"/>
      <c r="U35" s="128"/>
      <c r="V35" s="128"/>
      <c r="W35" s="128"/>
      <c r="X35" s="128"/>
      <c r="Y35" s="128"/>
      <c r="Z35" s="128"/>
      <c r="AA35" s="171"/>
      <c r="AB35" s="16"/>
      <c r="AC35" s="16"/>
      <c r="AD35" s="16"/>
      <c r="AE35" s="16"/>
      <c r="AF35" s="16"/>
      <c r="AG35" s="16"/>
      <c r="AH35" s="16"/>
      <c r="AI35" s="16"/>
      <c r="AJ35" s="16"/>
      <c r="AK35" s="16"/>
      <c r="AL35" s="16"/>
      <c r="AM35" s="16"/>
      <c r="AN35" s="16"/>
    </row>
    <row r="36" spans="1:40" x14ac:dyDescent="0.2">
      <c r="A36" s="16"/>
      <c r="B36" s="16"/>
      <c r="C36" s="169"/>
      <c r="D36" s="16"/>
      <c r="E36" s="16"/>
      <c r="F36" s="118"/>
      <c r="G36" s="110"/>
      <c r="H36" s="110"/>
      <c r="I36" s="110"/>
      <c r="J36" s="109"/>
      <c r="K36" s="109"/>
      <c r="L36" s="109"/>
      <c r="M36" s="109"/>
      <c r="N36" s="185"/>
      <c r="O36" s="185"/>
      <c r="P36" s="185"/>
      <c r="Q36" s="155"/>
      <c r="R36" s="128"/>
      <c r="S36" s="128"/>
      <c r="T36" s="128"/>
      <c r="U36" s="128"/>
      <c r="V36" s="128"/>
      <c r="W36" s="128"/>
      <c r="X36" s="128"/>
      <c r="Y36" s="128"/>
      <c r="Z36" s="128"/>
      <c r="AA36" s="171"/>
      <c r="AB36" s="16"/>
      <c r="AC36" s="16"/>
      <c r="AD36" s="16"/>
      <c r="AE36" s="16"/>
      <c r="AF36" s="16"/>
      <c r="AG36" s="16"/>
      <c r="AH36" s="16"/>
      <c r="AI36" s="16"/>
      <c r="AJ36" s="16"/>
      <c r="AK36" s="16"/>
      <c r="AL36" s="16"/>
      <c r="AM36" s="16"/>
    </row>
    <row r="37" spans="1:40" x14ac:dyDescent="0.2">
      <c r="A37" s="16"/>
      <c r="B37" s="16"/>
      <c r="C37" s="203" t="s">
        <v>6337</v>
      </c>
      <c r="D37" s="204"/>
      <c r="E37" s="204"/>
      <c r="F37" s="204">
        <f>SUMIF($F$6:$F$32,"Tier1",$D$6:$D$32)</f>
        <v>0</v>
      </c>
      <c r="G37" s="118"/>
      <c r="H37" s="110"/>
      <c r="I37" s="110"/>
      <c r="J37" s="109"/>
      <c r="K37" s="109"/>
      <c r="L37" s="109"/>
      <c r="M37" s="109"/>
      <c r="N37" s="185"/>
      <c r="O37" s="185"/>
      <c r="P37" s="185"/>
      <c r="Q37" s="155"/>
      <c r="R37" s="128"/>
      <c r="S37" s="128"/>
      <c r="T37" s="128"/>
      <c r="U37" s="128"/>
      <c r="V37" s="128"/>
      <c r="W37" s="128"/>
      <c r="X37" s="128"/>
      <c r="Y37" s="128"/>
      <c r="Z37" s="128"/>
      <c r="AA37" s="171"/>
      <c r="AB37" s="16"/>
      <c r="AC37" s="16"/>
      <c r="AD37" s="16"/>
      <c r="AE37" s="16"/>
      <c r="AF37" s="16"/>
      <c r="AG37" s="16"/>
      <c r="AH37" s="16"/>
      <c r="AI37" s="16"/>
      <c r="AJ37" s="16"/>
      <c r="AK37" s="16"/>
    </row>
    <row r="38" spans="1:40" x14ac:dyDescent="0.2">
      <c r="A38" s="16"/>
      <c r="B38" s="16"/>
      <c r="C38" s="203" t="s">
        <v>6338</v>
      </c>
      <c r="D38" s="204"/>
      <c r="E38" s="204"/>
      <c r="F38" s="204">
        <f>SUMIF($F$6:$F$32,"Tier2",$D$6:$D$32)</f>
        <v>0</v>
      </c>
      <c r="G38" s="118"/>
      <c r="H38" s="110"/>
      <c r="I38" s="110"/>
      <c r="J38" s="109"/>
      <c r="K38" s="109"/>
      <c r="L38" s="109"/>
      <c r="M38" s="109"/>
      <c r="N38" s="110"/>
      <c r="O38" s="110"/>
      <c r="P38" s="110"/>
      <c r="Q38" s="155"/>
      <c r="R38" s="128"/>
      <c r="S38" s="128"/>
      <c r="T38" s="128"/>
      <c r="U38" s="109"/>
      <c r="V38" s="109"/>
      <c r="W38" s="109"/>
      <c r="X38" s="109"/>
      <c r="Y38" s="109"/>
      <c r="Z38" s="109"/>
      <c r="AA38" s="16"/>
      <c r="AB38" s="16"/>
      <c r="AC38" s="16"/>
      <c r="AD38" s="16"/>
      <c r="AE38" s="16"/>
      <c r="AF38" s="16"/>
      <c r="AG38" s="16"/>
      <c r="AH38" s="16"/>
      <c r="AI38" s="16"/>
      <c r="AJ38" s="16"/>
    </row>
    <row r="39" spans="1:40" x14ac:dyDescent="0.2">
      <c r="A39" s="16"/>
      <c r="B39" s="16"/>
      <c r="C39" s="203" t="s">
        <v>6339</v>
      </c>
      <c r="D39" s="204"/>
      <c r="E39" s="203"/>
      <c r="F39" s="204">
        <f>SUMIF($F$6:$F$32,"Tier3",$D$6:$D$32)</f>
        <v>0</v>
      </c>
      <c r="G39" s="109"/>
      <c r="H39" s="109"/>
      <c r="I39" s="109"/>
      <c r="J39" s="109"/>
      <c r="K39" s="109"/>
      <c r="L39" s="109"/>
      <c r="M39" s="109"/>
      <c r="N39" s="110"/>
      <c r="O39" s="110"/>
      <c r="P39" s="110"/>
      <c r="Q39" s="155"/>
      <c r="R39" s="128"/>
      <c r="S39" s="128"/>
      <c r="T39" s="128"/>
      <c r="U39" s="109"/>
      <c r="V39" s="109"/>
      <c r="W39" s="109"/>
      <c r="X39" s="109"/>
      <c r="Y39" s="109"/>
      <c r="Z39" s="109"/>
      <c r="AA39" s="16"/>
      <c r="AB39" s="16"/>
      <c r="AC39" s="16"/>
      <c r="AD39" s="16"/>
      <c r="AE39" s="16"/>
      <c r="AF39" s="16"/>
      <c r="AG39" s="16"/>
      <c r="AH39" s="16"/>
      <c r="AI39" s="16"/>
      <c r="AJ39" s="16"/>
    </row>
    <row r="40" spans="1:40" x14ac:dyDescent="0.2">
      <c r="A40" s="16"/>
      <c r="B40" s="16"/>
      <c r="C40" s="203" t="s">
        <v>6340</v>
      </c>
      <c r="D40" s="204"/>
      <c r="E40" s="203"/>
      <c r="F40" s="204">
        <f>SUMIF($F$6:$F$32,"Tier4",$D$6:$D$32)</f>
        <v>0</v>
      </c>
      <c r="G40" s="109"/>
      <c r="H40" s="109"/>
      <c r="I40" s="109"/>
      <c r="J40" s="109"/>
      <c r="K40" s="109"/>
      <c r="L40" s="109"/>
      <c r="M40" s="109"/>
      <c r="N40" s="110"/>
      <c r="O40" s="110"/>
      <c r="P40" s="110"/>
      <c r="Q40" s="155"/>
      <c r="R40" s="128"/>
      <c r="S40" s="128"/>
      <c r="T40" s="128"/>
      <c r="U40" s="109"/>
      <c r="V40" s="109"/>
      <c r="W40" s="109"/>
      <c r="X40" s="109"/>
      <c r="Y40" s="109"/>
      <c r="Z40" s="109"/>
      <c r="AA40" s="16"/>
      <c r="AB40" s="16"/>
      <c r="AC40" s="16"/>
      <c r="AD40" s="16"/>
      <c r="AE40" s="16"/>
      <c r="AF40" s="16"/>
      <c r="AG40" s="16"/>
      <c r="AH40" s="16"/>
      <c r="AI40" s="16"/>
      <c r="AJ40" s="16"/>
    </row>
    <row r="41" spans="1:40" x14ac:dyDescent="0.2">
      <c r="A41" s="16"/>
      <c r="B41" s="16"/>
      <c r="C41" s="203" t="s">
        <v>6341</v>
      </c>
      <c r="D41" s="204"/>
      <c r="E41" s="203"/>
      <c r="F41" s="204">
        <f>SUMIF($F$6:$F$32,"Tier5",$D$6:$D$32)</f>
        <v>0</v>
      </c>
      <c r="G41" s="109"/>
      <c r="H41" s="109"/>
      <c r="I41" s="109"/>
      <c r="J41" s="109"/>
      <c r="K41" s="109"/>
      <c r="L41" s="109"/>
      <c r="M41" s="109"/>
      <c r="N41" s="110"/>
      <c r="O41" s="128"/>
      <c r="P41" s="128"/>
      <c r="Q41" s="155"/>
      <c r="R41" s="128"/>
      <c r="S41" s="128"/>
      <c r="T41" s="128"/>
      <c r="U41" s="109"/>
      <c r="V41" s="109"/>
      <c r="W41" s="109"/>
      <c r="X41" s="109"/>
      <c r="Y41" s="109"/>
      <c r="Z41" s="109"/>
      <c r="AA41" s="16"/>
      <c r="AB41" s="16"/>
      <c r="AC41" s="16"/>
      <c r="AD41" s="16"/>
      <c r="AE41" s="16"/>
      <c r="AF41" s="16"/>
      <c r="AG41" s="16"/>
      <c r="AH41" s="16"/>
      <c r="AI41" s="16"/>
      <c r="AJ41" s="16"/>
    </row>
    <row r="42" spans="1:40" x14ac:dyDescent="0.2">
      <c r="A42" s="16"/>
      <c r="B42" s="16"/>
      <c r="C42" s="203"/>
      <c r="D42" s="204"/>
      <c r="E42" s="203"/>
      <c r="F42" s="204"/>
      <c r="G42" s="109"/>
      <c r="H42" s="109"/>
      <c r="I42" s="109"/>
      <c r="J42" s="109"/>
      <c r="K42" s="109"/>
      <c r="L42" s="109"/>
      <c r="M42" s="109"/>
      <c r="N42" s="128"/>
      <c r="O42" s="128"/>
      <c r="P42" s="128"/>
      <c r="Q42" s="155"/>
      <c r="R42" s="128"/>
      <c r="S42" s="128"/>
      <c r="T42" s="128"/>
      <c r="U42" s="109"/>
      <c r="V42" s="109"/>
      <c r="W42" s="109"/>
      <c r="X42" s="109"/>
      <c r="Y42" s="109"/>
      <c r="Z42" s="109"/>
      <c r="AA42" s="16"/>
      <c r="AB42" s="16"/>
      <c r="AC42" s="16"/>
      <c r="AD42" s="16"/>
      <c r="AE42" s="16"/>
      <c r="AF42" s="16"/>
      <c r="AG42" s="16"/>
      <c r="AH42" s="16"/>
      <c r="AI42" s="16"/>
      <c r="AJ42" s="16"/>
    </row>
    <row r="43" spans="1:40" x14ac:dyDescent="0.2">
      <c r="A43" s="16"/>
      <c r="B43" s="16"/>
      <c r="C43" s="203"/>
      <c r="D43" s="204"/>
      <c r="E43" s="203"/>
      <c r="F43" s="204"/>
      <c r="G43" s="109"/>
      <c r="H43" s="109"/>
      <c r="I43" s="109"/>
      <c r="J43" s="109"/>
      <c r="K43" s="109"/>
      <c r="L43" s="109"/>
      <c r="M43" s="109"/>
      <c r="N43" s="128"/>
      <c r="O43" s="128"/>
      <c r="P43" s="128"/>
      <c r="Q43" s="155"/>
      <c r="R43" s="128"/>
      <c r="S43" s="128"/>
      <c r="T43" s="128"/>
      <c r="U43" s="109"/>
      <c r="V43" s="109"/>
      <c r="W43" s="109"/>
      <c r="X43" s="109"/>
      <c r="Y43" s="109"/>
      <c r="Z43" s="109"/>
      <c r="AA43" s="16"/>
      <c r="AB43" s="16"/>
      <c r="AC43" s="16"/>
      <c r="AD43" s="16"/>
      <c r="AE43" s="16"/>
      <c r="AF43" s="16"/>
      <c r="AG43" s="16"/>
      <c r="AH43" s="16"/>
      <c r="AI43" s="16"/>
      <c r="AJ43" s="16"/>
    </row>
    <row r="44" spans="1:40" x14ac:dyDescent="0.2">
      <c r="A44" s="16"/>
      <c r="B44" s="16"/>
      <c r="C44" s="203"/>
      <c r="D44" s="203"/>
      <c r="E44" s="203"/>
      <c r="F44" s="204"/>
      <c r="G44" s="109"/>
      <c r="H44" s="109"/>
      <c r="I44" s="109"/>
      <c r="J44" s="109"/>
      <c r="K44" s="109"/>
      <c r="L44" s="109"/>
      <c r="M44" s="109"/>
      <c r="N44" s="128"/>
      <c r="O44" s="128"/>
      <c r="P44" s="128"/>
      <c r="Q44" s="155"/>
      <c r="R44" s="128"/>
      <c r="S44" s="128"/>
      <c r="T44" s="128"/>
      <c r="U44" s="109"/>
      <c r="V44" s="109"/>
      <c r="W44" s="109"/>
      <c r="X44" s="109"/>
      <c r="Y44" s="109"/>
      <c r="Z44" s="109"/>
      <c r="AA44" s="16"/>
      <c r="AB44" s="16"/>
      <c r="AC44" s="16"/>
      <c r="AD44" s="16"/>
      <c r="AE44" s="16"/>
      <c r="AF44" s="16"/>
      <c r="AG44" s="16"/>
      <c r="AH44" s="16"/>
      <c r="AI44" s="16"/>
      <c r="AJ44" s="16"/>
    </row>
    <row r="45" spans="1:40" x14ac:dyDescent="0.2">
      <c r="A45" s="16"/>
      <c r="B45" s="16"/>
      <c r="C45" s="203"/>
      <c r="D45" s="203"/>
      <c r="E45" s="203"/>
      <c r="F45" s="204"/>
      <c r="G45" s="109"/>
      <c r="H45" s="109"/>
      <c r="I45" s="109"/>
      <c r="J45" s="109"/>
      <c r="K45" s="109"/>
      <c r="L45" s="109"/>
      <c r="M45" s="109"/>
      <c r="N45" s="128"/>
      <c r="O45" s="128"/>
      <c r="P45" s="128"/>
      <c r="Q45" s="155"/>
      <c r="R45" s="128"/>
      <c r="S45" s="128"/>
      <c r="T45" s="128"/>
      <c r="U45" s="109"/>
      <c r="V45" s="109"/>
      <c r="W45" s="109"/>
      <c r="X45" s="109"/>
      <c r="Y45" s="109"/>
      <c r="Z45" s="109"/>
      <c r="AA45" s="16"/>
      <c r="AB45" s="16"/>
      <c r="AC45" s="16"/>
      <c r="AD45" s="16"/>
      <c r="AE45" s="16"/>
      <c r="AF45" s="16"/>
      <c r="AG45" s="16"/>
      <c r="AH45" s="16"/>
      <c r="AI45" s="16"/>
      <c r="AJ45" s="16"/>
    </row>
    <row r="46" spans="1:40" x14ac:dyDescent="0.2">
      <c r="A46" s="16"/>
      <c r="B46" s="16"/>
      <c r="C46" s="203"/>
      <c r="D46" s="203"/>
      <c r="E46" s="203"/>
      <c r="F46" s="204"/>
      <c r="G46" s="109"/>
      <c r="H46" s="109"/>
      <c r="I46" s="109"/>
      <c r="J46" s="109"/>
      <c r="K46" s="109"/>
      <c r="L46" s="109"/>
      <c r="M46" s="109"/>
      <c r="N46" s="128"/>
      <c r="O46" s="128"/>
      <c r="P46" s="128"/>
      <c r="Q46" s="155"/>
      <c r="R46" s="128"/>
      <c r="S46" s="128"/>
      <c r="T46" s="128"/>
      <c r="U46" s="109"/>
      <c r="V46" s="109"/>
      <c r="W46" s="109"/>
      <c r="X46" s="109"/>
      <c r="Y46" s="109"/>
      <c r="Z46" s="109"/>
      <c r="AA46" s="16"/>
      <c r="AB46" s="16"/>
      <c r="AC46" s="16"/>
      <c r="AD46" s="16"/>
      <c r="AE46" s="16"/>
      <c r="AF46" s="16"/>
      <c r="AG46" s="16"/>
      <c r="AH46" s="16"/>
      <c r="AI46" s="16"/>
      <c r="AJ46" s="16"/>
    </row>
    <row r="47" spans="1:40" x14ac:dyDescent="0.2">
      <c r="A47" s="16"/>
      <c r="B47" s="16"/>
      <c r="C47" s="203"/>
      <c r="D47" s="203"/>
      <c r="E47" s="203"/>
      <c r="F47" s="204"/>
      <c r="G47" s="109"/>
      <c r="H47" s="109"/>
      <c r="I47" s="109"/>
      <c r="J47" s="109"/>
      <c r="K47" s="109"/>
      <c r="L47" s="109"/>
      <c r="M47" s="109"/>
      <c r="N47" s="128"/>
      <c r="O47" s="128"/>
      <c r="P47" s="128"/>
      <c r="Q47" s="155"/>
      <c r="R47" s="128"/>
      <c r="S47" s="128"/>
      <c r="T47" s="128"/>
      <c r="U47" s="109"/>
      <c r="V47" s="109"/>
      <c r="W47" s="109"/>
      <c r="X47" s="109"/>
      <c r="Y47" s="109"/>
      <c r="Z47" s="109"/>
      <c r="AA47" s="16"/>
      <c r="AB47" s="16"/>
      <c r="AC47" s="16"/>
      <c r="AD47" s="16"/>
      <c r="AE47" s="16"/>
      <c r="AF47" s="16"/>
      <c r="AG47" s="16"/>
      <c r="AH47" s="16"/>
      <c r="AI47" s="16"/>
      <c r="AJ47" s="16"/>
    </row>
    <row r="48" spans="1:40" x14ac:dyDescent="0.2">
      <c r="A48" s="16"/>
      <c r="B48" s="16"/>
      <c r="C48" s="16"/>
      <c r="D48" s="16"/>
      <c r="E48" s="16"/>
      <c r="F48" s="109"/>
      <c r="G48" s="109"/>
      <c r="H48" s="109"/>
      <c r="I48" s="109"/>
      <c r="K48" s="109"/>
      <c r="L48" s="109"/>
      <c r="M48" s="109"/>
      <c r="N48" s="128"/>
      <c r="O48" s="128"/>
      <c r="P48" s="128"/>
      <c r="Q48" s="155"/>
      <c r="R48" s="128"/>
      <c r="S48" s="128"/>
      <c r="T48" s="128"/>
      <c r="U48" s="109"/>
      <c r="V48" s="109"/>
      <c r="W48" s="109"/>
      <c r="X48" s="109"/>
      <c r="Y48" s="109"/>
      <c r="Z48" s="109"/>
      <c r="AA48" s="16"/>
      <c r="AB48" s="16"/>
      <c r="AC48" s="16"/>
      <c r="AD48" s="16"/>
      <c r="AE48" s="16"/>
      <c r="AF48" s="16"/>
      <c r="AG48" s="16"/>
      <c r="AH48" s="16"/>
      <c r="AI48" s="16"/>
      <c r="AJ48" s="16"/>
    </row>
    <row r="49" spans="1:36" x14ac:dyDescent="0.2">
      <c r="A49" s="16"/>
      <c r="B49" s="16"/>
      <c r="C49" s="16"/>
      <c r="D49" s="16"/>
      <c r="E49" s="16"/>
      <c r="F49" s="109"/>
      <c r="G49" s="109"/>
      <c r="H49" s="109"/>
      <c r="I49" s="109"/>
      <c r="J49" s="109"/>
      <c r="K49" s="109"/>
      <c r="L49" s="109"/>
      <c r="M49" s="109"/>
      <c r="N49" s="128"/>
      <c r="O49" s="128"/>
      <c r="P49" s="128"/>
      <c r="Q49" s="155"/>
      <c r="R49" s="128"/>
      <c r="S49" s="128"/>
      <c r="T49" s="128"/>
      <c r="U49" s="109"/>
      <c r="V49" s="109"/>
      <c r="W49" s="109"/>
      <c r="X49" s="109"/>
      <c r="Y49" s="109"/>
      <c r="Z49" s="109"/>
      <c r="AA49" s="16"/>
      <c r="AB49" s="16"/>
      <c r="AC49" s="16"/>
      <c r="AD49" s="16"/>
      <c r="AE49" s="16"/>
      <c r="AF49" s="16"/>
      <c r="AG49" s="16"/>
      <c r="AH49" s="16"/>
      <c r="AI49" s="16"/>
      <c r="AJ49" s="16"/>
    </row>
    <row r="50" spans="1:36" x14ac:dyDescent="0.2">
      <c r="A50" s="16"/>
      <c r="B50" s="16"/>
      <c r="C50" s="16"/>
      <c r="D50" s="16"/>
      <c r="E50" s="16"/>
      <c r="F50" s="109"/>
      <c r="G50" s="109"/>
      <c r="H50" s="109"/>
      <c r="I50" s="109"/>
      <c r="J50" s="109"/>
      <c r="K50" s="109"/>
      <c r="L50" s="109"/>
      <c r="M50" s="109"/>
      <c r="N50" s="128"/>
      <c r="O50" s="128"/>
      <c r="P50" s="128"/>
      <c r="Q50" s="155"/>
      <c r="R50" s="128"/>
      <c r="S50" s="128"/>
      <c r="T50" s="128"/>
      <c r="U50" s="109"/>
      <c r="V50" s="109"/>
      <c r="W50" s="109"/>
      <c r="X50" s="109"/>
      <c r="Y50" s="109"/>
      <c r="Z50" s="109"/>
      <c r="AA50" s="16"/>
      <c r="AB50" s="16"/>
      <c r="AC50" s="16"/>
      <c r="AD50" s="16"/>
      <c r="AE50" s="16"/>
      <c r="AF50" s="16"/>
      <c r="AG50" s="16"/>
      <c r="AH50" s="16"/>
      <c r="AI50" s="16"/>
      <c r="AJ50" s="16"/>
    </row>
    <row r="51" spans="1:36" x14ac:dyDescent="0.2">
      <c r="A51" s="16"/>
      <c r="B51" s="16"/>
      <c r="C51" s="16"/>
      <c r="D51" s="16"/>
      <c r="E51" s="16"/>
      <c r="F51" s="109"/>
      <c r="G51" s="109"/>
      <c r="H51" s="109"/>
      <c r="I51" s="109"/>
      <c r="J51" s="109"/>
      <c r="K51" s="109"/>
      <c r="L51" s="109"/>
      <c r="M51" s="109"/>
      <c r="N51" s="128"/>
      <c r="O51" s="128"/>
      <c r="P51" s="128"/>
      <c r="Q51" s="155"/>
      <c r="R51" s="128"/>
      <c r="S51" s="128"/>
      <c r="T51" s="128"/>
      <c r="U51" s="109"/>
      <c r="V51" s="109"/>
      <c r="W51" s="109"/>
      <c r="X51" s="109"/>
      <c r="Y51" s="109"/>
      <c r="Z51" s="109"/>
      <c r="AA51" s="16"/>
      <c r="AB51" s="16"/>
      <c r="AC51" s="16"/>
      <c r="AD51" s="16"/>
      <c r="AE51" s="16"/>
      <c r="AF51" s="16"/>
      <c r="AG51" s="16"/>
      <c r="AH51" s="16"/>
      <c r="AI51" s="16"/>
      <c r="AJ51" s="16"/>
    </row>
    <row r="52" spans="1:36" x14ac:dyDescent="0.2">
      <c r="A52" s="16"/>
      <c r="B52" s="16"/>
      <c r="C52" s="16"/>
      <c r="D52" s="16"/>
      <c r="E52" s="16"/>
      <c r="F52" s="109"/>
      <c r="G52" s="109"/>
      <c r="H52" s="109"/>
      <c r="I52" s="109"/>
      <c r="J52" s="109"/>
      <c r="K52" s="109"/>
      <c r="L52" s="109"/>
      <c r="M52" s="109"/>
      <c r="N52" s="128"/>
      <c r="O52" s="128"/>
      <c r="P52" s="128"/>
      <c r="Q52" s="155"/>
      <c r="R52" s="128"/>
      <c r="S52" s="128"/>
      <c r="T52" s="128"/>
      <c r="U52" s="109"/>
      <c r="V52" s="109"/>
      <c r="W52" s="109"/>
      <c r="X52" s="109"/>
      <c r="Y52" s="109"/>
      <c r="Z52" s="109"/>
      <c r="AA52" s="16"/>
      <c r="AB52" s="16"/>
      <c r="AC52" s="16"/>
      <c r="AD52" s="16"/>
      <c r="AE52" s="16"/>
      <c r="AF52" s="16"/>
      <c r="AG52" s="16"/>
      <c r="AH52" s="16"/>
      <c r="AI52" s="16"/>
      <c r="AJ52" s="16"/>
    </row>
    <row r="53" spans="1:36" x14ac:dyDescent="0.2">
      <c r="A53" s="16"/>
      <c r="B53" s="16"/>
      <c r="C53" s="16"/>
      <c r="D53" s="16"/>
      <c r="E53" s="16"/>
      <c r="F53" s="109"/>
      <c r="G53" s="109"/>
      <c r="H53" s="109"/>
      <c r="I53" s="109"/>
      <c r="J53" s="109"/>
      <c r="K53" s="109"/>
      <c r="L53" s="109"/>
      <c r="M53" s="109"/>
      <c r="N53" s="128"/>
      <c r="O53" s="128"/>
      <c r="P53" s="128"/>
      <c r="Q53" s="155"/>
      <c r="R53" s="128"/>
      <c r="S53" s="128"/>
      <c r="T53" s="128"/>
      <c r="U53" s="109"/>
      <c r="V53" s="109"/>
      <c r="W53" s="109"/>
      <c r="X53" s="109"/>
      <c r="Y53" s="109"/>
      <c r="Z53" s="109"/>
      <c r="AA53" s="16"/>
      <c r="AB53" s="16"/>
      <c r="AC53" s="16"/>
      <c r="AD53" s="16"/>
      <c r="AE53" s="16"/>
      <c r="AF53" s="16"/>
      <c r="AG53" s="16"/>
      <c r="AH53" s="16"/>
      <c r="AI53" s="16"/>
      <c r="AJ53" s="16"/>
    </row>
    <row r="54" spans="1:36" x14ac:dyDescent="0.2">
      <c r="A54" s="16"/>
      <c r="B54" s="16"/>
      <c r="C54" s="16"/>
      <c r="D54" s="16"/>
      <c r="E54" s="16"/>
      <c r="F54" s="109"/>
      <c r="G54" s="109"/>
      <c r="H54" s="109"/>
      <c r="I54" s="109"/>
      <c r="J54" s="109"/>
      <c r="K54" s="109"/>
      <c r="L54" s="109"/>
      <c r="M54" s="109"/>
      <c r="N54" s="128"/>
      <c r="O54" s="128"/>
      <c r="P54" s="128"/>
      <c r="Q54" s="155"/>
      <c r="R54" s="128"/>
      <c r="S54" s="128"/>
      <c r="T54" s="128"/>
      <c r="U54" s="109"/>
      <c r="V54" s="109"/>
      <c r="W54" s="109"/>
      <c r="X54" s="109"/>
      <c r="Y54" s="109"/>
      <c r="Z54" s="109"/>
      <c r="AA54" s="16"/>
      <c r="AB54" s="16"/>
      <c r="AC54" s="16"/>
      <c r="AD54" s="16"/>
      <c r="AE54" s="16"/>
      <c r="AF54" s="16"/>
      <c r="AG54" s="16"/>
      <c r="AH54" s="16"/>
      <c r="AI54" s="16"/>
      <c r="AJ54" s="16"/>
    </row>
    <row r="55" spans="1:36" x14ac:dyDescent="0.2">
      <c r="A55" s="16"/>
      <c r="B55" s="16"/>
      <c r="C55" s="16"/>
      <c r="D55" s="16"/>
      <c r="E55" s="16"/>
      <c r="F55" s="109"/>
      <c r="G55" s="109"/>
      <c r="H55" s="109"/>
      <c r="I55" s="109"/>
      <c r="J55" s="110"/>
      <c r="K55" s="109"/>
      <c r="L55" s="109"/>
      <c r="M55" s="109"/>
      <c r="N55" s="128"/>
      <c r="O55" s="128"/>
      <c r="P55" s="128"/>
      <c r="Q55" s="155"/>
      <c r="R55" s="128"/>
      <c r="S55" s="128"/>
      <c r="T55" s="128"/>
      <c r="U55" s="109"/>
      <c r="V55" s="109"/>
      <c r="W55" s="109"/>
      <c r="X55" s="109"/>
      <c r="Y55" s="109"/>
      <c r="Z55" s="109"/>
      <c r="AA55" s="16"/>
      <c r="AB55" s="16"/>
      <c r="AC55" s="16"/>
      <c r="AD55" s="16"/>
      <c r="AE55" s="16"/>
      <c r="AF55" s="16"/>
      <c r="AG55" s="16"/>
      <c r="AH55" s="16"/>
      <c r="AI55" s="16"/>
      <c r="AJ55" s="16"/>
    </row>
    <row r="56" spans="1:36" x14ac:dyDescent="0.2">
      <c r="A56" s="16"/>
      <c r="B56" s="16"/>
      <c r="C56" s="16"/>
      <c r="D56" s="16"/>
      <c r="E56" s="16"/>
      <c r="F56" s="109"/>
      <c r="G56" s="109"/>
      <c r="H56" s="109"/>
      <c r="I56" s="109"/>
      <c r="J56" s="110"/>
      <c r="K56" s="109"/>
      <c r="L56" s="109"/>
      <c r="M56" s="109"/>
      <c r="N56" s="128"/>
      <c r="O56" s="128"/>
      <c r="P56" s="128"/>
      <c r="Q56" s="155"/>
      <c r="R56" s="128"/>
      <c r="S56" s="128"/>
      <c r="T56" s="128"/>
      <c r="U56" s="109"/>
      <c r="V56" s="109"/>
      <c r="W56" s="109"/>
      <c r="X56" s="109"/>
      <c r="Y56" s="109"/>
      <c r="Z56" s="109"/>
      <c r="AA56" s="16"/>
      <c r="AB56" s="16"/>
      <c r="AC56" s="16"/>
      <c r="AD56" s="16"/>
      <c r="AE56" s="16"/>
      <c r="AF56" s="16"/>
      <c r="AG56" s="16"/>
      <c r="AH56" s="16"/>
      <c r="AI56" s="16"/>
      <c r="AJ56" s="16"/>
    </row>
    <row r="57" spans="1:36" x14ac:dyDescent="0.2">
      <c r="A57" s="16"/>
      <c r="B57" s="16"/>
      <c r="C57" s="16"/>
      <c r="D57" s="16"/>
      <c r="E57" s="16"/>
      <c r="F57" s="109"/>
      <c r="G57" s="109"/>
      <c r="H57" s="109"/>
      <c r="I57" s="109"/>
      <c r="J57" s="110"/>
      <c r="K57" s="109"/>
      <c r="L57" s="109"/>
      <c r="M57" s="109"/>
      <c r="N57" s="128"/>
      <c r="O57" s="128"/>
      <c r="P57" s="128"/>
      <c r="Q57" s="155"/>
      <c r="R57" s="128"/>
      <c r="S57" s="128"/>
      <c r="T57" s="128"/>
      <c r="U57" s="109"/>
      <c r="V57" s="109"/>
      <c r="W57" s="109"/>
      <c r="X57" s="109"/>
      <c r="Y57" s="109"/>
      <c r="Z57" s="109"/>
      <c r="AA57" s="16"/>
      <c r="AB57" s="16"/>
      <c r="AC57" s="16"/>
      <c r="AD57" s="16"/>
      <c r="AE57" s="16"/>
      <c r="AF57" s="16"/>
      <c r="AG57" s="16"/>
      <c r="AH57" s="16"/>
      <c r="AI57" s="16"/>
      <c r="AJ57" s="16"/>
    </row>
    <row r="58" spans="1:36" x14ac:dyDescent="0.2">
      <c r="A58" s="16"/>
      <c r="B58" s="16"/>
      <c r="C58" s="16"/>
      <c r="D58" s="16"/>
      <c r="E58" s="16"/>
      <c r="F58" s="109"/>
      <c r="G58" s="109"/>
      <c r="H58" s="109"/>
      <c r="I58" s="109"/>
      <c r="J58" s="110"/>
      <c r="K58" s="109"/>
      <c r="L58" s="109"/>
      <c r="M58" s="109"/>
      <c r="N58" s="128"/>
      <c r="O58" s="128"/>
      <c r="P58" s="128"/>
      <c r="Q58" s="155"/>
      <c r="R58" s="128"/>
      <c r="S58" s="128"/>
      <c r="T58" s="128"/>
      <c r="U58" s="109"/>
      <c r="V58" s="109"/>
      <c r="W58" s="109"/>
      <c r="X58" s="109"/>
      <c r="Y58" s="109"/>
      <c r="Z58" s="109"/>
      <c r="AA58" s="16"/>
      <c r="AB58" s="16"/>
      <c r="AC58" s="16"/>
      <c r="AD58" s="16"/>
      <c r="AE58" s="16"/>
      <c r="AF58" s="16"/>
      <c r="AG58" s="16"/>
      <c r="AH58" s="16"/>
      <c r="AI58" s="16"/>
      <c r="AJ58" s="16"/>
    </row>
    <row r="59" spans="1:36" x14ac:dyDescent="0.2">
      <c r="A59" s="16"/>
      <c r="B59" s="16"/>
      <c r="C59" s="16"/>
      <c r="D59" s="16"/>
      <c r="E59" s="16"/>
      <c r="F59" s="109"/>
      <c r="G59" s="109"/>
      <c r="H59" s="109"/>
      <c r="I59" s="109"/>
      <c r="J59" s="110"/>
      <c r="K59" s="109"/>
      <c r="L59" s="109"/>
      <c r="M59" s="109"/>
      <c r="N59" s="128"/>
      <c r="O59" s="128"/>
      <c r="P59" s="128"/>
      <c r="Q59" s="155"/>
      <c r="R59" s="128"/>
      <c r="S59" s="128"/>
      <c r="T59" s="128"/>
      <c r="U59" s="109"/>
      <c r="V59" s="109"/>
      <c r="W59" s="109"/>
      <c r="X59" s="109"/>
      <c r="Y59" s="109"/>
      <c r="Z59" s="109"/>
      <c r="AA59" s="16"/>
      <c r="AB59" s="16"/>
      <c r="AC59" s="16"/>
      <c r="AD59" s="16"/>
      <c r="AE59" s="16"/>
      <c r="AF59" s="16"/>
      <c r="AG59" s="16"/>
      <c r="AH59" s="16"/>
      <c r="AI59" s="16"/>
      <c r="AJ59" s="16"/>
    </row>
    <row r="60" spans="1:36" x14ac:dyDescent="0.2">
      <c r="A60" s="16"/>
      <c r="B60" s="16"/>
      <c r="C60" s="16"/>
      <c r="D60" s="16"/>
      <c r="E60" s="16"/>
      <c r="F60" s="109"/>
      <c r="G60" s="109"/>
      <c r="H60" s="109"/>
      <c r="I60" s="109"/>
      <c r="J60" s="110"/>
      <c r="K60" s="109"/>
      <c r="L60" s="109"/>
      <c r="M60" s="109"/>
      <c r="N60" s="128"/>
      <c r="O60" s="128"/>
      <c r="P60" s="128"/>
      <c r="Q60" s="155"/>
      <c r="R60" s="128"/>
      <c r="S60" s="128"/>
      <c r="T60" s="128"/>
      <c r="U60" s="109"/>
      <c r="V60" s="109"/>
      <c r="W60" s="109"/>
      <c r="X60" s="109"/>
      <c r="Y60" s="109"/>
      <c r="Z60" s="109"/>
      <c r="AA60" s="16"/>
      <c r="AB60" s="16"/>
      <c r="AC60" s="16"/>
      <c r="AD60" s="16"/>
      <c r="AE60" s="16"/>
      <c r="AF60" s="16"/>
      <c r="AG60" s="16"/>
      <c r="AH60" s="16"/>
      <c r="AI60" s="16"/>
      <c r="AJ60" s="16"/>
    </row>
    <row r="61" spans="1:36" x14ac:dyDescent="0.2">
      <c r="A61" s="16"/>
      <c r="B61" s="16"/>
      <c r="C61" s="16"/>
      <c r="D61" s="16"/>
      <c r="E61" s="16"/>
      <c r="F61" s="109"/>
      <c r="G61" s="109"/>
      <c r="H61" s="109"/>
      <c r="I61" s="109"/>
      <c r="J61" s="110"/>
      <c r="K61" s="109"/>
      <c r="L61" s="109"/>
      <c r="M61" s="109"/>
      <c r="N61" s="128"/>
      <c r="O61" s="128"/>
      <c r="P61" s="128"/>
      <c r="Q61" s="155"/>
      <c r="R61" s="128"/>
      <c r="S61" s="128"/>
      <c r="T61" s="128"/>
      <c r="U61" s="109"/>
      <c r="V61" s="109"/>
      <c r="W61" s="109"/>
      <c r="X61" s="109"/>
      <c r="Y61" s="109"/>
      <c r="Z61" s="109"/>
      <c r="AA61" s="16"/>
      <c r="AB61" s="16"/>
      <c r="AC61" s="16"/>
      <c r="AD61" s="16"/>
      <c r="AE61" s="16"/>
      <c r="AF61" s="16"/>
      <c r="AG61" s="16"/>
      <c r="AH61" s="16"/>
      <c r="AI61" s="16"/>
      <c r="AJ61" s="16"/>
    </row>
    <row r="62" spans="1:36" x14ac:dyDescent="0.2">
      <c r="A62" s="16"/>
      <c r="B62" s="16"/>
      <c r="C62" s="16"/>
      <c r="D62" s="16"/>
      <c r="E62" s="16"/>
      <c r="F62" s="109"/>
      <c r="G62" s="109"/>
      <c r="H62" s="109"/>
      <c r="I62" s="109"/>
      <c r="J62" s="110"/>
      <c r="K62" s="109"/>
      <c r="L62" s="109"/>
      <c r="M62" s="109"/>
      <c r="N62" s="128"/>
      <c r="O62" s="128"/>
      <c r="P62" s="128"/>
      <c r="Q62" s="155"/>
      <c r="R62" s="128"/>
      <c r="S62" s="128"/>
      <c r="T62" s="128"/>
      <c r="U62" s="109"/>
      <c r="V62" s="109"/>
      <c r="W62" s="109"/>
      <c r="X62" s="109"/>
      <c r="Y62" s="109"/>
      <c r="Z62" s="109"/>
      <c r="AA62" s="16"/>
      <c r="AB62" s="16"/>
      <c r="AC62" s="16"/>
      <c r="AD62" s="16"/>
      <c r="AE62" s="16"/>
      <c r="AF62" s="16"/>
      <c r="AG62" s="16"/>
      <c r="AH62" s="16"/>
      <c r="AI62" s="16"/>
      <c r="AJ62" s="16"/>
    </row>
    <row r="63" spans="1:36" x14ac:dyDescent="0.2">
      <c r="A63" s="16"/>
      <c r="B63" s="16"/>
      <c r="C63" s="16"/>
      <c r="D63" s="16"/>
      <c r="E63" s="16"/>
      <c r="F63" s="109"/>
      <c r="G63" s="109"/>
      <c r="H63" s="109"/>
      <c r="I63" s="109"/>
      <c r="J63" s="109"/>
      <c r="K63" s="109"/>
      <c r="L63" s="109"/>
      <c r="M63" s="109"/>
      <c r="N63" s="128"/>
      <c r="O63" s="128"/>
      <c r="P63" s="128"/>
      <c r="Q63" s="155"/>
      <c r="R63" s="128"/>
      <c r="S63" s="128"/>
      <c r="T63" s="128"/>
      <c r="U63" s="109"/>
      <c r="V63" s="109"/>
      <c r="W63" s="109"/>
      <c r="X63" s="109"/>
      <c r="Y63" s="109"/>
      <c r="Z63" s="109"/>
      <c r="AA63" s="16"/>
      <c r="AB63" s="16"/>
      <c r="AC63" s="16"/>
      <c r="AD63" s="16"/>
      <c r="AE63" s="16"/>
      <c r="AF63" s="16"/>
      <c r="AG63" s="16"/>
      <c r="AH63" s="16"/>
      <c r="AI63" s="16"/>
      <c r="AJ63" s="16"/>
    </row>
    <row r="64" spans="1:36" x14ac:dyDescent="0.2">
      <c r="A64" s="16"/>
      <c r="B64" s="16"/>
      <c r="C64" s="16"/>
      <c r="D64" s="16"/>
      <c r="E64" s="16"/>
      <c r="F64" s="109"/>
      <c r="G64" s="109"/>
      <c r="H64" s="109"/>
      <c r="I64" s="109"/>
      <c r="J64" s="109"/>
      <c r="K64" s="109"/>
      <c r="L64" s="109"/>
      <c r="M64" s="109"/>
      <c r="N64" s="128"/>
      <c r="O64" s="128"/>
      <c r="P64" s="128"/>
      <c r="Q64" s="155"/>
      <c r="R64" s="128"/>
      <c r="S64" s="128"/>
      <c r="T64" s="128"/>
      <c r="U64" s="109"/>
      <c r="V64" s="109"/>
      <c r="W64" s="109"/>
      <c r="X64" s="109"/>
      <c r="Y64" s="109"/>
      <c r="Z64" s="109"/>
      <c r="AA64" s="16"/>
      <c r="AB64" s="16"/>
      <c r="AC64" s="16"/>
      <c r="AD64" s="16"/>
      <c r="AE64" s="16"/>
      <c r="AF64" s="16"/>
      <c r="AG64" s="16"/>
      <c r="AH64" s="16"/>
      <c r="AI64" s="16"/>
      <c r="AJ64" s="16"/>
    </row>
    <row r="65" spans="1:36" x14ac:dyDescent="0.2">
      <c r="A65" s="16"/>
      <c r="B65" s="16"/>
      <c r="C65" s="16"/>
      <c r="D65" s="16"/>
      <c r="E65" s="16"/>
      <c r="F65" s="109"/>
      <c r="G65" s="109"/>
      <c r="H65" s="109"/>
      <c r="I65" s="109"/>
      <c r="J65" s="109"/>
      <c r="K65" s="109"/>
      <c r="L65" s="109"/>
      <c r="M65" s="109"/>
      <c r="N65" s="128"/>
      <c r="O65" s="128"/>
      <c r="P65" s="128"/>
      <c r="Q65" s="155"/>
      <c r="R65" s="128"/>
      <c r="S65" s="128"/>
      <c r="T65" s="128"/>
      <c r="U65" s="109"/>
      <c r="V65" s="109"/>
      <c r="W65" s="109"/>
      <c r="X65" s="109"/>
      <c r="Y65" s="109"/>
      <c r="Z65" s="109"/>
      <c r="AA65" s="16"/>
      <c r="AB65" s="16"/>
      <c r="AC65" s="16"/>
      <c r="AD65" s="16"/>
      <c r="AE65" s="16"/>
      <c r="AF65" s="16"/>
      <c r="AG65" s="16"/>
      <c r="AH65" s="16"/>
      <c r="AI65" s="16"/>
      <c r="AJ65" s="16"/>
    </row>
    <row r="66" spans="1:36" x14ac:dyDescent="0.2">
      <c r="A66" s="16"/>
      <c r="B66" s="16"/>
      <c r="C66" s="16"/>
      <c r="D66" s="16"/>
      <c r="E66" s="16"/>
      <c r="F66" s="109"/>
      <c r="G66" s="109"/>
      <c r="H66" s="109"/>
      <c r="I66" s="109"/>
      <c r="J66" s="109"/>
      <c r="K66" s="109"/>
      <c r="L66" s="109"/>
      <c r="M66" s="109"/>
      <c r="N66" s="128"/>
      <c r="O66" s="128"/>
      <c r="P66" s="128"/>
      <c r="Q66" s="155"/>
      <c r="R66" s="128"/>
      <c r="S66" s="128"/>
      <c r="T66" s="128"/>
      <c r="U66" s="109"/>
      <c r="V66" s="109"/>
      <c r="W66" s="109"/>
      <c r="X66" s="109"/>
      <c r="Y66" s="109"/>
      <c r="Z66" s="109"/>
      <c r="AA66" s="16"/>
      <c r="AB66" s="16"/>
      <c r="AC66" s="16"/>
      <c r="AD66" s="16"/>
      <c r="AE66" s="16"/>
      <c r="AF66" s="16"/>
      <c r="AG66" s="16"/>
      <c r="AH66" s="16"/>
      <c r="AI66" s="16"/>
      <c r="AJ66" s="16"/>
    </row>
    <row r="67" spans="1:36" x14ac:dyDescent="0.2">
      <c r="A67" s="16"/>
      <c r="B67" s="16"/>
      <c r="C67" s="16"/>
      <c r="D67" s="16"/>
      <c r="E67" s="16"/>
      <c r="F67" s="109"/>
      <c r="G67" s="109"/>
      <c r="H67" s="109"/>
      <c r="I67" s="109"/>
      <c r="J67" s="109"/>
      <c r="K67" s="109"/>
      <c r="L67" s="109"/>
      <c r="M67" s="109"/>
      <c r="N67" s="128"/>
      <c r="O67" s="128"/>
      <c r="P67" s="128"/>
      <c r="Q67" s="155"/>
      <c r="R67" s="128"/>
      <c r="S67" s="128"/>
      <c r="T67" s="128"/>
      <c r="U67" s="109"/>
      <c r="V67" s="109"/>
      <c r="W67" s="109"/>
      <c r="X67" s="109"/>
      <c r="Y67" s="109"/>
      <c r="Z67" s="109"/>
      <c r="AA67" s="16"/>
      <c r="AB67" s="16"/>
      <c r="AC67" s="16"/>
      <c r="AD67" s="16"/>
      <c r="AE67" s="16"/>
      <c r="AF67" s="16"/>
      <c r="AG67" s="16"/>
      <c r="AH67" s="16"/>
      <c r="AI67" s="16"/>
      <c r="AJ67" s="16"/>
    </row>
    <row r="68" spans="1:36" x14ac:dyDescent="0.2">
      <c r="A68" s="16"/>
      <c r="B68" s="16"/>
      <c r="C68" s="16"/>
      <c r="D68" s="16"/>
      <c r="E68" s="16"/>
      <c r="F68" s="109"/>
      <c r="G68" s="109"/>
      <c r="H68" s="109"/>
      <c r="I68" s="109"/>
      <c r="J68" s="109"/>
      <c r="K68" s="109"/>
      <c r="L68" s="109"/>
      <c r="M68" s="109"/>
      <c r="N68" s="128"/>
      <c r="O68" s="128"/>
      <c r="P68" s="128"/>
      <c r="Q68" s="155"/>
      <c r="R68" s="128"/>
      <c r="S68" s="128"/>
      <c r="T68" s="128"/>
      <c r="U68" s="109"/>
      <c r="V68" s="109"/>
      <c r="W68" s="109"/>
      <c r="X68" s="109"/>
      <c r="Y68" s="109"/>
      <c r="Z68" s="109"/>
      <c r="AA68" s="16"/>
      <c r="AB68" s="16"/>
      <c r="AC68" s="16"/>
      <c r="AD68" s="16"/>
      <c r="AE68" s="16"/>
      <c r="AF68" s="16"/>
      <c r="AG68" s="16"/>
      <c r="AH68" s="16"/>
      <c r="AI68" s="16"/>
      <c r="AJ68" s="16"/>
    </row>
    <row r="69" spans="1:36" x14ac:dyDescent="0.2">
      <c r="A69" s="16"/>
      <c r="B69" s="16"/>
      <c r="C69" s="16"/>
      <c r="D69" s="16"/>
      <c r="E69" s="16"/>
      <c r="F69" s="109"/>
      <c r="G69" s="109"/>
      <c r="H69" s="109"/>
      <c r="I69" s="109"/>
      <c r="J69" s="109"/>
      <c r="K69" s="109"/>
      <c r="L69" s="109"/>
      <c r="M69" s="109"/>
      <c r="N69" s="128"/>
      <c r="O69" s="128"/>
      <c r="P69" s="128"/>
      <c r="Q69" s="155"/>
      <c r="R69" s="128"/>
      <c r="S69" s="128"/>
      <c r="T69" s="128"/>
      <c r="U69" s="109"/>
      <c r="V69" s="109"/>
      <c r="W69" s="109"/>
      <c r="X69" s="109"/>
      <c r="Y69" s="109"/>
      <c r="Z69" s="109"/>
      <c r="AA69" s="16"/>
      <c r="AB69" s="16"/>
      <c r="AC69" s="16"/>
      <c r="AD69" s="16"/>
      <c r="AE69" s="16"/>
      <c r="AF69" s="16"/>
      <c r="AG69" s="16"/>
      <c r="AH69" s="16"/>
      <c r="AI69" s="16"/>
      <c r="AJ69" s="16"/>
    </row>
    <row r="70" spans="1:36" x14ac:dyDescent="0.2">
      <c r="A70" s="16"/>
      <c r="B70" s="16"/>
      <c r="C70" s="16"/>
      <c r="D70" s="16"/>
      <c r="E70" s="16"/>
      <c r="F70" s="109"/>
      <c r="G70" s="109"/>
      <c r="H70" s="109"/>
      <c r="I70" s="109"/>
      <c r="J70" s="109"/>
      <c r="K70" s="109"/>
      <c r="L70" s="109"/>
      <c r="M70" s="109"/>
      <c r="N70" s="128"/>
      <c r="O70" s="128"/>
      <c r="P70" s="128"/>
      <c r="Q70" s="155"/>
      <c r="R70" s="128"/>
      <c r="S70" s="128"/>
      <c r="T70" s="128"/>
      <c r="U70" s="109"/>
      <c r="V70" s="109"/>
      <c r="W70" s="109"/>
      <c r="X70" s="109"/>
      <c r="Y70" s="109"/>
      <c r="Z70" s="109"/>
      <c r="AA70" s="16"/>
      <c r="AB70" s="16"/>
      <c r="AC70" s="16"/>
      <c r="AD70" s="16"/>
      <c r="AE70" s="16"/>
      <c r="AF70" s="16"/>
      <c r="AG70" s="16"/>
      <c r="AH70" s="16"/>
      <c r="AI70" s="16"/>
      <c r="AJ70" s="16"/>
    </row>
    <row r="71" spans="1:36" x14ac:dyDescent="0.2">
      <c r="A71" s="16"/>
      <c r="B71" s="16"/>
      <c r="C71" s="16"/>
      <c r="D71" s="16"/>
      <c r="E71" s="16"/>
      <c r="F71" s="109"/>
      <c r="G71" s="109"/>
      <c r="H71" s="109"/>
      <c r="I71" s="109"/>
      <c r="J71" s="109"/>
      <c r="K71" s="109"/>
      <c r="L71" s="109"/>
      <c r="M71" s="109"/>
      <c r="N71" s="128"/>
      <c r="O71" s="128"/>
      <c r="P71" s="128"/>
      <c r="Q71" s="155"/>
      <c r="R71" s="128"/>
      <c r="S71" s="128"/>
      <c r="T71" s="128"/>
      <c r="U71" s="109"/>
      <c r="V71" s="109"/>
      <c r="W71" s="109"/>
      <c r="X71" s="109"/>
      <c r="Y71" s="109"/>
      <c r="Z71" s="109"/>
      <c r="AA71" s="16"/>
      <c r="AB71" s="16"/>
      <c r="AC71" s="16"/>
      <c r="AD71" s="16"/>
      <c r="AE71" s="16"/>
      <c r="AF71" s="16"/>
      <c r="AG71" s="16"/>
      <c r="AH71" s="16"/>
      <c r="AI71" s="16"/>
      <c r="AJ71" s="16"/>
    </row>
    <row r="72" spans="1:36" x14ac:dyDescent="0.2">
      <c r="A72" s="16"/>
      <c r="B72" s="16"/>
      <c r="C72" s="16"/>
      <c r="D72" s="16"/>
      <c r="E72" s="16"/>
      <c r="F72" s="109"/>
      <c r="G72" s="109"/>
      <c r="H72" s="109"/>
      <c r="I72" s="109"/>
      <c r="J72" s="109"/>
      <c r="K72" s="109"/>
      <c r="L72" s="109"/>
      <c r="M72" s="109"/>
      <c r="N72" s="128"/>
      <c r="O72" s="128"/>
      <c r="P72" s="128"/>
      <c r="Q72" s="155"/>
      <c r="R72" s="128"/>
      <c r="S72" s="128"/>
      <c r="T72" s="128"/>
      <c r="U72" s="109"/>
      <c r="V72" s="109"/>
      <c r="W72" s="109"/>
      <c r="X72" s="109"/>
      <c r="Y72" s="109"/>
      <c r="Z72" s="109"/>
      <c r="AA72" s="16"/>
      <c r="AB72" s="16"/>
      <c r="AC72" s="16"/>
      <c r="AD72" s="16"/>
      <c r="AE72" s="16"/>
      <c r="AF72" s="16"/>
      <c r="AG72" s="16"/>
      <c r="AH72" s="16"/>
      <c r="AI72" s="16"/>
      <c r="AJ72" s="16"/>
    </row>
    <row r="73" spans="1:36" x14ac:dyDescent="0.2">
      <c r="A73" s="16"/>
      <c r="B73" s="16"/>
      <c r="C73" s="16"/>
      <c r="D73" s="16"/>
      <c r="E73" s="16"/>
      <c r="F73" s="109"/>
      <c r="G73" s="109"/>
      <c r="H73" s="109"/>
      <c r="I73" s="109"/>
      <c r="J73" s="109"/>
      <c r="K73" s="109"/>
      <c r="L73" s="109"/>
      <c r="M73" s="109"/>
      <c r="N73" s="128"/>
      <c r="O73" s="128"/>
      <c r="P73" s="128"/>
      <c r="Q73" s="155"/>
      <c r="R73" s="128"/>
      <c r="S73" s="128"/>
      <c r="T73" s="128"/>
      <c r="U73" s="109"/>
      <c r="V73" s="109"/>
      <c r="W73" s="109"/>
      <c r="X73" s="109"/>
      <c r="Y73" s="109"/>
      <c r="Z73" s="109"/>
      <c r="AA73" s="16"/>
      <c r="AB73" s="16"/>
      <c r="AC73" s="16"/>
      <c r="AD73" s="16"/>
      <c r="AE73" s="16"/>
      <c r="AF73" s="16"/>
      <c r="AG73" s="16"/>
      <c r="AH73" s="16"/>
      <c r="AI73" s="16"/>
      <c r="AJ73" s="16"/>
    </row>
    <row r="74" spans="1:36" x14ac:dyDescent="0.2">
      <c r="A74" s="16"/>
      <c r="B74" s="16"/>
      <c r="C74" s="16"/>
      <c r="D74" s="16"/>
      <c r="E74" s="16"/>
      <c r="F74" s="109"/>
      <c r="G74" s="109"/>
      <c r="H74" s="109"/>
      <c r="I74" s="109"/>
      <c r="J74" s="109"/>
      <c r="K74" s="109"/>
      <c r="L74" s="109"/>
      <c r="M74" s="109"/>
      <c r="N74" s="128"/>
      <c r="O74" s="128"/>
      <c r="P74" s="128"/>
      <c r="Q74" s="155"/>
      <c r="R74" s="128"/>
      <c r="S74" s="128"/>
      <c r="T74" s="128"/>
      <c r="U74" s="109"/>
      <c r="V74" s="109"/>
      <c r="W74" s="109"/>
      <c r="X74" s="109"/>
      <c r="Y74" s="109"/>
      <c r="Z74" s="109"/>
      <c r="AA74" s="16"/>
      <c r="AB74" s="16"/>
      <c r="AC74" s="16"/>
      <c r="AD74" s="16"/>
      <c r="AE74" s="16"/>
      <c r="AF74" s="16"/>
      <c r="AG74" s="16"/>
      <c r="AH74" s="16"/>
      <c r="AI74" s="16"/>
      <c r="AJ74" s="16"/>
    </row>
    <row r="75" spans="1:36" x14ac:dyDescent="0.2">
      <c r="A75" s="16"/>
      <c r="B75" s="16"/>
      <c r="C75" s="16"/>
      <c r="D75" s="16"/>
      <c r="E75" s="16"/>
      <c r="F75" s="109"/>
      <c r="G75" s="109"/>
      <c r="H75" s="109"/>
      <c r="I75" s="109"/>
      <c r="J75" s="109"/>
      <c r="K75" s="109"/>
      <c r="L75" s="109"/>
      <c r="M75" s="109"/>
      <c r="N75" s="128"/>
      <c r="O75" s="128"/>
      <c r="P75" s="128"/>
      <c r="Q75" s="155"/>
      <c r="R75" s="128"/>
      <c r="S75" s="128"/>
      <c r="T75" s="128"/>
      <c r="U75" s="109"/>
      <c r="V75" s="109"/>
      <c r="W75" s="109"/>
      <c r="X75" s="109"/>
      <c r="Y75" s="109"/>
      <c r="Z75" s="109"/>
      <c r="AA75" s="16"/>
      <c r="AB75" s="16"/>
      <c r="AC75" s="16"/>
      <c r="AD75" s="16"/>
      <c r="AE75" s="16"/>
      <c r="AF75" s="16"/>
      <c r="AG75" s="16"/>
      <c r="AH75" s="16"/>
      <c r="AI75" s="16"/>
      <c r="AJ75" s="16"/>
    </row>
    <row r="76" spans="1:36" x14ac:dyDescent="0.2">
      <c r="A76" s="16"/>
      <c r="B76" s="16"/>
      <c r="C76" s="16"/>
      <c r="D76" s="16"/>
      <c r="E76" s="16"/>
      <c r="F76" s="109"/>
      <c r="G76" s="109"/>
      <c r="H76" s="109"/>
      <c r="I76" s="109"/>
      <c r="J76" s="109"/>
      <c r="K76" s="109"/>
      <c r="L76" s="109"/>
      <c r="M76" s="109"/>
      <c r="N76" s="128"/>
      <c r="O76" s="128"/>
      <c r="P76" s="128"/>
      <c r="Q76" s="155"/>
      <c r="R76" s="128"/>
      <c r="S76" s="128"/>
      <c r="T76" s="128"/>
      <c r="U76" s="109"/>
      <c r="V76" s="109"/>
      <c r="W76" s="109"/>
      <c r="X76" s="109"/>
      <c r="Y76" s="109"/>
      <c r="Z76" s="109"/>
      <c r="AA76" s="16"/>
      <c r="AB76" s="16"/>
      <c r="AC76" s="16"/>
      <c r="AD76" s="16"/>
      <c r="AE76" s="16"/>
      <c r="AF76" s="16"/>
      <c r="AG76" s="16"/>
      <c r="AH76" s="16"/>
      <c r="AI76" s="16"/>
      <c r="AJ76" s="16"/>
    </row>
    <row r="77" spans="1:36" x14ac:dyDescent="0.2">
      <c r="A77" s="16"/>
      <c r="B77" s="16"/>
      <c r="C77" s="16"/>
      <c r="D77" s="16"/>
      <c r="E77" s="16"/>
      <c r="F77" s="109"/>
      <c r="G77" s="109"/>
      <c r="H77" s="109"/>
      <c r="I77" s="109"/>
      <c r="J77" s="109"/>
      <c r="K77" s="109"/>
      <c r="L77" s="109"/>
      <c r="M77" s="109"/>
      <c r="N77" s="128"/>
      <c r="O77" s="128"/>
      <c r="P77" s="128"/>
      <c r="Q77" s="155"/>
      <c r="R77" s="128"/>
      <c r="S77" s="128"/>
      <c r="T77" s="128"/>
      <c r="U77" s="109"/>
      <c r="V77" s="109"/>
      <c r="W77" s="109"/>
      <c r="X77" s="109"/>
      <c r="Y77" s="109"/>
      <c r="Z77" s="109"/>
      <c r="AA77" s="16"/>
      <c r="AB77" s="16"/>
      <c r="AC77" s="16"/>
      <c r="AD77" s="16"/>
      <c r="AE77" s="16"/>
      <c r="AF77" s="16"/>
      <c r="AG77" s="16"/>
      <c r="AH77" s="16"/>
      <c r="AI77" s="16"/>
      <c r="AJ77" s="16"/>
    </row>
    <row r="78" spans="1:36" x14ac:dyDescent="0.2">
      <c r="A78" s="16"/>
      <c r="B78" s="16"/>
      <c r="C78" s="16"/>
      <c r="D78" s="16"/>
      <c r="E78" s="16"/>
      <c r="F78" s="109"/>
      <c r="G78" s="109"/>
      <c r="H78" s="109"/>
      <c r="I78" s="109"/>
      <c r="J78" s="109"/>
      <c r="K78" s="109"/>
      <c r="L78" s="109"/>
      <c r="M78" s="109"/>
      <c r="N78" s="128"/>
      <c r="O78" s="128"/>
      <c r="P78" s="128"/>
      <c r="Q78" s="155"/>
      <c r="R78" s="128"/>
      <c r="S78" s="128"/>
      <c r="T78" s="128"/>
      <c r="U78" s="109"/>
      <c r="V78" s="109"/>
      <c r="W78" s="109"/>
      <c r="X78" s="109"/>
      <c r="Y78" s="109"/>
      <c r="Z78" s="109"/>
      <c r="AA78" s="16"/>
      <c r="AB78" s="16"/>
      <c r="AC78" s="16"/>
      <c r="AD78" s="16"/>
      <c r="AE78" s="16"/>
      <c r="AF78" s="16"/>
      <c r="AG78" s="16"/>
      <c r="AH78" s="16"/>
      <c r="AI78" s="16"/>
      <c r="AJ78" s="16"/>
    </row>
    <row r="79" spans="1:36" x14ac:dyDescent="0.2">
      <c r="A79" s="16"/>
      <c r="B79" s="16"/>
      <c r="C79" s="16"/>
      <c r="D79" s="16"/>
      <c r="E79" s="16"/>
      <c r="F79" s="109"/>
      <c r="G79" s="109"/>
      <c r="H79" s="109"/>
      <c r="I79" s="109"/>
      <c r="J79" s="109"/>
      <c r="K79" s="109"/>
      <c r="L79" s="109"/>
      <c r="M79" s="109"/>
      <c r="N79" s="128"/>
      <c r="O79" s="128"/>
      <c r="P79" s="128"/>
      <c r="Q79" s="155"/>
      <c r="R79" s="128"/>
      <c r="S79" s="128"/>
      <c r="T79" s="128"/>
      <c r="U79" s="109"/>
      <c r="V79" s="109"/>
      <c r="W79" s="109"/>
      <c r="X79" s="109"/>
      <c r="Y79" s="109"/>
      <c r="Z79" s="109"/>
      <c r="AA79" s="16"/>
      <c r="AB79" s="16"/>
      <c r="AC79" s="16"/>
      <c r="AD79" s="16"/>
      <c r="AE79" s="16"/>
      <c r="AF79" s="16"/>
      <c r="AG79" s="16"/>
      <c r="AH79" s="16"/>
      <c r="AI79" s="16"/>
      <c r="AJ79" s="16"/>
    </row>
    <row r="80" spans="1:36" x14ac:dyDescent="0.2">
      <c r="A80" s="16"/>
      <c r="B80" s="16"/>
      <c r="C80" s="16"/>
      <c r="D80" s="16"/>
      <c r="E80" s="16"/>
      <c r="F80" s="109"/>
      <c r="G80" s="109"/>
      <c r="H80" s="109"/>
      <c r="I80" s="109"/>
      <c r="J80" s="109"/>
      <c r="K80" s="109"/>
      <c r="L80" s="109"/>
      <c r="M80" s="109"/>
      <c r="N80" s="128"/>
      <c r="O80" s="128"/>
      <c r="P80" s="128"/>
      <c r="Q80" s="155"/>
      <c r="R80" s="128"/>
      <c r="S80" s="128"/>
      <c r="T80" s="128"/>
      <c r="U80" s="109"/>
      <c r="V80" s="109"/>
      <c r="W80" s="109"/>
      <c r="X80" s="109"/>
      <c r="Y80" s="109"/>
      <c r="Z80" s="109"/>
      <c r="AA80" s="16"/>
      <c r="AB80" s="16"/>
      <c r="AC80" s="16"/>
      <c r="AD80" s="16"/>
      <c r="AE80" s="16"/>
      <c r="AF80" s="16"/>
      <c r="AG80" s="16"/>
      <c r="AH80" s="16"/>
      <c r="AI80" s="16"/>
      <c r="AJ80" s="16"/>
    </row>
    <row r="81" spans="1:36" x14ac:dyDescent="0.2">
      <c r="A81" s="16"/>
      <c r="B81" s="16"/>
      <c r="C81" s="16"/>
      <c r="D81" s="16"/>
      <c r="E81" s="16"/>
      <c r="F81" s="109"/>
      <c r="G81" s="109"/>
      <c r="H81" s="109"/>
      <c r="I81" s="109"/>
      <c r="J81" s="109"/>
      <c r="K81" s="109"/>
      <c r="L81" s="109"/>
      <c r="M81" s="109"/>
      <c r="N81" s="128"/>
      <c r="O81" s="128"/>
      <c r="P81" s="128"/>
      <c r="Q81" s="155"/>
      <c r="R81" s="128"/>
      <c r="S81" s="128"/>
      <c r="T81" s="128"/>
      <c r="U81" s="109"/>
      <c r="V81" s="109"/>
      <c r="W81" s="109"/>
      <c r="X81" s="109"/>
      <c r="Y81" s="109"/>
      <c r="Z81" s="109"/>
      <c r="AA81" s="16"/>
      <c r="AB81" s="16"/>
      <c r="AC81" s="16"/>
      <c r="AD81" s="16"/>
      <c r="AE81" s="16"/>
      <c r="AF81" s="16"/>
      <c r="AG81" s="16"/>
      <c r="AH81" s="16"/>
      <c r="AI81" s="16"/>
      <c r="AJ81" s="16"/>
    </row>
    <row r="82" spans="1:36" x14ac:dyDescent="0.2">
      <c r="A82" s="16"/>
      <c r="B82" s="16"/>
      <c r="C82" s="16"/>
      <c r="D82" s="16"/>
      <c r="E82" s="16"/>
      <c r="F82" s="109"/>
      <c r="G82" s="109"/>
      <c r="H82" s="109"/>
      <c r="I82" s="109"/>
      <c r="J82" s="109"/>
      <c r="K82" s="109"/>
      <c r="L82" s="109"/>
      <c r="M82" s="109"/>
      <c r="N82" s="128"/>
      <c r="O82" s="128"/>
      <c r="P82" s="128"/>
      <c r="Q82" s="155"/>
      <c r="R82" s="128"/>
      <c r="S82" s="128"/>
      <c r="T82" s="128"/>
      <c r="U82" s="109"/>
      <c r="V82" s="109"/>
      <c r="W82" s="109"/>
      <c r="X82" s="109"/>
      <c r="Y82" s="109"/>
      <c r="Z82" s="109"/>
      <c r="AA82" s="16"/>
      <c r="AB82" s="16"/>
      <c r="AC82" s="16"/>
      <c r="AD82" s="16"/>
      <c r="AE82" s="16"/>
      <c r="AF82" s="16"/>
      <c r="AG82" s="16"/>
      <c r="AH82" s="16"/>
      <c r="AI82" s="16"/>
      <c r="AJ82" s="16"/>
    </row>
    <row r="83" spans="1:36" x14ac:dyDescent="0.2">
      <c r="A83" s="16"/>
      <c r="B83" s="16"/>
      <c r="C83" s="16"/>
      <c r="D83" s="16"/>
      <c r="E83" s="16"/>
      <c r="F83" s="109"/>
      <c r="G83" s="109"/>
      <c r="H83" s="109"/>
      <c r="I83" s="109"/>
      <c r="J83" s="109"/>
      <c r="K83" s="109"/>
      <c r="L83" s="109"/>
      <c r="M83" s="109"/>
      <c r="N83" s="128"/>
      <c r="O83" s="128"/>
      <c r="P83" s="128"/>
      <c r="Q83" s="155"/>
      <c r="R83" s="128"/>
      <c r="S83" s="128"/>
      <c r="T83" s="128"/>
      <c r="U83" s="109"/>
      <c r="V83" s="109"/>
      <c r="W83" s="109"/>
      <c r="X83" s="109"/>
      <c r="Y83" s="109"/>
      <c r="Z83" s="109"/>
      <c r="AA83" s="16"/>
      <c r="AB83" s="16"/>
      <c r="AC83" s="16"/>
      <c r="AD83" s="16"/>
      <c r="AE83" s="16"/>
      <c r="AF83" s="16"/>
      <c r="AG83" s="16"/>
      <c r="AH83" s="16"/>
      <c r="AI83" s="16"/>
      <c r="AJ83" s="16"/>
    </row>
    <row r="84" spans="1:36" x14ac:dyDescent="0.2">
      <c r="A84" s="16"/>
      <c r="B84" s="16"/>
      <c r="C84" s="16"/>
      <c r="D84" s="16"/>
      <c r="E84" s="16"/>
      <c r="F84" s="109"/>
      <c r="G84" s="109"/>
      <c r="H84" s="109"/>
      <c r="I84" s="109"/>
      <c r="J84" s="109"/>
      <c r="K84" s="109"/>
      <c r="L84" s="109"/>
      <c r="M84" s="109"/>
      <c r="N84" s="128"/>
      <c r="O84" s="128"/>
      <c r="P84" s="128"/>
      <c r="Q84" s="155"/>
      <c r="R84" s="128"/>
      <c r="S84" s="128"/>
      <c r="T84" s="128"/>
      <c r="U84" s="109"/>
      <c r="V84" s="109"/>
      <c r="W84" s="109"/>
      <c r="X84" s="109"/>
      <c r="Y84" s="109"/>
      <c r="Z84" s="109"/>
      <c r="AA84" s="16"/>
      <c r="AB84" s="16"/>
      <c r="AC84" s="16"/>
      <c r="AD84" s="16"/>
      <c r="AE84" s="16"/>
      <c r="AF84" s="16"/>
      <c r="AG84" s="16"/>
      <c r="AH84" s="16"/>
      <c r="AI84" s="16"/>
      <c r="AJ84" s="16"/>
    </row>
    <row r="85" spans="1:36" x14ac:dyDescent="0.2">
      <c r="A85" s="16"/>
      <c r="B85" s="16"/>
      <c r="C85" s="16"/>
      <c r="D85" s="16"/>
      <c r="E85" s="16"/>
      <c r="F85" s="109"/>
      <c r="G85" s="109"/>
      <c r="H85" s="109"/>
      <c r="I85" s="109"/>
      <c r="J85" s="109"/>
      <c r="K85" s="109"/>
      <c r="L85" s="109"/>
      <c r="M85" s="109"/>
      <c r="N85" s="128"/>
      <c r="O85" s="128"/>
      <c r="P85" s="128"/>
      <c r="Q85" s="155"/>
      <c r="R85" s="128"/>
      <c r="S85" s="128"/>
      <c r="T85" s="128"/>
      <c r="U85" s="109"/>
      <c r="V85" s="109"/>
      <c r="W85" s="109"/>
      <c r="X85" s="109"/>
      <c r="Y85" s="109"/>
      <c r="Z85" s="109"/>
      <c r="AA85" s="16"/>
      <c r="AB85" s="16"/>
      <c r="AC85" s="16"/>
      <c r="AD85" s="16"/>
      <c r="AE85" s="16"/>
      <c r="AF85" s="16"/>
      <c r="AG85" s="16"/>
      <c r="AH85" s="16"/>
      <c r="AI85" s="16"/>
      <c r="AJ85" s="16"/>
    </row>
    <row r="86" spans="1:36" x14ac:dyDescent="0.2">
      <c r="A86" s="16"/>
      <c r="B86" s="16"/>
      <c r="C86" s="16"/>
      <c r="D86" s="16"/>
      <c r="E86" s="16"/>
      <c r="F86" s="109"/>
      <c r="G86" s="109"/>
      <c r="H86" s="109"/>
      <c r="I86" s="109"/>
      <c r="J86" s="109"/>
      <c r="K86" s="109"/>
      <c r="L86" s="109"/>
      <c r="M86" s="109"/>
      <c r="N86" s="128"/>
      <c r="O86" s="128"/>
      <c r="P86" s="128"/>
      <c r="Q86" s="155"/>
      <c r="R86" s="128"/>
      <c r="S86" s="128"/>
      <c r="T86" s="128"/>
      <c r="U86" s="109"/>
      <c r="V86" s="109"/>
      <c r="W86" s="109"/>
      <c r="X86" s="109"/>
      <c r="Y86" s="109"/>
      <c r="Z86" s="109"/>
      <c r="AA86" s="16"/>
      <c r="AB86" s="16"/>
      <c r="AC86" s="16"/>
      <c r="AD86" s="16"/>
      <c r="AE86" s="16"/>
      <c r="AF86" s="16"/>
      <c r="AG86" s="16"/>
      <c r="AH86" s="16"/>
      <c r="AI86" s="16"/>
      <c r="AJ86" s="16"/>
    </row>
    <row r="87" spans="1:36" x14ac:dyDescent="0.2">
      <c r="A87" s="16"/>
      <c r="B87" s="16"/>
      <c r="C87" s="16"/>
      <c r="D87" s="16"/>
      <c r="E87" s="16"/>
      <c r="F87" s="109"/>
      <c r="G87" s="109"/>
      <c r="H87" s="109"/>
      <c r="I87" s="109"/>
      <c r="J87" s="109"/>
      <c r="K87" s="109"/>
      <c r="L87" s="109"/>
      <c r="M87" s="109"/>
      <c r="N87" s="128"/>
      <c r="O87" s="128"/>
      <c r="P87" s="128"/>
      <c r="Q87" s="155"/>
      <c r="R87" s="128"/>
      <c r="S87" s="128"/>
      <c r="T87" s="128"/>
      <c r="U87" s="109"/>
      <c r="V87" s="109"/>
      <c r="W87" s="109"/>
      <c r="X87" s="109"/>
      <c r="Y87" s="109"/>
      <c r="Z87" s="109"/>
      <c r="AA87" s="16"/>
      <c r="AB87" s="16"/>
      <c r="AC87" s="16"/>
      <c r="AD87" s="16"/>
      <c r="AE87" s="16"/>
      <c r="AF87" s="16"/>
      <c r="AG87" s="16"/>
      <c r="AH87" s="16"/>
      <c r="AI87" s="16"/>
      <c r="AJ87" s="16"/>
    </row>
    <row r="88" spans="1:36" x14ac:dyDescent="0.2">
      <c r="A88" s="16"/>
      <c r="B88" s="16"/>
      <c r="C88" s="16"/>
      <c r="D88" s="16"/>
      <c r="E88" s="16"/>
      <c r="F88" s="109"/>
      <c r="G88" s="109"/>
      <c r="H88" s="109"/>
      <c r="I88" s="109"/>
      <c r="J88" s="109"/>
      <c r="K88" s="109"/>
      <c r="L88" s="109"/>
      <c r="M88" s="109"/>
      <c r="N88" s="128"/>
      <c r="O88" s="128"/>
      <c r="P88" s="128"/>
      <c r="Q88" s="155"/>
      <c r="R88" s="128"/>
      <c r="S88" s="128"/>
      <c r="T88" s="128"/>
      <c r="U88" s="109"/>
      <c r="V88" s="109"/>
      <c r="W88" s="109"/>
      <c r="X88" s="109"/>
      <c r="Y88" s="109"/>
      <c r="Z88" s="109"/>
      <c r="AA88" s="16"/>
      <c r="AB88" s="16"/>
      <c r="AC88" s="16"/>
      <c r="AD88" s="16"/>
      <c r="AE88" s="16"/>
      <c r="AF88" s="16"/>
      <c r="AG88" s="16"/>
      <c r="AH88" s="16"/>
      <c r="AI88" s="16"/>
      <c r="AJ88" s="16"/>
    </row>
    <row r="89" spans="1:36" x14ac:dyDescent="0.2">
      <c r="A89" s="16"/>
      <c r="B89" s="16"/>
      <c r="C89" s="16"/>
      <c r="D89" s="16"/>
      <c r="E89" s="16"/>
      <c r="F89" s="109"/>
      <c r="G89" s="109"/>
      <c r="H89" s="109"/>
      <c r="I89" s="109"/>
      <c r="J89" s="109"/>
      <c r="K89" s="109"/>
      <c r="L89" s="109"/>
      <c r="M89" s="109"/>
      <c r="N89" s="128"/>
      <c r="O89" s="128"/>
      <c r="P89" s="128"/>
      <c r="Q89" s="155"/>
      <c r="R89" s="128"/>
      <c r="S89" s="128"/>
      <c r="T89" s="128"/>
      <c r="U89" s="109"/>
      <c r="V89" s="109"/>
      <c r="W89" s="109"/>
      <c r="X89" s="109"/>
      <c r="Y89" s="109"/>
      <c r="Z89" s="109"/>
      <c r="AA89" s="16"/>
      <c r="AB89" s="16"/>
      <c r="AC89" s="16"/>
      <c r="AD89" s="16"/>
      <c r="AE89" s="16"/>
      <c r="AF89" s="16"/>
      <c r="AG89" s="16"/>
      <c r="AH89" s="16"/>
      <c r="AI89" s="16"/>
      <c r="AJ89" s="16"/>
    </row>
    <row r="90" spans="1:36" x14ac:dyDescent="0.2">
      <c r="A90" s="16"/>
      <c r="B90" s="16"/>
      <c r="C90" s="16"/>
      <c r="D90" s="16"/>
      <c r="E90" s="16"/>
      <c r="F90" s="109"/>
      <c r="G90" s="109"/>
      <c r="H90" s="109"/>
      <c r="I90" s="109"/>
      <c r="J90" s="109"/>
      <c r="K90" s="109"/>
      <c r="L90" s="109"/>
      <c r="M90" s="109"/>
      <c r="N90" s="128"/>
      <c r="O90" s="128"/>
      <c r="P90" s="128"/>
      <c r="Q90" s="155"/>
      <c r="R90" s="128"/>
      <c r="S90" s="128"/>
      <c r="T90" s="128"/>
      <c r="U90" s="109"/>
      <c r="V90" s="109"/>
      <c r="W90" s="109"/>
      <c r="X90" s="109"/>
      <c r="Y90" s="109"/>
      <c r="Z90" s="109"/>
      <c r="AA90" s="16"/>
      <c r="AB90" s="16"/>
      <c r="AC90" s="16"/>
      <c r="AD90" s="16"/>
      <c r="AE90" s="16"/>
      <c r="AF90" s="16"/>
      <c r="AG90" s="16"/>
      <c r="AH90" s="16"/>
      <c r="AI90" s="16"/>
      <c r="AJ90" s="16"/>
    </row>
    <row r="91" spans="1:36" x14ac:dyDescent="0.2">
      <c r="A91" s="16"/>
      <c r="B91" s="16"/>
      <c r="C91" s="16"/>
      <c r="D91" s="16"/>
      <c r="E91" s="16"/>
      <c r="F91" s="109"/>
      <c r="G91" s="109"/>
      <c r="H91" s="109"/>
      <c r="I91" s="109"/>
      <c r="J91" s="109"/>
      <c r="K91" s="109"/>
      <c r="L91" s="109"/>
      <c r="M91" s="109"/>
      <c r="N91" s="128"/>
      <c r="O91" s="128"/>
      <c r="P91" s="128"/>
      <c r="Q91" s="155"/>
      <c r="R91" s="128"/>
      <c r="S91" s="128"/>
      <c r="T91" s="128"/>
      <c r="U91" s="109"/>
      <c r="V91" s="109"/>
      <c r="W91" s="109"/>
      <c r="X91" s="109"/>
      <c r="Y91" s="109"/>
      <c r="Z91" s="109"/>
      <c r="AA91" s="16"/>
      <c r="AB91" s="16"/>
      <c r="AC91" s="16"/>
      <c r="AD91" s="16"/>
      <c r="AE91" s="16"/>
      <c r="AF91" s="16"/>
      <c r="AG91" s="16"/>
      <c r="AH91" s="16"/>
      <c r="AI91" s="16"/>
      <c r="AJ91" s="16"/>
    </row>
    <row r="92" spans="1:36" x14ac:dyDescent="0.2">
      <c r="A92" s="16"/>
      <c r="B92" s="16"/>
      <c r="C92" s="16"/>
      <c r="D92" s="16"/>
      <c r="E92" s="16"/>
      <c r="F92" s="109"/>
      <c r="G92" s="109"/>
      <c r="H92" s="109"/>
      <c r="I92" s="109"/>
      <c r="J92" s="109"/>
      <c r="K92" s="109"/>
      <c r="L92" s="109"/>
      <c r="M92" s="109"/>
      <c r="N92" s="128"/>
      <c r="O92" s="128"/>
      <c r="P92" s="128"/>
      <c r="Q92" s="155"/>
      <c r="R92" s="128"/>
      <c r="S92" s="128"/>
      <c r="T92" s="128"/>
      <c r="U92" s="109"/>
      <c r="V92" s="109"/>
      <c r="W92" s="109"/>
      <c r="X92" s="109"/>
      <c r="Y92" s="109"/>
      <c r="Z92" s="109"/>
      <c r="AA92" s="16"/>
      <c r="AB92" s="16"/>
      <c r="AC92" s="16"/>
      <c r="AD92" s="16"/>
      <c r="AE92" s="16"/>
      <c r="AF92" s="16"/>
      <c r="AG92" s="16"/>
      <c r="AH92" s="16"/>
      <c r="AI92" s="16"/>
      <c r="AJ92" s="16"/>
    </row>
    <row r="93" spans="1:36" x14ac:dyDescent="0.2">
      <c r="A93" s="16"/>
      <c r="B93" s="16"/>
      <c r="C93" s="16"/>
      <c r="D93" s="16"/>
      <c r="E93" s="16"/>
      <c r="F93" s="109"/>
      <c r="G93" s="109"/>
      <c r="H93" s="109"/>
      <c r="I93" s="109"/>
      <c r="J93" s="109"/>
      <c r="K93" s="109"/>
      <c r="L93" s="109"/>
      <c r="M93" s="109"/>
      <c r="N93" s="128"/>
      <c r="O93" s="128"/>
      <c r="P93" s="128"/>
      <c r="Q93" s="155"/>
      <c r="R93" s="128"/>
      <c r="S93" s="128"/>
      <c r="T93" s="128"/>
      <c r="U93" s="109"/>
      <c r="V93" s="109"/>
      <c r="W93" s="109"/>
      <c r="X93" s="109"/>
      <c r="Y93" s="109"/>
      <c r="Z93" s="109"/>
      <c r="AA93" s="16"/>
      <c r="AB93" s="16"/>
      <c r="AC93" s="16"/>
      <c r="AD93" s="16"/>
      <c r="AE93" s="16"/>
      <c r="AF93" s="16"/>
      <c r="AG93" s="16"/>
      <c r="AH93" s="16"/>
      <c r="AI93" s="16"/>
      <c r="AJ93" s="16"/>
    </row>
    <row r="94" spans="1:36" x14ac:dyDescent="0.2">
      <c r="A94" s="16"/>
      <c r="B94" s="16"/>
      <c r="C94" s="16"/>
      <c r="D94" s="16"/>
      <c r="E94" s="16"/>
      <c r="F94" s="109"/>
      <c r="G94" s="109"/>
      <c r="H94" s="109"/>
      <c r="I94" s="109"/>
      <c r="J94" s="109"/>
      <c r="K94" s="109"/>
      <c r="L94" s="109"/>
      <c r="M94" s="109"/>
      <c r="N94" s="128"/>
      <c r="O94" s="128"/>
      <c r="P94" s="128"/>
      <c r="Q94" s="155"/>
      <c r="R94" s="128"/>
      <c r="S94" s="128"/>
      <c r="T94" s="128"/>
      <c r="U94" s="109"/>
      <c r="V94" s="109"/>
      <c r="W94" s="109"/>
      <c r="X94" s="109"/>
      <c r="Y94" s="109"/>
      <c r="Z94" s="109"/>
      <c r="AA94" s="16"/>
      <c r="AB94" s="16"/>
      <c r="AC94" s="16"/>
      <c r="AD94" s="16"/>
      <c r="AE94" s="16"/>
      <c r="AF94" s="16"/>
      <c r="AG94" s="16"/>
      <c r="AH94" s="16"/>
      <c r="AI94" s="16"/>
      <c r="AJ94" s="16"/>
    </row>
    <row r="95" spans="1:36" x14ac:dyDescent="0.2">
      <c r="A95" s="16"/>
      <c r="B95" s="16"/>
      <c r="C95" s="16"/>
      <c r="D95" s="16"/>
      <c r="E95" s="16"/>
      <c r="F95" s="109"/>
      <c r="G95" s="109"/>
      <c r="H95" s="109"/>
      <c r="I95" s="109"/>
      <c r="J95" s="109"/>
      <c r="K95" s="109"/>
      <c r="L95" s="109"/>
      <c r="M95" s="109"/>
      <c r="N95" s="128"/>
      <c r="O95" s="128"/>
      <c r="P95" s="128"/>
      <c r="Q95" s="155"/>
      <c r="R95" s="128"/>
      <c r="S95" s="128"/>
      <c r="T95" s="128"/>
      <c r="U95" s="109"/>
      <c r="V95" s="109"/>
      <c r="W95" s="109"/>
      <c r="X95" s="109"/>
      <c r="Y95" s="109"/>
      <c r="Z95" s="109"/>
      <c r="AA95" s="16"/>
      <c r="AB95" s="16"/>
      <c r="AC95" s="16"/>
      <c r="AD95" s="16"/>
      <c r="AE95" s="16"/>
      <c r="AF95" s="16"/>
      <c r="AG95" s="16"/>
      <c r="AH95" s="16"/>
      <c r="AI95" s="16"/>
      <c r="AJ95" s="16"/>
    </row>
    <row r="96" spans="1:36" x14ac:dyDescent="0.2">
      <c r="A96" s="16"/>
      <c r="B96" s="16"/>
      <c r="C96" s="16"/>
      <c r="D96" s="16"/>
      <c r="E96" s="16"/>
      <c r="F96" s="109"/>
      <c r="G96" s="109"/>
      <c r="H96" s="109"/>
      <c r="I96" s="109"/>
      <c r="J96" s="109"/>
      <c r="K96" s="109"/>
      <c r="L96" s="109"/>
      <c r="M96" s="109"/>
      <c r="N96" s="128"/>
      <c r="O96" s="128"/>
      <c r="P96" s="128"/>
      <c r="Q96" s="155"/>
      <c r="R96" s="128"/>
      <c r="S96" s="128"/>
      <c r="T96" s="128"/>
      <c r="U96" s="109"/>
      <c r="V96" s="109"/>
      <c r="W96" s="109"/>
      <c r="X96" s="109"/>
      <c r="Y96" s="109"/>
      <c r="Z96" s="109"/>
      <c r="AA96" s="16"/>
      <c r="AB96" s="16"/>
      <c r="AC96" s="16"/>
      <c r="AD96" s="16"/>
      <c r="AE96" s="16"/>
      <c r="AF96" s="16"/>
      <c r="AG96" s="16"/>
      <c r="AH96" s="16"/>
      <c r="AI96" s="16"/>
      <c r="AJ96" s="16"/>
    </row>
    <row r="97" spans="1:36" x14ac:dyDescent="0.2">
      <c r="A97" s="16"/>
      <c r="B97" s="16"/>
      <c r="C97" s="16"/>
      <c r="D97" s="16"/>
      <c r="E97" s="16"/>
      <c r="F97" s="109"/>
      <c r="G97" s="109"/>
      <c r="H97" s="109"/>
      <c r="I97" s="109"/>
      <c r="J97" s="109"/>
      <c r="K97" s="109"/>
      <c r="L97" s="109"/>
      <c r="M97" s="109"/>
      <c r="N97" s="128"/>
      <c r="O97" s="128"/>
      <c r="P97" s="128"/>
      <c r="Q97" s="155"/>
      <c r="R97" s="128"/>
      <c r="S97" s="128"/>
      <c r="T97" s="128"/>
      <c r="U97" s="109"/>
      <c r="V97" s="109"/>
      <c r="W97" s="109"/>
      <c r="X97" s="109"/>
      <c r="Y97" s="109"/>
      <c r="Z97" s="109"/>
      <c r="AA97" s="16"/>
      <c r="AB97" s="16"/>
      <c r="AC97" s="16"/>
      <c r="AD97" s="16"/>
      <c r="AE97" s="16"/>
      <c r="AF97" s="16"/>
      <c r="AG97" s="16"/>
      <c r="AH97" s="16"/>
      <c r="AI97" s="16"/>
      <c r="AJ97" s="16"/>
    </row>
    <row r="98" spans="1:36" x14ac:dyDescent="0.2">
      <c r="A98" s="16"/>
      <c r="B98" s="16"/>
      <c r="C98" s="16"/>
      <c r="D98" s="16"/>
      <c r="E98" s="16"/>
      <c r="F98" s="109"/>
      <c r="G98" s="109"/>
      <c r="H98" s="109"/>
      <c r="I98" s="109"/>
      <c r="J98" s="109"/>
      <c r="K98" s="109"/>
      <c r="L98" s="109"/>
      <c r="M98" s="109"/>
      <c r="N98" s="128"/>
      <c r="O98" s="128"/>
      <c r="P98" s="128"/>
      <c r="Q98" s="155"/>
      <c r="R98" s="128"/>
      <c r="S98" s="128"/>
      <c r="T98" s="128"/>
      <c r="U98" s="109"/>
      <c r="V98" s="109"/>
      <c r="W98" s="109"/>
      <c r="X98" s="109"/>
      <c r="Y98" s="109"/>
      <c r="Z98" s="109"/>
      <c r="AA98" s="16"/>
      <c r="AB98" s="16"/>
      <c r="AC98" s="16"/>
      <c r="AD98" s="16"/>
      <c r="AE98" s="16"/>
      <c r="AF98" s="16"/>
      <c r="AG98" s="16"/>
      <c r="AH98" s="16"/>
      <c r="AI98" s="16"/>
      <c r="AJ98" s="16"/>
    </row>
    <row r="99" spans="1:36" x14ac:dyDescent="0.2">
      <c r="A99" s="16"/>
      <c r="B99" s="16"/>
      <c r="C99" s="16"/>
      <c r="D99" s="16"/>
      <c r="E99" s="16"/>
      <c r="F99" s="109"/>
      <c r="G99" s="109"/>
      <c r="H99" s="109"/>
      <c r="I99" s="109"/>
      <c r="J99" s="109"/>
      <c r="K99" s="109"/>
      <c r="L99" s="109"/>
      <c r="M99" s="109"/>
      <c r="N99" s="128"/>
      <c r="O99" s="128"/>
      <c r="P99" s="128"/>
      <c r="Q99" s="155"/>
      <c r="R99" s="128"/>
      <c r="S99" s="128"/>
      <c r="T99" s="128"/>
      <c r="U99" s="109"/>
      <c r="V99" s="109"/>
      <c r="W99" s="109"/>
      <c r="X99" s="109"/>
      <c r="Y99" s="109"/>
      <c r="Z99" s="109"/>
      <c r="AA99" s="16"/>
      <c r="AB99" s="16"/>
      <c r="AC99" s="16"/>
      <c r="AD99" s="16"/>
      <c r="AE99" s="16"/>
      <c r="AF99" s="16"/>
      <c r="AG99" s="16"/>
      <c r="AH99" s="16"/>
      <c r="AI99" s="16"/>
      <c r="AJ99" s="16"/>
    </row>
    <row r="100" spans="1:36" x14ac:dyDescent="0.2">
      <c r="A100" s="16"/>
      <c r="B100" s="16"/>
      <c r="C100" s="16"/>
      <c r="D100" s="16"/>
      <c r="E100" s="16"/>
      <c r="F100" s="109"/>
      <c r="G100" s="109"/>
      <c r="H100" s="109"/>
      <c r="I100" s="109"/>
      <c r="J100" s="109"/>
      <c r="K100" s="109"/>
      <c r="L100" s="109"/>
      <c r="M100" s="109"/>
      <c r="N100" s="128"/>
      <c r="O100" s="128"/>
      <c r="P100" s="128"/>
      <c r="Q100" s="155"/>
      <c r="R100" s="128"/>
      <c r="S100" s="128"/>
      <c r="T100" s="128"/>
      <c r="U100" s="109"/>
      <c r="V100" s="109"/>
      <c r="W100" s="109"/>
      <c r="X100" s="109"/>
      <c r="Y100" s="109"/>
      <c r="Z100" s="109"/>
      <c r="AA100" s="16"/>
      <c r="AB100" s="16"/>
      <c r="AC100" s="16"/>
      <c r="AD100" s="16"/>
      <c r="AE100" s="16"/>
      <c r="AF100" s="16"/>
      <c r="AG100" s="16"/>
      <c r="AH100" s="16"/>
      <c r="AI100" s="16"/>
      <c r="AJ100" s="16"/>
    </row>
    <row r="101" spans="1:36" x14ac:dyDescent="0.2">
      <c r="A101" s="16"/>
      <c r="B101" s="16"/>
      <c r="C101" s="16"/>
      <c r="D101" s="16"/>
      <c r="E101" s="16"/>
      <c r="F101" s="109"/>
      <c r="G101" s="109"/>
      <c r="H101" s="109"/>
      <c r="I101" s="109"/>
      <c r="J101" s="109"/>
      <c r="K101" s="109"/>
      <c r="L101" s="109"/>
      <c r="M101" s="109"/>
      <c r="N101" s="128"/>
      <c r="O101" s="128"/>
      <c r="P101" s="128"/>
      <c r="Q101" s="155"/>
      <c r="R101" s="128"/>
      <c r="S101" s="128"/>
      <c r="T101" s="128"/>
      <c r="U101" s="109"/>
      <c r="V101" s="109"/>
      <c r="W101" s="109"/>
      <c r="X101" s="109"/>
      <c r="Y101" s="109"/>
      <c r="Z101" s="109"/>
      <c r="AA101" s="16"/>
      <c r="AB101" s="16"/>
      <c r="AC101" s="16"/>
      <c r="AD101" s="16"/>
      <c r="AE101" s="16"/>
      <c r="AF101" s="16"/>
      <c r="AG101" s="16"/>
      <c r="AH101" s="16"/>
      <c r="AI101" s="16"/>
      <c r="AJ101" s="16"/>
    </row>
    <row r="102" spans="1:36" x14ac:dyDescent="0.2">
      <c r="A102" s="16"/>
      <c r="B102" s="16"/>
      <c r="C102" s="16"/>
      <c r="D102" s="16"/>
      <c r="E102" s="16"/>
      <c r="F102" s="109"/>
      <c r="G102" s="109"/>
      <c r="H102" s="109"/>
      <c r="I102" s="109"/>
      <c r="J102" s="109"/>
      <c r="K102" s="109"/>
      <c r="L102" s="109"/>
      <c r="M102" s="109"/>
      <c r="N102" s="128"/>
      <c r="O102" s="128"/>
      <c r="P102" s="128"/>
      <c r="Q102" s="155"/>
      <c r="R102" s="128"/>
      <c r="S102" s="128"/>
      <c r="T102" s="128"/>
      <c r="U102" s="109"/>
      <c r="V102" s="109"/>
      <c r="W102" s="109"/>
      <c r="X102" s="109"/>
      <c r="Y102" s="109"/>
      <c r="Z102" s="109"/>
      <c r="AA102" s="16"/>
      <c r="AB102" s="16"/>
      <c r="AC102" s="16"/>
      <c r="AD102" s="16"/>
      <c r="AE102" s="16"/>
      <c r="AF102" s="16"/>
      <c r="AG102" s="16"/>
      <c r="AH102" s="16"/>
      <c r="AI102" s="16"/>
      <c r="AJ102" s="16"/>
    </row>
    <row r="103" spans="1:36" x14ac:dyDescent="0.2">
      <c r="A103" s="16"/>
      <c r="B103" s="16"/>
      <c r="C103" s="16"/>
      <c r="D103" s="16"/>
      <c r="E103" s="16"/>
      <c r="F103" s="109"/>
      <c r="G103" s="109"/>
      <c r="H103" s="109"/>
      <c r="I103" s="109"/>
      <c r="J103" s="109"/>
      <c r="K103" s="109"/>
      <c r="L103" s="109"/>
      <c r="M103" s="109"/>
      <c r="N103" s="128"/>
      <c r="O103" s="128"/>
      <c r="P103" s="128"/>
      <c r="Q103" s="155"/>
      <c r="R103" s="128"/>
      <c r="S103" s="128"/>
      <c r="T103" s="128"/>
      <c r="U103" s="109"/>
      <c r="V103" s="109"/>
      <c r="W103" s="109"/>
      <c r="X103" s="109"/>
      <c r="Y103" s="109"/>
      <c r="Z103" s="109"/>
      <c r="AA103" s="16"/>
      <c r="AB103" s="16"/>
      <c r="AC103" s="16"/>
      <c r="AD103" s="16"/>
      <c r="AE103" s="16"/>
      <c r="AF103" s="16"/>
      <c r="AG103" s="16"/>
      <c r="AH103" s="16"/>
      <c r="AI103" s="16"/>
      <c r="AJ103" s="16"/>
    </row>
    <row r="104" spans="1:36" x14ac:dyDescent="0.2">
      <c r="A104" s="16"/>
      <c r="B104" s="16"/>
      <c r="C104" s="16"/>
      <c r="D104" s="16"/>
      <c r="E104" s="16"/>
      <c r="F104" s="109"/>
      <c r="G104" s="109"/>
      <c r="H104" s="109"/>
      <c r="I104" s="109"/>
      <c r="J104" s="109"/>
      <c r="K104" s="109"/>
      <c r="L104" s="109"/>
      <c r="M104" s="109"/>
      <c r="N104" s="128"/>
      <c r="O104" s="128"/>
      <c r="P104" s="128"/>
      <c r="Q104" s="155"/>
      <c r="R104" s="128"/>
      <c r="S104" s="128"/>
      <c r="T104" s="128"/>
      <c r="U104" s="109"/>
      <c r="V104" s="109"/>
      <c r="W104" s="109"/>
      <c r="X104" s="109"/>
      <c r="Y104" s="109"/>
      <c r="Z104" s="109"/>
      <c r="AA104" s="16"/>
      <c r="AB104" s="16"/>
      <c r="AC104" s="16"/>
      <c r="AD104" s="16"/>
      <c r="AE104" s="16"/>
      <c r="AF104" s="16"/>
      <c r="AG104" s="16"/>
      <c r="AH104" s="16"/>
      <c r="AI104" s="16"/>
      <c r="AJ104" s="16"/>
    </row>
    <row r="105" spans="1:36" x14ac:dyDescent="0.2">
      <c r="A105" s="16"/>
      <c r="B105" s="16"/>
      <c r="C105" s="16"/>
      <c r="D105" s="16"/>
      <c r="E105" s="16"/>
      <c r="F105" s="109"/>
      <c r="G105" s="109"/>
      <c r="H105" s="109"/>
      <c r="I105" s="109"/>
      <c r="J105" s="109"/>
      <c r="K105" s="109"/>
      <c r="L105" s="109"/>
      <c r="M105" s="109"/>
      <c r="N105" s="128"/>
      <c r="O105" s="128"/>
      <c r="P105" s="128"/>
      <c r="Q105" s="155"/>
      <c r="R105" s="128"/>
      <c r="S105" s="128"/>
      <c r="T105" s="128"/>
      <c r="U105" s="109"/>
      <c r="V105" s="109"/>
      <c r="W105" s="109"/>
      <c r="X105" s="109"/>
      <c r="Y105" s="109"/>
      <c r="Z105" s="109"/>
      <c r="AA105" s="16"/>
      <c r="AB105" s="16"/>
      <c r="AC105" s="16"/>
      <c r="AD105" s="16"/>
      <c r="AE105" s="16"/>
      <c r="AF105" s="16"/>
      <c r="AG105" s="16"/>
      <c r="AH105" s="16"/>
      <c r="AI105" s="16"/>
      <c r="AJ105" s="16"/>
    </row>
    <row r="106" spans="1:36" x14ac:dyDescent="0.2">
      <c r="A106" s="16"/>
      <c r="B106" s="16"/>
      <c r="C106" s="16"/>
      <c r="D106" s="16"/>
      <c r="E106" s="16"/>
      <c r="F106" s="109"/>
      <c r="G106" s="109"/>
      <c r="H106" s="109"/>
      <c r="I106" s="109"/>
      <c r="J106" s="109"/>
      <c r="K106" s="109"/>
      <c r="L106" s="109"/>
      <c r="M106" s="109"/>
      <c r="N106" s="128"/>
      <c r="O106" s="128"/>
      <c r="P106" s="128"/>
      <c r="Q106" s="155"/>
      <c r="R106" s="128"/>
      <c r="S106" s="128"/>
      <c r="T106" s="128"/>
      <c r="U106" s="109"/>
      <c r="V106" s="109"/>
      <c r="W106" s="109"/>
      <c r="X106" s="109"/>
      <c r="Y106" s="109"/>
      <c r="Z106" s="109"/>
      <c r="AA106" s="16"/>
      <c r="AB106" s="16"/>
      <c r="AC106" s="16"/>
      <c r="AD106" s="16"/>
      <c r="AE106" s="16"/>
      <c r="AF106" s="16"/>
      <c r="AG106" s="16"/>
      <c r="AH106" s="16"/>
      <c r="AI106" s="16"/>
      <c r="AJ106" s="16"/>
    </row>
    <row r="107" spans="1:36" x14ac:dyDescent="0.2">
      <c r="A107" s="16"/>
      <c r="B107" s="16"/>
      <c r="C107" s="16"/>
      <c r="D107" s="16"/>
      <c r="E107" s="16"/>
      <c r="F107" s="109"/>
      <c r="G107" s="109"/>
      <c r="H107" s="109"/>
      <c r="I107" s="109"/>
      <c r="J107" s="109"/>
      <c r="K107" s="109"/>
      <c r="L107" s="109"/>
      <c r="M107" s="109"/>
      <c r="N107" s="128"/>
      <c r="O107" s="128"/>
      <c r="P107" s="128"/>
      <c r="Q107" s="155"/>
      <c r="R107" s="128"/>
      <c r="S107" s="128"/>
      <c r="T107" s="128"/>
      <c r="U107" s="109"/>
      <c r="V107" s="109"/>
      <c r="W107" s="109"/>
      <c r="X107" s="109"/>
      <c r="Y107" s="109"/>
      <c r="Z107" s="109"/>
      <c r="AA107" s="16"/>
      <c r="AB107" s="16"/>
      <c r="AC107" s="16"/>
      <c r="AD107" s="16"/>
      <c r="AE107" s="16"/>
      <c r="AF107" s="16"/>
      <c r="AG107" s="16"/>
      <c r="AH107" s="16"/>
      <c r="AI107" s="16"/>
      <c r="AJ107" s="16"/>
    </row>
    <row r="108" spans="1:36" x14ac:dyDescent="0.2">
      <c r="A108" s="16"/>
      <c r="B108" s="16"/>
      <c r="C108" s="16"/>
      <c r="D108" s="16"/>
      <c r="E108" s="16"/>
      <c r="F108" s="109"/>
      <c r="G108" s="109"/>
      <c r="H108" s="109"/>
      <c r="I108" s="109"/>
      <c r="J108" s="109"/>
      <c r="K108" s="109"/>
      <c r="L108" s="109"/>
      <c r="M108" s="109"/>
      <c r="N108" s="128"/>
      <c r="O108" s="128"/>
      <c r="P108" s="128"/>
      <c r="Q108" s="155"/>
      <c r="R108" s="128"/>
      <c r="S108" s="128"/>
      <c r="T108" s="128"/>
      <c r="U108" s="109"/>
      <c r="V108" s="109"/>
      <c r="W108" s="109"/>
      <c r="X108" s="109"/>
      <c r="Y108" s="109"/>
      <c r="Z108" s="109"/>
      <c r="AA108" s="16"/>
      <c r="AB108" s="16"/>
      <c r="AC108" s="16"/>
      <c r="AD108" s="16"/>
      <c r="AE108" s="16"/>
      <c r="AF108" s="16"/>
      <c r="AG108" s="16"/>
      <c r="AH108" s="16"/>
      <c r="AI108" s="16"/>
      <c r="AJ108" s="16"/>
    </row>
    <row r="109" spans="1:36" x14ac:dyDescent="0.2">
      <c r="A109" s="16"/>
      <c r="B109" s="16"/>
      <c r="C109" s="16"/>
      <c r="D109" s="16"/>
      <c r="E109" s="16"/>
      <c r="F109" s="109"/>
      <c r="G109" s="109"/>
      <c r="H109" s="109"/>
      <c r="I109" s="109"/>
      <c r="J109" s="109"/>
      <c r="K109" s="109"/>
      <c r="L109" s="109"/>
      <c r="M109" s="109"/>
      <c r="N109" s="128"/>
      <c r="O109" s="128"/>
      <c r="P109" s="128"/>
      <c r="Q109" s="155"/>
      <c r="R109" s="128"/>
      <c r="S109" s="128"/>
      <c r="T109" s="128"/>
      <c r="U109" s="109"/>
      <c r="V109" s="109"/>
      <c r="W109" s="109"/>
      <c r="X109" s="109"/>
      <c r="Y109" s="109"/>
      <c r="Z109" s="109"/>
      <c r="AA109" s="16"/>
      <c r="AB109" s="16"/>
      <c r="AC109" s="16"/>
      <c r="AD109" s="16"/>
      <c r="AE109" s="16"/>
      <c r="AF109" s="16"/>
      <c r="AG109" s="16"/>
      <c r="AH109" s="16"/>
      <c r="AI109" s="16"/>
      <c r="AJ109" s="16"/>
    </row>
    <row r="110" spans="1:36" x14ac:dyDescent="0.2">
      <c r="A110" s="16"/>
      <c r="B110" s="16"/>
      <c r="C110" s="16"/>
      <c r="D110" s="16"/>
      <c r="E110" s="16"/>
      <c r="F110" s="109"/>
      <c r="G110" s="109"/>
      <c r="H110" s="109"/>
      <c r="I110" s="109"/>
      <c r="J110" s="109"/>
      <c r="K110" s="109"/>
      <c r="L110" s="109"/>
      <c r="M110" s="109"/>
      <c r="N110" s="128"/>
      <c r="O110" s="128"/>
      <c r="P110" s="128"/>
      <c r="Q110" s="155"/>
      <c r="R110" s="128"/>
      <c r="S110" s="128"/>
      <c r="T110" s="128"/>
      <c r="U110" s="109"/>
      <c r="V110" s="109"/>
      <c r="W110" s="109"/>
      <c r="X110" s="109"/>
      <c r="Y110" s="109"/>
      <c r="Z110" s="109"/>
      <c r="AA110" s="16"/>
      <c r="AB110" s="16"/>
      <c r="AC110" s="16"/>
      <c r="AD110" s="16"/>
      <c r="AE110" s="16"/>
      <c r="AF110" s="16"/>
      <c r="AG110" s="16"/>
      <c r="AH110" s="16"/>
      <c r="AI110" s="16"/>
      <c r="AJ110" s="16"/>
    </row>
    <row r="111" spans="1:36" x14ac:dyDescent="0.2">
      <c r="A111" s="16"/>
      <c r="B111" s="16"/>
      <c r="C111" s="16"/>
      <c r="D111" s="16"/>
      <c r="E111" s="16"/>
      <c r="F111" s="109"/>
      <c r="G111" s="109"/>
      <c r="H111" s="109"/>
      <c r="I111" s="109"/>
      <c r="J111" s="109"/>
      <c r="K111" s="109"/>
      <c r="L111" s="109"/>
      <c r="M111" s="109"/>
      <c r="N111" s="128"/>
      <c r="O111" s="128"/>
      <c r="P111" s="128"/>
      <c r="Q111" s="155"/>
      <c r="R111" s="128"/>
      <c r="S111" s="128"/>
      <c r="T111" s="128"/>
      <c r="U111" s="109"/>
      <c r="V111" s="109"/>
      <c r="W111" s="109"/>
      <c r="X111" s="109"/>
      <c r="Y111" s="109"/>
      <c r="Z111" s="109"/>
      <c r="AA111" s="16"/>
      <c r="AB111" s="16"/>
      <c r="AC111" s="16"/>
      <c r="AD111" s="16"/>
      <c r="AE111" s="16"/>
      <c r="AF111" s="16"/>
      <c r="AG111" s="16"/>
      <c r="AH111" s="16"/>
      <c r="AI111" s="16"/>
      <c r="AJ111" s="16"/>
    </row>
    <row r="112" spans="1:36" x14ac:dyDescent="0.2">
      <c r="A112" s="16"/>
      <c r="B112" s="16"/>
      <c r="C112" s="16"/>
      <c r="D112" s="16"/>
      <c r="E112" s="16"/>
      <c r="F112" s="109"/>
      <c r="G112" s="109"/>
      <c r="H112" s="109"/>
      <c r="I112" s="109"/>
      <c r="J112" s="109"/>
      <c r="K112" s="109"/>
      <c r="L112" s="109"/>
      <c r="M112" s="109"/>
      <c r="N112" s="128"/>
      <c r="O112" s="128"/>
      <c r="P112" s="128"/>
      <c r="Q112" s="155"/>
      <c r="R112" s="128"/>
      <c r="S112" s="128"/>
      <c r="T112" s="128"/>
      <c r="U112" s="109"/>
      <c r="V112" s="109"/>
      <c r="W112" s="109"/>
      <c r="X112" s="109"/>
      <c r="Y112" s="109"/>
      <c r="Z112" s="109"/>
      <c r="AA112" s="16"/>
      <c r="AB112" s="16"/>
      <c r="AC112" s="16"/>
      <c r="AD112" s="16"/>
      <c r="AE112" s="16"/>
      <c r="AF112" s="16"/>
      <c r="AG112" s="16"/>
      <c r="AH112" s="16"/>
      <c r="AI112" s="16"/>
      <c r="AJ112" s="16"/>
    </row>
    <row r="113" spans="1:36" x14ac:dyDescent="0.2">
      <c r="A113" s="16"/>
      <c r="B113" s="16"/>
      <c r="C113" s="16"/>
      <c r="D113" s="16"/>
      <c r="E113" s="16"/>
      <c r="F113" s="109"/>
      <c r="G113" s="109"/>
      <c r="H113" s="109"/>
      <c r="I113" s="109"/>
      <c r="J113" s="109"/>
      <c r="K113" s="109"/>
      <c r="L113" s="109"/>
      <c r="M113" s="109"/>
      <c r="N113" s="128"/>
      <c r="O113" s="128"/>
      <c r="P113" s="128"/>
      <c r="Q113" s="155"/>
      <c r="R113" s="128"/>
      <c r="S113" s="128"/>
      <c r="T113" s="128"/>
      <c r="U113" s="109"/>
      <c r="V113" s="109"/>
      <c r="W113" s="109"/>
      <c r="X113" s="109"/>
      <c r="Y113" s="109"/>
      <c r="Z113" s="109"/>
      <c r="AA113" s="16"/>
      <c r="AB113" s="16"/>
      <c r="AC113" s="16"/>
      <c r="AD113" s="16"/>
      <c r="AE113" s="16"/>
      <c r="AF113" s="16"/>
      <c r="AG113" s="16"/>
      <c r="AH113" s="16"/>
      <c r="AI113" s="16"/>
      <c r="AJ113" s="16"/>
    </row>
    <row r="114" spans="1:36" x14ac:dyDescent="0.2">
      <c r="A114" s="16"/>
      <c r="B114" s="16"/>
      <c r="C114" s="16"/>
      <c r="D114" s="16"/>
      <c r="E114" s="16"/>
      <c r="F114" s="109"/>
      <c r="G114" s="109"/>
      <c r="H114" s="109"/>
      <c r="I114" s="109"/>
      <c r="J114" s="109"/>
      <c r="K114" s="109"/>
      <c r="L114" s="109"/>
      <c r="M114" s="109"/>
      <c r="N114" s="128"/>
      <c r="O114" s="128"/>
      <c r="P114" s="128"/>
      <c r="Q114" s="155"/>
      <c r="R114" s="128"/>
      <c r="S114" s="128"/>
      <c r="T114" s="128"/>
      <c r="U114" s="109"/>
      <c r="V114" s="109"/>
      <c r="W114" s="109"/>
      <c r="X114" s="109"/>
      <c r="Y114" s="109"/>
      <c r="Z114" s="109"/>
      <c r="AA114" s="16"/>
      <c r="AB114" s="16"/>
      <c r="AC114" s="16"/>
      <c r="AD114" s="16"/>
      <c r="AE114" s="16"/>
      <c r="AF114" s="16"/>
      <c r="AG114" s="16"/>
      <c r="AH114" s="16"/>
      <c r="AI114" s="16"/>
      <c r="AJ114" s="16"/>
    </row>
    <row r="115" spans="1:36" x14ac:dyDescent="0.2">
      <c r="A115" s="16"/>
      <c r="B115" s="16"/>
      <c r="C115" s="16"/>
      <c r="D115" s="16"/>
      <c r="E115" s="16"/>
      <c r="F115" s="109"/>
      <c r="G115" s="109"/>
      <c r="H115" s="109"/>
      <c r="I115" s="109"/>
      <c r="J115" s="109"/>
      <c r="K115" s="109"/>
      <c r="L115" s="109"/>
      <c r="M115" s="109"/>
      <c r="N115" s="128"/>
      <c r="O115" s="128"/>
      <c r="P115" s="128"/>
      <c r="Q115" s="155"/>
      <c r="R115" s="128"/>
      <c r="S115" s="128"/>
      <c r="T115" s="128"/>
      <c r="U115" s="109"/>
      <c r="V115" s="109"/>
      <c r="W115" s="109"/>
      <c r="X115" s="109"/>
      <c r="Y115" s="109"/>
      <c r="Z115" s="109"/>
      <c r="AA115" s="16"/>
      <c r="AB115" s="16"/>
      <c r="AC115" s="16"/>
      <c r="AD115" s="16"/>
      <c r="AE115" s="16"/>
      <c r="AF115" s="16"/>
      <c r="AG115" s="16"/>
      <c r="AH115" s="16"/>
      <c r="AI115" s="16"/>
      <c r="AJ115" s="16"/>
    </row>
    <row r="116" spans="1:36" x14ac:dyDescent="0.2">
      <c r="A116" s="16"/>
      <c r="B116" s="16"/>
      <c r="C116" s="16"/>
      <c r="D116" s="16"/>
      <c r="E116" s="16"/>
      <c r="F116" s="109"/>
      <c r="G116" s="109"/>
      <c r="H116" s="109"/>
      <c r="I116" s="109"/>
      <c r="J116" s="109"/>
      <c r="K116" s="109"/>
      <c r="L116" s="109"/>
      <c r="M116" s="109"/>
      <c r="N116" s="128"/>
      <c r="O116" s="128"/>
      <c r="P116" s="128"/>
      <c r="Q116" s="155"/>
      <c r="R116" s="128"/>
      <c r="S116" s="128"/>
      <c r="T116" s="128"/>
      <c r="U116" s="109"/>
      <c r="V116" s="109"/>
      <c r="W116" s="109"/>
      <c r="X116" s="109"/>
      <c r="Y116" s="109"/>
      <c r="Z116" s="109"/>
      <c r="AA116" s="16"/>
      <c r="AB116" s="16"/>
      <c r="AC116" s="16"/>
      <c r="AD116" s="16"/>
      <c r="AE116" s="16"/>
      <c r="AF116" s="16"/>
      <c r="AG116" s="16"/>
      <c r="AH116" s="16"/>
      <c r="AI116" s="16"/>
      <c r="AJ116" s="16"/>
    </row>
    <row r="117" spans="1:36" x14ac:dyDescent="0.2">
      <c r="A117" s="16"/>
      <c r="B117" s="16"/>
      <c r="C117" s="16"/>
      <c r="D117" s="16"/>
      <c r="E117" s="16"/>
      <c r="F117" s="109"/>
      <c r="G117" s="109"/>
      <c r="H117" s="109"/>
      <c r="I117" s="109"/>
      <c r="J117" s="109"/>
      <c r="K117" s="109"/>
      <c r="L117" s="109"/>
      <c r="M117" s="109"/>
      <c r="N117" s="128"/>
      <c r="O117" s="128"/>
      <c r="P117" s="128"/>
      <c r="Q117" s="155"/>
      <c r="R117" s="128"/>
      <c r="S117" s="128"/>
      <c r="T117" s="128"/>
      <c r="U117" s="109"/>
      <c r="V117" s="109"/>
      <c r="W117" s="109"/>
      <c r="X117" s="109"/>
      <c r="Y117" s="109"/>
      <c r="Z117" s="109"/>
      <c r="AA117" s="16"/>
      <c r="AB117" s="16"/>
      <c r="AC117" s="16"/>
      <c r="AD117" s="16"/>
      <c r="AE117" s="16"/>
      <c r="AF117" s="16"/>
      <c r="AG117" s="16"/>
      <c r="AH117" s="16"/>
      <c r="AI117" s="16"/>
      <c r="AJ117" s="16"/>
    </row>
    <row r="118" spans="1:36" x14ac:dyDescent="0.2">
      <c r="A118" s="16"/>
      <c r="B118" s="16"/>
      <c r="C118" s="16"/>
      <c r="D118" s="16"/>
      <c r="E118" s="16"/>
      <c r="F118" s="109"/>
      <c r="G118" s="109"/>
      <c r="H118" s="109"/>
      <c r="I118" s="109"/>
      <c r="J118" s="109"/>
      <c r="K118" s="109"/>
      <c r="L118" s="109"/>
      <c r="M118" s="109"/>
      <c r="N118" s="128"/>
      <c r="O118" s="128"/>
      <c r="P118" s="128"/>
      <c r="Q118" s="155"/>
      <c r="R118" s="128"/>
      <c r="S118" s="128"/>
      <c r="T118" s="128"/>
      <c r="U118" s="109"/>
      <c r="V118" s="109"/>
      <c r="W118" s="109"/>
      <c r="X118" s="109"/>
      <c r="Y118" s="109"/>
      <c r="Z118" s="109"/>
      <c r="AA118" s="16"/>
      <c r="AB118" s="16"/>
      <c r="AC118" s="16"/>
      <c r="AD118" s="16"/>
      <c r="AE118" s="16"/>
      <c r="AF118" s="16"/>
      <c r="AG118" s="16"/>
      <c r="AH118" s="16"/>
      <c r="AI118" s="16"/>
      <c r="AJ118" s="16"/>
    </row>
    <row r="119" spans="1:36" x14ac:dyDescent="0.2">
      <c r="A119" s="16"/>
      <c r="B119" s="16"/>
      <c r="C119" s="16"/>
      <c r="D119" s="16"/>
      <c r="E119" s="16"/>
      <c r="F119" s="109"/>
      <c r="G119" s="109"/>
      <c r="H119" s="109"/>
      <c r="I119" s="109"/>
      <c r="J119" s="109"/>
      <c r="K119" s="109"/>
      <c r="L119" s="109"/>
      <c r="M119" s="109"/>
      <c r="N119" s="128"/>
      <c r="O119" s="128"/>
      <c r="P119" s="128"/>
      <c r="Q119" s="155"/>
      <c r="R119" s="128"/>
      <c r="S119" s="128"/>
      <c r="T119" s="128"/>
      <c r="U119" s="109"/>
      <c r="V119" s="109"/>
      <c r="W119" s="109"/>
      <c r="X119" s="109"/>
      <c r="Y119" s="109"/>
      <c r="Z119" s="109"/>
      <c r="AA119" s="16"/>
      <c r="AB119" s="16"/>
      <c r="AC119" s="16"/>
      <c r="AD119" s="16"/>
      <c r="AE119" s="16"/>
      <c r="AF119" s="16"/>
      <c r="AG119" s="16"/>
      <c r="AH119" s="16"/>
      <c r="AI119" s="16"/>
      <c r="AJ119" s="16"/>
    </row>
    <row r="120" spans="1:36" x14ac:dyDescent="0.2">
      <c r="A120" s="16"/>
      <c r="B120" s="16"/>
      <c r="C120" s="16"/>
      <c r="D120" s="16"/>
      <c r="E120" s="16"/>
      <c r="F120" s="109"/>
      <c r="G120" s="109"/>
      <c r="H120" s="109"/>
      <c r="I120" s="109"/>
      <c r="J120" s="109"/>
      <c r="K120" s="109"/>
      <c r="L120" s="109"/>
      <c r="M120" s="109"/>
      <c r="N120" s="128"/>
      <c r="O120" s="128"/>
      <c r="P120" s="128"/>
      <c r="Q120" s="155"/>
      <c r="R120" s="128"/>
      <c r="S120" s="128"/>
      <c r="T120" s="128"/>
      <c r="U120" s="109"/>
      <c r="V120" s="109"/>
      <c r="W120" s="109"/>
      <c r="X120" s="109"/>
      <c r="Y120" s="109"/>
      <c r="Z120" s="109"/>
      <c r="AA120" s="16"/>
      <c r="AB120" s="16"/>
      <c r="AC120" s="16"/>
      <c r="AD120" s="16"/>
      <c r="AE120" s="16"/>
      <c r="AF120" s="16"/>
      <c r="AG120" s="16"/>
      <c r="AH120" s="16"/>
      <c r="AI120" s="16"/>
      <c r="AJ120" s="16"/>
    </row>
    <row r="121" spans="1:36" x14ac:dyDescent="0.2">
      <c r="A121" s="16"/>
      <c r="B121" s="16"/>
      <c r="C121" s="16"/>
      <c r="D121" s="16"/>
      <c r="E121" s="16"/>
      <c r="F121" s="109"/>
      <c r="G121" s="109"/>
      <c r="H121" s="109"/>
      <c r="I121" s="109"/>
      <c r="J121" s="109"/>
      <c r="K121" s="109"/>
      <c r="L121" s="109"/>
      <c r="M121" s="109"/>
      <c r="N121" s="128"/>
      <c r="O121" s="128"/>
      <c r="P121" s="128"/>
      <c r="Q121" s="155"/>
      <c r="R121" s="128"/>
      <c r="S121" s="128"/>
      <c r="T121" s="128"/>
      <c r="U121" s="109"/>
      <c r="V121" s="109"/>
      <c r="W121" s="109"/>
      <c r="X121" s="109"/>
      <c r="Y121" s="109"/>
      <c r="Z121" s="109"/>
      <c r="AA121" s="16"/>
      <c r="AB121" s="16"/>
      <c r="AC121" s="16"/>
      <c r="AD121" s="16"/>
      <c r="AE121" s="16"/>
      <c r="AF121" s="16"/>
      <c r="AG121" s="16"/>
      <c r="AH121" s="16"/>
      <c r="AI121" s="16"/>
      <c r="AJ121" s="16"/>
    </row>
    <row r="122" spans="1:36" x14ac:dyDescent="0.2">
      <c r="A122" s="16"/>
      <c r="B122" s="16"/>
      <c r="C122" s="16"/>
      <c r="D122" s="16"/>
      <c r="E122" s="16"/>
      <c r="F122" s="109"/>
      <c r="G122" s="109"/>
      <c r="H122" s="109"/>
      <c r="I122" s="109"/>
      <c r="J122" s="109"/>
      <c r="K122" s="109"/>
      <c r="L122" s="109"/>
      <c r="M122" s="109"/>
      <c r="N122" s="128"/>
      <c r="O122" s="128"/>
      <c r="P122" s="128"/>
      <c r="Q122" s="155"/>
      <c r="R122" s="128"/>
      <c r="S122" s="128"/>
      <c r="T122" s="128"/>
      <c r="U122" s="109"/>
      <c r="V122" s="109"/>
      <c r="W122" s="109"/>
      <c r="X122" s="109"/>
      <c r="Y122" s="109"/>
      <c r="Z122" s="109"/>
      <c r="AA122" s="16"/>
      <c r="AB122" s="16"/>
      <c r="AC122" s="16"/>
      <c r="AD122" s="16"/>
      <c r="AE122" s="16"/>
      <c r="AF122" s="16"/>
      <c r="AG122" s="16"/>
      <c r="AH122" s="16"/>
      <c r="AI122" s="16"/>
      <c r="AJ122" s="16"/>
    </row>
    <row r="123" spans="1:36" x14ac:dyDescent="0.2">
      <c r="A123" s="16"/>
      <c r="B123" s="16"/>
      <c r="C123" s="16"/>
      <c r="D123" s="16"/>
      <c r="E123" s="16"/>
      <c r="F123" s="109"/>
      <c r="G123" s="109"/>
      <c r="H123" s="109"/>
      <c r="I123" s="109"/>
      <c r="J123" s="109"/>
      <c r="K123" s="109"/>
      <c r="L123" s="109"/>
      <c r="M123" s="109"/>
      <c r="N123" s="128"/>
      <c r="O123" s="128"/>
      <c r="P123" s="128"/>
      <c r="Q123" s="155"/>
      <c r="R123" s="128"/>
      <c r="S123" s="128"/>
      <c r="T123" s="128"/>
      <c r="U123" s="109"/>
      <c r="V123" s="109"/>
      <c r="W123" s="109"/>
      <c r="X123" s="109"/>
      <c r="Y123" s="109"/>
      <c r="Z123" s="109"/>
      <c r="AA123" s="16"/>
      <c r="AB123" s="16"/>
      <c r="AC123" s="16"/>
      <c r="AD123" s="16"/>
      <c r="AE123" s="16"/>
      <c r="AF123" s="16"/>
      <c r="AG123" s="16"/>
      <c r="AH123" s="16"/>
      <c r="AI123" s="16"/>
      <c r="AJ123" s="16"/>
    </row>
    <row r="124" spans="1:36" x14ac:dyDescent="0.2">
      <c r="A124" s="16"/>
      <c r="B124" s="16"/>
      <c r="C124" s="16"/>
      <c r="D124" s="16"/>
      <c r="E124" s="16"/>
      <c r="F124" s="109"/>
      <c r="G124" s="109"/>
      <c r="H124" s="109"/>
      <c r="I124" s="109"/>
      <c r="J124" s="109"/>
      <c r="K124" s="109"/>
      <c r="L124" s="109"/>
      <c r="M124" s="109"/>
      <c r="N124" s="128"/>
      <c r="O124" s="128"/>
      <c r="P124" s="128"/>
      <c r="Q124" s="155"/>
      <c r="R124" s="128"/>
      <c r="S124" s="128"/>
      <c r="T124" s="128"/>
      <c r="U124" s="109"/>
      <c r="V124" s="109"/>
      <c r="W124" s="109"/>
      <c r="X124" s="109"/>
      <c r="Y124" s="109"/>
      <c r="Z124" s="109"/>
      <c r="AA124" s="16"/>
      <c r="AB124" s="16"/>
      <c r="AC124" s="16"/>
      <c r="AD124" s="16"/>
      <c r="AE124" s="16"/>
      <c r="AF124" s="16"/>
      <c r="AG124" s="16"/>
      <c r="AH124" s="16"/>
      <c r="AI124" s="16"/>
      <c r="AJ124" s="16"/>
    </row>
    <row r="125" spans="1:36" x14ac:dyDescent="0.2">
      <c r="A125" s="16"/>
      <c r="B125" s="16"/>
      <c r="C125" s="16"/>
      <c r="D125" s="16"/>
      <c r="E125" s="16"/>
      <c r="F125" s="109"/>
      <c r="G125" s="109"/>
      <c r="H125" s="109"/>
      <c r="I125" s="109"/>
      <c r="J125" s="109"/>
      <c r="K125" s="109"/>
      <c r="L125" s="109"/>
      <c r="M125" s="109"/>
      <c r="N125" s="128"/>
      <c r="O125" s="128"/>
      <c r="P125" s="128"/>
      <c r="Q125" s="155"/>
      <c r="R125" s="128"/>
      <c r="S125" s="128"/>
      <c r="T125" s="128"/>
      <c r="U125" s="109"/>
      <c r="V125" s="109"/>
      <c r="W125" s="109"/>
      <c r="X125" s="109"/>
      <c r="Y125" s="109"/>
      <c r="Z125" s="109"/>
      <c r="AA125" s="16"/>
      <c r="AB125" s="16"/>
      <c r="AC125" s="16"/>
      <c r="AD125" s="16"/>
      <c r="AE125" s="16"/>
      <c r="AF125" s="16"/>
      <c r="AG125" s="16"/>
      <c r="AH125" s="16"/>
      <c r="AI125" s="16"/>
      <c r="AJ125" s="16"/>
    </row>
    <row r="126" spans="1:36" x14ac:dyDescent="0.2">
      <c r="A126" s="16"/>
      <c r="B126" s="16"/>
      <c r="C126" s="16"/>
      <c r="D126" s="16"/>
      <c r="E126" s="16"/>
      <c r="F126" s="109"/>
      <c r="G126" s="109"/>
      <c r="H126" s="109"/>
      <c r="I126" s="109"/>
      <c r="J126" s="109"/>
      <c r="K126" s="109"/>
      <c r="L126" s="109"/>
      <c r="M126" s="109"/>
      <c r="N126" s="128"/>
      <c r="O126" s="128"/>
      <c r="P126" s="128"/>
      <c r="Q126" s="155"/>
      <c r="R126" s="128"/>
      <c r="S126" s="128"/>
      <c r="T126" s="128"/>
      <c r="U126" s="109"/>
      <c r="V126" s="109"/>
      <c r="W126" s="109"/>
      <c r="X126" s="109"/>
      <c r="Y126" s="109"/>
      <c r="Z126" s="109"/>
      <c r="AA126" s="16"/>
      <c r="AB126" s="16"/>
      <c r="AC126" s="16"/>
      <c r="AD126" s="16"/>
      <c r="AE126" s="16"/>
      <c r="AF126" s="16"/>
      <c r="AG126" s="16"/>
      <c r="AH126" s="16"/>
      <c r="AI126" s="16"/>
      <c r="AJ126" s="16"/>
    </row>
    <row r="127" spans="1:36" x14ac:dyDescent="0.2">
      <c r="A127" s="16"/>
      <c r="B127" s="16"/>
      <c r="C127" s="16"/>
      <c r="D127" s="16"/>
      <c r="E127" s="16"/>
      <c r="F127" s="109"/>
      <c r="G127" s="109"/>
      <c r="H127" s="109"/>
      <c r="I127" s="109"/>
      <c r="J127" s="109"/>
      <c r="K127" s="109"/>
      <c r="L127" s="109"/>
      <c r="M127" s="109"/>
      <c r="N127" s="128"/>
      <c r="O127" s="128"/>
      <c r="P127" s="128"/>
      <c r="Q127" s="155"/>
      <c r="R127" s="128"/>
      <c r="S127" s="128"/>
      <c r="T127" s="128"/>
      <c r="U127" s="109"/>
      <c r="V127" s="109"/>
      <c r="W127" s="109"/>
      <c r="X127" s="109"/>
      <c r="Y127" s="109"/>
      <c r="Z127" s="109"/>
      <c r="AA127" s="16"/>
      <c r="AB127" s="16"/>
      <c r="AC127" s="16"/>
      <c r="AD127" s="16"/>
      <c r="AE127" s="16"/>
      <c r="AF127" s="16"/>
      <c r="AG127" s="16"/>
      <c r="AH127" s="16"/>
      <c r="AI127" s="16"/>
      <c r="AJ127" s="16"/>
    </row>
    <row r="128" spans="1:36" x14ac:dyDescent="0.2">
      <c r="A128" s="16"/>
      <c r="B128" s="16"/>
      <c r="C128" s="16"/>
      <c r="D128" s="16"/>
      <c r="E128" s="16"/>
      <c r="F128" s="109"/>
      <c r="G128" s="109"/>
      <c r="H128" s="109"/>
      <c r="I128" s="109"/>
      <c r="J128" s="109"/>
      <c r="K128" s="109"/>
      <c r="L128" s="109"/>
      <c r="M128" s="109"/>
      <c r="N128" s="128"/>
      <c r="O128" s="128"/>
      <c r="P128" s="128"/>
      <c r="Q128" s="155"/>
      <c r="R128" s="128"/>
      <c r="S128" s="128"/>
      <c r="T128" s="128"/>
      <c r="U128" s="109"/>
      <c r="V128" s="109"/>
      <c r="W128" s="109"/>
      <c r="X128" s="109"/>
      <c r="Y128" s="109"/>
      <c r="Z128" s="109"/>
      <c r="AA128" s="16"/>
      <c r="AB128" s="16"/>
      <c r="AC128" s="16"/>
      <c r="AD128" s="16"/>
      <c r="AE128" s="16"/>
      <c r="AF128" s="16"/>
      <c r="AG128" s="16"/>
      <c r="AH128" s="16"/>
      <c r="AI128" s="16"/>
      <c r="AJ128" s="16"/>
    </row>
    <row r="129" spans="1:36" x14ac:dyDescent="0.2">
      <c r="A129" s="16"/>
      <c r="B129" s="16"/>
      <c r="C129" s="16"/>
      <c r="D129" s="16"/>
      <c r="E129" s="16"/>
      <c r="F129" s="109"/>
      <c r="G129" s="109"/>
      <c r="H129" s="109"/>
      <c r="I129" s="109"/>
      <c r="J129" s="109"/>
      <c r="K129" s="109"/>
      <c r="L129" s="109"/>
      <c r="M129" s="109"/>
      <c r="N129" s="128"/>
      <c r="O129" s="128"/>
      <c r="P129" s="128"/>
      <c r="Q129" s="155"/>
      <c r="R129" s="128"/>
      <c r="S129" s="128"/>
      <c r="T129" s="128"/>
      <c r="U129" s="109"/>
      <c r="V129" s="109"/>
      <c r="W129" s="109"/>
      <c r="X129" s="109"/>
      <c r="Y129" s="109"/>
      <c r="Z129" s="109"/>
      <c r="AA129" s="16"/>
      <c r="AB129" s="16"/>
      <c r="AC129" s="16"/>
      <c r="AD129" s="16"/>
      <c r="AE129" s="16"/>
      <c r="AF129" s="16"/>
      <c r="AG129" s="16"/>
      <c r="AH129" s="16"/>
      <c r="AI129" s="16"/>
      <c r="AJ129" s="16"/>
    </row>
    <row r="130" spans="1:36" x14ac:dyDescent="0.2">
      <c r="A130" s="16"/>
      <c r="B130" s="16"/>
      <c r="C130" s="16"/>
      <c r="D130" s="16"/>
      <c r="E130" s="16"/>
      <c r="F130" s="109"/>
      <c r="G130" s="109"/>
      <c r="H130" s="109"/>
      <c r="I130" s="109"/>
      <c r="J130" s="109"/>
      <c r="K130" s="109"/>
      <c r="L130" s="109"/>
      <c r="M130" s="109"/>
      <c r="N130" s="128"/>
      <c r="O130" s="128"/>
      <c r="P130" s="128"/>
      <c r="Q130" s="155"/>
      <c r="R130" s="128"/>
      <c r="S130" s="128"/>
      <c r="T130" s="128"/>
      <c r="U130" s="109"/>
      <c r="V130" s="109"/>
      <c r="W130" s="109"/>
      <c r="X130" s="109"/>
      <c r="Y130" s="109"/>
      <c r="Z130" s="109"/>
      <c r="AA130" s="16"/>
      <c r="AB130" s="16"/>
      <c r="AC130" s="16"/>
      <c r="AD130" s="16"/>
      <c r="AE130" s="16"/>
      <c r="AF130" s="16"/>
      <c r="AG130" s="16"/>
      <c r="AH130" s="16"/>
      <c r="AI130" s="16"/>
      <c r="AJ130" s="16"/>
    </row>
    <row r="131" spans="1:36" x14ac:dyDescent="0.2">
      <c r="A131" s="16"/>
      <c r="B131" s="16"/>
      <c r="C131" s="16"/>
      <c r="D131" s="16"/>
      <c r="E131" s="16"/>
      <c r="F131" s="109"/>
      <c r="G131" s="109"/>
      <c r="H131" s="109"/>
      <c r="I131" s="109"/>
      <c r="J131" s="109"/>
      <c r="K131" s="109"/>
      <c r="L131" s="109"/>
      <c r="M131" s="109"/>
      <c r="N131" s="128"/>
      <c r="O131" s="128"/>
      <c r="P131" s="128"/>
      <c r="Q131" s="155"/>
      <c r="R131" s="128"/>
      <c r="S131" s="128"/>
      <c r="T131" s="128"/>
      <c r="U131" s="109"/>
      <c r="V131" s="109"/>
      <c r="W131" s="109"/>
      <c r="X131" s="109"/>
      <c r="Y131" s="109"/>
      <c r="Z131" s="109"/>
      <c r="AA131" s="16"/>
      <c r="AB131" s="16"/>
      <c r="AC131" s="16"/>
      <c r="AD131" s="16"/>
      <c r="AE131" s="16"/>
      <c r="AF131" s="16"/>
      <c r="AG131" s="16"/>
      <c r="AH131" s="16"/>
      <c r="AI131" s="16"/>
      <c r="AJ131" s="16"/>
    </row>
    <row r="132" spans="1:36" x14ac:dyDescent="0.2">
      <c r="A132" s="16"/>
      <c r="B132" s="16"/>
      <c r="C132" s="16"/>
      <c r="D132" s="16"/>
      <c r="E132" s="16"/>
      <c r="F132" s="109"/>
      <c r="G132" s="109"/>
      <c r="H132" s="109"/>
      <c r="I132" s="109"/>
      <c r="J132" s="109"/>
      <c r="K132" s="109"/>
      <c r="L132" s="109"/>
      <c r="M132" s="109"/>
      <c r="N132" s="128"/>
      <c r="O132" s="128"/>
      <c r="P132" s="128"/>
      <c r="Q132" s="155"/>
      <c r="R132" s="128"/>
      <c r="S132" s="128"/>
      <c r="T132" s="128"/>
      <c r="U132" s="109"/>
      <c r="V132" s="109"/>
      <c r="W132" s="109"/>
      <c r="X132" s="109"/>
      <c r="Y132" s="109"/>
      <c r="Z132" s="109"/>
      <c r="AA132" s="16"/>
      <c r="AB132" s="16"/>
      <c r="AC132" s="16"/>
      <c r="AD132" s="16"/>
      <c r="AE132" s="16"/>
      <c r="AF132" s="16"/>
      <c r="AG132" s="16"/>
      <c r="AH132" s="16"/>
      <c r="AI132" s="16"/>
      <c r="AJ132" s="16"/>
    </row>
    <row r="133" spans="1:36" x14ac:dyDescent="0.2">
      <c r="A133" s="16"/>
      <c r="B133" s="16"/>
      <c r="C133" s="16"/>
      <c r="D133" s="16"/>
      <c r="E133" s="16"/>
      <c r="F133" s="109"/>
      <c r="G133" s="109"/>
      <c r="H133" s="109"/>
      <c r="I133" s="109"/>
      <c r="J133" s="109"/>
      <c r="K133" s="109"/>
      <c r="L133" s="109"/>
      <c r="M133" s="109"/>
      <c r="N133" s="128"/>
      <c r="O133" s="128"/>
      <c r="P133" s="128"/>
      <c r="Q133" s="155"/>
      <c r="R133" s="128"/>
      <c r="S133" s="128"/>
      <c r="T133" s="128"/>
      <c r="U133" s="109"/>
      <c r="V133" s="109"/>
      <c r="W133" s="109"/>
      <c r="X133" s="109"/>
      <c r="Y133" s="109"/>
      <c r="Z133" s="109"/>
      <c r="AA133" s="16"/>
      <c r="AB133" s="16"/>
      <c r="AC133" s="16"/>
      <c r="AD133" s="16"/>
      <c r="AE133" s="16"/>
      <c r="AF133" s="16"/>
      <c r="AG133" s="16"/>
      <c r="AH133" s="16"/>
      <c r="AI133" s="16"/>
      <c r="AJ133" s="16"/>
    </row>
    <row r="134" spans="1:36" x14ac:dyDescent="0.2">
      <c r="A134" s="16"/>
      <c r="B134" s="16"/>
      <c r="C134" s="16"/>
      <c r="D134" s="16"/>
      <c r="E134" s="16"/>
      <c r="F134" s="109"/>
      <c r="G134" s="109"/>
      <c r="H134" s="109"/>
      <c r="I134" s="109"/>
      <c r="J134" s="109"/>
      <c r="K134" s="109"/>
      <c r="L134" s="109"/>
      <c r="M134" s="109"/>
      <c r="N134" s="128"/>
      <c r="O134" s="128"/>
      <c r="P134" s="128"/>
      <c r="Q134" s="155"/>
      <c r="R134" s="128"/>
      <c r="S134" s="128"/>
      <c r="T134" s="128"/>
      <c r="U134" s="109"/>
      <c r="V134" s="109"/>
      <c r="W134" s="109"/>
      <c r="X134" s="109"/>
      <c r="Y134" s="109"/>
      <c r="Z134" s="109"/>
      <c r="AA134" s="16"/>
      <c r="AB134" s="16"/>
      <c r="AC134" s="16"/>
      <c r="AD134" s="16"/>
      <c r="AE134" s="16"/>
      <c r="AF134" s="16"/>
      <c r="AG134" s="16"/>
      <c r="AH134" s="16"/>
      <c r="AI134" s="16"/>
      <c r="AJ134" s="16"/>
    </row>
    <row r="135" spans="1:36" x14ac:dyDescent="0.2">
      <c r="A135" s="16"/>
      <c r="B135" s="16"/>
      <c r="C135" s="16"/>
      <c r="D135" s="16"/>
      <c r="E135" s="16"/>
      <c r="F135" s="109"/>
      <c r="G135" s="109"/>
      <c r="H135" s="109"/>
      <c r="I135" s="109"/>
      <c r="J135" s="109"/>
      <c r="K135" s="109"/>
      <c r="L135" s="109"/>
      <c r="M135" s="109"/>
      <c r="N135" s="128"/>
      <c r="O135" s="128"/>
      <c r="P135" s="128"/>
      <c r="Q135" s="155"/>
      <c r="R135" s="128"/>
      <c r="S135" s="128"/>
      <c r="T135" s="128"/>
      <c r="U135" s="109"/>
      <c r="V135" s="109"/>
      <c r="W135" s="109"/>
      <c r="X135" s="109"/>
      <c r="Y135" s="109"/>
      <c r="Z135" s="109"/>
      <c r="AA135" s="16"/>
      <c r="AB135" s="16"/>
      <c r="AC135" s="16"/>
      <c r="AD135" s="16"/>
      <c r="AE135" s="16"/>
      <c r="AF135" s="16"/>
      <c r="AG135" s="16"/>
      <c r="AH135" s="16"/>
      <c r="AI135" s="16"/>
      <c r="AJ135" s="16"/>
    </row>
    <row r="136" spans="1:36" x14ac:dyDescent="0.2">
      <c r="A136" s="16"/>
      <c r="B136" s="16"/>
      <c r="C136" s="16"/>
      <c r="D136" s="16"/>
      <c r="E136" s="16"/>
      <c r="F136" s="109"/>
      <c r="G136" s="109"/>
      <c r="H136" s="109"/>
      <c r="I136" s="109"/>
      <c r="J136" s="109"/>
      <c r="K136" s="109"/>
      <c r="L136" s="109"/>
      <c r="M136" s="109"/>
      <c r="N136" s="128"/>
      <c r="O136" s="128"/>
      <c r="P136" s="128"/>
      <c r="Q136" s="155"/>
      <c r="R136" s="128"/>
      <c r="S136" s="128"/>
      <c r="T136" s="128"/>
      <c r="U136" s="109"/>
      <c r="V136" s="109"/>
      <c r="W136" s="109"/>
      <c r="X136" s="109"/>
      <c r="Y136" s="109"/>
      <c r="Z136" s="109"/>
      <c r="AA136" s="16"/>
      <c r="AB136" s="16"/>
      <c r="AC136" s="16"/>
      <c r="AD136" s="16"/>
      <c r="AE136" s="16"/>
      <c r="AF136" s="16"/>
      <c r="AG136" s="16"/>
      <c r="AH136" s="16"/>
      <c r="AI136" s="16"/>
      <c r="AJ136" s="16"/>
    </row>
    <row r="137" spans="1:36" x14ac:dyDescent="0.2">
      <c r="A137" s="16"/>
      <c r="B137" s="16"/>
      <c r="C137" s="16"/>
      <c r="D137" s="16"/>
      <c r="E137" s="16"/>
      <c r="F137" s="109"/>
      <c r="G137" s="109"/>
      <c r="H137" s="109"/>
      <c r="I137" s="109"/>
      <c r="J137" s="109"/>
      <c r="K137" s="109"/>
      <c r="L137" s="109"/>
      <c r="M137" s="109"/>
      <c r="N137" s="128"/>
      <c r="O137" s="128"/>
      <c r="P137" s="128"/>
      <c r="Q137" s="155"/>
      <c r="R137" s="128"/>
      <c r="S137" s="128"/>
      <c r="T137" s="128"/>
      <c r="U137" s="109"/>
      <c r="V137" s="109"/>
      <c r="W137" s="109"/>
      <c r="X137" s="109"/>
      <c r="Y137" s="109"/>
      <c r="Z137" s="109"/>
      <c r="AA137" s="16"/>
      <c r="AB137" s="16"/>
      <c r="AC137" s="16"/>
      <c r="AD137" s="16"/>
      <c r="AE137" s="16"/>
      <c r="AF137" s="16"/>
      <c r="AG137" s="16"/>
      <c r="AH137" s="16"/>
      <c r="AI137" s="16"/>
      <c r="AJ137" s="16"/>
    </row>
    <row r="138" spans="1:36" x14ac:dyDescent="0.2">
      <c r="A138" s="16"/>
      <c r="B138" s="16"/>
      <c r="C138" s="16"/>
      <c r="D138" s="16"/>
      <c r="E138" s="16"/>
      <c r="F138" s="109"/>
      <c r="G138" s="109"/>
      <c r="H138" s="109"/>
      <c r="I138" s="109"/>
      <c r="J138" s="109"/>
      <c r="K138" s="109"/>
      <c r="L138" s="109"/>
      <c r="M138" s="109"/>
      <c r="N138" s="128"/>
      <c r="O138" s="128"/>
      <c r="P138" s="128"/>
      <c r="Q138" s="155"/>
      <c r="R138" s="128"/>
      <c r="S138" s="128"/>
      <c r="T138" s="128"/>
      <c r="U138" s="109"/>
      <c r="V138" s="109"/>
      <c r="W138" s="109"/>
      <c r="X138" s="109"/>
      <c r="Y138" s="109"/>
      <c r="Z138" s="109"/>
      <c r="AA138" s="16"/>
      <c r="AB138" s="16"/>
      <c r="AC138" s="16"/>
      <c r="AD138" s="16"/>
      <c r="AE138" s="16"/>
      <c r="AF138" s="16"/>
      <c r="AG138" s="16"/>
      <c r="AH138" s="16"/>
      <c r="AI138" s="16"/>
      <c r="AJ138" s="16"/>
    </row>
    <row r="139" spans="1:36" x14ac:dyDescent="0.2">
      <c r="A139" s="16"/>
      <c r="B139" s="16"/>
      <c r="C139" s="16"/>
      <c r="D139" s="16"/>
      <c r="E139" s="16"/>
      <c r="F139" s="109"/>
      <c r="G139" s="109"/>
      <c r="H139" s="109"/>
      <c r="I139" s="109"/>
      <c r="J139" s="109"/>
      <c r="K139" s="109"/>
      <c r="L139" s="109"/>
      <c r="M139" s="109"/>
      <c r="N139" s="128"/>
      <c r="O139" s="128"/>
      <c r="P139" s="128"/>
      <c r="Q139" s="155"/>
      <c r="R139" s="128"/>
      <c r="S139" s="128"/>
      <c r="T139" s="128"/>
      <c r="U139" s="109"/>
      <c r="V139" s="109"/>
      <c r="W139" s="109"/>
      <c r="X139" s="109"/>
      <c r="Y139" s="109"/>
      <c r="Z139" s="109"/>
      <c r="AA139" s="16"/>
      <c r="AB139" s="16"/>
      <c r="AC139" s="16"/>
      <c r="AD139" s="16"/>
      <c r="AE139" s="16"/>
      <c r="AF139" s="16"/>
      <c r="AG139" s="16"/>
      <c r="AH139" s="16"/>
      <c r="AI139" s="16"/>
      <c r="AJ139" s="16"/>
    </row>
    <row r="140" spans="1:36" x14ac:dyDescent="0.2">
      <c r="A140" s="16"/>
      <c r="B140" s="16"/>
      <c r="C140" s="16"/>
      <c r="D140" s="16"/>
      <c r="E140" s="16"/>
      <c r="F140" s="109"/>
      <c r="G140" s="109"/>
      <c r="H140" s="109"/>
      <c r="I140" s="109"/>
      <c r="J140" s="109"/>
      <c r="K140" s="109"/>
      <c r="L140" s="109"/>
      <c r="M140" s="109"/>
      <c r="N140" s="128"/>
      <c r="O140" s="128"/>
      <c r="P140" s="128"/>
      <c r="Q140" s="155"/>
      <c r="R140" s="128"/>
      <c r="S140" s="128"/>
      <c r="T140" s="128"/>
      <c r="U140" s="109"/>
      <c r="V140" s="109"/>
      <c r="W140" s="109"/>
      <c r="X140" s="109"/>
      <c r="Y140" s="109"/>
      <c r="Z140" s="109"/>
      <c r="AA140" s="16"/>
      <c r="AB140" s="16"/>
      <c r="AC140" s="16"/>
      <c r="AD140" s="16"/>
      <c r="AE140" s="16"/>
      <c r="AF140" s="16"/>
      <c r="AG140" s="16"/>
      <c r="AH140" s="16"/>
      <c r="AI140" s="16"/>
      <c r="AJ140" s="16"/>
    </row>
    <row r="141" spans="1:36" x14ac:dyDescent="0.2">
      <c r="A141" s="16"/>
      <c r="B141" s="16"/>
      <c r="C141" s="16"/>
      <c r="D141" s="16"/>
      <c r="E141" s="16"/>
      <c r="F141" s="109"/>
      <c r="G141" s="109"/>
      <c r="H141" s="109"/>
      <c r="I141" s="109"/>
      <c r="J141" s="109"/>
      <c r="K141" s="109"/>
      <c r="L141" s="109"/>
      <c r="M141" s="109"/>
      <c r="N141" s="128"/>
      <c r="O141" s="128"/>
      <c r="P141" s="128"/>
      <c r="Q141" s="155"/>
      <c r="R141" s="128"/>
      <c r="S141" s="128"/>
      <c r="T141" s="128"/>
      <c r="U141" s="109"/>
      <c r="V141" s="109"/>
      <c r="W141" s="109"/>
      <c r="X141" s="109"/>
      <c r="Y141" s="109"/>
      <c r="Z141" s="109"/>
      <c r="AA141" s="16"/>
      <c r="AB141" s="16"/>
      <c r="AC141" s="16"/>
      <c r="AD141" s="16"/>
      <c r="AE141" s="16"/>
      <c r="AF141" s="16"/>
      <c r="AG141" s="16"/>
      <c r="AH141" s="16"/>
      <c r="AI141" s="16"/>
      <c r="AJ141" s="16"/>
    </row>
    <row r="142" spans="1:36" x14ac:dyDescent="0.2">
      <c r="A142" s="16"/>
      <c r="B142" s="16"/>
      <c r="C142" s="16"/>
      <c r="D142" s="16"/>
      <c r="E142" s="16"/>
      <c r="F142" s="109"/>
      <c r="G142" s="109"/>
      <c r="H142" s="109"/>
      <c r="I142" s="109"/>
      <c r="J142" s="109"/>
      <c r="K142" s="109"/>
      <c r="L142" s="109"/>
      <c r="M142" s="109"/>
      <c r="N142" s="128"/>
      <c r="O142" s="128"/>
      <c r="P142" s="128"/>
      <c r="Q142" s="155"/>
      <c r="R142" s="128"/>
      <c r="S142" s="128"/>
      <c r="T142" s="128"/>
      <c r="U142" s="109"/>
      <c r="V142" s="109"/>
      <c r="W142" s="109"/>
      <c r="X142" s="109"/>
      <c r="Y142" s="109"/>
      <c r="Z142" s="109"/>
      <c r="AA142" s="16"/>
      <c r="AB142" s="16"/>
      <c r="AC142" s="16"/>
      <c r="AD142" s="16"/>
      <c r="AE142" s="16"/>
      <c r="AF142" s="16"/>
      <c r="AG142" s="16"/>
      <c r="AH142" s="16"/>
      <c r="AI142" s="16"/>
      <c r="AJ142" s="16"/>
    </row>
    <row r="143" spans="1:36" x14ac:dyDescent="0.2">
      <c r="A143" s="16"/>
      <c r="B143" s="16"/>
      <c r="C143" s="16"/>
      <c r="D143" s="16"/>
      <c r="E143" s="16"/>
      <c r="F143" s="109"/>
      <c r="G143" s="109"/>
      <c r="H143" s="109"/>
      <c r="I143" s="109"/>
      <c r="J143" s="109"/>
      <c r="K143" s="109"/>
      <c r="L143" s="109"/>
      <c r="M143" s="109"/>
      <c r="N143" s="128"/>
      <c r="O143" s="128"/>
      <c r="P143" s="128"/>
      <c r="Q143" s="155"/>
      <c r="R143" s="128"/>
      <c r="S143" s="128"/>
      <c r="T143" s="128"/>
      <c r="U143" s="109"/>
      <c r="V143" s="109"/>
      <c r="W143" s="109"/>
      <c r="X143" s="109"/>
      <c r="Y143" s="109"/>
      <c r="Z143" s="109"/>
      <c r="AA143" s="16"/>
      <c r="AB143" s="16"/>
      <c r="AC143" s="16"/>
      <c r="AD143" s="16"/>
      <c r="AE143" s="16"/>
      <c r="AF143" s="16"/>
      <c r="AG143" s="16"/>
      <c r="AH143" s="16"/>
      <c r="AI143" s="16"/>
      <c r="AJ143" s="16"/>
    </row>
    <row r="144" spans="1:36" x14ac:dyDescent="0.2">
      <c r="A144" s="16"/>
      <c r="B144" s="16"/>
      <c r="C144" s="16"/>
      <c r="D144" s="16"/>
      <c r="E144" s="16"/>
      <c r="F144" s="109"/>
      <c r="G144" s="109"/>
      <c r="H144" s="109"/>
      <c r="I144" s="109"/>
      <c r="J144" s="109"/>
      <c r="K144" s="109"/>
      <c r="L144" s="109"/>
      <c r="M144" s="109"/>
      <c r="N144" s="128"/>
      <c r="O144" s="128"/>
      <c r="P144" s="128"/>
      <c r="Q144" s="155"/>
      <c r="R144" s="128"/>
      <c r="S144" s="128"/>
      <c r="T144" s="128"/>
      <c r="U144" s="109"/>
      <c r="V144" s="109"/>
      <c r="W144" s="109"/>
      <c r="X144" s="109"/>
      <c r="Y144" s="109"/>
      <c r="Z144" s="109"/>
      <c r="AA144" s="16"/>
      <c r="AB144" s="16"/>
      <c r="AC144" s="16"/>
      <c r="AD144" s="16"/>
      <c r="AE144" s="16"/>
      <c r="AF144" s="16"/>
      <c r="AG144" s="16"/>
      <c r="AH144" s="16"/>
      <c r="AI144" s="16"/>
      <c r="AJ144" s="16"/>
    </row>
    <row r="145" spans="1:36" x14ac:dyDescent="0.2">
      <c r="A145" s="16"/>
      <c r="B145" s="16"/>
      <c r="C145" s="16"/>
      <c r="D145" s="16"/>
      <c r="E145" s="16"/>
      <c r="F145" s="109"/>
      <c r="G145" s="109"/>
      <c r="H145" s="109"/>
      <c r="I145" s="109"/>
      <c r="J145" s="109"/>
      <c r="K145" s="109"/>
      <c r="L145" s="109"/>
      <c r="M145" s="109"/>
      <c r="N145" s="128"/>
      <c r="O145" s="128"/>
      <c r="P145" s="128"/>
      <c r="Q145" s="155"/>
      <c r="R145" s="128"/>
      <c r="S145" s="128"/>
      <c r="T145" s="128"/>
      <c r="U145" s="109"/>
      <c r="V145" s="109"/>
      <c r="W145" s="109"/>
      <c r="X145" s="109"/>
      <c r="Y145" s="109"/>
      <c r="Z145" s="109"/>
      <c r="AA145" s="16"/>
      <c r="AB145" s="16"/>
      <c r="AC145" s="16"/>
      <c r="AD145" s="16"/>
      <c r="AE145" s="16"/>
      <c r="AF145" s="16"/>
      <c r="AG145" s="16"/>
      <c r="AH145" s="16"/>
      <c r="AI145" s="16"/>
      <c r="AJ145" s="16"/>
    </row>
    <row r="146" spans="1:36" x14ac:dyDescent="0.2">
      <c r="A146" s="16"/>
      <c r="B146" s="16"/>
      <c r="C146" s="16"/>
      <c r="D146" s="16"/>
      <c r="E146" s="16"/>
      <c r="F146" s="109"/>
      <c r="G146" s="109"/>
      <c r="H146" s="109"/>
      <c r="I146" s="109"/>
      <c r="J146" s="109"/>
      <c r="K146" s="109"/>
      <c r="L146" s="109"/>
      <c r="M146" s="109"/>
      <c r="N146" s="128"/>
      <c r="O146" s="128"/>
      <c r="P146" s="128"/>
      <c r="Q146" s="155"/>
      <c r="R146" s="128"/>
      <c r="S146" s="128"/>
      <c r="T146" s="128"/>
      <c r="U146" s="109"/>
      <c r="V146" s="109"/>
      <c r="W146" s="109"/>
      <c r="X146" s="109"/>
      <c r="Y146" s="109"/>
      <c r="Z146" s="109"/>
      <c r="AA146" s="16"/>
      <c r="AB146" s="16"/>
      <c r="AC146" s="16"/>
      <c r="AD146" s="16"/>
      <c r="AE146" s="16"/>
      <c r="AF146" s="16"/>
      <c r="AG146" s="16"/>
      <c r="AH146" s="16"/>
      <c r="AI146" s="16"/>
      <c r="AJ146" s="16"/>
    </row>
    <row r="147" spans="1:36" x14ac:dyDescent="0.2">
      <c r="A147" s="16"/>
      <c r="B147" s="16"/>
      <c r="C147" s="16"/>
      <c r="D147" s="16"/>
      <c r="E147" s="16"/>
      <c r="F147" s="109"/>
      <c r="G147" s="109"/>
      <c r="H147" s="109"/>
      <c r="I147" s="109"/>
      <c r="J147" s="109"/>
      <c r="K147" s="109"/>
      <c r="L147" s="109"/>
      <c r="M147" s="109"/>
      <c r="N147" s="128"/>
      <c r="O147" s="128"/>
      <c r="P147" s="128"/>
      <c r="Q147" s="155"/>
      <c r="R147" s="128"/>
      <c r="S147" s="128"/>
      <c r="T147" s="128"/>
      <c r="U147" s="109"/>
      <c r="V147" s="109"/>
      <c r="W147" s="109"/>
      <c r="X147" s="109"/>
      <c r="Y147" s="109"/>
      <c r="Z147" s="109"/>
      <c r="AA147" s="16"/>
      <c r="AB147" s="16"/>
      <c r="AC147" s="16"/>
      <c r="AD147" s="16"/>
      <c r="AE147" s="16"/>
      <c r="AF147" s="16"/>
      <c r="AG147" s="16"/>
      <c r="AH147" s="16"/>
      <c r="AI147" s="16"/>
      <c r="AJ147" s="16"/>
    </row>
    <row r="148" spans="1:36" x14ac:dyDescent="0.2">
      <c r="A148" s="16"/>
      <c r="B148" s="16"/>
      <c r="C148" s="16"/>
      <c r="D148" s="16"/>
      <c r="E148" s="16"/>
      <c r="F148" s="109"/>
      <c r="G148" s="109"/>
      <c r="H148" s="109"/>
      <c r="I148" s="109"/>
      <c r="J148" s="109"/>
      <c r="K148" s="109"/>
      <c r="L148" s="109"/>
      <c r="M148" s="109"/>
      <c r="N148" s="128"/>
      <c r="O148" s="128"/>
      <c r="P148" s="128"/>
      <c r="Q148" s="155"/>
      <c r="R148" s="128"/>
      <c r="S148" s="128"/>
      <c r="T148" s="128"/>
      <c r="U148" s="109"/>
      <c r="V148" s="109"/>
      <c r="W148" s="109"/>
      <c r="X148" s="109"/>
      <c r="Y148" s="109"/>
      <c r="Z148" s="109"/>
      <c r="AA148" s="16"/>
      <c r="AB148" s="16"/>
      <c r="AC148" s="16"/>
      <c r="AD148" s="16"/>
      <c r="AE148" s="16"/>
      <c r="AF148" s="16"/>
      <c r="AG148" s="16"/>
      <c r="AH148" s="16"/>
      <c r="AI148" s="16"/>
      <c r="AJ148" s="16"/>
    </row>
    <row r="149" spans="1:36" x14ac:dyDescent="0.2">
      <c r="A149" s="16"/>
      <c r="B149" s="16"/>
      <c r="C149" s="16"/>
      <c r="D149" s="16"/>
      <c r="E149" s="16"/>
      <c r="F149" s="109"/>
      <c r="G149" s="109"/>
      <c r="H149" s="109"/>
      <c r="I149" s="109"/>
      <c r="J149" s="109"/>
      <c r="K149" s="109"/>
      <c r="L149" s="109"/>
      <c r="M149" s="109"/>
      <c r="N149" s="128"/>
      <c r="O149" s="128"/>
      <c r="P149" s="128"/>
      <c r="Q149" s="155"/>
      <c r="R149" s="128"/>
      <c r="S149" s="128"/>
      <c r="T149" s="128"/>
      <c r="U149" s="109"/>
      <c r="V149" s="109"/>
      <c r="W149" s="109"/>
      <c r="X149" s="109"/>
      <c r="Y149" s="109"/>
      <c r="Z149" s="109"/>
      <c r="AA149" s="16"/>
      <c r="AB149" s="16"/>
      <c r="AC149" s="16"/>
      <c r="AD149" s="16"/>
      <c r="AE149" s="16"/>
      <c r="AF149" s="16"/>
      <c r="AG149" s="16"/>
      <c r="AH149" s="16"/>
      <c r="AI149" s="16"/>
      <c r="AJ149" s="16"/>
    </row>
    <row r="150" spans="1:36" x14ac:dyDescent="0.2">
      <c r="A150" s="16"/>
      <c r="B150" s="16"/>
      <c r="C150" s="16"/>
      <c r="D150" s="16"/>
      <c r="E150" s="16"/>
      <c r="F150" s="109"/>
      <c r="G150" s="109"/>
      <c r="H150" s="109"/>
      <c r="I150" s="109"/>
      <c r="J150" s="109"/>
      <c r="K150" s="109"/>
      <c r="L150" s="109"/>
      <c r="M150" s="109"/>
      <c r="N150" s="128"/>
      <c r="O150" s="128"/>
      <c r="P150" s="128"/>
      <c r="Q150" s="155"/>
      <c r="R150" s="128"/>
      <c r="S150" s="128"/>
      <c r="T150" s="128"/>
      <c r="U150" s="109"/>
      <c r="V150" s="109"/>
      <c r="W150" s="109"/>
      <c r="X150" s="109"/>
      <c r="Y150" s="109"/>
      <c r="Z150" s="109"/>
      <c r="AA150" s="16"/>
      <c r="AB150" s="16"/>
      <c r="AC150" s="16"/>
      <c r="AD150" s="16"/>
      <c r="AE150" s="16"/>
      <c r="AF150" s="16"/>
      <c r="AG150" s="16"/>
      <c r="AH150" s="16"/>
      <c r="AI150" s="16"/>
      <c r="AJ150" s="16"/>
    </row>
    <row r="151" spans="1:36" x14ac:dyDescent="0.2">
      <c r="A151" s="16"/>
      <c r="B151" s="16"/>
      <c r="C151" s="16"/>
      <c r="D151" s="16"/>
      <c r="E151" s="16"/>
      <c r="F151" s="109"/>
      <c r="G151" s="109"/>
      <c r="H151" s="109"/>
      <c r="I151" s="109"/>
      <c r="J151" s="109"/>
      <c r="K151" s="109"/>
      <c r="L151" s="109"/>
      <c r="M151" s="109"/>
      <c r="N151" s="128"/>
      <c r="O151" s="128"/>
      <c r="P151" s="128"/>
      <c r="Q151" s="155"/>
      <c r="R151" s="128"/>
      <c r="S151" s="128"/>
      <c r="T151" s="128"/>
      <c r="U151" s="109"/>
      <c r="V151" s="109"/>
      <c r="W151" s="109"/>
      <c r="X151" s="109"/>
      <c r="Y151" s="109"/>
      <c r="Z151" s="109"/>
      <c r="AA151" s="16"/>
      <c r="AB151" s="16"/>
      <c r="AC151" s="16"/>
      <c r="AD151" s="16"/>
      <c r="AE151" s="16"/>
      <c r="AF151" s="16"/>
      <c r="AG151" s="16"/>
      <c r="AH151" s="16"/>
      <c r="AI151" s="16"/>
      <c r="AJ151" s="16"/>
    </row>
    <row r="152" spans="1:36" x14ac:dyDescent="0.2">
      <c r="A152" s="16"/>
      <c r="B152" s="16"/>
      <c r="C152" s="16"/>
      <c r="D152" s="16"/>
      <c r="E152" s="16"/>
      <c r="F152" s="109"/>
      <c r="G152" s="109"/>
      <c r="H152" s="109"/>
      <c r="I152" s="109"/>
      <c r="J152" s="109"/>
      <c r="K152" s="109"/>
      <c r="L152" s="109"/>
      <c r="M152" s="109"/>
      <c r="N152" s="128"/>
      <c r="O152" s="128"/>
      <c r="P152" s="128"/>
      <c r="Q152" s="155"/>
      <c r="R152" s="128"/>
      <c r="S152" s="128"/>
      <c r="T152" s="128"/>
      <c r="U152" s="109"/>
      <c r="V152" s="109"/>
      <c r="W152" s="109"/>
      <c r="X152" s="109"/>
      <c r="Y152" s="109"/>
      <c r="Z152" s="109"/>
      <c r="AA152" s="16"/>
      <c r="AB152" s="16"/>
      <c r="AC152" s="16"/>
      <c r="AD152" s="16"/>
      <c r="AE152" s="16"/>
      <c r="AF152" s="16"/>
      <c r="AG152" s="16"/>
      <c r="AH152" s="16"/>
      <c r="AI152" s="16"/>
      <c r="AJ152" s="16"/>
    </row>
    <row r="153" spans="1:36" x14ac:dyDescent="0.2">
      <c r="A153" s="16"/>
      <c r="B153" s="16"/>
      <c r="C153" s="16"/>
      <c r="D153" s="16"/>
      <c r="E153" s="16"/>
      <c r="F153" s="109"/>
      <c r="G153" s="109"/>
      <c r="H153" s="109"/>
      <c r="I153" s="109"/>
      <c r="J153" s="109"/>
      <c r="K153" s="109"/>
      <c r="L153" s="109"/>
      <c r="M153" s="109"/>
      <c r="N153" s="128"/>
      <c r="O153" s="128"/>
      <c r="P153" s="128"/>
      <c r="Q153" s="155"/>
      <c r="R153" s="128"/>
      <c r="S153" s="128"/>
      <c r="T153" s="128"/>
      <c r="U153" s="109"/>
      <c r="V153" s="109"/>
      <c r="W153" s="109"/>
      <c r="X153" s="109"/>
      <c r="Y153" s="109"/>
      <c r="Z153" s="109"/>
      <c r="AA153" s="16"/>
      <c r="AB153" s="16"/>
      <c r="AC153" s="16"/>
      <c r="AD153" s="16"/>
      <c r="AE153" s="16"/>
      <c r="AF153" s="16"/>
      <c r="AG153" s="16"/>
      <c r="AH153" s="16"/>
      <c r="AI153" s="16"/>
      <c r="AJ153" s="16"/>
    </row>
    <row r="154" spans="1:36" x14ac:dyDescent="0.2">
      <c r="A154" s="16"/>
      <c r="B154" s="16"/>
      <c r="C154" s="16"/>
      <c r="D154" s="16"/>
      <c r="E154" s="16"/>
      <c r="F154" s="109"/>
      <c r="G154" s="109"/>
      <c r="H154" s="109"/>
      <c r="I154" s="109"/>
      <c r="J154" s="109"/>
      <c r="K154" s="109"/>
      <c r="L154" s="109"/>
      <c r="M154" s="109"/>
      <c r="N154" s="128"/>
      <c r="O154" s="128"/>
      <c r="P154" s="128"/>
      <c r="Q154" s="155"/>
      <c r="R154" s="128"/>
      <c r="S154" s="128"/>
      <c r="T154" s="128"/>
      <c r="U154" s="109"/>
      <c r="V154" s="109"/>
      <c r="W154" s="109"/>
      <c r="X154" s="109"/>
      <c r="Y154" s="109"/>
      <c r="Z154" s="109"/>
      <c r="AA154" s="16"/>
      <c r="AB154" s="16"/>
      <c r="AC154" s="16"/>
      <c r="AD154" s="16"/>
      <c r="AE154" s="16"/>
      <c r="AF154" s="16"/>
      <c r="AG154" s="16"/>
      <c r="AH154" s="16"/>
      <c r="AI154" s="16"/>
      <c r="AJ154" s="16"/>
    </row>
    <row r="155" spans="1:36" x14ac:dyDescent="0.2">
      <c r="A155" s="16"/>
      <c r="B155" s="16"/>
      <c r="C155" s="16"/>
      <c r="D155" s="16"/>
      <c r="E155" s="16"/>
      <c r="F155" s="109"/>
      <c r="G155" s="109"/>
      <c r="H155" s="109"/>
      <c r="I155" s="109"/>
      <c r="J155" s="109"/>
      <c r="K155" s="109"/>
      <c r="L155" s="109"/>
      <c r="M155" s="109"/>
      <c r="N155" s="128"/>
      <c r="O155" s="128"/>
      <c r="P155" s="128"/>
      <c r="Q155" s="155"/>
      <c r="R155" s="128"/>
      <c r="S155" s="128"/>
      <c r="T155" s="128"/>
      <c r="U155" s="109"/>
      <c r="V155" s="109"/>
      <c r="W155" s="109"/>
      <c r="X155" s="109"/>
      <c r="Y155" s="109"/>
      <c r="Z155" s="109"/>
      <c r="AA155" s="16"/>
      <c r="AB155" s="16"/>
      <c r="AC155" s="16"/>
      <c r="AD155" s="16"/>
      <c r="AE155" s="16"/>
      <c r="AF155" s="16"/>
      <c r="AG155" s="16"/>
      <c r="AH155" s="16"/>
      <c r="AI155" s="16"/>
      <c r="AJ155" s="16"/>
    </row>
    <row r="156" spans="1:36" x14ac:dyDescent="0.2">
      <c r="A156" s="16"/>
      <c r="B156" s="16"/>
      <c r="C156" s="16"/>
      <c r="D156" s="16"/>
      <c r="E156" s="16"/>
      <c r="F156" s="109"/>
      <c r="G156" s="109"/>
      <c r="H156" s="109"/>
      <c r="I156" s="109"/>
      <c r="J156" s="109"/>
      <c r="K156" s="109"/>
      <c r="L156" s="109"/>
      <c r="M156" s="109"/>
      <c r="N156" s="128"/>
      <c r="O156" s="128"/>
      <c r="P156" s="128"/>
      <c r="Q156" s="155"/>
      <c r="R156" s="128"/>
      <c r="S156" s="128"/>
      <c r="T156" s="128"/>
      <c r="U156" s="109"/>
      <c r="V156" s="109"/>
      <c r="W156" s="109"/>
      <c r="X156" s="109"/>
      <c r="Y156" s="109"/>
      <c r="Z156" s="109"/>
      <c r="AA156" s="16"/>
      <c r="AB156" s="16"/>
      <c r="AC156" s="16"/>
      <c r="AD156" s="16"/>
      <c r="AE156" s="16"/>
      <c r="AF156" s="16"/>
      <c r="AG156" s="16"/>
      <c r="AH156" s="16"/>
      <c r="AI156" s="16"/>
      <c r="AJ156" s="16"/>
    </row>
    <row r="157" spans="1:36" x14ac:dyDescent="0.2">
      <c r="A157" s="16"/>
      <c r="B157" s="16"/>
      <c r="C157" s="16"/>
      <c r="D157" s="16"/>
      <c r="E157" s="16"/>
      <c r="F157" s="109"/>
      <c r="G157" s="109"/>
      <c r="H157" s="109"/>
      <c r="I157" s="109"/>
      <c r="J157" s="109"/>
      <c r="K157" s="109"/>
      <c r="L157" s="109"/>
      <c r="M157" s="109"/>
      <c r="N157" s="128"/>
      <c r="O157" s="128"/>
      <c r="P157" s="128"/>
      <c r="Q157" s="155"/>
      <c r="R157" s="128"/>
      <c r="S157" s="128"/>
      <c r="T157" s="128"/>
      <c r="U157" s="109"/>
      <c r="V157" s="109"/>
      <c r="W157" s="109"/>
      <c r="X157" s="109"/>
      <c r="Y157" s="109"/>
      <c r="Z157" s="109"/>
      <c r="AA157" s="16"/>
      <c r="AB157" s="16"/>
      <c r="AC157" s="16"/>
      <c r="AD157" s="16"/>
      <c r="AE157" s="16"/>
      <c r="AF157" s="16"/>
      <c r="AG157" s="16"/>
      <c r="AH157" s="16"/>
      <c r="AI157" s="16"/>
      <c r="AJ157" s="16"/>
    </row>
    <row r="158" spans="1:36" x14ac:dyDescent="0.2">
      <c r="A158" s="16"/>
      <c r="B158" s="16"/>
      <c r="C158" s="16"/>
      <c r="D158" s="16"/>
      <c r="E158" s="16"/>
      <c r="F158" s="109"/>
      <c r="G158" s="109"/>
      <c r="H158" s="109"/>
      <c r="I158" s="109"/>
      <c r="J158" s="109"/>
      <c r="K158" s="109"/>
      <c r="L158" s="109"/>
      <c r="M158" s="109"/>
      <c r="N158" s="128"/>
      <c r="O158" s="128"/>
      <c r="P158" s="128"/>
      <c r="Q158" s="155"/>
      <c r="R158" s="128"/>
      <c r="S158" s="128"/>
      <c r="T158" s="128"/>
      <c r="U158" s="109"/>
      <c r="V158" s="109"/>
      <c r="W158" s="109"/>
      <c r="X158" s="109"/>
      <c r="Y158" s="109"/>
      <c r="Z158" s="109"/>
      <c r="AA158" s="16"/>
      <c r="AB158" s="16"/>
      <c r="AC158" s="16"/>
      <c r="AD158" s="16"/>
      <c r="AE158" s="16"/>
      <c r="AF158" s="16"/>
      <c r="AG158" s="16"/>
      <c r="AH158" s="16"/>
      <c r="AI158" s="16"/>
      <c r="AJ158" s="16"/>
    </row>
    <row r="159" spans="1:36" x14ac:dyDescent="0.2">
      <c r="A159" s="16"/>
      <c r="B159" s="16"/>
      <c r="C159" s="16"/>
      <c r="D159" s="16"/>
      <c r="E159" s="16"/>
      <c r="F159" s="109"/>
      <c r="G159" s="109"/>
      <c r="H159" s="109"/>
      <c r="I159" s="109"/>
      <c r="J159" s="109"/>
      <c r="K159" s="109"/>
      <c r="L159" s="109"/>
      <c r="M159" s="109"/>
      <c r="N159" s="128"/>
      <c r="O159" s="128"/>
      <c r="P159" s="128"/>
      <c r="Q159" s="155"/>
      <c r="R159" s="128"/>
      <c r="S159" s="128"/>
      <c r="T159" s="128"/>
      <c r="U159" s="109"/>
      <c r="V159" s="109"/>
      <c r="W159" s="109"/>
      <c r="X159" s="109"/>
      <c r="Y159" s="109"/>
      <c r="Z159" s="109"/>
      <c r="AA159" s="16"/>
      <c r="AB159" s="16"/>
      <c r="AC159" s="16"/>
      <c r="AD159" s="16"/>
      <c r="AE159" s="16"/>
      <c r="AF159" s="16"/>
      <c r="AG159" s="16"/>
      <c r="AH159" s="16"/>
      <c r="AI159" s="16"/>
      <c r="AJ159" s="16"/>
    </row>
    <row r="160" spans="1:36" x14ac:dyDescent="0.2">
      <c r="A160" s="16"/>
      <c r="B160" s="16"/>
      <c r="C160" s="16"/>
      <c r="D160" s="16"/>
      <c r="E160" s="16"/>
      <c r="F160" s="109"/>
      <c r="G160" s="109"/>
      <c r="H160" s="109"/>
      <c r="I160" s="109"/>
      <c r="J160" s="109"/>
      <c r="K160" s="109"/>
      <c r="L160" s="109"/>
      <c r="M160" s="109"/>
      <c r="N160" s="128"/>
      <c r="O160" s="128"/>
      <c r="P160" s="128"/>
      <c r="Q160" s="155"/>
      <c r="R160" s="128"/>
      <c r="S160" s="128"/>
      <c r="T160" s="128"/>
      <c r="U160" s="109"/>
      <c r="V160" s="109"/>
      <c r="W160" s="109"/>
      <c r="X160" s="109"/>
      <c r="Y160" s="109"/>
      <c r="Z160" s="109"/>
      <c r="AA160" s="16"/>
      <c r="AB160" s="16"/>
      <c r="AC160" s="16"/>
      <c r="AD160" s="16"/>
      <c r="AE160" s="16"/>
      <c r="AF160" s="16"/>
      <c r="AG160" s="16"/>
      <c r="AH160" s="16"/>
      <c r="AI160" s="16"/>
      <c r="AJ160" s="16"/>
    </row>
    <row r="161" spans="1:36" x14ac:dyDescent="0.2">
      <c r="A161" s="16"/>
      <c r="B161" s="16"/>
      <c r="C161" s="16"/>
      <c r="D161" s="16"/>
      <c r="E161" s="16"/>
      <c r="F161" s="109"/>
      <c r="G161" s="109"/>
      <c r="H161" s="109"/>
      <c r="I161" s="109"/>
      <c r="J161" s="109"/>
      <c r="K161" s="109"/>
      <c r="L161" s="109"/>
      <c r="M161" s="109"/>
      <c r="N161" s="128"/>
      <c r="O161" s="128"/>
      <c r="P161" s="128"/>
      <c r="Q161" s="155"/>
      <c r="R161" s="128"/>
      <c r="S161" s="128"/>
      <c r="T161" s="128"/>
      <c r="U161" s="109"/>
      <c r="V161" s="109"/>
      <c r="W161" s="109"/>
      <c r="X161" s="109"/>
      <c r="Y161" s="109"/>
      <c r="Z161" s="109"/>
      <c r="AA161" s="16"/>
      <c r="AB161" s="16"/>
      <c r="AC161" s="16"/>
      <c r="AD161" s="16"/>
      <c r="AE161" s="16"/>
      <c r="AF161" s="16"/>
      <c r="AG161" s="16"/>
      <c r="AH161" s="16"/>
      <c r="AI161" s="16"/>
      <c r="AJ161" s="16"/>
    </row>
    <row r="162" spans="1:36" x14ac:dyDescent="0.2">
      <c r="A162" s="16"/>
      <c r="B162" s="16"/>
      <c r="C162" s="16"/>
      <c r="D162" s="16"/>
      <c r="E162" s="16"/>
      <c r="F162" s="109"/>
      <c r="G162" s="109"/>
      <c r="H162" s="109"/>
      <c r="I162" s="109"/>
      <c r="J162" s="109"/>
      <c r="K162" s="109"/>
      <c r="L162" s="109"/>
      <c r="M162" s="109"/>
      <c r="N162" s="128"/>
      <c r="O162" s="128"/>
      <c r="P162" s="128"/>
      <c r="Q162" s="155"/>
      <c r="R162" s="128"/>
      <c r="S162" s="128"/>
      <c r="T162" s="128"/>
      <c r="U162" s="109"/>
      <c r="V162" s="109"/>
      <c r="W162" s="109"/>
      <c r="X162" s="109"/>
      <c r="Y162" s="109"/>
      <c r="Z162" s="109"/>
      <c r="AA162" s="16"/>
      <c r="AB162" s="16"/>
      <c r="AC162" s="16"/>
      <c r="AD162" s="16"/>
      <c r="AE162" s="16"/>
      <c r="AF162" s="16"/>
      <c r="AG162" s="16"/>
      <c r="AH162" s="16"/>
      <c r="AI162" s="16"/>
      <c r="AJ162" s="16"/>
    </row>
    <row r="163" spans="1:36" x14ac:dyDescent="0.2">
      <c r="A163" s="16"/>
      <c r="B163" s="16"/>
      <c r="C163" s="16"/>
      <c r="D163" s="16"/>
      <c r="E163" s="16"/>
      <c r="F163" s="109"/>
      <c r="G163" s="109"/>
      <c r="H163" s="109"/>
      <c r="I163" s="109"/>
      <c r="J163" s="109"/>
      <c r="K163" s="109"/>
      <c r="L163" s="109"/>
      <c r="M163" s="109"/>
      <c r="N163" s="128"/>
      <c r="O163" s="128"/>
      <c r="P163" s="128"/>
      <c r="Q163" s="155"/>
      <c r="R163" s="128"/>
      <c r="S163" s="128"/>
      <c r="T163" s="128"/>
      <c r="U163" s="109"/>
      <c r="V163" s="109"/>
      <c r="W163" s="109"/>
      <c r="X163" s="109"/>
      <c r="Y163" s="109"/>
      <c r="Z163" s="109"/>
      <c r="AA163" s="16"/>
      <c r="AB163" s="16"/>
      <c r="AC163" s="16"/>
      <c r="AD163" s="16"/>
      <c r="AE163" s="16"/>
      <c r="AF163" s="16"/>
      <c r="AG163" s="16"/>
      <c r="AH163" s="16"/>
      <c r="AI163" s="16"/>
      <c r="AJ163" s="16"/>
    </row>
    <row r="164" spans="1:36" x14ac:dyDescent="0.2">
      <c r="A164" s="16"/>
      <c r="B164" s="16"/>
      <c r="C164" s="16"/>
      <c r="D164" s="16"/>
      <c r="E164" s="16"/>
      <c r="F164" s="109"/>
      <c r="G164" s="109"/>
      <c r="H164" s="109"/>
      <c r="I164" s="109"/>
      <c r="J164" s="109"/>
      <c r="K164" s="109"/>
      <c r="L164" s="109"/>
      <c r="M164" s="109"/>
      <c r="N164" s="128"/>
      <c r="O164" s="128"/>
      <c r="P164" s="128"/>
      <c r="Q164" s="155"/>
      <c r="R164" s="128"/>
      <c r="S164" s="128"/>
      <c r="T164" s="128"/>
      <c r="U164" s="109"/>
      <c r="V164" s="109"/>
      <c r="W164" s="109"/>
      <c r="X164" s="109"/>
      <c r="Y164" s="109"/>
      <c r="Z164" s="109"/>
      <c r="AA164" s="16"/>
      <c r="AB164" s="16"/>
      <c r="AC164" s="16"/>
      <c r="AD164" s="16"/>
      <c r="AE164" s="16"/>
      <c r="AF164" s="16"/>
      <c r="AG164" s="16"/>
      <c r="AH164" s="16"/>
      <c r="AI164" s="16"/>
      <c r="AJ164" s="16"/>
    </row>
    <row r="165" spans="1:36" x14ac:dyDescent="0.2">
      <c r="A165" s="16"/>
      <c r="B165" s="16"/>
      <c r="C165" s="16"/>
      <c r="D165" s="16"/>
      <c r="E165" s="16"/>
      <c r="F165" s="109"/>
      <c r="G165" s="109"/>
      <c r="H165" s="109"/>
      <c r="I165" s="109"/>
      <c r="J165" s="109"/>
      <c r="K165" s="109"/>
      <c r="L165" s="109"/>
      <c r="M165" s="109"/>
      <c r="N165" s="128"/>
      <c r="O165" s="128"/>
      <c r="P165" s="128"/>
      <c r="Q165" s="155"/>
      <c r="R165" s="128"/>
      <c r="S165" s="128"/>
      <c r="T165" s="128"/>
      <c r="U165" s="109"/>
      <c r="V165" s="109"/>
      <c r="W165" s="109"/>
      <c r="X165" s="109"/>
      <c r="Y165" s="109"/>
      <c r="Z165" s="109"/>
      <c r="AA165" s="16"/>
      <c r="AB165" s="16"/>
      <c r="AC165" s="16"/>
      <c r="AD165" s="16"/>
      <c r="AE165" s="16"/>
      <c r="AF165" s="16"/>
      <c r="AG165" s="16"/>
      <c r="AH165" s="16"/>
      <c r="AI165" s="16"/>
      <c r="AJ165" s="16"/>
    </row>
    <row r="166" spans="1:36" x14ac:dyDescent="0.2">
      <c r="A166" s="16"/>
      <c r="B166" s="16"/>
      <c r="C166" s="16"/>
      <c r="D166" s="16"/>
      <c r="E166" s="16"/>
      <c r="F166" s="109"/>
      <c r="G166" s="109"/>
      <c r="H166" s="109"/>
      <c r="I166" s="109"/>
      <c r="J166" s="109"/>
      <c r="K166" s="109"/>
      <c r="L166" s="109"/>
      <c r="M166" s="109"/>
      <c r="N166" s="128"/>
      <c r="O166" s="128"/>
      <c r="P166" s="128"/>
      <c r="Q166" s="155"/>
      <c r="R166" s="128"/>
      <c r="S166" s="128"/>
      <c r="T166" s="128"/>
      <c r="U166" s="109"/>
      <c r="V166" s="109"/>
      <c r="W166" s="109"/>
      <c r="X166" s="109"/>
      <c r="Y166" s="109"/>
      <c r="Z166" s="109"/>
      <c r="AA166" s="16"/>
      <c r="AB166" s="16"/>
      <c r="AC166" s="16"/>
      <c r="AD166" s="16"/>
      <c r="AE166" s="16"/>
      <c r="AF166" s="16"/>
      <c r="AG166" s="16"/>
      <c r="AH166" s="16"/>
      <c r="AI166" s="16"/>
      <c r="AJ166" s="16"/>
    </row>
    <row r="167" spans="1:36" x14ac:dyDescent="0.2">
      <c r="A167" s="16"/>
      <c r="B167" s="16"/>
      <c r="C167" s="16"/>
      <c r="D167" s="16"/>
      <c r="E167" s="16"/>
      <c r="F167" s="109"/>
      <c r="G167" s="109"/>
      <c r="H167" s="109"/>
      <c r="I167" s="109"/>
      <c r="J167" s="109"/>
      <c r="K167" s="109"/>
      <c r="L167" s="109"/>
      <c r="M167" s="109"/>
      <c r="N167" s="128"/>
      <c r="O167" s="128"/>
      <c r="P167" s="128"/>
      <c r="Q167" s="155"/>
      <c r="R167" s="128"/>
      <c r="S167" s="128"/>
      <c r="T167" s="128"/>
      <c r="U167" s="109"/>
      <c r="V167" s="109"/>
      <c r="W167" s="109"/>
      <c r="X167" s="109"/>
      <c r="Y167" s="109"/>
      <c r="Z167" s="109"/>
      <c r="AA167" s="16"/>
      <c r="AB167" s="16"/>
      <c r="AC167" s="16"/>
      <c r="AD167" s="16"/>
      <c r="AE167" s="16"/>
      <c r="AF167" s="16"/>
      <c r="AG167" s="16"/>
      <c r="AH167" s="16"/>
      <c r="AI167" s="16"/>
      <c r="AJ167" s="16"/>
    </row>
    <row r="168" spans="1:36" x14ac:dyDescent="0.2">
      <c r="A168" s="16"/>
      <c r="B168" s="16"/>
      <c r="C168" s="16"/>
      <c r="D168" s="16"/>
      <c r="E168" s="16"/>
      <c r="F168" s="109"/>
      <c r="G168" s="109"/>
      <c r="H168" s="109"/>
      <c r="I168" s="109"/>
      <c r="J168" s="109"/>
      <c r="K168" s="109"/>
      <c r="L168" s="109"/>
      <c r="M168" s="109"/>
      <c r="N168" s="128"/>
      <c r="O168" s="128"/>
      <c r="P168" s="128"/>
      <c r="Q168" s="155"/>
      <c r="R168" s="128"/>
      <c r="S168" s="128"/>
      <c r="T168" s="128"/>
      <c r="U168" s="109"/>
      <c r="V168" s="109"/>
      <c r="W168" s="109"/>
      <c r="X168" s="109"/>
      <c r="Y168" s="109"/>
      <c r="Z168" s="109"/>
      <c r="AA168" s="16"/>
      <c r="AB168" s="16"/>
      <c r="AC168" s="16"/>
      <c r="AD168" s="16"/>
      <c r="AE168" s="16"/>
      <c r="AF168" s="16"/>
      <c r="AG168" s="16"/>
      <c r="AH168" s="16"/>
      <c r="AI168" s="16"/>
      <c r="AJ168" s="16"/>
    </row>
    <row r="169" spans="1:36" x14ac:dyDescent="0.2">
      <c r="A169" s="16"/>
      <c r="B169" s="16"/>
      <c r="C169" s="16"/>
      <c r="D169" s="16"/>
      <c r="E169" s="16"/>
      <c r="F169" s="109"/>
      <c r="G169" s="109"/>
      <c r="H169" s="109"/>
      <c r="I169" s="109"/>
      <c r="J169" s="109"/>
      <c r="K169" s="109"/>
      <c r="L169" s="109"/>
      <c r="M169" s="109"/>
      <c r="N169" s="128"/>
      <c r="O169" s="128"/>
      <c r="P169" s="128"/>
      <c r="Q169" s="155"/>
      <c r="R169" s="128"/>
      <c r="S169" s="128"/>
      <c r="T169" s="128"/>
      <c r="U169" s="109"/>
      <c r="V169" s="109"/>
      <c r="W169" s="109"/>
      <c r="X169" s="109"/>
      <c r="Y169" s="109"/>
      <c r="Z169" s="109"/>
      <c r="AA169" s="16"/>
      <c r="AB169" s="16"/>
      <c r="AC169" s="16"/>
      <c r="AD169" s="16"/>
      <c r="AE169" s="16"/>
      <c r="AF169" s="16"/>
      <c r="AG169" s="16"/>
      <c r="AH169" s="16"/>
      <c r="AI169" s="16"/>
      <c r="AJ169" s="16"/>
    </row>
    <row r="170" spans="1:36" x14ac:dyDescent="0.2">
      <c r="A170" s="16"/>
      <c r="B170" s="16"/>
      <c r="C170" s="16"/>
      <c r="D170" s="16"/>
      <c r="E170" s="16"/>
      <c r="F170" s="109"/>
      <c r="G170" s="109"/>
      <c r="H170" s="109"/>
      <c r="I170" s="109"/>
      <c r="J170" s="109"/>
      <c r="K170" s="109"/>
      <c r="L170" s="109"/>
      <c r="M170" s="109"/>
      <c r="N170" s="128"/>
      <c r="O170" s="128"/>
      <c r="P170" s="128"/>
      <c r="Q170" s="155"/>
      <c r="R170" s="128"/>
      <c r="S170" s="128"/>
      <c r="T170" s="128"/>
      <c r="U170" s="109"/>
      <c r="V170" s="109"/>
      <c r="W170" s="109"/>
      <c r="X170" s="109"/>
      <c r="Y170" s="109"/>
      <c r="Z170" s="109"/>
      <c r="AA170" s="16"/>
      <c r="AB170" s="16"/>
      <c r="AC170" s="16"/>
      <c r="AD170" s="16"/>
      <c r="AE170" s="16"/>
      <c r="AF170" s="16"/>
      <c r="AG170" s="16"/>
      <c r="AH170" s="16"/>
      <c r="AI170" s="16"/>
      <c r="AJ170" s="16"/>
    </row>
    <row r="171" spans="1:36" x14ac:dyDescent="0.2">
      <c r="A171" s="16"/>
      <c r="B171" s="16"/>
      <c r="C171" s="16"/>
      <c r="D171" s="16"/>
      <c r="E171" s="16"/>
      <c r="F171" s="109"/>
      <c r="G171" s="109"/>
      <c r="H171" s="109"/>
      <c r="I171" s="109"/>
      <c r="J171" s="109"/>
      <c r="K171" s="109"/>
      <c r="L171" s="109"/>
      <c r="M171" s="109"/>
      <c r="N171" s="128"/>
      <c r="O171" s="128"/>
      <c r="P171" s="128"/>
      <c r="Q171" s="155"/>
      <c r="R171" s="128"/>
      <c r="S171" s="128"/>
      <c r="T171" s="128"/>
      <c r="U171" s="109"/>
      <c r="V171" s="109"/>
      <c r="W171" s="109"/>
      <c r="X171" s="109"/>
      <c r="Y171" s="109"/>
      <c r="Z171" s="109"/>
      <c r="AA171" s="16"/>
      <c r="AB171" s="16"/>
      <c r="AC171" s="16"/>
      <c r="AD171" s="16"/>
      <c r="AE171" s="16"/>
      <c r="AF171" s="16"/>
      <c r="AG171" s="16"/>
      <c r="AH171" s="16"/>
      <c r="AI171" s="16"/>
      <c r="AJ171" s="16"/>
    </row>
    <row r="172" spans="1:36" x14ac:dyDescent="0.2">
      <c r="A172" s="16"/>
      <c r="B172" s="16"/>
      <c r="C172" s="16"/>
      <c r="D172" s="16"/>
      <c r="E172" s="16"/>
      <c r="F172" s="109"/>
      <c r="G172" s="109"/>
      <c r="H172" s="109"/>
      <c r="I172" s="109"/>
      <c r="J172" s="109"/>
      <c r="K172" s="109"/>
      <c r="L172" s="109"/>
      <c r="M172" s="109"/>
      <c r="N172" s="128"/>
      <c r="O172" s="128"/>
      <c r="P172" s="128"/>
      <c r="Q172" s="155"/>
      <c r="R172" s="128"/>
      <c r="S172" s="128"/>
      <c r="T172" s="128"/>
      <c r="U172" s="109"/>
      <c r="V172" s="109"/>
      <c r="W172" s="109"/>
      <c r="X172" s="109"/>
      <c r="Y172" s="109"/>
      <c r="Z172" s="109"/>
      <c r="AA172" s="16"/>
      <c r="AB172" s="16"/>
      <c r="AC172" s="16"/>
      <c r="AD172" s="16"/>
      <c r="AE172" s="16"/>
      <c r="AF172" s="16"/>
      <c r="AG172" s="16"/>
      <c r="AH172" s="16"/>
      <c r="AI172" s="16"/>
      <c r="AJ172" s="16"/>
    </row>
    <row r="173" spans="1:36" x14ac:dyDescent="0.2">
      <c r="A173" s="16"/>
      <c r="B173" s="16"/>
      <c r="C173" s="16"/>
      <c r="D173" s="16"/>
      <c r="E173" s="16"/>
      <c r="F173" s="109"/>
      <c r="G173" s="109"/>
      <c r="H173" s="109"/>
      <c r="I173" s="109"/>
      <c r="J173" s="109"/>
      <c r="K173" s="109"/>
      <c r="L173" s="109"/>
      <c r="M173" s="109"/>
      <c r="N173" s="128"/>
      <c r="O173" s="128"/>
      <c r="P173" s="128"/>
      <c r="Q173" s="155"/>
      <c r="R173" s="128"/>
      <c r="S173" s="128"/>
      <c r="T173" s="128"/>
      <c r="U173" s="109"/>
      <c r="V173" s="109"/>
      <c r="W173" s="109"/>
      <c r="X173" s="109"/>
      <c r="Y173" s="109"/>
      <c r="Z173" s="109"/>
      <c r="AA173" s="16"/>
      <c r="AB173" s="16"/>
      <c r="AC173" s="16"/>
      <c r="AD173" s="16"/>
      <c r="AE173" s="16"/>
      <c r="AF173" s="16"/>
      <c r="AG173" s="16"/>
      <c r="AH173" s="16"/>
      <c r="AI173" s="16"/>
      <c r="AJ173" s="16"/>
    </row>
    <row r="174" spans="1:36" x14ac:dyDescent="0.2">
      <c r="A174" s="16"/>
      <c r="B174" s="16"/>
      <c r="C174" s="16"/>
      <c r="D174" s="16"/>
      <c r="E174" s="16"/>
      <c r="F174" s="109"/>
      <c r="G174" s="109"/>
      <c r="H174" s="109"/>
      <c r="I174" s="109"/>
      <c r="J174" s="109"/>
      <c r="K174" s="109"/>
      <c r="L174" s="109"/>
      <c r="M174" s="109"/>
      <c r="N174" s="128"/>
      <c r="O174" s="128"/>
      <c r="P174" s="128"/>
      <c r="Q174" s="155"/>
      <c r="R174" s="128"/>
      <c r="S174" s="128"/>
      <c r="T174" s="128"/>
      <c r="U174" s="109"/>
      <c r="V174" s="109"/>
      <c r="W174" s="109"/>
      <c r="X174" s="109"/>
      <c r="Y174" s="109"/>
      <c r="Z174" s="109"/>
      <c r="AA174" s="16"/>
      <c r="AB174" s="16"/>
      <c r="AC174" s="16"/>
      <c r="AD174" s="16"/>
      <c r="AE174" s="16"/>
      <c r="AF174" s="16"/>
      <c r="AG174" s="16"/>
      <c r="AH174" s="16"/>
      <c r="AI174" s="16"/>
      <c r="AJ174" s="16"/>
    </row>
    <row r="175" spans="1:36" x14ac:dyDescent="0.2">
      <c r="A175" s="16"/>
      <c r="B175" s="16"/>
      <c r="C175" s="16"/>
      <c r="D175" s="16"/>
      <c r="E175" s="16"/>
      <c r="F175" s="109"/>
      <c r="G175" s="109"/>
      <c r="H175" s="109"/>
      <c r="I175" s="109"/>
      <c r="J175" s="109"/>
      <c r="K175" s="109"/>
      <c r="L175" s="109"/>
      <c r="M175" s="109"/>
      <c r="N175" s="128"/>
      <c r="O175" s="128"/>
      <c r="P175" s="128"/>
      <c r="Q175" s="155"/>
      <c r="R175" s="128"/>
      <c r="S175" s="128"/>
      <c r="T175" s="128"/>
      <c r="U175" s="109"/>
      <c r="V175" s="109"/>
      <c r="W175" s="109"/>
      <c r="X175" s="109"/>
      <c r="Y175" s="109"/>
      <c r="Z175" s="109"/>
      <c r="AA175" s="16"/>
      <c r="AB175" s="16"/>
      <c r="AC175" s="16"/>
      <c r="AD175" s="16"/>
      <c r="AE175" s="16"/>
      <c r="AF175" s="16"/>
      <c r="AG175" s="16"/>
      <c r="AH175" s="16"/>
      <c r="AI175" s="16"/>
      <c r="AJ175" s="16"/>
    </row>
    <row r="176" spans="1:36" x14ac:dyDescent="0.2">
      <c r="A176" s="16"/>
      <c r="B176" s="16"/>
      <c r="C176" s="16"/>
      <c r="D176" s="16"/>
      <c r="E176" s="16"/>
      <c r="F176" s="109"/>
      <c r="G176" s="109"/>
      <c r="H176" s="109"/>
      <c r="I176" s="109"/>
      <c r="J176" s="109"/>
      <c r="K176" s="109"/>
      <c r="L176" s="109"/>
      <c r="M176" s="109"/>
      <c r="N176" s="128"/>
      <c r="O176" s="128"/>
      <c r="P176" s="128"/>
      <c r="Q176" s="155"/>
      <c r="R176" s="128"/>
      <c r="S176" s="128"/>
      <c r="T176" s="128"/>
      <c r="U176" s="109"/>
      <c r="V176" s="109"/>
      <c r="W176" s="109"/>
      <c r="X176" s="109"/>
      <c r="Y176" s="109"/>
      <c r="Z176" s="109"/>
      <c r="AA176" s="16"/>
      <c r="AB176" s="16"/>
      <c r="AC176" s="16"/>
      <c r="AD176" s="16"/>
      <c r="AE176" s="16"/>
      <c r="AF176" s="16"/>
      <c r="AG176" s="16"/>
      <c r="AH176" s="16"/>
      <c r="AI176" s="16"/>
      <c r="AJ176" s="16"/>
    </row>
    <row r="177" spans="1:36" x14ac:dyDescent="0.2">
      <c r="A177" s="16"/>
      <c r="B177" s="16"/>
      <c r="C177" s="16"/>
      <c r="D177" s="16"/>
      <c r="E177" s="16"/>
      <c r="F177" s="109"/>
      <c r="G177" s="109"/>
      <c r="H177" s="109"/>
      <c r="I177" s="109"/>
      <c r="J177" s="109"/>
      <c r="K177" s="109"/>
      <c r="L177" s="109"/>
      <c r="M177" s="109"/>
      <c r="N177" s="128"/>
      <c r="O177" s="128"/>
      <c r="P177" s="128"/>
      <c r="Q177" s="155"/>
      <c r="R177" s="128"/>
      <c r="S177" s="128"/>
      <c r="T177" s="128"/>
      <c r="U177" s="109"/>
      <c r="V177" s="109"/>
      <c r="W177" s="109"/>
      <c r="X177" s="109"/>
      <c r="Y177" s="109"/>
      <c r="Z177" s="109"/>
      <c r="AA177" s="16"/>
      <c r="AB177" s="16"/>
      <c r="AC177" s="16"/>
      <c r="AD177" s="16"/>
      <c r="AE177" s="16"/>
      <c r="AF177" s="16"/>
      <c r="AG177" s="16"/>
      <c r="AH177" s="16"/>
      <c r="AI177" s="16"/>
      <c r="AJ177" s="16"/>
    </row>
    <row r="178" spans="1:36" x14ac:dyDescent="0.2">
      <c r="A178" s="16"/>
      <c r="B178" s="16"/>
      <c r="C178" s="16"/>
      <c r="D178" s="16"/>
      <c r="E178" s="16"/>
      <c r="F178" s="109"/>
      <c r="G178" s="109"/>
      <c r="H178" s="109"/>
      <c r="I178" s="109"/>
      <c r="J178" s="109"/>
      <c r="K178" s="109"/>
      <c r="L178" s="109"/>
      <c r="M178" s="109"/>
      <c r="N178" s="128"/>
      <c r="O178" s="128"/>
      <c r="P178" s="128"/>
      <c r="Q178" s="155"/>
      <c r="R178" s="128"/>
      <c r="S178" s="128"/>
      <c r="T178" s="128"/>
      <c r="U178" s="109"/>
      <c r="V178" s="109"/>
      <c r="W178" s="109"/>
      <c r="X178" s="109"/>
      <c r="Y178" s="109"/>
      <c r="Z178" s="109"/>
      <c r="AA178" s="16"/>
      <c r="AB178" s="16"/>
      <c r="AC178" s="16"/>
      <c r="AD178" s="16"/>
      <c r="AE178" s="16"/>
      <c r="AF178" s="16"/>
      <c r="AG178" s="16"/>
      <c r="AH178" s="16"/>
      <c r="AI178" s="16"/>
      <c r="AJ178" s="16"/>
    </row>
    <row r="179" spans="1:36" x14ac:dyDescent="0.2">
      <c r="A179" s="16"/>
      <c r="B179" s="16"/>
      <c r="C179" s="16"/>
      <c r="D179" s="16"/>
      <c r="E179" s="16"/>
      <c r="F179" s="109"/>
      <c r="G179" s="109"/>
      <c r="H179" s="109"/>
      <c r="I179" s="109"/>
      <c r="J179" s="109"/>
      <c r="K179" s="109"/>
      <c r="L179" s="109"/>
      <c r="M179" s="109"/>
      <c r="N179" s="128"/>
      <c r="O179" s="128"/>
      <c r="P179" s="128"/>
      <c r="Q179" s="155"/>
      <c r="R179" s="128"/>
      <c r="S179" s="128"/>
      <c r="T179" s="128"/>
      <c r="U179" s="109"/>
      <c r="V179" s="109"/>
      <c r="W179" s="109"/>
      <c r="X179" s="109"/>
      <c r="Y179" s="109"/>
      <c r="Z179" s="109"/>
      <c r="AA179" s="16"/>
      <c r="AB179" s="16"/>
      <c r="AC179" s="16"/>
      <c r="AD179" s="16"/>
      <c r="AE179" s="16"/>
      <c r="AF179" s="16"/>
      <c r="AG179" s="16"/>
      <c r="AH179" s="16"/>
      <c r="AI179" s="16"/>
      <c r="AJ179" s="16"/>
    </row>
    <row r="180" spans="1:36" x14ac:dyDescent="0.2">
      <c r="A180" s="16"/>
      <c r="B180" s="16"/>
      <c r="C180" s="16"/>
      <c r="D180" s="16"/>
      <c r="E180" s="16"/>
      <c r="F180" s="109"/>
      <c r="G180" s="109"/>
      <c r="H180" s="109"/>
      <c r="I180" s="109"/>
      <c r="J180" s="109"/>
      <c r="K180" s="109"/>
      <c r="L180" s="109"/>
      <c r="M180" s="109"/>
      <c r="N180" s="128"/>
      <c r="O180" s="128"/>
      <c r="P180" s="128"/>
      <c r="Q180" s="155"/>
      <c r="R180" s="128"/>
      <c r="S180" s="128"/>
      <c r="T180" s="128"/>
      <c r="U180" s="109"/>
      <c r="V180" s="109"/>
      <c r="W180" s="109"/>
      <c r="X180" s="109"/>
      <c r="Y180" s="109"/>
      <c r="Z180" s="109"/>
      <c r="AA180" s="16"/>
      <c r="AB180" s="16"/>
      <c r="AC180" s="16"/>
      <c r="AD180" s="16"/>
      <c r="AE180" s="16"/>
      <c r="AF180" s="16"/>
      <c r="AG180" s="16"/>
      <c r="AH180" s="16"/>
      <c r="AI180" s="16"/>
      <c r="AJ180" s="16"/>
    </row>
    <row r="181" spans="1:36" x14ac:dyDescent="0.2">
      <c r="A181" s="16"/>
      <c r="B181" s="16"/>
      <c r="C181" s="16"/>
      <c r="D181" s="16"/>
      <c r="E181" s="16"/>
      <c r="F181" s="109"/>
      <c r="G181" s="109"/>
      <c r="H181" s="109"/>
      <c r="I181" s="109"/>
      <c r="J181" s="109"/>
      <c r="K181" s="109"/>
      <c r="L181" s="109"/>
      <c r="M181" s="109"/>
      <c r="N181" s="128"/>
      <c r="O181" s="128"/>
      <c r="P181" s="128"/>
      <c r="Q181" s="155"/>
      <c r="R181" s="128"/>
      <c r="S181" s="128"/>
      <c r="T181" s="128"/>
      <c r="U181" s="109"/>
      <c r="V181" s="109"/>
      <c r="W181" s="109"/>
      <c r="X181" s="109"/>
      <c r="Y181" s="109"/>
      <c r="Z181" s="109"/>
      <c r="AA181" s="16"/>
      <c r="AB181" s="16"/>
      <c r="AC181" s="16"/>
      <c r="AD181" s="16"/>
      <c r="AE181" s="16"/>
      <c r="AF181" s="16"/>
      <c r="AG181" s="16"/>
      <c r="AH181" s="16"/>
      <c r="AI181" s="16"/>
      <c r="AJ181" s="16"/>
    </row>
    <row r="182" spans="1:36" x14ac:dyDescent="0.2">
      <c r="A182" s="16"/>
      <c r="B182" s="16"/>
      <c r="C182" s="16"/>
      <c r="D182" s="16"/>
      <c r="E182" s="16"/>
      <c r="F182" s="109"/>
      <c r="G182" s="109"/>
      <c r="H182" s="109"/>
      <c r="I182" s="109"/>
      <c r="J182" s="109"/>
      <c r="K182" s="109"/>
      <c r="L182" s="109"/>
      <c r="M182" s="109"/>
      <c r="N182" s="128"/>
      <c r="O182" s="128"/>
      <c r="P182" s="128"/>
      <c r="Q182" s="155"/>
      <c r="R182" s="128"/>
      <c r="S182" s="128"/>
      <c r="T182" s="128"/>
      <c r="U182" s="109"/>
      <c r="V182" s="109"/>
      <c r="W182" s="109"/>
      <c r="X182" s="109"/>
      <c r="Y182" s="109"/>
      <c r="Z182" s="109"/>
      <c r="AA182" s="16"/>
      <c r="AB182" s="16"/>
      <c r="AC182" s="16"/>
      <c r="AD182" s="16"/>
      <c r="AE182" s="16"/>
      <c r="AF182" s="16"/>
      <c r="AG182" s="16"/>
      <c r="AH182" s="16"/>
      <c r="AI182" s="16"/>
      <c r="AJ182" s="16"/>
    </row>
    <row r="183" spans="1:36" x14ac:dyDescent="0.2">
      <c r="A183" s="16"/>
      <c r="B183" s="16"/>
      <c r="C183" s="16"/>
      <c r="D183" s="16"/>
      <c r="E183" s="16"/>
      <c r="F183" s="109"/>
      <c r="G183" s="109"/>
      <c r="H183" s="109"/>
      <c r="I183" s="109"/>
      <c r="J183" s="109"/>
      <c r="K183" s="109"/>
      <c r="L183" s="109"/>
      <c r="M183" s="109"/>
      <c r="N183" s="128"/>
      <c r="O183" s="128"/>
      <c r="P183" s="128"/>
      <c r="Q183" s="155"/>
      <c r="R183" s="128"/>
      <c r="S183" s="128"/>
      <c r="T183" s="128"/>
      <c r="U183" s="109"/>
      <c r="V183" s="109"/>
      <c r="W183" s="109"/>
      <c r="X183" s="109"/>
      <c r="Y183" s="109"/>
      <c r="Z183" s="109"/>
      <c r="AA183" s="16"/>
      <c r="AB183" s="16"/>
      <c r="AC183" s="16"/>
      <c r="AD183" s="16"/>
      <c r="AE183" s="16"/>
      <c r="AF183" s="16"/>
      <c r="AG183" s="16"/>
      <c r="AH183" s="16"/>
      <c r="AI183" s="16"/>
      <c r="AJ183" s="16"/>
    </row>
    <row r="184" spans="1:36" x14ac:dyDescent="0.2">
      <c r="A184" s="16"/>
      <c r="B184" s="16"/>
      <c r="C184" s="16"/>
      <c r="D184" s="16"/>
      <c r="E184" s="16"/>
      <c r="F184" s="109"/>
      <c r="G184" s="109"/>
      <c r="H184" s="109"/>
      <c r="I184" s="109"/>
      <c r="J184" s="109"/>
      <c r="K184" s="109"/>
      <c r="L184" s="109"/>
      <c r="M184" s="109"/>
      <c r="N184" s="128"/>
      <c r="O184" s="128"/>
      <c r="P184" s="128"/>
      <c r="Q184" s="155"/>
      <c r="R184" s="128"/>
      <c r="S184" s="128"/>
      <c r="T184" s="128"/>
      <c r="U184" s="109"/>
      <c r="V184" s="109"/>
      <c r="W184" s="109"/>
      <c r="X184" s="109"/>
      <c r="Y184" s="109"/>
      <c r="Z184" s="109"/>
      <c r="AA184" s="16"/>
      <c r="AB184" s="16"/>
      <c r="AC184" s="16"/>
      <c r="AD184" s="16"/>
      <c r="AE184" s="16"/>
      <c r="AF184" s="16"/>
      <c r="AG184" s="16"/>
      <c r="AH184" s="16"/>
      <c r="AI184" s="16"/>
      <c r="AJ184" s="16"/>
    </row>
    <row r="185" spans="1:36" x14ac:dyDescent="0.2">
      <c r="A185" s="16"/>
      <c r="B185" s="16"/>
      <c r="C185" s="16"/>
      <c r="D185" s="16"/>
      <c r="E185" s="16"/>
      <c r="F185" s="109"/>
      <c r="G185" s="109"/>
      <c r="H185" s="109"/>
      <c r="I185" s="109"/>
      <c r="J185" s="109"/>
      <c r="K185" s="109"/>
      <c r="L185" s="109"/>
      <c r="M185" s="109"/>
      <c r="N185" s="128"/>
      <c r="O185" s="128"/>
      <c r="P185" s="128"/>
      <c r="Q185" s="155"/>
      <c r="R185" s="128"/>
      <c r="S185" s="128"/>
      <c r="T185" s="128"/>
      <c r="U185" s="109"/>
      <c r="V185" s="109"/>
      <c r="W185" s="109"/>
      <c r="X185" s="109"/>
      <c r="Y185" s="109"/>
      <c r="Z185" s="109"/>
      <c r="AA185" s="16"/>
      <c r="AB185" s="16"/>
      <c r="AC185" s="16"/>
      <c r="AD185" s="16"/>
      <c r="AE185" s="16"/>
      <c r="AF185" s="16"/>
      <c r="AG185" s="16"/>
      <c r="AH185" s="16"/>
      <c r="AI185" s="16"/>
      <c r="AJ185" s="16"/>
    </row>
    <row r="186" spans="1:36" x14ac:dyDescent="0.2">
      <c r="A186" s="16"/>
      <c r="B186" s="16"/>
      <c r="C186" s="16"/>
      <c r="D186" s="16"/>
      <c r="E186" s="16"/>
      <c r="F186" s="109"/>
      <c r="G186" s="109"/>
      <c r="H186" s="109"/>
      <c r="I186" s="109"/>
      <c r="J186" s="109"/>
      <c r="K186" s="109"/>
      <c r="L186" s="109"/>
      <c r="M186" s="109"/>
      <c r="N186" s="128"/>
      <c r="O186" s="128"/>
      <c r="P186" s="128"/>
      <c r="Q186" s="155"/>
      <c r="R186" s="128"/>
      <c r="S186" s="128"/>
      <c r="T186" s="128"/>
      <c r="U186" s="109"/>
      <c r="V186" s="109"/>
      <c r="W186" s="109"/>
      <c r="X186" s="109"/>
      <c r="Y186" s="109"/>
      <c r="Z186" s="109"/>
      <c r="AA186" s="16"/>
      <c r="AB186" s="16"/>
      <c r="AC186" s="16"/>
      <c r="AD186" s="16"/>
      <c r="AE186" s="16"/>
      <c r="AF186" s="16"/>
      <c r="AG186" s="16"/>
      <c r="AH186" s="16"/>
      <c r="AI186" s="16"/>
      <c r="AJ186" s="16"/>
    </row>
    <row r="187" spans="1:36" x14ac:dyDescent="0.2">
      <c r="A187" s="16"/>
      <c r="B187" s="16"/>
      <c r="C187" s="16"/>
      <c r="D187" s="16"/>
      <c r="E187" s="16"/>
      <c r="F187" s="109"/>
      <c r="G187" s="109"/>
      <c r="H187" s="109"/>
      <c r="I187" s="109"/>
      <c r="J187" s="109"/>
      <c r="K187" s="109"/>
      <c r="L187" s="109"/>
      <c r="M187" s="109"/>
      <c r="N187" s="128"/>
      <c r="O187" s="128"/>
      <c r="P187" s="128"/>
      <c r="Q187" s="155"/>
      <c r="R187" s="128"/>
      <c r="S187" s="128"/>
      <c r="T187" s="128"/>
      <c r="U187" s="109"/>
      <c r="V187" s="109"/>
      <c r="W187" s="109"/>
      <c r="X187" s="109"/>
      <c r="Y187" s="109"/>
      <c r="Z187" s="109"/>
      <c r="AA187" s="16"/>
      <c r="AB187" s="16"/>
      <c r="AC187" s="16"/>
      <c r="AD187" s="16"/>
      <c r="AE187" s="16"/>
      <c r="AF187" s="16"/>
      <c r="AG187" s="16"/>
      <c r="AH187" s="16"/>
      <c r="AI187" s="16"/>
      <c r="AJ187" s="16"/>
    </row>
    <row r="188" spans="1:36" x14ac:dyDescent="0.2">
      <c r="A188" s="16"/>
      <c r="B188" s="16"/>
      <c r="C188" s="16"/>
      <c r="D188" s="16"/>
      <c r="E188" s="16"/>
      <c r="F188" s="109"/>
      <c r="G188" s="109"/>
      <c r="H188" s="109"/>
      <c r="I188" s="109"/>
      <c r="J188" s="109"/>
      <c r="K188" s="109"/>
      <c r="L188" s="109"/>
      <c r="M188" s="109"/>
      <c r="N188" s="128"/>
      <c r="O188" s="128"/>
      <c r="P188" s="128"/>
      <c r="Q188" s="155"/>
      <c r="R188" s="128"/>
      <c r="S188" s="128"/>
      <c r="T188" s="128"/>
      <c r="U188" s="109"/>
      <c r="V188" s="109"/>
      <c r="W188" s="109"/>
      <c r="X188" s="109"/>
      <c r="Y188" s="109"/>
      <c r="Z188" s="109"/>
      <c r="AA188" s="16"/>
      <c r="AB188" s="16"/>
      <c r="AC188" s="16"/>
      <c r="AD188" s="16"/>
      <c r="AE188" s="16"/>
      <c r="AF188" s="16"/>
      <c r="AG188" s="16"/>
      <c r="AH188" s="16"/>
      <c r="AI188" s="16"/>
      <c r="AJ188" s="16"/>
    </row>
    <row r="189" spans="1:36" x14ac:dyDescent="0.2">
      <c r="A189" s="16"/>
      <c r="B189" s="16"/>
      <c r="C189" s="16"/>
      <c r="D189" s="16"/>
      <c r="E189" s="16"/>
      <c r="F189" s="109"/>
      <c r="G189" s="109"/>
      <c r="H189" s="109"/>
      <c r="I189" s="109"/>
      <c r="J189" s="109"/>
      <c r="K189" s="109"/>
      <c r="L189" s="109"/>
      <c r="M189" s="109"/>
      <c r="N189" s="128"/>
      <c r="O189" s="128"/>
      <c r="P189" s="128"/>
      <c r="Q189" s="155"/>
      <c r="R189" s="128"/>
      <c r="S189" s="128"/>
      <c r="T189" s="128"/>
      <c r="U189" s="109"/>
      <c r="V189" s="109"/>
      <c r="W189" s="109"/>
      <c r="X189" s="109"/>
      <c r="Y189" s="109"/>
      <c r="Z189" s="109"/>
      <c r="AA189" s="16"/>
      <c r="AB189" s="16"/>
      <c r="AC189" s="16"/>
      <c r="AD189" s="16"/>
      <c r="AE189" s="16"/>
      <c r="AF189" s="16"/>
      <c r="AG189" s="16"/>
      <c r="AH189" s="16"/>
      <c r="AI189" s="16"/>
      <c r="AJ189" s="16"/>
    </row>
    <row r="190" spans="1:36" x14ac:dyDescent="0.2">
      <c r="A190" s="16"/>
      <c r="B190" s="16"/>
      <c r="C190" s="16"/>
      <c r="D190" s="16"/>
      <c r="E190" s="16"/>
      <c r="F190" s="109"/>
      <c r="G190" s="109"/>
      <c r="H190" s="109"/>
      <c r="I190" s="109"/>
      <c r="J190" s="109"/>
      <c r="K190" s="109"/>
      <c r="L190" s="109"/>
      <c r="M190" s="109"/>
      <c r="N190" s="128"/>
      <c r="O190" s="128"/>
      <c r="P190" s="128"/>
      <c r="Q190" s="155"/>
      <c r="R190" s="128"/>
      <c r="S190" s="128"/>
      <c r="T190" s="128"/>
      <c r="U190" s="109"/>
      <c r="V190" s="109"/>
      <c r="W190" s="109"/>
      <c r="X190" s="109"/>
      <c r="Y190" s="109"/>
      <c r="Z190" s="109"/>
      <c r="AA190" s="16"/>
      <c r="AB190" s="16"/>
      <c r="AC190" s="16"/>
      <c r="AD190" s="16"/>
      <c r="AE190" s="16"/>
      <c r="AF190" s="16"/>
      <c r="AG190" s="16"/>
      <c r="AH190" s="16"/>
      <c r="AI190" s="16"/>
      <c r="AJ190" s="16"/>
    </row>
    <row r="191" spans="1:36" x14ac:dyDescent="0.2">
      <c r="A191" s="16"/>
      <c r="B191" s="16"/>
      <c r="C191" s="16"/>
      <c r="D191" s="16"/>
      <c r="E191" s="16"/>
      <c r="F191" s="109"/>
      <c r="G191" s="109"/>
      <c r="H191" s="109"/>
      <c r="I191" s="109"/>
      <c r="J191" s="109"/>
      <c r="K191" s="109"/>
      <c r="L191" s="109"/>
      <c r="M191" s="109"/>
      <c r="N191" s="128"/>
      <c r="O191" s="128"/>
      <c r="P191" s="128"/>
      <c r="Q191" s="155"/>
      <c r="R191" s="128"/>
      <c r="S191" s="128"/>
      <c r="T191" s="128"/>
      <c r="U191" s="109"/>
      <c r="V191" s="109"/>
      <c r="W191" s="109"/>
      <c r="X191" s="109"/>
      <c r="Y191" s="109"/>
      <c r="Z191" s="109"/>
      <c r="AA191" s="16"/>
      <c r="AB191" s="16"/>
      <c r="AC191" s="16"/>
      <c r="AD191" s="16"/>
      <c r="AE191" s="16"/>
      <c r="AF191" s="16"/>
      <c r="AG191" s="16"/>
      <c r="AH191" s="16"/>
      <c r="AI191" s="16"/>
      <c r="AJ191" s="16"/>
    </row>
    <row r="192" spans="1:36" x14ac:dyDescent="0.2">
      <c r="A192" s="16"/>
      <c r="B192" s="16"/>
      <c r="C192" s="16"/>
      <c r="D192" s="16"/>
      <c r="E192" s="16"/>
      <c r="F192" s="109"/>
      <c r="G192" s="109"/>
      <c r="H192" s="109"/>
      <c r="I192" s="109"/>
      <c r="J192" s="109"/>
      <c r="K192" s="109"/>
      <c r="L192" s="109"/>
      <c r="M192" s="109"/>
      <c r="N192" s="128"/>
      <c r="O192" s="128"/>
      <c r="P192" s="128"/>
      <c r="Q192" s="155"/>
      <c r="R192" s="128"/>
      <c r="S192" s="128"/>
      <c r="T192" s="128"/>
      <c r="U192" s="109"/>
      <c r="V192" s="109"/>
      <c r="W192" s="109"/>
      <c r="X192" s="109"/>
      <c r="Y192" s="109"/>
      <c r="Z192" s="109"/>
      <c r="AA192" s="16"/>
      <c r="AB192" s="16"/>
      <c r="AC192" s="16"/>
      <c r="AD192" s="16"/>
      <c r="AE192" s="16"/>
      <c r="AF192" s="16"/>
      <c r="AG192" s="16"/>
      <c r="AH192" s="16"/>
      <c r="AI192" s="16"/>
      <c r="AJ192" s="16"/>
    </row>
    <row r="193" spans="1:36" x14ac:dyDescent="0.2">
      <c r="A193" s="16"/>
      <c r="B193" s="16"/>
      <c r="C193" s="16"/>
      <c r="D193" s="16"/>
      <c r="E193" s="16"/>
      <c r="F193" s="109"/>
      <c r="G193" s="109"/>
      <c r="H193" s="109"/>
      <c r="I193" s="109"/>
      <c r="J193" s="109"/>
      <c r="K193" s="109"/>
      <c r="L193" s="109"/>
      <c r="M193" s="109"/>
      <c r="N193" s="128"/>
      <c r="O193" s="128"/>
      <c r="P193" s="128"/>
      <c r="Q193" s="155"/>
      <c r="R193" s="128"/>
      <c r="S193" s="128"/>
      <c r="T193" s="128"/>
      <c r="U193" s="109"/>
      <c r="V193" s="109"/>
      <c r="W193" s="109"/>
      <c r="X193" s="109"/>
      <c r="Y193" s="109"/>
      <c r="Z193" s="109"/>
      <c r="AA193" s="16"/>
      <c r="AB193" s="16"/>
      <c r="AC193" s="16"/>
      <c r="AD193" s="16"/>
      <c r="AE193" s="16"/>
      <c r="AF193" s="16"/>
      <c r="AG193" s="16"/>
      <c r="AH193" s="16"/>
      <c r="AI193" s="16"/>
      <c r="AJ193" s="16"/>
    </row>
    <row r="194" spans="1:36" x14ac:dyDescent="0.2">
      <c r="A194" s="16"/>
      <c r="B194" s="16"/>
      <c r="C194" s="16"/>
      <c r="D194" s="16"/>
      <c r="E194" s="16"/>
      <c r="F194" s="109"/>
      <c r="G194" s="109"/>
      <c r="H194" s="109"/>
      <c r="I194" s="109"/>
      <c r="J194" s="109"/>
      <c r="K194" s="109"/>
      <c r="L194" s="109"/>
      <c r="M194" s="109"/>
      <c r="N194" s="128"/>
      <c r="O194" s="128"/>
      <c r="P194" s="128"/>
      <c r="Q194" s="155"/>
      <c r="R194" s="128"/>
      <c r="S194" s="128"/>
      <c r="T194" s="128"/>
      <c r="U194" s="109"/>
      <c r="V194" s="109"/>
      <c r="W194" s="109"/>
      <c r="X194" s="109"/>
      <c r="Y194" s="109"/>
      <c r="Z194" s="109"/>
      <c r="AA194" s="16"/>
      <c r="AB194" s="16"/>
      <c r="AC194" s="16"/>
      <c r="AD194" s="16"/>
      <c r="AE194" s="16"/>
      <c r="AF194" s="16"/>
      <c r="AG194" s="16"/>
      <c r="AH194" s="16"/>
      <c r="AI194" s="16"/>
      <c r="AJ194" s="16"/>
    </row>
    <row r="195" spans="1:36" x14ac:dyDescent="0.2">
      <c r="A195" s="16"/>
      <c r="B195" s="16"/>
      <c r="C195" s="16"/>
      <c r="D195" s="16"/>
      <c r="E195" s="16"/>
      <c r="F195" s="109"/>
      <c r="G195" s="109"/>
      <c r="H195" s="109"/>
      <c r="I195" s="109"/>
      <c r="J195" s="109"/>
      <c r="K195" s="109"/>
      <c r="L195" s="109"/>
      <c r="M195" s="109"/>
      <c r="N195" s="128"/>
      <c r="O195" s="128"/>
      <c r="P195" s="128"/>
      <c r="Q195" s="155"/>
      <c r="R195" s="128"/>
      <c r="S195" s="128"/>
      <c r="T195" s="128"/>
      <c r="U195" s="109"/>
      <c r="V195" s="109"/>
      <c r="W195" s="109"/>
      <c r="X195" s="109"/>
      <c r="Y195" s="109"/>
      <c r="Z195" s="109"/>
      <c r="AA195" s="16"/>
      <c r="AB195" s="16"/>
      <c r="AC195" s="16"/>
      <c r="AD195" s="16"/>
      <c r="AE195" s="16"/>
      <c r="AF195" s="16"/>
      <c r="AG195" s="16"/>
      <c r="AH195" s="16"/>
      <c r="AI195" s="16"/>
      <c r="AJ195" s="16"/>
    </row>
    <row r="196" spans="1:36" x14ac:dyDescent="0.2">
      <c r="A196" s="16"/>
      <c r="B196" s="16"/>
      <c r="C196" s="16"/>
      <c r="D196" s="16"/>
      <c r="E196" s="16"/>
      <c r="F196" s="109"/>
      <c r="G196" s="109"/>
      <c r="H196" s="109"/>
      <c r="I196" s="109"/>
      <c r="J196" s="109"/>
      <c r="K196" s="109"/>
      <c r="L196" s="109"/>
      <c r="M196" s="109"/>
      <c r="N196" s="128"/>
      <c r="O196" s="128"/>
      <c r="P196" s="128"/>
      <c r="Q196" s="155"/>
      <c r="R196" s="128"/>
      <c r="S196" s="128"/>
      <c r="T196" s="128"/>
      <c r="U196" s="109"/>
      <c r="V196" s="109"/>
      <c r="W196" s="109"/>
      <c r="X196" s="109"/>
      <c r="Y196" s="109"/>
      <c r="Z196" s="109"/>
      <c r="AA196" s="16"/>
      <c r="AB196" s="16"/>
      <c r="AC196" s="16"/>
      <c r="AD196" s="16"/>
      <c r="AE196" s="16"/>
      <c r="AF196" s="16"/>
      <c r="AG196" s="16"/>
      <c r="AH196" s="16"/>
      <c r="AI196" s="16"/>
      <c r="AJ196" s="16"/>
    </row>
    <row r="197" spans="1:36" x14ac:dyDescent="0.2">
      <c r="A197" s="16"/>
      <c r="B197" s="16"/>
      <c r="C197" s="16"/>
      <c r="D197" s="16"/>
      <c r="E197" s="16"/>
      <c r="F197" s="109"/>
      <c r="G197" s="109"/>
      <c r="H197" s="109"/>
      <c r="I197" s="109"/>
      <c r="J197" s="109"/>
      <c r="K197" s="109"/>
      <c r="L197" s="109"/>
      <c r="M197" s="109"/>
      <c r="N197" s="128"/>
      <c r="O197" s="128"/>
      <c r="P197" s="128"/>
      <c r="Q197" s="155"/>
      <c r="R197" s="128"/>
      <c r="S197" s="128"/>
      <c r="T197" s="128"/>
      <c r="U197" s="109"/>
      <c r="V197" s="109"/>
      <c r="W197" s="109"/>
      <c r="X197" s="109"/>
      <c r="Y197" s="109"/>
      <c r="Z197" s="109"/>
      <c r="AA197" s="16"/>
      <c r="AB197" s="16"/>
      <c r="AC197" s="16"/>
      <c r="AD197" s="16"/>
      <c r="AE197" s="16"/>
      <c r="AF197" s="16"/>
      <c r="AG197" s="16"/>
      <c r="AH197" s="16"/>
      <c r="AI197" s="16"/>
      <c r="AJ197" s="16"/>
    </row>
    <row r="198" spans="1:36" x14ac:dyDescent="0.2">
      <c r="A198" s="16"/>
      <c r="B198" s="16"/>
      <c r="C198" s="16"/>
      <c r="D198" s="16"/>
      <c r="E198" s="16"/>
      <c r="F198" s="109"/>
      <c r="G198" s="109"/>
      <c r="H198" s="109"/>
      <c r="I198" s="109"/>
      <c r="J198" s="109"/>
      <c r="K198" s="109"/>
      <c r="L198" s="109"/>
      <c r="M198" s="109"/>
      <c r="N198" s="128"/>
      <c r="O198" s="128"/>
      <c r="P198" s="128"/>
      <c r="Q198" s="155"/>
      <c r="R198" s="128"/>
      <c r="S198" s="128"/>
      <c r="T198" s="128"/>
      <c r="U198" s="109"/>
      <c r="V198" s="109"/>
      <c r="W198" s="109"/>
      <c r="X198" s="109"/>
      <c r="Y198" s="109"/>
      <c r="Z198" s="109"/>
      <c r="AA198" s="16"/>
      <c r="AB198" s="16"/>
      <c r="AC198" s="16"/>
      <c r="AD198" s="16"/>
      <c r="AE198" s="16"/>
      <c r="AF198" s="16"/>
      <c r="AG198" s="16"/>
      <c r="AH198" s="16"/>
      <c r="AI198" s="16"/>
      <c r="AJ198" s="16"/>
    </row>
    <row r="199" spans="1:36" x14ac:dyDescent="0.2">
      <c r="A199" s="16"/>
      <c r="B199" s="16"/>
      <c r="C199" s="16"/>
      <c r="D199" s="16"/>
      <c r="E199" s="16"/>
      <c r="F199" s="109"/>
      <c r="G199" s="109"/>
      <c r="H199" s="109"/>
      <c r="I199" s="109"/>
      <c r="J199" s="109"/>
      <c r="K199" s="109"/>
      <c r="L199" s="109"/>
      <c r="M199" s="109"/>
      <c r="N199" s="128"/>
      <c r="O199" s="128"/>
      <c r="P199" s="128"/>
      <c r="Q199" s="155"/>
      <c r="R199" s="128"/>
      <c r="S199" s="128"/>
      <c r="T199" s="128"/>
      <c r="U199" s="109"/>
      <c r="V199" s="109"/>
      <c r="W199" s="109"/>
      <c r="X199" s="109"/>
      <c r="Y199" s="109"/>
      <c r="Z199" s="109"/>
      <c r="AA199" s="16"/>
      <c r="AB199" s="16"/>
      <c r="AC199" s="16"/>
      <c r="AD199" s="16"/>
      <c r="AE199" s="16"/>
      <c r="AF199" s="16"/>
      <c r="AG199" s="16"/>
      <c r="AH199" s="16"/>
      <c r="AI199" s="16"/>
      <c r="AJ199" s="16"/>
    </row>
    <row r="200" spans="1:36" x14ac:dyDescent="0.2">
      <c r="A200" s="16"/>
      <c r="B200" s="16"/>
      <c r="C200" s="16"/>
      <c r="D200" s="16"/>
      <c r="E200" s="16"/>
      <c r="F200" s="109"/>
      <c r="G200" s="109"/>
      <c r="H200" s="109"/>
      <c r="I200" s="109"/>
      <c r="J200" s="109"/>
      <c r="K200" s="109"/>
      <c r="L200" s="109"/>
      <c r="M200" s="109"/>
      <c r="N200" s="128"/>
      <c r="O200" s="128"/>
      <c r="P200" s="128"/>
      <c r="Q200" s="155"/>
      <c r="R200" s="128"/>
      <c r="S200" s="128"/>
      <c r="T200" s="128"/>
      <c r="U200" s="109"/>
      <c r="V200" s="109"/>
      <c r="W200" s="109"/>
      <c r="X200" s="109"/>
      <c r="Y200" s="109"/>
      <c r="Z200" s="109"/>
      <c r="AA200" s="16"/>
      <c r="AB200" s="16"/>
      <c r="AC200" s="16"/>
      <c r="AD200" s="16"/>
      <c r="AE200" s="16"/>
      <c r="AF200" s="16"/>
      <c r="AG200" s="16"/>
      <c r="AH200" s="16"/>
      <c r="AI200" s="16"/>
      <c r="AJ200" s="16"/>
    </row>
    <row r="201" spans="1:36" x14ac:dyDescent="0.2">
      <c r="A201" s="16"/>
      <c r="B201" s="16"/>
      <c r="C201" s="16"/>
      <c r="D201" s="16"/>
      <c r="E201" s="16"/>
      <c r="F201" s="109"/>
      <c r="G201" s="109"/>
      <c r="H201" s="109"/>
      <c r="I201" s="109"/>
      <c r="J201" s="109"/>
      <c r="K201" s="109"/>
      <c r="L201" s="109"/>
      <c r="M201" s="109"/>
      <c r="N201" s="128"/>
      <c r="O201" s="128"/>
      <c r="P201" s="128"/>
      <c r="Q201" s="155"/>
      <c r="R201" s="128"/>
      <c r="S201" s="128"/>
      <c r="T201" s="128"/>
      <c r="U201" s="109"/>
      <c r="V201" s="109"/>
      <c r="W201" s="109"/>
      <c r="X201" s="109"/>
      <c r="Y201" s="109"/>
      <c r="Z201" s="109"/>
      <c r="AA201" s="16"/>
      <c r="AB201" s="16"/>
      <c r="AC201" s="16"/>
      <c r="AD201" s="16"/>
      <c r="AE201" s="16"/>
      <c r="AF201" s="16"/>
      <c r="AG201" s="16"/>
      <c r="AH201" s="16"/>
      <c r="AI201" s="16"/>
      <c r="AJ201" s="16"/>
    </row>
    <row r="202" spans="1:36" x14ac:dyDescent="0.2">
      <c r="A202" s="16"/>
      <c r="B202" s="16"/>
      <c r="C202" s="16"/>
      <c r="D202" s="16"/>
      <c r="E202" s="16"/>
      <c r="F202" s="109"/>
      <c r="G202" s="109"/>
      <c r="H202" s="109"/>
      <c r="I202" s="109"/>
      <c r="J202" s="109"/>
      <c r="K202" s="109"/>
      <c r="L202" s="109"/>
      <c r="M202" s="109"/>
      <c r="N202" s="128"/>
      <c r="O202" s="128"/>
      <c r="P202" s="128"/>
      <c r="Q202" s="155"/>
      <c r="R202" s="128"/>
      <c r="S202" s="128"/>
      <c r="T202" s="128"/>
      <c r="U202" s="109"/>
      <c r="V202" s="109"/>
      <c r="W202" s="109"/>
      <c r="X202" s="109"/>
      <c r="Y202" s="109"/>
      <c r="Z202" s="109"/>
      <c r="AA202" s="16"/>
      <c r="AB202" s="16"/>
      <c r="AC202" s="16"/>
      <c r="AD202" s="16"/>
      <c r="AE202" s="16"/>
      <c r="AF202" s="16"/>
      <c r="AG202" s="16"/>
      <c r="AH202" s="16"/>
      <c r="AI202" s="16"/>
      <c r="AJ202" s="16"/>
    </row>
    <row r="203" spans="1:36" x14ac:dyDescent="0.2">
      <c r="A203" s="16"/>
      <c r="B203" s="16"/>
      <c r="C203" s="16"/>
      <c r="D203" s="16"/>
      <c r="E203" s="16"/>
      <c r="F203" s="109"/>
      <c r="G203" s="109"/>
      <c r="H203" s="109"/>
      <c r="I203" s="109"/>
      <c r="J203" s="109"/>
      <c r="K203" s="109"/>
      <c r="L203" s="109"/>
      <c r="M203" s="109"/>
      <c r="N203" s="128"/>
      <c r="O203" s="128"/>
      <c r="P203" s="128"/>
      <c r="Q203" s="155"/>
      <c r="R203" s="128"/>
      <c r="S203" s="128"/>
      <c r="T203" s="128"/>
      <c r="U203" s="109"/>
      <c r="V203" s="109"/>
      <c r="W203" s="109"/>
      <c r="X203" s="109"/>
      <c r="Y203" s="109"/>
      <c r="Z203" s="109"/>
      <c r="AA203" s="16"/>
      <c r="AB203" s="16"/>
      <c r="AC203" s="16"/>
      <c r="AD203" s="16"/>
      <c r="AE203" s="16"/>
      <c r="AF203" s="16"/>
      <c r="AG203" s="16"/>
      <c r="AH203" s="16"/>
      <c r="AI203" s="16"/>
      <c r="AJ203" s="16"/>
    </row>
    <row r="204" spans="1:36" x14ac:dyDescent="0.2">
      <c r="A204" s="16"/>
      <c r="B204" s="16"/>
      <c r="C204" s="16"/>
      <c r="D204" s="16"/>
      <c r="E204" s="16"/>
      <c r="F204" s="109"/>
      <c r="G204" s="109"/>
      <c r="H204" s="109"/>
      <c r="I204" s="109"/>
      <c r="J204" s="109"/>
      <c r="K204" s="109"/>
      <c r="L204" s="109"/>
      <c r="M204" s="109"/>
      <c r="N204" s="128"/>
      <c r="O204" s="128"/>
      <c r="P204" s="128"/>
      <c r="Q204" s="155"/>
      <c r="R204" s="128"/>
      <c r="S204" s="128"/>
      <c r="T204" s="128"/>
      <c r="U204" s="109"/>
      <c r="V204" s="109"/>
      <c r="W204" s="109"/>
      <c r="X204" s="109"/>
      <c r="Y204" s="109"/>
      <c r="Z204" s="109"/>
      <c r="AA204" s="16"/>
      <c r="AB204" s="16"/>
      <c r="AC204" s="16"/>
      <c r="AD204" s="16"/>
      <c r="AE204" s="16"/>
      <c r="AF204" s="16"/>
      <c r="AG204" s="16"/>
      <c r="AH204" s="16"/>
      <c r="AI204" s="16"/>
      <c r="AJ204" s="16"/>
    </row>
    <row r="205" spans="1:36" x14ac:dyDescent="0.2">
      <c r="A205" s="16"/>
      <c r="B205" s="16"/>
      <c r="C205" s="16"/>
      <c r="D205" s="16"/>
      <c r="E205" s="16"/>
      <c r="F205" s="109"/>
      <c r="G205" s="109"/>
      <c r="H205" s="109"/>
      <c r="I205" s="109"/>
      <c r="J205" s="109"/>
      <c r="K205" s="109"/>
      <c r="L205" s="109"/>
      <c r="M205" s="109"/>
      <c r="N205" s="128"/>
      <c r="O205" s="128"/>
      <c r="P205" s="128"/>
      <c r="Q205" s="155"/>
      <c r="R205" s="128"/>
      <c r="S205" s="128"/>
      <c r="T205" s="128"/>
      <c r="U205" s="109"/>
      <c r="V205" s="109"/>
      <c r="W205" s="109"/>
      <c r="X205" s="109"/>
      <c r="Y205" s="109"/>
      <c r="Z205" s="109"/>
      <c r="AA205" s="16"/>
      <c r="AB205" s="16"/>
      <c r="AC205" s="16"/>
      <c r="AD205" s="16"/>
      <c r="AE205" s="16"/>
      <c r="AF205" s="16"/>
      <c r="AG205" s="16"/>
      <c r="AH205" s="16"/>
      <c r="AI205" s="16"/>
      <c r="AJ205" s="16"/>
    </row>
    <row r="206" spans="1:36" x14ac:dyDescent="0.2">
      <c r="A206" s="16"/>
      <c r="B206" s="16"/>
      <c r="C206" s="16"/>
      <c r="D206" s="16"/>
      <c r="E206" s="16"/>
      <c r="F206" s="109"/>
      <c r="G206" s="109"/>
      <c r="H206" s="109"/>
      <c r="I206" s="109"/>
      <c r="J206" s="109"/>
      <c r="K206" s="109"/>
      <c r="L206" s="109"/>
      <c r="M206" s="109"/>
      <c r="N206" s="128"/>
      <c r="O206" s="128"/>
      <c r="P206" s="128"/>
      <c r="Q206" s="155"/>
      <c r="R206" s="128"/>
      <c r="S206" s="128"/>
      <c r="T206" s="128"/>
      <c r="U206" s="109"/>
      <c r="V206" s="109"/>
      <c r="W206" s="109"/>
      <c r="X206" s="109"/>
      <c r="Y206" s="109"/>
      <c r="Z206" s="109"/>
      <c r="AA206" s="16"/>
      <c r="AB206" s="16"/>
      <c r="AC206" s="16"/>
      <c r="AD206" s="16"/>
      <c r="AE206" s="16"/>
      <c r="AF206" s="16"/>
      <c r="AG206" s="16"/>
      <c r="AH206" s="16"/>
      <c r="AI206" s="16"/>
      <c r="AJ206" s="16"/>
    </row>
    <row r="207" spans="1:36" x14ac:dyDescent="0.2">
      <c r="A207" s="16"/>
      <c r="B207" s="16"/>
      <c r="C207" s="16"/>
      <c r="D207" s="16"/>
      <c r="E207" s="16"/>
      <c r="F207" s="109"/>
      <c r="G207" s="109"/>
      <c r="H207" s="109"/>
      <c r="I207" s="109"/>
      <c r="J207" s="109"/>
      <c r="K207" s="109"/>
      <c r="L207" s="109"/>
      <c r="M207" s="109"/>
      <c r="N207" s="128"/>
      <c r="O207" s="128"/>
      <c r="P207" s="128"/>
      <c r="Q207" s="155"/>
      <c r="R207" s="128"/>
      <c r="S207" s="128"/>
      <c r="T207" s="128"/>
      <c r="U207" s="109"/>
      <c r="V207" s="109"/>
      <c r="W207" s="109"/>
      <c r="X207" s="109"/>
      <c r="Y207" s="109"/>
      <c r="Z207" s="109"/>
      <c r="AA207" s="16"/>
      <c r="AB207" s="16"/>
      <c r="AC207" s="16"/>
      <c r="AD207" s="16"/>
      <c r="AE207" s="16"/>
      <c r="AF207" s="16"/>
      <c r="AG207" s="16"/>
      <c r="AH207" s="16"/>
      <c r="AI207" s="16"/>
      <c r="AJ207" s="16"/>
    </row>
    <row r="208" spans="1:36" x14ac:dyDescent="0.2">
      <c r="A208" s="16"/>
      <c r="B208" s="16"/>
      <c r="C208" s="16"/>
      <c r="D208" s="16"/>
      <c r="E208" s="16"/>
      <c r="F208" s="109"/>
      <c r="G208" s="109"/>
      <c r="H208" s="109"/>
      <c r="I208" s="109"/>
      <c r="J208" s="109"/>
      <c r="K208" s="109"/>
      <c r="L208" s="109"/>
      <c r="M208" s="109"/>
      <c r="N208" s="128"/>
      <c r="O208" s="128"/>
      <c r="P208" s="128"/>
      <c r="Q208" s="155"/>
      <c r="R208" s="128"/>
      <c r="S208" s="128"/>
      <c r="T208" s="128"/>
      <c r="U208" s="109"/>
      <c r="V208" s="109"/>
      <c r="W208" s="109"/>
      <c r="X208" s="109"/>
      <c r="Y208" s="109"/>
      <c r="Z208" s="109"/>
      <c r="AA208" s="16"/>
      <c r="AB208" s="16"/>
      <c r="AC208" s="16"/>
      <c r="AD208" s="16"/>
      <c r="AE208" s="16"/>
      <c r="AF208" s="16"/>
      <c r="AG208" s="16"/>
      <c r="AH208" s="16"/>
      <c r="AI208" s="16"/>
      <c r="AJ208" s="16"/>
    </row>
    <row r="209" spans="1:36" x14ac:dyDescent="0.2">
      <c r="A209" s="16"/>
      <c r="B209" s="16"/>
      <c r="C209" s="16"/>
      <c r="D209" s="16"/>
      <c r="E209" s="16"/>
      <c r="F209" s="109"/>
      <c r="G209" s="109"/>
      <c r="H209" s="109"/>
      <c r="I209" s="109"/>
      <c r="J209" s="109"/>
      <c r="K209" s="109"/>
      <c r="L209" s="109"/>
      <c r="M209" s="109"/>
      <c r="N209" s="128"/>
      <c r="O209" s="128"/>
      <c r="P209" s="128"/>
      <c r="Q209" s="155"/>
      <c r="R209" s="128"/>
      <c r="S209" s="128"/>
      <c r="T209" s="128"/>
      <c r="U209" s="109"/>
      <c r="V209" s="109"/>
      <c r="W209" s="109"/>
      <c r="X209" s="109"/>
      <c r="Y209" s="109"/>
      <c r="Z209" s="109"/>
      <c r="AA209" s="16"/>
      <c r="AB209" s="16"/>
      <c r="AC209" s="16"/>
      <c r="AD209" s="16"/>
      <c r="AE209" s="16"/>
      <c r="AF209" s="16"/>
      <c r="AG209" s="16"/>
      <c r="AH209" s="16"/>
      <c r="AI209" s="16"/>
      <c r="AJ209" s="16"/>
    </row>
    <row r="210" spans="1:36" x14ac:dyDescent="0.2">
      <c r="A210" s="16"/>
      <c r="B210" s="16"/>
      <c r="C210" s="16"/>
      <c r="D210" s="16"/>
      <c r="E210" s="16"/>
      <c r="F210" s="109"/>
      <c r="G210" s="109"/>
      <c r="H210" s="109"/>
      <c r="I210" s="109"/>
      <c r="J210" s="109"/>
      <c r="K210" s="109"/>
      <c r="L210" s="109"/>
      <c r="M210" s="109"/>
      <c r="N210" s="128"/>
      <c r="O210" s="128"/>
      <c r="P210" s="128"/>
      <c r="Q210" s="155"/>
      <c r="R210" s="128"/>
      <c r="S210" s="128"/>
      <c r="T210" s="128"/>
      <c r="U210" s="109"/>
      <c r="V210" s="109"/>
      <c r="W210" s="109"/>
      <c r="X210" s="109"/>
      <c r="Y210" s="109"/>
      <c r="Z210" s="109"/>
      <c r="AA210" s="16"/>
      <c r="AB210" s="16"/>
      <c r="AC210" s="16"/>
      <c r="AD210" s="16"/>
      <c r="AE210" s="16"/>
      <c r="AF210" s="16"/>
      <c r="AG210" s="16"/>
      <c r="AH210" s="16"/>
      <c r="AI210" s="16"/>
      <c r="AJ210" s="16"/>
    </row>
    <row r="211" spans="1:36" x14ac:dyDescent="0.2">
      <c r="A211" s="16"/>
      <c r="B211" s="16"/>
      <c r="C211" s="16"/>
      <c r="D211" s="16"/>
      <c r="E211" s="16"/>
      <c r="F211" s="109"/>
      <c r="G211" s="109"/>
      <c r="H211" s="109"/>
      <c r="I211" s="109"/>
      <c r="J211" s="109"/>
      <c r="K211" s="109"/>
      <c r="L211" s="109"/>
      <c r="M211" s="109"/>
      <c r="N211" s="128"/>
      <c r="O211" s="128"/>
      <c r="P211" s="128"/>
      <c r="Q211" s="155"/>
      <c r="R211" s="128"/>
      <c r="S211" s="128"/>
      <c r="T211" s="128"/>
      <c r="U211" s="109"/>
      <c r="V211" s="109"/>
      <c r="W211" s="109"/>
      <c r="X211" s="109"/>
      <c r="Y211" s="109"/>
      <c r="Z211" s="109"/>
      <c r="AA211" s="16"/>
      <c r="AB211" s="16"/>
      <c r="AC211" s="16"/>
      <c r="AD211" s="16"/>
      <c r="AE211" s="16"/>
      <c r="AF211" s="16"/>
      <c r="AG211" s="16"/>
      <c r="AH211" s="16"/>
      <c r="AI211" s="16"/>
      <c r="AJ211" s="16"/>
    </row>
    <row r="212" spans="1:36" x14ac:dyDescent="0.2">
      <c r="A212" s="16"/>
      <c r="B212" s="16"/>
      <c r="C212" s="16"/>
      <c r="D212" s="16"/>
      <c r="E212" s="16"/>
      <c r="F212" s="109"/>
      <c r="G212" s="109"/>
      <c r="H212" s="109"/>
      <c r="I212" s="109"/>
      <c r="J212" s="109"/>
      <c r="K212" s="109"/>
      <c r="L212" s="109"/>
      <c r="M212" s="109"/>
      <c r="N212" s="128"/>
      <c r="O212" s="128"/>
      <c r="P212" s="128"/>
      <c r="Q212" s="155"/>
      <c r="R212" s="128"/>
      <c r="S212" s="128"/>
      <c r="T212" s="128"/>
      <c r="U212" s="109"/>
      <c r="V212" s="109"/>
      <c r="W212" s="109"/>
      <c r="X212" s="109"/>
      <c r="Y212" s="109"/>
      <c r="Z212" s="109"/>
      <c r="AA212" s="16"/>
      <c r="AB212" s="16"/>
      <c r="AC212" s="16"/>
      <c r="AD212" s="16"/>
      <c r="AE212" s="16"/>
      <c r="AF212" s="16"/>
      <c r="AG212" s="16"/>
      <c r="AH212" s="16"/>
      <c r="AI212" s="16"/>
      <c r="AJ212" s="16"/>
    </row>
    <row r="213" spans="1:36" x14ac:dyDescent="0.2">
      <c r="A213" s="16"/>
      <c r="B213" s="16"/>
      <c r="C213" s="16"/>
      <c r="D213" s="16"/>
      <c r="E213" s="16"/>
      <c r="F213" s="109"/>
      <c r="G213" s="109"/>
      <c r="H213" s="109"/>
      <c r="I213" s="109"/>
      <c r="J213" s="109"/>
      <c r="K213" s="109"/>
      <c r="L213" s="109"/>
      <c r="M213" s="109"/>
      <c r="N213" s="128"/>
      <c r="O213" s="128"/>
      <c r="P213" s="128"/>
      <c r="Q213" s="155"/>
      <c r="R213" s="128"/>
      <c r="S213" s="128"/>
      <c r="T213" s="128"/>
      <c r="U213" s="109"/>
      <c r="V213" s="109"/>
      <c r="W213" s="109"/>
      <c r="X213" s="109"/>
      <c r="Y213" s="109"/>
      <c r="Z213" s="109"/>
      <c r="AA213" s="16"/>
      <c r="AB213" s="16"/>
      <c r="AC213" s="16"/>
      <c r="AD213" s="16"/>
      <c r="AE213" s="16"/>
      <c r="AF213" s="16"/>
      <c r="AG213" s="16"/>
      <c r="AH213" s="16"/>
      <c r="AI213" s="16"/>
      <c r="AJ213" s="16"/>
    </row>
    <row r="214" spans="1:36" x14ac:dyDescent="0.2">
      <c r="A214" s="16"/>
      <c r="B214" s="16"/>
      <c r="C214" s="16"/>
      <c r="D214" s="16"/>
      <c r="E214" s="16"/>
      <c r="F214" s="109"/>
      <c r="G214" s="109"/>
      <c r="H214" s="109"/>
      <c r="I214" s="109"/>
      <c r="J214" s="109"/>
      <c r="K214" s="109"/>
      <c r="L214" s="109"/>
      <c r="M214" s="109"/>
      <c r="N214" s="128"/>
      <c r="O214" s="128"/>
      <c r="P214" s="128"/>
      <c r="Q214" s="155"/>
      <c r="R214" s="128"/>
      <c r="S214" s="128"/>
      <c r="T214" s="128"/>
      <c r="U214" s="109"/>
      <c r="V214" s="109"/>
      <c r="W214" s="109"/>
      <c r="X214" s="109"/>
      <c r="Y214" s="109"/>
      <c r="Z214" s="109"/>
      <c r="AA214" s="16"/>
      <c r="AB214" s="16"/>
      <c r="AC214" s="16"/>
      <c r="AD214" s="16"/>
      <c r="AE214" s="16"/>
      <c r="AF214" s="16"/>
      <c r="AG214" s="16"/>
      <c r="AH214" s="16"/>
      <c r="AI214" s="16"/>
      <c r="AJ214" s="16"/>
    </row>
    <row r="215" spans="1:36" x14ac:dyDescent="0.2">
      <c r="A215" s="16"/>
      <c r="B215" s="16"/>
      <c r="C215" s="16"/>
      <c r="D215" s="16"/>
      <c r="E215" s="16"/>
      <c r="F215" s="109"/>
      <c r="G215" s="109"/>
      <c r="H215" s="109"/>
      <c r="I215" s="109"/>
      <c r="J215" s="109"/>
      <c r="K215" s="109"/>
      <c r="L215" s="109"/>
      <c r="M215" s="109"/>
      <c r="N215" s="128"/>
      <c r="O215" s="128"/>
      <c r="P215" s="128"/>
      <c r="Q215" s="155"/>
      <c r="R215" s="128"/>
      <c r="S215" s="128"/>
      <c r="T215" s="128"/>
      <c r="U215" s="109"/>
      <c r="V215" s="109"/>
      <c r="W215" s="109"/>
      <c r="X215" s="109"/>
      <c r="Y215" s="109"/>
      <c r="Z215" s="109"/>
      <c r="AA215" s="16"/>
      <c r="AB215" s="16"/>
      <c r="AC215" s="16"/>
      <c r="AD215" s="16"/>
      <c r="AE215" s="16"/>
      <c r="AF215" s="16"/>
      <c r="AG215" s="16"/>
      <c r="AH215" s="16"/>
      <c r="AI215" s="16"/>
      <c r="AJ215" s="16"/>
    </row>
    <row r="216" spans="1:36" x14ac:dyDescent="0.2">
      <c r="A216" s="16"/>
      <c r="B216" s="16"/>
      <c r="C216" s="16"/>
      <c r="D216" s="16"/>
      <c r="E216" s="16"/>
      <c r="F216" s="109"/>
      <c r="G216" s="109"/>
      <c r="H216" s="109"/>
      <c r="I216" s="109"/>
      <c r="J216" s="109"/>
      <c r="K216" s="109"/>
      <c r="L216" s="109"/>
      <c r="M216" s="109"/>
      <c r="N216" s="128"/>
      <c r="O216" s="128"/>
      <c r="P216" s="128"/>
      <c r="Q216" s="155"/>
      <c r="R216" s="128"/>
      <c r="S216" s="128"/>
      <c r="T216" s="128"/>
      <c r="U216" s="109"/>
      <c r="V216" s="109"/>
      <c r="W216" s="109"/>
      <c r="X216" s="109"/>
      <c r="Y216" s="109"/>
      <c r="Z216" s="109"/>
      <c r="AA216" s="16"/>
      <c r="AB216" s="16"/>
      <c r="AC216" s="16"/>
      <c r="AD216" s="16"/>
      <c r="AE216" s="16"/>
      <c r="AF216" s="16"/>
      <c r="AG216" s="16"/>
      <c r="AH216" s="16"/>
      <c r="AI216" s="16"/>
      <c r="AJ216" s="16"/>
    </row>
    <row r="217" spans="1:36" x14ac:dyDescent="0.2">
      <c r="A217" s="16"/>
      <c r="B217" s="16"/>
      <c r="C217" s="16"/>
      <c r="D217" s="16"/>
      <c r="E217" s="16"/>
      <c r="F217" s="109"/>
      <c r="G217" s="109"/>
      <c r="H217" s="109"/>
      <c r="I217" s="109"/>
      <c r="J217" s="109"/>
      <c r="K217" s="109"/>
      <c r="L217" s="109"/>
      <c r="M217" s="109"/>
      <c r="N217" s="128"/>
      <c r="O217" s="128"/>
      <c r="P217" s="128"/>
      <c r="Q217" s="155"/>
      <c r="R217" s="128"/>
      <c r="S217" s="128"/>
      <c r="T217" s="128"/>
      <c r="U217" s="109"/>
      <c r="V217" s="109"/>
      <c r="W217" s="109"/>
      <c r="X217" s="109"/>
      <c r="Y217" s="109"/>
      <c r="Z217" s="109"/>
      <c r="AA217" s="16"/>
      <c r="AB217" s="16"/>
      <c r="AC217" s="16"/>
      <c r="AD217" s="16"/>
      <c r="AE217" s="16"/>
      <c r="AF217" s="16"/>
      <c r="AG217" s="16"/>
      <c r="AH217" s="16"/>
      <c r="AI217" s="16"/>
      <c r="AJ217" s="16"/>
    </row>
    <row r="218" spans="1:36" x14ac:dyDescent="0.2">
      <c r="A218" s="16"/>
      <c r="B218" s="16"/>
      <c r="C218" s="16"/>
      <c r="D218" s="16"/>
      <c r="E218" s="16"/>
      <c r="F218" s="109"/>
      <c r="G218" s="109"/>
      <c r="H218" s="109"/>
      <c r="I218" s="109"/>
      <c r="J218" s="109"/>
      <c r="K218" s="109"/>
      <c r="L218" s="109"/>
      <c r="M218" s="109"/>
      <c r="N218" s="128"/>
      <c r="O218" s="128"/>
      <c r="P218" s="128"/>
      <c r="Q218" s="155"/>
      <c r="R218" s="128"/>
      <c r="S218" s="128"/>
      <c r="T218" s="128"/>
      <c r="U218" s="109"/>
      <c r="V218" s="109"/>
      <c r="W218" s="109"/>
      <c r="X218" s="109"/>
      <c r="Y218" s="109"/>
      <c r="Z218" s="109"/>
      <c r="AA218" s="16"/>
      <c r="AB218" s="16"/>
      <c r="AC218" s="16"/>
      <c r="AD218" s="16"/>
      <c r="AE218" s="16"/>
      <c r="AF218" s="16"/>
      <c r="AG218" s="16"/>
      <c r="AH218" s="16"/>
      <c r="AI218" s="16"/>
      <c r="AJ218" s="16"/>
    </row>
    <row r="219" spans="1:36" x14ac:dyDescent="0.2">
      <c r="A219" s="16"/>
      <c r="B219" s="16"/>
      <c r="C219" s="16"/>
      <c r="D219" s="16"/>
      <c r="E219" s="16"/>
      <c r="F219" s="109"/>
      <c r="G219" s="109"/>
      <c r="H219" s="109"/>
      <c r="I219" s="109"/>
      <c r="J219" s="109"/>
      <c r="K219" s="109"/>
      <c r="L219" s="109"/>
      <c r="M219" s="109"/>
      <c r="N219" s="128"/>
      <c r="O219" s="128"/>
      <c r="P219" s="128"/>
      <c r="Q219" s="155"/>
      <c r="R219" s="128"/>
      <c r="S219" s="128"/>
      <c r="T219" s="128"/>
      <c r="U219" s="109"/>
      <c r="V219" s="109"/>
      <c r="W219" s="109"/>
      <c r="X219" s="109"/>
      <c r="Y219" s="109"/>
      <c r="Z219" s="109"/>
      <c r="AA219" s="16"/>
      <c r="AB219" s="16"/>
      <c r="AC219" s="16"/>
      <c r="AD219" s="16"/>
      <c r="AE219" s="16"/>
      <c r="AF219" s="16"/>
      <c r="AG219" s="16"/>
      <c r="AH219" s="16"/>
      <c r="AI219" s="16"/>
      <c r="AJ219" s="16"/>
    </row>
    <row r="220" spans="1:36" x14ac:dyDescent="0.2">
      <c r="A220" s="16"/>
      <c r="B220" s="16"/>
      <c r="C220" s="16"/>
      <c r="D220" s="16"/>
      <c r="E220" s="16"/>
      <c r="F220" s="109"/>
      <c r="G220" s="109"/>
      <c r="H220" s="109"/>
      <c r="I220" s="109"/>
      <c r="J220" s="109"/>
      <c r="K220" s="109"/>
      <c r="L220" s="109"/>
      <c r="M220" s="109"/>
      <c r="N220" s="128"/>
      <c r="O220" s="128"/>
      <c r="P220" s="128"/>
      <c r="Q220" s="155"/>
      <c r="R220" s="128"/>
      <c r="S220" s="128"/>
      <c r="T220" s="128"/>
      <c r="U220" s="109"/>
      <c r="V220" s="109"/>
      <c r="W220" s="109"/>
      <c r="X220" s="109"/>
      <c r="Y220" s="109"/>
      <c r="Z220" s="109"/>
      <c r="AA220" s="16"/>
      <c r="AB220" s="16"/>
      <c r="AC220" s="16"/>
      <c r="AD220" s="16"/>
      <c r="AE220" s="16"/>
      <c r="AF220" s="16"/>
      <c r="AG220" s="16"/>
      <c r="AH220" s="16"/>
      <c r="AI220" s="16"/>
      <c r="AJ220" s="16"/>
    </row>
    <row r="221" spans="1:36" x14ac:dyDescent="0.2">
      <c r="A221" s="16"/>
      <c r="B221" s="16"/>
      <c r="C221" s="16"/>
      <c r="D221" s="16"/>
      <c r="E221" s="16"/>
      <c r="F221" s="109"/>
      <c r="G221" s="109"/>
      <c r="H221" s="109"/>
      <c r="I221" s="109"/>
      <c r="J221" s="109"/>
      <c r="K221" s="109"/>
      <c r="L221" s="109"/>
      <c r="M221" s="109"/>
      <c r="N221" s="128"/>
      <c r="O221" s="128"/>
      <c r="P221" s="128"/>
      <c r="Q221" s="155"/>
      <c r="R221" s="128"/>
      <c r="S221" s="128"/>
      <c r="T221" s="128"/>
      <c r="U221" s="109"/>
      <c r="V221" s="109"/>
      <c r="W221" s="109"/>
      <c r="X221" s="109"/>
      <c r="Y221" s="109"/>
      <c r="Z221" s="109"/>
      <c r="AA221" s="16"/>
      <c r="AB221" s="16"/>
      <c r="AC221" s="16"/>
      <c r="AD221" s="16"/>
      <c r="AE221" s="16"/>
      <c r="AF221" s="16"/>
      <c r="AG221" s="16"/>
      <c r="AH221" s="16"/>
      <c r="AI221" s="16"/>
      <c r="AJ221" s="16"/>
    </row>
    <row r="222" spans="1:36" x14ac:dyDescent="0.2">
      <c r="A222" s="16"/>
      <c r="B222" s="16"/>
      <c r="C222" s="16"/>
      <c r="D222" s="16"/>
      <c r="E222" s="16"/>
      <c r="F222" s="109"/>
      <c r="G222" s="109"/>
      <c r="H222" s="109"/>
      <c r="I222" s="109"/>
      <c r="J222" s="109"/>
      <c r="K222" s="109"/>
      <c r="L222" s="109"/>
      <c r="M222" s="109"/>
      <c r="N222" s="128"/>
      <c r="O222" s="128"/>
      <c r="P222" s="128"/>
      <c r="Q222" s="155"/>
      <c r="R222" s="128"/>
      <c r="S222" s="128"/>
      <c r="T222" s="128"/>
      <c r="U222" s="109"/>
      <c r="V222" s="109"/>
      <c r="W222" s="109"/>
      <c r="X222" s="109"/>
      <c r="Y222" s="109"/>
      <c r="Z222" s="109"/>
      <c r="AA222" s="16"/>
      <c r="AB222" s="16"/>
      <c r="AC222" s="16"/>
      <c r="AD222" s="16"/>
      <c r="AE222" s="16"/>
      <c r="AF222" s="16"/>
      <c r="AG222" s="16"/>
      <c r="AH222" s="16"/>
      <c r="AI222" s="16"/>
      <c r="AJ222" s="16"/>
    </row>
    <row r="223" spans="1:36" x14ac:dyDescent="0.2">
      <c r="A223" s="16"/>
      <c r="B223" s="16"/>
      <c r="C223" s="16"/>
      <c r="D223" s="16"/>
      <c r="E223" s="16"/>
      <c r="F223" s="109"/>
      <c r="G223" s="109"/>
      <c r="H223" s="109"/>
      <c r="I223" s="109"/>
      <c r="J223" s="109"/>
      <c r="K223" s="109"/>
      <c r="L223" s="109"/>
      <c r="M223" s="109"/>
      <c r="N223" s="128"/>
      <c r="O223" s="128"/>
      <c r="P223" s="128"/>
      <c r="Q223" s="155"/>
      <c r="R223" s="128"/>
      <c r="S223" s="128"/>
      <c r="T223" s="128"/>
      <c r="U223" s="109"/>
      <c r="V223" s="109"/>
      <c r="W223" s="109"/>
      <c r="X223" s="109"/>
      <c r="Y223" s="109"/>
      <c r="Z223" s="109"/>
      <c r="AA223" s="16"/>
      <c r="AB223" s="16"/>
      <c r="AC223" s="16"/>
      <c r="AD223" s="16"/>
      <c r="AE223" s="16"/>
      <c r="AF223" s="16"/>
      <c r="AG223" s="16"/>
      <c r="AH223" s="16"/>
      <c r="AI223" s="16"/>
      <c r="AJ223" s="16"/>
    </row>
    <row r="224" spans="1:36" x14ac:dyDescent="0.2">
      <c r="A224" s="16"/>
      <c r="B224" s="16"/>
      <c r="C224" s="16"/>
      <c r="D224" s="16"/>
      <c r="E224" s="16"/>
      <c r="F224" s="109"/>
      <c r="G224" s="109"/>
      <c r="H224" s="109"/>
      <c r="I224" s="109"/>
      <c r="J224" s="109"/>
      <c r="K224" s="109"/>
      <c r="L224" s="109"/>
      <c r="M224" s="109"/>
      <c r="N224" s="128"/>
      <c r="O224" s="128"/>
      <c r="P224" s="128"/>
      <c r="Q224" s="155"/>
      <c r="R224" s="128"/>
      <c r="S224" s="128"/>
      <c r="T224" s="128"/>
      <c r="U224" s="109"/>
      <c r="V224" s="109"/>
      <c r="W224" s="109"/>
      <c r="X224" s="109"/>
      <c r="Y224" s="109"/>
      <c r="Z224" s="109"/>
      <c r="AA224" s="16"/>
      <c r="AB224" s="16"/>
      <c r="AC224" s="16"/>
      <c r="AD224" s="16"/>
      <c r="AE224" s="16"/>
      <c r="AF224" s="16"/>
      <c r="AG224" s="16"/>
      <c r="AH224" s="16"/>
      <c r="AI224" s="16"/>
      <c r="AJ224" s="16"/>
    </row>
    <row r="225" spans="1:36" x14ac:dyDescent="0.2">
      <c r="A225" s="16"/>
      <c r="B225" s="16"/>
      <c r="C225" s="16"/>
      <c r="D225" s="16"/>
      <c r="E225" s="16"/>
      <c r="F225" s="109"/>
      <c r="G225" s="109"/>
      <c r="H225" s="109"/>
      <c r="I225" s="109"/>
      <c r="J225" s="109"/>
      <c r="K225" s="109"/>
      <c r="L225" s="109"/>
      <c r="M225" s="109"/>
      <c r="N225" s="128"/>
      <c r="O225" s="128"/>
      <c r="P225" s="128"/>
      <c r="Q225" s="155"/>
      <c r="R225" s="128"/>
      <c r="S225" s="128"/>
      <c r="T225" s="128"/>
      <c r="U225" s="109"/>
      <c r="V225" s="109"/>
      <c r="W225" s="109"/>
      <c r="X225" s="109"/>
      <c r="Y225" s="109"/>
      <c r="Z225" s="109"/>
      <c r="AA225" s="16"/>
      <c r="AB225" s="16"/>
      <c r="AC225" s="16"/>
      <c r="AD225" s="16"/>
      <c r="AE225" s="16"/>
      <c r="AF225" s="16"/>
      <c r="AG225" s="16"/>
      <c r="AH225" s="16"/>
      <c r="AI225" s="16"/>
      <c r="AJ225" s="16"/>
    </row>
    <row r="226" spans="1:36" x14ac:dyDescent="0.2">
      <c r="A226" s="16"/>
      <c r="B226" s="16"/>
      <c r="C226" s="16"/>
      <c r="D226" s="16"/>
      <c r="E226" s="16"/>
      <c r="F226" s="109"/>
      <c r="G226" s="109"/>
      <c r="H226" s="109"/>
      <c r="I226" s="109"/>
      <c r="J226" s="109"/>
      <c r="K226" s="109"/>
      <c r="L226" s="109"/>
      <c r="M226" s="109"/>
      <c r="N226" s="128"/>
      <c r="O226" s="128"/>
      <c r="P226" s="128"/>
      <c r="Q226" s="155"/>
      <c r="R226" s="128"/>
      <c r="S226" s="128"/>
      <c r="T226" s="128"/>
      <c r="U226" s="109"/>
      <c r="V226" s="109"/>
      <c r="W226" s="109"/>
      <c r="X226" s="109"/>
      <c r="Y226" s="109"/>
      <c r="Z226" s="109"/>
      <c r="AA226" s="16"/>
      <c r="AB226" s="16"/>
      <c r="AC226" s="16"/>
      <c r="AD226" s="16"/>
      <c r="AE226" s="16"/>
      <c r="AF226" s="16"/>
      <c r="AG226" s="16"/>
      <c r="AH226" s="16"/>
      <c r="AI226" s="16"/>
      <c r="AJ226" s="16"/>
    </row>
    <row r="227" spans="1:36" x14ac:dyDescent="0.2">
      <c r="A227" s="16"/>
      <c r="B227" s="16"/>
      <c r="C227" s="16"/>
      <c r="D227" s="16"/>
      <c r="E227" s="16"/>
      <c r="F227" s="109"/>
      <c r="G227" s="109"/>
      <c r="H227" s="109"/>
      <c r="I227" s="109"/>
      <c r="J227" s="109"/>
      <c r="K227" s="109"/>
      <c r="L227" s="109"/>
      <c r="M227" s="109"/>
      <c r="N227" s="128"/>
      <c r="O227" s="128"/>
      <c r="P227" s="128"/>
      <c r="Q227" s="155"/>
      <c r="R227" s="128"/>
      <c r="S227" s="128"/>
      <c r="T227" s="128"/>
      <c r="U227" s="109"/>
      <c r="V227" s="109"/>
      <c r="W227" s="109"/>
      <c r="X227" s="109"/>
      <c r="Y227" s="109"/>
      <c r="Z227" s="109"/>
      <c r="AA227" s="16"/>
      <c r="AB227" s="16"/>
      <c r="AC227" s="16"/>
      <c r="AD227" s="16"/>
      <c r="AE227" s="16"/>
      <c r="AF227" s="16"/>
      <c r="AG227" s="16"/>
      <c r="AH227" s="16"/>
      <c r="AI227" s="16"/>
      <c r="AJ227" s="16"/>
    </row>
    <row r="228" spans="1:36" x14ac:dyDescent="0.2">
      <c r="A228" s="16"/>
      <c r="B228" s="16"/>
      <c r="C228" s="16"/>
      <c r="D228" s="16"/>
      <c r="E228" s="16"/>
      <c r="F228" s="109"/>
      <c r="G228" s="109"/>
      <c r="H228" s="109"/>
      <c r="I228" s="109"/>
      <c r="J228" s="109"/>
      <c r="K228" s="109"/>
      <c r="L228" s="109"/>
      <c r="M228" s="109"/>
      <c r="N228" s="128"/>
      <c r="O228" s="128"/>
      <c r="P228" s="128"/>
      <c r="Q228" s="155"/>
      <c r="R228" s="128"/>
      <c r="S228" s="128"/>
      <c r="T228" s="128"/>
      <c r="U228" s="109"/>
      <c r="V228" s="109"/>
      <c r="W228" s="109"/>
      <c r="X228" s="109"/>
      <c r="Y228" s="109"/>
      <c r="Z228" s="109"/>
      <c r="AA228" s="16"/>
      <c r="AB228" s="16"/>
      <c r="AC228" s="16"/>
      <c r="AD228" s="16"/>
      <c r="AE228" s="16"/>
      <c r="AF228" s="16"/>
      <c r="AG228" s="16"/>
      <c r="AH228" s="16"/>
      <c r="AI228" s="16"/>
      <c r="AJ228" s="16"/>
    </row>
    <row r="229" spans="1:36" x14ac:dyDescent="0.2">
      <c r="A229" s="16"/>
      <c r="B229" s="16"/>
      <c r="C229" s="16"/>
      <c r="D229" s="16"/>
      <c r="E229" s="16"/>
      <c r="F229" s="109"/>
      <c r="G229" s="109"/>
      <c r="H229" s="109"/>
      <c r="I229" s="109"/>
      <c r="J229" s="109"/>
      <c r="K229" s="109"/>
      <c r="L229" s="109"/>
      <c r="M229" s="109"/>
      <c r="N229" s="128"/>
      <c r="O229" s="128"/>
      <c r="P229" s="128"/>
      <c r="Q229" s="155"/>
      <c r="R229" s="128"/>
      <c r="S229" s="128"/>
      <c r="T229" s="128"/>
      <c r="U229" s="109"/>
      <c r="V229" s="109"/>
      <c r="W229" s="109"/>
      <c r="X229" s="109"/>
      <c r="Y229" s="109"/>
      <c r="Z229" s="109"/>
      <c r="AA229" s="16"/>
      <c r="AB229" s="16"/>
      <c r="AC229" s="16"/>
      <c r="AD229" s="16"/>
      <c r="AE229" s="16"/>
      <c r="AF229" s="16"/>
      <c r="AG229" s="16"/>
      <c r="AH229" s="16"/>
      <c r="AI229" s="16"/>
      <c r="AJ229" s="16"/>
    </row>
    <row r="230" spans="1:36" x14ac:dyDescent="0.2">
      <c r="A230" s="16"/>
      <c r="B230" s="16"/>
      <c r="C230" s="16"/>
      <c r="D230" s="16"/>
      <c r="E230" s="16"/>
      <c r="F230" s="109"/>
      <c r="G230" s="109"/>
      <c r="H230" s="109"/>
      <c r="I230" s="109"/>
      <c r="J230" s="109"/>
      <c r="K230" s="109"/>
      <c r="L230" s="109"/>
      <c r="M230" s="109"/>
      <c r="N230" s="128"/>
      <c r="O230" s="128"/>
      <c r="P230" s="128"/>
      <c r="Q230" s="155"/>
      <c r="R230" s="128"/>
      <c r="S230" s="128"/>
      <c r="T230" s="128"/>
      <c r="U230" s="109"/>
      <c r="V230" s="109"/>
      <c r="W230" s="109"/>
      <c r="X230" s="109"/>
      <c r="Y230" s="109"/>
      <c r="Z230" s="109"/>
      <c r="AA230" s="16"/>
      <c r="AB230" s="16"/>
      <c r="AC230" s="16"/>
      <c r="AD230" s="16"/>
      <c r="AE230" s="16"/>
      <c r="AF230" s="16"/>
      <c r="AG230" s="16"/>
      <c r="AH230" s="16"/>
      <c r="AI230" s="16"/>
      <c r="AJ230" s="16"/>
    </row>
    <row r="231" spans="1:36" x14ac:dyDescent="0.2">
      <c r="A231" s="16"/>
      <c r="B231" s="16"/>
      <c r="C231" s="16"/>
      <c r="D231" s="16"/>
      <c r="E231" s="16"/>
      <c r="F231" s="109"/>
      <c r="G231" s="109"/>
      <c r="H231" s="109"/>
      <c r="I231" s="109"/>
      <c r="J231" s="109"/>
      <c r="K231" s="109"/>
      <c r="L231" s="109"/>
      <c r="M231" s="109"/>
      <c r="N231" s="128"/>
      <c r="O231" s="128"/>
      <c r="P231" s="128"/>
      <c r="Q231" s="155"/>
      <c r="R231" s="128"/>
      <c r="S231" s="128"/>
      <c r="T231" s="128"/>
      <c r="U231" s="109"/>
      <c r="V231" s="109"/>
      <c r="W231" s="109"/>
      <c r="X231" s="109"/>
      <c r="Y231" s="109"/>
      <c r="Z231" s="109"/>
      <c r="AA231" s="16"/>
      <c r="AB231" s="16"/>
      <c r="AC231" s="16"/>
      <c r="AD231" s="16"/>
      <c r="AE231" s="16"/>
      <c r="AF231" s="16"/>
      <c r="AG231" s="16"/>
      <c r="AH231" s="16"/>
      <c r="AI231" s="16"/>
      <c r="AJ231" s="16"/>
    </row>
    <row r="232" spans="1:36" x14ac:dyDescent="0.2">
      <c r="A232" s="16"/>
      <c r="B232" s="16"/>
      <c r="C232" s="16"/>
      <c r="D232" s="16"/>
      <c r="E232" s="16"/>
      <c r="F232" s="109"/>
      <c r="G232" s="109"/>
      <c r="H232" s="109"/>
      <c r="I232" s="109"/>
      <c r="J232" s="109"/>
      <c r="K232" s="109"/>
      <c r="L232" s="109"/>
      <c r="M232" s="109"/>
      <c r="N232" s="128"/>
      <c r="O232" s="128"/>
      <c r="P232" s="128"/>
      <c r="Q232" s="155"/>
      <c r="R232" s="128"/>
      <c r="S232" s="128"/>
      <c r="T232" s="128"/>
      <c r="U232" s="109"/>
      <c r="V232" s="109"/>
      <c r="W232" s="109"/>
      <c r="X232" s="109"/>
      <c r="Y232" s="109"/>
      <c r="Z232" s="109"/>
      <c r="AA232" s="16"/>
      <c r="AB232" s="16"/>
      <c r="AC232" s="16"/>
      <c r="AD232" s="16"/>
      <c r="AE232" s="16"/>
      <c r="AF232" s="16"/>
      <c r="AG232" s="16"/>
      <c r="AH232" s="16"/>
      <c r="AI232" s="16"/>
      <c r="AJ232" s="16"/>
    </row>
    <row r="233" spans="1:36" x14ac:dyDescent="0.2">
      <c r="A233" s="16"/>
      <c r="B233" s="16"/>
      <c r="C233" s="16"/>
      <c r="D233" s="16"/>
      <c r="E233" s="16"/>
      <c r="F233" s="109"/>
      <c r="G233" s="109"/>
      <c r="H233" s="109"/>
      <c r="I233" s="109"/>
      <c r="J233" s="109"/>
      <c r="K233" s="109"/>
      <c r="L233" s="109"/>
      <c r="M233" s="109"/>
      <c r="N233" s="128"/>
      <c r="O233" s="128"/>
      <c r="P233" s="128"/>
      <c r="Q233" s="155"/>
      <c r="R233" s="128"/>
      <c r="S233" s="128"/>
      <c r="T233" s="128"/>
      <c r="U233" s="109"/>
      <c r="V233" s="109"/>
      <c r="W233" s="109"/>
      <c r="X233" s="109"/>
      <c r="Y233" s="109"/>
      <c r="Z233" s="109"/>
      <c r="AA233" s="16"/>
      <c r="AB233" s="16"/>
      <c r="AC233" s="16"/>
      <c r="AD233" s="16"/>
      <c r="AE233" s="16"/>
      <c r="AF233" s="16"/>
      <c r="AG233" s="16"/>
      <c r="AH233" s="16"/>
      <c r="AI233" s="16"/>
      <c r="AJ233" s="16"/>
    </row>
    <row r="234" spans="1:36" x14ac:dyDescent="0.2">
      <c r="A234" s="16"/>
      <c r="B234" s="16"/>
      <c r="C234" s="16"/>
      <c r="D234" s="16"/>
      <c r="E234" s="16"/>
      <c r="F234" s="109"/>
      <c r="G234" s="109"/>
      <c r="H234" s="109"/>
      <c r="I234" s="109"/>
      <c r="J234" s="109"/>
      <c r="K234" s="109"/>
      <c r="L234" s="109"/>
      <c r="M234" s="109"/>
      <c r="N234" s="128"/>
      <c r="O234" s="128"/>
      <c r="P234" s="128"/>
      <c r="Q234" s="155"/>
      <c r="R234" s="128"/>
      <c r="S234" s="128"/>
      <c r="T234" s="128"/>
      <c r="U234" s="109"/>
      <c r="V234" s="109"/>
      <c r="W234" s="109"/>
      <c r="X234" s="109"/>
      <c r="Y234" s="109"/>
      <c r="Z234" s="109"/>
      <c r="AA234" s="16"/>
      <c r="AB234" s="16"/>
      <c r="AC234" s="16"/>
      <c r="AD234" s="16"/>
      <c r="AE234" s="16"/>
      <c r="AF234" s="16"/>
      <c r="AG234" s="16"/>
      <c r="AH234" s="16"/>
      <c r="AI234" s="16"/>
      <c r="AJ234" s="16"/>
    </row>
    <row r="235" spans="1:36" x14ac:dyDescent="0.2">
      <c r="A235" s="16"/>
      <c r="B235" s="16"/>
      <c r="C235" s="16"/>
      <c r="D235" s="16"/>
      <c r="E235" s="16"/>
      <c r="F235" s="109"/>
      <c r="G235" s="109"/>
      <c r="H235" s="109"/>
      <c r="I235" s="109"/>
      <c r="J235" s="109"/>
      <c r="K235" s="109"/>
      <c r="L235" s="109"/>
      <c r="M235" s="109"/>
      <c r="N235" s="128"/>
      <c r="O235" s="128"/>
      <c r="P235" s="128"/>
      <c r="Q235" s="155"/>
      <c r="R235" s="128"/>
      <c r="S235" s="128"/>
      <c r="T235" s="128"/>
      <c r="U235" s="109"/>
      <c r="V235" s="109"/>
      <c r="W235" s="109"/>
      <c r="X235" s="109"/>
      <c r="Y235" s="109"/>
      <c r="Z235" s="109"/>
      <c r="AA235" s="16"/>
      <c r="AB235" s="16"/>
      <c r="AC235" s="16"/>
      <c r="AD235" s="16"/>
      <c r="AE235" s="16"/>
      <c r="AF235" s="16"/>
      <c r="AG235" s="16"/>
      <c r="AH235" s="16"/>
      <c r="AI235" s="16"/>
      <c r="AJ235" s="16"/>
    </row>
    <row r="236" spans="1:36" x14ac:dyDescent="0.2">
      <c r="A236" s="16"/>
      <c r="B236" s="16"/>
      <c r="C236" s="16"/>
      <c r="D236" s="16"/>
      <c r="E236" s="16"/>
      <c r="F236" s="109"/>
      <c r="G236" s="109"/>
      <c r="H236" s="109"/>
      <c r="I236" s="109"/>
      <c r="J236" s="109"/>
      <c r="K236" s="109"/>
      <c r="L236" s="109"/>
      <c r="M236" s="109"/>
      <c r="N236" s="128"/>
      <c r="O236" s="128"/>
      <c r="P236" s="128"/>
      <c r="Q236" s="155"/>
      <c r="R236" s="128"/>
      <c r="S236" s="128"/>
      <c r="T236" s="128"/>
      <c r="U236" s="109"/>
      <c r="V236" s="109"/>
      <c r="W236" s="109"/>
      <c r="X236" s="109"/>
      <c r="Y236" s="109"/>
      <c r="Z236" s="109"/>
      <c r="AA236" s="16"/>
      <c r="AB236" s="16"/>
      <c r="AC236" s="16"/>
      <c r="AD236" s="16"/>
      <c r="AE236" s="16"/>
      <c r="AF236" s="16"/>
      <c r="AG236" s="16"/>
      <c r="AH236" s="16"/>
      <c r="AI236" s="16"/>
      <c r="AJ236" s="16"/>
    </row>
    <row r="237" spans="1:36" x14ac:dyDescent="0.2">
      <c r="A237" s="16"/>
      <c r="B237" s="16"/>
      <c r="C237" s="16"/>
      <c r="D237" s="16"/>
      <c r="E237" s="16"/>
      <c r="F237" s="109"/>
      <c r="G237" s="109"/>
      <c r="H237" s="109"/>
      <c r="I237" s="109"/>
      <c r="J237" s="109"/>
      <c r="K237" s="109"/>
      <c r="L237" s="109"/>
      <c r="M237" s="109"/>
      <c r="N237" s="128"/>
      <c r="O237" s="128"/>
      <c r="P237" s="128"/>
      <c r="Q237" s="155"/>
      <c r="R237" s="128"/>
      <c r="S237" s="128"/>
      <c r="T237" s="128"/>
      <c r="U237" s="109"/>
      <c r="V237" s="109"/>
      <c r="W237" s="109"/>
      <c r="X237" s="109"/>
      <c r="Y237" s="109"/>
      <c r="Z237" s="109"/>
      <c r="AA237" s="16"/>
      <c r="AB237" s="16"/>
      <c r="AC237" s="16"/>
      <c r="AD237" s="16"/>
      <c r="AE237" s="16"/>
      <c r="AF237" s="16"/>
      <c r="AG237" s="16"/>
      <c r="AH237" s="16"/>
      <c r="AI237" s="16"/>
      <c r="AJ237" s="16"/>
    </row>
    <row r="238" spans="1:36" x14ac:dyDescent="0.2">
      <c r="A238" s="16"/>
      <c r="B238" s="16"/>
      <c r="C238" s="16"/>
      <c r="D238" s="16"/>
      <c r="E238" s="16"/>
      <c r="F238" s="109"/>
      <c r="G238" s="109"/>
      <c r="H238" s="109"/>
      <c r="I238" s="109"/>
      <c r="J238" s="109"/>
      <c r="K238" s="109"/>
      <c r="L238" s="109"/>
      <c r="M238" s="109"/>
      <c r="N238" s="128"/>
      <c r="O238" s="128"/>
      <c r="P238" s="128"/>
      <c r="Q238" s="155"/>
      <c r="R238" s="128"/>
      <c r="S238" s="128"/>
      <c r="T238" s="128"/>
      <c r="U238" s="109"/>
      <c r="V238" s="109"/>
      <c r="W238" s="109"/>
      <c r="X238" s="109"/>
      <c r="Y238" s="109"/>
      <c r="Z238" s="109"/>
      <c r="AA238" s="16"/>
      <c r="AB238" s="16"/>
      <c r="AC238" s="16"/>
      <c r="AD238" s="16"/>
      <c r="AE238" s="16"/>
      <c r="AF238" s="16"/>
      <c r="AG238" s="16"/>
      <c r="AH238" s="16"/>
      <c r="AI238" s="16"/>
      <c r="AJ238" s="16"/>
    </row>
    <row r="239" spans="1:36" x14ac:dyDescent="0.2">
      <c r="A239" s="16"/>
      <c r="B239" s="16"/>
      <c r="C239" s="16"/>
      <c r="D239" s="16"/>
      <c r="E239" s="16"/>
      <c r="F239" s="109"/>
      <c r="G239" s="109"/>
      <c r="H239" s="109"/>
      <c r="I239" s="109"/>
      <c r="J239" s="109"/>
      <c r="K239" s="109"/>
      <c r="L239" s="109"/>
      <c r="M239" s="109"/>
      <c r="N239" s="128"/>
      <c r="O239" s="128"/>
      <c r="P239" s="128"/>
      <c r="Q239" s="155"/>
      <c r="R239" s="128"/>
      <c r="S239" s="128"/>
      <c r="T239" s="128"/>
      <c r="U239" s="109"/>
      <c r="V239" s="109"/>
      <c r="W239" s="109"/>
      <c r="X239" s="109"/>
      <c r="Y239" s="109"/>
      <c r="Z239" s="109"/>
      <c r="AA239" s="16"/>
      <c r="AB239" s="16"/>
      <c r="AC239" s="16"/>
      <c r="AD239" s="16"/>
      <c r="AE239" s="16"/>
      <c r="AF239" s="16"/>
      <c r="AG239" s="16"/>
      <c r="AH239" s="16"/>
      <c r="AI239" s="16"/>
      <c r="AJ239" s="16"/>
    </row>
    <row r="240" spans="1:36" x14ac:dyDescent="0.2">
      <c r="A240" s="16"/>
      <c r="B240" s="16"/>
      <c r="C240" s="16"/>
      <c r="D240" s="16"/>
      <c r="E240" s="16"/>
      <c r="F240" s="109"/>
      <c r="G240" s="109"/>
      <c r="H240" s="109"/>
      <c r="I240" s="109"/>
      <c r="J240" s="109"/>
      <c r="K240" s="109"/>
      <c r="L240" s="109"/>
      <c r="M240" s="109"/>
      <c r="N240" s="128"/>
      <c r="O240" s="128"/>
      <c r="P240" s="128"/>
      <c r="Q240" s="155"/>
      <c r="R240" s="128"/>
      <c r="S240" s="128"/>
      <c r="T240" s="128"/>
      <c r="U240" s="109"/>
      <c r="V240" s="109"/>
      <c r="W240" s="109"/>
      <c r="X240" s="109"/>
      <c r="Y240" s="109"/>
      <c r="Z240" s="109"/>
      <c r="AA240" s="16"/>
      <c r="AB240" s="16"/>
      <c r="AC240" s="16"/>
      <c r="AD240" s="16"/>
      <c r="AE240" s="16"/>
      <c r="AF240" s="16"/>
      <c r="AG240" s="16"/>
      <c r="AH240" s="16"/>
      <c r="AI240" s="16"/>
      <c r="AJ240" s="16"/>
    </row>
    <row r="241" spans="1:36" x14ac:dyDescent="0.2">
      <c r="A241" s="16"/>
      <c r="B241" s="16"/>
      <c r="C241" s="16"/>
      <c r="D241" s="16"/>
      <c r="E241" s="16"/>
      <c r="F241" s="109"/>
      <c r="G241" s="109"/>
      <c r="H241" s="109"/>
      <c r="I241" s="109"/>
      <c r="J241" s="109"/>
      <c r="K241" s="109"/>
      <c r="L241" s="109"/>
      <c r="M241" s="109"/>
      <c r="N241" s="128"/>
      <c r="O241" s="128"/>
      <c r="P241" s="128"/>
      <c r="Q241" s="155"/>
      <c r="R241" s="128"/>
      <c r="S241" s="128"/>
      <c r="T241" s="128"/>
      <c r="U241" s="109"/>
      <c r="V241" s="109"/>
      <c r="W241" s="109"/>
      <c r="X241" s="109"/>
      <c r="Y241" s="109"/>
      <c r="Z241" s="109"/>
      <c r="AA241" s="16"/>
      <c r="AB241" s="16"/>
      <c r="AC241" s="16"/>
      <c r="AD241" s="16"/>
      <c r="AE241" s="16"/>
      <c r="AF241" s="16"/>
      <c r="AG241" s="16"/>
      <c r="AH241" s="16"/>
      <c r="AI241" s="16"/>
      <c r="AJ241" s="16"/>
    </row>
    <row r="242" spans="1:36" x14ac:dyDescent="0.2">
      <c r="A242" s="16"/>
      <c r="B242" s="16"/>
      <c r="C242" s="16"/>
      <c r="D242" s="16"/>
      <c r="E242" s="16"/>
      <c r="F242" s="109"/>
      <c r="G242" s="109"/>
      <c r="H242" s="109"/>
      <c r="I242" s="109"/>
      <c r="J242" s="109"/>
      <c r="K242" s="109"/>
      <c r="L242" s="109"/>
      <c r="M242" s="109"/>
      <c r="N242" s="128"/>
      <c r="O242" s="128"/>
      <c r="P242" s="128"/>
      <c r="Q242" s="155"/>
      <c r="R242" s="128"/>
      <c r="S242" s="128"/>
      <c r="T242" s="128"/>
      <c r="U242" s="109"/>
      <c r="V242" s="109"/>
      <c r="W242" s="109"/>
      <c r="X242" s="109"/>
      <c r="Y242" s="109"/>
      <c r="Z242" s="109"/>
      <c r="AA242" s="16"/>
      <c r="AB242" s="16"/>
      <c r="AC242" s="16"/>
      <c r="AD242" s="16"/>
      <c r="AE242" s="16"/>
      <c r="AF242" s="16"/>
      <c r="AG242" s="16"/>
      <c r="AH242" s="16"/>
      <c r="AI242" s="16"/>
      <c r="AJ242" s="16"/>
    </row>
    <row r="243" spans="1:36" x14ac:dyDescent="0.2">
      <c r="A243" s="16"/>
      <c r="B243" s="16"/>
      <c r="C243" s="16"/>
      <c r="D243" s="16"/>
      <c r="E243" s="16"/>
      <c r="F243" s="109"/>
      <c r="G243" s="109"/>
      <c r="H243" s="109"/>
      <c r="I243" s="109"/>
      <c r="J243" s="109"/>
      <c r="K243" s="109"/>
      <c r="L243" s="109"/>
      <c r="M243" s="109"/>
      <c r="N243" s="128"/>
      <c r="O243" s="128"/>
      <c r="P243" s="128"/>
      <c r="Q243" s="155"/>
      <c r="R243" s="128"/>
      <c r="S243" s="128"/>
      <c r="T243" s="128"/>
      <c r="U243" s="109"/>
      <c r="V243" s="109"/>
      <c r="W243" s="109"/>
      <c r="X243" s="109"/>
      <c r="Y243" s="109"/>
      <c r="Z243" s="109"/>
      <c r="AA243" s="16"/>
      <c r="AB243" s="16"/>
      <c r="AC243" s="16"/>
      <c r="AD243" s="16"/>
      <c r="AE243" s="16"/>
      <c r="AF243" s="16"/>
      <c r="AG243" s="16"/>
      <c r="AH243" s="16"/>
      <c r="AI243" s="16"/>
      <c r="AJ243" s="16"/>
    </row>
    <row r="244" spans="1:36" x14ac:dyDescent="0.2">
      <c r="A244" s="16"/>
      <c r="B244" s="16"/>
      <c r="C244" s="16"/>
      <c r="D244" s="16"/>
      <c r="E244" s="16"/>
      <c r="F244" s="109"/>
      <c r="G244" s="109"/>
      <c r="H244" s="109"/>
      <c r="I244" s="109"/>
      <c r="J244" s="109"/>
      <c r="K244" s="109"/>
      <c r="L244" s="109"/>
      <c r="M244" s="109"/>
      <c r="N244" s="128"/>
      <c r="O244" s="128"/>
      <c r="P244" s="128"/>
      <c r="Q244" s="155"/>
      <c r="R244" s="128"/>
      <c r="S244" s="128"/>
      <c r="T244" s="128"/>
      <c r="U244" s="109"/>
      <c r="V244" s="109"/>
      <c r="W244" s="109"/>
      <c r="X244" s="109"/>
      <c r="Y244" s="109"/>
      <c r="Z244" s="109"/>
      <c r="AA244" s="16"/>
      <c r="AB244" s="16"/>
      <c r="AC244" s="16"/>
      <c r="AD244" s="16"/>
      <c r="AE244" s="16"/>
      <c r="AF244" s="16"/>
      <c r="AG244" s="16"/>
      <c r="AH244" s="16"/>
      <c r="AI244" s="16"/>
      <c r="AJ244" s="16"/>
    </row>
    <row r="245" spans="1:36" x14ac:dyDescent="0.2">
      <c r="A245" s="16"/>
      <c r="B245" s="16"/>
      <c r="C245" s="16"/>
      <c r="D245" s="16"/>
      <c r="E245" s="16"/>
      <c r="F245" s="109"/>
      <c r="G245" s="109"/>
      <c r="H245" s="109"/>
      <c r="I245" s="109"/>
      <c r="J245" s="109"/>
      <c r="K245" s="109"/>
      <c r="L245" s="109"/>
      <c r="M245" s="109"/>
      <c r="N245" s="128"/>
      <c r="O245" s="128"/>
      <c r="P245" s="128"/>
      <c r="Q245" s="155"/>
      <c r="R245" s="128"/>
      <c r="S245" s="128"/>
      <c r="T245" s="128"/>
      <c r="U245" s="109"/>
      <c r="V245" s="109"/>
      <c r="W245" s="109"/>
      <c r="X245" s="109"/>
      <c r="Y245" s="109"/>
      <c r="Z245" s="109"/>
      <c r="AA245" s="16"/>
      <c r="AB245" s="16"/>
      <c r="AC245" s="16"/>
      <c r="AD245" s="16"/>
      <c r="AE245" s="16"/>
      <c r="AF245" s="16"/>
      <c r="AG245" s="16"/>
      <c r="AH245" s="16"/>
      <c r="AI245" s="16"/>
      <c r="AJ245" s="16"/>
    </row>
    <row r="246" spans="1:36" x14ac:dyDescent="0.2">
      <c r="A246" s="16"/>
      <c r="B246" s="16"/>
      <c r="C246" s="16"/>
      <c r="D246" s="16"/>
      <c r="E246" s="16"/>
      <c r="F246" s="109"/>
      <c r="G246" s="109"/>
      <c r="H246" s="109"/>
      <c r="I246" s="109"/>
      <c r="J246" s="109"/>
      <c r="K246" s="109"/>
      <c r="L246" s="109"/>
      <c r="M246" s="109"/>
      <c r="N246" s="128"/>
      <c r="O246" s="128"/>
      <c r="P246" s="128"/>
      <c r="Q246" s="155"/>
      <c r="R246" s="128"/>
      <c r="S246" s="128"/>
      <c r="T246" s="128"/>
      <c r="U246" s="109"/>
      <c r="V246" s="109"/>
      <c r="W246" s="109"/>
      <c r="X246" s="109"/>
      <c r="Y246" s="109"/>
      <c r="Z246" s="109"/>
      <c r="AA246" s="16"/>
      <c r="AB246" s="16"/>
      <c r="AC246" s="16"/>
      <c r="AD246" s="16"/>
      <c r="AE246" s="16"/>
      <c r="AF246" s="16"/>
      <c r="AG246" s="16"/>
      <c r="AH246" s="16"/>
      <c r="AI246" s="16"/>
      <c r="AJ246" s="16"/>
    </row>
    <row r="247" spans="1:36" x14ac:dyDescent="0.2">
      <c r="A247" s="16"/>
      <c r="B247" s="16"/>
      <c r="C247" s="16"/>
      <c r="D247" s="16"/>
      <c r="E247" s="16"/>
      <c r="F247" s="109"/>
      <c r="G247" s="109"/>
      <c r="H247" s="109"/>
      <c r="I247" s="109"/>
      <c r="J247" s="109"/>
      <c r="K247" s="109"/>
      <c r="L247" s="109"/>
      <c r="M247" s="109"/>
      <c r="N247" s="128"/>
      <c r="O247" s="128"/>
      <c r="P247" s="128"/>
      <c r="Q247" s="155"/>
      <c r="R247" s="128"/>
      <c r="S247" s="128"/>
      <c r="T247" s="128"/>
      <c r="U247" s="109"/>
      <c r="V247" s="109"/>
      <c r="W247" s="109"/>
      <c r="X247" s="109"/>
      <c r="Y247" s="109"/>
      <c r="Z247" s="109"/>
      <c r="AA247" s="16"/>
      <c r="AB247" s="16"/>
      <c r="AC247" s="16"/>
      <c r="AD247" s="16"/>
      <c r="AE247" s="16"/>
      <c r="AF247" s="16"/>
      <c r="AG247" s="16"/>
      <c r="AH247" s="16"/>
      <c r="AI247" s="16"/>
      <c r="AJ247" s="16"/>
    </row>
    <row r="248" spans="1:36" x14ac:dyDescent="0.2">
      <c r="A248" s="16"/>
      <c r="B248" s="16"/>
      <c r="C248" s="16"/>
      <c r="D248" s="16"/>
      <c r="E248" s="16"/>
      <c r="F248" s="109"/>
      <c r="G248" s="109"/>
      <c r="H248" s="109"/>
      <c r="I248" s="109"/>
      <c r="J248" s="109"/>
      <c r="K248" s="109"/>
      <c r="L248" s="109"/>
      <c r="M248" s="109"/>
      <c r="N248" s="128"/>
      <c r="O248" s="128"/>
      <c r="P248" s="128"/>
      <c r="Q248" s="155"/>
      <c r="R248" s="128"/>
      <c r="S248" s="128"/>
      <c r="T248" s="128"/>
      <c r="U248" s="109"/>
      <c r="V248" s="109"/>
      <c r="W248" s="109"/>
      <c r="X248" s="109"/>
      <c r="Y248" s="109"/>
      <c r="Z248" s="109"/>
      <c r="AA248" s="16"/>
      <c r="AB248" s="16"/>
      <c r="AC248" s="16"/>
      <c r="AD248" s="16"/>
      <c r="AE248" s="16"/>
      <c r="AF248" s="16"/>
      <c r="AG248" s="16"/>
      <c r="AH248" s="16"/>
      <c r="AI248" s="16"/>
      <c r="AJ248" s="16"/>
    </row>
    <row r="249" spans="1:36" x14ac:dyDescent="0.2">
      <c r="A249" s="16"/>
      <c r="B249" s="16"/>
      <c r="C249" s="16"/>
      <c r="D249" s="16"/>
      <c r="E249" s="16"/>
      <c r="F249" s="109"/>
      <c r="G249" s="109"/>
      <c r="H249" s="109"/>
      <c r="I249" s="109"/>
      <c r="J249" s="109"/>
      <c r="K249" s="109"/>
      <c r="L249" s="109"/>
      <c r="M249" s="109"/>
      <c r="N249" s="128"/>
      <c r="O249" s="128"/>
      <c r="P249" s="128"/>
      <c r="Q249" s="155"/>
      <c r="R249" s="128"/>
      <c r="S249" s="128"/>
      <c r="T249" s="128"/>
      <c r="U249" s="109"/>
      <c r="V249" s="109"/>
      <c r="W249" s="109"/>
      <c r="X249" s="109"/>
      <c r="Y249" s="109"/>
      <c r="Z249" s="109"/>
      <c r="AA249" s="16"/>
      <c r="AB249" s="16"/>
      <c r="AC249" s="16"/>
      <c r="AD249" s="16"/>
      <c r="AE249" s="16"/>
      <c r="AF249" s="16"/>
      <c r="AG249" s="16"/>
      <c r="AH249" s="16"/>
      <c r="AI249" s="16"/>
      <c r="AJ249" s="16"/>
    </row>
    <row r="250" spans="1:36" x14ac:dyDescent="0.2">
      <c r="A250" s="16"/>
      <c r="B250" s="16"/>
      <c r="C250" s="16"/>
      <c r="D250" s="16"/>
      <c r="E250" s="16"/>
      <c r="F250" s="109"/>
      <c r="G250" s="109"/>
      <c r="H250" s="109"/>
      <c r="I250" s="109"/>
      <c r="J250" s="109"/>
      <c r="K250" s="109"/>
      <c r="L250" s="109"/>
      <c r="M250" s="109"/>
      <c r="N250" s="128"/>
      <c r="O250" s="128"/>
      <c r="P250" s="128"/>
      <c r="Q250" s="155"/>
      <c r="R250" s="128"/>
      <c r="S250" s="128"/>
      <c r="T250" s="128"/>
      <c r="U250" s="109"/>
      <c r="V250" s="109"/>
      <c r="W250" s="109"/>
      <c r="X250" s="109"/>
      <c r="Y250" s="109"/>
      <c r="Z250" s="109"/>
      <c r="AA250" s="16"/>
      <c r="AB250" s="16"/>
      <c r="AC250" s="16"/>
      <c r="AD250" s="16"/>
      <c r="AE250" s="16"/>
      <c r="AF250" s="16"/>
      <c r="AG250" s="16"/>
      <c r="AH250" s="16"/>
      <c r="AI250" s="16"/>
      <c r="AJ250" s="16"/>
    </row>
    <row r="251" spans="1:36" x14ac:dyDescent="0.2">
      <c r="A251" s="16"/>
      <c r="B251" s="16"/>
      <c r="C251" s="16"/>
      <c r="D251" s="16"/>
      <c r="E251" s="16"/>
      <c r="F251" s="109"/>
      <c r="G251" s="109"/>
      <c r="H251" s="109"/>
      <c r="I251" s="109"/>
      <c r="J251" s="109"/>
      <c r="K251" s="109"/>
      <c r="L251" s="109"/>
      <c r="M251" s="109"/>
      <c r="N251" s="128"/>
      <c r="O251" s="128"/>
      <c r="P251" s="128"/>
      <c r="Q251" s="155"/>
      <c r="R251" s="128"/>
      <c r="S251" s="128"/>
      <c r="T251" s="128"/>
      <c r="U251" s="109"/>
      <c r="V251" s="109"/>
      <c r="W251" s="109"/>
      <c r="X251" s="109"/>
      <c r="Y251" s="109"/>
      <c r="Z251" s="109"/>
      <c r="AA251" s="16"/>
      <c r="AB251" s="16"/>
      <c r="AC251" s="16"/>
      <c r="AD251" s="16"/>
      <c r="AE251" s="16"/>
      <c r="AF251" s="16"/>
      <c r="AG251" s="16"/>
      <c r="AH251" s="16"/>
      <c r="AI251" s="16"/>
      <c r="AJ251" s="16"/>
    </row>
    <row r="252" spans="1:36" x14ac:dyDescent="0.2">
      <c r="A252" s="16"/>
      <c r="B252" s="16"/>
      <c r="C252" s="16"/>
      <c r="D252" s="16"/>
      <c r="E252" s="16"/>
      <c r="F252" s="109"/>
      <c r="G252" s="109"/>
      <c r="H252" s="109"/>
      <c r="I252" s="109"/>
      <c r="J252" s="109"/>
      <c r="K252" s="109"/>
      <c r="L252" s="109"/>
      <c r="M252" s="109"/>
      <c r="N252" s="128"/>
      <c r="O252" s="128"/>
      <c r="P252" s="128"/>
      <c r="Q252" s="155"/>
      <c r="R252" s="128"/>
      <c r="S252" s="128"/>
      <c r="T252" s="128"/>
      <c r="U252" s="109"/>
      <c r="V252" s="109"/>
      <c r="W252" s="109"/>
      <c r="X252" s="109"/>
      <c r="Y252" s="109"/>
      <c r="Z252" s="109"/>
      <c r="AA252" s="16"/>
      <c r="AB252" s="16"/>
      <c r="AC252" s="16"/>
      <c r="AD252" s="16"/>
      <c r="AE252" s="16"/>
      <c r="AF252" s="16"/>
      <c r="AG252" s="16"/>
      <c r="AH252" s="16"/>
      <c r="AI252" s="16"/>
      <c r="AJ252" s="16"/>
    </row>
    <row r="253" spans="1:36" x14ac:dyDescent="0.2">
      <c r="A253" s="16"/>
      <c r="B253" s="16"/>
      <c r="C253" s="16"/>
      <c r="D253" s="16"/>
      <c r="E253" s="16"/>
      <c r="F253" s="109"/>
      <c r="G253" s="109"/>
      <c r="H253" s="109"/>
      <c r="I253" s="109"/>
      <c r="J253" s="109"/>
      <c r="K253" s="109"/>
      <c r="L253" s="109"/>
      <c r="M253" s="109"/>
      <c r="N253" s="128"/>
      <c r="O253" s="128"/>
      <c r="P253" s="128"/>
      <c r="Q253" s="155"/>
      <c r="R253" s="128"/>
      <c r="S253" s="128"/>
      <c r="T253" s="128"/>
      <c r="U253" s="109"/>
      <c r="V253" s="109"/>
      <c r="W253" s="109"/>
      <c r="X253" s="109"/>
      <c r="Y253" s="109"/>
      <c r="Z253" s="109"/>
      <c r="AA253" s="16"/>
      <c r="AB253" s="16"/>
      <c r="AC253" s="16"/>
      <c r="AD253" s="16"/>
      <c r="AE253" s="16"/>
      <c r="AF253" s="16"/>
      <c r="AG253" s="16"/>
      <c r="AH253" s="16"/>
      <c r="AI253" s="16"/>
      <c r="AJ253" s="16"/>
    </row>
    <row r="254" spans="1:36" x14ac:dyDescent="0.2">
      <c r="A254" s="16"/>
      <c r="B254" s="16"/>
      <c r="C254" s="16"/>
      <c r="D254" s="16"/>
      <c r="E254" s="16"/>
      <c r="F254" s="109"/>
      <c r="G254" s="109"/>
      <c r="H254" s="109"/>
      <c r="I254" s="109"/>
      <c r="J254" s="109"/>
      <c r="K254" s="109"/>
      <c r="L254" s="109"/>
      <c r="M254" s="109"/>
      <c r="N254" s="128"/>
      <c r="O254" s="128"/>
      <c r="P254" s="128"/>
      <c r="Q254" s="155"/>
      <c r="R254" s="128"/>
      <c r="S254" s="128"/>
      <c r="T254" s="128"/>
      <c r="U254" s="109"/>
      <c r="V254" s="109"/>
      <c r="W254" s="109"/>
      <c r="X254" s="109"/>
      <c r="Y254" s="109"/>
      <c r="Z254" s="109"/>
      <c r="AA254" s="16"/>
      <c r="AB254" s="16"/>
      <c r="AC254" s="16"/>
      <c r="AD254" s="16"/>
      <c r="AE254" s="16"/>
      <c r="AF254" s="16"/>
      <c r="AG254" s="16"/>
      <c r="AH254" s="16"/>
      <c r="AI254" s="16"/>
      <c r="AJ254" s="16"/>
    </row>
    <row r="255" spans="1:36" x14ac:dyDescent="0.2">
      <c r="A255" s="16"/>
      <c r="B255" s="16"/>
      <c r="C255" s="16"/>
      <c r="D255" s="16"/>
      <c r="E255" s="16"/>
      <c r="F255" s="109"/>
      <c r="G255" s="109"/>
      <c r="H255" s="109"/>
      <c r="I255" s="109"/>
      <c r="J255" s="109"/>
      <c r="K255" s="109"/>
      <c r="L255" s="109"/>
      <c r="M255" s="109"/>
      <c r="N255" s="128"/>
      <c r="O255" s="128"/>
      <c r="P255" s="128"/>
      <c r="Q255" s="155"/>
      <c r="R255" s="128"/>
      <c r="S255" s="128"/>
      <c r="T255" s="128"/>
      <c r="U255" s="109"/>
      <c r="V255" s="109"/>
      <c r="W255" s="109"/>
      <c r="X255" s="109"/>
      <c r="Y255" s="109"/>
      <c r="Z255" s="109"/>
      <c r="AA255" s="16"/>
      <c r="AB255" s="16"/>
      <c r="AC255" s="16"/>
      <c r="AD255" s="16"/>
      <c r="AE255" s="16"/>
      <c r="AF255" s="16"/>
      <c r="AG255" s="16"/>
      <c r="AH255" s="16"/>
      <c r="AI255" s="16"/>
      <c r="AJ255" s="16"/>
    </row>
    <row r="256" spans="1:36" x14ac:dyDescent="0.2">
      <c r="A256" s="16"/>
      <c r="B256" s="16"/>
      <c r="C256" s="16"/>
      <c r="D256" s="16"/>
      <c r="E256" s="16"/>
      <c r="F256" s="109"/>
      <c r="G256" s="109"/>
      <c r="H256" s="109"/>
      <c r="I256" s="109"/>
      <c r="J256" s="109"/>
      <c r="K256" s="109"/>
      <c r="L256" s="109"/>
      <c r="M256" s="109"/>
      <c r="N256" s="128"/>
      <c r="O256" s="128"/>
      <c r="P256" s="128"/>
      <c r="Q256" s="155"/>
      <c r="R256" s="128"/>
      <c r="S256" s="128"/>
      <c r="T256" s="128"/>
      <c r="U256" s="109"/>
      <c r="V256" s="109"/>
      <c r="W256" s="109"/>
      <c r="X256" s="109"/>
      <c r="Y256" s="109"/>
      <c r="Z256" s="109"/>
      <c r="AA256" s="16"/>
      <c r="AB256" s="16"/>
      <c r="AC256" s="16"/>
      <c r="AD256" s="16"/>
      <c r="AE256" s="16"/>
      <c r="AF256" s="16"/>
      <c r="AG256" s="16"/>
      <c r="AH256" s="16"/>
      <c r="AI256" s="16"/>
      <c r="AJ256" s="16"/>
    </row>
    <row r="257" spans="1:36" x14ac:dyDescent="0.2">
      <c r="A257" s="16"/>
      <c r="B257" s="16"/>
      <c r="C257" s="16"/>
      <c r="D257" s="16"/>
      <c r="E257" s="16"/>
      <c r="F257" s="109"/>
      <c r="G257" s="109"/>
      <c r="H257" s="109"/>
      <c r="I257" s="109"/>
      <c r="J257" s="109"/>
      <c r="K257" s="109"/>
      <c r="L257" s="109"/>
      <c r="M257" s="109"/>
      <c r="N257" s="128"/>
      <c r="O257" s="128"/>
      <c r="P257" s="128"/>
      <c r="Q257" s="155"/>
      <c r="R257" s="128"/>
      <c r="S257" s="128"/>
      <c r="T257" s="128"/>
      <c r="U257" s="109"/>
      <c r="V257" s="109"/>
      <c r="W257" s="109"/>
      <c r="X257" s="109"/>
      <c r="Y257" s="109"/>
      <c r="Z257" s="109"/>
      <c r="AA257" s="16"/>
      <c r="AB257" s="16"/>
      <c r="AC257" s="16"/>
      <c r="AD257" s="16"/>
      <c r="AE257" s="16"/>
      <c r="AF257" s="16"/>
      <c r="AG257" s="16"/>
      <c r="AH257" s="16"/>
      <c r="AI257" s="16"/>
      <c r="AJ257" s="16"/>
    </row>
    <row r="258" spans="1:36" x14ac:dyDescent="0.2">
      <c r="A258" s="16"/>
      <c r="B258" s="16"/>
      <c r="C258" s="16"/>
      <c r="D258" s="16"/>
      <c r="E258" s="16"/>
      <c r="F258" s="109"/>
      <c r="G258" s="109"/>
      <c r="H258" s="109"/>
      <c r="I258" s="109"/>
      <c r="J258" s="109"/>
      <c r="K258" s="109"/>
      <c r="L258" s="109"/>
      <c r="M258" s="109"/>
      <c r="N258" s="128"/>
      <c r="O258" s="128"/>
      <c r="P258" s="128"/>
      <c r="Q258" s="155"/>
      <c r="R258" s="128"/>
      <c r="S258" s="128"/>
      <c r="T258" s="128"/>
      <c r="U258" s="109"/>
      <c r="V258" s="109"/>
      <c r="W258" s="109"/>
      <c r="X258" s="109"/>
      <c r="Y258" s="109"/>
      <c r="Z258" s="109"/>
      <c r="AA258" s="16"/>
      <c r="AB258" s="16"/>
      <c r="AC258" s="16"/>
      <c r="AD258" s="16"/>
      <c r="AE258" s="16"/>
      <c r="AF258" s="16"/>
      <c r="AG258" s="16"/>
      <c r="AH258" s="16"/>
      <c r="AI258" s="16"/>
      <c r="AJ258" s="16"/>
    </row>
    <row r="259" spans="1:36" x14ac:dyDescent="0.2">
      <c r="A259" s="16"/>
      <c r="B259" s="16"/>
      <c r="C259" s="16"/>
      <c r="D259" s="16"/>
      <c r="E259" s="16"/>
      <c r="F259" s="109"/>
      <c r="G259" s="109"/>
      <c r="H259" s="109"/>
      <c r="I259" s="109"/>
      <c r="J259" s="109"/>
      <c r="K259" s="109"/>
      <c r="L259" s="109"/>
      <c r="M259" s="109"/>
      <c r="N259" s="128"/>
      <c r="O259" s="128"/>
      <c r="P259" s="128"/>
      <c r="Q259" s="155"/>
      <c r="R259" s="128"/>
      <c r="S259" s="128"/>
      <c r="T259" s="128"/>
      <c r="U259" s="109"/>
      <c r="V259" s="109"/>
      <c r="W259" s="109"/>
      <c r="X259" s="109"/>
      <c r="Y259" s="109"/>
      <c r="Z259" s="109"/>
      <c r="AA259" s="16"/>
      <c r="AB259" s="16"/>
      <c r="AC259" s="16"/>
      <c r="AD259" s="16"/>
      <c r="AE259" s="16"/>
      <c r="AF259" s="16"/>
      <c r="AG259" s="16"/>
      <c r="AH259" s="16"/>
      <c r="AI259" s="16"/>
      <c r="AJ259" s="16"/>
    </row>
    <row r="260" spans="1:36" x14ac:dyDescent="0.2">
      <c r="A260" s="16"/>
      <c r="B260" s="16"/>
      <c r="C260" s="16"/>
      <c r="D260" s="16"/>
      <c r="E260" s="16"/>
      <c r="F260" s="109"/>
      <c r="G260" s="109"/>
      <c r="H260" s="109"/>
      <c r="I260" s="109"/>
      <c r="J260" s="109"/>
      <c r="K260" s="109"/>
      <c r="L260" s="109"/>
      <c r="M260" s="109"/>
      <c r="N260" s="128"/>
      <c r="O260" s="128"/>
      <c r="P260" s="128"/>
      <c r="Q260" s="155"/>
      <c r="R260" s="128"/>
      <c r="S260" s="128"/>
      <c r="T260" s="128"/>
      <c r="U260" s="109"/>
      <c r="V260" s="109"/>
      <c r="W260" s="109"/>
      <c r="X260" s="109"/>
      <c r="Y260" s="109"/>
      <c r="Z260" s="109"/>
      <c r="AA260" s="16"/>
      <c r="AB260" s="16"/>
      <c r="AC260" s="16"/>
      <c r="AD260" s="16"/>
      <c r="AE260" s="16"/>
      <c r="AF260" s="16"/>
      <c r="AG260" s="16"/>
      <c r="AH260" s="16"/>
      <c r="AI260" s="16"/>
      <c r="AJ260" s="16"/>
    </row>
    <row r="261" spans="1:36" x14ac:dyDescent="0.2">
      <c r="A261" s="16"/>
      <c r="B261" s="16"/>
      <c r="C261" s="16"/>
      <c r="D261" s="16"/>
      <c r="E261" s="16"/>
      <c r="F261" s="109"/>
      <c r="G261" s="109"/>
      <c r="H261" s="109"/>
      <c r="I261" s="109"/>
      <c r="J261" s="109"/>
      <c r="K261" s="109"/>
      <c r="L261" s="109"/>
      <c r="M261" s="109"/>
      <c r="N261" s="128"/>
      <c r="O261" s="128"/>
      <c r="P261" s="128"/>
      <c r="Q261" s="155"/>
      <c r="R261" s="128"/>
      <c r="S261" s="128"/>
      <c r="T261" s="128"/>
      <c r="U261" s="109"/>
      <c r="V261" s="109"/>
      <c r="W261" s="109"/>
      <c r="X261" s="109"/>
      <c r="Y261" s="109"/>
      <c r="Z261" s="109"/>
      <c r="AA261" s="16"/>
      <c r="AB261" s="16"/>
      <c r="AC261" s="16"/>
      <c r="AD261" s="16"/>
      <c r="AE261" s="16"/>
      <c r="AF261" s="16"/>
      <c r="AG261" s="16"/>
      <c r="AH261" s="16"/>
      <c r="AI261" s="16"/>
      <c r="AJ261" s="16"/>
    </row>
    <row r="262" spans="1:36" x14ac:dyDescent="0.2">
      <c r="A262" s="16"/>
      <c r="B262" s="16"/>
      <c r="C262" s="16"/>
      <c r="D262" s="16"/>
      <c r="E262" s="16"/>
      <c r="F262" s="109"/>
      <c r="G262" s="109"/>
      <c r="H262" s="109"/>
      <c r="I262" s="109"/>
      <c r="J262" s="109"/>
      <c r="K262" s="109"/>
      <c r="L262" s="109"/>
      <c r="M262" s="109"/>
      <c r="N262" s="128"/>
      <c r="O262" s="128"/>
      <c r="P262" s="128"/>
      <c r="Q262" s="155"/>
      <c r="R262" s="128"/>
      <c r="S262" s="128"/>
      <c r="T262" s="128"/>
      <c r="U262" s="109"/>
      <c r="V262" s="109"/>
      <c r="W262" s="109"/>
      <c r="X262" s="109"/>
      <c r="Y262" s="109"/>
      <c r="Z262" s="109"/>
      <c r="AA262" s="16"/>
      <c r="AB262" s="16"/>
      <c r="AC262" s="16"/>
      <c r="AD262" s="16"/>
      <c r="AE262" s="16"/>
      <c r="AF262" s="16"/>
      <c r="AG262" s="16"/>
      <c r="AH262" s="16"/>
      <c r="AI262" s="16"/>
      <c r="AJ262" s="16"/>
    </row>
    <row r="263" spans="1:36" x14ac:dyDescent="0.2">
      <c r="A263" s="16"/>
      <c r="B263" s="16"/>
      <c r="C263" s="16"/>
      <c r="D263" s="16"/>
      <c r="E263" s="16"/>
      <c r="F263" s="109"/>
      <c r="G263" s="109"/>
      <c r="H263" s="109"/>
      <c r="I263" s="109"/>
      <c r="J263" s="109"/>
      <c r="K263" s="109"/>
      <c r="L263" s="109"/>
      <c r="M263" s="109"/>
      <c r="N263" s="128"/>
      <c r="O263" s="128"/>
      <c r="P263" s="128"/>
      <c r="Q263" s="155"/>
      <c r="R263" s="128"/>
      <c r="S263" s="128"/>
      <c r="T263" s="128"/>
      <c r="U263" s="109"/>
      <c r="V263" s="109"/>
      <c r="W263" s="109"/>
      <c r="X263" s="109"/>
      <c r="Y263" s="109"/>
      <c r="Z263" s="109"/>
      <c r="AA263" s="16"/>
      <c r="AB263" s="16"/>
      <c r="AC263" s="16"/>
      <c r="AD263" s="16"/>
      <c r="AE263" s="16"/>
      <c r="AF263" s="16"/>
      <c r="AG263" s="16"/>
      <c r="AH263" s="16"/>
      <c r="AI263" s="16"/>
      <c r="AJ263" s="16"/>
    </row>
    <row r="264" spans="1:36" x14ac:dyDescent="0.2">
      <c r="A264" s="16"/>
      <c r="B264" s="16"/>
      <c r="C264" s="16"/>
      <c r="D264" s="16"/>
      <c r="E264" s="16"/>
      <c r="F264" s="109"/>
      <c r="G264" s="109"/>
      <c r="H264" s="109"/>
      <c r="I264" s="109"/>
      <c r="J264" s="109"/>
      <c r="K264" s="109"/>
      <c r="L264" s="109"/>
      <c r="M264" s="109"/>
      <c r="N264" s="128"/>
      <c r="O264" s="128"/>
      <c r="P264" s="128"/>
      <c r="Q264" s="155"/>
      <c r="R264" s="128"/>
      <c r="S264" s="128"/>
      <c r="T264" s="128"/>
      <c r="U264" s="109"/>
      <c r="V264" s="109"/>
      <c r="W264" s="109"/>
      <c r="X264" s="109"/>
      <c r="Y264" s="109"/>
      <c r="Z264" s="109"/>
      <c r="AA264" s="16"/>
      <c r="AB264" s="16"/>
      <c r="AC264" s="16"/>
      <c r="AD264" s="16"/>
      <c r="AE264" s="16"/>
      <c r="AF264" s="16"/>
      <c r="AG264" s="16"/>
      <c r="AH264" s="16"/>
      <c r="AI264" s="16"/>
      <c r="AJ264" s="16"/>
    </row>
    <row r="265" spans="1:36" x14ac:dyDescent="0.2">
      <c r="A265" s="16"/>
      <c r="B265" s="16"/>
      <c r="C265" s="16"/>
      <c r="D265" s="16"/>
      <c r="E265" s="16"/>
      <c r="F265" s="109"/>
      <c r="G265" s="109"/>
      <c r="H265" s="109"/>
      <c r="I265" s="109"/>
      <c r="J265" s="109"/>
      <c r="K265" s="109"/>
      <c r="L265" s="109"/>
      <c r="M265" s="109"/>
      <c r="N265" s="128"/>
      <c r="O265" s="128"/>
      <c r="P265" s="128"/>
      <c r="Q265" s="155"/>
      <c r="R265" s="128"/>
      <c r="S265" s="128"/>
      <c r="T265" s="128"/>
      <c r="U265" s="109"/>
      <c r="V265" s="109"/>
      <c r="W265" s="109"/>
      <c r="X265" s="109"/>
      <c r="Y265" s="109"/>
      <c r="Z265" s="109"/>
      <c r="AA265" s="16"/>
      <c r="AB265" s="16"/>
      <c r="AC265" s="16"/>
      <c r="AD265" s="16"/>
      <c r="AE265" s="16"/>
      <c r="AF265" s="16"/>
      <c r="AG265" s="16"/>
      <c r="AH265" s="16"/>
      <c r="AI265" s="16"/>
      <c r="AJ265" s="16"/>
    </row>
    <row r="266" spans="1:36" x14ac:dyDescent="0.2">
      <c r="A266" s="16"/>
      <c r="B266" s="16"/>
      <c r="C266" s="16"/>
      <c r="D266" s="16"/>
      <c r="E266" s="16"/>
      <c r="F266" s="109"/>
      <c r="G266" s="109"/>
      <c r="H266" s="109"/>
      <c r="I266" s="109"/>
      <c r="J266" s="109"/>
      <c r="K266" s="109"/>
      <c r="L266" s="109"/>
      <c r="M266" s="109"/>
      <c r="N266" s="128"/>
      <c r="O266" s="128"/>
      <c r="P266" s="128"/>
      <c r="Q266" s="155"/>
      <c r="R266" s="128"/>
      <c r="S266" s="128"/>
      <c r="T266" s="128"/>
      <c r="U266" s="109"/>
      <c r="V266" s="109"/>
      <c r="W266" s="109"/>
      <c r="X266" s="109"/>
      <c r="Y266" s="109"/>
      <c r="Z266" s="109"/>
      <c r="AA266" s="16"/>
      <c r="AB266" s="16"/>
      <c r="AC266" s="16"/>
      <c r="AD266" s="16"/>
      <c r="AE266" s="16"/>
      <c r="AF266" s="16"/>
      <c r="AG266" s="16"/>
      <c r="AH266" s="16"/>
      <c r="AI266" s="16"/>
      <c r="AJ266" s="16"/>
    </row>
    <row r="267" spans="1:36" x14ac:dyDescent="0.2">
      <c r="A267" s="16"/>
      <c r="B267" s="16"/>
      <c r="C267" s="16"/>
      <c r="D267" s="16"/>
      <c r="E267" s="16"/>
      <c r="F267" s="109"/>
      <c r="G267" s="109"/>
      <c r="H267" s="109"/>
      <c r="I267" s="109"/>
      <c r="J267" s="109"/>
      <c r="K267" s="109"/>
      <c r="L267" s="109"/>
      <c r="M267" s="109"/>
      <c r="N267" s="128"/>
      <c r="O267" s="128"/>
      <c r="P267" s="128"/>
      <c r="Q267" s="155"/>
      <c r="R267" s="128"/>
      <c r="S267" s="128"/>
      <c r="T267" s="128"/>
      <c r="U267" s="109"/>
      <c r="V267" s="109"/>
      <c r="W267" s="109"/>
      <c r="X267" s="109"/>
      <c r="Y267" s="109"/>
      <c r="Z267" s="109"/>
      <c r="AA267" s="16"/>
      <c r="AB267" s="16"/>
      <c r="AC267" s="16"/>
      <c r="AD267" s="16"/>
      <c r="AE267" s="16"/>
      <c r="AF267" s="16"/>
      <c r="AG267" s="16"/>
      <c r="AH267" s="16"/>
      <c r="AI267" s="16"/>
      <c r="AJ267" s="16"/>
    </row>
    <row r="268" spans="1:36" x14ac:dyDescent="0.2">
      <c r="A268" s="16"/>
      <c r="B268" s="16"/>
      <c r="C268" s="16"/>
      <c r="D268" s="16"/>
      <c r="E268" s="16"/>
      <c r="F268" s="109"/>
      <c r="G268" s="109"/>
      <c r="H268" s="109"/>
      <c r="I268" s="109"/>
      <c r="J268" s="109"/>
      <c r="K268" s="109"/>
      <c r="L268" s="109"/>
      <c r="M268" s="109"/>
      <c r="N268" s="128"/>
      <c r="O268" s="128"/>
      <c r="P268" s="128"/>
      <c r="Q268" s="155"/>
      <c r="R268" s="128"/>
      <c r="S268" s="128"/>
      <c r="T268" s="128"/>
      <c r="U268" s="109"/>
      <c r="V268" s="109"/>
      <c r="W268" s="109"/>
      <c r="X268" s="109"/>
      <c r="Y268" s="109"/>
      <c r="Z268" s="109"/>
      <c r="AA268" s="16"/>
      <c r="AB268" s="16"/>
      <c r="AC268" s="16"/>
      <c r="AD268" s="16"/>
      <c r="AE268" s="16"/>
      <c r="AF268" s="16"/>
      <c r="AG268" s="16"/>
      <c r="AH268" s="16"/>
      <c r="AI268" s="16"/>
      <c r="AJ268" s="16"/>
    </row>
    <row r="269" spans="1:36" x14ac:dyDescent="0.2">
      <c r="A269" s="16"/>
      <c r="B269" s="16"/>
      <c r="C269" s="16"/>
      <c r="D269" s="16"/>
      <c r="E269" s="16"/>
      <c r="F269" s="109"/>
      <c r="G269" s="109"/>
      <c r="H269" s="109"/>
      <c r="I269" s="109"/>
      <c r="J269" s="109"/>
      <c r="K269" s="109"/>
      <c r="L269" s="109"/>
      <c r="M269" s="109"/>
      <c r="N269" s="128"/>
      <c r="O269" s="128"/>
      <c r="P269" s="128"/>
      <c r="Q269" s="155"/>
      <c r="R269" s="128"/>
      <c r="S269" s="128"/>
      <c r="T269" s="128"/>
      <c r="U269" s="109"/>
      <c r="V269" s="109"/>
      <c r="W269" s="109"/>
      <c r="X269" s="109"/>
      <c r="Y269" s="109"/>
      <c r="Z269" s="109"/>
      <c r="AA269" s="16"/>
      <c r="AB269" s="16"/>
      <c r="AC269" s="16"/>
      <c r="AD269" s="16"/>
      <c r="AE269" s="16"/>
      <c r="AF269" s="16"/>
      <c r="AG269" s="16"/>
      <c r="AH269" s="16"/>
      <c r="AI269" s="16"/>
      <c r="AJ269" s="16"/>
    </row>
    <row r="270" spans="1:36" x14ac:dyDescent="0.2">
      <c r="A270" s="16"/>
      <c r="B270" s="16"/>
      <c r="C270" s="16"/>
      <c r="D270" s="16"/>
      <c r="E270" s="16"/>
      <c r="F270" s="109"/>
      <c r="G270" s="109"/>
      <c r="H270" s="109"/>
      <c r="I270" s="109"/>
      <c r="J270" s="109"/>
      <c r="K270" s="109"/>
      <c r="L270" s="109"/>
      <c r="M270" s="109"/>
      <c r="N270" s="128"/>
      <c r="O270" s="128"/>
      <c r="P270" s="128"/>
      <c r="Q270" s="155"/>
      <c r="R270" s="128"/>
      <c r="S270" s="128"/>
      <c r="T270" s="128"/>
      <c r="U270" s="109"/>
      <c r="V270" s="109"/>
      <c r="W270" s="109"/>
      <c r="X270" s="109"/>
      <c r="Y270" s="109"/>
      <c r="Z270" s="109"/>
      <c r="AA270" s="16"/>
      <c r="AB270" s="16"/>
      <c r="AC270" s="16"/>
      <c r="AD270" s="16"/>
      <c r="AE270" s="16"/>
      <c r="AF270" s="16"/>
      <c r="AG270" s="16"/>
      <c r="AH270" s="16"/>
      <c r="AI270" s="16"/>
      <c r="AJ270" s="16"/>
    </row>
    <row r="271" spans="1:36" x14ac:dyDescent="0.2">
      <c r="A271" s="16"/>
      <c r="B271" s="16"/>
      <c r="C271" s="16"/>
      <c r="D271" s="16"/>
      <c r="E271" s="16"/>
      <c r="F271" s="109"/>
      <c r="G271" s="109"/>
      <c r="H271" s="109"/>
      <c r="I271" s="109"/>
      <c r="J271" s="109"/>
      <c r="K271" s="109"/>
      <c r="L271" s="109"/>
      <c r="M271" s="109"/>
      <c r="N271" s="128"/>
      <c r="O271" s="128"/>
      <c r="P271" s="128"/>
      <c r="Q271" s="155"/>
      <c r="R271" s="128"/>
      <c r="S271" s="128"/>
      <c r="T271" s="128"/>
      <c r="U271" s="109"/>
      <c r="V271" s="109"/>
      <c r="W271" s="109"/>
      <c r="X271" s="109"/>
      <c r="Y271" s="109"/>
      <c r="Z271" s="109"/>
      <c r="AA271" s="16"/>
      <c r="AB271" s="16"/>
      <c r="AC271" s="16"/>
      <c r="AD271" s="16"/>
      <c r="AE271" s="16"/>
      <c r="AF271" s="16"/>
      <c r="AG271" s="16"/>
      <c r="AH271" s="16"/>
      <c r="AI271" s="16"/>
      <c r="AJ271" s="16"/>
    </row>
    <row r="272" spans="1:36" x14ac:dyDescent="0.2">
      <c r="A272" s="16"/>
      <c r="B272" s="16"/>
      <c r="C272" s="16"/>
      <c r="D272" s="16"/>
      <c r="E272" s="16"/>
      <c r="F272" s="109"/>
      <c r="G272" s="109"/>
      <c r="H272" s="109"/>
      <c r="I272" s="109"/>
      <c r="J272" s="109"/>
      <c r="K272" s="109"/>
      <c r="L272" s="109"/>
      <c r="M272" s="109"/>
      <c r="N272" s="128"/>
      <c r="O272" s="128"/>
      <c r="P272" s="128"/>
      <c r="Q272" s="155"/>
      <c r="R272" s="128"/>
      <c r="S272" s="128"/>
      <c r="T272" s="128"/>
      <c r="U272" s="109"/>
      <c r="V272" s="109"/>
      <c r="W272" s="109"/>
      <c r="X272" s="109"/>
      <c r="Y272" s="109"/>
      <c r="Z272" s="109"/>
      <c r="AA272" s="16"/>
      <c r="AB272" s="16"/>
      <c r="AC272" s="16"/>
      <c r="AD272" s="16"/>
      <c r="AE272" s="16"/>
      <c r="AF272" s="16"/>
      <c r="AG272" s="16"/>
      <c r="AH272" s="16"/>
      <c r="AI272" s="16"/>
      <c r="AJ272" s="16"/>
    </row>
    <row r="273" spans="1:36" x14ac:dyDescent="0.2">
      <c r="A273" s="16"/>
      <c r="B273" s="16"/>
      <c r="C273" s="16"/>
      <c r="D273" s="16"/>
      <c r="E273" s="16"/>
      <c r="F273" s="109"/>
      <c r="G273" s="109"/>
      <c r="H273" s="109"/>
      <c r="I273" s="109"/>
      <c r="J273" s="109"/>
      <c r="K273" s="109"/>
      <c r="L273" s="109"/>
      <c r="M273" s="109"/>
      <c r="N273" s="128"/>
      <c r="O273" s="128"/>
      <c r="P273" s="128"/>
      <c r="Q273" s="155"/>
      <c r="R273" s="128"/>
      <c r="S273" s="128"/>
      <c r="T273" s="128"/>
      <c r="U273" s="109"/>
      <c r="V273" s="109"/>
      <c r="W273" s="109"/>
      <c r="X273" s="109"/>
      <c r="Y273" s="109"/>
      <c r="Z273" s="109"/>
      <c r="AA273" s="16"/>
      <c r="AB273" s="16"/>
      <c r="AC273" s="16"/>
      <c r="AD273" s="16"/>
      <c r="AE273" s="16"/>
      <c r="AF273" s="16"/>
      <c r="AG273" s="16"/>
      <c r="AH273" s="16"/>
      <c r="AI273" s="16"/>
      <c r="AJ273" s="16"/>
    </row>
    <row r="274" spans="1:36" x14ac:dyDescent="0.2">
      <c r="A274" s="16"/>
      <c r="B274" s="16"/>
      <c r="C274" s="16"/>
      <c r="D274" s="16"/>
      <c r="E274" s="16"/>
      <c r="F274" s="109"/>
      <c r="G274" s="109"/>
      <c r="H274" s="109"/>
      <c r="I274" s="109"/>
      <c r="J274" s="109"/>
      <c r="K274" s="109"/>
      <c r="L274" s="109"/>
      <c r="M274" s="109"/>
      <c r="N274" s="128"/>
      <c r="O274" s="128"/>
      <c r="P274" s="128"/>
      <c r="Q274" s="155"/>
      <c r="R274" s="128"/>
      <c r="S274" s="128"/>
      <c r="T274" s="128"/>
      <c r="U274" s="109"/>
      <c r="V274" s="109"/>
      <c r="W274" s="109"/>
      <c r="X274" s="109"/>
      <c r="Y274" s="109"/>
      <c r="Z274" s="109"/>
      <c r="AA274" s="16"/>
      <c r="AB274" s="16"/>
      <c r="AC274" s="16"/>
      <c r="AD274" s="16"/>
      <c r="AE274" s="16"/>
      <c r="AF274" s="16"/>
      <c r="AG274" s="16"/>
      <c r="AH274" s="16"/>
      <c r="AI274" s="16"/>
      <c r="AJ274" s="16"/>
    </row>
    <row r="275" spans="1:36" x14ac:dyDescent="0.2">
      <c r="A275" s="16"/>
      <c r="B275" s="16"/>
      <c r="C275" s="16"/>
      <c r="D275" s="16"/>
      <c r="E275" s="16"/>
      <c r="F275" s="109"/>
      <c r="G275" s="109"/>
      <c r="H275" s="109"/>
      <c r="I275" s="109"/>
      <c r="J275" s="109"/>
      <c r="K275" s="109"/>
      <c r="L275" s="109"/>
      <c r="M275" s="109"/>
      <c r="N275" s="128"/>
      <c r="O275" s="128"/>
      <c r="P275" s="128"/>
      <c r="Q275" s="155"/>
      <c r="R275" s="128"/>
      <c r="S275" s="128"/>
      <c r="T275" s="128"/>
      <c r="U275" s="109"/>
      <c r="V275" s="109"/>
      <c r="W275" s="109"/>
      <c r="X275" s="109"/>
      <c r="Y275" s="109"/>
      <c r="Z275" s="109"/>
      <c r="AA275" s="16"/>
      <c r="AB275" s="16"/>
      <c r="AC275" s="16"/>
      <c r="AD275" s="16"/>
      <c r="AE275" s="16"/>
      <c r="AF275" s="16"/>
      <c r="AG275" s="16"/>
      <c r="AH275" s="16"/>
      <c r="AI275" s="16"/>
      <c r="AJ275" s="16"/>
    </row>
    <row r="276" spans="1:36" x14ac:dyDescent="0.2">
      <c r="A276" s="16"/>
      <c r="B276" s="16"/>
      <c r="C276" s="16"/>
      <c r="D276" s="16"/>
      <c r="E276" s="16"/>
      <c r="F276" s="109"/>
      <c r="G276" s="109"/>
      <c r="H276" s="109"/>
      <c r="I276" s="109"/>
      <c r="J276" s="109"/>
      <c r="K276" s="109"/>
      <c r="L276" s="109"/>
      <c r="M276" s="109"/>
      <c r="N276" s="128"/>
      <c r="O276" s="128"/>
      <c r="P276" s="128"/>
      <c r="Q276" s="155"/>
      <c r="R276" s="128"/>
      <c r="S276" s="128"/>
      <c r="T276" s="128"/>
      <c r="U276" s="109"/>
      <c r="V276" s="109"/>
      <c r="W276" s="109"/>
      <c r="X276" s="109"/>
      <c r="Y276" s="109"/>
      <c r="Z276" s="109"/>
      <c r="AA276" s="16"/>
      <c r="AB276" s="16"/>
      <c r="AC276" s="16"/>
      <c r="AD276" s="16"/>
      <c r="AE276" s="16"/>
      <c r="AF276" s="16"/>
      <c r="AG276" s="16"/>
      <c r="AH276" s="16"/>
      <c r="AI276" s="16"/>
      <c r="AJ276" s="16"/>
    </row>
    <row r="277" spans="1:36" x14ac:dyDescent="0.2">
      <c r="A277" s="16"/>
      <c r="B277" s="16"/>
      <c r="C277" s="16"/>
      <c r="D277" s="16"/>
      <c r="E277" s="16"/>
      <c r="F277" s="109"/>
      <c r="G277" s="109"/>
      <c r="H277" s="109"/>
      <c r="I277" s="109"/>
      <c r="J277" s="109"/>
      <c r="K277" s="109"/>
      <c r="L277" s="109"/>
      <c r="M277" s="109"/>
      <c r="N277" s="128"/>
      <c r="O277" s="128"/>
      <c r="P277" s="128"/>
      <c r="Q277" s="155"/>
      <c r="R277" s="128"/>
      <c r="S277" s="128"/>
      <c r="T277" s="128"/>
      <c r="U277" s="109"/>
      <c r="V277" s="109"/>
      <c r="W277" s="109"/>
      <c r="X277" s="109"/>
      <c r="Y277" s="109"/>
      <c r="Z277" s="109"/>
      <c r="AA277" s="16"/>
      <c r="AB277" s="16"/>
      <c r="AC277" s="16"/>
      <c r="AD277" s="16"/>
      <c r="AE277" s="16"/>
      <c r="AF277" s="16"/>
      <c r="AG277" s="16"/>
      <c r="AH277" s="16"/>
      <c r="AI277" s="16"/>
      <c r="AJ277" s="16"/>
    </row>
    <row r="278" spans="1:36" x14ac:dyDescent="0.2">
      <c r="A278" s="16"/>
      <c r="B278" s="16"/>
      <c r="C278" s="16"/>
      <c r="D278" s="16"/>
      <c r="E278" s="16"/>
      <c r="F278" s="109"/>
      <c r="G278" s="109"/>
      <c r="H278" s="109"/>
      <c r="I278" s="109"/>
      <c r="J278" s="109"/>
      <c r="K278" s="109"/>
      <c r="L278" s="109"/>
      <c r="M278" s="109"/>
      <c r="N278" s="128"/>
      <c r="O278" s="128"/>
      <c r="P278" s="128"/>
      <c r="Q278" s="155"/>
      <c r="R278" s="128"/>
      <c r="S278" s="128"/>
      <c r="T278" s="128"/>
      <c r="U278" s="109"/>
      <c r="V278" s="109"/>
      <c r="W278" s="109"/>
      <c r="X278" s="109"/>
      <c r="Y278" s="109"/>
      <c r="Z278" s="109"/>
      <c r="AA278" s="16"/>
      <c r="AB278" s="16"/>
      <c r="AC278" s="16"/>
      <c r="AD278" s="16"/>
      <c r="AE278" s="16"/>
      <c r="AF278" s="16"/>
      <c r="AG278" s="16"/>
      <c r="AH278" s="16"/>
      <c r="AI278" s="16"/>
      <c r="AJ278" s="16"/>
    </row>
    <row r="279" spans="1:36" x14ac:dyDescent="0.2">
      <c r="A279" s="16"/>
      <c r="B279" s="16"/>
      <c r="C279" s="16"/>
      <c r="D279" s="16"/>
      <c r="E279" s="16"/>
      <c r="F279" s="109"/>
      <c r="G279" s="109"/>
      <c r="H279" s="109"/>
      <c r="I279" s="109"/>
      <c r="J279" s="109"/>
      <c r="K279" s="109"/>
      <c r="L279" s="109"/>
      <c r="M279" s="109"/>
      <c r="N279" s="128"/>
      <c r="O279" s="128"/>
      <c r="P279" s="128"/>
      <c r="Q279" s="155"/>
      <c r="R279" s="128"/>
      <c r="S279" s="128"/>
      <c r="T279" s="128"/>
      <c r="U279" s="109"/>
      <c r="V279" s="109"/>
      <c r="W279" s="109"/>
      <c r="X279" s="109"/>
      <c r="Y279" s="109"/>
      <c r="Z279" s="109"/>
      <c r="AA279" s="16"/>
      <c r="AB279" s="16"/>
      <c r="AC279" s="16"/>
      <c r="AD279" s="16"/>
      <c r="AE279" s="16"/>
      <c r="AF279" s="16"/>
      <c r="AG279" s="16"/>
      <c r="AH279" s="16"/>
      <c r="AI279" s="16"/>
      <c r="AJ279" s="16"/>
    </row>
    <row r="280" spans="1:36" x14ac:dyDescent="0.2">
      <c r="A280" s="16"/>
      <c r="B280" s="16"/>
      <c r="C280" s="16"/>
      <c r="D280" s="16"/>
      <c r="E280" s="16"/>
      <c r="F280" s="109"/>
      <c r="G280" s="109"/>
      <c r="H280" s="109"/>
      <c r="I280" s="109"/>
      <c r="J280" s="109"/>
      <c r="K280" s="109"/>
      <c r="L280" s="109"/>
      <c r="M280" s="109"/>
      <c r="N280" s="128"/>
      <c r="O280" s="128"/>
      <c r="P280" s="128"/>
      <c r="Q280" s="155"/>
      <c r="R280" s="128"/>
      <c r="S280" s="128"/>
      <c r="T280" s="128"/>
      <c r="U280" s="109"/>
      <c r="V280" s="109"/>
      <c r="W280" s="109"/>
      <c r="X280" s="109"/>
      <c r="Y280" s="109"/>
      <c r="Z280" s="109"/>
      <c r="AA280" s="16"/>
      <c r="AB280" s="16"/>
      <c r="AC280" s="16"/>
      <c r="AD280" s="16"/>
      <c r="AE280" s="16"/>
      <c r="AF280" s="16"/>
      <c r="AG280" s="16"/>
      <c r="AH280" s="16"/>
      <c r="AI280" s="16"/>
      <c r="AJ280" s="16"/>
    </row>
    <row r="281" spans="1:36" x14ac:dyDescent="0.2">
      <c r="A281" s="16"/>
      <c r="B281" s="16"/>
      <c r="C281" s="16"/>
      <c r="D281" s="16"/>
      <c r="E281" s="16"/>
      <c r="F281" s="109"/>
      <c r="G281" s="109"/>
      <c r="H281" s="109"/>
      <c r="I281" s="109"/>
      <c r="J281" s="109"/>
      <c r="K281" s="109"/>
      <c r="L281" s="109"/>
      <c r="M281" s="109"/>
      <c r="N281" s="128"/>
      <c r="O281" s="128"/>
      <c r="P281" s="128"/>
      <c r="Q281" s="155"/>
      <c r="R281" s="128"/>
      <c r="S281" s="128"/>
      <c r="T281" s="128"/>
      <c r="U281" s="109"/>
      <c r="V281" s="109"/>
      <c r="W281" s="109"/>
      <c r="X281" s="109"/>
      <c r="Y281" s="109"/>
      <c r="Z281" s="109"/>
      <c r="AA281" s="16"/>
      <c r="AB281" s="16"/>
      <c r="AC281" s="16"/>
      <c r="AD281" s="16"/>
      <c r="AE281" s="16"/>
      <c r="AF281" s="16"/>
      <c r="AG281" s="16"/>
      <c r="AH281" s="16"/>
      <c r="AI281" s="16"/>
      <c r="AJ281" s="16"/>
    </row>
    <row r="282" spans="1:36" x14ac:dyDescent="0.2">
      <c r="A282" s="16"/>
      <c r="B282" s="16"/>
      <c r="C282" s="16"/>
      <c r="D282" s="16"/>
      <c r="E282" s="16"/>
      <c r="F282" s="109"/>
      <c r="G282" s="109"/>
      <c r="H282" s="109"/>
      <c r="I282" s="109"/>
      <c r="J282" s="109"/>
      <c r="K282" s="109"/>
      <c r="L282" s="109"/>
      <c r="M282" s="109"/>
      <c r="N282" s="128"/>
      <c r="O282" s="128"/>
      <c r="P282" s="128"/>
      <c r="Q282" s="155"/>
      <c r="R282" s="128"/>
      <c r="S282" s="128"/>
      <c r="T282" s="128"/>
      <c r="U282" s="109"/>
      <c r="V282" s="109"/>
      <c r="W282" s="109"/>
      <c r="X282" s="109"/>
      <c r="Y282" s="109"/>
      <c r="Z282" s="109"/>
      <c r="AA282" s="16"/>
      <c r="AB282" s="16"/>
      <c r="AC282" s="16"/>
      <c r="AD282" s="16"/>
      <c r="AE282" s="16"/>
      <c r="AF282" s="16"/>
      <c r="AG282" s="16"/>
      <c r="AH282" s="16"/>
      <c r="AI282" s="16"/>
      <c r="AJ282" s="16"/>
    </row>
    <row r="283" spans="1:36" x14ac:dyDescent="0.2">
      <c r="A283" s="16"/>
      <c r="B283" s="16"/>
      <c r="C283" s="16"/>
      <c r="D283" s="16"/>
      <c r="E283" s="16"/>
      <c r="F283" s="109"/>
      <c r="G283" s="109"/>
      <c r="H283" s="109"/>
      <c r="I283" s="109"/>
      <c r="J283" s="109"/>
      <c r="K283" s="109"/>
      <c r="L283" s="109"/>
      <c r="M283" s="109"/>
      <c r="N283" s="128"/>
      <c r="O283" s="128"/>
      <c r="P283" s="128"/>
      <c r="Q283" s="155"/>
      <c r="R283" s="128"/>
      <c r="S283" s="128"/>
      <c r="T283" s="128"/>
      <c r="U283" s="109"/>
      <c r="V283" s="109"/>
      <c r="W283" s="109"/>
      <c r="X283" s="109"/>
      <c r="Y283" s="109"/>
      <c r="Z283" s="109"/>
      <c r="AA283" s="16"/>
      <c r="AB283" s="16"/>
      <c r="AC283" s="16"/>
      <c r="AD283" s="16"/>
      <c r="AE283" s="16"/>
      <c r="AF283" s="16"/>
      <c r="AG283" s="16"/>
      <c r="AH283" s="16"/>
      <c r="AI283" s="16"/>
      <c r="AJ283" s="16"/>
    </row>
    <row r="284" spans="1:36" x14ac:dyDescent="0.2">
      <c r="A284" s="16"/>
      <c r="B284" s="16"/>
      <c r="C284" s="16"/>
      <c r="D284" s="16"/>
      <c r="E284" s="16"/>
      <c r="F284" s="109"/>
      <c r="G284" s="109"/>
      <c r="H284" s="109"/>
      <c r="I284" s="109"/>
      <c r="J284" s="109"/>
      <c r="K284" s="109"/>
      <c r="L284" s="109"/>
      <c r="M284" s="109"/>
      <c r="N284" s="128"/>
      <c r="O284" s="128"/>
      <c r="P284" s="128"/>
      <c r="Q284" s="155"/>
      <c r="R284" s="128"/>
      <c r="S284" s="128"/>
      <c r="T284" s="128"/>
      <c r="U284" s="109"/>
      <c r="V284" s="109"/>
      <c r="W284" s="109"/>
      <c r="X284" s="109"/>
      <c r="Y284" s="109"/>
      <c r="Z284" s="109"/>
      <c r="AA284" s="16"/>
      <c r="AB284" s="16"/>
      <c r="AC284" s="16"/>
      <c r="AD284" s="16"/>
      <c r="AE284" s="16"/>
      <c r="AF284" s="16"/>
      <c r="AG284" s="16"/>
      <c r="AH284" s="16"/>
      <c r="AI284" s="16"/>
      <c r="AJ284" s="16"/>
    </row>
    <row r="285" spans="1:36" x14ac:dyDescent="0.2">
      <c r="A285" s="16"/>
      <c r="B285" s="16"/>
      <c r="C285" s="16"/>
      <c r="D285" s="16"/>
      <c r="E285" s="16"/>
      <c r="F285" s="109"/>
      <c r="G285" s="109"/>
      <c r="H285" s="109"/>
      <c r="I285" s="109"/>
      <c r="J285" s="109"/>
      <c r="K285" s="109"/>
      <c r="L285" s="109"/>
      <c r="M285" s="109"/>
      <c r="N285" s="128"/>
      <c r="O285" s="128"/>
      <c r="P285" s="128"/>
      <c r="Q285" s="155"/>
      <c r="R285" s="128"/>
      <c r="S285" s="128"/>
      <c r="T285" s="128"/>
      <c r="U285" s="109"/>
      <c r="V285" s="109"/>
      <c r="W285" s="109"/>
      <c r="X285" s="109"/>
      <c r="Y285" s="109"/>
      <c r="Z285" s="109"/>
      <c r="AA285" s="16"/>
      <c r="AB285" s="16"/>
      <c r="AC285" s="16"/>
      <c r="AD285" s="16"/>
      <c r="AE285" s="16"/>
      <c r="AF285" s="16"/>
      <c r="AG285" s="16"/>
      <c r="AH285" s="16"/>
      <c r="AI285" s="16"/>
      <c r="AJ285" s="16"/>
    </row>
    <row r="286" spans="1:36" x14ac:dyDescent="0.2">
      <c r="A286" s="16"/>
      <c r="B286" s="16"/>
      <c r="C286" s="16"/>
      <c r="D286" s="16"/>
      <c r="E286" s="16"/>
      <c r="F286" s="109"/>
      <c r="G286" s="109"/>
      <c r="H286" s="109"/>
      <c r="I286" s="109"/>
      <c r="J286" s="109"/>
      <c r="K286" s="109"/>
      <c r="L286" s="109"/>
      <c r="M286" s="109"/>
      <c r="N286" s="128"/>
      <c r="O286" s="128"/>
      <c r="P286" s="128"/>
      <c r="Q286" s="155"/>
      <c r="R286" s="128"/>
      <c r="S286" s="128"/>
      <c r="T286" s="128"/>
      <c r="U286" s="109"/>
      <c r="V286" s="109"/>
      <c r="W286" s="109"/>
      <c r="X286" s="109"/>
      <c r="Y286" s="109"/>
      <c r="Z286" s="109"/>
      <c r="AA286" s="16"/>
      <c r="AB286" s="16"/>
      <c r="AC286" s="16"/>
      <c r="AD286" s="16"/>
      <c r="AE286" s="16"/>
      <c r="AF286" s="16"/>
      <c r="AG286" s="16"/>
      <c r="AH286" s="16"/>
      <c r="AI286" s="16"/>
      <c r="AJ286" s="16"/>
    </row>
    <row r="287" spans="1:36" x14ac:dyDescent="0.2">
      <c r="A287" s="16"/>
      <c r="B287" s="16"/>
      <c r="C287" s="16"/>
      <c r="D287" s="16"/>
      <c r="E287" s="16"/>
      <c r="F287" s="109"/>
      <c r="G287" s="109"/>
      <c r="H287" s="109"/>
      <c r="I287" s="109"/>
      <c r="J287" s="109"/>
      <c r="K287" s="109"/>
      <c r="L287" s="109"/>
      <c r="M287" s="109"/>
      <c r="N287" s="128"/>
      <c r="O287" s="128"/>
      <c r="P287" s="128"/>
      <c r="Q287" s="155"/>
      <c r="R287" s="128"/>
      <c r="S287" s="128"/>
      <c r="T287" s="128"/>
      <c r="U287" s="109"/>
      <c r="V287" s="109"/>
      <c r="W287" s="109"/>
      <c r="X287" s="109"/>
      <c r="Y287" s="109"/>
      <c r="Z287" s="109"/>
      <c r="AA287" s="16"/>
      <c r="AB287" s="16"/>
      <c r="AC287" s="16"/>
      <c r="AD287" s="16"/>
      <c r="AE287" s="16"/>
      <c r="AF287" s="16"/>
      <c r="AG287" s="16"/>
      <c r="AH287" s="16"/>
      <c r="AI287" s="16"/>
      <c r="AJ287" s="16"/>
    </row>
    <row r="288" spans="1:36" x14ac:dyDescent="0.2">
      <c r="A288" s="16"/>
      <c r="B288" s="16"/>
      <c r="C288" s="16"/>
      <c r="D288" s="16"/>
      <c r="E288" s="16"/>
      <c r="F288" s="109"/>
      <c r="G288" s="109"/>
      <c r="H288" s="109"/>
      <c r="I288" s="109"/>
      <c r="J288" s="109"/>
      <c r="K288" s="109"/>
      <c r="L288" s="109"/>
      <c r="M288" s="109"/>
      <c r="N288" s="128"/>
      <c r="O288" s="128"/>
      <c r="P288" s="128"/>
      <c r="Q288" s="155"/>
      <c r="R288" s="128"/>
      <c r="S288" s="128"/>
      <c r="T288" s="128"/>
      <c r="U288" s="109"/>
      <c r="V288" s="109"/>
      <c r="W288" s="109"/>
      <c r="X288" s="109"/>
      <c r="Y288" s="109"/>
      <c r="Z288" s="109"/>
      <c r="AA288" s="16"/>
      <c r="AB288" s="16"/>
      <c r="AC288" s="16"/>
      <c r="AD288" s="16"/>
      <c r="AE288" s="16"/>
      <c r="AF288" s="16"/>
      <c r="AG288" s="16"/>
      <c r="AH288" s="16"/>
      <c r="AI288" s="16"/>
      <c r="AJ288" s="16"/>
    </row>
    <row r="289" spans="1:36" x14ac:dyDescent="0.2">
      <c r="A289" s="16"/>
      <c r="B289" s="16"/>
      <c r="C289" s="16"/>
      <c r="D289" s="16"/>
      <c r="E289" s="16"/>
      <c r="F289" s="109"/>
      <c r="G289" s="109"/>
      <c r="H289" s="109"/>
      <c r="I289" s="109"/>
      <c r="J289" s="109"/>
      <c r="K289" s="109"/>
      <c r="L289" s="109"/>
      <c r="M289" s="109"/>
      <c r="N289" s="128"/>
      <c r="O289" s="128"/>
      <c r="P289" s="128"/>
      <c r="Q289" s="155"/>
      <c r="R289" s="128"/>
      <c r="S289" s="128"/>
      <c r="T289" s="128"/>
      <c r="U289" s="109"/>
      <c r="V289" s="109"/>
      <c r="W289" s="109"/>
      <c r="X289" s="109"/>
      <c r="Y289" s="109"/>
      <c r="Z289" s="109"/>
      <c r="AA289" s="16"/>
      <c r="AB289" s="16"/>
      <c r="AC289" s="16"/>
      <c r="AD289" s="16"/>
      <c r="AE289" s="16"/>
      <c r="AF289" s="16"/>
      <c r="AG289" s="16"/>
      <c r="AH289" s="16"/>
      <c r="AI289" s="16"/>
      <c r="AJ289" s="16"/>
    </row>
    <row r="290" spans="1:36" x14ac:dyDescent="0.2">
      <c r="A290" s="16"/>
      <c r="B290" s="16"/>
      <c r="C290" s="16"/>
      <c r="D290" s="16"/>
      <c r="E290" s="16"/>
      <c r="F290" s="109"/>
      <c r="G290" s="109"/>
      <c r="H290" s="109"/>
      <c r="I290" s="109"/>
      <c r="J290" s="109"/>
      <c r="K290" s="109"/>
      <c r="L290" s="109"/>
      <c r="M290" s="109"/>
      <c r="N290" s="128"/>
      <c r="O290" s="128"/>
      <c r="P290" s="128"/>
      <c r="Q290" s="155"/>
      <c r="R290" s="128"/>
      <c r="S290" s="128"/>
      <c r="T290" s="128"/>
      <c r="U290" s="109"/>
      <c r="V290" s="109"/>
      <c r="W290" s="109"/>
      <c r="X290" s="109"/>
      <c r="Y290" s="109"/>
      <c r="Z290" s="109"/>
      <c r="AA290" s="16"/>
      <c r="AB290" s="16"/>
      <c r="AC290" s="16"/>
      <c r="AD290" s="16"/>
      <c r="AE290" s="16"/>
      <c r="AF290" s="16"/>
      <c r="AG290" s="16"/>
      <c r="AH290" s="16"/>
      <c r="AI290" s="16"/>
      <c r="AJ290" s="16"/>
    </row>
    <row r="291" spans="1:36" x14ac:dyDescent="0.2">
      <c r="A291" s="16"/>
      <c r="B291" s="16"/>
      <c r="C291" s="16"/>
      <c r="D291" s="16"/>
      <c r="E291" s="16"/>
      <c r="F291" s="109"/>
      <c r="G291" s="109"/>
      <c r="H291" s="109"/>
      <c r="I291" s="109"/>
      <c r="J291" s="109"/>
      <c r="K291" s="109"/>
      <c r="L291" s="109"/>
      <c r="M291" s="109"/>
      <c r="N291" s="128"/>
      <c r="O291" s="128"/>
      <c r="P291" s="128"/>
      <c r="Q291" s="155"/>
      <c r="R291" s="128"/>
      <c r="S291" s="128"/>
      <c r="T291" s="128"/>
      <c r="U291" s="109"/>
      <c r="V291" s="109"/>
      <c r="W291" s="109"/>
      <c r="X291" s="109"/>
      <c r="Y291" s="109"/>
      <c r="Z291" s="109"/>
      <c r="AA291" s="16"/>
      <c r="AB291" s="16"/>
      <c r="AC291" s="16"/>
      <c r="AD291" s="16"/>
      <c r="AE291" s="16"/>
      <c r="AF291" s="16"/>
      <c r="AG291" s="16"/>
      <c r="AH291" s="16"/>
      <c r="AI291" s="16"/>
      <c r="AJ291" s="16"/>
    </row>
    <row r="292" spans="1:36" x14ac:dyDescent="0.2">
      <c r="A292" s="16"/>
      <c r="B292" s="16"/>
      <c r="C292" s="16"/>
      <c r="D292" s="16"/>
      <c r="E292" s="16"/>
      <c r="F292" s="109"/>
      <c r="G292" s="109"/>
      <c r="H292" s="109"/>
      <c r="I292" s="109"/>
      <c r="J292" s="109"/>
      <c r="K292" s="109"/>
      <c r="L292" s="109"/>
      <c r="M292" s="109"/>
      <c r="N292" s="128"/>
      <c r="O292" s="128"/>
      <c r="P292" s="128"/>
      <c r="Q292" s="155"/>
      <c r="R292" s="128"/>
      <c r="S292" s="128"/>
      <c r="T292" s="128"/>
      <c r="U292" s="109"/>
      <c r="V292" s="109"/>
      <c r="W292" s="109"/>
      <c r="X292" s="109"/>
      <c r="Y292" s="109"/>
      <c r="Z292" s="109"/>
      <c r="AA292" s="16"/>
      <c r="AB292" s="16"/>
      <c r="AC292" s="16"/>
      <c r="AD292" s="16"/>
      <c r="AE292" s="16"/>
      <c r="AF292" s="16"/>
      <c r="AG292" s="16"/>
      <c r="AH292" s="16"/>
      <c r="AI292" s="16"/>
      <c r="AJ292" s="16"/>
    </row>
    <row r="293" spans="1:36" x14ac:dyDescent="0.2">
      <c r="A293" s="16"/>
      <c r="B293" s="16"/>
      <c r="C293" s="16"/>
      <c r="D293" s="16"/>
      <c r="E293" s="16"/>
      <c r="F293" s="109"/>
      <c r="G293" s="109"/>
      <c r="H293" s="109"/>
      <c r="I293" s="109"/>
      <c r="J293" s="109"/>
      <c r="K293" s="109"/>
      <c r="L293" s="109"/>
      <c r="M293" s="109"/>
      <c r="N293" s="128"/>
      <c r="O293" s="128"/>
      <c r="P293" s="128"/>
      <c r="Q293" s="155"/>
      <c r="R293" s="128"/>
      <c r="S293" s="128"/>
      <c r="T293" s="128"/>
      <c r="U293" s="109"/>
      <c r="V293" s="109"/>
      <c r="W293" s="109"/>
      <c r="X293" s="109"/>
      <c r="Y293" s="109"/>
      <c r="Z293" s="109"/>
      <c r="AA293" s="16"/>
      <c r="AB293" s="16"/>
      <c r="AC293" s="16"/>
      <c r="AD293" s="16"/>
      <c r="AE293" s="16"/>
      <c r="AF293" s="16"/>
      <c r="AG293" s="16"/>
      <c r="AH293" s="16"/>
      <c r="AI293" s="16"/>
      <c r="AJ293" s="16"/>
    </row>
    <row r="294" spans="1:36" x14ac:dyDescent="0.2">
      <c r="A294" s="16"/>
      <c r="B294" s="16"/>
      <c r="C294" s="16"/>
      <c r="D294" s="16"/>
      <c r="E294" s="16"/>
      <c r="F294" s="109"/>
      <c r="G294" s="109"/>
      <c r="H294" s="109"/>
      <c r="I294" s="109"/>
      <c r="J294" s="109"/>
      <c r="K294" s="109"/>
      <c r="L294" s="109"/>
      <c r="M294" s="109"/>
      <c r="N294" s="128"/>
      <c r="O294" s="128"/>
      <c r="P294" s="128"/>
      <c r="Q294" s="155"/>
      <c r="R294" s="128"/>
      <c r="S294" s="128"/>
      <c r="T294" s="128"/>
      <c r="U294" s="109"/>
      <c r="V294" s="109"/>
      <c r="W294" s="109"/>
      <c r="X294" s="109"/>
      <c r="Y294" s="109"/>
      <c r="Z294" s="109"/>
      <c r="AA294" s="16"/>
      <c r="AB294" s="16"/>
      <c r="AC294" s="16"/>
      <c r="AD294" s="16"/>
      <c r="AE294" s="16"/>
      <c r="AF294" s="16"/>
      <c r="AG294" s="16"/>
      <c r="AH294" s="16"/>
      <c r="AI294" s="16"/>
      <c r="AJ294" s="16"/>
    </row>
    <row r="295" spans="1:36" x14ac:dyDescent="0.2">
      <c r="A295" s="16"/>
      <c r="B295" s="16"/>
      <c r="C295" s="16"/>
      <c r="D295" s="16"/>
      <c r="E295" s="16"/>
      <c r="F295" s="109"/>
      <c r="G295" s="109"/>
      <c r="H295" s="109"/>
      <c r="I295" s="109"/>
      <c r="J295" s="109"/>
      <c r="K295" s="109"/>
      <c r="L295" s="109"/>
      <c r="M295" s="109"/>
      <c r="N295" s="128"/>
      <c r="O295" s="128"/>
      <c r="P295" s="128"/>
      <c r="Q295" s="155"/>
      <c r="R295" s="128"/>
      <c r="S295" s="128"/>
      <c r="T295" s="128"/>
      <c r="U295" s="109"/>
      <c r="V295" s="109"/>
      <c r="W295" s="109"/>
      <c r="X295" s="109"/>
      <c r="Y295" s="109"/>
      <c r="Z295" s="109"/>
      <c r="AA295" s="16"/>
      <c r="AB295" s="16"/>
      <c r="AC295" s="16"/>
      <c r="AD295" s="16"/>
      <c r="AE295" s="16"/>
      <c r="AF295" s="16"/>
      <c r="AG295" s="16"/>
      <c r="AH295" s="16"/>
      <c r="AI295" s="16"/>
      <c r="AJ295" s="16"/>
    </row>
    <row r="296" spans="1:36" x14ac:dyDescent="0.2">
      <c r="A296" s="16"/>
      <c r="B296" s="16"/>
      <c r="C296" s="16"/>
      <c r="D296" s="16"/>
      <c r="E296" s="16"/>
      <c r="F296" s="109"/>
      <c r="G296" s="109"/>
      <c r="H296" s="109"/>
      <c r="I296" s="109"/>
      <c r="J296" s="109"/>
      <c r="K296" s="109"/>
      <c r="L296" s="109"/>
      <c r="M296" s="109"/>
      <c r="N296" s="128"/>
      <c r="O296" s="128"/>
      <c r="P296" s="128"/>
      <c r="Q296" s="155"/>
      <c r="R296" s="128"/>
      <c r="S296" s="128"/>
      <c r="T296" s="128"/>
      <c r="U296" s="109"/>
      <c r="V296" s="109"/>
      <c r="W296" s="109"/>
      <c r="X296" s="109"/>
      <c r="Y296" s="109"/>
      <c r="Z296" s="109"/>
      <c r="AA296" s="16"/>
      <c r="AB296" s="16"/>
      <c r="AC296" s="16"/>
      <c r="AD296" s="16"/>
      <c r="AE296" s="16"/>
      <c r="AF296" s="16"/>
      <c r="AG296" s="16"/>
      <c r="AH296" s="16"/>
      <c r="AI296" s="16"/>
      <c r="AJ296" s="16"/>
    </row>
    <row r="297" spans="1:36" x14ac:dyDescent="0.2">
      <c r="A297" s="16"/>
      <c r="B297" s="16"/>
      <c r="C297" s="16"/>
      <c r="D297" s="16"/>
      <c r="E297" s="16"/>
      <c r="F297" s="109"/>
      <c r="G297" s="109"/>
      <c r="H297" s="109"/>
      <c r="I297" s="109"/>
      <c r="J297" s="109"/>
      <c r="K297" s="109"/>
      <c r="L297" s="109"/>
      <c r="M297" s="109"/>
      <c r="N297" s="128"/>
      <c r="O297" s="128"/>
      <c r="P297" s="128"/>
      <c r="Q297" s="155"/>
      <c r="R297" s="128"/>
      <c r="S297" s="128"/>
      <c r="T297" s="128"/>
      <c r="U297" s="109"/>
      <c r="V297" s="109"/>
      <c r="W297" s="109"/>
      <c r="X297" s="109"/>
      <c r="Y297" s="109"/>
      <c r="Z297" s="109"/>
      <c r="AA297" s="16"/>
      <c r="AB297" s="16"/>
      <c r="AC297" s="16"/>
      <c r="AD297" s="16"/>
      <c r="AE297" s="16"/>
      <c r="AF297" s="16"/>
      <c r="AG297" s="16"/>
      <c r="AH297" s="16"/>
      <c r="AI297" s="16"/>
      <c r="AJ297" s="16"/>
    </row>
    <row r="298" spans="1:36" x14ac:dyDescent="0.2">
      <c r="A298" s="16"/>
      <c r="B298" s="16"/>
      <c r="C298" s="16"/>
      <c r="D298" s="16"/>
      <c r="E298" s="16"/>
      <c r="F298" s="109"/>
      <c r="G298" s="109"/>
      <c r="H298" s="109"/>
      <c r="I298" s="109"/>
      <c r="J298" s="109"/>
      <c r="K298" s="109"/>
      <c r="L298" s="109"/>
      <c r="M298" s="109"/>
      <c r="N298" s="128"/>
      <c r="O298" s="128"/>
      <c r="P298" s="128"/>
      <c r="Q298" s="155"/>
      <c r="R298" s="128"/>
      <c r="S298" s="128"/>
      <c r="T298" s="128"/>
      <c r="U298" s="109"/>
      <c r="V298" s="109"/>
      <c r="W298" s="109"/>
      <c r="X298" s="109"/>
      <c r="Y298" s="109"/>
      <c r="Z298" s="109"/>
      <c r="AA298" s="16"/>
      <c r="AB298" s="16"/>
      <c r="AC298" s="16"/>
      <c r="AD298" s="16"/>
      <c r="AE298" s="16"/>
      <c r="AF298" s="16"/>
      <c r="AG298" s="16"/>
      <c r="AH298" s="16"/>
      <c r="AI298" s="16"/>
      <c r="AJ298" s="16"/>
    </row>
    <row r="299" spans="1:36" x14ac:dyDescent="0.2">
      <c r="A299" s="16"/>
      <c r="B299" s="16"/>
      <c r="C299" s="16"/>
      <c r="D299" s="16"/>
      <c r="E299" s="16"/>
      <c r="F299" s="109"/>
      <c r="G299" s="109"/>
      <c r="H299" s="109"/>
      <c r="I299" s="109"/>
      <c r="J299" s="109"/>
      <c r="K299" s="109"/>
      <c r="L299" s="109"/>
      <c r="M299" s="109"/>
      <c r="N299" s="128"/>
      <c r="O299" s="128"/>
      <c r="P299" s="128"/>
      <c r="Q299" s="155"/>
      <c r="R299" s="128"/>
      <c r="S299" s="128"/>
      <c r="T299" s="128"/>
      <c r="U299" s="109"/>
      <c r="V299" s="109"/>
      <c r="W299" s="109"/>
      <c r="X299" s="109"/>
      <c r="Y299" s="109"/>
      <c r="Z299" s="109"/>
      <c r="AA299" s="16"/>
      <c r="AB299" s="16"/>
      <c r="AC299" s="16"/>
      <c r="AD299" s="16"/>
      <c r="AE299" s="16"/>
      <c r="AF299" s="16"/>
      <c r="AG299" s="16"/>
      <c r="AH299" s="16"/>
      <c r="AI299" s="16"/>
      <c r="AJ299" s="16"/>
    </row>
    <row r="300" spans="1:36" x14ac:dyDescent="0.2">
      <c r="A300" s="16"/>
      <c r="B300" s="16"/>
      <c r="C300" s="16"/>
      <c r="D300" s="16"/>
      <c r="E300" s="16"/>
      <c r="F300" s="109"/>
      <c r="G300" s="109"/>
      <c r="H300" s="109"/>
      <c r="I300" s="109"/>
      <c r="J300" s="109"/>
      <c r="K300" s="109"/>
      <c r="L300" s="109"/>
      <c r="M300" s="109"/>
      <c r="N300" s="128"/>
      <c r="O300" s="128"/>
      <c r="P300" s="128"/>
      <c r="Q300" s="155"/>
      <c r="R300" s="128"/>
      <c r="S300" s="128"/>
      <c r="T300" s="128"/>
      <c r="U300" s="109"/>
      <c r="V300" s="109"/>
      <c r="W300" s="109"/>
      <c r="X300" s="109"/>
      <c r="Y300" s="109"/>
      <c r="Z300" s="109"/>
      <c r="AA300" s="16"/>
      <c r="AB300" s="16"/>
      <c r="AC300" s="16"/>
      <c r="AD300" s="16"/>
      <c r="AE300" s="16"/>
      <c r="AF300" s="16"/>
      <c r="AG300" s="16"/>
      <c r="AH300" s="16"/>
      <c r="AI300" s="16"/>
      <c r="AJ300" s="16"/>
    </row>
    <row r="301" spans="1:36" x14ac:dyDescent="0.2">
      <c r="A301" s="16"/>
      <c r="B301" s="16"/>
      <c r="C301" s="16"/>
      <c r="D301" s="16"/>
      <c r="E301" s="16"/>
      <c r="F301" s="109"/>
      <c r="G301" s="109"/>
      <c r="H301" s="109"/>
      <c r="I301" s="109"/>
      <c r="J301" s="109"/>
      <c r="K301" s="109"/>
      <c r="L301" s="109"/>
      <c r="M301" s="109"/>
      <c r="N301" s="128"/>
      <c r="O301" s="128"/>
      <c r="P301" s="128"/>
      <c r="Q301" s="155"/>
      <c r="R301" s="128"/>
      <c r="S301" s="128"/>
      <c r="T301" s="128"/>
      <c r="U301" s="109"/>
      <c r="V301" s="109"/>
      <c r="W301" s="109"/>
      <c r="X301" s="109"/>
      <c r="Y301" s="109"/>
      <c r="Z301" s="109"/>
      <c r="AA301" s="16"/>
      <c r="AB301" s="16"/>
      <c r="AC301" s="16"/>
      <c r="AD301" s="16"/>
      <c r="AE301" s="16"/>
      <c r="AF301" s="16"/>
      <c r="AG301" s="16"/>
      <c r="AH301" s="16"/>
      <c r="AI301" s="16"/>
      <c r="AJ301" s="16"/>
    </row>
    <row r="302" spans="1:36" x14ac:dyDescent="0.2">
      <c r="A302" s="16"/>
      <c r="B302" s="16"/>
      <c r="C302" s="16"/>
      <c r="D302" s="16"/>
      <c r="E302" s="16"/>
      <c r="F302" s="109"/>
      <c r="G302" s="109"/>
      <c r="H302" s="109"/>
      <c r="I302" s="109"/>
      <c r="J302" s="109"/>
      <c r="K302" s="109"/>
      <c r="L302" s="109"/>
      <c r="M302" s="109"/>
      <c r="N302" s="128"/>
      <c r="O302" s="128"/>
      <c r="P302" s="128"/>
      <c r="Q302" s="155"/>
      <c r="R302" s="128"/>
      <c r="S302" s="128"/>
      <c r="T302" s="128"/>
      <c r="U302" s="109"/>
      <c r="V302" s="109"/>
      <c r="W302" s="109"/>
      <c r="X302" s="109"/>
      <c r="Y302" s="109"/>
      <c r="Z302" s="109"/>
      <c r="AA302" s="16"/>
      <c r="AB302" s="16"/>
      <c r="AC302" s="16"/>
      <c r="AD302" s="16"/>
      <c r="AE302" s="16"/>
      <c r="AF302" s="16"/>
      <c r="AG302" s="16"/>
      <c r="AH302" s="16"/>
      <c r="AI302" s="16"/>
      <c r="AJ302" s="16"/>
    </row>
    <row r="303" spans="1:36" x14ac:dyDescent="0.2">
      <c r="A303" s="16"/>
      <c r="B303" s="16"/>
      <c r="C303" s="16"/>
      <c r="D303" s="16"/>
      <c r="E303" s="16"/>
      <c r="F303" s="109"/>
      <c r="G303" s="109"/>
      <c r="H303" s="109"/>
      <c r="I303" s="109"/>
      <c r="J303" s="109"/>
      <c r="K303" s="109"/>
      <c r="L303" s="109"/>
      <c r="M303" s="109"/>
      <c r="N303" s="128"/>
      <c r="O303" s="128"/>
      <c r="P303" s="128"/>
      <c r="Q303" s="155"/>
      <c r="R303" s="128"/>
      <c r="S303" s="128"/>
      <c r="T303" s="128"/>
      <c r="U303" s="109"/>
      <c r="V303" s="109"/>
      <c r="W303" s="109"/>
      <c r="X303" s="109"/>
      <c r="Y303" s="109"/>
      <c r="Z303" s="109"/>
      <c r="AA303" s="16"/>
      <c r="AB303" s="16"/>
      <c r="AC303" s="16"/>
      <c r="AD303" s="16"/>
      <c r="AE303" s="16"/>
      <c r="AF303" s="16"/>
      <c r="AG303" s="16"/>
      <c r="AH303" s="16"/>
      <c r="AI303" s="16"/>
      <c r="AJ303" s="16"/>
    </row>
    <row r="304" spans="1:36" x14ac:dyDescent="0.2">
      <c r="A304" s="16"/>
      <c r="B304" s="16"/>
      <c r="C304" s="16"/>
      <c r="D304" s="16"/>
      <c r="E304" s="16"/>
      <c r="F304" s="109"/>
      <c r="G304" s="109"/>
      <c r="H304" s="109"/>
      <c r="I304" s="109"/>
      <c r="J304" s="109"/>
      <c r="K304" s="109"/>
      <c r="L304" s="109"/>
      <c r="M304" s="109"/>
      <c r="N304" s="128"/>
      <c r="O304" s="128"/>
      <c r="P304" s="128"/>
      <c r="Q304" s="155"/>
      <c r="R304" s="128"/>
      <c r="S304" s="128"/>
      <c r="T304" s="128"/>
      <c r="U304" s="109"/>
      <c r="V304" s="109"/>
      <c r="W304" s="109"/>
      <c r="X304" s="109"/>
      <c r="Y304" s="109"/>
      <c r="Z304" s="109"/>
      <c r="AA304" s="16"/>
      <c r="AB304" s="16"/>
      <c r="AC304" s="16"/>
      <c r="AD304" s="16"/>
      <c r="AE304" s="16"/>
      <c r="AF304" s="16"/>
      <c r="AG304" s="16"/>
      <c r="AH304" s="16"/>
      <c r="AI304" s="16"/>
      <c r="AJ304" s="16"/>
    </row>
    <row r="305" spans="1:36" x14ac:dyDescent="0.2">
      <c r="A305" s="16"/>
      <c r="B305" s="16"/>
      <c r="C305" s="16"/>
      <c r="D305" s="16"/>
      <c r="E305" s="16"/>
      <c r="F305" s="109"/>
      <c r="G305" s="109"/>
      <c r="H305" s="109"/>
      <c r="I305" s="109"/>
      <c r="J305" s="109"/>
      <c r="K305" s="109"/>
      <c r="L305" s="109"/>
      <c r="M305" s="109"/>
      <c r="N305" s="128"/>
      <c r="O305" s="128"/>
      <c r="P305" s="128"/>
      <c r="Q305" s="155"/>
      <c r="R305" s="128"/>
      <c r="S305" s="128"/>
      <c r="T305" s="128"/>
      <c r="U305" s="109"/>
      <c r="V305" s="109"/>
      <c r="W305" s="109"/>
      <c r="X305" s="109"/>
      <c r="Y305" s="109"/>
      <c r="Z305" s="109"/>
      <c r="AA305" s="16"/>
      <c r="AB305" s="16"/>
      <c r="AC305" s="16"/>
      <c r="AD305" s="16"/>
      <c r="AE305" s="16"/>
      <c r="AF305" s="16"/>
      <c r="AG305" s="16"/>
      <c r="AH305" s="16"/>
      <c r="AI305" s="16"/>
      <c r="AJ305" s="16"/>
    </row>
    <row r="306" spans="1:36" x14ac:dyDescent="0.2">
      <c r="A306" s="16"/>
      <c r="B306" s="16"/>
      <c r="C306" s="16"/>
      <c r="D306" s="16"/>
      <c r="E306" s="16"/>
      <c r="F306" s="109"/>
      <c r="G306" s="109"/>
      <c r="H306" s="109"/>
      <c r="I306" s="109"/>
      <c r="J306" s="109"/>
      <c r="K306" s="109"/>
      <c r="L306" s="109"/>
      <c r="M306" s="109"/>
      <c r="N306" s="128"/>
      <c r="O306" s="128"/>
      <c r="P306" s="128"/>
      <c r="Q306" s="155"/>
      <c r="R306" s="128"/>
      <c r="S306" s="128"/>
      <c r="T306" s="128"/>
      <c r="U306" s="109"/>
      <c r="V306" s="109"/>
      <c r="W306" s="109"/>
      <c r="X306" s="109"/>
      <c r="Y306" s="109"/>
      <c r="Z306" s="109"/>
      <c r="AA306" s="16"/>
      <c r="AB306" s="16"/>
      <c r="AC306" s="16"/>
      <c r="AD306" s="16"/>
      <c r="AE306" s="16"/>
      <c r="AF306" s="16"/>
      <c r="AG306" s="16"/>
      <c r="AH306" s="16"/>
      <c r="AI306" s="16"/>
      <c r="AJ306" s="16"/>
    </row>
    <row r="307" spans="1:36" x14ac:dyDescent="0.2">
      <c r="A307" s="16"/>
      <c r="B307" s="16"/>
      <c r="C307" s="16"/>
      <c r="D307" s="16"/>
      <c r="E307" s="16"/>
      <c r="F307" s="109"/>
      <c r="G307" s="109"/>
      <c r="H307" s="109"/>
      <c r="I307" s="109"/>
      <c r="J307" s="109"/>
      <c r="K307" s="109"/>
      <c r="L307" s="109"/>
      <c r="M307" s="109"/>
      <c r="N307" s="128"/>
      <c r="O307" s="128"/>
      <c r="P307" s="128"/>
      <c r="Q307" s="155"/>
      <c r="R307" s="128"/>
      <c r="S307" s="128"/>
      <c r="T307" s="128"/>
      <c r="U307" s="109"/>
      <c r="V307" s="109"/>
      <c r="W307" s="109"/>
      <c r="X307" s="109"/>
      <c r="Y307" s="109"/>
      <c r="Z307" s="109"/>
      <c r="AA307" s="16"/>
      <c r="AB307" s="16"/>
      <c r="AC307" s="16"/>
      <c r="AD307" s="16"/>
      <c r="AE307" s="16"/>
      <c r="AF307" s="16"/>
      <c r="AG307" s="16"/>
      <c r="AH307" s="16"/>
      <c r="AI307" s="16"/>
      <c r="AJ307" s="16"/>
    </row>
    <row r="308" spans="1:36" x14ac:dyDescent="0.2">
      <c r="A308" s="16"/>
      <c r="B308" s="16"/>
      <c r="C308" s="16"/>
      <c r="D308" s="16"/>
      <c r="E308" s="16"/>
      <c r="F308" s="109"/>
      <c r="G308" s="109"/>
      <c r="H308" s="109"/>
      <c r="I308" s="109"/>
      <c r="J308" s="109"/>
      <c r="K308" s="109"/>
      <c r="L308" s="109"/>
      <c r="M308" s="109"/>
      <c r="N308" s="128"/>
      <c r="O308" s="128"/>
      <c r="P308" s="128"/>
      <c r="Q308" s="155"/>
      <c r="R308" s="128"/>
      <c r="S308" s="128"/>
      <c r="T308" s="128"/>
      <c r="U308" s="109"/>
      <c r="V308" s="109"/>
      <c r="W308" s="109"/>
      <c r="X308" s="109"/>
      <c r="Y308" s="109"/>
      <c r="Z308" s="109"/>
      <c r="AA308" s="16"/>
      <c r="AB308" s="16"/>
      <c r="AC308" s="16"/>
      <c r="AD308" s="16"/>
      <c r="AE308" s="16"/>
      <c r="AF308" s="16"/>
      <c r="AG308" s="16"/>
      <c r="AH308" s="16"/>
      <c r="AI308" s="16"/>
      <c r="AJ308" s="16"/>
    </row>
    <row r="309" spans="1:36" x14ac:dyDescent="0.2">
      <c r="A309" s="16"/>
      <c r="B309" s="16"/>
      <c r="C309" s="16"/>
      <c r="D309" s="16"/>
      <c r="E309" s="16"/>
      <c r="F309" s="109"/>
      <c r="G309" s="109"/>
      <c r="H309" s="109"/>
      <c r="I309" s="109"/>
      <c r="J309" s="109"/>
      <c r="K309" s="109"/>
      <c r="L309" s="109"/>
      <c r="M309" s="109"/>
      <c r="N309" s="128"/>
      <c r="O309" s="128"/>
      <c r="P309" s="128"/>
      <c r="Q309" s="155"/>
      <c r="R309" s="128"/>
      <c r="S309" s="128"/>
      <c r="T309" s="128"/>
      <c r="U309" s="109"/>
      <c r="V309" s="109"/>
      <c r="W309" s="109"/>
      <c r="X309" s="109"/>
      <c r="Y309" s="109"/>
      <c r="Z309" s="109"/>
      <c r="AA309" s="16"/>
      <c r="AB309" s="16"/>
      <c r="AC309" s="16"/>
      <c r="AD309" s="16"/>
      <c r="AE309" s="16"/>
      <c r="AF309" s="16"/>
      <c r="AG309" s="16"/>
      <c r="AH309" s="16"/>
      <c r="AI309" s="16"/>
      <c r="AJ309" s="16"/>
    </row>
    <row r="310" spans="1:36" x14ac:dyDescent="0.2">
      <c r="A310" s="16"/>
      <c r="B310" s="16"/>
      <c r="C310" s="16"/>
      <c r="D310" s="16"/>
      <c r="E310" s="16"/>
      <c r="F310" s="109"/>
      <c r="G310" s="109"/>
      <c r="H310" s="109"/>
      <c r="I310" s="109"/>
      <c r="J310" s="109"/>
      <c r="K310" s="109"/>
      <c r="L310" s="109"/>
      <c r="M310" s="109"/>
      <c r="N310" s="128"/>
      <c r="O310" s="128"/>
      <c r="P310" s="128"/>
      <c r="Q310" s="155"/>
      <c r="R310" s="128"/>
      <c r="S310" s="128"/>
      <c r="T310" s="128"/>
      <c r="U310" s="109"/>
      <c r="V310" s="109"/>
      <c r="W310" s="109"/>
      <c r="X310" s="109"/>
      <c r="Y310" s="109"/>
      <c r="Z310" s="109"/>
      <c r="AA310" s="16"/>
      <c r="AB310" s="16"/>
      <c r="AC310" s="16"/>
      <c r="AD310" s="16"/>
      <c r="AE310" s="16"/>
      <c r="AF310" s="16"/>
      <c r="AG310" s="16"/>
      <c r="AH310" s="16"/>
      <c r="AI310" s="16"/>
      <c r="AJ310" s="16"/>
    </row>
    <row r="311" spans="1:36" x14ac:dyDescent="0.2">
      <c r="A311" s="16"/>
      <c r="B311" s="16"/>
      <c r="C311" s="16"/>
      <c r="D311" s="16"/>
      <c r="E311" s="16"/>
      <c r="F311" s="109"/>
      <c r="G311" s="109"/>
      <c r="H311" s="109"/>
      <c r="I311" s="109"/>
      <c r="J311" s="109"/>
      <c r="K311" s="109"/>
      <c r="L311" s="109"/>
      <c r="M311" s="109"/>
      <c r="N311" s="128"/>
      <c r="O311" s="128"/>
      <c r="P311" s="128"/>
      <c r="Q311" s="155"/>
      <c r="R311" s="128"/>
      <c r="S311" s="128"/>
      <c r="T311" s="128"/>
      <c r="U311" s="109"/>
      <c r="V311" s="109"/>
      <c r="W311" s="109"/>
      <c r="X311" s="109"/>
      <c r="Y311" s="109"/>
      <c r="Z311" s="109"/>
      <c r="AA311" s="16"/>
      <c r="AB311" s="16"/>
      <c r="AC311" s="16"/>
      <c r="AD311" s="16"/>
      <c r="AE311" s="16"/>
      <c r="AF311" s="16"/>
      <c r="AG311" s="16"/>
      <c r="AH311" s="16"/>
      <c r="AI311" s="16"/>
      <c r="AJ311" s="16"/>
    </row>
    <row r="312" spans="1:36" x14ac:dyDescent="0.2">
      <c r="A312" s="16"/>
      <c r="B312" s="16"/>
      <c r="C312" s="16"/>
      <c r="D312" s="16"/>
      <c r="E312" s="16"/>
      <c r="F312" s="109"/>
      <c r="G312" s="109"/>
      <c r="H312" s="109"/>
      <c r="I312" s="109"/>
      <c r="J312" s="109"/>
      <c r="K312" s="109"/>
      <c r="L312" s="109"/>
      <c r="M312" s="109"/>
      <c r="N312" s="128"/>
      <c r="O312" s="128"/>
      <c r="P312" s="128"/>
      <c r="Q312" s="155"/>
      <c r="R312" s="128"/>
      <c r="S312" s="128"/>
      <c r="T312" s="128"/>
      <c r="U312" s="109"/>
      <c r="V312" s="109"/>
      <c r="W312" s="109"/>
      <c r="X312" s="109"/>
      <c r="Y312" s="109"/>
      <c r="Z312" s="109"/>
      <c r="AA312" s="16"/>
      <c r="AB312" s="16"/>
      <c r="AC312" s="16"/>
      <c r="AD312" s="16"/>
      <c r="AE312" s="16"/>
      <c r="AF312" s="16"/>
      <c r="AG312" s="16"/>
      <c r="AH312" s="16"/>
      <c r="AI312" s="16"/>
      <c r="AJ312" s="16"/>
    </row>
    <row r="313" spans="1:36" x14ac:dyDescent="0.2">
      <c r="A313" s="16"/>
      <c r="B313" s="16"/>
      <c r="C313" s="16"/>
      <c r="D313" s="16"/>
      <c r="E313" s="16"/>
      <c r="F313" s="109"/>
      <c r="G313" s="109"/>
      <c r="H313" s="109"/>
      <c r="I313" s="109"/>
      <c r="J313" s="109"/>
      <c r="K313" s="109"/>
      <c r="L313" s="109"/>
      <c r="M313" s="109"/>
      <c r="N313" s="128"/>
      <c r="O313" s="128"/>
      <c r="P313" s="128"/>
      <c r="Q313" s="155"/>
      <c r="R313" s="128"/>
      <c r="S313" s="128"/>
      <c r="T313" s="128"/>
      <c r="U313" s="109"/>
      <c r="V313" s="109"/>
      <c r="W313" s="109"/>
      <c r="X313" s="109"/>
      <c r="Y313" s="109"/>
      <c r="Z313" s="109"/>
      <c r="AA313" s="16"/>
      <c r="AB313" s="16"/>
      <c r="AC313" s="16"/>
      <c r="AD313" s="16"/>
      <c r="AE313" s="16"/>
      <c r="AF313" s="16"/>
      <c r="AG313" s="16"/>
      <c r="AH313" s="16"/>
      <c r="AI313" s="16"/>
      <c r="AJ313" s="16"/>
    </row>
    <row r="314" spans="1:36" x14ac:dyDescent="0.2">
      <c r="A314" s="16"/>
      <c r="B314" s="16"/>
      <c r="C314" s="16"/>
      <c r="D314" s="16"/>
      <c r="E314" s="16"/>
      <c r="F314" s="109"/>
      <c r="G314" s="109"/>
      <c r="H314" s="109"/>
      <c r="I314" s="109"/>
      <c r="J314" s="109"/>
      <c r="K314" s="109"/>
      <c r="L314" s="109"/>
      <c r="M314" s="109"/>
      <c r="N314" s="128"/>
      <c r="O314" s="128"/>
      <c r="P314" s="128"/>
      <c r="Q314" s="155"/>
      <c r="R314" s="128"/>
      <c r="S314" s="128"/>
      <c r="T314" s="128"/>
      <c r="U314" s="109"/>
      <c r="V314" s="109"/>
      <c r="W314" s="109"/>
      <c r="X314" s="109"/>
      <c r="Y314" s="109"/>
      <c r="Z314" s="109"/>
      <c r="AA314" s="16"/>
      <c r="AB314" s="16"/>
      <c r="AC314" s="16"/>
      <c r="AD314" s="16"/>
      <c r="AE314" s="16"/>
      <c r="AF314" s="16"/>
      <c r="AG314" s="16"/>
      <c r="AH314" s="16"/>
      <c r="AI314" s="16"/>
      <c r="AJ314" s="16"/>
    </row>
    <row r="315" spans="1:36" x14ac:dyDescent="0.2">
      <c r="A315" s="16"/>
      <c r="B315" s="16"/>
      <c r="C315" s="16"/>
      <c r="D315" s="16"/>
      <c r="E315" s="16"/>
      <c r="F315" s="109"/>
      <c r="G315" s="109"/>
      <c r="H315" s="109"/>
      <c r="I315" s="109"/>
      <c r="J315" s="109"/>
      <c r="K315" s="109"/>
      <c r="L315" s="109"/>
      <c r="M315" s="109"/>
      <c r="N315" s="128"/>
      <c r="O315" s="128"/>
      <c r="P315" s="128"/>
      <c r="Q315" s="155"/>
      <c r="R315" s="128"/>
      <c r="S315" s="128"/>
      <c r="T315" s="128"/>
      <c r="U315" s="109"/>
      <c r="V315" s="109"/>
      <c r="W315" s="109"/>
      <c r="X315" s="109"/>
      <c r="Y315" s="109"/>
      <c r="Z315" s="109"/>
      <c r="AA315" s="16"/>
      <c r="AB315" s="16"/>
      <c r="AC315" s="16"/>
      <c r="AD315" s="16"/>
      <c r="AE315" s="16"/>
      <c r="AF315" s="16"/>
      <c r="AG315" s="16"/>
      <c r="AH315" s="16"/>
      <c r="AI315" s="16"/>
      <c r="AJ315" s="16"/>
    </row>
    <row r="316" spans="1:36" x14ac:dyDescent="0.2">
      <c r="A316" s="16"/>
      <c r="B316" s="16"/>
      <c r="C316" s="16"/>
      <c r="D316" s="16"/>
      <c r="E316" s="16"/>
      <c r="F316" s="109"/>
      <c r="G316" s="109"/>
      <c r="H316" s="109"/>
      <c r="I316" s="109"/>
      <c r="J316" s="109"/>
      <c r="K316" s="109"/>
      <c r="L316" s="109"/>
      <c r="M316" s="109"/>
      <c r="N316" s="128"/>
      <c r="O316" s="128"/>
      <c r="P316" s="128"/>
      <c r="Q316" s="155"/>
      <c r="R316" s="128"/>
      <c r="S316" s="128"/>
      <c r="T316" s="128"/>
      <c r="U316" s="109"/>
      <c r="V316" s="109"/>
      <c r="W316" s="109"/>
      <c r="X316" s="109"/>
      <c r="Y316" s="109"/>
      <c r="Z316" s="109"/>
      <c r="AA316" s="16"/>
      <c r="AB316" s="16"/>
      <c r="AC316" s="16"/>
      <c r="AD316" s="16"/>
      <c r="AE316" s="16"/>
      <c r="AF316" s="16"/>
      <c r="AG316" s="16"/>
      <c r="AH316" s="16"/>
      <c r="AI316" s="16"/>
      <c r="AJ316" s="16"/>
    </row>
    <row r="317" spans="1:36" x14ac:dyDescent="0.2">
      <c r="A317" s="16"/>
      <c r="B317" s="16"/>
      <c r="C317" s="16"/>
      <c r="D317" s="16"/>
      <c r="E317" s="16"/>
      <c r="F317" s="109"/>
      <c r="G317" s="109"/>
      <c r="H317" s="109"/>
      <c r="I317" s="109"/>
      <c r="J317" s="109"/>
      <c r="K317" s="109"/>
      <c r="L317" s="109"/>
      <c r="M317" s="109"/>
      <c r="N317" s="128"/>
      <c r="O317" s="128"/>
      <c r="P317" s="128"/>
      <c r="Q317" s="155"/>
      <c r="R317" s="128"/>
      <c r="S317" s="128"/>
      <c r="T317" s="128"/>
      <c r="U317" s="109"/>
      <c r="V317" s="109"/>
      <c r="W317" s="109"/>
      <c r="X317" s="109"/>
      <c r="Y317" s="109"/>
      <c r="Z317" s="109"/>
      <c r="AA317" s="16"/>
      <c r="AB317" s="16"/>
      <c r="AC317" s="16"/>
      <c r="AD317" s="16"/>
      <c r="AE317" s="16"/>
      <c r="AF317" s="16"/>
      <c r="AG317" s="16"/>
      <c r="AH317" s="16"/>
      <c r="AI317" s="16"/>
      <c r="AJ317" s="16"/>
    </row>
    <row r="318" spans="1:36" x14ac:dyDescent="0.2">
      <c r="A318" s="16"/>
      <c r="B318" s="16"/>
      <c r="C318" s="16"/>
      <c r="D318" s="16"/>
      <c r="E318" s="16"/>
      <c r="F318" s="109"/>
      <c r="G318" s="109"/>
      <c r="H318" s="109"/>
      <c r="I318" s="109"/>
      <c r="J318" s="109"/>
      <c r="K318" s="109"/>
      <c r="L318" s="109"/>
      <c r="M318" s="109"/>
      <c r="N318" s="128"/>
      <c r="O318" s="128"/>
      <c r="P318" s="128"/>
      <c r="Q318" s="155"/>
      <c r="R318" s="128"/>
      <c r="S318" s="128"/>
      <c r="T318" s="128"/>
      <c r="U318" s="109"/>
      <c r="V318" s="109"/>
      <c r="W318" s="109"/>
      <c r="X318" s="109"/>
      <c r="Y318" s="109"/>
      <c r="Z318" s="109"/>
      <c r="AA318" s="16"/>
      <c r="AB318" s="16"/>
      <c r="AC318" s="16"/>
      <c r="AD318" s="16"/>
      <c r="AE318" s="16"/>
      <c r="AF318" s="16"/>
      <c r="AG318" s="16"/>
      <c r="AH318" s="16"/>
      <c r="AI318" s="16"/>
      <c r="AJ318" s="16"/>
    </row>
    <row r="319" spans="1:36" x14ac:dyDescent="0.2">
      <c r="A319" s="16"/>
      <c r="B319" s="16"/>
      <c r="C319" s="16"/>
      <c r="D319" s="16"/>
      <c r="E319" s="16"/>
      <c r="F319" s="109"/>
      <c r="G319" s="109"/>
      <c r="H319" s="109"/>
      <c r="I319" s="109"/>
      <c r="J319" s="109"/>
      <c r="K319" s="109"/>
      <c r="L319" s="109"/>
      <c r="M319" s="109"/>
      <c r="N319" s="128"/>
      <c r="O319" s="128"/>
      <c r="P319" s="128"/>
      <c r="Q319" s="155"/>
      <c r="R319" s="128"/>
      <c r="S319" s="128"/>
      <c r="T319" s="128"/>
      <c r="U319" s="109"/>
      <c r="V319" s="109"/>
      <c r="W319" s="109"/>
      <c r="X319" s="109"/>
      <c r="Y319" s="109"/>
      <c r="Z319" s="109"/>
      <c r="AA319" s="16"/>
      <c r="AB319" s="16"/>
      <c r="AC319" s="16"/>
      <c r="AD319" s="16"/>
      <c r="AE319" s="16"/>
      <c r="AF319" s="16"/>
      <c r="AG319" s="16"/>
      <c r="AH319" s="16"/>
      <c r="AI319" s="16"/>
      <c r="AJ319" s="16"/>
    </row>
    <row r="320" spans="1:36" x14ac:dyDescent="0.2">
      <c r="A320" s="16"/>
      <c r="B320" s="16"/>
      <c r="C320" s="16"/>
      <c r="D320" s="16"/>
      <c r="E320" s="16"/>
      <c r="F320" s="109"/>
      <c r="G320" s="109"/>
      <c r="H320" s="109"/>
      <c r="I320" s="109"/>
      <c r="J320" s="109"/>
      <c r="K320" s="109"/>
      <c r="L320" s="109"/>
      <c r="M320" s="109"/>
      <c r="N320" s="128"/>
      <c r="O320" s="128"/>
      <c r="P320" s="128"/>
      <c r="Q320" s="155"/>
      <c r="R320" s="128"/>
      <c r="S320" s="128"/>
      <c r="T320" s="128"/>
      <c r="U320" s="109"/>
      <c r="V320" s="109"/>
      <c r="W320" s="109"/>
      <c r="X320" s="109"/>
      <c r="Y320" s="109"/>
      <c r="Z320" s="109"/>
      <c r="AA320" s="16"/>
      <c r="AB320" s="16"/>
      <c r="AC320" s="16"/>
      <c r="AD320" s="16"/>
      <c r="AE320" s="16"/>
      <c r="AF320" s="16"/>
      <c r="AG320" s="16"/>
      <c r="AH320" s="16"/>
      <c r="AI320" s="16"/>
      <c r="AJ320" s="16"/>
    </row>
    <row r="321" spans="1:36" x14ac:dyDescent="0.2">
      <c r="A321" s="16"/>
      <c r="B321" s="16"/>
      <c r="C321" s="16"/>
      <c r="D321" s="16"/>
      <c r="E321" s="16"/>
      <c r="F321" s="109"/>
      <c r="G321" s="109"/>
      <c r="H321" s="109"/>
      <c r="I321" s="109"/>
      <c r="J321" s="109"/>
      <c r="K321" s="109"/>
      <c r="L321" s="109"/>
      <c r="M321" s="109"/>
      <c r="N321" s="128"/>
      <c r="O321" s="128"/>
      <c r="P321" s="128"/>
      <c r="Q321" s="155"/>
      <c r="R321" s="128"/>
      <c r="S321" s="128"/>
      <c r="T321" s="128"/>
      <c r="U321" s="109"/>
      <c r="V321" s="109"/>
      <c r="W321" s="109"/>
      <c r="X321" s="109"/>
      <c r="Y321" s="109"/>
      <c r="Z321" s="109"/>
      <c r="AA321" s="16"/>
      <c r="AB321" s="16"/>
      <c r="AC321" s="16"/>
      <c r="AD321" s="16"/>
      <c r="AE321" s="16"/>
      <c r="AF321" s="16"/>
      <c r="AG321" s="16"/>
      <c r="AH321" s="16"/>
      <c r="AI321" s="16"/>
      <c r="AJ321" s="16"/>
    </row>
    <row r="322" spans="1:36" x14ac:dyDescent="0.2">
      <c r="A322" s="16"/>
      <c r="B322" s="16"/>
      <c r="C322" s="16"/>
      <c r="D322" s="16"/>
      <c r="E322" s="16"/>
      <c r="F322" s="109"/>
      <c r="G322" s="109"/>
      <c r="H322" s="109"/>
      <c r="I322" s="109"/>
      <c r="J322" s="109"/>
      <c r="K322" s="109"/>
      <c r="L322" s="109"/>
      <c r="M322" s="109"/>
      <c r="N322" s="128"/>
      <c r="O322" s="128"/>
      <c r="P322" s="128"/>
      <c r="Q322" s="155"/>
      <c r="R322" s="128"/>
      <c r="S322" s="128"/>
      <c r="T322" s="128"/>
      <c r="U322" s="109"/>
      <c r="V322" s="109"/>
      <c r="W322" s="109"/>
      <c r="X322" s="109"/>
      <c r="Y322" s="109"/>
      <c r="Z322" s="109"/>
      <c r="AA322" s="16"/>
      <c r="AB322" s="16"/>
      <c r="AC322" s="16"/>
      <c r="AD322" s="16"/>
      <c r="AE322" s="16"/>
      <c r="AF322" s="16"/>
      <c r="AG322" s="16"/>
      <c r="AH322" s="16"/>
      <c r="AI322" s="16"/>
      <c r="AJ322" s="16"/>
    </row>
    <row r="323" spans="1:36" x14ac:dyDescent="0.2">
      <c r="A323" s="16"/>
      <c r="B323" s="16"/>
      <c r="C323" s="16"/>
      <c r="D323" s="16"/>
      <c r="E323" s="16"/>
      <c r="F323" s="109"/>
      <c r="G323" s="109"/>
      <c r="H323" s="109"/>
      <c r="I323" s="109"/>
      <c r="J323" s="109"/>
      <c r="K323" s="109"/>
      <c r="L323" s="109"/>
      <c r="M323" s="109"/>
      <c r="N323" s="128"/>
      <c r="O323" s="128"/>
      <c r="P323" s="128"/>
      <c r="Q323" s="155"/>
      <c r="R323" s="128"/>
      <c r="S323" s="128"/>
      <c r="T323" s="128"/>
      <c r="U323" s="109"/>
      <c r="V323" s="109"/>
      <c r="W323" s="109"/>
      <c r="X323" s="109"/>
      <c r="Y323" s="109"/>
      <c r="Z323" s="109"/>
      <c r="AA323" s="16"/>
      <c r="AB323" s="16"/>
      <c r="AC323" s="16"/>
      <c r="AD323" s="16"/>
      <c r="AE323" s="16"/>
      <c r="AF323" s="16"/>
      <c r="AG323" s="16"/>
      <c r="AH323" s="16"/>
      <c r="AI323" s="16"/>
      <c r="AJ323" s="16"/>
    </row>
    <row r="324" spans="1:36" x14ac:dyDescent="0.2">
      <c r="A324" s="16"/>
      <c r="B324" s="16"/>
      <c r="C324" s="16"/>
      <c r="D324" s="16"/>
      <c r="E324" s="16"/>
      <c r="F324" s="109"/>
      <c r="G324" s="109"/>
      <c r="H324" s="109"/>
      <c r="I324" s="109"/>
      <c r="J324" s="109"/>
      <c r="K324" s="109"/>
      <c r="L324" s="109"/>
      <c r="M324" s="109"/>
      <c r="N324" s="128"/>
      <c r="O324" s="128"/>
      <c r="P324" s="128"/>
      <c r="Q324" s="155"/>
      <c r="R324" s="128"/>
      <c r="S324" s="128"/>
      <c r="T324" s="128"/>
      <c r="U324" s="109"/>
      <c r="V324" s="109"/>
      <c r="W324" s="109"/>
      <c r="X324" s="109"/>
      <c r="Y324" s="109"/>
      <c r="Z324" s="109"/>
      <c r="AA324" s="16"/>
      <c r="AB324" s="16"/>
      <c r="AC324" s="16"/>
      <c r="AD324" s="16"/>
      <c r="AE324" s="16"/>
      <c r="AF324" s="16"/>
      <c r="AG324" s="16"/>
      <c r="AH324" s="16"/>
      <c r="AI324" s="16"/>
      <c r="AJ324" s="16"/>
    </row>
    <row r="325" spans="1:36" x14ac:dyDescent="0.2">
      <c r="A325" s="16"/>
      <c r="B325" s="16"/>
      <c r="C325" s="16"/>
      <c r="D325" s="16"/>
      <c r="E325" s="16"/>
      <c r="F325" s="109"/>
      <c r="G325" s="109"/>
      <c r="H325" s="109"/>
      <c r="I325" s="109"/>
      <c r="J325" s="109"/>
      <c r="K325" s="109"/>
      <c r="L325" s="109"/>
      <c r="M325" s="109"/>
      <c r="N325" s="128"/>
      <c r="O325" s="128"/>
      <c r="P325" s="128"/>
      <c r="Q325" s="155"/>
      <c r="R325" s="128"/>
      <c r="S325" s="128"/>
      <c r="T325" s="128"/>
      <c r="U325" s="109"/>
      <c r="V325" s="109"/>
      <c r="W325" s="109"/>
      <c r="X325" s="109"/>
      <c r="Y325" s="109"/>
      <c r="Z325" s="109"/>
      <c r="AA325" s="16"/>
      <c r="AB325" s="16"/>
      <c r="AC325" s="16"/>
      <c r="AD325" s="16"/>
      <c r="AE325" s="16"/>
      <c r="AF325" s="16"/>
      <c r="AG325" s="16"/>
      <c r="AH325" s="16"/>
      <c r="AI325" s="16"/>
      <c r="AJ325" s="16"/>
    </row>
    <row r="326" spans="1:36" x14ac:dyDescent="0.2">
      <c r="A326" s="16"/>
      <c r="B326" s="16"/>
      <c r="C326" s="16"/>
      <c r="D326" s="16"/>
      <c r="E326" s="16"/>
      <c r="F326" s="109"/>
      <c r="G326" s="109"/>
      <c r="H326" s="109"/>
      <c r="I326" s="109"/>
      <c r="J326" s="109"/>
      <c r="K326" s="109"/>
      <c r="L326" s="109"/>
      <c r="M326" s="109"/>
      <c r="N326" s="128"/>
      <c r="O326" s="128"/>
      <c r="P326" s="128"/>
      <c r="Q326" s="155"/>
      <c r="R326" s="128"/>
      <c r="S326" s="128"/>
      <c r="T326" s="128"/>
      <c r="U326" s="109"/>
      <c r="V326" s="109"/>
      <c r="W326" s="109"/>
      <c r="X326" s="109"/>
      <c r="Y326" s="109"/>
      <c r="Z326" s="109"/>
      <c r="AA326" s="16"/>
      <c r="AB326" s="16"/>
      <c r="AC326" s="16"/>
      <c r="AD326" s="16"/>
      <c r="AE326" s="16"/>
      <c r="AF326" s="16"/>
      <c r="AG326" s="16"/>
      <c r="AH326" s="16"/>
      <c r="AI326" s="16"/>
      <c r="AJ326" s="16"/>
    </row>
    <row r="327" spans="1:36" x14ac:dyDescent="0.2">
      <c r="A327" s="16"/>
      <c r="B327" s="16"/>
      <c r="C327" s="16"/>
      <c r="D327" s="16"/>
      <c r="E327" s="16"/>
      <c r="F327" s="109"/>
      <c r="G327" s="109"/>
      <c r="H327" s="109"/>
      <c r="I327" s="109"/>
      <c r="J327" s="109"/>
      <c r="K327" s="109"/>
      <c r="L327" s="109"/>
      <c r="M327" s="109"/>
      <c r="N327" s="128"/>
      <c r="O327" s="128"/>
      <c r="P327" s="128"/>
      <c r="Q327" s="155"/>
      <c r="R327" s="128"/>
      <c r="S327" s="128"/>
      <c r="T327" s="128"/>
      <c r="U327" s="109"/>
      <c r="V327" s="109"/>
      <c r="W327" s="109"/>
      <c r="X327" s="109"/>
      <c r="Y327" s="109"/>
      <c r="Z327" s="109"/>
      <c r="AA327" s="16"/>
      <c r="AB327" s="16"/>
      <c r="AC327" s="16"/>
      <c r="AD327" s="16"/>
      <c r="AE327" s="16"/>
      <c r="AF327" s="16"/>
      <c r="AG327" s="16"/>
      <c r="AH327" s="16"/>
      <c r="AI327" s="16"/>
      <c r="AJ327" s="16"/>
    </row>
    <row r="328" spans="1:36" x14ac:dyDescent="0.2">
      <c r="A328" s="16"/>
      <c r="B328" s="16"/>
      <c r="C328" s="16"/>
      <c r="D328" s="16"/>
      <c r="E328" s="16"/>
      <c r="F328" s="109"/>
      <c r="G328" s="109"/>
      <c r="H328" s="109"/>
      <c r="I328" s="109"/>
      <c r="J328" s="109"/>
      <c r="K328" s="109"/>
      <c r="L328" s="109"/>
      <c r="M328" s="109"/>
      <c r="N328" s="128"/>
      <c r="O328" s="128"/>
      <c r="P328" s="128"/>
      <c r="Q328" s="155"/>
      <c r="R328" s="128"/>
      <c r="S328" s="128"/>
      <c r="T328" s="128"/>
      <c r="U328" s="109"/>
      <c r="V328" s="109"/>
      <c r="W328" s="109"/>
      <c r="X328" s="109"/>
      <c r="Y328" s="109"/>
      <c r="Z328" s="109"/>
      <c r="AA328" s="16"/>
      <c r="AB328" s="16"/>
      <c r="AC328" s="16"/>
      <c r="AD328" s="16"/>
      <c r="AE328" s="16"/>
      <c r="AF328" s="16"/>
      <c r="AG328" s="16"/>
      <c r="AH328" s="16"/>
      <c r="AI328" s="16"/>
      <c r="AJ328" s="16"/>
    </row>
    <row r="329" spans="1:36" x14ac:dyDescent="0.2">
      <c r="A329" s="16"/>
      <c r="B329" s="16"/>
      <c r="C329" s="16"/>
      <c r="D329" s="16"/>
      <c r="E329" s="16"/>
      <c r="F329" s="109"/>
      <c r="G329" s="109"/>
      <c r="H329" s="109"/>
      <c r="I329" s="109"/>
      <c r="J329" s="109"/>
      <c r="K329" s="109"/>
      <c r="L329" s="109"/>
      <c r="M329" s="109"/>
      <c r="N329" s="128"/>
      <c r="O329" s="128"/>
      <c r="P329" s="128"/>
      <c r="Q329" s="155"/>
      <c r="R329" s="128"/>
      <c r="S329" s="128"/>
      <c r="T329" s="128"/>
      <c r="U329" s="109"/>
      <c r="V329" s="109"/>
      <c r="W329" s="109"/>
      <c r="X329" s="109"/>
      <c r="Y329" s="109"/>
      <c r="Z329" s="109"/>
      <c r="AA329" s="16"/>
      <c r="AB329" s="16"/>
      <c r="AC329" s="16"/>
      <c r="AD329" s="16"/>
      <c r="AE329" s="16"/>
      <c r="AF329" s="16"/>
      <c r="AG329" s="16"/>
      <c r="AH329" s="16"/>
      <c r="AI329" s="16"/>
      <c r="AJ329" s="16"/>
    </row>
    <row r="330" spans="1:36" x14ac:dyDescent="0.2">
      <c r="A330" s="16"/>
      <c r="B330" s="16"/>
      <c r="C330" s="16"/>
      <c r="D330" s="16"/>
      <c r="E330" s="16"/>
      <c r="F330" s="109"/>
      <c r="G330" s="109"/>
      <c r="H330" s="109"/>
      <c r="I330" s="109"/>
      <c r="J330" s="109"/>
      <c r="K330" s="109"/>
      <c r="L330" s="109"/>
      <c r="M330" s="109"/>
      <c r="N330" s="128"/>
      <c r="O330" s="128"/>
      <c r="P330" s="128"/>
      <c r="Q330" s="155"/>
      <c r="R330" s="128"/>
      <c r="S330" s="128"/>
      <c r="T330" s="128"/>
      <c r="U330" s="109"/>
      <c r="V330" s="109"/>
      <c r="W330" s="109"/>
      <c r="X330" s="109"/>
      <c r="Y330" s="109"/>
      <c r="Z330" s="109"/>
      <c r="AA330" s="16"/>
      <c r="AB330" s="16"/>
      <c r="AC330" s="16"/>
      <c r="AD330" s="16"/>
      <c r="AE330" s="16"/>
      <c r="AF330" s="16"/>
      <c r="AG330" s="16"/>
      <c r="AH330" s="16"/>
      <c r="AI330" s="16"/>
      <c r="AJ330" s="16"/>
    </row>
    <row r="331" spans="1:36" x14ac:dyDescent="0.2">
      <c r="A331" s="16"/>
      <c r="B331" s="16"/>
      <c r="C331" s="16"/>
      <c r="D331" s="16"/>
      <c r="E331" s="16"/>
      <c r="F331" s="109"/>
      <c r="G331" s="109"/>
      <c r="H331" s="109"/>
      <c r="I331" s="109"/>
      <c r="J331" s="109"/>
      <c r="K331" s="109"/>
      <c r="L331" s="109"/>
      <c r="M331" s="109"/>
      <c r="N331" s="128"/>
      <c r="O331" s="128"/>
      <c r="P331" s="128"/>
      <c r="Q331" s="155"/>
      <c r="R331" s="128"/>
      <c r="S331" s="128"/>
      <c r="T331" s="128"/>
      <c r="U331" s="109"/>
      <c r="V331" s="109"/>
      <c r="W331" s="109"/>
      <c r="X331" s="109"/>
      <c r="Y331" s="109"/>
      <c r="Z331" s="109"/>
      <c r="AA331" s="16"/>
      <c r="AB331" s="16"/>
      <c r="AC331" s="16"/>
      <c r="AD331" s="16"/>
      <c r="AE331" s="16"/>
      <c r="AF331" s="16"/>
      <c r="AG331" s="16"/>
      <c r="AH331" s="16"/>
      <c r="AI331" s="16"/>
      <c r="AJ331" s="16"/>
    </row>
    <row r="332" spans="1:36" x14ac:dyDescent="0.2">
      <c r="A332" s="16"/>
      <c r="B332" s="16"/>
      <c r="C332" s="16"/>
      <c r="D332" s="16"/>
      <c r="E332" s="16"/>
      <c r="F332" s="109"/>
      <c r="G332" s="109"/>
      <c r="H332" s="109"/>
      <c r="I332" s="109"/>
      <c r="J332" s="109"/>
      <c r="K332" s="109"/>
      <c r="L332" s="109"/>
      <c r="M332" s="109"/>
      <c r="N332" s="128"/>
      <c r="O332" s="128"/>
      <c r="P332" s="128"/>
      <c r="Q332" s="155"/>
      <c r="R332" s="128"/>
      <c r="S332" s="128"/>
      <c r="T332" s="128"/>
      <c r="U332" s="109"/>
      <c r="V332" s="109"/>
      <c r="W332" s="109"/>
      <c r="X332" s="109"/>
      <c r="Y332" s="109"/>
      <c r="Z332" s="109"/>
      <c r="AA332" s="16"/>
      <c r="AB332" s="16"/>
      <c r="AC332" s="16"/>
      <c r="AD332" s="16"/>
      <c r="AE332" s="16"/>
      <c r="AF332" s="16"/>
      <c r="AG332" s="16"/>
      <c r="AH332" s="16"/>
      <c r="AI332" s="16"/>
      <c r="AJ332" s="16"/>
    </row>
    <row r="333" spans="1:36" x14ac:dyDescent="0.2">
      <c r="A333" s="16"/>
      <c r="B333" s="16"/>
      <c r="C333" s="16"/>
      <c r="D333" s="16"/>
      <c r="E333" s="16"/>
      <c r="F333" s="109"/>
      <c r="G333" s="109"/>
      <c r="H333" s="109"/>
      <c r="I333" s="109"/>
      <c r="J333" s="109"/>
      <c r="K333" s="109"/>
      <c r="L333" s="109"/>
      <c r="M333" s="109"/>
      <c r="N333" s="128"/>
      <c r="O333" s="128"/>
      <c r="P333" s="128"/>
      <c r="Q333" s="155"/>
      <c r="R333" s="128"/>
      <c r="S333" s="128"/>
      <c r="T333" s="128"/>
      <c r="U333" s="109"/>
      <c r="V333" s="109"/>
      <c r="W333" s="109"/>
      <c r="X333" s="109"/>
      <c r="Y333" s="109"/>
      <c r="Z333" s="109"/>
      <c r="AA333" s="16"/>
      <c r="AB333" s="16"/>
      <c r="AC333" s="16"/>
      <c r="AD333" s="16"/>
      <c r="AE333" s="16"/>
      <c r="AF333" s="16"/>
      <c r="AG333" s="16"/>
      <c r="AH333" s="16"/>
      <c r="AI333" s="16"/>
      <c r="AJ333" s="16"/>
    </row>
    <row r="334" spans="1:36" x14ac:dyDescent="0.2">
      <c r="A334" s="16"/>
      <c r="B334" s="16"/>
      <c r="C334" s="16"/>
      <c r="D334" s="16"/>
      <c r="E334" s="16"/>
      <c r="F334" s="109"/>
      <c r="G334" s="109"/>
      <c r="H334" s="109"/>
      <c r="I334" s="109"/>
      <c r="J334" s="109"/>
      <c r="K334" s="109"/>
      <c r="L334" s="109"/>
      <c r="M334" s="109"/>
      <c r="N334" s="128"/>
      <c r="O334" s="128"/>
      <c r="P334" s="128"/>
      <c r="Q334" s="155"/>
      <c r="R334" s="128"/>
      <c r="S334" s="128"/>
      <c r="T334" s="128"/>
      <c r="U334" s="109"/>
      <c r="V334" s="109"/>
      <c r="W334" s="109"/>
      <c r="X334" s="109"/>
      <c r="Y334" s="109"/>
      <c r="Z334" s="109"/>
      <c r="AA334" s="16"/>
      <c r="AB334" s="16"/>
      <c r="AC334" s="16"/>
      <c r="AD334" s="16"/>
      <c r="AE334" s="16"/>
      <c r="AF334" s="16"/>
      <c r="AG334" s="16"/>
      <c r="AH334" s="16"/>
      <c r="AI334" s="16"/>
      <c r="AJ334" s="16"/>
    </row>
    <row r="335" spans="1:36" x14ac:dyDescent="0.2">
      <c r="A335" s="16"/>
      <c r="B335" s="16"/>
      <c r="C335" s="16"/>
      <c r="D335" s="16"/>
      <c r="E335" s="16"/>
      <c r="F335" s="109"/>
      <c r="G335" s="109"/>
      <c r="H335" s="109"/>
      <c r="I335" s="109"/>
      <c r="J335" s="109"/>
      <c r="K335" s="109"/>
      <c r="L335" s="109"/>
      <c r="M335" s="109"/>
      <c r="N335" s="128"/>
      <c r="O335" s="128"/>
      <c r="P335" s="128"/>
      <c r="Q335" s="155"/>
      <c r="R335" s="128"/>
      <c r="S335" s="128"/>
      <c r="T335" s="128"/>
      <c r="U335" s="109"/>
      <c r="V335" s="109"/>
      <c r="W335" s="109"/>
      <c r="X335" s="109"/>
      <c r="Y335" s="109"/>
      <c r="Z335" s="109"/>
      <c r="AA335" s="16"/>
      <c r="AB335" s="16"/>
      <c r="AC335" s="16"/>
      <c r="AD335" s="16"/>
      <c r="AE335" s="16"/>
      <c r="AF335" s="16"/>
      <c r="AG335" s="16"/>
      <c r="AH335" s="16"/>
      <c r="AI335" s="16"/>
      <c r="AJ335" s="16"/>
    </row>
    <row r="336" spans="1:36" x14ac:dyDescent="0.2">
      <c r="A336" s="16"/>
      <c r="B336" s="16"/>
      <c r="C336" s="16"/>
      <c r="D336" s="16"/>
      <c r="E336" s="16"/>
      <c r="F336" s="109"/>
      <c r="G336" s="109"/>
      <c r="H336" s="109"/>
      <c r="I336" s="109"/>
      <c r="J336" s="109"/>
      <c r="K336" s="109"/>
      <c r="L336" s="109"/>
      <c r="M336" s="109"/>
      <c r="N336" s="128"/>
      <c r="O336" s="128"/>
      <c r="P336" s="128"/>
      <c r="Q336" s="155"/>
      <c r="R336" s="128"/>
      <c r="S336" s="128"/>
      <c r="T336" s="128"/>
      <c r="U336" s="109"/>
      <c r="V336" s="109"/>
      <c r="W336" s="109"/>
      <c r="X336" s="109"/>
      <c r="Y336" s="109"/>
      <c r="Z336" s="109"/>
      <c r="AA336" s="16"/>
      <c r="AB336" s="16"/>
      <c r="AC336" s="16"/>
      <c r="AD336" s="16"/>
      <c r="AE336" s="16"/>
      <c r="AF336" s="16"/>
      <c r="AG336" s="16"/>
      <c r="AH336" s="16"/>
      <c r="AI336" s="16"/>
      <c r="AJ336" s="16"/>
    </row>
    <row r="337" spans="1:36" x14ac:dyDescent="0.2">
      <c r="A337" s="16"/>
      <c r="B337" s="16"/>
      <c r="C337" s="16"/>
      <c r="D337" s="16"/>
      <c r="E337" s="16"/>
      <c r="F337" s="109"/>
      <c r="G337" s="109"/>
      <c r="H337" s="109"/>
      <c r="I337" s="109"/>
      <c r="J337" s="109"/>
      <c r="K337" s="109"/>
      <c r="L337" s="109"/>
      <c r="M337" s="109"/>
      <c r="N337" s="128"/>
      <c r="O337" s="128"/>
      <c r="P337" s="128"/>
      <c r="Q337" s="155"/>
      <c r="R337" s="128"/>
      <c r="S337" s="128"/>
      <c r="T337" s="128"/>
      <c r="U337" s="109"/>
      <c r="V337" s="109"/>
      <c r="W337" s="109"/>
      <c r="X337" s="109"/>
      <c r="Y337" s="109"/>
      <c r="Z337" s="109"/>
      <c r="AA337" s="16"/>
      <c r="AB337" s="16"/>
      <c r="AC337" s="16"/>
      <c r="AD337" s="16"/>
      <c r="AE337" s="16"/>
      <c r="AF337" s="16"/>
      <c r="AG337" s="16"/>
      <c r="AH337" s="16"/>
      <c r="AI337" s="16"/>
      <c r="AJ337" s="16"/>
    </row>
    <row r="338" spans="1:36" x14ac:dyDescent="0.2">
      <c r="A338" s="16"/>
      <c r="B338" s="16"/>
      <c r="C338" s="16"/>
      <c r="D338" s="16"/>
      <c r="E338" s="16"/>
      <c r="F338" s="109"/>
      <c r="G338" s="109"/>
      <c r="H338" s="109"/>
      <c r="I338" s="109"/>
      <c r="J338" s="109"/>
      <c r="K338" s="109"/>
      <c r="L338" s="109"/>
      <c r="M338" s="109"/>
      <c r="N338" s="128"/>
      <c r="O338" s="128"/>
      <c r="P338" s="128"/>
      <c r="Q338" s="155"/>
      <c r="R338" s="128"/>
      <c r="S338" s="128"/>
      <c r="T338" s="128"/>
      <c r="U338" s="109"/>
      <c r="V338" s="109"/>
      <c r="W338" s="109"/>
      <c r="X338" s="109"/>
      <c r="Y338" s="109"/>
      <c r="Z338" s="109"/>
      <c r="AA338" s="16"/>
      <c r="AB338" s="16"/>
      <c r="AC338" s="16"/>
      <c r="AD338" s="16"/>
      <c r="AE338" s="16"/>
      <c r="AF338" s="16"/>
      <c r="AG338" s="16"/>
      <c r="AH338" s="16"/>
      <c r="AI338" s="16"/>
      <c r="AJ338" s="16"/>
    </row>
    <row r="339" spans="1:36" x14ac:dyDescent="0.2">
      <c r="A339" s="16"/>
      <c r="B339" s="16"/>
      <c r="C339" s="16"/>
      <c r="D339" s="16"/>
      <c r="E339" s="16"/>
      <c r="F339" s="109"/>
      <c r="G339" s="109"/>
      <c r="H339" s="109"/>
      <c r="I339" s="109"/>
      <c r="J339" s="109"/>
      <c r="K339" s="109"/>
      <c r="L339" s="109"/>
      <c r="M339" s="109"/>
      <c r="N339" s="128"/>
      <c r="O339" s="128"/>
      <c r="P339" s="128"/>
      <c r="Q339" s="155"/>
      <c r="R339" s="128"/>
      <c r="S339" s="128"/>
      <c r="T339" s="128"/>
      <c r="U339" s="109"/>
      <c r="V339" s="109"/>
      <c r="W339" s="109"/>
      <c r="X339" s="109"/>
      <c r="Y339" s="109"/>
      <c r="Z339" s="109"/>
      <c r="AA339" s="16"/>
      <c r="AB339" s="16"/>
      <c r="AC339" s="16"/>
      <c r="AD339" s="16"/>
      <c r="AE339" s="16"/>
      <c r="AF339" s="16"/>
      <c r="AG339" s="16"/>
      <c r="AH339" s="16"/>
      <c r="AI339" s="16"/>
      <c r="AJ339" s="16"/>
    </row>
    <row r="340" spans="1:36" x14ac:dyDescent="0.2">
      <c r="A340" s="16"/>
      <c r="B340" s="16"/>
      <c r="C340" s="16"/>
      <c r="D340" s="16"/>
      <c r="E340" s="16"/>
      <c r="F340" s="109"/>
      <c r="G340" s="109"/>
      <c r="H340" s="109"/>
      <c r="I340" s="109"/>
      <c r="J340" s="109"/>
      <c r="K340" s="109"/>
      <c r="L340" s="109"/>
      <c r="M340" s="109"/>
      <c r="N340" s="128"/>
      <c r="O340" s="128"/>
      <c r="P340" s="128"/>
      <c r="Q340" s="155"/>
      <c r="R340" s="128"/>
      <c r="S340" s="128"/>
      <c r="T340" s="128"/>
      <c r="U340" s="109"/>
      <c r="V340" s="109"/>
      <c r="W340" s="109"/>
      <c r="X340" s="109"/>
      <c r="Y340" s="109"/>
      <c r="Z340" s="109"/>
      <c r="AA340" s="16"/>
      <c r="AB340" s="16"/>
      <c r="AC340" s="16"/>
      <c r="AD340" s="16"/>
      <c r="AE340" s="16"/>
      <c r="AF340" s="16"/>
      <c r="AG340" s="16"/>
      <c r="AH340" s="16"/>
      <c r="AI340" s="16"/>
      <c r="AJ340" s="16"/>
    </row>
    <row r="341" spans="1:36" x14ac:dyDescent="0.2">
      <c r="A341" s="16"/>
      <c r="B341" s="16"/>
      <c r="C341" s="16"/>
      <c r="D341" s="16"/>
      <c r="E341" s="16"/>
      <c r="F341" s="109"/>
      <c r="G341" s="109"/>
      <c r="H341" s="109"/>
      <c r="I341" s="109"/>
      <c r="J341" s="109"/>
      <c r="K341" s="109"/>
      <c r="L341" s="109"/>
      <c r="M341" s="109"/>
      <c r="N341" s="128"/>
      <c r="O341" s="128"/>
      <c r="P341" s="128"/>
      <c r="Q341" s="155"/>
      <c r="R341" s="128"/>
      <c r="S341" s="128"/>
      <c r="T341" s="128"/>
      <c r="U341" s="109"/>
      <c r="V341" s="109"/>
      <c r="W341" s="109"/>
      <c r="X341" s="109"/>
      <c r="Y341" s="109"/>
      <c r="Z341" s="109"/>
      <c r="AA341" s="16"/>
      <c r="AB341" s="16"/>
      <c r="AC341" s="16"/>
      <c r="AD341" s="16"/>
      <c r="AE341" s="16"/>
      <c r="AF341" s="16"/>
      <c r="AG341" s="16"/>
      <c r="AH341" s="16"/>
      <c r="AI341" s="16"/>
      <c r="AJ341" s="16"/>
    </row>
    <row r="342" spans="1:36" x14ac:dyDescent="0.2">
      <c r="A342" s="16"/>
      <c r="B342" s="16"/>
      <c r="C342" s="16"/>
      <c r="D342" s="16"/>
      <c r="E342" s="16"/>
      <c r="F342" s="109"/>
      <c r="G342" s="109"/>
      <c r="H342" s="109"/>
      <c r="I342" s="109"/>
      <c r="J342" s="109"/>
      <c r="K342" s="109"/>
      <c r="L342" s="109"/>
      <c r="M342" s="109"/>
      <c r="N342" s="128"/>
      <c r="O342" s="128"/>
      <c r="P342" s="128"/>
      <c r="Q342" s="155"/>
      <c r="R342" s="128"/>
      <c r="S342" s="128"/>
      <c r="T342" s="128"/>
      <c r="U342" s="109"/>
      <c r="V342" s="109"/>
      <c r="W342" s="109"/>
      <c r="X342" s="109"/>
      <c r="Y342" s="109"/>
      <c r="Z342" s="109"/>
      <c r="AA342" s="16"/>
      <c r="AB342" s="16"/>
      <c r="AC342" s="16"/>
      <c r="AD342" s="16"/>
      <c r="AE342" s="16"/>
      <c r="AF342" s="16"/>
      <c r="AG342" s="16"/>
      <c r="AH342" s="16"/>
      <c r="AI342" s="16"/>
      <c r="AJ342" s="16"/>
    </row>
    <row r="343" spans="1:36" x14ac:dyDescent="0.2">
      <c r="A343" s="16"/>
      <c r="B343" s="16"/>
      <c r="C343" s="16"/>
      <c r="D343" s="16"/>
      <c r="E343" s="16"/>
      <c r="F343" s="109"/>
      <c r="G343" s="109"/>
      <c r="H343" s="109"/>
      <c r="I343" s="109"/>
      <c r="J343" s="109"/>
      <c r="K343" s="109"/>
      <c r="L343" s="109"/>
      <c r="M343" s="109"/>
      <c r="N343" s="128"/>
      <c r="O343" s="128"/>
      <c r="P343" s="128"/>
      <c r="Q343" s="155"/>
      <c r="R343" s="128"/>
      <c r="S343" s="128"/>
      <c r="T343" s="128"/>
      <c r="U343" s="109"/>
      <c r="V343" s="109"/>
      <c r="W343" s="109"/>
      <c r="X343" s="109"/>
      <c r="Y343" s="109"/>
      <c r="Z343" s="109"/>
      <c r="AA343" s="16"/>
      <c r="AB343" s="16"/>
      <c r="AC343" s="16"/>
      <c r="AD343" s="16"/>
      <c r="AE343" s="16"/>
      <c r="AF343" s="16"/>
      <c r="AG343" s="16"/>
      <c r="AH343" s="16"/>
      <c r="AI343" s="16"/>
      <c r="AJ343" s="16"/>
    </row>
    <row r="344" spans="1:36" x14ac:dyDescent="0.2">
      <c r="A344" s="16"/>
      <c r="B344" s="16"/>
      <c r="C344" s="16"/>
      <c r="D344" s="16"/>
      <c r="E344" s="16"/>
      <c r="F344" s="109"/>
      <c r="G344" s="109"/>
      <c r="H344" s="109"/>
      <c r="I344" s="109"/>
      <c r="J344" s="109"/>
      <c r="K344" s="109"/>
      <c r="L344" s="109"/>
      <c r="M344" s="109"/>
      <c r="N344" s="128"/>
      <c r="O344" s="128"/>
      <c r="P344" s="128"/>
      <c r="Q344" s="155"/>
      <c r="R344" s="128"/>
      <c r="S344" s="128"/>
      <c r="T344" s="128"/>
      <c r="U344" s="109"/>
      <c r="V344" s="109"/>
      <c r="W344" s="109"/>
      <c r="X344" s="109"/>
      <c r="Y344" s="109"/>
      <c r="Z344" s="109"/>
      <c r="AA344" s="16"/>
      <c r="AB344" s="16"/>
      <c r="AC344" s="16"/>
      <c r="AD344" s="16"/>
      <c r="AE344" s="16"/>
      <c r="AF344" s="16"/>
      <c r="AG344" s="16"/>
      <c r="AH344" s="16"/>
      <c r="AI344" s="16"/>
      <c r="AJ344" s="16"/>
    </row>
    <row r="345" spans="1:36" x14ac:dyDescent="0.2">
      <c r="A345" s="16"/>
      <c r="B345" s="16"/>
      <c r="C345" s="16"/>
      <c r="D345" s="16"/>
      <c r="E345" s="16"/>
      <c r="F345" s="109"/>
      <c r="G345" s="109"/>
      <c r="H345" s="109"/>
      <c r="I345" s="109"/>
      <c r="J345" s="109"/>
      <c r="K345" s="109"/>
      <c r="L345" s="109"/>
      <c r="M345" s="109"/>
      <c r="N345" s="128"/>
      <c r="O345" s="128"/>
      <c r="P345" s="128"/>
      <c r="Q345" s="155"/>
      <c r="R345" s="128"/>
      <c r="S345" s="128"/>
      <c r="T345" s="128"/>
      <c r="U345" s="109"/>
      <c r="V345" s="109"/>
      <c r="W345" s="109"/>
      <c r="X345" s="109"/>
      <c r="Y345" s="109"/>
      <c r="Z345" s="109"/>
      <c r="AA345" s="16"/>
      <c r="AB345" s="16"/>
      <c r="AC345" s="16"/>
      <c r="AD345" s="16"/>
      <c r="AE345" s="16"/>
      <c r="AF345" s="16"/>
      <c r="AG345" s="16"/>
      <c r="AH345" s="16"/>
      <c r="AI345" s="16"/>
      <c r="AJ345" s="16"/>
    </row>
    <row r="346" spans="1:36" x14ac:dyDescent="0.2">
      <c r="A346" s="16"/>
      <c r="B346" s="16"/>
      <c r="C346" s="16"/>
      <c r="D346" s="16"/>
      <c r="E346" s="16"/>
      <c r="F346" s="109"/>
      <c r="G346" s="109"/>
      <c r="H346" s="109"/>
      <c r="I346" s="109"/>
      <c r="J346" s="109"/>
      <c r="K346" s="109"/>
      <c r="L346" s="109"/>
      <c r="M346" s="109"/>
      <c r="N346" s="128"/>
      <c r="O346" s="128"/>
      <c r="P346" s="128"/>
      <c r="Q346" s="155"/>
      <c r="R346" s="128"/>
      <c r="S346" s="128"/>
      <c r="T346" s="128"/>
      <c r="U346" s="109"/>
      <c r="V346" s="109"/>
      <c r="W346" s="109"/>
      <c r="X346" s="109"/>
      <c r="Y346" s="109"/>
      <c r="Z346" s="109"/>
      <c r="AA346" s="16"/>
      <c r="AB346" s="16"/>
      <c r="AC346" s="16"/>
      <c r="AD346" s="16"/>
      <c r="AE346" s="16"/>
      <c r="AF346" s="16"/>
      <c r="AG346" s="16"/>
      <c r="AH346" s="16"/>
      <c r="AI346" s="16"/>
      <c r="AJ346" s="16"/>
    </row>
    <row r="347" spans="1:36" x14ac:dyDescent="0.2">
      <c r="A347" s="16"/>
      <c r="B347" s="16"/>
      <c r="C347" s="16"/>
      <c r="D347" s="16"/>
      <c r="E347" s="16"/>
      <c r="F347" s="109"/>
      <c r="G347" s="109"/>
      <c r="H347" s="109"/>
      <c r="I347" s="109"/>
      <c r="J347" s="109"/>
      <c r="K347" s="109"/>
      <c r="L347" s="109"/>
      <c r="M347" s="109"/>
      <c r="N347" s="128"/>
      <c r="O347" s="128"/>
      <c r="P347" s="128"/>
      <c r="Q347" s="155"/>
      <c r="R347" s="128"/>
      <c r="S347" s="128"/>
      <c r="T347" s="128"/>
      <c r="U347" s="109"/>
      <c r="V347" s="109"/>
      <c r="W347" s="109"/>
      <c r="X347" s="109"/>
      <c r="Y347" s="109"/>
      <c r="Z347" s="109"/>
      <c r="AA347" s="16"/>
      <c r="AB347" s="16"/>
      <c r="AC347" s="16"/>
      <c r="AD347" s="16"/>
      <c r="AE347" s="16"/>
      <c r="AF347" s="16"/>
      <c r="AG347" s="16"/>
      <c r="AH347" s="16"/>
      <c r="AI347" s="16"/>
      <c r="AJ347" s="16"/>
    </row>
    <row r="348" spans="1:36" x14ac:dyDescent="0.2">
      <c r="A348" s="16"/>
      <c r="B348" s="16"/>
      <c r="C348" s="16"/>
      <c r="D348" s="16"/>
      <c r="E348" s="16"/>
      <c r="F348" s="109"/>
      <c r="G348" s="109"/>
      <c r="H348" s="109"/>
      <c r="I348" s="109"/>
      <c r="J348" s="109"/>
      <c r="K348" s="109"/>
      <c r="L348" s="109"/>
      <c r="M348" s="109"/>
      <c r="N348" s="128"/>
      <c r="O348" s="128"/>
      <c r="P348" s="128"/>
      <c r="Q348" s="155"/>
      <c r="R348" s="128"/>
      <c r="S348" s="128"/>
      <c r="T348" s="128"/>
      <c r="U348" s="109"/>
      <c r="V348" s="109"/>
      <c r="W348" s="109"/>
      <c r="X348" s="109"/>
      <c r="Y348" s="109"/>
      <c r="Z348" s="109"/>
      <c r="AA348" s="16"/>
      <c r="AB348" s="16"/>
      <c r="AC348" s="16"/>
      <c r="AD348" s="16"/>
      <c r="AE348" s="16"/>
      <c r="AF348" s="16"/>
      <c r="AG348" s="16"/>
      <c r="AH348" s="16"/>
      <c r="AI348" s="16"/>
      <c r="AJ348" s="16"/>
    </row>
    <row r="349" spans="1:36" x14ac:dyDescent="0.2">
      <c r="A349" s="16"/>
      <c r="B349" s="16"/>
      <c r="C349" s="16"/>
      <c r="D349" s="16"/>
      <c r="E349" s="16"/>
      <c r="F349" s="109"/>
      <c r="G349" s="109"/>
      <c r="H349" s="109"/>
      <c r="I349" s="109"/>
      <c r="J349" s="109"/>
      <c r="K349" s="109"/>
      <c r="L349" s="109"/>
      <c r="M349" s="109"/>
      <c r="N349" s="128"/>
      <c r="O349" s="128"/>
      <c r="P349" s="128"/>
      <c r="Q349" s="155"/>
      <c r="R349" s="128"/>
      <c r="S349" s="128"/>
      <c r="T349" s="128"/>
      <c r="U349" s="109"/>
      <c r="V349" s="109"/>
      <c r="W349" s="109"/>
      <c r="X349" s="109"/>
      <c r="Y349" s="109"/>
      <c r="Z349" s="109"/>
      <c r="AA349" s="16"/>
      <c r="AB349" s="16"/>
      <c r="AC349" s="16"/>
      <c r="AD349" s="16"/>
      <c r="AE349" s="16"/>
      <c r="AF349" s="16"/>
      <c r="AG349" s="16"/>
      <c r="AH349" s="16"/>
      <c r="AI349" s="16"/>
      <c r="AJ349" s="16"/>
    </row>
    <row r="350" spans="1:36" x14ac:dyDescent="0.2">
      <c r="A350" s="16"/>
      <c r="B350" s="16"/>
      <c r="C350" s="16"/>
      <c r="D350" s="16"/>
      <c r="E350" s="16"/>
      <c r="F350" s="109"/>
      <c r="G350" s="109"/>
      <c r="H350" s="109"/>
      <c r="I350" s="109"/>
      <c r="J350" s="109"/>
      <c r="K350" s="109"/>
      <c r="L350" s="109"/>
      <c r="M350" s="109"/>
      <c r="N350" s="128"/>
      <c r="O350" s="128"/>
      <c r="P350" s="128"/>
      <c r="Q350" s="155"/>
      <c r="R350" s="128"/>
      <c r="S350" s="128"/>
      <c r="T350" s="128"/>
      <c r="U350" s="109"/>
      <c r="V350" s="109"/>
      <c r="W350" s="109"/>
      <c r="X350" s="109"/>
      <c r="Y350" s="109"/>
      <c r="Z350" s="109"/>
      <c r="AA350" s="16"/>
      <c r="AB350" s="16"/>
      <c r="AC350" s="16"/>
      <c r="AD350" s="16"/>
      <c r="AE350" s="16"/>
      <c r="AF350" s="16"/>
      <c r="AG350" s="16"/>
      <c r="AH350" s="16"/>
      <c r="AI350" s="16"/>
      <c r="AJ350" s="16"/>
    </row>
    <row r="351" spans="1:36" x14ac:dyDescent="0.2">
      <c r="A351" s="16"/>
      <c r="B351" s="16"/>
      <c r="C351" s="16"/>
      <c r="D351" s="16"/>
      <c r="E351" s="16"/>
      <c r="F351" s="109"/>
      <c r="G351" s="109"/>
      <c r="H351" s="109"/>
      <c r="I351" s="109"/>
      <c r="J351" s="109"/>
      <c r="K351" s="109"/>
      <c r="L351" s="109"/>
      <c r="M351" s="109"/>
      <c r="N351" s="128"/>
      <c r="O351" s="128"/>
      <c r="P351" s="128"/>
      <c r="Q351" s="155"/>
      <c r="R351" s="128"/>
      <c r="S351" s="128"/>
      <c r="T351" s="128"/>
      <c r="U351" s="109"/>
      <c r="V351" s="109"/>
      <c r="W351" s="109"/>
      <c r="X351" s="109"/>
      <c r="Y351" s="109"/>
      <c r="Z351" s="109"/>
      <c r="AA351" s="16"/>
      <c r="AB351" s="16"/>
      <c r="AC351" s="16"/>
      <c r="AD351" s="16"/>
      <c r="AE351" s="16"/>
      <c r="AF351" s="16"/>
      <c r="AG351" s="16"/>
      <c r="AH351" s="16"/>
      <c r="AI351" s="16"/>
      <c r="AJ351" s="16"/>
    </row>
    <row r="352" spans="1:36" x14ac:dyDescent="0.2">
      <c r="A352" s="16"/>
      <c r="B352" s="16"/>
      <c r="C352" s="16"/>
      <c r="D352" s="16"/>
      <c r="E352" s="16"/>
      <c r="F352" s="109"/>
      <c r="G352" s="109"/>
      <c r="H352" s="109"/>
      <c r="I352" s="109"/>
      <c r="J352" s="109"/>
      <c r="K352" s="109"/>
      <c r="L352" s="109"/>
      <c r="M352" s="109"/>
      <c r="N352" s="128"/>
      <c r="O352" s="128"/>
      <c r="P352" s="128"/>
      <c r="Q352" s="155"/>
      <c r="R352" s="128"/>
      <c r="S352" s="128"/>
      <c r="T352" s="128"/>
      <c r="U352" s="109"/>
      <c r="V352" s="109"/>
      <c r="W352" s="109"/>
      <c r="X352" s="109"/>
      <c r="Y352" s="109"/>
      <c r="Z352" s="109"/>
      <c r="AA352" s="16"/>
      <c r="AB352" s="16"/>
      <c r="AC352" s="16"/>
      <c r="AD352" s="16"/>
      <c r="AE352" s="16"/>
      <c r="AF352" s="16"/>
      <c r="AG352" s="16"/>
      <c r="AH352" s="16"/>
      <c r="AI352" s="16"/>
      <c r="AJ352" s="16"/>
    </row>
    <row r="353" spans="1:36" x14ac:dyDescent="0.2">
      <c r="A353" s="16"/>
      <c r="B353" s="16"/>
      <c r="C353" s="16"/>
      <c r="D353" s="16"/>
      <c r="E353" s="16"/>
      <c r="F353" s="109"/>
      <c r="G353" s="109"/>
      <c r="H353" s="109"/>
      <c r="I353" s="109"/>
      <c r="J353" s="109"/>
      <c r="K353" s="109"/>
      <c r="L353" s="109"/>
      <c r="M353" s="109"/>
      <c r="N353" s="128"/>
      <c r="O353" s="128"/>
      <c r="P353" s="128"/>
      <c r="Q353" s="155"/>
      <c r="R353" s="128"/>
      <c r="S353" s="128"/>
      <c r="T353" s="128"/>
      <c r="U353" s="109"/>
      <c r="V353" s="109"/>
      <c r="W353" s="109"/>
      <c r="X353" s="109"/>
      <c r="Y353" s="109"/>
      <c r="Z353" s="109"/>
      <c r="AA353" s="16"/>
      <c r="AB353" s="16"/>
      <c r="AC353" s="16"/>
      <c r="AD353" s="16"/>
      <c r="AE353" s="16"/>
      <c r="AF353" s="16"/>
      <c r="AG353" s="16"/>
      <c r="AH353" s="16"/>
      <c r="AI353" s="16"/>
      <c r="AJ353" s="16"/>
    </row>
    <row r="354" spans="1:36" x14ac:dyDescent="0.2">
      <c r="A354" s="16"/>
      <c r="B354" s="16"/>
      <c r="C354" s="16"/>
      <c r="D354" s="16"/>
      <c r="E354" s="16"/>
      <c r="F354" s="109"/>
      <c r="G354" s="109"/>
      <c r="H354" s="109"/>
      <c r="I354" s="109"/>
      <c r="J354" s="109"/>
      <c r="K354" s="109"/>
      <c r="L354" s="109"/>
      <c r="M354" s="109"/>
      <c r="N354" s="128"/>
      <c r="O354" s="128"/>
      <c r="P354" s="128"/>
      <c r="Q354" s="155"/>
      <c r="R354" s="128"/>
      <c r="S354" s="128"/>
      <c r="T354" s="128"/>
      <c r="U354" s="109"/>
      <c r="V354" s="109"/>
      <c r="W354" s="109"/>
      <c r="X354" s="109"/>
      <c r="Y354" s="109"/>
      <c r="Z354" s="109"/>
      <c r="AA354" s="16"/>
      <c r="AB354" s="16"/>
      <c r="AC354" s="16"/>
      <c r="AD354" s="16"/>
      <c r="AE354" s="16"/>
      <c r="AF354" s="16"/>
      <c r="AG354" s="16"/>
      <c r="AH354" s="16"/>
      <c r="AI354" s="16"/>
      <c r="AJ354" s="16"/>
    </row>
    <row r="355" spans="1:36" x14ac:dyDescent="0.2">
      <c r="A355" s="16"/>
      <c r="B355" s="16"/>
      <c r="C355" s="16"/>
      <c r="D355" s="16"/>
      <c r="E355" s="16"/>
      <c r="F355" s="109"/>
      <c r="G355" s="109"/>
      <c r="H355" s="109"/>
      <c r="I355" s="109"/>
      <c r="J355" s="109"/>
      <c r="K355" s="109"/>
      <c r="L355" s="109"/>
      <c r="M355" s="109"/>
      <c r="N355" s="128"/>
      <c r="O355" s="128"/>
      <c r="P355" s="128"/>
      <c r="Q355" s="155"/>
      <c r="R355" s="128"/>
      <c r="S355" s="128"/>
      <c r="T355" s="128"/>
      <c r="U355" s="109"/>
      <c r="V355" s="109"/>
      <c r="W355" s="109"/>
      <c r="X355" s="109"/>
      <c r="Y355" s="109"/>
      <c r="Z355" s="109"/>
      <c r="AA355" s="16"/>
      <c r="AB355" s="16"/>
      <c r="AC355" s="16"/>
      <c r="AD355" s="16"/>
      <c r="AE355" s="16"/>
      <c r="AF355" s="16"/>
      <c r="AG355" s="16"/>
      <c r="AH355" s="16"/>
      <c r="AI355" s="16"/>
      <c r="AJ355" s="16"/>
    </row>
    <row r="356" spans="1:36" x14ac:dyDescent="0.2">
      <c r="A356" s="16"/>
      <c r="B356" s="16"/>
      <c r="C356" s="16"/>
      <c r="D356" s="16"/>
      <c r="E356" s="16"/>
      <c r="F356" s="109"/>
      <c r="G356" s="109"/>
      <c r="H356" s="109"/>
      <c r="I356" s="109"/>
      <c r="J356" s="109"/>
      <c r="K356" s="109"/>
      <c r="L356" s="109"/>
      <c r="M356" s="109"/>
      <c r="N356" s="128"/>
      <c r="O356" s="128"/>
      <c r="P356" s="128"/>
      <c r="Q356" s="155"/>
      <c r="R356" s="128"/>
      <c r="S356" s="128"/>
      <c r="T356" s="128"/>
      <c r="U356" s="109"/>
      <c r="V356" s="109"/>
      <c r="W356" s="109"/>
      <c r="X356" s="109"/>
      <c r="Y356" s="109"/>
      <c r="Z356" s="109"/>
      <c r="AA356" s="16"/>
      <c r="AB356" s="16"/>
      <c r="AC356" s="16"/>
      <c r="AD356" s="16"/>
      <c r="AE356" s="16"/>
      <c r="AF356" s="16"/>
      <c r="AG356" s="16"/>
      <c r="AH356" s="16"/>
      <c r="AI356" s="16"/>
      <c r="AJ356" s="16"/>
    </row>
    <row r="357" spans="1:36" x14ac:dyDescent="0.2">
      <c r="A357" s="16"/>
      <c r="B357" s="16"/>
      <c r="C357" s="16"/>
      <c r="D357" s="16"/>
      <c r="E357" s="16"/>
      <c r="F357" s="109"/>
      <c r="G357" s="109"/>
      <c r="H357" s="109"/>
      <c r="I357" s="109"/>
      <c r="J357" s="109"/>
      <c r="K357" s="109"/>
      <c r="L357" s="109"/>
      <c r="M357" s="109"/>
      <c r="N357" s="128"/>
      <c r="O357" s="128"/>
      <c r="P357" s="128"/>
      <c r="Q357" s="155"/>
      <c r="R357" s="128"/>
      <c r="S357" s="128"/>
      <c r="T357" s="128"/>
      <c r="U357" s="109"/>
      <c r="V357" s="109"/>
      <c r="W357" s="109"/>
      <c r="X357" s="109"/>
      <c r="Y357" s="109"/>
      <c r="Z357" s="109"/>
      <c r="AA357" s="16"/>
      <c r="AB357" s="16"/>
      <c r="AC357" s="16"/>
      <c r="AD357" s="16"/>
      <c r="AE357" s="16"/>
      <c r="AF357" s="16"/>
      <c r="AG357" s="16"/>
      <c r="AH357" s="16"/>
      <c r="AI357" s="16"/>
      <c r="AJ357" s="16"/>
    </row>
    <row r="358" spans="1:36" x14ac:dyDescent="0.2">
      <c r="A358" s="16"/>
      <c r="B358" s="16"/>
      <c r="C358" s="16"/>
      <c r="D358" s="16"/>
      <c r="E358" s="16"/>
      <c r="F358" s="109"/>
      <c r="G358" s="109"/>
      <c r="H358" s="109"/>
      <c r="I358" s="109"/>
      <c r="J358" s="109"/>
      <c r="K358" s="109"/>
      <c r="L358" s="109"/>
      <c r="M358" s="109"/>
      <c r="N358" s="128"/>
      <c r="O358" s="128"/>
      <c r="P358" s="128"/>
      <c r="Q358" s="155"/>
      <c r="R358" s="128"/>
      <c r="S358" s="128"/>
      <c r="T358" s="128"/>
      <c r="U358" s="109"/>
      <c r="V358" s="109"/>
      <c r="W358" s="109"/>
      <c r="X358" s="109"/>
      <c r="Y358" s="109"/>
      <c r="Z358" s="109"/>
      <c r="AA358" s="16"/>
      <c r="AB358" s="16"/>
      <c r="AC358" s="16"/>
      <c r="AD358" s="16"/>
      <c r="AE358" s="16"/>
      <c r="AF358" s="16"/>
      <c r="AG358" s="16"/>
      <c r="AH358" s="16"/>
      <c r="AI358" s="16"/>
      <c r="AJ358" s="16"/>
    </row>
    <row r="359" spans="1:36" x14ac:dyDescent="0.2">
      <c r="A359" s="16"/>
      <c r="B359" s="16"/>
      <c r="C359" s="16"/>
      <c r="D359" s="16"/>
      <c r="E359" s="16"/>
      <c r="F359" s="109"/>
      <c r="G359" s="109"/>
      <c r="H359" s="109"/>
      <c r="I359" s="109"/>
      <c r="J359" s="109"/>
      <c r="K359" s="109"/>
      <c r="L359" s="109"/>
      <c r="M359" s="109"/>
      <c r="N359" s="128"/>
      <c r="O359" s="128"/>
      <c r="P359" s="128"/>
      <c r="Q359" s="155"/>
      <c r="R359" s="128"/>
      <c r="S359" s="128"/>
      <c r="T359" s="128"/>
      <c r="U359" s="109"/>
      <c r="V359" s="109"/>
      <c r="W359" s="109"/>
      <c r="X359" s="109"/>
      <c r="Y359" s="109"/>
      <c r="Z359" s="109"/>
      <c r="AA359" s="16"/>
      <c r="AB359" s="16"/>
      <c r="AC359" s="16"/>
      <c r="AD359" s="16"/>
      <c r="AE359" s="16"/>
      <c r="AF359" s="16"/>
      <c r="AG359" s="16"/>
      <c r="AH359" s="16"/>
      <c r="AI359" s="16"/>
      <c r="AJ359" s="16"/>
    </row>
    <row r="360" spans="1:36" x14ac:dyDescent="0.2">
      <c r="A360" s="16"/>
      <c r="B360" s="16"/>
      <c r="C360" s="16"/>
      <c r="D360" s="16"/>
      <c r="E360" s="16"/>
      <c r="F360" s="109"/>
      <c r="G360" s="109"/>
      <c r="H360" s="109"/>
      <c r="I360" s="109"/>
      <c r="J360" s="109"/>
      <c r="K360" s="109"/>
      <c r="L360" s="109"/>
      <c r="M360" s="109"/>
      <c r="N360" s="128"/>
      <c r="O360" s="128"/>
      <c r="P360" s="128"/>
      <c r="Q360" s="155"/>
      <c r="R360" s="128"/>
      <c r="S360" s="128"/>
      <c r="T360" s="128"/>
      <c r="U360" s="109"/>
      <c r="V360" s="109"/>
      <c r="W360" s="109"/>
      <c r="X360" s="109"/>
      <c r="Y360" s="109"/>
      <c r="Z360" s="109"/>
      <c r="AA360" s="16"/>
      <c r="AB360" s="16"/>
      <c r="AC360" s="16"/>
      <c r="AD360" s="16"/>
      <c r="AE360" s="16"/>
      <c r="AF360" s="16"/>
      <c r="AG360" s="16"/>
      <c r="AH360" s="16"/>
      <c r="AI360" s="16"/>
      <c r="AJ360" s="16"/>
    </row>
    <row r="361" spans="1:36" x14ac:dyDescent="0.2">
      <c r="A361" s="16"/>
      <c r="B361" s="16"/>
      <c r="C361" s="16"/>
      <c r="D361" s="16"/>
      <c r="E361" s="16"/>
      <c r="F361" s="109"/>
      <c r="G361" s="109"/>
      <c r="H361" s="109"/>
      <c r="I361" s="109"/>
      <c r="J361" s="109"/>
      <c r="K361" s="109"/>
      <c r="L361" s="109"/>
      <c r="M361" s="109"/>
      <c r="N361" s="128"/>
      <c r="O361" s="128"/>
      <c r="P361" s="128"/>
      <c r="Q361" s="155"/>
      <c r="R361" s="128"/>
      <c r="S361" s="128"/>
      <c r="T361" s="128"/>
      <c r="U361" s="109"/>
      <c r="V361" s="109"/>
      <c r="W361" s="109"/>
      <c r="X361" s="109"/>
      <c r="Y361" s="109"/>
      <c r="Z361" s="109"/>
      <c r="AA361" s="16"/>
      <c r="AB361" s="16"/>
      <c r="AC361" s="16"/>
      <c r="AD361" s="16"/>
      <c r="AE361" s="16"/>
      <c r="AF361" s="16"/>
      <c r="AG361" s="16"/>
      <c r="AH361" s="16"/>
      <c r="AI361" s="16"/>
      <c r="AJ361" s="16"/>
    </row>
    <row r="362" spans="1:36" x14ac:dyDescent="0.2">
      <c r="A362" s="16"/>
      <c r="B362" s="16"/>
      <c r="C362" s="16"/>
      <c r="D362" s="16"/>
      <c r="E362" s="16"/>
      <c r="F362" s="109"/>
      <c r="G362" s="109"/>
      <c r="H362" s="109"/>
      <c r="I362" s="109"/>
      <c r="J362" s="109"/>
      <c r="K362" s="109"/>
      <c r="L362" s="109"/>
      <c r="M362" s="109"/>
      <c r="N362" s="128"/>
      <c r="O362" s="128"/>
      <c r="P362" s="128"/>
      <c r="Q362" s="155"/>
      <c r="R362" s="128"/>
      <c r="S362" s="128"/>
      <c r="T362" s="128"/>
      <c r="U362" s="109"/>
      <c r="V362" s="109"/>
      <c r="W362" s="109"/>
      <c r="X362" s="109"/>
      <c r="Y362" s="109"/>
      <c r="Z362" s="109"/>
      <c r="AA362" s="16"/>
      <c r="AB362" s="16"/>
      <c r="AC362" s="16"/>
      <c r="AD362" s="16"/>
      <c r="AE362" s="16"/>
      <c r="AF362" s="16"/>
      <c r="AG362" s="16"/>
      <c r="AH362" s="16"/>
      <c r="AI362" s="16"/>
      <c r="AJ362" s="16"/>
    </row>
    <row r="363" spans="1:36" x14ac:dyDescent="0.2">
      <c r="A363" s="16"/>
      <c r="B363" s="16"/>
      <c r="C363" s="16"/>
      <c r="D363" s="16"/>
      <c r="E363" s="16"/>
      <c r="F363" s="109"/>
      <c r="G363" s="109"/>
      <c r="H363" s="109"/>
      <c r="I363" s="109"/>
      <c r="J363" s="109"/>
      <c r="K363" s="109"/>
      <c r="L363" s="109"/>
      <c r="M363" s="109"/>
      <c r="N363" s="128"/>
      <c r="O363" s="128"/>
      <c r="P363" s="128"/>
      <c r="Q363" s="155"/>
      <c r="R363" s="128"/>
      <c r="S363" s="128"/>
      <c r="T363" s="128"/>
      <c r="U363" s="109"/>
      <c r="V363" s="109"/>
      <c r="W363" s="109"/>
      <c r="X363" s="109"/>
      <c r="Y363" s="109"/>
      <c r="Z363" s="109"/>
      <c r="AA363" s="16"/>
      <c r="AB363" s="16"/>
      <c r="AC363" s="16"/>
      <c r="AD363" s="16"/>
      <c r="AE363" s="16"/>
      <c r="AF363" s="16"/>
      <c r="AG363" s="16"/>
      <c r="AH363" s="16"/>
      <c r="AI363" s="16"/>
      <c r="AJ363" s="16"/>
    </row>
    <row r="364" spans="1:36" x14ac:dyDescent="0.2">
      <c r="A364" s="16"/>
      <c r="B364" s="16"/>
      <c r="C364" s="16"/>
      <c r="D364" s="16"/>
      <c r="E364" s="16"/>
      <c r="F364" s="109"/>
      <c r="G364" s="109"/>
      <c r="H364" s="109"/>
      <c r="I364" s="109"/>
      <c r="J364" s="109"/>
      <c r="K364" s="109"/>
      <c r="L364" s="109"/>
      <c r="M364" s="109"/>
      <c r="N364" s="128"/>
      <c r="O364" s="128"/>
      <c r="P364" s="128"/>
      <c r="Q364" s="155"/>
      <c r="R364" s="128"/>
      <c r="S364" s="128"/>
      <c r="T364" s="128"/>
      <c r="U364" s="109"/>
      <c r="V364" s="109"/>
      <c r="W364" s="109"/>
      <c r="X364" s="109"/>
      <c r="Y364" s="109"/>
      <c r="Z364" s="109"/>
      <c r="AA364" s="16"/>
      <c r="AB364" s="16"/>
      <c r="AC364" s="16"/>
      <c r="AD364" s="16"/>
      <c r="AE364" s="16"/>
      <c r="AF364" s="16"/>
      <c r="AG364" s="16"/>
      <c r="AH364" s="16"/>
      <c r="AI364" s="16"/>
      <c r="AJ364" s="16"/>
    </row>
    <row r="365" spans="1:36" x14ac:dyDescent="0.2">
      <c r="A365" s="16"/>
      <c r="B365" s="16"/>
      <c r="C365" s="16"/>
      <c r="D365" s="16"/>
      <c r="E365" s="16"/>
      <c r="F365" s="109"/>
      <c r="G365" s="109"/>
      <c r="H365" s="109"/>
      <c r="I365" s="109"/>
      <c r="J365" s="109"/>
      <c r="K365" s="109"/>
      <c r="L365" s="109"/>
      <c r="M365" s="109"/>
      <c r="N365" s="128"/>
      <c r="O365" s="128"/>
      <c r="P365" s="128"/>
      <c r="Q365" s="155"/>
      <c r="R365" s="128"/>
      <c r="S365" s="128"/>
      <c r="T365" s="128"/>
      <c r="U365" s="109"/>
      <c r="V365" s="109"/>
      <c r="W365" s="109"/>
      <c r="X365" s="109"/>
      <c r="Y365" s="109"/>
      <c r="Z365" s="109"/>
      <c r="AA365" s="16"/>
      <c r="AB365" s="16"/>
      <c r="AC365" s="16"/>
      <c r="AD365" s="16"/>
      <c r="AE365" s="16"/>
      <c r="AF365" s="16"/>
      <c r="AG365" s="16"/>
      <c r="AH365" s="16"/>
      <c r="AI365" s="16"/>
      <c r="AJ365" s="16"/>
    </row>
    <row r="366" spans="1:36" x14ac:dyDescent="0.2">
      <c r="A366" s="16"/>
      <c r="B366" s="16"/>
      <c r="C366" s="16"/>
      <c r="D366" s="16"/>
      <c r="E366" s="16"/>
      <c r="F366" s="109"/>
      <c r="G366" s="109"/>
      <c r="H366" s="109"/>
      <c r="I366" s="109"/>
      <c r="J366" s="109"/>
      <c r="K366" s="109"/>
      <c r="L366" s="109"/>
      <c r="M366" s="109"/>
      <c r="N366" s="128"/>
      <c r="O366" s="128"/>
      <c r="P366" s="128"/>
      <c r="Q366" s="155"/>
      <c r="R366" s="128"/>
      <c r="S366" s="128"/>
      <c r="T366" s="128"/>
      <c r="U366" s="109"/>
      <c r="V366" s="109"/>
      <c r="W366" s="109"/>
      <c r="X366" s="109"/>
      <c r="Y366" s="109"/>
      <c r="Z366" s="109"/>
      <c r="AA366" s="16"/>
      <c r="AB366" s="16"/>
      <c r="AC366" s="16"/>
      <c r="AD366" s="16"/>
      <c r="AE366" s="16"/>
      <c r="AF366" s="16"/>
      <c r="AG366" s="16"/>
      <c r="AH366" s="16"/>
      <c r="AI366" s="16"/>
      <c r="AJ366" s="16"/>
    </row>
    <row r="367" spans="1:36" x14ac:dyDescent="0.2">
      <c r="A367" s="16"/>
      <c r="B367" s="16"/>
      <c r="C367" s="16"/>
      <c r="D367" s="16"/>
      <c r="E367" s="16"/>
      <c r="F367" s="109"/>
      <c r="G367" s="109"/>
      <c r="H367" s="109"/>
      <c r="I367" s="109"/>
      <c r="J367" s="109"/>
      <c r="K367" s="109"/>
      <c r="L367" s="109"/>
      <c r="M367" s="109"/>
      <c r="N367" s="128"/>
      <c r="O367" s="128"/>
      <c r="P367" s="128"/>
      <c r="Q367" s="155"/>
      <c r="R367" s="128"/>
      <c r="S367" s="128"/>
      <c r="T367" s="128"/>
      <c r="U367" s="109"/>
      <c r="V367" s="109"/>
      <c r="W367" s="109"/>
      <c r="X367" s="109"/>
      <c r="Y367" s="109"/>
      <c r="Z367" s="109"/>
      <c r="AA367" s="16"/>
      <c r="AB367" s="16"/>
      <c r="AC367" s="16"/>
      <c r="AD367" s="16"/>
      <c r="AE367" s="16"/>
      <c r="AF367" s="16"/>
      <c r="AG367" s="16"/>
      <c r="AH367" s="16"/>
      <c r="AI367" s="16"/>
      <c r="AJ367" s="16"/>
    </row>
    <row r="368" spans="1:36" x14ac:dyDescent="0.2">
      <c r="A368" s="16"/>
      <c r="B368" s="16"/>
      <c r="C368" s="16"/>
      <c r="D368" s="16"/>
      <c r="E368" s="16"/>
      <c r="F368" s="109"/>
      <c r="G368" s="109"/>
      <c r="H368" s="109"/>
      <c r="I368" s="109"/>
      <c r="J368" s="109"/>
      <c r="K368" s="109"/>
      <c r="L368" s="109"/>
      <c r="M368" s="109"/>
      <c r="N368" s="128"/>
      <c r="O368" s="128"/>
      <c r="P368" s="128"/>
      <c r="Q368" s="155"/>
      <c r="R368" s="128"/>
      <c r="S368" s="128"/>
      <c r="T368" s="128"/>
      <c r="U368" s="109"/>
      <c r="V368" s="109"/>
      <c r="W368" s="109"/>
      <c r="X368" s="109"/>
      <c r="Y368" s="109"/>
      <c r="Z368" s="109"/>
      <c r="AA368" s="16"/>
      <c r="AB368" s="16"/>
      <c r="AC368" s="16"/>
      <c r="AD368" s="16"/>
      <c r="AE368" s="16"/>
      <c r="AF368" s="16"/>
      <c r="AG368" s="16"/>
      <c r="AH368" s="16"/>
      <c r="AI368" s="16"/>
      <c r="AJ368" s="16"/>
    </row>
    <row r="369" spans="1:36" x14ac:dyDescent="0.2">
      <c r="A369" s="16"/>
      <c r="B369" s="16"/>
      <c r="C369" s="16"/>
      <c r="D369" s="16"/>
      <c r="E369" s="16"/>
      <c r="F369" s="109"/>
      <c r="G369" s="109"/>
      <c r="H369" s="109"/>
      <c r="I369" s="109"/>
      <c r="J369" s="109"/>
      <c r="K369" s="109"/>
      <c r="L369" s="109"/>
      <c r="M369" s="109"/>
      <c r="N369" s="128"/>
      <c r="O369" s="128"/>
      <c r="P369" s="128"/>
      <c r="Q369" s="155"/>
      <c r="R369" s="128"/>
      <c r="S369" s="128"/>
      <c r="T369" s="128"/>
      <c r="U369" s="109"/>
      <c r="V369" s="109"/>
      <c r="W369" s="109"/>
      <c r="X369" s="109"/>
      <c r="Y369" s="109"/>
      <c r="Z369" s="109"/>
      <c r="AA369" s="16"/>
      <c r="AB369" s="16"/>
      <c r="AC369" s="16"/>
      <c r="AD369" s="16"/>
      <c r="AE369" s="16"/>
      <c r="AF369" s="16"/>
      <c r="AG369" s="16"/>
      <c r="AH369" s="16"/>
      <c r="AI369" s="16"/>
      <c r="AJ369" s="16"/>
    </row>
    <row r="370" spans="1:36" x14ac:dyDescent="0.2">
      <c r="A370" s="16"/>
      <c r="B370" s="16"/>
      <c r="C370" s="16"/>
      <c r="D370" s="16"/>
      <c r="E370" s="16"/>
      <c r="F370" s="109"/>
      <c r="G370" s="109"/>
      <c r="H370" s="109"/>
      <c r="I370" s="109"/>
      <c r="J370" s="109"/>
      <c r="K370" s="109"/>
      <c r="L370" s="109"/>
      <c r="M370" s="109"/>
      <c r="N370" s="128"/>
      <c r="O370" s="128"/>
      <c r="P370" s="128"/>
      <c r="Q370" s="155"/>
      <c r="R370" s="128"/>
      <c r="S370" s="128"/>
      <c r="T370" s="128"/>
      <c r="U370" s="109"/>
      <c r="V370" s="109"/>
      <c r="W370" s="109"/>
      <c r="X370" s="109"/>
      <c r="Y370" s="109"/>
      <c r="Z370" s="109"/>
      <c r="AA370" s="16"/>
      <c r="AB370" s="16"/>
      <c r="AC370" s="16"/>
      <c r="AD370" s="16"/>
      <c r="AE370" s="16"/>
      <c r="AF370" s="16"/>
      <c r="AG370" s="16"/>
      <c r="AH370" s="16"/>
      <c r="AI370" s="16"/>
      <c r="AJ370" s="16"/>
    </row>
    <row r="371" spans="1:36" x14ac:dyDescent="0.2">
      <c r="A371" s="16"/>
      <c r="B371" s="16"/>
      <c r="C371" s="16"/>
      <c r="D371" s="16"/>
      <c r="E371" s="16"/>
      <c r="F371" s="109"/>
      <c r="G371" s="109"/>
      <c r="H371" s="109"/>
      <c r="I371" s="109"/>
      <c r="J371" s="109"/>
      <c r="K371" s="109"/>
      <c r="L371" s="109"/>
      <c r="M371" s="109"/>
      <c r="N371" s="128"/>
      <c r="O371" s="128"/>
      <c r="P371" s="128"/>
      <c r="Q371" s="155"/>
      <c r="R371" s="128"/>
      <c r="S371" s="128"/>
      <c r="T371" s="128"/>
      <c r="U371" s="109"/>
      <c r="V371" s="109"/>
      <c r="W371" s="109"/>
      <c r="X371" s="109"/>
      <c r="Y371" s="109"/>
      <c r="Z371" s="109"/>
      <c r="AA371" s="16"/>
      <c r="AB371" s="16"/>
      <c r="AC371" s="16"/>
      <c r="AD371" s="16"/>
      <c r="AE371" s="16"/>
      <c r="AF371" s="16"/>
      <c r="AG371" s="16"/>
      <c r="AH371" s="16"/>
      <c r="AI371" s="16"/>
      <c r="AJ371" s="16"/>
    </row>
    <row r="372" spans="1:36" x14ac:dyDescent="0.2">
      <c r="A372" s="16"/>
      <c r="B372" s="16"/>
      <c r="C372" s="16"/>
      <c r="D372" s="16"/>
      <c r="E372" s="16"/>
      <c r="F372" s="109"/>
      <c r="G372" s="109"/>
      <c r="H372" s="109"/>
      <c r="I372" s="109"/>
      <c r="J372" s="109"/>
      <c r="K372" s="109"/>
      <c r="L372" s="109"/>
      <c r="M372" s="109"/>
      <c r="N372" s="128"/>
      <c r="O372" s="128"/>
      <c r="P372" s="128"/>
      <c r="Q372" s="155"/>
      <c r="R372" s="128"/>
      <c r="S372" s="128"/>
      <c r="T372" s="128"/>
      <c r="U372" s="109"/>
      <c r="V372" s="109"/>
      <c r="W372" s="109"/>
      <c r="X372" s="109"/>
      <c r="Y372" s="109"/>
      <c r="Z372" s="109"/>
      <c r="AA372" s="16"/>
      <c r="AB372" s="16"/>
      <c r="AC372" s="16"/>
      <c r="AD372" s="16"/>
      <c r="AE372" s="16"/>
      <c r="AF372" s="16"/>
      <c r="AG372" s="16"/>
      <c r="AH372" s="16"/>
      <c r="AI372" s="16"/>
      <c r="AJ372" s="16"/>
    </row>
    <row r="373" spans="1:36" x14ac:dyDescent="0.2">
      <c r="A373" s="16"/>
      <c r="B373" s="16"/>
      <c r="C373" s="16"/>
      <c r="D373" s="16"/>
      <c r="E373" s="16"/>
      <c r="F373" s="109"/>
      <c r="G373" s="109"/>
      <c r="H373" s="109"/>
      <c r="I373" s="109"/>
      <c r="J373" s="109"/>
      <c r="K373" s="109"/>
      <c r="L373" s="109"/>
      <c r="M373" s="109"/>
      <c r="N373" s="128"/>
      <c r="O373" s="128"/>
      <c r="P373" s="128"/>
      <c r="Q373" s="155"/>
      <c r="R373" s="128"/>
      <c r="S373" s="128"/>
      <c r="T373" s="128"/>
      <c r="U373" s="109"/>
      <c r="V373" s="109"/>
      <c r="W373" s="109"/>
      <c r="X373" s="109"/>
      <c r="Y373" s="109"/>
      <c r="Z373" s="109"/>
      <c r="AA373" s="16"/>
      <c r="AB373" s="16"/>
      <c r="AC373" s="16"/>
      <c r="AD373" s="16"/>
      <c r="AE373" s="16"/>
      <c r="AF373" s="16"/>
      <c r="AG373" s="16"/>
      <c r="AH373" s="16"/>
      <c r="AI373" s="16"/>
      <c r="AJ373" s="16"/>
    </row>
    <row r="374" spans="1:36" x14ac:dyDescent="0.2">
      <c r="A374" s="16"/>
      <c r="B374" s="16"/>
      <c r="C374" s="16"/>
      <c r="D374" s="16"/>
      <c r="E374" s="16"/>
      <c r="F374" s="109"/>
      <c r="G374" s="109"/>
      <c r="H374" s="109"/>
      <c r="I374" s="109"/>
      <c r="J374" s="109"/>
      <c r="K374" s="109"/>
      <c r="L374" s="109"/>
      <c r="M374" s="109"/>
      <c r="N374" s="128"/>
      <c r="O374" s="128"/>
      <c r="P374" s="128"/>
      <c r="Q374" s="155"/>
      <c r="R374" s="128"/>
      <c r="S374" s="128"/>
      <c r="T374" s="128"/>
      <c r="U374" s="109"/>
      <c r="V374" s="109"/>
      <c r="W374" s="109"/>
      <c r="X374" s="109"/>
      <c r="Y374" s="109"/>
      <c r="Z374" s="109"/>
      <c r="AA374" s="16"/>
      <c r="AB374" s="16"/>
      <c r="AC374" s="16"/>
      <c r="AD374" s="16"/>
      <c r="AE374" s="16"/>
      <c r="AF374" s="16"/>
      <c r="AG374" s="16"/>
      <c r="AH374" s="16"/>
      <c r="AI374" s="16"/>
      <c r="AJ374" s="16"/>
    </row>
    <row r="375" spans="1:36" x14ac:dyDescent="0.2">
      <c r="A375" s="16"/>
      <c r="B375" s="16"/>
      <c r="C375" s="16"/>
      <c r="D375" s="16"/>
      <c r="E375" s="16"/>
      <c r="F375" s="109"/>
      <c r="G375" s="109"/>
      <c r="H375" s="109"/>
      <c r="I375" s="109"/>
      <c r="J375" s="109"/>
      <c r="K375" s="109"/>
      <c r="L375" s="109"/>
      <c r="M375" s="109"/>
      <c r="N375" s="128"/>
      <c r="O375" s="128"/>
      <c r="P375" s="128"/>
      <c r="Q375" s="155"/>
      <c r="R375" s="128"/>
      <c r="S375" s="128"/>
      <c r="T375" s="128"/>
      <c r="U375" s="109"/>
      <c r="V375" s="109"/>
      <c r="W375" s="109"/>
      <c r="X375" s="109"/>
      <c r="Y375" s="109"/>
      <c r="Z375" s="109"/>
      <c r="AA375" s="16"/>
      <c r="AB375" s="16"/>
      <c r="AC375" s="16"/>
      <c r="AD375" s="16"/>
      <c r="AE375" s="16"/>
      <c r="AF375" s="16"/>
      <c r="AG375" s="16"/>
      <c r="AH375" s="16"/>
      <c r="AI375" s="16"/>
      <c r="AJ375" s="16"/>
    </row>
    <row r="376" spans="1:36" x14ac:dyDescent="0.2">
      <c r="A376" s="16"/>
      <c r="B376" s="16"/>
      <c r="C376" s="16"/>
      <c r="D376" s="16"/>
      <c r="E376" s="16"/>
      <c r="F376" s="109"/>
      <c r="G376" s="109"/>
      <c r="H376" s="109"/>
      <c r="I376" s="109"/>
      <c r="J376" s="109"/>
      <c r="K376" s="109"/>
      <c r="L376" s="109"/>
      <c r="M376" s="109"/>
      <c r="N376" s="128"/>
      <c r="O376" s="128"/>
      <c r="P376" s="128"/>
      <c r="Q376" s="155"/>
      <c r="R376" s="128"/>
      <c r="S376" s="128"/>
      <c r="T376" s="128"/>
      <c r="U376" s="109"/>
      <c r="V376" s="109"/>
      <c r="W376" s="109"/>
      <c r="X376" s="109"/>
      <c r="Y376" s="109"/>
      <c r="Z376" s="109"/>
      <c r="AA376" s="16"/>
      <c r="AB376" s="16"/>
      <c r="AC376" s="16"/>
      <c r="AD376" s="16"/>
      <c r="AE376" s="16"/>
      <c r="AF376" s="16"/>
      <c r="AG376" s="16"/>
      <c r="AH376" s="16"/>
      <c r="AI376" s="16"/>
      <c r="AJ376" s="16"/>
    </row>
    <row r="377" spans="1:36" x14ac:dyDescent="0.2">
      <c r="A377" s="16"/>
      <c r="B377" s="16"/>
      <c r="C377" s="16"/>
      <c r="D377" s="16"/>
      <c r="E377" s="16"/>
      <c r="F377" s="109"/>
      <c r="G377" s="109"/>
      <c r="H377" s="109"/>
      <c r="I377" s="109"/>
      <c r="J377" s="109"/>
      <c r="K377" s="109"/>
      <c r="L377" s="109"/>
      <c r="M377" s="109"/>
      <c r="N377" s="128"/>
      <c r="O377" s="128"/>
      <c r="P377" s="128"/>
      <c r="Q377" s="155"/>
      <c r="R377" s="128"/>
      <c r="S377" s="128"/>
      <c r="T377" s="128"/>
      <c r="U377" s="109"/>
      <c r="V377" s="109"/>
      <c r="W377" s="109"/>
      <c r="X377" s="109"/>
      <c r="Y377" s="109"/>
      <c r="Z377" s="109"/>
      <c r="AA377" s="16"/>
      <c r="AB377" s="16"/>
      <c r="AC377" s="16"/>
      <c r="AD377" s="16"/>
      <c r="AE377" s="16"/>
      <c r="AF377" s="16"/>
      <c r="AG377" s="16"/>
      <c r="AH377" s="16"/>
      <c r="AI377" s="16"/>
      <c r="AJ377" s="16"/>
    </row>
    <row r="378" spans="1:36" x14ac:dyDescent="0.2">
      <c r="A378" s="16"/>
      <c r="B378" s="16"/>
      <c r="C378" s="16"/>
      <c r="D378" s="16"/>
      <c r="E378" s="16"/>
      <c r="F378" s="109"/>
      <c r="G378" s="109"/>
      <c r="H378" s="109"/>
      <c r="I378" s="109"/>
      <c r="J378" s="109"/>
      <c r="K378" s="109"/>
      <c r="L378" s="109"/>
      <c r="M378" s="109"/>
      <c r="N378" s="128"/>
      <c r="O378" s="128"/>
      <c r="P378" s="128"/>
      <c r="Q378" s="155"/>
      <c r="R378" s="128"/>
      <c r="S378" s="128"/>
      <c r="T378" s="128"/>
      <c r="U378" s="109"/>
      <c r="V378" s="109"/>
      <c r="W378" s="109"/>
      <c r="X378" s="109"/>
      <c r="Y378" s="109"/>
      <c r="Z378" s="109"/>
      <c r="AA378" s="16"/>
      <c r="AB378" s="16"/>
      <c r="AC378" s="16"/>
      <c r="AD378" s="16"/>
      <c r="AE378" s="16"/>
      <c r="AF378" s="16"/>
      <c r="AG378" s="16"/>
      <c r="AH378" s="16"/>
      <c r="AI378" s="16"/>
      <c r="AJ378" s="16"/>
    </row>
    <row r="379" spans="1:36" x14ac:dyDescent="0.2">
      <c r="A379" s="16"/>
      <c r="B379" s="16"/>
      <c r="C379" s="16"/>
      <c r="D379" s="16"/>
      <c r="E379" s="16"/>
      <c r="F379" s="109"/>
      <c r="G379" s="109"/>
      <c r="H379" s="109"/>
      <c r="I379" s="109"/>
      <c r="J379" s="109"/>
      <c r="K379" s="109"/>
      <c r="L379" s="109"/>
      <c r="M379" s="109"/>
      <c r="N379" s="128"/>
      <c r="O379" s="128"/>
      <c r="P379" s="128"/>
      <c r="Q379" s="155"/>
      <c r="R379" s="128"/>
      <c r="S379" s="128"/>
      <c r="T379" s="128"/>
      <c r="U379" s="109"/>
      <c r="V379" s="109"/>
      <c r="W379" s="109"/>
      <c r="X379" s="109"/>
      <c r="Y379" s="109"/>
      <c r="Z379" s="109"/>
      <c r="AA379" s="16"/>
      <c r="AB379" s="16"/>
      <c r="AC379" s="16"/>
      <c r="AD379" s="16"/>
      <c r="AE379" s="16"/>
      <c r="AF379" s="16"/>
      <c r="AG379" s="16"/>
      <c r="AH379" s="16"/>
      <c r="AI379" s="16"/>
      <c r="AJ379" s="16"/>
    </row>
    <row r="380" spans="1:36" x14ac:dyDescent="0.2">
      <c r="A380" s="16"/>
      <c r="B380" s="16"/>
      <c r="C380" s="16"/>
      <c r="D380" s="16"/>
      <c r="E380" s="16"/>
      <c r="F380" s="109"/>
      <c r="G380" s="109"/>
      <c r="H380" s="109"/>
      <c r="I380" s="109"/>
      <c r="J380" s="109"/>
      <c r="K380" s="109"/>
      <c r="L380" s="109"/>
      <c r="M380" s="109"/>
      <c r="N380" s="128"/>
      <c r="O380" s="128"/>
      <c r="P380" s="128"/>
      <c r="Q380" s="155"/>
      <c r="R380" s="128"/>
      <c r="S380" s="128"/>
      <c r="T380" s="128"/>
      <c r="U380" s="109"/>
      <c r="V380" s="109"/>
      <c r="W380" s="109"/>
      <c r="X380" s="109"/>
      <c r="Y380" s="109"/>
      <c r="Z380" s="109"/>
      <c r="AA380" s="16"/>
      <c r="AB380" s="16"/>
      <c r="AC380" s="16"/>
      <c r="AD380" s="16"/>
      <c r="AE380" s="16"/>
      <c r="AF380" s="16"/>
      <c r="AG380" s="16"/>
      <c r="AH380" s="16"/>
      <c r="AI380" s="16"/>
      <c r="AJ380" s="16"/>
    </row>
    <row r="381" spans="1:36" x14ac:dyDescent="0.2">
      <c r="A381" s="16"/>
      <c r="B381" s="16"/>
      <c r="C381" s="16"/>
      <c r="D381" s="16"/>
      <c r="E381" s="16"/>
      <c r="F381" s="109"/>
      <c r="G381" s="109"/>
      <c r="H381" s="109"/>
      <c r="I381" s="109"/>
      <c r="J381" s="109"/>
      <c r="K381" s="109"/>
      <c r="L381" s="109"/>
      <c r="M381" s="109"/>
      <c r="N381" s="128"/>
      <c r="O381" s="128"/>
      <c r="P381" s="128"/>
      <c r="Q381" s="155"/>
      <c r="R381" s="128"/>
      <c r="S381" s="128"/>
      <c r="T381" s="128"/>
      <c r="U381" s="109"/>
      <c r="V381" s="109"/>
      <c r="W381" s="109"/>
      <c r="X381" s="109"/>
      <c r="Y381" s="109"/>
      <c r="Z381" s="109"/>
      <c r="AA381" s="16"/>
      <c r="AB381" s="16"/>
      <c r="AC381" s="16"/>
      <c r="AD381" s="16"/>
      <c r="AE381" s="16"/>
      <c r="AF381" s="16"/>
      <c r="AG381" s="16"/>
      <c r="AH381" s="16"/>
      <c r="AI381" s="16"/>
      <c r="AJ381" s="16"/>
    </row>
    <row r="382" spans="1:36" x14ac:dyDescent="0.2">
      <c r="A382" s="16"/>
      <c r="B382" s="16"/>
      <c r="C382" s="16"/>
      <c r="D382" s="16"/>
      <c r="E382" s="16"/>
      <c r="F382" s="109"/>
      <c r="G382" s="109"/>
      <c r="H382" s="109"/>
      <c r="I382" s="109"/>
      <c r="J382" s="109"/>
      <c r="K382" s="109"/>
      <c r="L382" s="109"/>
      <c r="M382" s="109"/>
      <c r="N382" s="128"/>
      <c r="O382" s="128"/>
      <c r="P382" s="128"/>
      <c r="Q382" s="155"/>
      <c r="R382" s="128"/>
      <c r="S382" s="128"/>
      <c r="T382" s="128"/>
      <c r="U382" s="109"/>
      <c r="V382" s="109"/>
      <c r="W382" s="109"/>
      <c r="X382" s="109"/>
      <c r="Y382" s="109"/>
      <c r="Z382" s="109"/>
      <c r="AA382" s="16"/>
      <c r="AB382" s="16"/>
      <c r="AC382" s="16"/>
      <c r="AD382" s="16"/>
      <c r="AE382" s="16"/>
      <c r="AF382" s="16"/>
      <c r="AG382" s="16"/>
      <c r="AH382" s="16"/>
      <c r="AI382" s="16"/>
      <c r="AJ382" s="16"/>
    </row>
    <row r="383" spans="1:36" x14ac:dyDescent="0.2">
      <c r="A383" s="16"/>
      <c r="B383" s="16"/>
      <c r="C383" s="16"/>
      <c r="D383" s="16"/>
      <c r="E383" s="16"/>
      <c r="F383" s="109"/>
      <c r="G383" s="109"/>
      <c r="H383" s="109"/>
      <c r="I383" s="109"/>
      <c r="J383" s="109"/>
      <c r="K383" s="109"/>
      <c r="L383" s="109"/>
      <c r="M383" s="109"/>
      <c r="N383" s="128"/>
      <c r="O383" s="128"/>
      <c r="P383" s="128"/>
      <c r="Q383" s="155"/>
      <c r="R383" s="128"/>
      <c r="S383" s="128"/>
      <c r="T383" s="128"/>
      <c r="U383" s="109"/>
      <c r="V383" s="109"/>
      <c r="W383" s="109"/>
      <c r="X383" s="109"/>
      <c r="Y383" s="109"/>
      <c r="Z383" s="109"/>
      <c r="AA383" s="16"/>
      <c r="AB383" s="16"/>
      <c r="AC383" s="16"/>
      <c r="AD383" s="16"/>
      <c r="AE383" s="16"/>
      <c r="AF383" s="16"/>
      <c r="AG383" s="16"/>
      <c r="AH383" s="16"/>
      <c r="AI383" s="16"/>
      <c r="AJ383" s="16"/>
    </row>
    <row r="384" spans="1:36" x14ac:dyDescent="0.2">
      <c r="A384" s="16"/>
      <c r="B384" s="16"/>
      <c r="C384" s="16"/>
      <c r="D384" s="16"/>
      <c r="E384" s="16"/>
      <c r="F384" s="109"/>
      <c r="G384" s="109"/>
      <c r="H384" s="109"/>
      <c r="I384" s="109"/>
      <c r="J384" s="109"/>
      <c r="K384" s="109"/>
      <c r="L384" s="109"/>
      <c r="M384" s="109"/>
      <c r="N384" s="128"/>
      <c r="O384" s="128"/>
      <c r="P384" s="128"/>
      <c r="Q384" s="155"/>
      <c r="R384" s="128"/>
      <c r="S384" s="128"/>
      <c r="T384" s="128"/>
      <c r="U384" s="109"/>
      <c r="V384" s="109"/>
      <c r="W384" s="109"/>
      <c r="X384" s="109"/>
      <c r="Y384" s="109"/>
      <c r="Z384" s="109"/>
      <c r="AA384" s="16"/>
      <c r="AB384" s="16"/>
      <c r="AC384" s="16"/>
      <c r="AD384" s="16"/>
      <c r="AE384" s="16"/>
      <c r="AF384" s="16"/>
      <c r="AG384" s="16"/>
      <c r="AH384" s="16"/>
      <c r="AI384" s="16"/>
      <c r="AJ384" s="16"/>
    </row>
    <row r="385" spans="1:36" x14ac:dyDescent="0.2">
      <c r="A385" s="16"/>
      <c r="B385" s="16"/>
      <c r="C385" s="16"/>
      <c r="D385" s="16"/>
      <c r="E385" s="16"/>
      <c r="F385" s="109"/>
      <c r="G385" s="109"/>
      <c r="H385" s="109"/>
      <c r="I385" s="109"/>
      <c r="J385" s="109"/>
      <c r="K385" s="109"/>
      <c r="L385" s="109"/>
      <c r="M385" s="109"/>
      <c r="N385" s="128"/>
      <c r="O385" s="128"/>
      <c r="P385" s="128"/>
      <c r="Q385" s="155"/>
      <c r="R385" s="128"/>
      <c r="S385" s="128"/>
      <c r="T385" s="128"/>
      <c r="U385" s="109"/>
      <c r="V385" s="109"/>
      <c r="W385" s="109"/>
      <c r="X385" s="109"/>
      <c r="Y385" s="109"/>
      <c r="Z385" s="109"/>
      <c r="AA385" s="16"/>
      <c r="AB385" s="16"/>
      <c r="AC385" s="16"/>
      <c r="AD385" s="16"/>
      <c r="AE385" s="16"/>
      <c r="AF385" s="16"/>
      <c r="AG385" s="16"/>
      <c r="AH385" s="16"/>
      <c r="AI385" s="16"/>
      <c r="AJ385" s="16"/>
    </row>
    <row r="386" spans="1:36" x14ac:dyDescent="0.2">
      <c r="A386" s="16"/>
      <c r="B386" s="16"/>
      <c r="C386" s="16"/>
      <c r="D386" s="16"/>
      <c r="E386" s="16"/>
      <c r="F386" s="109"/>
      <c r="G386" s="109"/>
      <c r="H386" s="109"/>
      <c r="I386" s="109"/>
      <c r="J386" s="109"/>
      <c r="K386" s="109"/>
      <c r="L386" s="109"/>
      <c r="M386" s="109"/>
      <c r="N386" s="128"/>
      <c r="O386" s="128"/>
      <c r="P386" s="128"/>
      <c r="Q386" s="155"/>
      <c r="R386" s="128"/>
      <c r="S386" s="128"/>
      <c r="T386" s="128"/>
      <c r="U386" s="109"/>
      <c r="V386" s="109"/>
      <c r="W386" s="109"/>
      <c r="X386" s="109"/>
      <c r="Y386" s="109"/>
      <c r="Z386" s="109"/>
      <c r="AA386" s="16"/>
      <c r="AB386" s="16"/>
      <c r="AC386" s="16"/>
      <c r="AD386" s="16"/>
      <c r="AE386" s="16"/>
      <c r="AF386" s="16"/>
      <c r="AG386" s="16"/>
      <c r="AH386" s="16"/>
      <c r="AI386" s="16"/>
      <c r="AJ386" s="16"/>
    </row>
    <row r="387" spans="1:36" x14ac:dyDescent="0.2">
      <c r="A387" s="16"/>
      <c r="B387" s="16"/>
      <c r="C387" s="16"/>
      <c r="D387" s="16"/>
      <c r="E387" s="16"/>
      <c r="F387" s="109"/>
      <c r="G387" s="109"/>
      <c r="H387" s="109"/>
      <c r="I387" s="109"/>
      <c r="J387" s="109"/>
      <c r="K387" s="109"/>
      <c r="L387" s="109"/>
      <c r="M387" s="109"/>
      <c r="N387" s="128"/>
      <c r="O387" s="128"/>
      <c r="P387" s="128"/>
      <c r="Q387" s="155"/>
      <c r="R387" s="128"/>
      <c r="S387" s="128"/>
      <c r="T387" s="128"/>
      <c r="U387" s="109"/>
      <c r="V387" s="109"/>
      <c r="W387" s="109"/>
      <c r="X387" s="109"/>
      <c r="Y387" s="109"/>
      <c r="Z387" s="109"/>
      <c r="AA387" s="16"/>
      <c r="AB387" s="16"/>
      <c r="AC387" s="16"/>
      <c r="AD387" s="16"/>
      <c r="AE387" s="16"/>
      <c r="AF387" s="16"/>
      <c r="AG387" s="16"/>
      <c r="AH387" s="16"/>
      <c r="AI387" s="16"/>
      <c r="AJ387" s="16"/>
    </row>
    <row r="388" spans="1:36" x14ac:dyDescent="0.2">
      <c r="A388" s="16"/>
      <c r="B388" s="16"/>
      <c r="C388" s="16"/>
      <c r="D388" s="16"/>
      <c r="E388" s="16"/>
      <c r="F388" s="109"/>
      <c r="G388" s="109"/>
      <c r="H388" s="109"/>
      <c r="I388" s="109"/>
      <c r="J388" s="109"/>
      <c r="K388" s="109"/>
      <c r="L388" s="109"/>
      <c r="M388" s="109"/>
      <c r="N388" s="128"/>
      <c r="O388" s="128"/>
      <c r="P388" s="128"/>
      <c r="Q388" s="155"/>
      <c r="R388" s="128"/>
      <c r="S388" s="128"/>
      <c r="T388" s="128"/>
      <c r="U388" s="109"/>
      <c r="V388" s="109"/>
      <c r="W388" s="109"/>
      <c r="X388" s="109"/>
      <c r="Y388" s="109"/>
      <c r="Z388" s="109"/>
      <c r="AA388" s="16"/>
      <c r="AB388" s="16"/>
      <c r="AC388" s="16"/>
      <c r="AD388" s="16"/>
      <c r="AE388" s="16"/>
      <c r="AF388" s="16"/>
      <c r="AG388" s="16"/>
      <c r="AH388" s="16"/>
      <c r="AI388" s="16"/>
      <c r="AJ388" s="16"/>
    </row>
    <row r="389" spans="1:36" x14ac:dyDescent="0.2">
      <c r="A389" s="16"/>
      <c r="B389" s="16"/>
      <c r="C389" s="16"/>
      <c r="D389" s="16"/>
      <c r="E389" s="16"/>
      <c r="F389" s="109"/>
      <c r="G389" s="109"/>
      <c r="H389" s="109"/>
      <c r="I389" s="109"/>
      <c r="J389" s="109"/>
      <c r="K389" s="109"/>
      <c r="L389" s="109"/>
      <c r="M389" s="109"/>
      <c r="N389" s="128"/>
      <c r="O389" s="128"/>
      <c r="P389" s="128"/>
      <c r="Q389" s="155"/>
      <c r="R389" s="128"/>
      <c r="S389" s="128"/>
      <c r="T389" s="128"/>
      <c r="U389" s="109"/>
      <c r="V389" s="109"/>
      <c r="W389" s="109"/>
      <c r="X389" s="109"/>
      <c r="Y389" s="109"/>
      <c r="Z389" s="109"/>
      <c r="AA389" s="16"/>
      <c r="AB389" s="16"/>
      <c r="AC389" s="16"/>
      <c r="AD389" s="16"/>
      <c r="AE389" s="16"/>
      <c r="AF389" s="16"/>
      <c r="AG389" s="16"/>
      <c r="AH389" s="16"/>
      <c r="AI389" s="16"/>
      <c r="AJ389" s="16"/>
    </row>
    <row r="390" spans="1:36" x14ac:dyDescent="0.2">
      <c r="A390" s="16"/>
      <c r="B390" s="16"/>
      <c r="C390" s="16"/>
      <c r="D390" s="16"/>
      <c r="E390" s="16"/>
      <c r="F390" s="109"/>
      <c r="G390" s="109"/>
      <c r="H390" s="109"/>
      <c r="I390" s="109"/>
      <c r="J390" s="109"/>
      <c r="K390" s="109"/>
      <c r="L390" s="109"/>
      <c r="M390" s="109"/>
      <c r="N390" s="128"/>
      <c r="O390" s="128"/>
      <c r="P390" s="128"/>
      <c r="Q390" s="155"/>
      <c r="R390" s="128"/>
      <c r="S390" s="128"/>
      <c r="T390" s="128"/>
      <c r="U390" s="109"/>
      <c r="V390" s="109"/>
      <c r="W390" s="109"/>
      <c r="X390" s="109"/>
      <c r="Y390" s="109"/>
      <c r="Z390" s="109"/>
      <c r="AA390" s="16"/>
      <c r="AB390" s="16"/>
      <c r="AC390" s="16"/>
      <c r="AD390" s="16"/>
      <c r="AE390" s="16"/>
      <c r="AF390" s="16"/>
      <c r="AG390" s="16"/>
      <c r="AH390" s="16"/>
      <c r="AI390" s="16"/>
      <c r="AJ390" s="16"/>
    </row>
    <row r="391" spans="1:36" x14ac:dyDescent="0.2">
      <c r="A391" s="16"/>
      <c r="B391" s="16"/>
      <c r="C391" s="16"/>
      <c r="D391" s="16"/>
      <c r="E391" s="16"/>
      <c r="F391" s="109"/>
      <c r="G391" s="109"/>
      <c r="H391" s="109"/>
      <c r="I391" s="109"/>
      <c r="J391" s="109"/>
      <c r="K391" s="109"/>
      <c r="L391" s="109"/>
      <c r="M391" s="109"/>
      <c r="N391" s="128"/>
      <c r="O391" s="128"/>
      <c r="P391" s="128"/>
      <c r="Q391" s="155"/>
      <c r="R391" s="128"/>
      <c r="S391" s="128"/>
      <c r="T391" s="128"/>
      <c r="U391" s="109"/>
      <c r="V391" s="109"/>
      <c r="W391" s="109"/>
      <c r="X391" s="109"/>
      <c r="Y391" s="109"/>
      <c r="Z391" s="109"/>
      <c r="AA391" s="16"/>
      <c r="AB391" s="16"/>
      <c r="AC391" s="16"/>
      <c r="AD391" s="16"/>
      <c r="AE391" s="16"/>
      <c r="AF391" s="16"/>
      <c r="AG391" s="16"/>
      <c r="AH391" s="16"/>
      <c r="AI391" s="16"/>
      <c r="AJ391" s="16"/>
    </row>
    <row r="392" spans="1:36" x14ac:dyDescent="0.2">
      <c r="A392" s="16"/>
      <c r="B392" s="16"/>
      <c r="C392" s="16"/>
      <c r="D392" s="16"/>
      <c r="E392" s="16"/>
      <c r="F392" s="109"/>
      <c r="G392" s="109"/>
      <c r="H392" s="109"/>
      <c r="I392" s="109"/>
      <c r="J392" s="109"/>
      <c r="K392" s="109"/>
      <c r="L392" s="109"/>
      <c r="M392" s="109"/>
      <c r="N392" s="128"/>
      <c r="O392" s="128"/>
      <c r="P392" s="128"/>
      <c r="Q392" s="155"/>
      <c r="R392" s="128"/>
      <c r="S392" s="128"/>
      <c r="T392" s="128"/>
      <c r="U392" s="109"/>
      <c r="V392" s="109"/>
      <c r="W392" s="109"/>
      <c r="X392" s="109"/>
      <c r="Y392" s="109"/>
      <c r="Z392" s="109"/>
      <c r="AA392" s="16"/>
      <c r="AB392" s="16"/>
      <c r="AC392" s="16"/>
      <c r="AD392" s="16"/>
      <c r="AE392" s="16"/>
      <c r="AF392" s="16"/>
      <c r="AG392" s="16"/>
      <c r="AH392" s="16"/>
      <c r="AI392" s="16"/>
      <c r="AJ392" s="16"/>
    </row>
    <row r="393" spans="1:36" x14ac:dyDescent="0.2">
      <c r="A393" s="16"/>
      <c r="B393" s="16"/>
      <c r="C393" s="16"/>
      <c r="D393" s="16"/>
      <c r="E393" s="16"/>
      <c r="F393" s="109"/>
      <c r="G393" s="109"/>
      <c r="H393" s="109"/>
      <c r="I393" s="109"/>
      <c r="J393" s="109"/>
      <c r="K393" s="109"/>
      <c r="L393" s="109"/>
      <c r="M393" s="109"/>
      <c r="N393" s="128"/>
      <c r="O393" s="128"/>
      <c r="P393" s="128"/>
      <c r="Q393" s="155"/>
      <c r="R393" s="128"/>
      <c r="S393" s="128"/>
      <c r="T393" s="128"/>
      <c r="U393" s="109"/>
      <c r="V393" s="109"/>
      <c r="W393" s="109"/>
      <c r="X393" s="109"/>
      <c r="Y393" s="109"/>
      <c r="Z393" s="109"/>
      <c r="AA393" s="16"/>
      <c r="AB393" s="16"/>
      <c r="AC393" s="16"/>
      <c r="AD393" s="16"/>
      <c r="AE393" s="16"/>
      <c r="AF393" s="16"/>
      <c r="AG393" s="16"/>
      <c r="AH393" s="16"/>
      <c r="AI393" s="16"/>
      <c r="AJ393" s="16"/>
    </row>
    <row r="394" spans="1:36" x14ac:dyDescent="0.2">
      <c r="A394" s="16"/>
      <c r="B394" s="16"/>
      <c r="C394" s="16"/>
      <c r="D394" s="16"/>
      <c r="E394" s="16"/>
      <c r="F394" s="109"/>
      <c r="G394" s="109"/>
      <c r="H394" s="109"/>
      <c r="I394" s="109"/>
      <c r="J394" s="109"/>
      <c r="K394" s="109"/>
      <c r="L394" s="109"/>
      <c r="M394" s="109"/>
      <c r="N394" s="128"/>
      <c r="O394" s="128"/>
      <c r="P394" s="128"/>
      <c r="Q394" s="155"/>
      <c r="R394" s="128"/>
      <c r="S394" s="128"/>
      <c r="T394" s="128"/>
      <c r="U394" s="109"/>
      <c r="V394" s="109"/>
      <c r="W394" s="109"/>
      <c r="X394" s="109"/>
      <c r="Y394" s="109"/>
      <c r="Z394" s="109"/>
      <c r="AA394" s="16"/>
      <c r="AB394" s="16"/>
      <c r="AC394" s="16"/>
      <c r="AD394" s="16"/>
      <c r="AE394" s="16"/>
      <c r="AF394" s="16"/>
      <c r="AG394" s="16"/>
      <c r="AH394" s="16"/>
      <c r="AI394" s="16"/>
      <c r="AJ394" s="16"/>
    </row>
    <row r="395" spans="1:36" x14ac:dyDescent="0.2">
      <c r="A395" s="16"/>
      <c r="B395" s="16"/>
      <c r="C395" s="16"/>
      <c r="D395" s="16"/>
      <c r="E395" s="16"/>
      <c r="F395" s="109"/>
      <c r="G395" s="109"/>
      <c r="H395" s="109"/>
      <c r="I395" s="109"/>
      <c r="J395" s="109"/>
      <c r="K395" s="109"/>
      <c r="L395" s="109"/>
      <c r="M395" s="109"/>
      <c r="N395" s="128"/>
      <c r="O395" s="128"/>
      <c r="P395" s="128"/>
      <c r="Q395" s="155"/>
      <c r="R395" s="128"/>
      <c r="S395" s="128"/>
      <c r="T395" s="128"/>
      <c r="U395" s="109"/>
      <c r="V395" s="109"/>
      <c r="W395" s="109"/>
      <c r="X395" s="109"/>
      <c r="Y395" s="109"/>
      <c r="Z395" s="109"/>
      <c r="AA395" s="16"/>
      <c r="AB395" s="16"/>
      <c r="AC395" s="16"/>
      <c r="AD395" s="16"/>
      <c r="AE395" s="16"/>
      <c r="AF395" s="16"/>
      <c r="AG395" s="16"/>
      <c r="AH395" s="16"/>
      <c r="AI395" s="16"/>
      <c r="AJ395" s="16"/>
    </row>
    <row r="396" spans="1:36" x14ac:dyDescent="0.2">
      <c r="A396" s="16"/>
      <c r="B396" s="16"/>
      <c r="C396" s="16"/>
      <c r="D396" s="16"/>
      <c r="E396" s="16"/>
      <c r="F396" s="109"/>
      <c r="G396" s="109"/>
      <c r="H396" s="109"/>
      <c r="I396" s="109"/>
      <c r="J396" s="109"/>
      <c r="K396" s="109"/>
      <c r="L396" s="109"/>
      <c r="M396" s="109"/>
      <c r="N396" s="128"/>
      <c r="O396" s="128"/>
      <c r="P396" s="128"/>
      <c r="Q396" s="155"/>
      <c r="R396" s="128"/>
      <c r="S396" s="128"/>
      <c r="T396" s="128"/>
      <c r="U396" s="109"/>
      <c r="V396" s="109"/>
      <c r="W396" s="109"/>
      <c r="X396" s="109"/>
      <c r="Y396" s="109"/>
      <c r="Z396" s="109"/>
      <c r="AA396" s="16"/>
      <c r="AB396" s="16"/>
      <c r="AC396" s="16"/>
      <c r="AD396" s="16"/>
      <c r="AE396" s="16"/>
      <c r="AF396" s="16"/>
      <c r="AG396" s="16"/>
      <c r="AH396" s="16"/>
      <c r="AI396" s="16"/>
      <c r="AJ396" s="16"/>
    </row>
    <row r="397" spans="1:36" x14ac:dyDescent="0.2">
      <c r="A397" s="16"/>
      <c r="B397" s="16"/>
      <c r="C397" s="16"/>
      <c r="D397" s="16"/>
      <c r="E397" s="16"/>
      <c r="F397" s="109"/>
      <c r="G397" s="109"/>
      <c r="H397" s="109"/>
      <c r="I397" s="109"/>
      <c r="J397" s="109"/>
      <c r="K397" s="109"/>
      <c r="L397" s="109"/>
      <c r="M397" s="109"/>
      <c r="N397" s="128"/>
      <c r="O397" s="128"/>
      <c r="P397" s="128"/>
      <c r="Q397" s="155"/>
      <c r="R397" s="128"/>
      <c r="S397" s="128"/>
      <c r="T397" s="128"/>
      <c r="U397" s="109"/>
      <c r="V397" s="109"/>
      <c r="W397" s="109"/>
      <c r="X397" s="109"/>
      <c r="Y397" s="109"/>
      <c r="Z397" s="109"/>
      <c r="AA397" s="16"/>
      <c r="AB397" s="16"/>
      <c r="AC397" s="16"/>
      <c r="AD397" s="16"/>
      <c r="AE397" s="16"/>
      <c r="AF397" s="16"/>
      <c r="AG397" s="16"/>
      <c r="AH397" s="16"/>
      <c r="AI397" s="16"/>
      <c r="AJ397" s="16"/>
    </row>
    <row r="398" spans="1:36" x14ac:dyDescent="0.2">
      <c r="A398" s="16"/>
      <c r="B398" s="16"/>
      <c r="C398" s="16"/>
      <c r="D398" s="16"/>
      <c r="E398" s="16"/>
      <c r="F398" s="109"/>
      <c r="G398" s="109"/>
      <c r="H398" s="109"/>
      <c r="I398" s="109"/>
      <c r="J398" s="109"/>
      <c r="K398" s="109"/>
      <c r="L398" s="109"/>
      <c r="M398" s="109"/>
      <c r="N398" s="128"/>
      <c r="O398" s="128"/>
      <c r="P398" s="128"/>
      <c r="Q398" s="155"/>
      <c r="R398" s="128"/>
      <c r="S398" s="128"/>
      <c r="T398" s="128"/>
      <c r="U398" s="109"/>
      <c r="V398" s="109"/>
      <c r="W398" s="109"/>
      <c r="X398" s="109"/>
      <c r="Y398" s="109"/>
      <c r="Z398" s="109"/>
      <c r="AA398" s="16"/>
      <c r="AB398" s="16"/>
      <c r="AC398" s="16"/>
      <c r="AD398" s="16"/>
      <c r="AE398" s="16"/>
      <c r="AF398" s="16"/>
      <c r="AG398" s="16"/>
      <c r="AH398" s="16"/>
      <c r="AI398" s="16"/>
      <c r="AJ398" s="16"/>
    </row>
    <row r="399" spans="1:36" x14ac:dyDescent="0.2">
      <c r="A399" s="16"/>
      <c r="B399" s="16"/>
      <c r="C399" s="16"/>
      <c r="D399" s="16"/>
      <c r="E399" s="16"/>
      <c r="F399" s="109"/>
      <c r="G399" s="109"/>
      <c r="H399" s="109"/>
      <c r="I399" s="109"/>
      <c r="J399" s="109"/>
      <c r="K399" s="109"/>
      <c r="L399" s="109"/>
      <c r="M399" s="109"/>
      <c r="N399" s="128"/>
      <c r="O399" s="128"/>
      <c r="P399" s="128"/>
      <c r="Q399" s="155"/>
      <c r="R399" s="128"/>
      <c r="S399" s="128"/>
      <c r="T399" s="128"/>
      <c r="U399" s="109"/>
      <c r="V399" s="109"/>
      <c r="W399" s="109"/>
      <c r="X399" s="109"/>
      <c r="Y399" s="109"/>
      <c r="Z399" s="109"/>
      <c r="AA399" s="16"/>
      <c r="AB399" s="16"/>
      <c r="AC399" s="16"/>
      <c r="AD399" s="16"/>
      <c r="AE399" s="16"/>
      <c r="AF399" s="16"/>
      <c r="AG399" s="16"/>
      <c r="AH399" s="16"/>
      <c r="AI399" s="16"/>
      <c r="AJ399" s="16"/>
    </row>
    <row r="400" spans="1:36" x14ac:dyDescent="0.2">
      <c r="A400" s="16"/>
      <c r="B400" s="16"/>
      <c r="C400" s="16"/>
      <c r="D400" s="16"/>
      <c r="E400" s="16"/>
      <c r="F400" s="109"/>
      <c r="G400" s="109"/>
      <c r="H400" s="109"/>
      <c r="I400" s="109"/>
      <c r="J400" s="109"/>
      <c r="K400" s="109"/>
      <c r="L400" s="109"/>
      <c r="M400" s="109"/>
      <c r="N400" s="128"/>
      <c r="O400" s="128"/>
      <c r="P400" s="128"/>
      <c r="Q400" s="155"/>
      <c r="R400" s="128"/>
      <c r="S400" s="128"/>
      <c r="T400" s="128"/>
      <c r="U400" s="109"/>
      <c r="V400" s="109"/>
      <c r="W400" s="109"/>
      <c r="X400" s="109"/>
      <c r="Y400" s="109"/>
      <c r="Z400" s="109"/>
      <c r="AA400" s="16"/>
      <c r="AB400" s="16"/>
      <c r="AC400" s="16"/>
      <c r="AD400" s="16"/>
      <c r="AE400" s="16"/>
      <c r="AF400" s="16"/>
      <c r="AG400" s="16"/>
      <c r="AH400" s="16"/>
      <c r="AI400" s="16"/>
      <c r="AJ400" s="16"/>
    </row>
    <row r="401" spans="1:36" x14ac:dyDescent="0.2">
      <c r="A401" s="16"/>
      <c r="B401" s="16"/>
      <c r="C401" s="16"/>
      <c r="D401" s="16"/>
      <c r="E401" s="16"/>
      <c r="F401" s="109"/>
      <c r="G401" s="109"/>
      <c r="H401" s="109"/>
      <c r="I401" s="109"/>
      <c r="J401" s="109"/>
      <c r="K401" s="109"/>
      <c r="L401" s="109"/>
      <c r="M401" s="109"/>
      <c r="N401" s="128"/>
      <c r="O401" s="128"/>
      <c r="P401" s="128"/>
      <c r="Q401" s="155"/>
      <c r="R401" s="128"/>
      <c r="S401" s="128"/>
      <c r="T401" s="128"/>
      <c r="U401" s="109"/>
      <c r="V401" s="109"/>
      <c r="W401" s="109"/>
      <c r="X401" s="109"/>
      <c r="Y401" s="109"/>
      <c r="Z401" s="109"/>
      <c r="AA401" s="16"/>
      <c r="AB401" s="16"/>
      <c r="AC401" s="16"/>
      <c r="AD401" s="16"/>
      <c r="AE401" s="16"/>
      <c r="AF401" s="16"/>
      <c r="AG401" s="16"/>
      <c r="AH401" s="16"/>
      <c r="AI401" s="16"/>
      <c r="AJ401" s="16"/>
    </row>
    <row r="402" spans="1:36" x14ac:dyDescent="0.2">
      <c r="A402" s="16"/>
      <c r="B402" s="16"/>
      <c r="C402" s="16"/>
      <c r="D402" s="16"/>
      <c r="E402" s="16"/>
      <c r="F402" s="109"/>
      <c r="G402" s="109"/>
      <c r="H402" s="109"/>
      <c r="I402" s="109"/>
      <c r="J402" s="109"/>
      <c r="K402" s="109"/>
      <c r="L402" s="109"/>
      <c r="M402" s="109"/>
      <c r="N402" s="128"/>
      <c r="O402" s="128"/>
      <c r="P402" s="128"/>
      <c r="Q402" s="155"/>
      <c r="R402" s="128"/>
      <c r="S402" s="128"/>
      <c r="T402" s="128"/>
      <c r="U402" s="109"/>
      <c r="V402" s="109"/>
      <c r="W402" s="109"/>
      <c r="X402" s="109"/>
      <c r="Y402" s="109"/>
      <c r="Z402" s="109"/>
      <c r="AA402" s="16"/>
      <c r="AB402" s="16"/>
      <c r="AC402" s="16"/>
      <c r="AD402" s="16"/>
      <c r="AE402" s="16"/>
      <c r="AF402" s="16"/>
      <c r="AG402" s="16"/>
      <c r="AH402" s="16"/>
      <c r="AI402" s="16"/>
      <c r="AJ402" s="16"/>
    </row>
    <row r="403" spans="1:36" x14ac:dyDescent="0.2">
      <c r="A403" s="16"/>
      <c r="B403" s="16"/>
      <c r="C403" s="16"/>
      <c r="D403" s="16"/>
      <c r="E403" s="16"/>
      <c r="F403" s="109"/>
      <c r="G403" s="109"/>
      <c r="H403" s="109"/>
      <c r="I403" s="109"/>
      <c r="J403" s="109"/>
      <c r="K403" s="109"/>
      <c r="L403" s="109"/>
      <c r="M403" s="109"/>
      <c r="N403" s="128"/>
      <c r="O403" s="128"/>
      <c r="P403" s="128"/>
      <c r="Q403" s="155"/>
      <c r="R403" s="128"/>
      <c r="S403" s="128"/>
      <c r="T403" s="128"/>
      <c r="U403" s="109"/>
      <c r="V403" s="109"/>
      <c r="W403" s="109"/>
      <c r="X403" s="109"/>
      <c r="Y403" s="109"/>
      <c r="Z403" s="109"/>
      <c r="AA403" s="16"/>
      <c r="AB403" s="16"/>
      <c r="AC403" s="16"/>
      <c r="AD403" s="16"/>
      <c r="AE403" s="16"/>
      <c r="AF403" s="16"/>
      <c r="AG403" s="16"/>
      <c r="AH403" s="16"/>
      <c r="AI403" s="16"/>
      <c r="AJ403" s="16"/>
    </row>
    <row r="404" spans="1:36" x14ac:dyDescent="0.2">
      <c r="A404" s="16"/>
      <c r="B404" s="16"/>
      <c r="C404" s="16"/>
      <c r="D404" s="16"/>
      <c r="E404" s="16"/>
      <c r="F404" s="109"/>
      <c r="G404" s="109"/>
      <c r="H404" s="109"/>
      <c r="I404" s="109"/>
      <c r="J404" s="109"/>
      <c r="K404" s="109"/>
      <c r="L404" s="109"/>
      <c r="M404" s="109"/>
      <c r="N404" s="128"/>
      <c r="O404" s="128"/>
      <c r="P404" s="128"/>
      <c r="Q404" s="155"/>
      <c r="R404" s="128"/>
      <c r="S404" s="128"/>
      <c r="T404" s="128"/>
      <c r="U404" s="109"/>
      <c r="V404" s="109"/>
      <c r="W404" s="109"/>
      <c r="X404" s="109"/>
      <c r="Y404" s="109"/>
      <c r="Z404" s="109"/>
      <c r="AA404" s="16"/>
      <c r="AB404" s="16"/>
      <c r="AC404" s="16"/>
      <c r="AD404" s="16"/>
      <c r="AE404" s="16"/>
      <c r="AF404" s="16"/>
      <c r="AG404" s="16"/>
      <c r="AH404" s="16"/>
      <c r="AI404" s="16"/>
      <c r="AJ404" s="16"/>
    </row>
    <row r="405" spans="1:36" x14ac:dyDescent="0.2">
      <c r="A405" s="16"/>
      <c r="B405" s="16"/>
      <c r="C405" s="16"/>
      <c r="D405" s="16"/>
      <c r="E405" s="16"/>
      <c r="F405" s="109"/>
      <c r="G405" s="109"/>
      <c r="H405" s="109"/>
      <c r="I405" s="109"/>
      <c r="J405" s="109"/>
      <c r="K405" s="109"/>
      <c r="L405" s="109"/>
      <c r="M405" s="109"/>
      <c r="N405" s="128"/>
      <c r="O405" s="128"/>
      <c r="P405" s="128"/>
      <c r="Q405" s="155"/>
      <c r="R405" s="128"/>
      <c r="S405" s="128"/>
      <c r="T405" s="128"/>
      <c r="U405" s="109"/>
      <c r="V405" s="109"/>
      <c r="W405" s="109"/>
      <c r="X405" s="109"/>
      <c r="Y405" s="109"/>
      <c r="Z405" s="109"/>
      <c r="AA405" s="16"/>
      <c r="AB405" s="16"/>
      <c r="AC405" s="16"/>
      <c r="AD405" s="16"/>
      <c r="AE405" s="16"/>
      <c r="AF405" s="16"/>
      <c r="AG405" s="16"/>
      <c r="AH405" s="16"/>
      <c r="AI405" s="16"/>
      <c r="AJ405" s="16"/>
    </row>
    <row r="406" spans="1:36" x14ac:dyDescent="0.2">
      <c r="A406" s="16"/>
      <c r="B406" s="16"/>
      <c r="C406" s="16"/>
      <c r="D406" s="16"/>
      <c r="E406" s="16"/>
      <c r="F406" s="109"/>
      <c r="G406" s="109"/>
      <c r="H406" s="109"/>
      <c r="I406" s="109"/>
      <c r="J406" s="109"/>
      <c r="K406" s="109"/>
      <c r="L406" s="109"/>
      <c r="M406" s="109"/>
      <c r="N406" s="128"/>
      <c r="O406" s="128"/>
      <c r="P406" s="128"/>
      <c r="Q406" s="155"/>
      <c r="R406" s="128"/>
      <c r="S406" s="128"/>
      <c r="T406" s="128"/>
      <c r="U406" s="109"/>
      <c r="V406" s="109"/>
      <c r="W406" s="109"/>
      <c r="X406" s="109"/>
      <c r="Y406" s="109"/>
      <c r="Z406" s="109"/>
      <c r="AA406" s="16"/>
      <c r="AB406" s="16"/>
      <c r="AC406" s="16"/>
      <c r="AD406" s="16"/>
      <c r="AE406" s="16"/>
      <c r="AF406" s="16"/>
      <c r="AG406" s="16"/>
      <c r="AH406" s="16"/>
      <c r="AI406" s="16"/>
      <c r="AJ406" s="16"/>
    </row>
    <row r="407" spans="1:36" x14ac:dyDescent="0.2">
      <c r="A407" s="16"/>
      <c r="B407" s="16"/>
      <c r="C407" s="16"/>
      <c r="D407" s="16"/>
      <c r="E407" s="16"/>
      <c r="F407" s="109"/>
      <c r="G407" s="109"/>
      <c r="H407" s="109"/>
      <c r="I407" s="109"/>
      <c r="J407" s="109"/>
      <c r="K407" s="109"/>
      <c r="L407" s="109"/>
      <c r="M407" s="109"/>
      <c r="N407" s="128"/>
      <c r="O407" s="128"/>
      <c r="P407" s="128"/>
      <c r="Q407" s="155"/>
      <c r="R407" s="128"/>
      <c r="S407" s="128"/>
      <c r="T407" s="128"/>
      <c r="U407" s="109"/>
      <c r="V407" s="109"/>
      <c r="W407" s="109"/>
      <c r="X407" s="109"/>
      <c r="Y407" s="109"/>
      <c r="Z407" s="109"/>
      <c r="AA407" s="16"/>
      <c r="AB407" s="16"/>
      <c r="AC407" s="16"/>
      <c r="AD407" s="16"/>
      <c r="AE407" s="16"/>
      <c r="AF407" s="16"/>
      <c r="AG407" s="16"/>
      <c r="AH407" s="16"/>
      <c r="AI407" s="16"/>
      <c r="AJ407" s="16"/>
    </row>
    <row r="408" spans="1:36" x14ac:dyDescent="0.2">
      <c r="A408" s="16"/>
      <c r="B408" s="16"/>
      <c r="C408" s="16"/>
      <c r="D408" s="16"/>
      <c r="E408" s="16"/>
      <c r="F408" s="109"/>
      <c r="G408" s="109"/>
      <c r="H408" s="109"/>
      <c r="I408" s="109"/>
      <c r="J408" s="109"/>
      <c r="K408" s="109"/>
      <c r="L408" s="109"/>
      <c r="M408" s="109"/>
      <c r="N408" s="128"/>
      <c r="O408" s="128"/>
      <c r="P408" s="128"/>
      <c r="Q408" s="155"/>
      <c r="R408" s="128"/>
      <c r="S408" s="128"/>
      <c r="T408" s="128"/>
      <c r="U408" s="109"/>
      <c r="V408" s="109"/>
      <c r="W408" s="109"/>
      <c r="X408" s="109"/>
      <c r="Y408" s="109"/>
      <c r="Z408" s="109"/>
      <c r="AA408" s="16"/>
      <c r="AB408" s="16"/>
      <c r="AC408" s="16"/>
      <c r="AD408" s="16"/>
      <c r="AE408" s="16"/>
      <c r="AF408" s="16"/>
      <c r="AG408" s="16"/>
      <c r="AH408" s="16"/>
      <c r="AI408" s="16"/>
      <c r="AJ408" s="16"/>
    </row>
    <row r="409" spans="1:36" x14ac:dyDescent="0.2">
      <c r="A409" s="16"/>
      <c r="B409" s="16"/>
      <c r="C409" s="16"/>
      <c r="D409" s="16"/>
      <c r="E409" s="16"/>
      <c r="F409" s="109"/>
      <c r="G409" s="109"/>
      <c r="H409" s="109"/>
      <c r="I409" s="109"/>
      <c r="J409" s="109"/>
      <c r="K409" s="109"/>
      <c r="L409" s="109"/>
      <c r="M409" s="109"/>
      <c r="N409" s="128"/>
      <c r="O409" s="128"/>
      <c r="P409" s="128"/>
      <c r="Q409" s="155"/>
      <c r="R409" s="128"/>
      <c r="S409" s="128"/>
      <c r="T409" s="128"/>
      <c r="U409" s="109"/>
      <c r="V409" s="109"/>
      <c r="W409" s="109"/>
      <c r="X409" s="109"/>
      <c r="Y409" s="109"/>
      <c r="Z409" s="109"/>
      <c r="AA409" s="16"/>
      <c r="AB409" s="16"/>
      <c r="AC409" s="16"/>
      <c r="AD409" s="16"/>
      <c r="AE409" s="16"/>
      <c r="AF409" s="16"/>
      <c r="AG409" s="16"/>
      <c r="AH409" s="16"/>
      <c r="AI409" s="16"/>
      <c r="AJ409" s="16"/>
    </row>
    <row r="410" spans="1:36" x14ac:dyDescent="0.2">
      <c r="A410" s="16"/>
      <c r="B410" s="16"/>
      <c r="C410" s="16"/>
      <c r="D410" s="16"/>
      <c r="E410" s="16"/>
      <c r="F410" s="109"/>
      <c r="G410" s="109"/>
      <c r="H410" s="109"/>
      <c r="I410" s="109"/>
      <c r="J410" s="109"/>
      <c r="K410" s="109"/>
      <c r="L410" s="109"/>
      <c r="M410" s="109"/>
      <c r="N410" s="128"/>
      <c r="O410" s="128"/>
      <c r="P410" s="128"/>
      <c r="Q410" s="155"/>
      <c r="R410" s="128"/>
      <c r="S410" s="128"/>
      <c r="T410" s="128"/>
      <c r="U410" s="109"/>
      <c r="V410" s="109"/>
      <c r="W410" s="109"/>
      <c r="X410" s="109"/>
      <c r="Y410" s="109"/>
      <c r="Z410" s="109"/>
      <c r="AA410" s="16"/>
      <c r="AB410" s="16"/>
      <c r="AC410" s="16"/>
      <c r="AD410" s="16"/>
      <c r="AE410" s="16"/>
      <c r="AF410" s="16"/>
      <c r="AG410" s="16"/>
      <c r="AH410" s="16"/>
      <c r="AI410" s="16"/>
      <c r="AJ410" s="16"/>
    </row>
    <row r="411" spans="1:36" x14ac:dyDescent="0.2">
      <c r="A411" s="16"/>
      <c r="B411" s="16"/>
      <c r="C411" s="16"/>
      <c r="D411" s="16"/>
      <c r="E411" s="16"/>
      <c r="F411" s="109"/>
      <c r="G411" s="109"/>
      <c r="H411" s="109"/>
      <c r="I411" s="109"/>
      <c r="J411" s="109"/>
      <c r="K411" s="109"/>
      <c r="L411" s="109"/>
      <c r="M411" s="109"/>
      <c r="N411" s="128"/>
      <c r="O411" s="128"/>
      <c r="P411" s="128"/>
      <c r="Q411" s="155"/>
      <c r="R411" s="128"/>
      <c r="S411" s="128"/>
      <c r="T411" s="128"/>
      <c r="U411" s="109"/>
      <c r="V411" s="109"/>
      <c r="W411" s="109"/>
      <c r="X411" s="109"/>
      <c r="Y411" s="109"/>
      <c r="Z411" s="109"/>
      <c r="AA411" s="16"/>
      <c r="AB411" s="16"/>
      <c r="AC411" s="16"/>
      <c r="AD411" s="16"/>
      <c r="AE411" s="16"/>
      <c r="AF411" s="16"/>
      <c r="AG411" s="16"/>
      <c r="AH411" s="16"/>
      <c r="AI411" s="16"/>
      <c r="AJ411" s="16"/>
    </row>
    <row r="412" spans="1:36" x14ac:dyDescent="0.2">
      <c r="A412" s="16"/>
      <c r="B412" s="16"/>
      <c r="C412" s="16"/>
      <c r="D412" s="16"/>
      <c r="E412" s="16"/>
      <c r="F412" s="109"/>
      <c r="G412" s="109"/>
      <c r="H412" s="109"/>
      <c r="I412" s="109"/>
      <c r="J412" s="109"/>
      <c r="K412" s="109"/>
      <c r="L412" s="109"/>
      <c r="M412" s="109"/>
      <c r="N412" s="128"/>
      <c r="O412" s="128"/>
      <c r="P412" s="128"/>
      <c r="Q412" s="155"/>
      <c r="R412" s="128"/>
      <c r="S412" s="128"/>
      <c r="T412" s="128"/>
      <c r="U412" s="109"/>
      <c r="V412" s="109"/>
      <c r="W412" s="109"/>
      <c r="X412" s="109"/>
      <c r="Y412" s="109"/>
      <c r="Z412" s="109"/>
      <c r="AA412" s="16"/>
      <c r="AB412" s="16"/>
      <c r="AC412" s="16"/>
      <c r="AD412" s="16"/>
      <c r="AE412" s="16"/>
      <c r="AF412" s="16"/>
      <c r="AG412" s="16"/>
      <c r="AH412" s="16"/>
      <c r="AI412" s="16"/>
      <c r="AJ412" s="16"/>
    </row>
    <row r="413" spans="1:36" x14ac:dyDescent="0.2">
      <c r="A413" s="16"/>
      <c r="B413" s="16"/>
      <c r="C413" s="16"/>
      <c r="D413" s="16"/>
      <c r="E413" s="16"/>
      <c r="F413" s="109"/>
      <c r="G413" s="109"/>
      <c r="H413" s="109"/>
      <c r="I413" s="109"/>
      <c r="J413" s="109"/>
      <c r="K413" s="109"/>
      <c r="L413" s="109"/>
      <c r="M413" s="109"/>
      <c r="N413" s="128"/>
      <c r="O413" s="128"/>
      <c r="P413" s="128"/>
      <c r="Q413" s="155"/>
      <c r="R413" s="128"/>
      <c r="S413" s="128"/>
      <c r="T413" s="128"/>
      <c r="U413" s="109"/>
      <c r="V413" s="109"/>
      <c r="W413" s="109"/>
      <c r="X413" s="109"/>
      <c r="Y413" s="109"/>
      <c r="Z413" s="109"/>
      <c r="AA413" s="16"/>
      <c r="AB413" s="16"/>
      <c r="AC413" s="16"/>
      <c r="AD413" s="16"/>
      <c r="AE413" s="16"/>
      <c r="AF413" s="16"/>
      <c r="AG413" s="16"/>
      <c r="AH413" s="16"/>
      <c r="AI413" s="16"/>
      <c r="AJ413" s="16"/>
    </row>
    <row r="414" spans="1:36" x14ac:dyDescent="0.2">
      <c r="A414" s="16"/>
      <c r="B414" s="16"/>
      <c r="C414" s="16"/>
      <c r="D414" s="16"/>
      <c r="E414" s="16"/>
      <c r="F414" s="109"/>
      <c r="G414" s="109"/>
      <c r="H414" s="109"/>
      <c r="I414" s="109"/>
      <c r="J414" s="109"/>
      <c r="K414" s="109"/>
      <c r="L414" s="109"/>
      <c r="M414" s="109"/>
      <c r="N414" s="128"/>
      <c r="O414" s="128"/>
      <c r="P414" s="128"/>
      <c r="Q414" s="155"/>
      <c r="R414" s="128"/>
      <c r="S414" s="128"/>
      <c r="T414" s="128"/>
      <c r="U414" s="109"/>
      <c r="V414" s="109"/>
      <c r="W414" s="109"/>
      <c r="X414" s="109"/>
      <c r="Y414" s="109"/>
      <c r="Z414" s="109"/>
      <c r="AA414" s="16"/>
      <c r="AB414" s="16"/>
      <c r="AC414" s="16"/>
      <c r="AD414" s="16"/>
      <c r="AE414" s="16"/>
      <c r="AF414" s="16"/>
      <c r="AG414" s="16"/>
      <c r="AH414" s="16"/>
      <c r="AI414" s="16"/>
      <c r="AJ414" s="16"/>
    </row>
    <row r="415" spans="1:36" x14ac:dyDescent="0.2">
      <c r="A415" s="16"/>
      <c r="B415" s="16"/>
      <c r="C415" s="16"/>
      <c r="D415" s="16"/>
      <c r="E415" s="16"/>
      <c r="F415" s="109"/>
      <c r="G415" s="109"/>
      <c r="H415" s="109"/>
      <c r="I415" s="109"/>
      <c r="J415" s="109"/>
      <c r="K415" s="109"/>
      <c r="L415" s="109"/>
      <c r="M415" s="109"/>
      <c r="N415" s="128"/>
      <c r="O415" s="128"/>
      <c r="P415" s="128"/>
      <c r="Q415" s="155"/>
      <c r="R415" s="128"/>
      <c r="S415" s="128"/>
      <c r="T415" s="128"/>
      <c r="U415" s="109"/>
      <c r="V415" s="109"/>
      <c r="W415" s="109"/>
      <c r="X415" s="109"/>
      <c r="Y415" s="109"/>
      <c r="Z415" s="109"/>
      <c r="AA415" s="16"/>
      <c r="AB415" s="16"/>
      <c r="AC415" s="16"/>
      <c r="AD415" s="16"/>
      <c r="AE415" s="16"/>
      <c r="AF415" s="16"/>
      <c r="AG415" s="16"/>
      <c r="AH415" s="16"/>
      <c r="AI415" s="16"/>
      <c r="AJ415" s="16"/>
    </row>
    <row r="416" spans="1:36" x14ac:dyDescent="0.2">
      <c r="A416" s="16"/>
      <c r="B416" s="16"/>
      <c r="C416" s="16"/>
      <c r="D416" s="16"/>
      <c r="E416" s="16"/>
      <c r="F416" s="109"/>
      <c r="G416" s="109"/>
      <c r="H416" s="109"/>
      <c r="I416" s="109"/>
      <c r="J416" s="109"/>
      <c r="K416" s="109"/>
      <c r="L416" s="109"/>
      <c r="M416" s="109"/>
      <c r="N416" s="128"/>
      <c r="O416" s="128"/>
      <c r="P416" s="128"/>
      <c r="Q416" s="155"/>
      <c r="R416" s="128"/>
      <c r="S416" s="128"/>
      <c r="T416" s="128"/>
      <c r="U416" s="109"/>
      <c r="V416" s="109"/>
      <c r="W416" s="109"/>
      <c r="X416" s="109"/>
      <c r="Y416" s="109"/>
      <c r="Z416" s="109"/>
      <c r="AA416" s="16"/>
      <c r="AB416" s="16"/>
      <c r="AC416" s="16"/>
      <c r="AD416" s="16"/>
      <c r="AE416" s="16"/>
      <c r="AF416" s="16"/>
      <c r="AG416" s="16"/>
      <c r="AH416" s="16"/>
      <c r="AI416" s="16"/>
      <c r="AJ416" s="16"/>
    </row>
    <row r="417" spans="1:36" x14ac:dyDescent="0.2">
      <c r="A417" s="16"/>
      <c r="B417" s="16"/>
      <c r="C417" s="16"/>
      <c r="D417" s="16"/>
      <c r="E417" s="16"/>
      <c r="F417" s="109"/>
      <c r="G417" s="109"/>
      <c r="H417" s="109"/>
      <c r="I417" s="109"/>
      <c r="J417" s="109"/>
      <c r="K417" s="109"/>
      <c r="L417" s="109"/>
      <c r="M417" s="109"/>
      <c r="N417" s="128"/>
      <c r="O417" s="128"/>
      <c r="P417" s="128"/>
      <c r="Q417" s="155"/>
      <c r="R417" s="128"/>
      <c r="S417" s="128"/>
      <c r="T417" s="128"/>
      <c r="U417" s="109"/>
      <c r="V417" s="109"/>
      <c r="W417" s="109"/>
      <c r="X417" s="109"/>
      <c r="Y417" s="109"/>
      <c r="Z417" s="109"/>
      <c r="AA417" s="16"/>
      <c r="AB417" s="16"/>
      <c r="AC417" s="16"/>
      <c r="AD417" s="16"/>
      <c r="AE417" s="16"/>
      <c r="AF417" s="16"/>
      <c r="AG417" s="16"/>
      <c r="AH417" s="16"/>
      <c r="AI417" s="16"/>
      <c r="AJ417" s="16"/>
    </row>
    <row r="418" spans="1:36" x14ac:dyDescent="0.2">
      <c r="A418" s="16"/>
      <c r="B418" s="16"/>
      <c r="C418" s="16"/>
      <c r="D418" s="16"/>
      <c r="E418" s="16"/>
      <c r="F418" s="109"/>
      <c r="G418" s="109"/>
      <c r="H418" s="109"/>
      <c r="I418" s="109"/>
      <c r="J418" s="109"/>
      <c r="K418" s="109"/>
      <c r="L418" s="109"/>
      <c r="M418" s="109"/>
      <c r="N418" s="128"/>
      <c r="O418" s="128"/>
      <c r="P418" s="128"/>
      <c r="Q418" s="155"/>
      <c r="R418" s="128"/>
      <c r="S418" s="128"/>
      <c r="T418" s="128"/>
      <c r="U418" s="109"/>
      <c r="V418" s="109"/>
      <c r="W418" s="109"/>
      <c r="X418" s="109"/>
      <c r="Y418" s="109"/>
      <c r="Z418" s="109"/>
      <c r="AA418" s="16"/>
      <c r="AB418" s="16"/>
      <c r="AC418" s="16"/>
      <c r="AD418" s="16"/>
      <c r="AE418" s="16"/>
      <c r="AF418" s="16"/>
      <c r="AG418" s="16"/>
      <c r="AH418" s="16"/>
      <c r="AI418" s="16"/>
      <c r="AJ418" s="16"/>
    </row>
    <row r="419" spans="1:36" x14ac:dyDescent="0.2">
      <c r="A419" s="16"/>
      <c r="B419" s="16"/>
      <c r="C419" s="16"/>
      <c r="D419" s="16"/>
      <c r="E419" s="16"/>
      <c r="F419" s="109"/>
      <c r="G419" s="109"/>
      <c r="H419" s="109"/>
      <c r="I419" s="109"/>
      <c r="J419" s="109"/>
      <c r="K419" s="109"/>
      <c r="L419" s="109"/>
      <c r="M419" s="109"/>
      <c r="N419" s="128"/>
      <c r="O419" s="128"/>
      <c r="P419" s="128"/>
      <c r="Q419" s="155"/>
      <c r="R419" s="128"/>
      <c r="S419" s="128"/>
      <c r="T419" s="128"/>
      <c r="U419" s="109"/>
      <c r="V419" s="109"/>
      <c r="W419" s="109"/>
      <c r="X419" s="109"/>
      <c r="Y419" s="109"/>
      <c r="Z419" s="109"/>
      <c r="AA419" s="16"/>
      <c r="AB419" s="16"/>
      <c r="AC419" s="16"/>
      <c r="AD419" s="16"/>
      <c r="AE419" s="16"/>
      <c r="AF419" s="16"/>
      <c r="AG419" s="16"/>
      <c r="AH419" s="16"/>
      <c r="AI419" s="16"/>
      <c r="AJ419" s="16"/>
    </row>
    <row r="420" spans="1:36" x14ac:dyDescent="0.2">
      <c r="A420" s="16"/>
      <c r="B420" s="16"/>
      <c r="C420" s="16"/>
      <c r="D420" s="16"/>
      <c r="E420" s="16"/>
      <c r="F420" s="109"/>
      <c r="G420" s="109"/>
      <c r="H420" s="109"/>
      <c r="I420" s="109"/>
      <c r="J420" s="109"/>
      <c r="K420" s="109"/>
      <c r="L420" s="109"/>
      <c r="M420" s="109"/>
      <c r="N420" s="128"/>
      <c r="O420" s="128"/>
      <c r="P420" s="128"/>
      <c r="Q420" s="155"/>
      <c r="R420" s="128"/>
      <c r="S420" s="128"/>
      <c r="T420" s="128"/>
      <c r="U420" s="109"/>
      <c r="V420" s="109"/>
      <c r="W420" s="109"/>
      <c r="X420" s="109"/>
      <c r="Y420" s="109"/>
      <c r="Z420" s="109"/>
      <c r="AA420" s="16"/>
      <c r="AB420" s="16"/>
      <c r="AC420" s="16"/>
      <c r="AD420" s="16"/>
      <c r="AE420" s="16"/>
      <c r="AF420" s="16"/>
      <c r="AG420" s="16"/>
      <c r="AH420" s="16"/>
      <c r="AI420" s="16"/>
      <c r="AJ420" s="16"/>
    </row>
    <row r="421" spans="1:36" x14ac:dyDescent="0.2">
      <c r="A421" s="16"/>
      <c r="B421" s="16"/>
      <c r="C421" s="16"/>
      <c r="D421" s="16"/>
      <c r="E421" s="16"/>
      <c r="F421" s="109"/>
      <c r="G421" s="109"/>
      <c r="H421" s="109"/>
      <c r="I421" s="109"/>
      <c r="J421" s="109"/>
      <c r="K421" s="109"/>
      <c r="L421" s="109"/>
      <c r="M421" s="109"/>
      <c r="N421" s="128"/>
      <c r="O421" s="128"/>
      <c r="P421" s="128"/>
      <c r="Q421" s="155"/>
      <c r="R421" s="128"/>
      <c r="S421" s="128"/>
      <c r="T421" s="128"/>
      <c r="U421" s="109"/>
      <c r="V421" s="109"/>
      <c r="W421" s="109"/>
      <c r="X421" s="109"/>
      <c r="Y421" s="109"/>
      <c r="Z421" s="109"/>
      <c r="AA421" s="16"/>
      <c r="AB421" s="16"/>
      <c r="AC421" s="16"/>
      <c r="AD421" s="16"/>
      <c r="AE421" s="16"/>
      <c r="AF421" s="16"/>
      <c r="AG421" s="16"/>
      <c r="AH421" s="16"/>
      <c r="AI421" s="16"/>
      <c r="AJ421" s="16"/>
    </row>
    <row r="422" spans="1:36" x14ac:dyDescent="0.2">
      <c r="A422" s="16"/>
      <c r="B422" s="16"/>
      <c r="C422" s="16"/>
      <c r="D422" s="16"/>
      <c r="E422" s="16"/>
      <c r="F422" s="109"/>
      <c r="G422" s="109"/>
      <c r="H422" s="109"/>
      <c r="I422" s="109"/>
      <c r="J422" s="109"/>
      <c r="K422" s="109"/>
      <c r="L422" s="109"/>
      <c r="M422" s="109"/>
      <c r="N422" s="128"/>
      <c r="O422" s="128"/>
      <c r="P422" s="128"/>
      <c r="Q422" s="155"/>
      <c r="R422" s="128"/>
      <c r="S422" s="128"/>
      <c r="T422" s="128"/>
      <c r="U422" s="109"/>
      <c r="V422" s="109"/>
      <c r="W422" s="109"/>
      <c r="X422" s="109"/>
      <c r="Y422" s="109"/>
      <c r="Z422" s="109"/>
      <c r="AA422" s="16"/>
      <c r="AB422" s="16"/>
      <c r="AC422" s="16"/>
      <c r="AD422" s="16"/>
      <c r="AE422" s="16"/>
      <c r="AF422" s="16"/>
      <c r="AG422" s="16"/>
      <c r="AH422" s="16"/>
      <c r="AI422" s="16"/>
      <c r="AJ422" s="16"/>
    </row>
    <row r="423" spans="1:36" x14ac:dyDescent="0.2">
      <c r="A423" s="16"/>
      <c r="B423" s="16"/>
      <c r="C423" s="16"/>
      <c r="D423" s="16"/>
      <c r="E423" s="16"/>
      <c r="F423" s="109"/>
      <c r="G423" s="109"/>
      <c r="H423" s="109"/>
      <c r="I423" s="109"/>
      <c r="J423" s="109"/>
      <c r="K423" s="109"/>
      <c r="L423" s="109"/>
      <c r="M423" s="109"/>
      <c r="N423" s="128"/>
      <c r="O423" s="128"/>
      <c r="P423" s="128"/>
      <c r="Q423" s="155"/>
      <c r="R423" s="128"/>
      <c r="S423" s="128"/>
      <c r="T423" s="128"/>
      <c r="U423" s="109"/>
      <c r="V423" s="109"/>
      <c r="W423" s="109"/>
      <c r="X423" s="109"/>
      <c r="Y423" s="109"/>
      <c r="Z423" s="109"/>
      <c r="AA423" s="16"/>
      <c r="AB423" s="16"/>
      <c r="AC423" s="16"/>
      <c r="AD423" s="16"/>
      <c r="AE423" s="16"/>
      <c r="AF423" s="16"/>
      <c r="AG423" s="16"/>
      <c r="AH423" s="16"/>
      <c r="AI423" s="16"/>
      <c r="AJ423" s="16"/>
    </row>
    <row r="424" spans="1:36" x14ac:dyDescent="0.2">
      <c r="A424" s="16"/>
      <c r="B424" s="16"/>
      <c r="C424" s="16"/>
      <c r="D424" s="16"/>
      <c r="E424" s="16"/>
      <c r="F424" s="109"/>
      <c r="G424" s="109"/>
      <c r="H424" s="109"/>
      <c r="I424" s="109"/>
      <c r="J424" s="109"/>
      <c r="K424" s="109"/>
      <c r="L424" s="109"/>
      <c r="M424" s="109"/>
      <c r="N424" s="128"/>
      <c r="O424" s="128"/>
      <c r="P424" s="128"/>
      <c r="Q424" s="155"/>
      <c r="R424" s="128"/>
      <c r="S424" s="128"/>
      <c r="T424" s="128"/>
      <c r="U424" s="109"/>
      <c r="V424" s="109"/>
      <c r="W424" s="109"/>
      <c r="X424" s="109"/>
      <c r="Y424" s="109"/>
      <c r="Z424" s="109"/>
      <c r="AA424" s="16"/>
      <c r="AB424" s="16"/>
      <c r="AC424" s="16"/>
      <c r="AD424" s="16"/>
      <c r="AE424" s="16"/>
      <c r="AF424" s="16"/>
      <c r="AG424" s="16"/>
      <c r="AH424" s="16"/>
      <c r="AI424" s="16"/>
      <c r="AJ424" s="16"/>
    </row>
    <row r="425" spans="1:36" x14ac:dyDescent="0.2">
      <c r="A425" s="16"/>
      <c r="B425" s="16"/>
      <c r="C425" s="16"/>
      <c r="D425" s="16"/>
      <c r="E425" s="16"/>
      <c r="F425" s="109"/>
      <c r="G425" s="109"/>
      <c r="H425" s="109"/>
      <c r="I425" s="109"/>
      <c r="J425" s="109"/>
      <c r="K425" s="109"/>
      <c r="L425" s="109"/>
      <c r="M425" s="109"/>
      <c r="N425" s="128"/>
      <c r="O425" s="128"/>
      <c r="P425" s="128"/>
      <c r="Q425" s="155"/>
      <c r="R425" s="128"/>
      <c r="S425" s="128"/>
      <c r="T425" s="128"/>
      <c r="U425" s="109"/>
      <c r="V425" s="109"/>
      <c r="W425" s="109"/>
      <c r="X425" s="109"/>
      <c r="Y425" s="109"/>
      <c r="Z425" s="109"/>
      <c r="AA425" s="16"/>
      <c r="AB425" s="16"/>
      <c r="AC425" s="16"/>
      <c r="AD425" s="16"/>
      <c r="AE425" s="16"/>
      <c r="AF425" s="16"/>
      <c r="AG425" s="16"/>
      <c r="AH425" s="16"/>
      <c r="AI425" s="16"/>
      <c r="AJ425" s="16"/>
    </row>
    <row r="426" spans="1:36" x14ac:dyDescent="0.2">
      <c r="A426" s="16"/>
      <c r="B426" s="16"/>
      <c r="C426" s="16"/>
      <c r="D426" s="16"/>
      <c r="E426" s="16"/>
      <c r="F426" s="109"/>
      <c r="G426" s="109"/>
      <c r="H426" s="109"/>
      <c r="I426" s="109"/>
      <c r="J426" s="109"/>
      <c r="K426" s="109"/>
      <c r="L426" s="109"/>
      <c r="M426" s="109"/>
      <c r="N426" s="128"/>
      <c r="O426" s="128"/>
      <c r="P426" s="128"/>
      <c r="Q426" s="155"/>
      <c r="R426" s="128"/>
      <c r="S426" s="128"/>
      <c r="T426" s="128"/>
      <c r="U426" s="109"/>
      <c r="V426" s="109"/>
      <c r="W426" s="109"/>
      <c r="X426" s="109"/>
      <c r="Y426" s="109"/>
      <c r="Z426" s="109"/>
      <c r="AA426" s="16"/>
      <c r="AB426" s="16"/>
      <c r="AC426" s="16"/>
      <c r="AD426" s="16"/>
      <c r="AE426" s="16"/>
      <c r="AF426" s="16"/>
      <c r="AG426" s="16"/>
      <c r="AH426" s="16"/>
      <c r="AI426" s="16"/>
      <c r="AJ426" s="16"/>
    </row>
    <row r="427" spans="1:36" x14ac:dyDescent="0.2">
      <c r="A427" s="16"/>
      <c r="B427" s="16"/>
      <c r="C427" s="16"/>
      <c r="D427" s="16"/>
      <c r="E427" s="16"/>
      <c r="F427" s="109"/>
      <c r="G427" s="109"/>
      <c r="H427" s="109"/>
      <c r="I427" s="109"/>
      <c r="J427" s="109"/>
      <c r="K427" s="109"/>
      <c r="L427" s="109"/>
      <c r="M427" s="109"/>
      <c r="N427" s="128"/>
      <c r="O427" s="128"/>
      <c r="P427" s="128"/>
      <c r="Q427" s="155"/>
      <c r="R427" s="128"/>
      <c r="S427" s="128"/>
      <c r="T427" s="128"/>
      <c r="U427" s="109"/>
      <c r="V427" s="109"/>
      <c r="W427" s="109"/>
      <c r="X427" s="109"/>
      <c r="Y427" s="109"/>
      <c r="Z427" s="109"/>
      <c r="AA427" s="16"/>
      <c r="AB427" s="16"/>
      <c r="AC427" s="16"/>
      <c r="AD427" s="16"/>
      <c r="AE427" s="16"/>
      <c r="AF427" s="16"/>
      <c r="AG427" s="16"/>
      <c r="AH427" s="16"/>
      <c r="AI427" s="16"/>
      <c r="AJ427" s="16"/>
    </row>
    <row r="428" spans="1:36" x14ac:dyDescent="0.2">
      <c r="A428" s="16"/>
      <c r="B428" s="16"/>
      <c r="C428" s="16"/>
      <c r="D428" s="16"/>
      <c r="E428" s="16"/>
      <c r="F428" s="109"/>
      <c r="G428" s="109"/>
      <c r="H428" s="109"/>
      <c r="I428" s="109"/>
      <c r="J428" s="109"/>
      <c r="K428" s="109"/>
      <c r="L428" s="109"/>
      <c r="M428" s="109"/>
      <c r="N428" s="128"/>
      <c r="O428" s="128"/>
      <c r="P428" s="128"/>
      <c r="Q428" s="155"/>
      <c r="R428" s="128"/>
      <c r="S428" s="128"/>
      <c r="T428" s="128"/>
      <c r="U428" s="109"/>
      <c r="V428" s="109"/>
      <c r="W428" s="109"/>
      <c r="X428" s="109"/>
      <c r="Y428" s="109"/>
      <c r="Z428" s="109"/>
      <c r="AA428" s="16"/>
      <c r="AB428" s="16"/>
      <c r="AC428" s="16"/>
      <c r="AD428" s="16"/>
      <c r="AE428" s="16"/>
      <c r="AF428" s="16"/>
      <c r="AG428" s="16"/>
      <c r="AH428" s="16"/>
      <c r="AI428" s="16"/>
      <c r="AJ428" s="16"/>
    </row>
    <row r="429" spans="1:36" x14ac:dyDescent="0.2">
      <c r="A429" s="16"/>
      <c r="B429" s="16"/>
      <c r="C429" s="16"/>
      <c r="D429" s="16"/>
      <c r="E429" s="16"/>
      <c r="F429" s="109"/>
      <c r="G429" s="109"/>
      <c r="H429" s="109"/>
      <c r="I429" s="109"/>
      <c r="J429" s="109"/>
      <c r="K429" s="109"/>
      <c r="L429" s="109"/>
      <c r="M429" s="109"/>
      <c r="N429" s="128"/>
      <c r="O429" s="128"/>
      <c r="P429" s="128"/>
      <c r="Q429" s="155"/>
      <c r="R429" s="128"/>
      <c r="S429" s="128"/>
      <c r="T429" s="128"/>
      <c r="U429" s="109"/>
      <c r="V429" s="109"/>
      <c r="W429" s="109"/>
      <c r="X429" s="109"/>
      <c r="Y429" s="109"/>
      <c r="Z429" s="109"/>
      <c r="AA429" s="16"/>
      <c r="AB429" s="16"/>
      <c r="AC429" s="16"/>
      <c r="AD429" s="16"/>
      <c r="AE429" s="16"/>
      <c r="AF429" s="16"/>
      <c r="AG429" s="16"/>
      <c r="AH429" s="16"/>
      <c r="AI429" s="16"/>
      <c r="AJ429" s="16"/>
    </row>
    <row r="430" spans="1:36" x14ac:dyDescent="0.2">
      <c r="A430" s="16"/>
      <c r="B430" s="16"/>
      <c r="C430" s="16"/>
      <c r="D430" s="16"/>
      <c r="E430" s="16"/>
      <c r="F430" s="109"/>
      <c r="G430" s="109"/>
      <c r="H430" s="109"/>
      <c r="I430" s="109"/>
      <c r="J430" s="109"/>
      <c r="K430" s="109"/>
      <c r="L430" s="109"/>
      <c r="M430" s="109"/>
      <c r="N430" s="128"/>
      <c r="O430" s="128"/>
      <c r="P430" s="128"/>
      <c r="Q430" s="155"/>
      <c r="R430" s="128"/>
      <c r="S430" s="128"/>
      <c r="T430" s="128"/>
      <c r="U430" s="109"/>
      <c r="V430" s="109"/>
      <c r="W430" s="109"/>
      <c r="X430" s="109"/>
      <c r="Y430" s="109"/>
      <c r="Z430" s="109"/>
      <c r="AA430" s="16"/>
      <c r="AB430" s="16"/>
      <c r="AC430" s="16"/>
      <c r="AD430" s="16"/>
      <c r="AE430" s="16"/>
      <c r="AF430" s="16"/>
      <c r="AG430" s="16"/>
      <c r="AH430" s="16"/>
      <c r="AI430" s="16"/>
      <c r="AJ430" s="16"/>
    </row>
    <row r="431" spans="1:36" x14ac:dyDescent="0.2">
      <c r="A431" s="16"/>
      <c r="B431" s="16"/>
      <c r="C431" s="16"/>
      <c r="D431" s="16"/>
      <c r="E431" s="16"/>
      <c r="F431" s="109"/>
      <c r="G431" s="109"/>
      <c r="H431" s="109"/>
      <c r="I431" s="109"/>
      <c r="J431" s="109"/>
      <c r="K431" s="109"/>
      <c r="L431" s="109"/>
      <c r="M431" s="109"/>
      <c r="N431" s="128"/>
      <c r="O431" s="128"/>
      <c r="P431" s="128"/>
      <c r="Q431" s="155"/>
      <c r="R431" s="128"/>
      <c r="S431" s="128"/>
      <c r="T431" s="128"/>
      <c r="U431" s="109"/>
      <c r="V431" s="109"/>
      <c r="W431" s="109"/>
      <c r="X431" s="109"/>
      <c r="Y431" s="109"/>
      <c r="Z431" s="109"/>
      <c r="AA431" s="16"/>
      <c r="AB431" s="16"/>
      <c r="AC431" s="16"/>
      <c r="AD431" s="16"/>
      <c r="AE431" s="16"/>
      <c r="AF431" s="16"/>
      <c r="AG431" s="16"/>
      <c r="AH431" s="16"/>
      <c r="AI431" s="16"/>
      <c r="AJ431" s="16"/>
    </row>
    <row r="432" spans="1:36" x14ac:dyDescent="0.2">
      <c r="A432" s="16"/>
      <c r="B432" s="16"/>
      <c r="C432" s="16"/>
      <c r="D432" s="16"/>
      <c r="E432" s="16"/>
      <c r="F432" s="109"/>
      <c r="G432" s="109"/>
      <c r="H432" s="109"/>
      <c r="I432" s="109"/>
      <c r="J432" s="109"/>
      <c r="K432" s="109"/>
      <c r="L432" s="109"/>
      <c r="M432" s="109"/>
      <c r="N432" s="128"/>
      <c r="O432" s="128"/>
      <c r="P432" s="128"/>
      <c r="Q432" s="155"/>
      <c r="R432" s="128"/>
      <c r="S432" s="128"/>
      <c r="T432" s="128"/>
      <c r="U432" s="109"/>
      <c r="V432" s="109"/>
      <c r="W432" s="109"/>
      <c r="X432" s="109"/>
      <c r="Y432" s="109"/>
      <c r="Z432" s="109"/>
      <c r="AA432" s="16"/>
      <c r="AB432" s="16"/>
      <c r="AC432" s="16"/>
      <c r="AD432" s="16"/>
      <c r="AE432" s="16"/>
      <c r="AF432" s="16"/>
      <c r="AG432" s="16"/>
      <c r="AH432" s="16"/>
      <c r="AI432" s="16"/>
      <c r="AJ432" s="16"/>
    </row>
    <row r="433" spans="1:36" x14ac:dyDescent="0.2">
      <c r="A433" s="16"/>
      <c r="B433" s="16"/>
      <c r="C433" s="16"/>
      <c r="D433" s="16"/>
      <c r="E433" s="16"/>
      <c r="F433" s="109"/>
      <c r="G433" s="109"/>
      <c r="H433" s="109"/>
      <c r="I433" s="109"/>
      <c r="J433" s="109"/>
      <c r="K433" s="109"/>
      <c r="L433" s="109"/>
      <c r="M433" s="109"/>
      <c r="N433" s="128"/>
      <c r="O433" s="128"/>
      <c r="P433" s="128"/>
      <c r="Q433" s="155"/>
      <c r="R433" s="128"/>
      <c r="S433" s="128"/>
      <c r="T433" s="128"/>
      <c r="U433" s="109"/>
      <c r="V433" s="109"/>
      <c r="W433" s="109"/>
      <c r="X433" s="109"/>
      <c r="Y433" s="109"/>
      <c r="Z433" s="109"/>
      <c r="AA433" s="16"/>
      <c r="AB433" s="16"/>
      <c r="AC433" s="16"/>
      <c r="AD433" s="16"/>
      <c r="AE433" s="16"/>
      <c r="AF433" s="16"/>
      <c r="AG433" s="16"/>
      <c r="AH433" s="16"/>
      <c r="AI433" s="16"/>
      <c r="AJ433" s="16"/>
    </row>
    <row r="434" spans="1:36" x14ac:dyDescent="0.2">
      <c r="A434" s="16"/>
      <c r="B434" s="16"/>
      <c r="C434" s="16"/>
      <c r="D434" s="16"/>
      <c r="E434" s="16"/>
      <c r="F434" s="109"/>
      <c r="G434" s="109"/>
      <c r="H434" s="109"/>
      <c r="I434" s="109"/>
      <c r="J434" s="109"/>
      <c r="K434" s="109"/>
      <c r="L434" s="109"/>
      <c r="M434" s="109"/>
      <c r="N434" s="128"/>
      <c r="O434" s="128"/>
      <c r="P434" s="128"/>
      <c r="Q434" s="155"/>
      <c r="R434" s="128"/>
      <c r="S434" s="128"/>
      <c r="T434" s="128"/>
      <c r="U434" s="109"/>
      <c r="V434" s="109"/>
      <c r="W434" s="109"/>
      <c r="X434" s="109"/>
      <c r="Y434" s="109"/>
      <c r="Z434" s="109"/>
      <c r="AA434" s="16"/>
      <c r="AB434" s="16"/>
      <c r="AC434" s="16"/>
      <c r="AD434" s="16"/>
      <c r="AE434" s="16"/>
      <c r="AF434" s="16"/>
      <c r="AG434" s="16"/>
      <c r="AH434" s="16"/>
      <c r="AI434" s="16"/>
      <c r="AJ434" s="16"/>
    </row>
    <row r="435" spans="1:36" x14ac:dyDescent="0.2">
      <c r="A435" s="16"/>
      <c r="B435" s="16"/>
      <c r="C435" s="16"/>
      <c r="D435" s="16"/>
      <c r="E435" s="16"/>
      <c r="F435" s="109"/>
      <c r="G435" s="109"/>
      <c r="H435" s="109"/>
      <c r="I435" s="109"/>
      <c r="J435" s="109"/>
      <c r="K435" s="109"/>
      <c r="L435" s="109"/>
      <c r="M435" s="109"/>
      <c r="N435" s="128"/>
      <c r="O435" s="128"/>
      <c r="P435" s="128"/>
      <c r="Q435" s="155"/>
      <c r="R435" s="128"/>
      <c r="S435" s="128"/>
      <c r="T435" s="128"/>
      <c r="U435" s="109"/>
      <c r="V435" s="109"/>
      <c r="W435" s="109"/>
      <c r="X435" s="109"/>
      <c r="Y435" s="109"/>
      <c r="Z435" s="109"/>
      <c r="AA435" s="16"/>
      <c r="AB435" s="16"/>
      <c r="AC435" s="16"/>
      <c r="AD435" s="16"/>
      <c r="AE435" s="16"/>
      <c r="AF435" s="16"/>
      <c r="AG435" s="16"/>
      <c r="AH435" s="16"/>
      <c r="AI435" s="16"/>
      <c r="AJ435" s="16"/>
    </row>
    <row r="436" spans="1:36" x14ac:dyDescent="0.2">
      <c r="A436" s="16"/>
      <c r="B436" s="16"/>
      <c r="C436" s="16"/>
      <c r="D436" s="16"/>
      <c r="E436" s="16"/>
      <c r="F436" s="109"/>
      <c r="G436" s="109"/>
      <c r="H436" s="109"/>
      <c r="I436" s="109"/>
      <c r="J436" s="109"/>
      <c r="K436" s="109"/>
      <c r="L436" s="109"/>
      <c r="M436" s="109"/>
      <c r="N436" s="128"/>
      <c r="O436" s="128"/>
      <c r="P436" s="128"/>
      <c r="Q436" s="155"/>
      <c r="R436" s="128"/>
      <c r="S436" s="128"/>
      <c r="T436" s="128"/>
      <c r="U436" s="109"/>
      <c r="V436" s="109"/>
      <c r="W436" s="109"/>
      <c r="X436" s="109"/>
      <c r="Y436" s="109"/>
      <c r="Z436" s="109"/>
      <c r="AA436" s="16"/>
      <c r="AB436" s="16"/>
      <c r="AC436" s="16"/>
      <c r="AD436" s="16"/>
      <c r="AE436" s="16"/>
      <c r="AF436" s="16"/>
      <c r="AG436" s="16"/>
      <c r="AH436" s="16"/>
      <c r="AI436" s="16"/>
      <c r="AJ436" s="16"/>
    </row>
    <row r="437" spans="1:36" x14ac:dyDescent="0.2">
      <c r="A437" s="16"/>
      <c r="B437" s="16"/>
      <c r="C437" s="16"/>
      <c r="D437" s="16"/>
      <c r="E437" s="16"/>
      <c r="F437" s="109"/>
      <c r="G437" s="109"/>
      <c r="H437" s="109"/>
      <c r="I437" s="109"/>
      <c r="J437" s="109"/>
      <c r="K437" s="109"/>
      <c r="L437" s="109"/>
      <c r="M437" s="109"/>
      <c r="N437" s="128"/>
      <c r="O437" s="128"/>
      <c r="P437" s="128"/>
      <c r="Q437" s="155"/>
      <c r="R437" s="128"/>
      <c r="S437" s="128"/>
      <c r="T437" s="128"/>
      <c r="U437" s="109"/>
      <c r="V437" s="109"/>
      <c r="W437" s="109"/>
      <c r="X437" s="109"/>
      <c r="Y437" s="109"/>
      <c r="Z437" s="109"/>
      <c r="AA437" s="16"/>
      <c r="AB437" s="16"/>
      <c r="AC437" s="16"/>
      <c r="AD437" s="16"/>
      <c r="AE437" s="16"/>
      <c r="AF437" s="16"/>
      <c r="AG437" s="16"/>
      <c r="AH437" s="16"/>
      <c r="AI437" s="16"/>
      <c r="AJ437" s="16"/>
    </row>
    <row r="438" spans="1:36" x14ac:dyDescent="0.2">
      <c r="A438" s="16"/>
      <c r="B438" s="16"/>
      <c r="C438" s="16"/>
      <c r="D438" s="16"/>
      <c r="E438" s="16"/>
      <c r="F438" s="109"/>
      <c r="G438" s="109"/>
      <c r="H438" s="109"/>
      <c r="I438" s="109"/>
      <c r="J438" s="109"/>
      <c r="K438" s="109"/>
      <c r="L438" s="109"/>
      <c r="M438" s="109"/>
      <c r="N438" s="128"/>
      <c r="O438" s="128"/>
      <c r="P438" s="128"/>
      <c r="Q438" s="155"/>
      <c r="R438" s="128"/>
      <c r="S438" s="128"/>
      <c r="T438" s="128"/>
      <c r="U438" s="109"/>
      <c r="V438" s="109"/>
      <c r="W438" s="109"/>
      <c r="X438" s="109"/>
      <c r="Y438" s="109"/>
      <c r="Z438" s="109"/>
      <c r="AA438" s="16"/>
      <c r="AB438" s="16"/>
      <c r="AC438" s="16"/>
      <c r="AD438" s="16"/>
      <c r="AE438" s="16"/>
      <c r="AF438" s="16"/>
      <c r="AG438" s="16"/>
      <c r="AH438" s="16"/>
      <c r="AI438" s="16"/>
      <c r="AJ438" s="16"/>
    </row>
    <row r="439" spans="1:36" x14ac:dyDescent="0.2">
      <c r="A439" s="16"/>
      <c r="B439" s="16"/>
      <c r="C439" s="16"/>
      <c r="D439" s="16"/>
      <c r="E439" s="16"/>
      <c r="F439" s="109"/>
      <c r="G439" s="109"/>
      <c r="H439" s="109"/>
      <c r="I439" s="109"/>
      <c r="J439" s="109"/>
      <c r="K439" s="109"/>
      <c r="L439" s="109"/>
      <c r="M439" s="109"/>
      <c r="N439" s="128"/>
      <c r="O439" s="128"/>
      <c r="P439" s="128"/>
      <c r="Q439" s="155"/>
      <c r="R439" s="128"/>
      <c r="S439" s="128"/>
      <c r="T439" s="128"/>
      <c r="U439" s="109"/>
      <c r="V439" s="109"/>
      <c r="W439" s="109"/>
      <c r="X439" s="109"/>
      <c r="Y439" s="109"/>
      <c r="Z439" s="109"/>
      <c r="AA439" s="16"/>
      <c r="AB439" s="16"/>
      <c r="AC439" s="16"/>
      <c r="AD439" s="16"/>
      <c r="AE439" s="16"/>
      <c r="AF439" s="16"/>
      <c r="AG439" s="16"/>
      <c r="AH439" s="16"/>
      <c r="AI439" s="16"/>
      <c r="AJ439" s="16"/>
    </row>
    <row r="440" spans="1:36" x14ac:dyDescent="0.2">
      <c r="A440" s="16"/>
      <c r="B440" s="16"/>
      <c r="C440" s="16"/>
      <c r="D440" s="16"/>
      <c r="E440" s="16"/>
      <c r="F440" s="109"/>
      <c r="G440" s="109"/>
      <c r="H440" s="109"/>
      <c r="I440" s="109"/>
      <c r="J440" s="109"/>
      <c r="K440" s="109"/>
      <c r="L440" s="109"/>
      <c r="M440" s="109"/>
      <c r="N440" s="128"/>
      <c r="O440" s="128"/>
      <c r="P440" s="128"/>
      <c r="Q440" s="155"/>
      <c r="R440" s="128"/>
      <c r="S440" s="128"/>
      <c r="T440" s="128"/>
      <c r="U440" s="109"/>
      <c r="V440" s="109"/>
      <c r="W440" s="109"/>
      <c r="X440" s="109"/>
      <c r="Y440" s="109"/>
      <c r="Z440" s="109"/>
      <c r="AA440" s="16"/>
      <c r="AB440" s="16"/>
      <c r="AC440" s="16"/>
      <c r="AD440" s="16"/>
      <c r="AE440" s="16"/>
      <c r="AF440" s="16"/>
      <c r="AG440" s="16"/>
      <c r="AH440" s="16"/>
      <c r="AI440" s="16"/>
      <c r="AJ440" s="16"/>
    </row>
    <row r="441" spans="1:36" x14ac:dyDescent="0.2">
      <c r="A441" s="16"/>
      <c r="B441" s="16"/>
      <c r="C441" s="16"/>
      <c r="D441" s="16"/>
      <c r="E441" s="16"/>
      <c r="F441" s="109"/>
      <c r="G441" s="109"/>
      <c r="H441" s="109"/>
      <c r="I441" s="109"/>
      <c r="J441" s="109"/>
      <c r="K441" s="109"/>
      <c r="L441" s="109"/>
      <c r="M441" s="109"/>
      <c r="N441" s="128"/>
      <c r="O441" s="128"/>
      <c r="P441" s="128"/>
      <c r="Q441" s="155"/>
      <c r="R441" s="128"/>
      <c r="S441" s="128"/>
      <c r="T441" s="128"/>
      <c r="U441" s="109"/>
      <c r="V441" s="109"/>
      <c r="W441" s="109"/>
      <c r="X441" s="109"/>
      <c r="Y441" s="109"/>
      <c r="Z441" s="109"/>
      <c r="AA441" s="16"/>
      <c r="AB441" s="16"/>
      <c r="AC441" s="16"/>
      <c r="AD441" s="16"/>
      <c r="AE441" s="16"/>
      <c r="AF441" s="16"/>
      <c r="AG441" s="16"/>
      <c r="AH441" s="16"/>
      <c r="AI441" s="16"/>
      <c r="AJ441" s="16"/>
    </row>
    <row r="442" spans="1:36" x14ac:dyDescent="0.2">
      <c r="A442" s="16"/>
      <c r="B442" s="16"/>
      <c r="C442" s="16"/>
      <c r="D442" s="16"/>
      <c r="E442" s="16"/>
      <c r="F442" s="109"/>
      <c r="G442" s="109"/>
      <c r="H442" s="109"/>
      <c r="I442" s="109"/>
      <c r="J442" s="109"/>
      <c r="K442" s="109"/>
      <c r="L442" s="109"/>
      <c r="M442" s="109"/>
      <c r="N442" s="128"/>
      <c r="O442" s="128"/>
      <c r="P442" s="128"/>
      <c r="Q442" s="155"/>
      <c r="R442" s="128"/>
      <c r="S442" s="128"/>
      <c r="T442" s="128"/>
      <c r="U442" s="109"/>
      <c r="V442" s="109"/>
      <c r="W442" s="109"/>
      <c r="X442" s="109"/>
      <c r="Y442" s="109"/>
      <c r="Z442" s="109"/>
      <c r="AA442" s="16"/>
      <c r="AB442" s="16"/>
      <c r="AC442" s="16"/>
      <c r="AD442" s="16"/>
      <c r="AE442" s="16"/>
      <c r="AF442" s="16"/>
      <c r="AG442" s="16"/>
      <c r="AH442" s="16"/>
      <c r="AI442" s="16"/>
      <c r="AJ442" s="16"/>
    </row>
    <row r="443" spans="1:36" x14ac:dyDescent="0.2">
      <c r="A443" s="16"/>
      <c r="B443" s="16"/>
      <c r="C443" s="16"/>
      <c r="D443" s="16"/>
      <c r="E443" s="16"/>
      <c r="F443" s="109"/>
      <c r="G443" s="109"/>
      <c r="H443" s="109"/>
      <c r="I443" s="109"/>
      <c r="J443" s="109"/>
      <c r="K443" s="109"/>
      <c r="L443" s="109"/>
      <c r="M443" s="109"/>
      <c r="N443" s="128"/>
      <c r="O443" s="128"/>
      <c r="P443" s="128"/>
      <c r="Q443" s="155"/>
      <c r="R443" s="128"/>
      <c r="S443" s="128"/>
      <c r="T443" s="128"/>
      <c r="U443" s="109"/>
      <c r="V443" s="109"/>
      <c r="W443" s="109"/>
      <c r="X443" s="109"/>
      <c r="Y443" s="109"/>
      <c r="Z443" s="109"/>
      <c r="AA443" s="16"/>
      <c r="AB443" s="16"/>
      <c r="AC443" s="16"/>
      <c r="AD443" s="16"/>
      <c r="AE443" s="16"/>
      <c r="AF443" s="16"/>
      <c r="AG443" s="16"/>
      <c r="AH443" s="16"/>
      <c r="AI443" s="16"/>
      <c r="AJ443" s="16"/>
    </row>
    <row r="444" spans="1:36" x14ac:dyDescent="0.2">
      <c r="A444" s="16"/>
      <c r="B444" s="16"/>
      <c r="C444" s="16"/>
      <c r="D444" s="16"/>
      <c r="E444" s="16"/>
      <c r="F444" s="109"/>
      <c r="G444" s="109"/>
      <c r="H444" s="109"/>
      <c r="I444" s="109"/>
      <c r="J444" s="109"/>
      <c r="K444" s="109"/>
      <c r="L444" s="109"/>
      <c r="M444" s="109"/>
      <c r="N444" s="128"/>
      <c r="O444" s="128"/>
      <c r="P444" s="128"/>
      <c r="Q444" s="155"/>
      <c r="R444" s="128"/>
      <c r="S444" s="128"/>
      <c r="T444" s="128"/>
      <c r="U444" s="109"/>
      <c r="V444" s="109"/>
      <c r="W444" s="109"/>
      <c r="X444" s="109"/>
      <c r="Y444" s="109"/>
      <c r="Z444" s="109"/>
      <c r="AA444" s="16"/>
      <c r="AB444" s="16"/>
      <c r="AC444" s="16"/>
      <c r="AD444" s="16"/>
      <c r="AE444" s="16"/>
      <c r="AF444" s="16"/>
      <c r="AG444" s="16"/>
      <c r="AH444" s="16"/>
      <c r="AI444" s="16"/>
      <c r="AJ444" s="16"/>
    </row>
    <row r="445" spans="1:36" x14ac:dyDescent="0.2">
      <c r="A445" s="16"/>
      <c r="B445" s="16"/>
      <c r="C445" s="16"/>
      <c r="D445" s="16"/>
      <c r="E445" s="16"/>
      <c r="F445" s="109"/>
      <c r="G445" s="109"/>
      <c r="H445" s="109"/>
      <c r="I445" s="109"/>
      <c r="J445" s="109"/>
      <c r="K445" s="109"/>
      <c r="L445" s="109"/>
      <c r="M445" s="109"/>
      <c r="N445" s="128"/>
      <c r="O445" s="128"/>
      <c r="P445" s="128"/>
      <c r="Q445" s="155"/>
      <c r="R445" s="128"/>
      <c r="S445" s="128"/>
      <c r="T445" s="128"/>
      <c r="U445" s="109"/>
      <c r="V445" s="109"/>
      <c r="W445" s="109"/>
      <c r="X445" s="109"/>
      <c r="Y445" s="109"/>
      <c r="Z445" s="109"/>
      <c r="AA445" s="16"/>
      <c r="AB445" s="16"/>
      <c r="AC445" s="16"/>
      <c r="AD445" s="16"/>
      <c r="AE445" s="16"/>
      <c r="AF445" s="16"/>
      <c r="AG445" s="16"/>
      <c r="AH445" s="16"/>
      <c r="AI445" s="16"/>
      <c r="AJ445" s="16"/>
    </row>
    <row r="446" spans="1:36" x14ac:dyDescent="0.2">
      <c r="A446" s="16"/>
      <c r="B446" s="16"/>
      <c r="C446" s="16"/>
      <c r="D446" s="16"/>
      <c r="E446" s="16"/>
      <c r="F446" s="109"/>
      <c r="G446" s="109"/>
      <c r="H446" s="109"/>
      <c r="I446" s="109"/>
      <c r="J446" s="109"/>
      <c r="K446" s="109"/>
      <c r="L446" s="109"/>
      <c r="M446" s="109"/>
      <c r="N446" s="128"/>
      <c r="O446" s="128"/>
      <c r="P446" s="128"/>
      <c r="Q446" s="155"/>
      <c r="R446" s="128"/>
      <c r="S446" s="128"/>
      <c r="T446" s="128"/>
      <c r="U446" s="109"/>
      <c r="V446" s="109"/>
      <c r="W446" s="109"/>
      <c r="X446" s="109"/>
      <c r="Y446" s="109"/>
      <c r="Z446" s="109"/>
      <c r="AA446" s="16"/>
      <c r="AB446" s="16"/>
      <c r="AC446" s="16"/>
      <c r="AD446" s="16"/>
      <c r="AE446" s="16"/>
      <c r="AF446" s="16"/>
      <c r="AG446" s="16"/>
      <c r="AH446" s="16"/>
      <c r="AI446" s="16"/>
      <c r="AJ446" s="16"/>
    </row>
    <row r="447" spans="1:36" x14ac:dyDescent="0.2">
      <c r="A447" s="16"/>
      <c r="B447" s="16"/>
      <c r="C447" s="16"/>
      <c r="D447" s="16"/>
      <c r="E447" s="16"/>
      <c r="F447" s="109"/>
      <c r="G447" s="109"/>
      <c r="H447" s="109"/>
      <c r="I447" s="109"/>
      <c r="J447" s="109"/>
      <c r="K447" s="109"/>
      <c r="L447" s="109"/>
      <c r="M447" s="109"/>
      <c r="N447" s="128"/>
      <c r="O447" s="128"/>
      <c r="P447" s="128"/>
      <c r="Q447" s="155"/>
      <c r="R447" s="128"/>
      <c r="S447" s="128"/>
      <c r="T447" s="128"/>
      <c r="U447" s="109"/>
      <c r="V447" s="109"/>
      <c r="W447" s="109"/>
      <c r="X447" s="109"/>
      <c r="Y447" s="109"/>
      <c r="Z447" s="109"/>
      <c r="AA447" s="16"/>
      <c r="AB447" s="16"/>
      <c r="AC447" s="16"/>
      <c r="AD447" s="16"/>
      <c r="AE447" s="16"/>
      <c r="AF447" s="16"/>
      <c r="AG447" s="16"/>
      <c r="AH447" s="16"/>
      <c r="AI447" s="16"/>
      <c r="AJ447" s="16"/>
    </row>
    <row r="448" spans="1:36" x14ac:dyDescent="0.2">
      <c r="A448" s="16"/>
      <c r="B448" s="16"/>
      <c r="C448" s="16"/>
      <c r="D448" s="16"/>
      <c r="E448" s="16"/>
      <c r="F448" s="109"/>
      <c r="G448" s="109"/>
      <c r="H448" s="109"/>
      <c r="I448" s="109"/>
      <c r="J448" s="109"/>
      <c r="K448" s="109"/>
      <c r="L448" s="109"/>
      <c r="M448" s="109"/>
      <c r="N448" s="128"/>
      <c r="O448" s="128"/>
      <c r="P448" s="128"/>
      <c r="Q448" s="155"/>
      <c r="R448" s="128"/>
      <c r="S448" s="128"/>
      <c r="T448" s="128"/>
      <c r="U448" s="109"/>
      <c r="V448" s="109"/>
      <c r="W448" s="109"/>
      <c r="X448" s="109"/>
      <c r="Y448" s="109"/>
      <c r="Z448" s="109"/>
      <c r="AA448" s="16"/>
      <c r="AB448" s="16"/>
      <c r="AC448" s="16"/>
      <c r="AD448" s="16"/>
      <c r="AE448" s="16"/>
      <c r="AF448" s="16"/>
      <c r="AG448" s="16"/>
      <c r="AH448" s="16"/>
      <c r="AI448" s="16"/>
      <c r="AJ448" s="16"/>
    </row>
    <row r="449" spans="1:36" x14ac:dyDescent="0.2">
      <c r="A449" s="16"/>
      <c r="B449" s="16"/>
      <c r="C449" s="16"/>
      <c r="D449" s="16"/>
      <c r="E449" s="16"/>
      <c r="F449" s="109"/>
      <c r="G449" s="109"/>
      <c r="H449" s="109"/>
      <c r="I449" s="109"/>
      <c r="J449" s="109"/>
      <c r="K449" s="109"/>
      <c r="L449" s="109"/>
      <c r="M449" s="109"/>
      <c r="N449" s="128"/>
      <c r="O449" s="128"/>
      <c r="P449" s="128"/>
      <c r="Q449" s="155"/>
      <c r="R449" s="128"/>
      <c r="S449" s="128"/>
      <c r="T449" s="128"/>
      <c r="U449" s="109"/>
      <c r="V449" s="109"/>
      <c r="W449" s="109"/>
      <c r="X449" s="109"/>
      <c r="Y449" s="109"/>
      <c r="Z449" s="109"/>
      <c r="AA449" s="16"/>
      <c r="AB449" s="16"/>
      <c r="AC449" s="16"/>
      <c r="AD449" s="16"/>
      <c r="AE449" s="16"/>
      <c r="AF449" s="16"/>
      <c r="AG449" s="16"/>
      <c r="AH449" s="16"/>
      <c r="AI449" s="16"/>
      <c r="AJ449" s="16"/>
    </row>
    <row r="450" spans="1:36" x14ac:dyDescent="0.2">
      <c r="A450" s="16"/>
      <c r="B450" s="16"/>
      <c r="C450" s="16"/>
      <c r="D450" s="16"/>
      <c r="E450" s="16"/>
      <c r="F450" s="109"/>
      <c r="G450" s="109"/>
      <c r="H450" s="109"/>
      <c r="I450" s="109"/>
      <c r="J450" s="109"/>
      <c r="K450" s="109"/>
      <c r="L450" s="109"/>
      <c r="M450" s="109"/>
      <c r="N450" s="128"/>
      <c r="O450" s="128"/>
      <c r="P450" s="128"/>
      <c r="Q450" s="155"/>
      <c r="R450" s="128"/>
      <c r="S450" s="128"/>
      <c r="T450" s="128"/>
      <c r="U450" s="109"/>
      <c r="V450" s="109"/>
      <c r="W450" s="109"/>
      <c r="X450" s="109"/>
      <c r="Y450" s="109"/>
      <c r="Z450" s="109"/>
      <c r="AA450" s="16"/>
      <c r="AB450" s="16"/>
      <c r="AC450" s="16"/>
      <c r="AD450" s="16"/>
      <c r="AE450" s="16"/>
      <c r="AF450" s="16"/>
      <c r="AG450" s="16"/>
      <c r="AH450" s="16"/>
      <c r="AI450" s="16"/>
      <c r="AJ450" s="16"/>
    </row>
    <row r="451" spans="1:36" x14ac:dyDescent="0.2">
      <c r="A451" s="16"/>
      <c r="B451" s="16"/>
      <c r="C451" s="16"/>
      <c r="D451" s="16"/>
      <c r="E451" s="16"/>
      <c r="F451" s="109"/>
      <c r="G451" s="109"/>
      <c r="H451" s="109"/>
      <c r="I451" s="109"/>
      <c r="J451" s="109"/>
      <c r="K451" s="109"/>
      <c r="L451" s="109"/>
      <c r="M451" s="109"/>
      <c r="N451" s="128"/>
      <c r="O451" s="128"/>
      <c r="P451" s="128"/>
      <c r="Q451" s="155"/>
      <c r="R451" s="128"/>
      <c r="S451" s="128"/>
      <c r="T451" s="128"/>
      <c r="U451" s="109"/>
      <c r="V451" s="109"/>
      <c r="W451" s="109"/>
      <c r="X451" s="109"/>
      <c r="Y451" s="109"/>
      <c r="Z451" s="109"/>
      <c r="AA451" s="16"/>
      <c r="AB451" s="16"/>
      <c r="AC451" s="16"/>
      <c r="AD451" s="16"/>
      <c r="AE451" s="16"/>
      <c r="AF451" s="16"/>
      <c r="AG451" s="16"/>
      <c r="AH451" s="16"/>
      <c r="AI451" s="16"/>
      <c r="AJ451" s="16"/>
    </row>
    <row r="452" spans="1:36" x14ac:dyDescent="0.2">
      <c r="A452" s="16"/>
      <c r="B452" s="16"/>
      <c r="C452" s="16"/>
      <c r="D452" s="16"/>
      <c r="E452" s="16"/>
      <c r="F452" s="109"/>
      <c r="G452" s="109"/>
      <c r="H452" s="109"/>
      <c r="I452" s="109"/>
      <c r="J452" s="109"/>
      <c r="K452" s="109"/>
      <c r="L452" s="109"/>
      <c r="M452" s="109"/>
      <c r="N452" s="128"/>
      <c r="O452" s="128"/>
      <c r="P452" s="128"/>
      <c r="Q452" s="155"/>
      <c r="R452" s="128"/>
      <c r="S452" s="128"/>
      <c r="T452" s="128"/>
      <c r="U452" s="109"/>
      <c r="V452" s="109"/>
      <c r="W452" s="109"/>
      <c r="X452" s="109"/>
      <c r="Y452" s="109"/>
      <c r="Z452" s="109"/>
      <c r="AA452" s="16"/>
      <c r="AB452" s="16"/>
      <c r="AC452" s="16"/>
      <c r="AD452" s="16"/>
      <c r="AE452" s="16"/>
      <c r="AF452" s="16"/>
      <c r="AG452" s="16"/>
      <c r="AH452" s="16"/>
      <c r="AI452" s="16"/>
      <c r="AJ452" s="16"/>
    </row>
    <row r="453" spans="1:36" x14ac:dyDescent="0.2">
      <c r="A453" s="16"/>
      <c r="B453" s="16"/>
      <c r="C453" s="16"/>
      <c r="D453" s="16"/>
      <c r="E453" s="16"/>
      <c r="F453" s="109"/>
      <c r="G453" s="109"/>
      <c r="H453" s="109"/>
      <c r="I453" s="109"/>
      <c r="J453" s="109"/>
      <c r="K453" s="109"/>
      <c r="L453" s="109"/>
      <c r="M453" s="109"/>
      <c r="N453" s="128"/>
      <c r="O453" s="128"/>
      <c r="P453" s="128"/>
      <c r="Q453" s="155"/>
      <c r="R453" s="128"/>
      <c r="S453" s="128"/>
      <c r="T453" s="128"/>
      <c r="U453" s="109"/>
      <c r="V453" s="109"/>
      <c r="W453" s="109"/>
      <c r="X453" s="109"/>
      <c r="Y453" s="109"/>
      <c r="Z453" s="109"/>
      <c r="AA453" s="16"/>
      <c r="AB453" s="16"/>
      <c r="AC453" s="16"/>
      <c r="AD453" s="16"/>
      <c r="AE453" s="16"/>
      <c r="AF453" s="16"/>
      <c r="AG453" s="16"/>
      <c r="AH453" s="16"/>
      <c r="AI453" s="16"/>
      <c r="AJ453" s="16"/>
    </row>
    <row r="454" spans="1:36" x14ac:dyDescent="0.2">
      <c r="A454" s="16"/>
      <c r="B454" s="16"/>
      <c r="C454" s="16"/>
      <c r="D454" s="16"/>
      <c r="E454" s="16"/>
      <c r="F454" s="109"/>
      <c r="G454" s="109"/>
      <c r="H454" s="109"/>
      <c r="I454" s="109"/>
      <c r="J454" s="109"/>
      <c r="K454" s="109"/>
      <c r="L454" s="109"/>
      <c r="M454" s="109"/>
      <c r="N454" s="128"/>
      <c r="O454" s="128"/>
      <c r="P454" s="128"/>
      <c r="Q454" s="155"/>
      <c r="R454" s="128"/>
      <c r="S454" s="128"/>
      <c r="T454" s="128"/>
      <c r="U454" s="109"/>
      <c r="V454" s="109"/>
      <c r="W454" s="109"/>
      <c r="X454" s="109"/>
      <c r="Y454" s="109"/>
      <c r="Z454" s="109"/>
      <c r="AA454" s="16"/>
      <c r="AB454" s="16"/>
      <c r="AC454" s="16"/>
      <c r="AD454" s="16"/>
      <c r="AE454" s="16"/>
      <c r="AF454" s="16"/>
      <c r="AG454" s="16"/>
      <c r="AH454" s="16"/>
      <c r="AI454" s="16"/>
      <c r="AJ454" s="16"/>
    </row>
    <row r="455" spans="1:36" x14ac:dyDescent="0.2">
      <c r="A455" s="16"/>
      <c r="B455" s="16"/>
      <c r="C455" s="16"/>
      <c r="D455" s="16"/>
      <c r="E455" s="16"/>
      <c r="F455" s="109"/>
      <c r="G455" s="109"/>
      <c r="H455" s="109"/>
      <c r="I455" s="109"/>
      <c r="J455" s="109"/>
      <c r="K455" s="109"/>
      <c r="L455" s="109"/>
      <c r="M455" s="109"/>
      <c r="N455" s="128"/>
      <c r="O455" s="128"/>
      <c r="P455" s="128"/>
      <c r="Q455" s="155"/>
      <c r="R455" s="128"/>
      <c r="S455" s="128"/>
      <c r="T455" s="128"/>
      <c r="U455" s="109"/>
      <c r="V455" s="109"/>
      <c r="W455" s="109"/>
      <c r="X455" s="109"/>
      <c r="Y455" s="109"/>
      <c r="Z455" s="109"/>
      <c r="AA455" s="16"/>
      <c r="AB455" s="16"/>
      <c r="AC455" s="16"/>
      <c r="AD455" s="16"/>
      <c r="AE455" s="16"/>
      <c r="AF455" s="16"/>
      <c r="AG455" s="16"/>
      <c r="AH455" s="16"/>
      <c r="AI455" s="16"/>
      <c r="AJ455" s="16"/>
    </row>
    <row r="456" spans="1:36" x14ac:dyDescent="0.2">
      <c r="A456" s="16"/>
      <c r="B456" s="16"/>
      <c r="C456" s="16"/>
      <c r="D456" s="16"/>
      <c r="E456" s="16"/>
      <c r="F456" s="109"/>
      <c r="G456" s="109"/>
      <c r="H456" s="109"/>
      <c r="I456" s="109"/>
      <c r="J456" s="109"/>
      <c r="K456" s="109"/>
      <c r="L456" s="109"/>
      <c r="M456" s="109"/>
      <c r="N456" s="128"/>
      <c r="O456" s="128"/>
      <c r="P456" s="128"/>
      <c r="Q456" s="155"/>
      <c r="R456" s="128"/>
      <c r="S456" s="128"/>
      <c r="T456" s="128"/>
      <c r="U456" s="109"/>
      <c r="V456" s="109"/>
      <c r="W456" s="109"/>
      <c r="X456" s="109"/>
      <c r="Y456" s="109"/>
      <c r="Z456" s="109"/>
      <c r="AA456" s="16"/>
      <c r="AB456" s="16"/>
      <c r="AC456" s="16"/>
      <c r="AD456" s="16"/>
      <c r="AE456" s="16"/>
      <c r="AF456" s="16"/>
      <c r="AG456" s="16"/>
      <c r="AH456" s="16"/>
      <c r="AI456" s="16"/>
      <c r="AJ456" s="16"/>
    </row>
    <row r="457" spans="1:36" x14ac:dyDescent="0.2">
      <c r="A457" s="16"/>
      <c r="B457" s="16"/>
      <c r="C457" s="16"/>
      <c r="D457" s="16"/>
      <c r="E457" s="16"/>
      <c r="F457" s="109"/>
      <c r="G457" s="109"/>
      <c r="H457" s="109"/>
      <c r="I457" s="109"/>
      <c r="J457" s="109"/>
      <c r="K457" s="109"/>
      <c r="L457" s="109"/>
      <c r="M457" s="109"/>
      <c r="N457" s="128"/>
      <c r="O457" s="128"/>
      <c r="P457" s="128"/>
      <c r="Q457" s="155"/>
      <c r="R457" s="128"/>
      <c r="S457" s="128"/>
      <c r="T457" s="128"/>
      <c r="U457" s="109"/>
      <c r="V457" s="109"/>
      <c r="W457" s="109"/>
      <c r="X457" s="109"/>
      <c r="Y457" s="109"/>
      <c r="Z457" s="109"/>
      <c r="AA457" s="16"/>
      <c r="AB457" s="16"/>
      <c r="AC457" s="16"/>
      <c r="AD457" s="16"/>
      <c r="AE457" s="16"/>
      <c r="AF457" s="16"/>
      <c r="AG457" s="16"/>
      <c r="AH457" s="16"/>
      <c r="AI457" s="16"/>
      <c r="AJ457" s="16"/>
    </row>
    <row r="458" spans="1:36" x14ac:dyDescent="0.2">
      <c r="A458" s="16"/>
      <c r="B458" s="16"/>
      <c r="C458" s="16"/>
      <c r="D458" s="16"/>
      <c r="E458" s="16"/>
      <c r="F458" s="109"/>
      <c r="G458" s="109"/>
      <c r="H458" s="109"/>
      <c r="I458" s="109"/>
      <c r="J458" s="109"/>
      <c r="K458" s="109"/>
      <c r="L458" s="109"/>
      <c r="M458" s="109"/>
      <c r="N458" s="128"/>
      <c r="O458" s="128"/>
      <c r="P458" s="128"/>
      <c r="Q458" s="155"/>
      <c r="R458" s="128"/>
      <c r="S458" s="128"/>
      <c r="T458" s="128"/>
      <c r="U458" s="109"/>
      <c r="V458" s="109"/>
      <c r="W458" s="109"/>
      <c r="X458" s="109"/>
      <c r="Y458" s="109"/>
      <c r="Z458" s="109"/>
      <c r="AA458" s="16"/>
      <c r="AB458" s="16"/>
      <c r="AC458" s="16"/>
      <c r="AD458" s="16"/>
      <c r="AE458" s="16"/>
      <c r="AF458" s="16"/>
      <c r="AG458" s="16"/>
      <c r="AH458" s="16"/>
      <c r="AI458" s="16"/>
      <c r="AJ458" s="16"/>
    </row>
    <row r="459" spans="1:36" x14ac:dyDescent="0.2">
      <c r="A459" s="16"/>
      <c r="B459" s="16"/>
      <c r="C459" s="16"/>
      <c r="D459" s="16"/>
      <c r="E459" s="16"/>
      <c r="F459" s="109"/>
      <c r="G459" s="109"/>
      <c r="H459" s="109"/>
      <c r="I459" s="109"/>
      <c r="J459" s="109"/>
      <c r="K459" s="109"/>
      <c r="L459" s="109"/>
      <c r="M459" s="109"/>
      <c r="N459" s="128"/>
      <c r="O459" s="128"/>
      <c r="P459" s="128"/>
      <c r="Q459" s="155"/>
      <c r="R459" s="128"/>
      <c r="S459" s="128"/>
      <c r="T459" s="128"/>
      <c r="U459" s="109"/>
      <c r="V459" s="109"/>
      <c r="W459" s="109"/>
      <c r="X459" s="109"/>
      <c r="Y459" s="109"/>
      <c r="Z459" s="109"/>
      <c r="AA459" s="16"/>
      <c r="AB459" s="16"/>
      <c r="AC459" s="16"/>
      <c r="AD459" s="16"/>
      <c r="AE459" s="16"/>
      <c r="AF459" s="16"/>
      <c r="AG459" s="16"/>
      <c r="AH459" s="16"/>
      <c r="AI459" s="16"/>
      <c r="AJ459" s="16"/>
    </row>
    <row r="460" spans="1:36" x14ac:dyDescent="0.2">
      <c r="A460" s="16"/>
      <c r="B460" s="16"/>
      <c r="C460" s="16"/>
      <c r="D460" s="16"/>
      <c r="E460" s="16"/>
      <c r="F460" s="109"/>
      <c r="G460" s="109"/>
      <c r="H460" s="109"/>
      <c r="I460" s="109"/>
      <c r="J460" s="109"/>
      <c r="K460" s="109"/>
      <c r="L460" s="109"/>
      <c r="M460" s="109"/>
      <c r="N460" s="128"/>
      <c r="O460" s="128"/>
      <c r="P460" s="128"/>
      <c r="Q460" s="155"/>
      <c r="R460" s="128"/>
      <c r="S460" s="128"/>
      <c r="T460" s="128"/>
      <c r="U460" s="109"/>
      <c r="V460" s="109"/>
      <c r="W460" s="109"/>
      <c r="X460" s="109"/>
      <c r="Y460" s="109"/>
      <c r="Z460" s="109"/>
      <c r="AA460" s="16"/>
      <c r="AB460" s="16"/>
      <c r="AC460" s="16"/>
      <c r="AD460" s="16"/>
      <c r="AE460" s="16"/>
      <c r="AF460" s="16"/>
      <c r="AG460" s="16"/>
      <c r="AH460" s="16"/>
      <c r="AI460" s="16"/>
      <c r="AJ460" s="16"/>
    </row>
    <row r="461" spans="1:36" x14ac:dyDescent="0.2">
      <c r="A461" s="16"/>
      <c r="B461" s="16"/>
      <c r="C461" s="16"/>
      <c r="D461" s="16"/>
      <c r="E461" s="16"/>
      <c r="F461" s="109"/>
      <c r="G461" s="109"/>
      <c r="H461" s="109"/>
      <c r="I461" s="109"/>
      <c r="J461" s="109"/>
      <c r="K461" s="109"/>
      <c r="L461" s="109"/>
      <c r="M461" s="109"/>
      <c r="N461" s="128"/>
      <c r="O461" s="128"/>
      <c r="P461" s="128"/>
      <c r="Q461" s="155"/>
      <c r="R461" s="128"/>
      <c r="S461" s="128"/>
      <c r="T461" s="128"/>
      <c r="U461" s="109"/>
      <c r="V461" s="109"/>
      <c r="W461" s="109"/>
      <c r="X461" s="109"/>
      <c r="Y461" s="109"/>
      <c r="Z461" s="109"/>
      <c r="AA461" s="16"/>
      <c r="AB461" s="16"/>
      <c r="AC461" s="16"/>
      <c r="AD461" s="16"/>
      <c r="AE461" s="16"/>
      <c r="AF461" s="16"/>
      <c r="AG461" s="16"/>
      <c r="AH461" s="16"/>
      <c r="AI461" s="16"/>
      <c r="AJ461" s="16"/>
    </row>
    <row r="462" spans="1:36" x14ac:dyDescent="0.2">
      <c r="A462" s="16"/>
      <c r="B462" s="16"/>
      <c r="C462" s="16"/>
      <c r="D462" s="16"/>
      <c r="E462" s="16"/>
      <c r="F462" s="109"/>
      <c r="G462" s="109"/>
      <c r="H462" s="109"/>
      <c r="I462" s="109"/>
      <c r="J462" s="109"/>
      <c r="K462" s="109"/>
      <c r="L462" s="109"/>
      <c r="M462" s="109"/>
      <c r="N462" s="128"/>
      <c r="O462" s="128"/>
      <c r="P462" s="128"/>
      <c r="Q462" s="155"/>
      <c r="R462" s="128"/>
      <c r="S462" s="128"/>
      <c r="T462" s="128"/>
      <c r="U462" s="109"/>
      <c r="V462" s="109"/>
      <c r="W462" s="109"/>
      <c r="X462" s="109"/>
      <c r="Y462" s="109"/>
      <c r="Z462" s="109"/>
      <c r="AA462" s="16"/>
      <c r="AB462" s="16"/>
      <c r="AC462" s="16"/>
      <c r="AD462" s="16"/>
      <c r="AE462" s="16"/>
      <c r="AF462" s="16"/>
      <c r="AG462" s="16"/>
      <c r="AH462" s="16"/>
      <c r="AI462" s="16"/>
      <c r="AJ462" s="16"/>
    </row>
    <row r="463" spans="1:36" x14ac:dyDescent="0.2">
      <c r="A463" s="16"/>
      <c r="B463" s="16"/>
      <c r="C463" s="16"/>
      <c r="D463" s="16"/>
      <c r="E463" s="16"/>
      <c r="F463" s="109"/>
      <c r="G463" s="109"/>
      <c r="H463" s="109"/>
      <c r="I463" s="109"/>
      <c r="J463" s="109"/>
      <c r="K463" s="109"/>
      <c r="L463" s="109"/>
      <c r="M463" s="109"/>
      <c r="N463" s="128"/>
      <c r="O463" s="128"/>
      <c r="P463" s="128"/>
      <c r="Q463" s="155"/>
      <c r="R463" s="128"/>
      <c r="S463" s="128"/>
      <c r="T463" s="128"/>
      <c r="U463" s="109"/>
      <c r="V463" s="109"/>
      <c r="W463" s="109"/>
      <c r="X463" s="109"/>
      <c r="Y463" s="109"/>
      <c r="Z463" s="109"/>
      <c r="AA463" s="16"/>
      <c r="AB463" s="16"/>
      <c r="AC463" s="16"/>
      <c r="AD463" s="16"/>
      <c r="AE463" s="16"/>
      <c r="AF463" s="16"/>
      <c r="AG463" s="16"/>
      <c r="AH463" s="16"/>
      <c r="AI463" s="16"/>
      <c r="AJ463" s="16"/>
    </row>
    <row r="464" spans="1:36" x14ac:dyDescent="0.2">
      <c r="A464" s="16"/>
      <c r="B464" s="16"/>
      <c r="C464" s="16"/>
      <c r="D464" s="16"/>
      <c r="E464" s="16"/>
      <c r="F464" s="109"/>
      <c r="G464" s="109"/>
      <c r="H464" s="109"/>
      <c r="I464" s="109"/>
      <c r="J464" s="109"/>
      <c r="K464" s="109"/>
      <c r="L464" s="109"/>
      <c r="M464" s="109"/>
      <c r="N464" s="128"/>
      <c r="O464" s="128"/>
      <c r="P464" s="128"/>
      <c r="Q464" s="155"/>
      <c r="R464" s="128"/>
      <c r="S464" s="128"/>
      <c r="T464" s="128"/>
      <c r="U464" s="109"/>
      <c r="V464" s="109"/>
      <c r="W464" s="109"/>
      <c r="X464" s="109"/>
      <c r="Y464" s="109"/>
      <c r="Z464" s="109"/>
      <c r="AA464" s="16"/>
      <c r="AB464" s="16"/>
      <c r="AC464" s="16"/>
      <c r="AD464" s="16"/>
      <c r="AE464" s="16"/>
      <c r="AF464" s="16"/>
      <c r="AG464" s="16"/>
      <c r="AH464" s="16"/>
      <c r="AI464" s="16"/>
      <c r="AJ464" s="16"/>
    </row>
    <row r="465" spans="1:36" x14ac:dyDescent="0.2">
      <c r="A465" s="16"/>
      <c r="B465" s="16"/>
      <c r="C465" s="16"/>
      <c r="D465" s="16"/>
      <c r="E465" s="16"/>
      <c r="F465" s="109"/>
      <c r="G465" s="109"/>
      <c r="H465" s="109"/>
      <c r="I465" s="109"/>
      <c r="J465" s="109"/>
      <c r="K465" s="109"/>
      <c r="L465" s="109"/>
      <c r="M465" s="109"/>
      <c r="N465" s="128"/>
      <c r="O465" s="128"/>
      <c r="P465" s="128"/>
      <c r="Q465" s="155"/>
      <c r="R465" s="128"/>
      <c r="S465" s="128"/>
      <c r="T465" s="128"/>
      <c r="U465" s="109"/>
      <c r="V465" s="109"/>
      <c r="W465" s="109"/>
      <c r="X465" s="109"/>
      <c r="Y465" s="109"/>
      <c r="Z465" s="109"/>
      <c r="AA465" s="16"/>
      <c r="AB465" s="16"/>
      <c r="AC465" s="16"/>
      <c r="AD465" s="16"/>
      <c r="AE465" s="16"/>
      <c r="AF465" s="16"/>
      <c r="AG465" s="16"/>
      <c r="AH465" s="16"/>
      <c r="AI465" s="16"/>
      <c r="AJ465" s="16"/>
    </row>
    <row r="466" spans="1:36" x14ac:dyDescent="0.2">
      <c r="A466" s="16"/>
      <c r="B466" s="16"/>
      <c r="C466" s="16"/>
      <c r="D466" s="16"/>
      <c r="E466" s="16"/>
      <c r="F466" s="109"/>
      <c r="G466" s="109"/>
      <c r="H466" s="109"/>
      <c r="I466" s="109"/>
      <c r="J466" s="109"/>
      <c r="K466" s="109"/>
      <c r="L466" s="109"/>
      <c r="M466" s="109"/>
      <c r="N466" s="128"/>
      <c r="O466" s="128"/>
      <c r="P466" s="128"/>
      <c r="Q466" s="155"/>
      <c r="R466" s="128"/>
      <c r="S466" s="128"/>
      <c r="T466" s="128"/>
      <c r="U466" s="109"/>
      <c r="V466" s="109"/>
      <c r="W466" s="109"/>
      <c r="X466" s="109"/>
      <c r="Y466" s="109"/>
      <c r="Z466" s="109"/>
      <c r="AA466" s="16"/>
      <c r="AB466" s="16"/>
      <c r="AC466" s="16"/>
      <c r="AD466" s="16"/>
      <c r="AE466" s="16"/>
      <c r="AF466" s="16"/>
      <c r="AG466" s="16"/>
      <c r="AH466" s="16"/>
      <c r="AI466" s="16"/>
      <c r="AJ466" s="16"/>
    </row>
    <row r="467" spans="1:36" x14ac:dyDescent="0.2">
      <c r="A467" s="16"/>
      <c r="B467" s="16"/>
      <c r="C467" s="16"/>
      <c r="D467" s="16"/>
      <c r="E467" s="16"/>
      <c r="F467" s="109"/>
      <c r="G467" s="109"/>
      <c r="H467" s="109"/>
      <c r="I467" s="109"/>
      <c r="J467" s="109"/>
      <c r="K467" s="109"/>
      <c r="L467" s="109"/>
      <c r="M467" s="109"/>
      <c r="N467" s="128"/>
      <c r="O467" s="128"/>
      <c r="P467" s="128"/>
      <c r="Q467" s="155"/>
      <c r="R467" s="128"/>
      <c r="S467" s="128"/>
      <c r="T467" s="128"/>
      <c r="U467" s="109"/>
      <c r="V467" s="109"/>
      <c r="W467" s="109"/>
      <c r="X467" s="109"/>
      <c r="Y467" s="109"/>
      <c r="Z467" s="109"/>
      <c r="AA467" s="16"/>
      <c r="AB467" s="16"/>
      <c r="AC467" s="16"/>
      <c r="AD467" s="16"/>
      <c r="AE467" s="16"/>
      <c r="AF467" s="16"/>
      <c r="AG467" s="16"/>
      <c r="AH467" s="16"/>
      <c r="AI467" s="16"/>
      <c r="AJ467" s="16"/>
    </row>
    <row r="468" spans="1:36" x14ac:dyDescent="0.2">
      <c r="A468" s="16"/>
      <c r="B468" s="16"/>
      <c r="C468" s="16"/>
      <c r="D468" s="16"/>
      <c r="E468" s="16"/>
      <c r="F468" s="109"/>
      <c r="G468" s="109"/>
      <c r="H468" s="109"/>
      <c r="I468" s="109"/>
      <c r="J468" s="109"/>
      <c r="K468" s="109"/>
      <c r="L468" s="109"/>
      <c r="M468" s="109"/>
      <c r="N468" s="128"/>
      <c r="O468" s="128"/>
      <c r="P468" s="128"/>
      <c r="Q468" s="155"/>
      <c r="R468" s="128"/>
      <c r="S468" s="128"/>
      <c r="T468" s="128"/>
      <c r="U468" s="109"/>
      <c r="V468" s="109"/>
      <c r="W468" s="109"/>
      <c r="X468" s="109"/>
      <c r="Y468" s="109"/>
      <c r="Z468" s="109"/>
      <c r="AA468" s="16"/>
      <c r="AB468" s="16"/>
      <c r="AC468" s="16"/>
      <c r="AD468" s="16"/>
      <c r="AE468" s="16"/>
      <c r="AF468" s="16"/>
      <c r="AG468" s="16"/>
      <c r="AH468" s="16"/>
      <c r="AI468" s="16"/>
      <c r="AJ468" s="16"/>
    </row>
    <row r="469" spans="1:36" x14ac:dyDescent="0.2">
      <c r="A469" s="16"/>
      <c r="B469" s="16"/>
      <c r="C469" s="16"/>
      <c r="D469" s="16"/>
      <c r="E469" s="16"/>
      <c r="F469" s="109"/>
      <c r="G469" s="109"/>
      <c r="H469" s="109"/>
      <c r="I469" s="109"/>
      <c r="J469" s="109"/>
      <c r="K469" s="109"/>
      <c r="L469" s="109"/>
      <c r="M469" s="109"/>
      <c r="N469" s="128"/>
      <c r="O469" s="128"/>
      <c r="P469" s="128"/>
      <c r="Q469" s="155"/>
      <c r="R469" s="128"/>
      <c r="S469" s="128"/>
      <c r="T469" s="128"/>
      <c r="U469" s="109"/>
      <c r="V469" s="109"/>
      <c r="W469" s="109"/>
      <c r="X469" s="109"/>
      <c r="Y469" s="109"/>
      <c r="Z469" s="109"/>
      <c r="AA469" s="16"/>
      <c r="AB469" s="16"/>
      <c r="AC469" s="16"/>
      <c r="AD469" s="16"/>
      <c r="AE469" s="16"/>
      <c r="AF469" s="16"/>
      <c r="AG469" s="16"/>
      <c r="AH469" s="16"/>
      <c r="AI469" s="16"/>
      <c r="AJ469" s="16"/>
    </row>
    <row r="470" spans="1:36" x14ac:dyDescent="0.2">
      <c r="A470" s="16"/>
      <c r="B470" s="16"/>
      <c r="C470" s="16"/>
      <c r="D470" s="16"/>
      <c r="E470" s="16"/>
      <c r="F470" s="109"/>
      <c r="G470" s="109"/>
      <c r="H470" s="109"/>
      <c r="I470" s="109"/>
      <c r="J470" s="109"/>
      <c r="K470" s="109"/>
      <c r="L470" s="109"/>
      <c r="M470" s="109"/>
      <c r="N470" s="128"/>
      <c r="O470" s="128"/>
      <c r="P470" s="128"/>
      <c r="Q470" s="155"/>
      <c r="R470" s="128"/>
      <c r="S470" s="128"/>
      <c r="T470" s="128"/>
      <c r="U470" s="109"/>
      <c r="V470" s="109"/>
      <c r="W470" s="109"/>
      <c r="X470" s="109"/>
      <c r="Y470" s="109"/>
      <c r="Z470" s="109"/>
      <c r="AA470" s="16"/>
      <c r="AB470" s="16"/>
      <c r="AC470" s="16"/>
      <c r="AD470" s="16"/>
      <c r="AE470" s="16"/>
      <c r="AF470" s="16"/>
      <c r="AG470" s="16"/>
      <c r="AH470" s="16"/>
      <c r="AI470" s="16"/>
      <c r="AJ470" s="16"/>
    </row>
    <row r="471" spans="1:36" x14ac:dyDescent="0.2">
      <c r="A471" s="16"/>
      <c r="B471" s="16"/>
      <c r="C471" s="16"/>
      <c r="D471" s="16"/>
      <c r="E471" s="16"/>
      <c r="F471" s="109"/>
      <c r="G471" s="109"/>
      <c r="H471" s="109"/>
      <c r="I471" s="109"/>
      <c r="J471" s="109"/>
      <c r="K471" s="109"/>
      <c r="L471" s="109"/>
      <c r="M471" s="109"/>
      <c r="N471" s="128"/>
      <c r="O471" s="128"/>
      <c r="P471" s="128"/>
      <c r="Q471" s="155"/>
      <c r="R471" s="128"/>
      <c r="S471" s="128"/>
      <c r="T471" s="128"/>
      <c r="U471" s="109"/>
      <c r="V471" s="109"/>
      <c r="W471" s="109"/>
      <c r="X471" s="109"/>
      <c r="Y471" s="109"/>
      <c r="Z471" s="109"/>
      <c r="AA471" s="16"/>
      <c r="AB471" s="16"/>
      <c r="AC471" s="16"/>
      <c r="AD471" s="16"/>
      <c r="AE471" s="16"/>
      <c r="AF471" s="16"/>
      <c r="AG471" s="16"/>
      <c r="AH471" s="16"/>
      <c r="AI471" s="16"/>
      <c r="AJ471" s="16"/>
    </row>
    <row r="472" spans="1:36" x14ac:dyDescent="0.2">
      <c r="A472" s="16"/>
      <c r="B472" s="16"/>
      <c r="C472" s="16"/>
      <c r="D472" s="16"/>
      <c r="E472" s="16"/>
      <c r="F472" s="109"/>
      <c r="G472" s="109"/>
      <c r="H472" s="109"/>
      <c r="I472" s="109"/>
      <c r="J472" s="109"/>
      <c r="K472" s="109"/>
      <c r="L472" s="109"/>
      <c r="M472" s="109"/>
      <c r="N472" s="128"/>
      <c r="O472" s="128"/>
      <c r="P472" s="128"/>
      <c r="Q472" s="155"/>
      <c r="R472" s="128"/>
      <c r="S472" s="128"/>
      <c r="T472" s="128"/>
      <c r="U472" s="109"/>
      <c r="V472" s="109"/>
      <c r="W472" s="109"/>
      <c r="X472" s="109"/>
      <c r="Y472" s="109"/>
      <c r="Z472" s="109"/>
      <c r="AA472" s="16"/>
      <c r="AB472" s="16"/>
      <c r="AC472" s="16"/>
      <c r="AD472" s="16"/>
      <c r="AE472" s="16"/>
      <c r="AF472" s="16"/>
      <c r="AG472" s="16"/>
      <c r="AH472" s="16"/>
      <c r="AI472" s="16"/>
      <c r="AJ472" s="16"/>
    </row>
    <row r="473" spans="1:36" x14ac:dyDescent="0.2">
      <c r="A473" s="16"/>
      <c r="B473" s="16"/>
      <c r="C473" s="16"/>
      <c r="D473" s="16"/>
      <c r="E473" s="16"/>
      <c r="F473" s="109"/>
      <c r="G473" s="109"/>
      <c r="H473" s="109"/>
      <c r="I473" s="109"/>
      <c r="J473" s="109"/>
      <c r="K473" s="109"/>
      <c r="L473" s="109"/>
      <c r="M473" s="109"/>
      <c r="N473" s="128"/>
      <c r="O473" s="128"/>
      <c r="P473" s="128"/>
      <c r="Q473" s="155"/>
      <c r="R473" s="128"/>
      <c r="S473" s="128"/>
      <c r="T473" s="128"/>
      <c r="U473" s="109"/>
      <c r="V473" s="109"/>
      <c r="W473" s="109"/>
      <c r="X473" s="109"/>
      <c r="Y473" s="109"/>
      <c r="Z473" s="109"/>
      <c r="AA473" s="16"/>
      <c r="AB473" s="16"/>
      <c r="AC473" s="16"/>
      <c r="AD473" s="16"/>
      <c r="AE473" s="16"/>
      <c r="AF473" s="16"/>
      <c r="AG473" s="16"/>
      <c r="AH473" s="16"/>
      <c r="AI473" s="16"/>
      <c r="AJ473" s="16"/>
    </row>
    <row r="474" spans="1:36" x14ac:dyDescent="0.2">
      <c r="A474" s="16"/>
      <c r="B474" s="16"/>
      <c r="C474" s="16"/>
      <c r="D474" s="16"/>
      <c r="E474" s="16"/>
      <c r="F474" s="109"/>
      <c r="G474" s="109"/>
      <c r="H474" s="109"/>
      <c r="I474" s="109"/>
      <c r="J474" s="109"/>
      <c r="K474" s="109"/>
      <c r="L474" s="109"/>
      <c r="M474" s="109"/>
      <c r="N474" s="128"/>
      <c r="O474" s="128"/>
      <c r="P474" s="128"/>
      <c r="Q474" s="155"/>
      <c r="R474" s="128"/>
      <c r="S474" s="128"/>
      <c r="T474" s="128"/>
      <c r="U474" s="109"/>
      <c r="V474" s="109"/>
      <c r="W474" s="109"/>
      <c r="X474" s="109"/>
      <c r="Y474" s="109"/>
      <c r="Z474" s="109"/>
      <c r="AA474" s="16"/>
      <c r="AB474" s="16"/>
      <c r="AC474" s="16"/>
      <c r="AD474" s="16"/>
      <c r="AE474" s="16"/>
      <c r="AF474" s="16"/>
      <c r="AG474" s="16"/>
      <c r="AH474" s="16"/>
      <c r="AI474" s="16"/>
      <c r="AJ474" s="16"/>
    </row>
    <row r="475" spans="1:36" x14ac:dyDescent="0.2">
      <c r="A475" s="16"/>
      <c r="B475" s="16"/>
      <c r="C475" s="16"/>
      <c r="D475" s="16"/>
      <c r="E475" s="16"/>
      <c r="F475" s="109"/>
      <c r="G475" s="109"/>
      <c r="H475" s="109"/>
      <c r="I475" s="109"/>
      <c r="J475" s="109"/>
      <c r="K475" s="109"/>
      <c r="L475" s="109"/>
      <c r="M475" s="109"/>
      <c r="N475" s="128"/>
      <c r="O475" s="128"/>
      <c r="P475" s="128"/>
      <c r="Q475" s="155"/>
      <c r="R475" s="128"/>
      <c r="S475" s="128"/>
      <c r="T475" s="128"/>
      <c r="U475" s="109"/>
      <c r="V475" s="109"/>
      <c r="W475" s="109"/>
      <c r="X475" s="109"/>
      <c r="Y475" s="109"/>
      <c r="Z475" s="109"/>
      <c r="AA475" s="16"/>
      <c r="AB475" s="16"/>
      <c r="AC475" s="16"/>
      <c r="AD475" s="16"/>
      <c r="AE475" s="16"/>
      <c r="AF475" s="16"/>
      <c r="AG475" s="16"/>
      <c r="AH475" s="16"/>
      <c r="AI475" s="16"/>
      <c r="AJ475" s="16"/>
    </row>
    <row r="476" spans="1:36" x14ac:dyDescent="0.2">
      <c r="A476" s="16"/>
      <c r="B476" s="16"/>
      <c r="C476" s="16"/>
      <c r="D476" s="16"/>
      <c r="E476" s="16"/>
      <c r="F476" s="109"/>
      <c r="G476" s="109"/>
      <c r="H476" s="109"/>
      <c r="I476" s="109"/>
      <c r="J476" s="109"/>
      <c r="K476" s="109"/>
      <c r="L476" s="109"/>
      <c r="M476" s="109"/>
      <c r="N476" s="128"/>
      <c r="O476" s="128"/>
      <c r="P476" s="128"/>
      <c r="Q476" s="155"/>
      <c r="R476" s="128"/>
      <c r="S476" s="128"/>
      <c r="T476" s="128"/>
      <c r="U476" s="109"/>
      <c r="V476" s="109"/>
      <c r="W476" s="109"/>
      <c r="X476" s="109"/>
      <c r="Y476" s="109"/>
      <c r="Z476" s="109"/>
      <c r="AA476" s="16"/>
      <c r="AB476" s="16"/>
      <c r="AC476" s="16"/>
      <c r="AD476" s="16"/>
      <c r="AE476" s="16"/>
      <c r="AF476" s="16"/>
      <c r="AG476" s="16"/>
      <c r="AH476" s="16"/>
      <c r="AI476" s="16"/>
      <c r="AJ476" s="16"/>
    </row>
    <row r="477" spans="1:36" x14ac:dyDescent="0.2">
      <c r="A477" s="16"/>
      <c r="B477" s="16"/>
      <c r="C477" s="16"/>
      <c r="D477" s="16"/>
      <c r="E477" s="16"/>
      <c r="F477" s="109"/>
      <c r="G477" s="109"/>
      <c r="H477" s="109"/>
      <c r="I477" s="109"/>
      <c r="J477" s="109"/>
      <c r="K477" s="109"/>
      <c r="L477" s="109"/>
      <c r="M477" s="109"/>
      <c r="N477" s="128"/>
      <c r="O477" s="128"/>
      <c r="P477" s="128"/>
      <c r="Q477" s="155"/>
      <c r="R477" s="128"/>
      <c r="S477" s="128"/>
      <c r="T477" s="128"/>
      <c r="U477" s="109"/>
      <c r="V477" s="109"/>
      <c r="W477" s="109"/>
      <c r="X477" s="109"/>
      <c r="Y477" s="109"/>
      <c r="Z477" s="109"/>
      <c r="AA477" s="16"/>
      <c r="AB477" s="16"/>
      <c r="AC477" s="16"/>
      <c r="AD477" s="16"/>
      <c r="AE477" s="16"/>
      <c r="AF477" s="16"/>
      <c r="AG477" s="16"/>
      <c r="AH477" s="16"/>
      <c r="AI477" s="16"/>
      <c r="AJ477" s="16"/>
    </row>
    <row r="478" spans="1:36" x14ac:dyDescent="0.2">
      <c r="A478" s="16"/>
      <c r="B478" s="16"/>
      <c r="C478" s="16"/>
      <c r="D478" s="16"/>
      <c r="E478" s="16"/>
      <c r="F478" s="109"/>
      <c r="G478" s="109"/>
      <c r="H478" s="109"/>
      <c r="I478" s="109"/>
      <c r="J478" s="109"/>
      <c r="K478" s="109"/>
      <c r="L478" s="109"/>
      <c r="M478" s="109"/>
      <c r="N478" s="128"/>
      <c r="O478" s="128"/>
      <c r="P478" s="128"/>
      <c r="Q478" s="155"/>
      <c r="R478" s="128"/>
      <c r="S478" s="128"/>
      <c r="T478" s="128"/>
      <c r="U478" s="109"/>
      <c r="V478" s="109"/>
      <c r="W478" s="109"/>
      <c r="X478" s="109"/>
      <c r="Y478" s="109"/>
      <c r="Z478" s="109"/>
      <c r="AA478" s="16"/>
      <c r="AB478" s="16"/>
      <c r="AC478" s="16"/>
      <c r="AD478" s="16"/>
      <c r="AE478" s="16"/>
      <c r="AF478" s="16"/>
      <c r="AG478" s="16"/>
      <c r="AH478" s="16"/>
      <c r="AI478" s="16"/>
      <c r="AJ478" s="16"/>
    </row>
    <row r="479" spans="1:36" x14ac:dyDescent="0.2">
      <c r="A479" s="16"/>
      <c r="B479" s="16"/>
      <c r="C479" s="16"/>
      <c r="D479" s="16"/>
      <c r="E479" s="16"/>
      <c r="F479" s="109"/>
      <c r="G479" s="109"/>
      <c r="H479" s="109"/>
      <c r="I479" s="109"/>
      <c r="J479" s="109"/>
      <c r="K479" s="109"/>
      <c r="L479" s="109"/>
      <c r="M479" s="109"/>
      <c r="N479" s="128"/>
      <c r="O479" s="128"/>
      <c r="P479" s="128"/>
      <c r="Q479" s="155"/>
      <c r="R479" s="128"/>
      <c r="S479" s="128"/>
      <c r="T479" s="128"/>
      <c r="U479" s="109"/>
      <c r="V479" s="109"/>
      <c r="W479" s="109"/>
      <c r="X479" s="109"/>
      <c r="Y479" s="109"/>
      <c r="Z479" s="109"/>
      <c r="AA479" s="16"/>
      <c r="AB479" s="16"/>
      <c r="AC479" s="16"/>
      <c r="AD479" s="16"/>
      <c r="AE479" s="16"/>
      <c r="AF479" s="16"/>
      <c r="AG479" s="16"/>
      <c r="AH479" s="16"/>
      <c r="AI479" s="16"/>
      <c r="AJ479" s="16"/>
    </row>
    <row r="480" spans="1:36" x14ac:dyDescent="0.2">
      <c r="A480" s="16"/>
      <c r="B480" s="16"/>
      <c r="C480" s="16"/>
      <c r="D480" s="16"/>
      <c r="E480" s="16"/>
      <c r="F480" s="109"/>
      <c r="G480" s="109"/>
      <c r="H480" s="109"/>
      <c r="I480" s="109"/>
      <c r="J480" s="109"/>
      <c r="K480" s="109"/>
      <c r="L480" s="109"/>
      <c r="M480" s="109"/>
      <c r="N480" s="128"/>
      <c r="O480" s="128"/>
      <c r="P480" s="128"/>
      <c r="Q480" s="155"/>
      <c r="R480" s="128"/>
      <c r="S480" s="128"/>
      <c r="T480" s="128"/>
      <c r="U480" s="109"/>
      <c r="V480" s="109"/>
      <c r="W480" s="109"/>
      <c r="X480" s="109"/>
      <c r="Y480" s="109"/>
      <c r="Z480" s="109"/>
      <c r="AA480" s="16"/>
      <c r="AB480" s="16"/>
      <c r="AC480" s="16"/>
      <c r="AD480" s="16"/>
      <c r="AE480" s="16"/>
      <c r="AF480" s="16"/>
      <c r="AG480" s="16"/>
      <c r="AH480" s="16"/>
      <c r="AI480" s="16"/>
      <c r="AJ480" s="16"/>
    </row>
    <row r="481" spans="1:36" x14ac:dyDescent="0.2">
      <c r="A481" s="16"/>
      <c r="B481" s="16"/>
      <c r="C481" s="16"/>
      <c r="D481" s="16"/>
      <c r="E481" s="16"/>
      <c r="F481" s="109"/>
      <c r="G481" s="109"/>
      <c r="H481" s="109"/>
      <c r="I481" s="109"/>
      <c r="J481" s="109"/>
      <c r="K481" s="109"/>
      <c r="L481" s="109"/>
      <c r="M481" s="109"/>
      <c r="N481" s="128"/>
      <c r="O481" s="128"/>
      <c r="P481" s="128"/>
      <c r="Q481" s="155"/>
      <c r="R481" s="128"/>
      <c r="S481" s="128"/>
      <c r="T481" s="128"/>
      <c r="U481" s="109"/>
      <c r="V481" s="109"/>
      <c r="W481" s="109"/>
      <c r="X481" s="109"/>
      <c r="Y481" s="109"/>
      <c r="Z481" s="109"/>
      <c r="AA481" s="16"/>
      <c r="AB481" s="16"/>
      <c r="AC481" s="16"/>
      <c r="AD481" s="16"/>
      <c r="AE481" s="16"/>
      <c r="AF481" s="16"/>
      <c r="AG481" s="16"/>
      <c r="AH481" s="16"/>
      <c r="AI481" s="16"/>
      <c r="AJ481" s="16"/>
    </row>
    <row r="482" spans="1:36" x14ac:dyDescent="0.2">
      <c r="A482" s="16"/>
      <c r="B482" s="16"/>
      <c r="C482" s="16"/>
      <c r="D482" s="16"/>
      <c r="E482" s="16"/>
      <c r="F482" s="109"/>
      <c r="G482" s="109"/>
      <c r="H482" s="109"/>
      <c r="I482" s="109"/>
      <c r="J482" s="109"/>
      <c r="K482" s="109"/>
      <c r="L482" s="109"/>
      <c r="M482" s="109"/>
      <c r="N482" s="128"/>
      <c r="O482" s="128"/>
      <c r="P482" s="128"/>
      <c r="Q482" s="155"/>
      <c r="R482" s="128"/>
      <c r="S482" s="128"/>
      <c r="T482" s="128"/>
      <c r="U482" s="109"/>
      <c r="V482" s="109"/>
      <c r="W482" s="109"/>
      <c r="X482" s="109"/>
      <c r="Y482" s="109"/>
      <c r="Z482" s="109"/>
      <c r="AA482" s="16"/>
      <c r="AB482" s="16"/>
      <c r="AC482" s="16"/>
      <c r="AD482" s="16"/>
      <c r="AE482" s="16"/>
      <c r="AF482" s="16"/>
      <c r="AG482" s="16"/>
      <c r="AH482" s="16"/>
      <c r="AI482" s="16"/>
      <c r="AJ482" s="16"/>
    </row>
    <row r="483" spans="1:36" x14ac:dyDescent="0.2">
      <c r="A483" s="16"/>
      <c r="B483" s="16"/>
      <c r="C483" s="16"/>
      <c r="D483" s="16"/>
      <c r="E483" s="16"/>
      <c r="F483" s="109"/>
      <c r="G483" s="109"/>
      <c r="H483" s="109"/>
      <c r="I483" s="109"/>
      <c r="J483" s="109"/>
      <c r="K483" s="109"/>
      <c r="L483" s="109"/>
      <c r="M483" s="109"/>
      <c r="N483" s="128"/>
      <c r="O483" s="128"/>
      <c r="P483" s="128"/>
      <c r="Q483" s="155"/>
      <c r="R483" s="128"/>
      <c r="S483" s="128"/>
      <c r="T483" s="128"/>
      <c r="U483" s="109"/>
      <c r="V483" s="109"/>
      <c r="W483" s="109"/>
      <c r="X483" s="109"/>
      <c r="Y483" s="109"/>
      <c r="Z483" s="109"/>
      <c r="AA483" s="16"/>
      <c r="AB483" s="16"/>
      <c r="AC483" s="16"/>
      <c r="AD483" s="16"/>
      <c r="AE483" s="16"/>
      <c r="AF483" s="16"/>
      <c r="AG483" s="16"/>
      <c r="AH483" s="16"/>
      <c r="AI483" s="16"/>
      <c r="AJ483" s="16"/>
    </row>
    <row r="484" spans="1:36" x14ac:dyDescent="0.2">
      <c r="A484" s="16"/>
      <c r="B484" s="16"/>
      <c r="C484" s="16"/>
      <c r="D484" s="16"/>
      <c r="E484" s="16"/>
      <c r="F484" s="109"/>
      <c r="G484" s="109"/>
      <c r="H484" s="109"/>
      <c r="I484" s="109"/>
      <c r="J484" s="109"/>
      <c r="K484" s="109"/>
      <c r="L484" s="109"/>
      <c r="M484" s="109"/>
      <c r="N484" s="128"/>
      <c r="O484" s="128"/>
      <c r="P484" s="128"/>
      <c r="Q484" s="155"/>
      <c r="R484" s="128"/>
      <c r="S484" s="128"/>
      <c r="T484" s="128"/>
      <c r="U484" s="109"/>
      <c r="V484" s="109"/>
      <c r="W484" s="109"/>
      <c r="X484" s="109"/>
      <c r="Y484" s="109"/>
      <c r="Z484" s="109"/>
      <c r="AA484" s="16"/>
      <c r="AB484" s="16"/>
      <c r="AC484" s="16"/>
      <c r="AD484" s="16"/>
      <c r="AE484" s="16"/>
      <c r="AF484" s="16"/>
      <c r="AG484" s="16"/>
      <c r="AH484" s="16"/>
      <c r="AI484" s="16"/>
      <c r="AJ484" s="16"/>
    </row>
    <row r="485" spans="1:36" x14ac:dyDescent="0.2">
      <c r="A485" s="16"/>
      <c r="B485" s="16"/>
      <c r="C485" s="16"/>
      <c r="D485" s="16"/>
      <c r="E485" s="16"/>
      <c r="F485" s="109"/>
      <c r="G485" s="109"/>
      <c r="H485" s="109"/>
      <c r="I485" s="109"/>
      <c r="J485" s="109"/>
      <c r="K485" s="109"/>
      <c r="L485" s="109"/>
      <c r="M485" s="109"/>
      <c r="N485" s="128"/>
      <c r="O485" s="128"/>
      <c r="P485" s="128"/>
      <c r="Q485" s="155"/>
      <c r="R485" s="128"/>
      <c r="S485" s="128"/>
      <c r="T485" s="128"/>
      <c r="U485" s="109"/>
      <c r="V485" s="109"/>
      <c r="W485" s="109"/>
      <c r="X485" s="109"/>
      <c r="Y485" s="109"/>
      <c r="Z485" s="109"/>
      <c r="AA485" s="16"/>
      <c r="AB485" s="16"/>
      <c r="AC485" s="16"/>
      <c r="AD485" s="16"/>
      <c r="AE485" s="16"/>
      <c r="AF485" s="16"/>
      <c r="AG485" s="16"/>
      <c r="AH485" s="16"/>
      <c r="AI485" s="16"/>
      <c r="AJ485" s="16"/>
    </row>
    <row r="486" spans="1:36" x14ac:dyDescent="0.2">
      <c r="A486" s="16"/>
      <c r="B486" s="16"/>
      <c r="C486" s="16"/>
      <c r="D486" s="16"/>
      <c r="E486" s="16"/>
      <c r="F486" s="109"/>
      <c r="G486" s="109"/>
      <c r="H486" s="109"/>
      <c r="I486" s="109"/>
      <c r="J486" s="109"/>
      <c r="K486" s="109"/>
      <c r="L486" s="109"/>
      <c r="M486" s="109"/>
      <c r="N486" s="128"/>
      <c r="O486" s="128"/>
      <c r="P486" s="128"/>
      <c r="Q486" s="155"/>
      <c r="R486" s="128"/>
      <c r="S486" s="128"/>
      <c r="T486" s="128"/>
      <c r="U486" s="109"/>
      <c r="V486" s="109"/>
      <c r="W486" s="109"/>
      <c r="X486" s="109"/>
      <c r="Y486" s="109"/>
      <c r="Z486" s="109"/>
      <c r="AA486" s="16"/>
      <c r="AB486" s="16"/>
      <c r="AC486" s="16"/>
      <c r="AD486" s="16"/>
      <c r="AE486" s="16"/>
      <c r="AF486" s="16"/>
      <c r="AG486" s="16"/>
      <c r="AH486" s="16"/>
      <c r="AI486" s="16"/>
      <c r="AJ486" s="16"/>
    </row>
    <row r="487" spans="1:36" x14ac:dyDescent="0.2">
      <c r="A487" s="16"/>
      <c r="B487" s="16"/>
      <c r="C487" s="16"/>
      <c r="D487" s="16"/>
      <c r="E487" s="16"/>
      <c r="F487" s="109"/>
      <c r="G487" s="109"/>
      <c r="H487" s="109"/>
      <c r="I487" s="109"/>
      <c r="J487" s="109"/>
      <c r="K487" s="109"/>
      <c r="L487" s="109"/>
      <c r="M487" s="109"/>
      <c r="N487" s="128"/>
      <c r="O487" s="128"/>
      <c r="P487" s="128"/>
      <c r="Q487" s="155"/>
      <c r="R487" s="128"/>
      <c r="S487" s="128"/>
      <c r="T487" s="128"/>
      <c r="U487" s="109"/>
      <c r="V487" s="109"/>
      <c r="W487" s="109"/>
      <c r="X487" s="109"/>
      <c r="Y487" s="109"/>
      <c r="Z487" s="109"/>
      <c r="AA487" s="16"/>
      <c r="AB487" s="16"/>
      <c r="AC487" s="16"/>
      <c r="AD487" s="16"/>
      <c r="AE487" s="16"/>
      <c r="AF487" s="16"/>
      <c r="AG487" s="16"/>
      <c r="AH487" s="16"/>
      <c r="AI487" s="16"/>
      <c r="AJ487" s="16"/>
    </row>
    <row r="488" spans="1:36" x14ac:dyDescent="0.2">
      <c r="A488" s="16"/>
      <c r="B488" s="16"/>
      <c r="C488" s="16"/>
      <c r="D488" s="16"/>
      <c r="E488" s="16"/>
      <c r="F488" s="109"/>
      <c r="G488" s="109"/>
      <c r="H488" s="109"/>
      <c r="I488" s="109"/>
      <c r="J488" s="109"/>
      <c r="K488" s="109"/>
      <c r="L488" s="109"/>
      <c r="M488" s="109"/>
      <c r="N488" s="128"/>
      <c r="O488" s="128"/>
      <c r="P488" s="128"/>
      <c r="Q488" s="155"/>
      <c r="R488" s="128"/>
      <c r="S488" s="128"/>
      <c r="T488" s="128"/>
      <c r="U488" s="109"/>
      <c r="V488" s="109"/>
      <c r="W488" s="109"/>
      <c r="X488" s="109"/>
      <c r="Y488" s="109"/>
      <c r="Z488" s="109"/>
      <c r="AA488" s="16"/>
      <c r="AB488" s="16"/>
      <c r="AC488" s="16"/>
      <c r="AD488" s="16"/>
      <c r="AE488" s="16"/>
      <c r="AF488" s="16"/>
      <c r="AG488" s="16"/>
      <c r="AH488" s="16"/>
      <c r="AI488" s="16"/>
      <c r="AJ488" s="16"/>
    </row>
    <row r="489" spans="1:36" x14ac:dyDescent="0.2">
      <c r="A489" s="16"/>
      <c r="B489" s="16"/>
      <c r="C489" s="16"/>
      <c r="D489" s="16"/>
      <c r="E489" s="16"/>
      <c r="F489" s="109"/>
      <c r="G489" s="109"/>
      <c r="H489" s="109"/>
      <c r="I489" s="109"/>
      <c r="J489" s="109"/>
      <c r="K489" s="109"/>
      <c r="L489" s="109"/>
      <c r="M489" s="109"/>
      <c r="N489" s="128"/>
      <c r="O489" s="128"/>
      <c r="P489" s="128"/>
      <c r="Q489" s="155"/>
      <c r="R489" s="128"/>
      <c r="S489" s="128"/>
      <c r="T489" s="128"/>
      <c r="U489" s="109"/>
      <c r="V489" s="109"/>
      <c r="W489" s="109"/>
      <c r="X489" s="109"/>
      <c r="Y489" s="109"/>
      <c r="Z489" s="109"/>
      <c r="AA489" s="16"/>
      <c r="AB489" s="16"/>
      <c r="AC489" s="16"/>
      <c r="AD489" s="16"/>
      <c r="AE489" s="16"/>
      <c r="AF489" s="16"/>
      <c r="AG489" s="16"/>
      <c r="AH489" s="16"/>
      <c r="AI489" s="16"/>
      <c r="AJ489" s="16"/>
    </row>
    <row r="490" spans="1:36" x14ac:dyDescent="0.2">
      <c r="A490" s="16"/>
      <c r="B490" s="16"/>
      <c r="C490" s="16"/>
      <c r="D490" s="16"/>
      <c r="E490" s="16"/>
      <c r="F490" s="109"/>
      <c r="G490" s="109"/>
      <c r="H490" s="109"/>
      <c r="I490" s="109"/>
      <c r="J490" s="109"/>
      <c r="K490" s="109"/>
      <c r="L490" s="109"/>
      <c r="M490" s="109"/>
      <c r="N490" s="128"/>
      <c r="O490" s="128"/>
      <c r="P490" s="128"/>
      <c r="Q490" s="155"/>
      <c r="R490" s="128"/>
      <c r="S490" s="128"/>
      <c r="T490" s="128"/>
      <c r="U490" s="109"/>
      <c r="V490" s="109"/>
      <c r="W490" s="109"/>
      <c r="X490" s="109"/>
      <c r="Y490" s="109"/>
      <c r="Z490" s="109"/>
      <c r="AA490" s="16"/>
      <c r="AB490" s="16"/>
      <c r="AC490" s="16"/>
      <c r="AD490" s="16"/>
      <c r="AE490" s="16"/>
      <c r="AF490" s="16"/>
      <c r="AG490" s="16"/>
      <c r="AH490" s="16"/>
      <c r="AI490" s="16"/>
      <c r="AJ490" s="16"/>
    </row>
    <row r="491" spans="1:36" x14ac:dyDescent="0.2">
      <c r="A491" s="16"/>
      <c r="B491" s="16"/>
      <c r="C491" s="16"/>
      <c r="D491" s="16"/>
      <c r="E491" s="16"/>
      <c r="F491" s="109"/>
      <c r="G491" s="109"/>
      <c r="H491" s="109"/>
      <c r="I491" s="109"/>
      <c r="J491" s="109"/>
      <c r="K491" s="109"/>
      <c r="L491" s="109"/>
      <c r="M491" s="109"/>
      <c r="N491" s="128"/>
      <c r="O491" s="128"/>
      <c r="P491" s="128"/>
      <c r="Q491" s="155"/>
      <c r="R491" s="128"/>
      <c r="S491" s="128"/>
      <c r="T491" s="128"/>
      <c r="U491" s="109"/>
      <c r="V491" s="109"/>
      <c r="W491" s="109"/>
      <c r="X491" s="109"/>
      <c r="Y491" s="109"/>
      <c r="Z491" s="109"/>
      <c r="AA491" s="16"/>
      <c r="AB491" s="16"/>
      <c r="AC491" s="16"/>
      <c r="AD491" s="16"/>
      <c r="AE491" s="16"/>
      <c r="AF491" s="16"/>
      <c r="AG491" s="16"/>
      <c r="AH491" s="16"/>
      <c r="AI491" s="16"/>
      <c r="AJ491" s="16"/>
    </row>
    <row r="492" spans="1:36" x14ac:dyDescent="0.2">
      <c r="A492" s="16"/>
      <c r="B492" s="16"/>
      <c r="C492" s="16"/>
      <c r="D492" s="16"/>
      <c r="E492" s="16"/>
      <c r="F492" s="109"/>
      <c r="G492" s="109"/>
      <c r="H492" s="109"/>
      <c r="I492" s="109"/>
      <c r="J492" s="109"/>
      <c r="K492" s="109"/>
      <c r="L492" s="109"/>
      <c r="M492" s="109"/>
      <c r="N492" s="128"/>
      <c r="O492" s="128"/>
      <c r="P492" s="128"/>
      <c r="Q492" s="155"/>
      <c r="R492" s="128"/>
      <c r="S492" s="128"/>
      <c r="T492" s="128"/>
      <c r="U492" s="109"/>
      <c r="V492" s="109"/>
      <c r="W492" s="109"/>
      <c r="X492" s="109"/>
      <c r="Y492" s="109"/>
      <c r="Z492" s="109"/>
      <c r="AA492" s="16"/>
      <c r="AB492" s="16"/>
      <c r="AC492" s="16"/>
      <c r="AD492" s="16"/>
      <c r="AE492" s="16"/>
      <c r="AF492" s="16"/>
      <c r="AG492" s="16"/>
      <c r="AH492" s="16"/>
      <c r="AI492" s="16"/>
      <c r="AJ492" s="16"/>
    </row>
    <row r="493" spans="1:36" x14ac:dyDescent="0.2">
      <c r="A493" s="16"/>
      <c r="B493" s="16"/>
      <c r="C493" s="16"/>
      <c r="D493" s="16"/>
      <c r="E493" s="16"/>
      <c r="F493" s="109"/>
      <c r="G493" s="109"/>
      <c r="H493" s="109"/>
      <c r="I493" s="109"/>
      <c r="J493" s="109"/>
      <c r="K493" s="109"/>
      <c r="L493" s="109"/>
      <c r="M493" s="109"/>
      <c r="N493" s="128"/>
      <c r="O493" s="128"/>
      <c r="P493" s="128"/>
      <c r="Q493" s="155"/>
      <c r="R493" s="128"/>
      <c r="S493" s="128"/>
      <c r="T493" s="128"/>
      <c r="U493" s="109"/>
      <c r="V493" s="109"/>
      <c r="W493" s="109"/>
      <c r="X493" s="109"/>
      <c r="Y493" s="109"/>
      <c r="Z493" s="109"/>
      <c r="AA493" s="16"/>
      <c r="AB493" s="16"/>
      <c r="AC493" s="16"/>
      <c r="AD493" s="16"/>
      <c r="AE493" s="16"/>
      <c r="AF493" s="16"/>
      <c r="AG493" s="16"/>
      <c r="AH493" s="16"/>
      <c r="AI493" s="16"/>
      <c r="AJ493" s="16"/>
    </row>
    <row r="494" spans="1:36" x14ac:dyDescent="0.2">
      <c r="A494" s="16"/>
      <c r="B494" s="16"/>
      <c r="C494" s="16"/>
      <c r="D494" s="16"/>
      <c r="E494" s="16"/>
      <c r="F494" s="109"/>
      <c r="G494" s="109"/>
      <c r="H494" s="109"/>
      <c r="I494" s="109"/>
      <c r="J494" s="109"/>
      <c r="K494" s="109"/>
      <c r="L494" s="109"/>
      <c r="M494" s="109"/>
      <c r="N494" s="128"/>
      <c r="O494" s="128"/>
      <c r="P494" s="128"/>
      <c r="Q494" s="155"/>
      <c r="R494" s="128"/>
      <c r="S494" s="128"/>
      <c r="T494" s="128"/>
      <c r="U494" s="109"/>
      <c r="V494" s="109"/>
      <c r="W494" s="109"/>
      <c r="X494" s="109"/>
      <c r="Y494" s="109"/>
      <c r="Z494" s="109"/>
      <c r="AA494" s="16"/>
      <c r="AB494" s="16"/>
      <c r="AC494" s="16"/>
      <c r="AD494" s="16"/>
      <c r="AE494" s="16"/>
      <c r="AF494" s="16"/>
      <c r="AG494" s="16"/>
      <c r="AH494" s="16"/>
      <c r="AI494" s="16"/>
      <c r="AJ494" s="16"/>
    </row>
    <row r="495" spans="1:36" x14ac:dyDescent="0.2">
      <c r="A495" s="16"/>
      <c r="B495" s="16"/>
      <c r="C495" s="16"/>
      <c r="D495" s="16"/>
      <c r="E495" s="16"/>
      <c r="F495" s="109"/>
      <c r="G495" s="109"/>
      <c r="H495" s="109"/>
      <c r="I495" s="109"/>
      <c r="J495" s="109"/>
      <c r="K495" s="109"/>
      <c r="L495" s="109"/>
      <c r="M495" s="109"/>
      <c r="N495" s="128"/>
      <c r="O495" s="128"/>
      <c r="P495" s="128"/>
      <c r="Q495" s="155"/>
      <c r="R495" s="128"/>
      <c r="S495" s="128"/>
      <c r="T495" s="128"/>
      <c r="U495" s="109"/>
      <c r="V495" s="109"/>
      <c r="W495" s="109"/>
      <c r="X495" s="109"/>
      <c r="Y495" s="109"/>
      <c r="Z495" s="109"/>
      <c r="AA495" s="16"/>
      <c r="AB495" s="16"/>
      <c r="AC495" s="16"/>
      <c r="AD495" s="16"/>
      <c r="AE495" s="16"/>
      <c r="AF495" s="16"/>
      <c r="AG495" s="16"/>
      <c r="AH495" s="16"/>
      <c r="AI495" s="16"/>
      <c r="AJ495" s="16"/>
    </row>
    <row r="496" spans="1:36" x14ac:dyDescent="0.2">
      <c r="A496" s="16"/>
      <c r="B496" s="16"/>
      <c r="C496" s="16"/>
      <c r="D496" s="16"/>
      <c r="E496" s="16"/>
      <c r="F496" s="109"/>
      <c r="G496" s="109"/>
      <c r="H496" s="109"/>
      <c r="I496" s="109"/>
      <c r="J496" s="109"/>
      <c r="K496" s="109"/>
      <c r="L496" s="109"/>
      <c r="M496" s="109"/>
      <c r="N496" s="128"/>
      <c r="O496" s="128"/>
      <c r="P496" s="128"/>
      <c r="Q496" s="155"/>
      <c r="R496" s="128"/>
      <c r="S496" s="128"/>
      <c r="T496" s="128"/>
      <c r="U496" s="109"/>
      <c r="V496" s="109"/>
      <c r="W496" s="109"/>
      <c r="X496" s="109"/>
      <c r="Y496" s="109"/>
      <c r="Z496" s="109"/>
      <c r="AA496" s="16"/>
      <c r="AB496" s="16"/>
      <c r="AC496" s="16"/>
      <c r="AD496" s="16"/>
      <c r="AE496" s="16"/>
      <c r="AF496" s="16"/>
      <c r="AG496" s="16"/>
      <c r="AH496" s="16"/>
      <c r="AI496" s="16"/>
      <c r="AJ496" s="16"/>
    </row>
    <row r="497" spans="1:36" x14ac:dyDescent="0.2">
      <c r="A497" s="16"/>
      <c r="B497" s="16"/>
      <c r="C497" s="16"/>
      <c r="D497" s="16"/>
      <c r="E497" s="16"/>
      <c r="F497" s="109"/>
      <c r="G497" s="109"/>
      <c r="H497" s="109"/>
      <c r="I497" s="109"/>
      <c r="J497" s="109"/>
      <c r="K497" s="109"/>
      <c r="L497" s="109"/>
      <c r="M497" s="109"/>
      <c r="N497" s="128"/>
      <c r="O497" s="128"/>
      <c r="P497" s="128"/>
      <c r="Q497" s="155"/>
      <c r="R497" s="128"/>
      <c r="S497" s="128"/>
      <c r="T497" s="128"/>
      <c r="U497" s="109"/>
      <c r="V497" s="109"/>
      <c r="W497" s="109"/>
      <c r="X497" s="109"/>
      <c r="Y497" s="109"/>
      <c r="Z497" s="109"/>
      <c r="AA497" s="16"/>
      <c r="AB497" s="16"/>
      <c r="AC497" s="16"/>
      <c r="AD497" s="16"/>
      <c r="AE497" s="16"/>
      <c r="AF497" s="16"/>
      <c r="AG497" s="16"/>
      <c r="AH497" s="16"/>
      <c r="AI497" s="16"/>
      <c r="AJ497" s="16"/>
    </row>
    <row r="498" spans="1:36" x14ac:dyDescent="0.2">
      <c r="A498" s="16"/>
      <c r="B498" s="16"/>
      <c r="C498" s="16"/>
      <c r="D498" s="16"/>
      <c r="E498" s="16"/>
      <c r="F498" s="109"/>
      <c r="G498" s="109"/>
      <c r="H498" s="109"/>
      <c r="I498" s="109"/>
      <c r="J498" s="109"/>
      <c r="K498" s="109"/>
      <c r="L498" s="109"/>
      <c r="M498" s="109"/>
      <c r="N498" s="128"/>
      <c r="O498" s="128"/>
      <c r="P498" s="128"/>
      <c r="Q498" s="155"/>
      <c r="R498" s="128"/>
      <c r="S498" s="128"/>
      <c r="T498" s="128"/>
      <c r="U498" s="109"/>
      <c r="V498" s="109"/>
      <c r="W498" s="109"/>
      <c r="X498" s="109"/>
      <c r="Y498" s="109"/>
      <c r="Z498" s="109"/>
      <c r="AA498" s="16"/>
      <c r="AB498" s="16"/>
      <c r="AC498" s="16"/>
      <c r="AD498" s="16"/>
      <c r="AE498" s="16"/>
      <c r="AF498" s="16"/>
      <c r="AG498" s="16"/>
      <c r="AH498" s="16"/>
      <c r="AI498" s="16"/>
      <c r="AJ498" s="16"/>
    </row>
    <row r="499" spans="1:36" x14ac:dyDescent="0.2">
      <c r="A499" s="16"/>
      <c r="B499" s="16"/>
      <c r="C499" s="16"/>
      <c r="D499" s="16"/>
      <c r="E499" s="16"/>
      <c r="F499" s="109"/>
      <c r="G499" s="109"/>
      <c r="H499" s="109"/>
      <c r="I499" s="109"/>
      <c r="J499" s="109"/>
      <c r="K499" s="109"/>
      <c r="L499" s="109"/>
      <c r="M499" s="109"/>
      <c r="N499" s="128"/>
      <c r="O499" s="128"/>
      <c r="P499" s="128"/>
      <c r="Q499" s="155"/>
      <c r="R499" s="128"/>
      <c r="S499" s="128"/>
      <c r="T499" s="128"/>
      <c r="U499" s="109"/>
      <c r="V499" s="109"/>
      <c r="W499" s="109"/>
      <c r="X499" s="109"/>
      <c r="Y499" s="109"/>
      <c r="Z499" s="109"/>
      <c r="AA499" s="16"/>
      <c r="AB499" s="16"/>
      <c r="AC499" s="16"/>
      <c r="AD499" s="16"/>
      <c r="AE499" s="16"/>
      <c r="AF499" s="16"/>
      <c r="AG499" s="16"/>
      <c r="AH499" s="16"/>
      <c r="AI499" s="16"/>
      <c r="AJ499" s="16"/>
    </row>
    <row r="500" spans="1:36" x14ac:dyDescent="0.2">
      <c r="A500" s="16"/>
      <c r="B500" s="16"/>
      <c r="C500" s="16"/>
      <c r="D500" s="16"/>
      <c r="E500" s="16"/>
      <c r="F500" s="109"/>
      <c r="G500" s="109"/>
      <c r="H500" s="109"/>
      <c r="I500" s="109"/>
      <c r="J500" s="109"/>
      <c r="K500" s="109"/>
      <c r="L500" s="109"/>
      <c r="M500" s="109"/>
      <c r="N500" s="128"/>
      <c r="O500" s="128"/>
      <c r="P500" s="128"/>
      <c r="Q500" s="155"/>
      <c r="R500" s="128"/>
      <c r="S500" s="128"/>
      <c r="T500" s="128"/>
      <c r="U500" s="109"/>
      <c r="V500" s="109"/>
      <c r="W500" s="109"/>
      <c r="X500" s="109"/>
      <c r="Y500" s="109"/>
      <c r="Z500" s="109"/>
      <c r="AA500" s="16"/>
      <c r="AB500" s="16"/>
      <c r="AC500" s="16"/>
      <c r="AD500" s="16"/>
      <c r="AE500" s="16"/>
      <c r="AF500" s="16"/>
      <c r="AG500" s="16"/>
      <c r="AH500" s="16"/>
      <c r="AI500" s="16"/>
      <c r="AJ500" s="16"/>
    </row>
    <row r="501" spans="1:36" x14ac:dyDescent="0.2">
      <c r="A501" s="16"/>
      <c r="B501" s="16"/>
      <c r="C501" s="16"/>
      <c r="D501" s="16"/>
      <c r="E501" s="16"/>
      <c r="F501" s="109"/>
      <c r="G501" s="109"/>
      <c r="H501" s="109"/>
      <c r="I501" s="109"/>
      <c r="J501" s="109"/>
      <c r="K501" s="109"/>
      <c r="L501" s="109"/>
      <c r="M501" s="109"/>
      <c r="N501" s="128"/>
      <c r="O501" s="128"/>
      <c r="P501" s="128"/>
      <c r="Q501" s="155"/>
      <c r="R501" s="128"/>
      <c r="S501" s="128"/>
      <c r="T501" s="128"/>
      <c r="U501" s="109"/>
      <c r="V501" s="109"/>
      <c r="W501" s="109"/>
      <c r="X501" s="109"/>
      <c r="Y501" s="109"/>
      <c r="Z501" s="109"/>
      <c r="AA501" s="16"/>
      <c r="AB501" s="16"/>
      <c r="AC501" s="16"/>
      <c r="AD501" s="16"/>
      <c r="AE501" s="16"/>
      <c r="AF501" s="16"/>
      <c r="AG501" s="16"/>
      <c r="AH501" s="16"/>
      <c r="AI501" s="16"/>
      <c r="AJ501" s="16"/>
    </row>
    <row r="502" spans="1:36" x14ac:dyDescent="0.2">
      <c r="A502" s="16"/>
      <c r="B502" s="16"/>
      <c r="C502" s="16"/>
      <c r="D502" s="16"/>
      <c r="E502" s="16"/>
      <c r="F502" s="109"/>
      <c r="G502" s="109"/>
      <c r="H502" s="109"/>
      <c r="I502" s="109"/>
      <c r="J502" s="109"/>
      <c r="K502" s="109"/>
      <c r="L502" s="109"/>
      <c r="M502" s="109"/>
      <c r="N502" s="128"/>
      <c r="O502" s="128"/>
      <c r="P502" s="128"/>
      <c r="Q502" s="155"/>
      <c r="R502" s="128"/>
      <c r="S502" s="128"/>
      <c r="T502" s="128"/>
      <c r="U502" s="109"/>
      <c r="V502" s="109"/>
      <c r="W502" s="109"/>
      <c r="X502" s="109"/>
      <c r="Y502" s="109"/>
      <c r="Z502" s="109"/>
      <c r="AA502" s="16"/>
      <c r="AB502" s="16"/>
      <c r="AC502" s="16"/>
      <c r="AD502" s="16"/>
      <c r="AE502" s="16"/>
      <c r="AF502" s="16"/>
      <c r="AG502" s="16"/>
      <c r="AH502" s="16"/>
      <c r="AI502" s="16"/>
      <c r="AJ502" s="16"/>
    </row>
    <row r="503" spans="1:36" x14ac:dyDescent="0.2">
      <c r="A503" s="16"/>
      <c r="B503" s="16"/>
      <c r="C503" s="16"/>
      <c r="D503" s="16"/>
      <c r="E503" s="16"/>
      <c r="F503" s="109"/>
      <c r="G503" s="109"/>
      <c r="H503" s="109"/>
      <c r="I503" s="109"/>
      <c r="J503" s="109"/>
      <c r="K503" s="109"/>
      <c r="L503" s="109"/>
      <c r="M503" s="109"/>
      <c r="N503" s="128"/>
      <c r="O503" s="128"/>
      <c r="P503" s="128"/>
      <c r="Q503" s="155"/>
      <c r="R503" s="128"/>
      <c r="S503" s="128"/>
      <c r="T503" s="128"/>
      <c r="U503" s="109"/>
      <c r="V503" s="109"/>
      <c r="W503" s="109"/>
      <c r="X503" s="109"/>
      <c r="Y503" s="109"/>
      <c r="Z503" s="109"/>
      <c r="AA503" s="16"/>
      <c r="AB503" s="16"/>
      <c r="AC503" s="16"/>
      <c r="AD503" s="16"/>
      <c r="AE503" s="16"/>
      <c r="AF503" s="16"/>
      <c r="AG503" s="16"/>
      <c r="AH503" s="16"/>
      <c r="AI503" s="16"/>
      <c r="AJ503" s="16"/>
    </row>
    <row r="504" spans="1:36" x14ac:dyDescent="0.2">
      <c r="A504" s="16"/>
      <c r="B504" s="16"/>
      <c r="C504" s="16"/>
      <c r="D504" s="16"/>
      <c r="E504" s="16"/>
      <c r="F504" s="109"/>
      <c r="G504" s="109"/>
      <c r="H504" s="109"/>
      <c r="I504" s="109"/>
      <c r="J504" s="109"/>
      <c r="K504" s="109"/>
      <c r="L504" s="109"/>
      <c r="M504" s="109"/>
      <c r="N504" s="128"/>
      <c r="O504" s="128"/>
      <c r="P504" s="128"/>
      <c r="Q504" s="155"/>
      <c r="R504" s="128"/>
      <c r="S504" s="128"/>
      <c r="T504" s="128"/>
      <c r="U504" s="109"/>
      <c r="V504" s="109"/>
      <c r="W504" s="109"/>
      <c r="X504" s="109"/>
      <c r="Y504" s="109"/>
      <c r="Z504" s="109"/>
      <c r="AA504" s="16"/>
      <c r="AB504" s="16"/>
      <c r="AC504" s="16"/>
      <c r="AD504" s="16"/>
      <c r="AE504" s="16"/>
      <c r="AF504" s="16"/>
      <c r="AG504" s="16"/>
      <c r="AH504" s="16"/>
      <c r="AI504" s="16"/>
      <c r="AJ504" s="16"/>
    </row>
    <row r="505" spans="1:36" x14ac:dyDescent="0.2">
      <c r="A505" s="16"/>
      <c r="B505" s="16"/>
      <c r="C505" s="16"/>
      <c r="D505" s="16"/>
      <c r="E505" s="16"/>
      <c r="F505" s="109"/>
      <c r="G505" s="109"/>
      <c r="H505" s="109"/>
      <c r="I505" s="109"/>
      <c r="J505" s="109"/>
      <c r="K505" s="109"/>
      <c r="L505" s="109"/>
      <c r="M505" s="109"/>
      <c r="N505" s="128"/>
      <c r="O505" s="128"/>
      <c r="P505" s="128"/>
      <c r="Q505" s="155"/>
      <c r="R505" s="128"/>
      <c r="S505" s="128"/>
      <c r="T505" s="128"/>
      <c r="U505" s="109"/>
      <c r="V505" s="109"/>
      <c r="W505" s="109"/>
      <c r="X505" s="109"/>
      <c r="Y505" s="109"/>
      <c r="Z505" s="109"/>
      <c r="AA505" s="16"/>
      <c r="AB505" s="16"/>
      <c r="AC505" s="16"/>
      <c r="AD505" s="16"/>
      <c r="AE505" s="16"/>
      <c r="AF505" s="16"/>
      <c r="AG505" s="16"/>
      <c r="AH505" s="16"/>
      <c r="AI505" s="16"/>
      <c r="AJ505" s="16"/>
    </row>
    <row r="506" spans="1:36" x14ac:dyDescent="0.2">
      <c r="A506" s="16"/>
      <c r="B506" s="16"/>
      <c r="C506" s="16"/>
      <c r="D506" s="16"/>
      <c r="E506" s="16"/>
      <c r="F506" s="109"/>
      <c r="G506" s="109"/>
      <c r="H506" s="109"/>
      <c r="I506" s="109"/>
      <c r="J506" s="109"/>
      <c r="K506" s="109"/>
      <c r="L506" s="109"/>
      <c r="M506" s="109"/>
      <c r="N506" s="128"/>
      <c r="O506" s="128"/>
      <c r="P506" s="128"/>
      <c r="Q506" s="155"/>
      <c r="R506" s="128"/>
      <c r="S506" s="128"/>
      <c r="T506" s="128"/>
      <c r="U506" s="109"/>
      <c r="V506" s="109"/>
      <c r="W506" s="109"/>
      <c r="X506" s="109"/>
      <c r="Y506" s="109"/>
      <c r="Z506" s="109"/>
      <c r="AA506" s="16"/>
      <c r="AB506" s="16"/>
      <c r="AC506" s="16"/>
      <c r="AD506" s="16"/>
      <c r="AE506" s="16"/>
      <c r="AF506" s="16"/>
      <c r="AG506" s="16"/>
      <c r="AH506" s="16"/>
      <c r="AI506" s="16"/>
      <c r="AJ506" s="16"/>
    </row>
    <row r="507" spans="1:36" x14ac:dyDescent="0.2">
      <c r="A507" s="16"/>
      <c r="B507" s="16"/>
      <c r="C507" s="16"/>
      <c r="D507" s="16"/>
      <c r="E507" s="16"/>
      <c r="F507" s="109"/>
      <c r="G507" s="109"/>
      <c r="H507" s="109"/>
      <c r="I507" s="109"/>
      <c r="J507" s="109"/>
      <c r="K507" s="109"/>
      <c r="L507" s="109"/>
      <c r="M507" s="109"/>
      <c r="N507" s="128"/>
      <c r="O507" s="128"/>
      <c r="P507" s="128"/>
      <c r="Q507" s="155"/>
      <c r="R507" s="128"/>
      <c r="S507" s="128"/>
      <c r="T507" s="128"/>
      <c r="U507" s="109"/>
      <c r="V507" s="109"/>
      <c r="W507" s="109"/>
      <c r="X507" s="109"/>
      <c r="Y507" s="109"/>
      <c r="Z507" s="109"/>
      <c r="AA507" s="16"/>
      <c r="AB507" s="16"/>
      <c r="AC507" s="16"/>
      <c r="AD507" s="16"/>
      <c r="AE507" s="16"/>
      <c r="AF507" s="16"/>
      <c r="AG507" s="16"/>
      <c r="AH507" s="16"/>
      <c r="AI507" s="16"/>
      <c r="AJ507" s="16"/>
    </row>
    <row r="508" spans="1:36" x14ac:dyDescent="0.2">
      <c r="A508" s="16"/>
      <c r="B508" s="16"/>
      <c r="C508" s="16"/>
      <c r="D508" s="16"/>
      <c r="E508" s="16"/>
      <c r="F508" s="109"/>
      <c r="G508" s="109"/>
      <c r="H508" s="109"/>
      <c r="I508" s="109"/>
      <c r="J508" s="109"/>
      <c r="K508" s="109"/>
      <c r="L508" s="109"/>
      <c r="M508" s="109"/>
      <c r="N508" s="128"/>
      <c r="O508" s="128"/>
      <c r="P508" s="128"/>
      <c r="Q508" s="155"/>
      <c r="R508" s="128"/>
      <c r="S508" s="128"/>
      <c r="T508" s="128"/>
      <c r="U508" s="109"/>
      <c r="V508" s="109"/>
      <c r="W508" s="109"/>
      <c r="X508" s="109"/>
      <c r="Y508" s="109"/>
      <c r="Z508" s="109"/>
      <c r="AA508" s="16"/>
      <c r="AB508" s="16"/>
      <c r="AC508" s="16"/>
      <c r="AD508" s="16"/>
      <c r="AE508" s="16"/>
      <c r="AF508" s="16"/>
      <c r="AG508" s="16"/>
      <c r="AH508" s="16"/>
      <c r="AI508" s="16"/>
      <c r="AJ508" s="16"/>
    </row>
    <row r="509" spans="1:36" x14ac:dyDescent="0.2">
      <c r="A509" s="16"/>
      <c r="C509" s="16"/>
      <c r="D509" s="16"/>
      <c r="E509" s="16"/>
      <c r="F509" s="109"/>
      <c r="G509" s="109"/>
      <c r="H509" s="109"/>
      <c r="I509" s="109"/>
      <c r="J509" s="109"/>
      <c r="K509" s="109"/>
      <c r="L509" s="109"/>
      <c r="M509" s="109"/>
      <c r="N509" s="128"/>
      <c r="AE509" s="16"/>
      <c r="AF509" s="16"/>
      <c r="AG509" s="16"/>
      <c r="AH509" s="16"/>
      <c r="AI509" s="16"/>
      <c r="AJ509" s="16"/>
    </row>
    <row r="510" spans="1:36" x14ac:dyDescent="0.2">
      <c r="A510" s="16"/>
      <c r="C510" s="16"/>
      <c r="D510" s="16"/>
      <c r="E510" s="16"/>
      <c r="F510" s="109"/>
      <c r="G510" s="109"/>
      <c r="H510" s="109"/>
      <c r="I510" s="109"/>
      <c r="J510" s="109"/>
      <c r="K510" s="109"/>
      <c r="L510" s="109"/>
      <c r="M510" s="109"/>
      <c r="AE510" s="16"/>
      <c r="AF510" s="16"/>
      <c r="AG510" s="16"/>
      <c r="AH510" s="16"/>
      <c r="AI510" s="16"/>
      <c r="AJ510" s="16"/>
    </row>
    <row r="511" spans="1:36" x14ac:dyDescent="0.2">
      <c r="A511" s="16"/>
      <c r="C511" s="16"/>
      <c r="D511" s="16"/>
      <c r="E511" s="16"/>
      <c r="F511" s="109"/>
      <c r="G511" s="109"/>
      <c r="H511" s="109"/>
      <c r="I511" s="109"/>
      <c r="J511" s="109"/>
      <c r="K511" s="109"/>
      <c r="L511" s="109"/>
      <c r="M511" s="109"/>
      <c r="AE511" s="16"/>
      <c r="AF511" s="16"/>
      <c r="AG511" s="16"/>
      <c r="AH511" s="16"/>
      <c r="AI511" s="16"/>
      <c r="AJ511" s="16"/>
    </row>
    <row r="512" spans="1:36" x14ac:dyDescent="0.2">
      <c r="I512" s="109"/>
      <c r="J512" s="109"/>
      <c r="K512" s="109"/>
      <c r="L512" s="109"/>
      <c r="M512" s="109"/>
    </row>
    <row r="513" spans="10:13" x14ac:dyDescent="0.2">
      <c r="J513" s="109"/>
      <c r="K513" s="109"/>
      <c r="L513" s="109"/>
      <c r="M513" s="109"/>
    </row>
    <row r="514" spans="10:13" x14ac:dyDescent="0.2">
      <c r="J514" s="109"/>
      <c r="K514" s="109"/>
      <c r="L514" s="109"/>
      <c r="M514" s="109"/>
    </row>
    <row r="515" spans="10:13" x14ac:dyDescent="0.2">
      <c r="J515" s="109"/>
      <c r="K515" s="109"/>
      <c r="L515" s="109"/>
      <c r="M515" s="109"/>
    </row>
    <row r="516" spans="10:13" x14ac:dyDescent="0.2">
      <c r="J516" s="109"/>
      <c r="K516" s="109"/>
      <c r="L516" s="109"/>
      <c r="M516" s="109"/>
    </row>
    <row r="517" spans="10:13" x14ac:dyDescent="0.2">
      <c r="J517" s="109"/>
      <c r="K517" s="109"/>
      <c r="L517" s="109"/>
      <c r="M517" s="109"/>
    </row>
    <row r="518" spans="10:13" x14ac:dyDescent="0.2">
      <c r="J518" s="109"/>
      <c r="K518" s="109"/>
      <c r="L518" s="109"/>
      <c r="M518" s="109"/>
    </row>
    <row r="519" spans="10:13" x14ac:dyDescent="0.2">
      <c r="J519" s="109"/>
      <c r="K519" s="109"/>
      <c r="L519" s="109"/>
      <c r="M519" s="109"/>
    </row>
    <row r="520" spans="10:13" x14ac:dyDescent="0.2">
      <c r="J520" s="109"/>
      <c r="K520" s="109"/>
      <c r="L520" s="109"/>
      <c r="M520" s="109"/>
    </row>
    <row r="521" spans="10:13" x14ac:dyDescent="0.2">
      <c r="J521" s="109"/>
      <c r="K521" s="109"/>
      <c r="L521" s="109"/>
      <c r="M521" s="109"/>
    </row>
  </sheetData>
  <sheetProtection algorithmName="SHA-512" hashValue="w2JsCw5QxcTsHVop+gK3rRz0jPy1N/n5xUDYSPADNLfo8fHcQHz6gprdOd2iFjbizqKNm73fJorCODuZ2SHo+g==" saltValue="yeyJe2A3Gylx3WOqBWjVgw==" spinCount="100000" sheet="1" objects="1" scenarios="1"/>
  <protectedRanges>
    <protectedRange sqref="L6:L32" name="PMP 450 Addl Years"/>
    <protectedRange sqref="L5:L33" name="Page 1 Addl Years"/>
    <protectedRange sqref="D6:D32" name="Page 1 Qty"/>
    <protectedRange sqref="D6:D32" name="PMP 450 Qty"/>
  </protectedRanges>
  <phoneticPr fontId="21" type="noConversion"/>
  <conditionalFormatting sqref="F3">
    <cfRule type="containsText" dxfId="207" priority="15" operator="containsText" text="Go to">
      <formula>NOT(ISERROR(SEARCH("Go to",F3)))</formula>
    </cfRule>
    <cfRule type="expression" dxfId="206" priority="229">
      <formula>Service="Choose"</formula>
    </cfRule>
  </conditionalFormatting>
  <conditionalFormatting sqref="M37">
    <cfRule type="cellIs" dxfId="205" priority="66" operator="equal">
      <formula>"Green"</formula>
    </cfRule>
  </conditionalFormatting>
  <conditionalFormatting sqref="M38">
    <cfRule type="cellIs" dxfId="204" priority="65" operator="equal">
      <formula>"Green"</formula>
    </cfRule>
  </conditionalFormatting>
  <conditionalFormatting sqref="F25:H28">
    <cfRule type="expression" dxfId="203" priority="47" stopIfTrue="1">
      <formula>_Dev="FWB"</formula>
    </cfRule>
  </conditionalFormatting>
  <conditionalFormatting sqref="F19:H23 F12:H17">
    <cfRule type="expression" dxfId="202" priority="49" stopIfTrue="1">
      <formula>OR(FWB_CCPro,FWB_CCPrime,FWB_NoCC)</formula>
    </cfRule>
  </conditionalFormatting>
  <conditionalFormatting sqref="D6:M10 D12:M17">
    <cfRule type="expression" dxfId="201" priority="24" stopIfTrue="1">
      <formula>_Dev="Ent"</formula>
    </cfRule>
  </conditionalFormatting>
  <conditionalFormatting sqref="H33:H35">
    <cfRule type="expression" dxfId="200" priority="52">
      <formula>SUM($D$14:$D$25)=0</formula>
    </cfRule>
  </conditionalFormatting>
  <conditionalFormatting sqref="H6:J10 H12:J17">
    <cfRule type="expression" dxfId="199" priority="45" stopIfTrue="1">
      <formula>Service="cnMaestro X"</formula>
    </cfRule>
  </conditionalFormatting>
  <conditionalFormatting sqref="H19:J23">
    <cfRule type="expression" dxfId="198" priority="44" stopIfTrue="1">
      <formula>Service="cnMaestro X"</formula>
    </cfRule>
  </conditionalFormatting>
  <conditionalFormatting sqref="H25:J28">
    <cfRule type="expression" dxfId="197" priority="34" stopIfTrue="1">
      <formula>Service="cnMaestro X"</formula>
    </cfRule>
  </conditionalFormatting>
  <conditionalFormatting sqref="I30:J32">
    <cfRule type="expression" dxfId="196" priority="40" stopIfTrue="1">
      <formula>Service="cnMaestro X"</formula>
    </cfRule>
  </conditionalFormatting>
  <conditionalFormatting sqref="L6:M10 L12:M17">
    <cfRule type="expression" dxfId="195" priority="38" stopIfTrue="1">
      <formula>FWB_CCPrime</formula>
    </cfRule>
  </conditionalFormatting>
  <conditionalFormatting sqref="L20:M23 M19">
    <cfRule type="expression" dxfId="194" priority="37" stopIfTrue="1">
      <formula>FWB_CCPrime</formula>
    </cfRule>
  </conditionalFormatting>
  <conditionalFormatting sqref="K30:K32 M30:M32">
    <cfRule type="expression" dxfId="193" priority="30" stopIfTrue="1">
      <formula>X_AdvYes</formula>
    </cfRule>
    <cfRule type="expression" dxfId="192" priority="31" stopIfTrue="1">
      <formula>"Ent_CCAdv"</formula>
    </cfRule>
  </conditionalFormatting>
  <conditionalFormatting sqref="L6:L10 L12:L17">
    <cfRule type="cellIs" dxfId="191" priority="50" operator="equal">
      <formula>"Choose"</formula>
    </cfRule>
  </conditionalFormatting>
  <conditionalFormatting sqref="L20:L23">
    <cfRule type="cellIs" dxfId="190" priority="318" operator="equal">
      <formula>"Choose"</formula>
    </cfRule>
  </conditionalFormatting>
  <conditionalFormatting sqref="L25:M28">
    <cfRule type="expression" dxfId="189" priority="32" stopIfTrue="1">
      <formula>FWB_CCPrime</formula>
    </cfRule>
  </conditionalFormatting>
  <conditionalFormatting sqref="L25:L28">
    <cfRule type="cellIs" dxfId="188" priority="61" operator="equal">
      <formula>"Choose"</formula>
    </cfRule>
  </conditionalFormatting>
  <conditionalFormatting sqref="L30:L32">
    <cfRule type="expression" dxfId="187" priority="27" stopIfTrue="1">
      <formula>X_AdvYes</formula>
    </cfRule>
    <cfRule type="cellIs" dxfId="186" priority="46" operator="equal">
      <formula>"Choose"</formula>
    </cfRule>
  </conditionalFormatting>
  <conditionalFormatting sqref="L30:M32">
    <cfRule type="expression" dxfId="185" priority="18">
      <formula>Scenario="Ent-CCAdv"</formula>
    </cfRule>
    <cfRule type="expression" dxfId="184" priority="29" stopIfTrue="1">
      <formula>FWB_CCPrime</formula>
    </cfRule>
  </conditionalFormatting>
  <conditionalFormatting sqref="D30:M32">
    <cfRule type="expression" dxfId="183" priority="5" stopIfTrue="1">
      <formula>_Dev="FWB"</formula>
    </cfRule>
  </conditionalFormatting>
  <conditionalFormatting sqref="F6:H10">
    <cfRule type="expression" dxfId="182" priority="33" stopIfTrue="1">
      <formula>OR(FWB_CCPro,FWB_CCPrime,FWB_NoCC)</formula>
    </cfRule>
  </conditionalFormatting>
  <conditionalFormatting sqref="D19:K19 M19 D20:M23">
    <cfRule type="expression" dxfId="181" priority="23" stopIfTrue="1">
      <formula>_Dev="Ent"</formula>
    </cfRule>
  </conditionalFormatting>
  <conditionalFormatting sqref="D25:M28">
    <cfRule type="expression" dxfId="180" priority="21" stopIfTrue="1">
      <formula>_Dev="Ent"</formula>
    </cfRule>
  </conditionalFormatting>
  <conditionalFormatting sqref="F30:H32">
    <cfRule type="expression" dxfId="179" priority="19" stopIfTrue="1">
      <formula>_Dev="Ent"</formula>
    </cfRule>
  </conditionalFormatting>
  <conditionalFormatting sqref="N1:AD33">
    <cfRule type="expression" dxfId="178" priority="17">
      <formula>Hide_Calc="Yes"</formula>
    </cfRule>
  </conditionalFormatting>
  <conditionalFormatting sqref="C37:F41">
    <cfRule type="expression" dxfId="177" priority="16">
      <formula>Hide_Calc="Yes"</formula>
    </cfRule>
  </conditionalFormatting>
  <conditionalFormatting sqref="G3:I3">
    <cfRule type="expression" dxfId="176" priority="14">
      <formula>$F$3="Go to the START HERE worksheet and make the required choices"</formula>
    </cfRule>
  </conditionalFormatting>
  <conditionalFormatting sqref="K33">
    <cfRule type="expression" dxfId="175" priority="13">
      <formula>Hide_Calc="Yes"</formula>
    </cfRule>
  </conditionalFormatting>
  <conditionalFormatting sqref="D6:D10">
    <cfRule type="cellIs" dxfId="174" priority="9" operator="greaterThan">
      <formula>0</formula>
    </cfRule>
  </conditionalFormatting>
  <conditionalFormatting sqref="D12:D17">
    <cfRule type="cellIs" dxfId="173" priority="8" operator="greaterThan">
      <formula>0</formula>
    </cfRule>
  </conditionalFormatting>
  <conditionalFormatting sqref="D19:D23">
    <cfRule type="cellIs" dxfId="172" priority="7" operator="greaterThan">
      <formula>0</formula>
    </cfRule>
  </conditionalFormatting>
  <conditionalFormatting sqref="D25:D28">
    <cfRule type="cellIs" dxfId="171" priority="6" operator="greaterThan">
      <formula>0</formula>
    </cfRule>
  </conditionalFormatting>
  <conditionalFormatting sqref="D30:D32">
    <cfRule type="cellIs" dxfId="170" priority="25" operator="greaterThan">
      <formula>0</formula>
    </cfRule>
  </conditionalFormatting>
  <conditionalFormatting sqref="L19">
    <cfRule type="expression" dxfId="169" priority="2" stopIfTrue="1">
      <formula>_Dev="Ent"</formula>
    </cfRule>
  </conditionalFormatting>
  <conditionalFormatting sqref="L19">
    <cfRule type="expression" dxfId="168" priority="3" stopIfTrue="1">
      <formula>FWB_CCPrime</formula>
    </cfRule>
  </conditionalFormatting>
  <conditionalFormatting sqref="L19">
    <cfRule type="cellIs" dxfId="167" priority="4" operator="equal">
      <formula>"Choose"</formula>
    </cfRule>
  </conditionalFormatting>
  <conditionalFormatting sqref="L33">
    <cfRule type="expression" dxfId="166" priority="1">
      <formula>Hide_Calc="Yes"</formula>
    </cfRule>
  </conditionalFormatting>
  <dataValidations count="2">
    <dataValidation type="list" allowBlank="1" showInputMessage="1" showErrorMessage="1" sqref="V7" xr:uid="{A80D5AEC-E3FF-4C63-8002-32F970397885}">
      <formula1>"Choose,1 year,2 years"</formula1>
    </dataValidation>
    <dataValidation type="list" allowBlank="1" showInputMessage="1" showErrorMessage="1" sqref="L30:L32 L12:L17 L25:L28 L6:L10 L19:L23" xr:uid="{8D738EB4-C397-4834-95ED-B067CB84B003}">
      <formula1>IF(NOT(Start_Here_Complete),_Y0,IF(AND(EW,U6=2),_Y2EW,IF(AND(EW,U6=4),_Y4AR,IF(AND(EW,U6="N/A"),_NA,IF(AND(AR,V6=2),_Y2AR,IF(AND(AR,V6=4),_Y4AR,IF(AND(AR,V6="N/A"),_NA,_NA)))))))</formula1>
    </dataValidation>
  </dataValidations>
  <pageMargins left="0.7" right="0.7" top="0.75" bottom="0.75" header="0.3" footer="0.3"/>
  <pageSetup orientation="portrait" r:id="rId1"/>
  <ignoredErrors>
    <ignoredError sqref="G12:G15 G25:G28 G30:G32 G16:G17" unlockedFormula="1"/>
    <ignoredError sqref="M22"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44681-E781-473D-A4A1-177B02C5DAB6}">
  <sheetPr>
    <tabColor theme="4" tint="0.79998168889431442"/>
  </sheetPr>
  <dimension ref="A1:AH513"/>
  <sheetViews>
    <sheetView zoomScaleNormal="100" workbookViewId="0">
      <pane ySplit="5" topLeftCell="A6" activePane="bottomLeft" state="frozen"/>
      <selection pane="bottomLeft"/>
    </sheetView>
  </sheetViews>
  <sheetFormatPr baseColWidth="10" defaultColWidth="8.83203125" defaultRowHeight="15" x14ac:dyDescent="0.2"/>
  <cols>
    <col min="1" max="2" width="1.83203125" customWidth="1"/>
    <col min="3" max="3" width="33.1640625" bestFit="1" customWidth="1"/>
    <col min="4" max="5" width="11.6640625" customWidth="1"/>
    <col min="6" max="6" width="12.6640625" style="7" customWidth="1"/>
    <col min="7" max="7" width="10.6640625" style="7" customWidth="1"/>
    <col min="8" max="8" width="12.6640625" style="7" customWidth="1"/>
    <col min="9" max="9" width="18.6640625" style="7" customWidth="1"/>
    <col min="10" max="10" width="13.6640625" style="7" customWidth="1"/>
    <col min="11" max="11" width="18.6640625" style="7" customWidth="1"/>
    <col min="12" max="12" width="13.6640625" style="7" customWidth="1"/>
    <col min="13" max="17" width="10.6640625" style="7" customWidth="1"/>
    <col min="18" max="19" width="10.6640625" customWidth="1"/>
    <col min="20" max="28" width="10.6640625" style="7" customWidth="1"/>
  </cols>
  <sheetData>
    <row r="1" spans="1:34" ht="14.5" customHeight="1" x14ac:dyDescent="0.2">
      <c r="A1" s="16"/>
      <c r="B1" s="16"/>
      <c r="C1" s="16"/>
      <c r="D1" s="16"/>
      <c r="E1" s="16"/>
      <c r="F1" s="109"/>
      <c r="G1" s="109"/>
      <c r="H1" s="109"/>
      <c r="I1" s="109"/>
      <c r="J1" s="109"/>
      <c r="K1" s="109"/>
      <c r="L1" s="109"/>
      <c r="M1" s="109"/>
      <c r="N1" s="152" t="s">
        <v>6266</v>
      </c>
      <c r="O1" s="152" t="s">
        <v>400</v>
      </c>
      <c r="P1" s="152" t="s">
        <v>6242</v>
      </c>
      <c r="Q1" s="152" t="s">
        <v>6263</v>
      </c>
      <c r="R1" s="152" t="s">
        <v>6264</v>
      </c>
      <c r="S1" s="152" t="s">
        <v>1628</v>
      </c>
      <c r="T1" s="211" t="s">
        <v>1262</v>
      </c>
      <c r="U1" s="152" t="s">
        <v>6332</v>
      </c>
      <c r="V1" s="152" t="s">
        <v>6333</v>
      </c>
      <c r="W1" s="109"/>
      <c r="X1" s="109"/>
      <c r="Y1" s="109"/>
      <c r="Z1" s="109"/>
      <c r="AA1" s="109"/>
      <c r="AB1" s="109"/>
      <c r="AC1" s="16"/>
      <c r="AD1" s="16"/>
      <c r="AE1" s="16"/>
      <c r="AF1" s="16"/>
    </row>
    <row r="2" spans="1:34" ht="24" customHeight="1" x14ac:dyDescent="0.3">
      <c r="A2" s="16"/>
      <c r="B2" s="32" t="s">
        <v>5933</v>
      </c>
      <c r="C2" s="23"/>
      <c r="D2" s="23"/>
      <c r="E2" s="23"/>
      <c r="F2" s="23"/>
      <c r="G2" s="23"/>
      <c r="H2" s="23"/>
      <c r="I2" s="23"/>
      <c r="J2" s="23"/>
      <c r="K2" s="23"/>
      <c r="L2" s="23"/>
      <c r="M2" s="23"/>
      <c r="N2" s="206" t="str">
        <f>Scenario</f>
        <v>Selections are incomplete</v>
      </c>
      <c r="O2" s="128" t="str">
        <f>Service</f>
        <v>Choose</v>
      </c>
      <c r="P2" s="128" t="str">
        <f>Device_Type</f>
        <v>Choose</v>
      </c>
      <c r="Q2" s="185"/>
      <c r="R2" s="128" t="str">
        <f>Hardware_Support</f>
        <v>Choose</v>
      </c>
      <c r="S2" s="128" t="b">
        <f>EW</f>
        <v>0</v>
      </c>
      <c r="T2" s="155" t="b">
        <f>AR</f>
        <v>0</v>
      </c>
      <c r="U2" s="132" t="b">
        <f>FWB_CCPro</f>
        <v>0</v>
      </c>
      <c r="V2" s="128" t="b">
        <f>FWB_CCPrime</f>
        <v>0</v>
      </c>
      <c r="W2" s="109"/>
      <c r="X2" s="109"/>
      <c r="Y2" s="109"/>
      <c r="Z2" s="109"/>
      <c r="AA2" s="109"/>
      <c r="AB2" s="109"/>
      <c r="AC2" s="16"/>
      <c r="AD2" s="16"/>
      <c r="AE2" s="16"/>
      <c r="AF2" s="16"/>
    </row>
    <row r="3" spans="1:34" ht="18" customHeight="1" thickBot="1" x14ac:dyDescent="0.25">
      <c r="A3" s="16"/>
      <c r="B3" s="16"/>
      <c r="C3" s="16"/>
      <c r="D3" s="16"/>
      <c r="E3" s="16"/>
      <c r="F3" s="220" t="str">
        <f>IF(NOT(Start_Here_Complete),"Go to the START HERE worksheet and make the required choices"," ")</f>
        <v>Go to the START HERE worksheet and make the required choices</v>
      </c>
      <c r="G3" s="221"/>
      <c r="H3" s="221"/>
      <c r="I3" s="221"/>
      <c r="J3" s="109"/>
      <c r="K3" s="109"/>
      <c r="L3" s="109"/>
      <c r="M3" s="210"/>
      <c r="N3" s="128"/>
      <c r="O3" s="128"/>
      <c r="P3" s="128"/>
      <c r="Q3" s="206" t="str">
        <f>CC_Type</f>
        <v>Choose</v>
      </c>
      <c r="R3" s="128" t="b">
        <f>EW</f>
        <v>0</v>
      </c>
      <c r="S3" s="128"/>
      <c r="T3" s="155"/>
      <c r="U3" s="128"/>
      <c r="V3" s="128"/>
      <c r="W3" s="109"/>
      <c r="X3" s="109"/>
      <c r="Y3" s="109"/>
      <c r="Z3" s="109"/>
      <c r="AA3" s="109"/>
      <c r="AB3" s="109"/>
      <c r="AC3" s="16"/>
      <c r="AD3" s="16"/>
      <c r="AE3" s="16"/>
      <c r="AF3" s="16"/>
    </row>
    <row r="4" spans="1:34" ht="30" customHeight="1" thickBot="1" x14ac:dyDescent="0.25">
      <c r="A4" s="16"/>
      <c r="B4" s="33"/>
      <c r="C4" s="111" t="s">
        <v>1137</v>
      </c>
      <c r="D4" s="112" t="s">
        <v>3</v>
      </c>
      <c r="E4" s="113" t="s">
        <v>6239</v>
      </c>
      <c r="F4" s="113" t="s">
        <v>6271</v>
      </c>
      <c r="G4" s="113" t="s">
        <v>5909</v>
      </c>
      <c r="H4" s="113" t="s">
        <v>5907</v>
      </c>
      <c r="I4" s="113" t="str">
        <f>IF(AND(Service="Standalone Support",Device_Type="Fixed Wireless Broadband"),"Cambium Care Program/Service Cat",
"Cambium Care Program")</f>
        <v>Cambium Care Program</v>
      </c>
      <c r="J4" s="113" t="s">
        <v>6270</v>
      </c>
      <c r="K4" s="113" t="s">
        <v>6380</v>
      </c>
      <c r="L4" s="113" t="str">
        <f>IF(RIGHT(Scenario,2)="EW","Add'l Years Ext Wty",
IF(RIGHT(Scenario,2)="AR","Add'l Years ARAR",
"Add'l
Years"))</f>
        <v>Add'l
Years</v>
      </c>
      <c r="M4" s="116" t="s">
        <v>6260</v>
      </c>
      <c r="N4" s="209" t="s">
        <v>6364</v>
      </c>
      <c r="O4" s="172"/>
      <c r="P4" s="172"/>
      <c r="Q4" s="172"/>
      <c r="R4" s="173"/>
      <c r="S4" s="173"/>
      <c r="T4" s="172"/>
      <c r="U4" s="172"/>
      <c r="V4" s="172"/>
      <c r="W4" s="172"/>
      <c r="X4" s="172"/>
      <c r="Y4" s="172"/>
      <c r="Z4" s="172"/>
      <c r="AA4" s="172"/>
      <c r="AB4" s="172"/>
      <c r="AC4" s="173"/>
      <c r="AD4" s="16"/>
      <c r="AE4" s="16"/>
      <c r="AF4" s="16"/>
    </row>
    <row r="5" spans="1:34" ht="16" thickBot="1" x14ac:dyDescent="0.25">
      <c r="A5" s="16"/>
      <c r="B5" s="36"/>
      <c r="C5" s="91" t="s">
        <v>5913</v>
      </c>
      <c r="D5" s="92"/>
      <c r="E5" s="92"/>
      <c r="F5" s="92"/>
      <c r="G5" s="92"/>
      <c r="H5" s="92"/>
      <c r="I5" s="92"/>
      <c r="J5" s="92"/>
      <c r="K5" s="92"/>
      <c r="L5" s="92"/>
      <c r="M5" s="106"/>
      <c r="N5" s="128" t="s">
        <v>6268</v>
      </c>
      <c r="O5" s="128" t="s">
        <v>6403</v>
      </c>
      <c r="P5" s="188" t="s">
        <v>6389</v>
      </c>
      <c r="Q5" s="188" t="s">
        <v>6366</v>
      </c>
      <c r="R5" s="188" t="s">
        <v>6365</v>
      </c>
      <c r="S5" s="188" t="s">
        <v>6367</v>
      </c>
      <c r="T5" s="188" t="s">
        <v>6363</v>
      </c>
      <c r="U5" s="188" t="s">
        <v>5972</v>
      </c>
      <c r="V5" s="188" t="s">
        <v>5973</v>
      </c>
      <c r="W5" s="188" t="s">
        <v>5965</v>
      </c>
      <c r="X5" s="188" t="s">
        <v>5966</v>
      </c>
      <c r="Y5" s="128" t="s">
        <v>5964</v>
      </c>
      <c r="Z5" s="188" t="s">
        <v>5967</v>
      </c>
      <c r="AA5" s="188" t="s">
        <v>5968</v>
      </c>
      <c r="AB5" s="188" t="s">
        <v>5969</v>
      </c>
      <c r="AC5" s="188" t="s">
        <v>5970</v>
      </c>
      <c r="AD5" s="188" t="s">
        <v>5971</v>
      </c>
      <c r="AE5" s="16"/>
      <c r="AF5" s="16"/>
      <c r="AG5" s="16"/>
      <c r="AH5" s="16"/>
    </row>
    <row r="6" spans="1:34" ht="16" thickBot="1" x14ac:dyDescent="0.25">
      <c r="A6" s="16"/>
      <c r="B6" s="40"/>
      <c r="C6" s="16" t="s">
        <v>3896</v>
      </c>
      <c r="D6" s="56">
        <v>0</v>
      </c>
      <c r="E6" s="135" t="s">
        <v>5960</v>
      </c>
      <c r="F6" s="224" t="str">
        <f t="shared" ref="F6:F13" si="0">IF(NOT(Start_Here_Complete)," ",
IF(D6=0," ",
IF(AND(Service="cnMaestro X",P6&lt;&gt;"N/A"),P6,
IF(AND(Service="cnMaestro X",P6="N/A"),"Not Available",
" "))))</f>
        <v xml:space="preserve"> </v>
      </c>
      <c r="G6" s="114" t="str">
        <f t="shared" ref="G6:G13" si="1">IF(NOT(Start_Here_Complete)," ",
IF(D6=0," ",
IF(AND(Service="cnMaestro X",P6&lt;&gt;"N/A",P6&lt;&gt;"Free Tier"),cnMX_Term,
IF(AND(Service="cnMaestro X",P6="Free Tier")," ",
IF(AND(Service="cnMaestro X",P6="N/A")," ",
" ")))))</f>
        <v xml:space="preserve"> </v>
      </c>
      <c r="H6" s="214"/>
      <c r="I6" s="151" t="str">
        <f t="shared" ref="I6:I13" si="2">IF(NOT((Start_Here_Complete))," ",
IF(D6=0," ",
IF(R6="Pro Go",CONCATENATE("CC Pro ",Q6),
IF(R6="Pro N/R","CC Pro not req'd *",
IF(T6="Prime Go",CONCATENATE("CC Prime ",S6),
IF(T6="Prime N/R","CC Prime not req'd *",
IF(T6="Prime N/A","Prime not available",
IF(CC_Type="Decline Cambium Care","CC Declined",
" "))))))))</f>
        <v xml:space="preserve"> </v>
      </c>
      <c r="J6" s="114" t="str">
        <f t="shared" ref="J6:J13" si="3">IF(NOT(Start_Here_Complete)," ",
IF(D6=0," ",
IF(R6="Pro Go","1 year",
IF(T6="Prime Go","1 Year",
" "))))</f>
        <v xml:space="preserve"> </v>
      </c>
      <c r="K6" s="114" t="str">
        <f t="shared" ref="K6:K13" si="4">IF(NOT(Start_Here_Complete)," ",
IF(D6=0," ",
IF(AND(EW,U6&lt;&gt;"N/A"),"Extended Warranty",
IF(AND(EW,U6="N/A"),"Ext Wty not available",
IF(AND(AR,V6&lt;&gt;"N/A"),"All Risks Adv Replace",
IF(AND(AR,V6="N/A"),"ARAR not available",
IF(NoHW,"HW Support Declined",
IF(AND(FWB_CCPrime,T6="Prime Go"),"ARAR included",
IF(Ent_CCAdv,"Includes Adv Repl",
"X")))))))))</f>
        <v xml:space="preserve"> </v>
      </c>
      <c r="L6" s="213" t="str">
        <f t="shared" ref="L6:L34" si="5">N6</f>
        <v xml:space="preserve"> </v>
      </c>
      <c r="M6" s="212" t="str">
        <f>IF(NOT(Start_Here_Complete)," ",
IF(D6=0," ",
IF(OR(FWB_CCPrime,Ent_CCAdv)," ",
"3 years")))</f>
        <v xml:space="preserve"> </v>
      </c>
      <c r="N6" s="128" t="str">
        <f t="shared" ref="N6:N13" si="6">IF(D6=0," ",
IF(AND(EW,U6&lt;&gt;"N/A"),"Choose",
IF(AND(AR,V6&lt;&gt;"N/A"),"Choose",
" ")))</f>
        <v xml:space="preserve"> </v>
      </c>
      <c r="O6" s="128">
        <f>IF(AND(D6=0,L6=" "),0,1)</f>
        <v>0</v>
      </c>
      <c r="P6" s="192" t="s">
        <v>6246</v>
      </c>
      <c r="Q6" s="288" t="s">
        <v>6249</v>
      </c>
      <c r="R6" s="128" t="str">
        <f t="shared" ref="R6:R13" si="7">IF(AND(FWB_CCPro,Q6&lt;&gt;"N/R"),"Pro Go",
IF(AND(FWB_CCPro,Q6="N/R"),"Pro N/R",
"Pro No"))</f>
        <v>Pro No</v>
      </c>
      <c r="S6" s="288" t="s">
        <v>6249</v>
      </c>
      <c r="T6" s="128" t="str">
        <f t="shared" ref="T6:T13" si="8">IF(AND(FWB_CCPrime,AND(S6&lt;&gt;"N/R",S6&lt;&gt;"N/A")),"Prime Go",
IF(AND(FWB_CCPrime,S6="N/R"),"Prime N/R",
IF(AND(FWB_CCPrime,S6="N/A"),"Prime N/A",
"Prime No")))</f>
        <v>Prime No</v>
      </c>
      <c r="U6" s="192">
        <v>2</v>
      </c>
      <c r="V6" s="128" t="s">
        <v>1226</v>
      </c>
      <c r="W6" s="128">
        <f t="shared" ref="W6:W13" si="9">IF(NOT(Start_Here_Complete),0,
IF(D6=0,0,
IF(AND(Service="Standalone Support",Device_Type="Enterprise &amp; cnWave"),0,
IF(AND(FWB_CCPro,Q6="SC10"),D6,
IF(AND(FWB_CCPrime,S6="SC10"),D6,
0)))))</f>
        <v>0</v>
      </c>
      <c r="X6" s="128">
        <f t="shared" ref="X6:X13" si="10">IF(NOT(Start_Here_Complete),0,
IF(D6=0,0,
IF(AND(Service="Standalone Support",Device_Type="Enterprise &amp; cnWave"),0,
IF(AND(FWB_CCPrime,S6="SC15"),D6,
0))))</f>
        <v>0</v>
      </c>
      <c r="Y6" s="128">
        <f t="shared" ref="Y6:Y13" si="11">IF(NOT(Start_Here_Complete),0,
IF(D6=0,0,
IF(AND(Service="Standalone Support",Device_Type="Enterprise &amp; cnWave"),0,
IF(AND(FWB_CCPro,Q6="SC20"),D6,
IF(AND(FWB_CCPrime,S6="SC20"),D6,
0)))))</f>
        <v>0</v>
      </c>
      <c r="Z6" s="128">
        <f t="shared" ref="Z6:Z13" si="12">IF(NOT(Start_Here_Complete),0,
IF(D6=0,0,
IF(AND(Service="Standalone Support",Device_Type="Enterprise &amp; cnWave"),0,
IF(AND(FWB_CCPrime,S6="SC25"),D6,
0))))</f>
        <v>0</v>
      </c>
      <c r="AA6" s="128">
        <f t="shared" ref="AA6:AA13" si="13">IF(NOT(Start_Here_Complete),0,
IF(D6=0,0,
IF(AND(Service="Standalone Support",Device_Type="Enterprise &amp; cnWave"),0,
IF(AND(FWB_CCPro,Q6="SC30"),D6,
IF(AND(FWB_CCPrime,S6="SC30"),D6,
0)))))</f>
        <v>0</v>
      </c>
      <c r="AB6" s="128">
        <f t="shared" ref="AB6:AB13" si="14">IF(NOT(Start_Here_Complete),0,
IF(D6=0,0,
IF(AND(Service="Standalone Support",Device_Type="Enterprise &amp; cnWave"),0,
IF(AND(FWB_CCPro,Q6="SC40"),D6,
IF(AND(FWB_CCPrime,S6="SC40"),D6,
0)))))</f>
        <v>0</v>
      </c>
      <c r="AC6" s="128">
        <f t="shared" ref="AC6:AC13" si="15">IF(NOT(Start_Here_Complete),0,
IF(D6=0,0,
IF(AND(Service="Standalone Support",Device_Type="Enterprise &amp; cnWave"),0,
IF(AND(FWB_CCPro,Q6="SC50"),D6,
IF(AND(FWB_CCPrime,S6="SC50"),D6,
0)))))</f>
        <v>0</v>
      </c>
      <c r="AD6" s="128">
        <f t="shared" ref="AD6:AD13" si="16">IF(NOT(Start_Here_Complete),0,
IF(D6=0,0,
IF(AND(Service="Standalone Support",Device_Type="Enterprise &amp; cnWave"),0,
IF(AND(FWB_CCPro,Q6="SC60"),D6,
IF(AND(FWB_CCPrime,S6="SC60"),D6,
0)))))</f>
        <v>0</v>
      </c>
      <c r="AE6" s="16"/>
      <c r="AF6" s="16"/>
      <c r="AG6" s="16"/>
      <c r="AH6" s="16"/>
    </row>
    <row r="7" spans="1:34" ht="16" thickBot="1" x14ac:dyDescent="0.25">
      <c r="A7" s="16"/>
      <c r="B7" s="40"/>
      <c r="C7" s="16" t="s">
        <v>3899</v>
      </c>
      <c r="D7" s="56">
        <v>0</v>
      </c>
      <c r="E7" s="135" t="s">
        <v>5960</v>
      </c>
      <c r="F7" s="224" t="str">
        <f t="shared" si="0"/>
        <v xml:space="preserve"> </v>
      </c>
      <c r="G7" s="114" t="str">
        <f t="shared" si="1"/>
        <v xml:space="preserve"> </v>
      </c>
      <c r="H7" s="214"/>
      <c r="I7" s="151" t="str">
        <f t="shared" si="2"/>
        <v xml:space="preserve"> </v>
      </c>
      <c r="J7" s="114" t="str">
        <f t="shared" si="3"/>
        <v xml:space="preserve"> </v>
      </c>
      <c r="K7" s="114" t="str">
        <f t="shared" si="4"/>
        <v xml:space="preserve"> </v>
      </c>
      <c r="L7" s="213" t="str">
        <f t="shared" si="5"/>
        <v xml:space="preserve"> </v>
      </c>
      <c r="M7" s="212" t="str">
        <f>IF(NOT(Start_Here_Complete)," ",
IF(D7=0," ",
IF(OR(FWB_CCPrime,Ent_CCAdv)," ",
"3 years")))</f>
        <v xml:space="preserve"> </v>
      </c>
      <c r="N7" s="128" t="str">
        <f t="shared" si="6"/>
        <v xml:space="preserve"> </v>
      </c>
      <c r="O7" s="128">
        <f t="shared" ref="O7:O34" si="17">IF(AND(D7=0,L7=" "),0,1)</f>
        <v>0</v>
      </c>
      <c r="P7" s="192" t="s">
        <v>6246</v>
      </c>
      <c r="Q7" s="288" t="s">
        <v>6249</v>
      </c>
      <c r="R7" s="128" t="str">
        <f t="shared" si="7"/>
        <v>Pro No</v>
      </c>
      <c r="S7" s="288" t="s">
        <v>6249</v>
      </c>
      <c r="T7" s="128" t="str">
        <f t="shared" si="8"/>
        <v>Prime No</v>
      </c>
      <c r="U7" s="192">
        <v>2</v>
      </c>
      <c r="V7" s="128" t="s">
        <v>1226</v>
      </c>
      <c r="W7" s="128">
        <f t="shared" si="9"/>
        <v>0</v>
      </c>
      <c r="X7" s="128">
        <f t="shared" si="10"/>
        <v>0</v>
      </c>
      <c r="Y7" s="128">
        <f t="shared" si="11"/>
        <v>0</v>
      </c>
      <c r="Z7" s="128">
        <f t="shared" si="12"/>
        <v>0</v>
      </c>
      <c r="AA7" s="128">
        <f t="shared" si="13"/>
        <v>0</v>
      </c>
      <c r="AB7" s="128">
        <f t="shared" si="14"/>
        <v>0</v>
      </c>
      <c r="AC7" s="128">
        <f t="shared" si="15"/>
        <v>0</v>
      </c>
      <c r="AD7" s="128">
        <f t="shared" si="16"/>
        <v>0</v>
      </c>
      <c r="AE7" s="16"/>
      <c r="AF7" s="16"/>
      <c r="AG7" s="16"/>
      <c r="AH7" s="16"/>
    </row>
    <row r="8" spans="1:34" ht="16" thickBot="1" x14ac:dyDescent="0.25">
      <c r="A8" s="16"/>
      <c r="B8" s="40"/>
      <c r="C8" s="16" t="s">
        <v>1277</v>
      </c>
      <c r="D8" s="56">
        <v>0</v>
      </c>
      <c r="E8" s="135" t="s">
        <v>5960</v>
      </c>
      <c r="F8" s="224" t="str">
        <f t="shared" si="0"/>
        <v xml:space="preserve"> </v>
      </c>
      <c r="G8" s="114" t="str">
        <f t="shared" si="1"/>
        <v xml:space="preserve"> </v>
      </c>
      <c r="H8" s="214"/>
      <c r="I8" s="151" t="str">
        <f t="shared" si="2"/>
        <v xml:space="preserve"> </v>
      </c>
      <c r="J8" s="114" t="str">
        <f t="shared" si="3"/>
        <v xml:space="preserve"> </v>
      </c>
      <c r="K8" s="114" t="str">
        <f t="shared" si="4"/>
        <v xml:space="preserve"> </v>
      </c>
      <c r="L8" s="213" t="str">
        <f t="shared" si="5"/>
        <v xml:space="preserve"> </v>
      </c>
      <c r="M8" s="212" t="str">
        <f>IF(NOT(Start_Here_Complete)," ",
IF(D8=0," ",
IF(OR(FWB_CCPrime,Ent_CCAdv)," ",
"3 years")))</f>
        <v xml:space="preserve"> </v>
      </c>
      <c r="N8" s="128" t="str">
        <f t="shared" si="6"/>
        <v xml:space="preserve"> </v>
      </c>
      <c r="O8" s="128">
        <f t="shared" si="17"/>
        <v>0</v>
      </c>
      <c r="P8" s="192" t="s">
        <v>6246</v>
      </c>
      <c r="Q8" s="288" t="s">
        <v>6249</v>
      </c>
      <c r="R8" s="128" t="str">
        <f t="shared" si="7"/>
        <v>Pro No</v>
      </c>
      <c r="S8" s="288" t="s">
        <v>6249</v>
      </c>
      <c r="T8" s="128" t="str">
        <f t="shared" si="8"/>
        <v>Prime No</v>
      </c>
      <c r="U8" s="192">
        <v>2</v>
      </c>
      <c r="V8" s="128">
        <v>2</v>
      </c>
      <c r="W8" s="128">
        <f t="shared" si="9"/>
        <v>0</v>
      </c>
      <c r="X8" s="128">
        <f t="shared" si="10"/>
        <v>0</v>
      </c>
      <c r="Y8" s="128">
        <f t="shared" si="11"/>
        <v>0</v>
      </c>
      <c r="Z8" s="128">
        <f t="shared" si="12"/>
        <v>0</v>
      </c>
      <c r="AA8" s="128">
        <f t="shared" si="13"/>
        <v>0</v>
      </c>
      <c r="AB8" s="128">
        <f t="shared" si="14"/>
        <v>0</v>
      </c>
      <c r="AC8" s="128">
        <f t="shared" si="15"/>
        <v>0</v>
      </c>
      <c r="AD8" s="128">
        <f t="shared" si="16"/>
        <v>0</v>
      </c>
      <c r="AE8" s="16"/>
      <c r="AF8" s="16"/>
      <c r="AG8" s="16"/>
      <c r="AH8" s="16"/>
    </row>
    <row r="9" spans="1:34" ht="16" thickBot="1" x14ac:dyDescent="0.25">
      <c r="A9" s="16"/>
      <c r="B9" s="40"/>
      <c r="C9" s="16" t="s">
        <v>1280</v>
      </c>
      <c r="D9" s="56">
        <v>0</v>
      </c>
      <c r="E9" s="135" t="s">
        <v>5960</v>
      </c>
      <c r="F9" s="224" t="str">
        <f t="shared" si="0"/>
        <v xml:space="preserve"> </v>
      </c>
      <c r="G9" s="114" t="str">
        <f t="shared" si="1"/>
        <v xml:space="preserve"> </v>
      </c>
      <c r="H9" s="214"/>
      <c r="I9" s="151" t="str">
        <f t="shared" si="2"/>
        <v xml:space="preserve"> </v>
      </c>
      <c r="J9" s="114" t="str">
        <f t="shared" si="3"/>
        <v xml:space="preserve"> </v>
      </c>
      <c r="K9" s="114" t="str">
        <f t="shared" si="4"/>
        <v xml:space="preserve"> </v>
      </c>
      <c r="L9" s="213" t="str">
        <f t="shared" si="5"/>
        <v xml:space="preserve"> </v>
      </c>
      <c r="M9" s="212" t="str">
        <f>IF(NOT(Start_Here_Complete)," ",
IF(D9=0," ",
IF(OR(FWB_CCPrime,Ent_CCAdv)," ",
"3 years")))</f>
        <v xml:space="preserve"> </v>
      </c>
      <c r="N9" s="128" t="str">
        <f t="shared" si="6"/>
        <v xml:space="preserve"> </v>
      </c>
      <c r="O9" s="128">
        <f t="shared" si="17"/>
        <v>0</v>
      </c>
      <c r="P9" s="192" t="s">
        <v>6246</v>
      </c>
      <c r="Q9" s="288" t="s">
        <v>6249</v>
      </c>
      <c r="R9" s="128" t="str">
        <f t="shared" si="7"/>
        <v>Pro No</v>
      </c>
      <c r="S9" s="288" t="s">
        <v>6249</v>
      </c>
      <c r="T9" s="128" t="str">
        <f t="shared" si="8"/>
        <v>Prime No</v>
      </c>
      <c r="U9" s="192">
        <v>2</v>
      </c>
      <c r="V9" s="128">
        <v>2</v>
      </c>
      <c r="W9" s="128">
        <f t="shared" si="9"/>
        <v>0</v>
      </c>
      <c r="X9" s="128">
        <f t="shared" si="10"/>
        <v>0</v>
      </c>
      <c r="Y9" s="128">
        <f t="shared" si="11"/>
        <v>0</v>
      </c>
      <c r="Z9" s="128">
        <f t="shared" si="12"/>
        <v>0</v>
      </c>
      <c r="AA9" s="128">
        <f t="shared" si="13"/>
        <v>0</v>
      </c>
      <c r="AB9" s="128">
        <f t="shared" si="14"/>
        <v>0</v>
      </c>
      <c r="AC9" s="128">
        <f t="shared" si="15"/>
        <v>0</v>
      </c>
      <c r="AD9" s="128">
        <f t="shared" si="16"/>
        <v>0</v>
      </c>
      <c r="AE9" s="16"/>
      <c r="AF9" s="16"/>
      <c r="AG9" s="16"/>
      <c r="AH9" s="16"/>
    </row>
    <row r="10" spans="1:34" ht="16" thickBot="1" x14ac:dyDescent="0.25">
      <c r="A10" s="16"/>
      <c r="B10" s="38"/>
      <c r="C10" s="16" t="s">
        <v>1583</v>
      </c>
      <c r="D10" s="56">
        <v>0</v>
      </c>
      <c r="E10" s="135" t="s">
        <v>5960</v>
      </c>
      <c r="F10" s="226" t="str">
        <f t="shared" si="0"/>
        <v xml:space="preserve"> </v>
      </c>
      <c r="G10" s="141" t="str">
        <f t="shared" si="1"/>
        <v xml:space="preserve"> </v>
      </c>
      <c r="H10" s="214"/>
      <c r="I10" s="151" t="str">
        <f t="shared" si="2"/>
        <v xml:space="preserve"> </v>
      </c>
      <c r="J10" s="114" t="str">
        <f t="shared" si="3"/>
        <v xml:space="preserve"> </v>
      </c>
      <c r="K10" s="114" t="str">
        <f t="shared" si="4"/>
        <v xml:space="preserve"> </v>
      </c>
      <c r="L10" s="213" t="str">
        <f t="shared" si="5"/>
        <v xml:space="preserve"> </v>
      </c>
      <c r="M10" s="212" t="str">
        <f>IF(NOT(Start_Here_Complete)," ",
IF(D10=0," ",
IF(OR(FWB_CCPrime,Ent_CCAdv)," ",
"1 year")))</f>
        <v xml:space="preserve"> </v>
      </c>
      <c r="N10" s="128" t="str">
        <f t="shared" si="6"/>
        <v xml:space="preserve"> </v>
      </c>
      <c r="O10" s="128">
        <f t="shared" si="17"/>
        <v>0</v>
      </c>
      <c r="P10" s="192" t="s">
        <v>6246</v>
      </c>
      <c r="Q10" s="288" t="s">
        <v>6252</v>
      </c>
      <c r="R10" s="128" t="str">
        <f t="shared" si="7"/>
        <v>Pro No</v>
      </c>
      <c r="S10" s="288" t="s">
        <v>6252</v>
      </c>
      <c r="T10" s="128" t="str">
        <f t="shared" si="8"/>
        <v>Prime No</v>
      </c>
      <c r="U10" s="192">
        <v>4</v>
      </c>
      <c r="V10" s="128">
        <v>4</v>
      </c>
      <c r="W10" s="128">
        <f t="shared" si="9"/>
        <v>0</v>
      </c>
      <c r="X10" s="128">
        <f t="shared" si="10"/>
        <v>0</v>
      </c>
      <c r="Y10" s="128">
        <f t="shared" si="11"/>
        <v>0</v>
      </c>
      <c r="Z10" s="128">
        <f t="shared" si="12"/>
        <v>0</v>
      </c>
      <c r="AA10" s="128">
        <f t="shared" si="13"/>
        <v>0</v>
      </c>
      <c r="AB10" s="128">
        <f t="shared" si="14"/>
        <v>0</v>
      </c>
      <c r="AC10" s="128">
        <f t="shared" si="15"/>
        <v>0</v>
      </c>
      <c r="AD10" s="128">
        <f t="shared" si="16"/>
        <v>0</v>
      </c>
      <c r="AE10" s="16"/>
      <c r="AF10" s="16"/>
      <c r="AG10" s="16"/>
      <c r="AH10" s="16"/>
    </row>
    <row r="11" spans="1:34" ht="16" thickBot="1" x14ac:dyDescent="0.25">
      <c r="A11" s="16"/>
      <c r="B11" s="38"/>
      <c r="C11" s="16" t="s">
        <v>1637</v>
      </c>
      <c r="D11" s="56">
        <v>0</v>
      </c>
      <c r="E11" s="135" t="s">
        <v>5960</v>
      </c>
      <c r="F11" s="226" t="str">
        <f t="shared" si="0"/>
        <v xml:space="preserve"> </v>
      </c>
      <c r="G11" s="141" t="str">
        <f t="shared" si="1"/>
        <v xml:space="preserve"> </v>
      </c>
      <c r="H11" s="214"/>
      <c r="I11" s="151" t="str">
        <f t="shared" si="2"/>
        <v xml:space="preserve"> </v>
      </c>
      <c r="J11" s="114" t="str">
        <f t="shared" si="3"/>
        <v xml:space="preserve"> </v>
      </c>
      <c r="K11" s="114" t="str">
        <f t="shared" si="4"/>
        <v xml:space="preserve"> </v>
      </c>
      <c r="L11" s="213" t="str">
        <f t="shared" si="5"/>
        <v xml:space="preserve"> </v>
      </c>
      <c r="M11" s="212" t="str">
        <f>IF(NOT(Start_Here_Complete)," ",
IF(D11=0," ",
IF(OR(FWB_CCPrime,Ent_CCAdv)," ",
"1 year")))</f>
        <v xml:space="preserve"> </v>
      </c>
      <c r="N11" s="128" t="str">
        <f t="shared" si="6"/>
        <v xml:space="preserve"> </v>
      </c>
      <c r="O11" s="128">
        <f t="shared" si="17"/>
        <v>0</v>
      </c>
      <c r="P11" s="192" t="s">
        <v>6246</v>
      </c>
      <c r="Q11" s="288" t="s">
        <v>6252</v>
      </c>
      <c r="R11" s="128" t="str">
        <f t="shared" si="7"/>
        <v>Pro No</v>
      </c>
      <c r="S11" s="288" t="s">
        <v>6252</v>
      </c>
      <c r="T11" s="128" t="str">
        <f t="shared" si="8"/>
        <v>Prime No</v>
      </c>
      <c r="U11" s="192">
        <v>4</v>
      </c>
      <c r="V11" s="128">
        <v>4</v>
      </c>
      <c r="W11" s="128">
        <f t="shared" si="9"/>
        <v>0</v>
      </c>
      <c r="X11" s="128">
        <f t="shared" si="10"/>
        <v>0</v>
      </c>
      <c r="Y11" s="128">
        <f t="shared" si="11"/>
        <v>0</v>
      </c>
      <c r="Z11" s="128">
        <f t="shared" si="12"/>
        <v>0</v>
      </c>
      <c r="AA11" s="128">
        <f t="shared" si="13"/>
        <v>0</v>
      </c>
      <c r="AB11" s="128">
        <f t="shared" si="14"/>
        <v>0</v>
      </c>
      <c r="AC11" s="128">
        <f t="shared" si="15"/>
        <v>0</v>
      </c>
      <c r="AD11" s="128">
        <f t="shared" si="16"/>
        <v>0</v>
      </c>
      <c r="AE11" s="16"/>
      <c r="AF11" s="16"/>
      <c r="AG11" s="16"/>
      <c r="AH11" s="16"/>
    </row>
    <row r="12" spans="1:34" ht="16" thickBot="1" x14ac:dyDescent="0.25">
      <c r="A12" s="16"/>
      <c r="B12" s="38"/>
      <c r="C12" s="16" t="s">
        <v>1283</v>
      </c>
      <c r="D12" s="56">
        <v>0</v>
      </c>
      <c r="E12" s="135" t="s">
        <v>5960</v>
      </c>
      <c r="F12" s="226" t="str">
        <f t="shared" si="0"/>
        <v xml:space="preserve"> </v>
      </c>
      <c r="G12" s="141" t="str">
        <f t="shared" si="1"/>
        <v xml:space="preserve"> </v>
      </c>
      <c r="H12" s="214"/>
      <c r="I12" s="151" t="str">
        <f t="shared" si="2"/>
        <v xml:space="preserve"> </v>
      </c>
      <c r="J12" s="114" t="str">
        <f t="shared" si="3"/>
        <v xml:space="preserve"> </v>
      </c>
      <c r="K12" s="114" t="str">
        <f t="shared" si="4"/>
        <v xml:space="preserve"> </v>
      </c>
      <c r="L12" s="213" t="str">
        <f t="shared" si="5"/>
        <v xml:space="preserve"> </v>
      </c>
      <c r="M12" s="212" t="str">
        <f>IF(NOT(Start_Here_Complete)," ",
IF(D12=0," ",
IF(OR(FWB_CCPrime,Ent_CCAdv)," ",
"1 year")))</f>
        <v xml:space="preserve"> </v>
      </c>
      <c r="N12" s="128" t="str">
        <f t="shared" si="6"/>
        <v xml:space="preserve"> </v>
      </c>
      <c r="O12" s="128">
        <f t="shared" si="17"/>
        <v>0</v>
      </c>
      <c r="P12" s="192" t="s">
        <v>6246</v>
      </c>
      <c r="Q12" s="288" t="s">
        <v>6252</v>
      </c>
      <c r="R12" s="128" t="str">
        <f t="shared" si="7"/>
        <v>Pro No</v>
      </c>
      <c r="S12" s="288" t="s">
        <v>6252</v>
      </c>
      <c r="T12" s="128" t="str">
        <f t="shared" si="8"/>
        <v>Prime No</v>
      </c>
      <c r="U12" s="192">
        <v>4</v>
      </c>
      <c r="V12" s="128">
        <v>4</v>
      </c>
      <c r="W12" s="128">
        <f t="shared" si="9"/>
        <v>0</v>
      </c>
      <c r="X12" s="128">
        <f t="shared" si="10"/>
        <v>0</v>
      </c>
      <c r="Y12" s="128">
        <f t="shared" si="11"/>
        <v>0</v>
      </c>
      <c r="Z12" s="128">
        <f t="shared" si="12"/>
        <v>0</v>
      </c>
      <c r="AA12" s="128">
        <f t="shared" si="13"/>
        <v>0</v>
      </c>
      <c r="AB12" s="128">
        <f t="shared" si="14"/>
        <v>0</v>
      </c>
      <c r="AC12" s="128">
        <f t="shared" si="15"/>
        <v>0</v>
      </c>
      <c r="AD12" s="128">
        <f t="shared" si="16"/>
        <v>0</v>
      </c>
      <c r="AE12" s="16"/>
      <c r="AF12" s="16"/>
      <c r="AG12" s="16"/>
      <c r="AH12" s="16"/>
    </row>
    <row r="13" spans="1:34" ht="16" thickBot="1" x14ac:dyDescent="0.25">
      <c r="A13" s="16"/>
      <c r="B13" s="38"/>
      <c r="C13" s="16" t="s">
        <v>4273</v>
      </c>
      <c r="D13" s="218">
        <v>0</v>
      </c>
      <c r="E13" s="135" t="s">
        <v>5960</v>
      </c>
      <c r="F13" s="226" t="str">
        <f t="shared" si="0"/>
        <v xml:space="preserve"> </v>
      </c>
      <c r="G13" s="141" t="str">
        <f t="shared" si="1"/>
        <v xml:space="preserve"> </v>
      </c>
      <c r="H13" s="214"/>
      <c r="I13" s="151" t="str">
        <f t="shared" si="2"/>
        <v xml:space="preserve"> </v>
      </c>
      <c r="J13" s="114" t="str">
        <f t="shared" si="3"/>
        <v xml:space="preserve"> </v>
      </c>
      <c r="K13" s="114" t="str">
        <f t="shared" si="4"/>
        <v xml:space="preserve"> </v>
      </c>
      <c r="L13" s="213" t="str">
        <f t="shared" si="5"/>
        <v xml:space="preserve"> </v>
      </c>
      <c r="M13" s="212" t="str">
        <f>IF(NOT(Start_Here_Complete)," ",
IF(D13=0," ",
IF(OR(FWB_CCPrime,Ent_CCAdv)," ",
"1 year")))</f>
        <v xml:space="preserve"> </v>
      </c>
      <c r="N13" s="128" t="str">
        <f t="shared" si="6"/>
        <v xml:space="preserve"> </v>
      </c>
      <c r="O13" s="128">
        <f t="shared" si="17"/>
        <v>0</v>
      </c>
      <c r="P13" s="192" t="s">
        <v>6246</v>
      </c>
      <c r="Q13" s="288" t="s">
        <v>6254</v>
      </c>
      <c r="R13" s="128" t="str">
        <f t="shared" si="7"/>
        <v>Pro No</v>
      </c>
      <c r="S13" s="288" t="s">
        <v>6254</v>
      </c>
      <c r="T13" s="128" t="str">
        <f t="shared" si="8"/>
        <v>Prime No</v>
      </c>
      <c r="U13" s="192">
        <v>4</v>
      </c>
      <c r="V13" s="128">
        <v>4</v>
      </c>
      <c r="W13" s="128">
        <f t="shared" si="9"/>
        <v>0</v>
      </c>
      <c r="X13" s="128">
        <f t="shared" si="10"/>
        <v>0</v>
      </c>
      <c r="Y13" s="128">
        <f t="shared" si="11"/>
        <v>0</v>
      </c>
      <c r="Z13" s="128">
        <f t="shared" si="12"/>
        <v>0</v>
      </c>
      <c r="AA13" s="128">
        <f t="shared" si="13"/>
        <v>0</v>
      </c>
      <c r="AB13" s="128">
        <f t="shared" si="14"/>
        <v>0</v>
      </c>
      <c r="AC13" s="128">
        <f t="shared" si="15"/>
        <v>0</v>
      </c>
      <c r="AD13" s="128">
        <f t="shared" si="16"/>
        <v>0</v>
      </c>
      <c r="AE13" s="16"/>
      <c r="AF13" s="16"/>
      <c r="AG13" s="16"/>
      <c r="AH13" s="16"/>
    </row>
    <row r="14" spans="1:34" ht="16" thickBot="1" x14ac:dyDescent="0.25">
      <c r="A14" s="16"/>
      <c r="B14" s="38"/>
      <c r="C14" s="91" t="s">
        <v>5914</v>
      </c>
      <c r="D14" s="92"/>
      <c r="E14" s="92"/>
      <c r="F14" s="92"/>
      <c r="G14" s="92"/>
      <c r="H14" s="92"/>
      <c r="I14" s="92"/>
      <c r="J14" s="92"/>
      <c r="K14" s="92"/>
      <c r="L14" s="92"/>
      <c r="M14" s="106"/>
      <c r="N14" s="128"/>
      <c r="O14" s="128"/>
      <c r="P14" s="194"/>
      <c r="Q14" s="128"/>
      <c r="R14" s="128"/>
      <c r="S14" s="128"/>
      <c r="T14" s="128"/>
      <c r="U14" s="171"/>
      <c r="V14" s="128"/>
      <c r="W14" s="128"/>
      <c r="X14" s="128"/>
      <c r="Y14" s="128"/>
      <c r="Z14" s="128"/>
      <c r="AA14" s="128"/>
      <c r="AB14" s="128"/>
      <c r="AC14" s="128"/>
      <c r="AD14" s="128"/>
      <c r="AE14" s="16"/>
      <c r="AF14" s="16"/>
      <c r="AG14" s="16"/>
      <c r="AH14" s="16"/>
    </row>
    <row r="15" spans="1:34" ht="16" thickBot="1" x14ac:dyDescent="0.25">
      <c r="A15" s="16"/>
      <c r="B15" s="38"/>
      <c r="C15" s="16" t="s">
        <v>5917</v>
      </c>
      <c r="D15" s="56">
        <v>0</v>
      </c>
      <c r="E15" s="135" t="s">
        <v>5960</v>
      </c>
      <c r="F15" s="226" t="str">
        <f t="shared" ref="F15:F31" si="18">IF(NOT(Start_Here_Complete)," ",
IF(D15=0," ",
IF(AND(Service="cnMaestro X",P15&lt;&gt;"N/A"),P15,
IF(AND(Service="cnMaestro X",P15="N/A"),"Not Available",
" "))))</f>
        <v xml:space="preserve"> </v>
      </c>
      <c r="G15" s="114" t="str">
        <f t="shared" ref="G15:G31" si="19">IF(NOT(Start_Here_Complete)," ",
IF(D15=0," ",
IF(AND(Service="cnMaestro X",P15&lt;&gt;"N/A",P15&lt;&gt;"Free Tier"),cnMX_Term,
IF(AND(Service="cnMaestro X",P15="Free Tier")," ",
IF(AND(Service="cnMaestro X",P15="N/A")," ",
" ")))))</f>
        <v xml:space="preserve"> </v>
      </c>
      <c r="H15" s="214"/>
      <c r="I15" s="151" t="str">
        <f t="shared" ref="I15:I31" si="20">IF(NOT((Start_Here_Complete))," ",
IF(D15=0," ",
IF(R15="Pro Go",CONCATENATE("CC Pro ",Q15),
IF(R15="Pro N/R","CC Pro not req'd *",
IF(T15="Prime Go",CONCATENATE("CC Prime ",S15),
IF(T15="Prime N/R","CC Prime not req'd *",
IF(T15="Prime N/A","Prime not available",
IF(CC_Type="Decline Cambium Care","CC Declined",
" "))))))))</f>
        <v xml:space="preserve"> </v>
      </c>
      <c r="J15" s="114" t="str">
        <f t="shared" ref="J15:J31" si="21">IF(NOT(Start_Here_Complete)," ",
IF(D15=0," ",
IF(R15="Pro Go","1 year",
IF(T15="Prime Go","1 Year",
" "))))</f>
        <v xml:space="preserve"> </v>
      </c>
      <c r="K15" s="114" t="str">
        <f t="shared" ref="K15:K31" si="22">IF(NOT(Start_Here_Complete)," ",
IF(D15=0," ",
IF(AND(EW,U15&lt;&gt;"N/A"),"Extended Warranty",
IF(AND(EW,U15="N/A"),"Ext Wty not available",
IF(AND(AR,V15&lt;&gt;"N/A"),"All Risks Adv Replace",
IF(AND(AR,V15="N/A"),"ARAR not available",
IF(NoHW,"HW Support Declined",
IF(AND(FWB_CCPrime,T15="Prime Go"),"ARAR included",
IF(Ent_CCAdv,"Includes Adv Repl",
"X")))))))))</f>
        <v xml:space="preserve"> </v>
      </c>
      <c r="L15" s="213" t="str">
        <f t="shared" si="5"/>
        <v xml:space="preserve"> </v>
      </c>
      <c r="M15" s="212" t="str">
        <f t="shared" ref="M15:M31" si="23">IF(NOT(Start_Here_Complete)," ",
IF(D15=0," ",
IF(OR(FWB_CCPrime,Ent_CCAdv)," ",
"1 year")))</f>
        <v xml:space="preserve"> </v>
      </c>
      <c r="N15" s="128" t="str">
        <f t="shared" ref="N15:N31" si="24">IF(D15=0," ",
IF(AND(EW,U15&lt;&gt;"N/A"),"Choose",
IF(AND(AR,V15&lt;&gt;"N/A"),"Choose",
" ")))</f>
        <v xml:space="preserve"> </v>
      </c>
      <c r="O15" s="128">
        <f t="shared" si="17"/>
        <v>0</v>
      </c>
      <c r="P15" s="194" t="s">
        <v>1226</v>
      </c>
      <c r="Q15" s="288" t="s">
        <v>6253</v>
      </c>
      <c r="R15" s="128" t="str">
        <f t="shared" ref="R15:R31" si="25">IF(AND(FWB_CCPro,Q15&lt;&gt;"N/R"),"Pro Go",
IF(AND(FWB_CCPro,Q15="N/R"),"Pro N/R",
"Pro No"))</f>
        <v>Pro No</v>
      </c>
      <c r="S15" s="288" t="s">
        <v>6253</v>
      </c>
      <c r="T15" s="128" t="str">
        <f t="shared" ref="T15:T31" si="26">IF(AND(FWB_CCPrime,AND(S15&lt;&gt;"N/R",S15&lt;&gt;"N/A")),"Prime Go",
IF(AND(FWB_CCPrime,S15="N/R"),"Prime N/R",
IF(AND(FWB_CCPrime,S15="N/A"),"Prime N/A",
"Prime No")))</f>
        <v>Prime No</v>
      </c>
      <c r="U15" s="192">
        <v>4</v>
      </c>
      <c r="V15" s="128">
        <v>4</v>
      </c>
      <c r="W15" s="128">
        <f t="shared" ref="W15:W31" si="27">IF(NOT(Start_Here_Complete),0,
IF(D15=0,0,
IF(AND(Service="Standalone Support",Device_Type="Enterprise &amp; cnWave"),0,
IF(AND(FWB_CCPro,Q15="SC10"),D15,
IF(AND(FWB_CCPrime,S15="SC10"),D15,
0)))))</f>
        <v>0</v>
      </c>
      <c r="X15" s="128">
        <f t="shared" ref="X15:X31" si="28">IF(NOT(Start_Here_Complete),0,
IF(D15=0,0,
IF(AND(Service="Standalone Support",Device_Type="Enterprise &amp; cnWave"),0,
IF(AND(FWB_CCPrime,S15="SC15"),D15,
0))))</f>
        <v>0</v>
      </c>
      <c r="Y15" s="128">
        <f t="shared" ref="Y15:Y31" si="29">IF(NOT(Start_Here_Complete),0,
IF(D15=0,0,
IF(AND(Service="Standalone Support",Device_Type="Enterprise &amp; cnWave"),0,
IF(AND(FWB_CCPro,Q15="SC20"),D15,
IF(AND(FWB_CCPrime,S15="SC20"),D15,
0)))))</f>
        <v>0</v>
      </c>
      <c r="Z15" s="128">
        <f t="shared" ref="Z15:Z31" si="30">IF(NOT(Start_Here_Complete),0,
IF(D15=0,0,
IF(AND(Service="Standalone Support",Device_Type="Enterprise &amp; cnWave"),0,
IF(AND(FWB_CCPrime,S15="SC25"),D15,
0))))</f>
        <v>0</v>
      </c>
      <c r="AA15" s="128">
        <f t="shared" ref="AA15:AA31" si="31">IF(NOT(Start_Here_Complete),0,
IF(D15=0,0,
IF(AND(Service="Standalone Support",Device_Type="Enterprise &amp; cnWave"),0,
IF(AND(FWB_CCPro,Q15="SC30"),D15,
IF(AND(FWB_CCPrime,S15="SC30"),D15,
0)))))</f>
        <v>0</v>
      </c>
      <c r="AB15" s="128">
        <f t="shared" ref="AB15:AB31" si="32">IF(NOT(Start_Here_Complete),0,
IF(D15=0,0,
IF(AND(Service="Standalone Support",Device_Type="Enterprise &amp; cnWave"),0,
IF(AND(FWB_CCPro,Q15="SC40"),D15,
IF(AND(FWB_CCPrime,S15="SC40"),D15,
0)))))</f>
        <v>0</v>
      </c>
      <c r="AC15" s="128">
        <f t="shared" ref="AC15:AC31" si="33">IF(NOT(Start_Here_Complete),0,
IF(D15=0,0,
IF(AND(Service="Standalone Support",Device_Type="Enterprise &amp; cnWave"),0,
IF(AND(FWB_CCPro,Q15="SC50"),D15,
IF(AND(FWB_CCPrime,S15="SC50"),D15,
0)))))</f>
        <v>0</v>
      </c>
      <c r="AD15" s="128">
        <f t="shared" ref="AD15:AD31" si="34">IF(NOT(Start_Here_Complete),0,
IF(D15=0,0,
IF(AND(Service="Standalone Support",Device_Type="Enterprise &amp; cnWave"),0,
IF(AND(FWB_CCPro,Q15="SC60"),D15,
IF(AND(FWB_CCPrime,S15="SC60"),D15,
0)))))</f>
        <v>0</v>
      </c>
      <c r="AE15" s="16"/>
      <c r="AF15" s="16"/>
      <c r="AG15" s="16"/>
      <c r="AH15" s="16"/>
    </row>
    <row r="16" spans="1:34" ht="16" thickBot="1" x14ac:dyDescent="0.25">
      <c r="A16" s="16"/>
      <c r="B16" s="38"/>
      <c r="C16" s="16" t="s">
        <v>1299</v>
      </c>
      <c r="D16" s="56">
        <v>0</v>
      </c>
      <c r="E16" s="135" t="s">
        <v>5960</v>
      </c>
      <c r="F16" s="226" t="str">
        <f t="shared" si="18"/>
        <v xml:space="preserve"> </v>
      </c>
      <c r="G16" s="114" t="str">
        <f t="shared" si="19"/>
        <v xml:space="preserve"> </v>
      </c>
      <c r="H16" s="214"/>
      <c r="I16" s="151" t="str">
        <f t="shared" si="20"/>
        <v xml:space="preserve"> </v>
      </c>
      <c r="J16" s="114" t="str">
        <f t="shared" si="21"/>
        <v xml:space="preserve"> </v>
      </c>
      <c r="K16" s="114" t="str">
        <f t="shared" si="22"/>
        <v xml:space="preserve"> </v>
      </c>
      <c r="L16" s="213" t="str">
        <f t="shared" si="5"/>
        <v xml:space="preserve"> </v>
      </c>
      <c r="M16" s="212" t="str">
        <f t="shared" si="23"/>
        <v xml:space="preserve"> </v>
      </c>
      <c r="N16" s="128" t="str">
        <f t="shared" si="24"/>
        <v xml:space="preserve"> </v>
      </c>
      <c r="O16" s="128">
        <f t="shared" si="17"/>
        <v>0</v>
      </c>
      <c r="P16" s="194" t="s">
        <v>1226</v>
      </c>
      <c r="Q16" s="288" t="s">
        <v>6253</v>
      </c>
      <c r="R16" s="128" t="str">
        <f t="shared" si="25"/>
        <v>Pro No</v>
      </c>
      <c r="S16" s="288" t="s">
        <v>6253</v>
      </c>
      <c r="T16" s="128" t="str">
        <f t="shared" si="26"/>
        <v>Prime No</v>
      </c>
      <c r="U16" s="192">
        <v>4</v>
      </c>
      <c r="V16" s="128">
        <v>4</v>
      </c>
      <c r="W16" s="128">
        <f t="shared" si="27"/>
        <v>0</v>
      </c>
      <c r="X16" s="128">
        <f t="shared" si="28"/>
        <v>0</v>
      </c>
      <c r="Y16" s="128">
        <f t="shared" si="29"/>
        <v>0</v>
      </c>
      <c r="Z16" s="128">
        <f t="shared" si="30"/>
        <v>0</v>
      </c>
      <c r="AA16" s="128">
        <f t="shared" si="31"/>
        <v>0</v>
      </c>
      <c r="AB16" s="128">
        <f t="shared" si="32"/>
        <v>0</v>
      </c>
      <c r="AC16" s="128">
        <f t="shared" si="33"/>
        <v>0</v>
      </c>
      <c r="AD16" s="128">
        <f t="shared" si="34"/>
        <v>0</v>
      </c>
      <c r="AE16" s="16"/>
      <c r="AF16" s="16"/>
      <c r="AG16" s="16"/>
      <c r="AH16" s="16"/>
    </row>
    <row r="17" spans="1:34" ht="16" thickBot="1" x14ac:dyDescent="0.25">
      <c r="A17" s="16"/>
      <c r="B17" s="38"/>
      <c r="C17" s="16" t="s">
        <v>1302</v>
      </c>
      <c r="D17" s="56">
        <v>0</v>
      </c>
      <c r="E17" s="135" t="s">
        <v>5960</v>
      </c>
      <c r="F17" s="226" t="str">
        <f t="shared" si="18"/>
        <v xml:space="preserve"> </v>
      </c>
      <c r="G17" s="114" t="str">
        <f t="shared" si="19"/>
        <v xml:space="preserve"> </v>
      </c>
      <c r="H17" s="214"/>
      <c r="I17" s="151" t="str">
        <f t="shared" si="20"/>
        <v xml:space="preserve"> </v>
      </c>
      <c r="J17" s="114" t="str">
        <f t="shared" si="21"/>
        <v xml:space="preserve"> </v>
      </c>
      <c r="K17" s="114" t="str">
        <f t="shared" si="22"/>
        <v xml:space="preserve"> </v>
      </c>
      <c r="L17" s="213" t="str">
        <f t="shared" si="5"/>
        <v xml:space="preserve"> </v>
      </c>
      <c r="M17" s="212" t="str">
        <f t="shared" si="23"/>
        <v xml:space="preserve"> </v>
      </c>
      <c r="N17" s="128" t="str">
        <f t="shared" si="24"/>
        <v xml:space="preserve"> </v>
      </c>
      <c r="O17" s="128">
        <f t="shared" si="17"/>
        <v>0</v>
      </c>
      <c r="P17" s="194" t="s">
        <v>1226</v>
      </c>
      <c r="Q17" s="288" t="s">
        <v>6253</v>
      </c>
      <c r="R17" s="128" t="str">
        <f t="shared" si="25"/>
        <v>Pro No</v>
      </c>
      <c r="S17" s="288" t="s">
        <v>6253</v>
      </c>
      <c r="T17" s="128" t="str">
        <f t="shared" si="26"/>
        <v>Prime No</v>
      </c>
      <c r="U17" s="192">
        <v>4</v>
      </c>
      <c r="V17" s="128">
        <v>4</v>
      </c>
      <c r="W17" s="128">
        <f t="shared" si="27"/>
        <v>0</v>
      </c>
      <c r="X17" s="128">
        <f t="shared" si="28"/>
        <v>0</v>
      </c>
      <c r="Y17" s="128">
        <f t="shared" si="29"/>
        <v>0</v>
      </c>
      <c r="Z17" s="128">
        <f t="shared" si="30"/>
        <v>0</v>
      </c>
      <c r="AA17" s="128">
        <f t="shared" si="31"/>
        <v>0</v>
      </c>
      <c r="AB17" s="128">
        <f t="shared" si="32"/>
        <v>0</v>
      </c>
      <c r="AC17" s="128">
        <f t="shared" si="33"/>
        <v>0</v>
      </c>
      <c r="AD17" s="128">
        <f t="shared" si="34"/>
        <v>0</v>
      </c>
      <c r="AE17" s="16"/>
      <c r="AF17" s="16"/>
      <c r="AG17" s="16"/>
      <c r="AH17" s="16"/>
    </row>
    <row r="18" spans="1:34" ht="16" thickBot="1" x14ac:dyDescent="0.25">
      <c r="A18" s="16"/>
      <c r="B18" s="38"/>
      <c r="C18" s="16" t="s">
        <v>1307</v>
      </c>
      <c r="D18" s="56">
        <v>0</v>
      </c>
      <c r="E18" s="135" t="s">
        <v>5960</v>
      </c>
      <c r="F18" s="226" t="str">
        <f t="shared" si="18"/>
        <v xml:space="preserve"> </v>
      </c>
      <c r="G18" s="114" t="str">
        <f t="shared" si="19"/>
        <v xml:space="preserve"> </v>
      </c>
      <c r="H18" s="214"/>
      <c r="I18" s="151" t="str">
        <f t="shared" si="20"/>
        <v xml:space="preserve"> </v>
      </c>
      <c r="J18" s="114" t="str">
        <f t="shared" si="21"/>
        <v xml:space="preserve"> </v>
      </c>
      <c r="K18" s="114" t="str">
        <f t="shared" si="22"/>
        <v xml:space="preserve"> </v>
      </c>
      <c r="L18" s="213" t="str">
        <f t="shared" si="5"/>
        <v xml:space="preserve"> </v>
      </c>
      <c r="M18" s="212" t="str">
        <f t="shared" si="23"/>
        <v xml:space="preserve"> </v>
      </c>
      <c r="N18" s="128" t="str">
        <f t="shared" si="24"/>
        <v xml:space="preserve"> </v>
      </c>
      <c r="O18" s="128">
        <f t="shared" si="17"/>
        <v>0</v>
      </c>
      <c r="P18" s="194" t="s">
        <v>1226</v>
      </c>
      <c r="Q18" s="288" t="s">
        <v>6253</v>
      </c>
      <c r="R18" s="128" t="str">
        <f t="shared" si="25"/>
        <v>Pro No</v>
      </c>
      <c r="S18" s="288" t="s">
        <v>6253</v>
      </c>
      <c r="T18" s="128" t="str">
        <f t="shared" si="26"/>
        <v>Prime No</v>
      </c>
      <c r="U18" s="192">
        <v>4</v>
      </c>
      <c r="V18" s="128">
        <v>4</v>
      </c>
      <c r="W18" s="128">
        <f t="shared" si="27"/>
        <v>0</v>
      </c>
      <c r="X18" s="128">
        <f t="shared" si="28"/>
        <v>0</v>
      </c>
      <c r="Y18" s="128">
        <f t="shared" si="29"/>
        <v>0</v>
      </c>
      <c r="Z18" s="128">
        <f t="shared" si="30"/>
        <v>0</v>
      </c>
      <c r="AA18" s="128">
        <f t="shared" si="31"/>
        <v>0</v>
      </c>
      <c r="AB18" s="128">
        <f t="shared" si="32"/>
        <v>0</v>
      </c>
      <c r="AC18" s="128">
        <f t="shared" si="33"/>
        <v>0</v>
      </c>
      <c r="AD18" s="128">
        <f t="shared" si="34"/>
        <v>0</v>
      </c>
      <c r="AE18" s="16"/>
      <c r="AF18" s="16"/>
      <c r="AG18" s="16"/>
      <c r="AH18" s="16"/>
    </row>
    <row r="19" spans="1:34" ht="16" thickBot="1" x14ac:dyDescent="0.25">
      <c r="A19" s="16"/>
      <c r="B19" s="38"/>
      <c r="C19" s="16" t="s">
        <v>5918</v>
      </c>
      <c r="D19" s="56">
        <v>0</v>
      </c>
      <c r="E19" s="135" t="s">
        <v>5960</v>
      </c>
      <c r="F19" s="226" t="str">
        <f t="shared" si="18"/>
        <v xml:space="preserve"> </v>
      </c>
      <c r="G19" s="114" t="str">
        <f t="shared" si="19"/>
        <v xml:space="preserve"> </v>
      </c>
      <c r="H19" s="214"/>
      <c r="I19" s="151" t="str">
        <f t="shared" si="20"/>
        <v xml:space="preserve"> </v>
      </c>
      <c r="J19" s="114" t="str">
        <f t="shared" si="21"/>
        <v xml:space="preserve"> </v>
      </c>
      <c r="K19" s="114" t="str">
        <f t="shared" si="22"/>
        <v xml:space="preserve"> </v>
      </c>
      <c r="L19" s="213" t="str">
        <f t="shared" si="5"/>
        <v xml:space="preserve"> </v>
      </c>
      <c r="M19" s="212" t="str">
        <f t="shared" si="23"/>
        <v xml:space="preserve"> </v>
      </c>
      <c r="N19" s="128" t="str">
        <f t="shared" si="24"/>
        <v xml:space="preserve"> </v>
      </c>
      <c r="O19" s="128">
        <f t="shared" si="17"/>
        <v>0</v>
      </c>
      <c r="P19" s="194" t="s">
        <v>1226</v>
      </c>
      <c r="Q19" s="288" t="s">
        <v>6253</v>
      </c>
      <c r="R19" s="128" t="str">
        <f t="shared" si="25"/>
        <v>Pro No</v>
      </c>
      <c r="S19" s="288" t="s">
        <v>6253</v>
      </c>
      <c r="T19" s="128" t="str">
        <f t="shared" si="26"/>
        <v>Prime No</v>
      </c>
      <c r="U19" s="192">
        <v>4</v>
      </c>
      <c r="V19" s="128">
        <v>4</v>
      </c>
      <c r="W19" s="128">
        <f t="shared" si="27"/>
        <v>0</v>
      </c>
      <c r="X19" s="128">
        <f t="shared" si="28"/>
        <v>0</v>
      </c>
      <c r="Y19" s="128">
        <f t="shared" si="29"/>
        <v>0</v>
      </c>
      <c r="Z19" s="128">
        <f t="shared" si="30"/>
        <v>0</v>
      </c>
      <c r="AA19" s="128">
        <f t="shared" si="31"/>
        <v>0</v>
      </c>
      <c r="AB19" s="128">
        <f t="shared" si="32"/>
        <v>0</v>
      </c>
      <c r="AC19" s="128">
        <f t="shared" si="33"/>
        <v>0</v>
      </c>
      <c r="AD19" s="128">
        <f t="shared" si="34"/>
        <v>0</v>
      </c>
      <c r="AE19" s="16"/>
      <c r="AF19" s="16"/>
      <c r="AG19" s="16"/>
      <c r="AH19" s="16"/>
    </row>
    <row r="20" spans="1:34" ht="16" thickBot="1" x14ac:dyDescent="0.25">
      <c r="A20" s="16"/>
      <c r="B20" s="38"/>
      <c r="C20" s="16" t="s">
        <v>5919</v>
      </c>
      <c r="D20" s="56">
        <v>0</v>
      </c>
      <c r="E20" s="135" t="s">
        <v>5960</v>
      </c>
      <c r="F20" s="226" t="str">
        <f t="shared" si="18"/>
        <v xml:space="preserve"> </v>
      </c>
      <c r="G20" s="114" t="str">
        <f t="shared" si="19"/>
        <v xml:space="preserve"> </v>
      </c>
      <c r="H20" s="214"/>
      <c r="I20" s="151" t="str">
        <f t="shared" si="20"/>
        <v xml:space="preserve"> </v>
      </c>
      <c r="J20" s="114" t="str">
        <f t="shared" si="21"/>
        <v xml:space="preserve"> </v>
      </c>
      <c r="K20" s="114" t="str">
        <f t="shared" si="22"/>
        <v xml:space="preserve"> </v>
      </c>
      <c r="L20" s="213" t="str">
        <f t="shared" si="5"/>
        <v xml:space="preserve"> </v>
      </c>
      <c r="M20" s="212" t="str">
        <f t="shared" si="23"/>
        <v xml:space="preserve"> </v>
      </c>
      <c r="N20" s="128" t="str">
        <f t="shared" si="24"/>
        <v xml:space="preserve"> </v>
      </c>
      <c r="O20" s="128">
        <f t="shared" si="17"/>
        <v>0</v>
      </c>
      <c r="P20" s="194" t="s">
        <v>1226</v>
      </c>
      <c r="Q20" s="288" t="s">
        <v>6253</v>
      </c>
      <c r="R20" s="128" t="str">
        <f t="shared" si="25"/>
        <v>Pro No</v>
      </c>
      <c r="S20" s="288" t="s">
        <v>6253</v>
      </c>
      <c r="T20" s="128" t="str">
        <f t="shared" si="26"/>
        <v>Prime No</v>
      </c>
      <c r="U20" s="192">
        <v>4</v>
      </c>
      <c r="V20" s="128">
        <v>4</v>
      </c>
      <c r="W20" s="128">
        <f t="shared" si="27"/>
        <v>0</v>
      </c>
      <c r="X20" s="128">
        <f t="shared" si="28"/>
        <v>0</v>
      </c>
      <c r="Y20" s="128">
        <f t="shared" si="29"/>
        <v>0</v>
      </c>
      <c r="Z20" s="128">
        <f t="shared" si="30"/>
        <v>0</v>
      </c>
      <c r="AA20" s="128">
        <f t="shared" si="31"/>
        <v>0</v>
      </c>
      <c r="AB20" s="128">
        <f t="shared" si="32"/>
        <v>0</v>
      </c>
      <c r="AC20" s="128">
        <f t="shared" si="33"/>
        <v>0</v>
      </c>
      <c r="AD20" s="128">
        <f t="shared" si="34"/>
        <v>0</v>
      </c>
      <c r="AE20" s="16"/>
      <c r="AF20" s="16"/>
      <c r="AG20" s="16"/>
      <c r="AH20" s="16"/>
    </row>
    <row r="21" spans="1:34" ht="16" thickBot="1" x14ac:dyDescent="0.25">
      <c r="A21" s="16"/>
      <c r="B21" s="38"/>
      <c r="C21" s="16" t="s">
        <v>1287</v>
      </c>
      <c r="D21" s="56">
        <v>0</v>
      </c>
      <c r="E21" s="135" t="s">
        <v>5960</v>
      </c>
      <c r="F21" s="226" t="str">
        <f t="shared" si="18"/>
        <v xml:space="preserve"> </v>
      </c>
      <c r="G21" s="114" t="str">
        <f t="shared" si="19"/>
        <v xml:space="preserve"> </v>
      </c>
      <c r="H21" s="214"/>
      <c r="I21" s="151" t="str">
        <f t="shared" si="20"/>
        <v xml:space="preserve"> </v>
      </c>
      <c r="J21" s="114" t="str">
        <f t="shared" si="21"/>
        <v xml:space="preserve"> </v>
      </c>
      <c r="K21" s="114" t="str">
        <f t="shared" si="22"/>
        <v xml:space="preserve"> </v>
      </c>
      <c r="L21" s="213" t="str">
        <f t="shared" si="5"/>
        <v xml:space="preserve"> </v>
      </c>
      <c r="M21" s="212" t="str">
        <f t="shared" si="23"/>
        <v xml:space="preserve"> </v>
      </c>
      <c r="N21" s="128" t="str">
        <f t="shared" si="24"/>
        <v xml:space="preserve"> </v>
      </c>
      <c r="O21" s="128">
        <f t="shared" si="17"/>
        <v>0</v>
      </c>
      <c r="P21" s="194" t="s">
        <v>1226</v>
      </c>
      <c r="Q21" s="288" t="s">
        <v>6253</v>
      </c>
      <c r="R21" s="128" t="str">
        <f t="shared" si="25"/>
        <v>Pro No</v>
      </c>
      <c r="S21" s="288" t="s">
        <v>6253</v>
      </c>
      <c r="T21" s="128" t="str">
        <f t="shared" si="26"/>
        <v>Prime No</v>
      </c>
      <c r="U21" s="192">
        <v>4</v>
      </c>
      <c r="V21" s="128">
        <v>4</v>
      </c>
      <c r="W21" s="128">
        <f t="shared" si="27"/>
        <v>0</v>
      </c>
      <c r="X21" s="128">
        <f t="shared" si="28"/>
        <v>0</v>
      </c>
      <c r="Y21" s="128">
        <f t="shared" si="29"/>
        <v>0</v>
      </c>
      <c r="Z21" s="128">
        <f t="shared" si="30"/>
        <v>0</v>
      </c>
      <c r="AA21" s="128">
        <f t="shared" si="31"/>
        <v>0</v>
      </c>
      <c r="AB21" s="128">
        <f t="shared" si="32"/>
        <v>0</v>
      </c>
      <c r="AC21" s="128">
        <f t="shared" si="33"/>
        <v>0</v>
      </c>
      <c r="AD21" s="128">
        <f t="shared" si="34"/>
        <v>0</v>
      </c>
      <c r="AE21" s="16"/>
      <c r="AF21" s="16"/>
      <c r="AG21" s="16"/>
      <c r="AH21" s="16"/>
    </row>
    <row r="22" spans="1:34" ht="16" thickBot="1" x14ac:dyDescent="0.25">
      <c r="A22" s="16"/>
      <c r="B22" s="38"/>
      <c r="C22" s="16" t="s">
        <v>1296</v>
      </c>
      <c r="D22" s="56">
        <v>0</v>
      </c>
      <c r="E22" s="135" t="s">
        <v>5960</v>
      </c>
      <c r="F22" s="226" t="str">
        <f t="shared" si="18"/>
        <v xml:space="preserve"> </v>
      </c>
      <c r="G22" s="114" t="str">
        <f t="shared" si="19"/>
        <v xml:space="preserve"> </v>
      </c>
      <c r="H22" s="214"/>
      <c r="I22" s="151" t="str">
        <f t="shared" si="20"/>
        <v xml:space="preserve"> </v>
      </c>
      <c r="J22" s="114" t="str">
        <f t="shared" si="21"/>
        <v xml:space="preserve"> </v>
      </c>
      <c r="K22" s="114" t="str">
        <f t="shared" si="22"/>
        <v xml:space="preserve"> </v>
      </c>
      <c r="L22" s="213" t="str">
        <f t="shared" si="5"/>
        <v xml:space="preserve"> </v>
      </c>
      <c r="M22" s="212" t="str">
        <f t="shared" si="23"/>
        <v xml:space="preserve"> </v>
      </c>
      <c r="N22" s="128" t="str">
        <f t="shared" si="24"/>
        <v xml:space="preserve"> </v>
      </c>
      <c r="O22" s="128">
        <f t="shared" si="17"/>
        <v>0</v>
      </c>
      <c r="P22" s="194" t="s">
        <v>1226</v>
      </c>
      <c r="Q22" s="288" t="s">
        <v>6253</v>
      </c>
      <c r="R22" s="128" t="str">
        <f t="shared" si="25"/>
        <v>Pro No</v>
      </c>
      <c r="S22" s="288" t="s">
        <v>6253</v>
      </c>
      <c r="T22" s="128" t="str">
        <f t="shared" si="26"/>
        <v>Prime No</v>
      </c>
      <c r="U22" s="192">
        <v>4</v>
      </c>
      <c r="V22" s="128">
        <v>4</v>
      </c>
      <c r="W22" s="128">
        <f t="shared" si="27"/>
        <v>0</v>
      </c>
      <c r="X22" s="128">
        <f t="shared" si="28"/>
        <v>0</v>
      </c>
      <c r="Y22" s="128">
        <f t="shared" si="29"/>
        <v>0</v>
      </c>
      <c r="Z22" s="128">
        <f t="shared" si="30"/>
        <v>0</v>
      </c>
      <c r="AA22" s="128">
        <f t="shared" si="31"/>
        <v>0</v>
      </c>
      <c r="AB22" s="128">
        <f t="shared" si="32"/>
        <v>0</v>
      </c>
      <c r="AC22" s="128">
        <f t="shared" si="33"/>
        <v>0</v>
      </c>
      <c r="AD22" s="128">
        <f t="shared" si="34"/>
        <v>0</v>
      </c>
      <c r="AE22" s="16"/>
      <c r="AF22" s="16"/>
      <c r="AG22" s="16"/>
      <c r="AH22" s="16"/>
    </row>
    <row r="23" spans="1:34" ht="16" thickBot="1" x14ac:dyDescent="0.25">
      <c r="A23" s="16"/>
      <c r="B23" s="38"/>
      <c r="C23" s="16" t="s">
        <v>1312</v>
      </c>
      <c r="D23" s="56">
        <v>0</v>
      </c>
      <c r="E23" s="135" t="s">
        <v>5960</v>
      </c>
      <c r="F23" s="226" t="str">
        <f t="shared" si="18"/>
        <v xml:space="preserve"> </v>
      </c>
      <c r="G23" s="114" t="str">
        <f t="shared" si="19"/>
        <v xml:space="preserve"> </v>
      </c>
      <c r="H23" s="214"/>
      <c r="I23" s="151" t="str">
        <f t="shared" si="20"/>
        <v xml:space="preserve"> </v>
      </c>
      <c r="J23" s="114" t="str">
        <f t="shared" si="21"/>
        <v xml:space="preserve"> </v>
      </c>
      <c r="K23" s="114" t="str">
        <f t="shared" si="22"/>
        <v xml:space="preserve"> </v>
      </c>
      <c r="L23" s="213" t="str">
        <f t="shared" si="5"/>
        <v xml:space="preserve"> </v>
      </c>
      <c r="M23" s="212" t="str">
        <f t="shared" si="23"/>
        <v xml:space="preserve"> </v>
      </c>
      <c r="N23" s="128" t="str">
        <f t="shared" si="24"/>
        <v xml:space="preserve"> </v>
      </c>
      <c r="O23" s="128">
        <f t="shared" si="17"/>
        <v>0</v>
      </c>
      <c r="P23" s="194" t="s">
        <v>1226</v>
      </c>
      <c r="Q23" s="288" t="s">
        <v>6251</v>
      </c>
      <c r="R23" s="128" t="str">
        <f t="shared" si="25"/>
        <v>Pro No</v>
      </c>
      <c r="S23" s="288" t="s">
        <v>6251</v>
      </c>
      <c r="T23" s="128" t="str">
        <f t="shared" si="26"/>
        <v>Prime No</v>
      </c>
      <c r="U23" s="192">
        <v>4</v>
      </c>
      <c r="V23" s="128">
        <v>4</v>
      </c>
      <c r="W23" s="128">
        <f t="shared" si="27"/>
        <v>0</v>
      </c>
      <c r="X23" s="128">
        <f t="shared" si="28"/>
        <v>0</v>
      </c>
      <c r="Y23" s="128">
        <f t="shared" si="29"/>
        <v>0</v>
      </c>
      <c r="Z23" s="128">
        <f t="shared" si="30"/>
        <v>0</v>
      </c>
      <c r="AA23" s="128">
        <f t="shared" si="31"/>
        <v>0</v>
      </c>
      <c r="AB23" s="128">
        <f t="shared" si="32"/>
        <v>0</v>
      </c>
      <c r="AC23" s="128">
        <f t="shared" si="33"/>
        <v>0</v>
      </c>
      <c r="AD23" s="128">
        <f t="shared" si="34"/>
        <v>0</v>
      </c>
      <c r="AE23" s="16"/>
      <c r="AF23" s="16"/>
      <c r="AG23" s="16"/>
      <c r="AH23" s="16"/>
    </row>
    <row r="24" spans="1:34" ht="16" thickBot="1" x14ac:dyDescent="0.25">
      <c r="A24" s="16"/>
      <c r="B24" s="38"/>
      <c r="C24" s="16" t="s">
        <v>5916</v>
      </c>
      <c r="D24" s="56">
        <v>0</v>
      </c>
      <c r="E24" s="135" t="s">
        <v>5960</v>
      </c>
      <c r="F24" s="226" t="str">
        <f t="shared" si="18"/>
        <v xml:space="preserve"> </v>
      </c>
      <c r="G24" s="114" t="str">
        <f t="shared" si="19"/>
        <v xml:space="preserve"> </v>
      </c>
      <c r="H24" s="214"/>
      <c r="I24" s="151" t="str">
        <f t="shared" si="20"/>
        <v xml:space="preserve"> </v>
      </c>
      <c r="J24" s="114" t="str">
        <f t="shared" si="21"/>
        <v xml:space="preserve"> </v>
      </c>
      <c r="K24" s="114" t="str">
        <f t="shared" si="22"/>
        <v xml:space="preserve"> </v>
      </c>
      <c r="L24" s="213" t="str">
        <f t="shared" si="5"/>
        <v xml:space="preserve"> </v>
      </c>
      <c r="M24" s="212" t="str">
        <f t="shared" si="23"/>
        <v xml:space="preserve"> </v>
      </c>
      <c r="N24" s="128" t="str">
        <f t="shared" si="24"/>
        <v xml:space="preserve"> </v>
      </c>
      <c r="O24" s="128">
        <f t="shared" si="17"/>
        <v>0</v>
      </c>
      <c r="P24" s="194" t="s">
        <v>1226</v>
      </c>
      <c r="Q24" s="288" t="s">
        <v>6253</v>
      </c>
      <c r="R24" s="128" t="str">
        <f t="shared" si="25"/>
        <v>Pro No</v>
      </c>
      <c r="S24" s="288" t="s">
        <v>6253</v>
      </c>
      <c r="T24" s="128" t="str">
        <f t="shared" si="26"/>
        <v>Prime No</v>
      </c>
      <c r="U24" s="192">
        <v>4</v>
      </c>
      <c r="V24" s="128">
        <v>4</v>
      </c>
      <c r="W24" s="128">
        <f t="shared" si="27"/>
        <v>0</v>
      </c>
      <c r="X24" s="128">
        <f t="shared" si="28"/>
        <v>0</v>
      </c>
      <c r="Y24" s="128">
        <f t="shared" si="29"/>
        <v>0</v>
      </c>
      <c r="Z24" s="128">
        <f t="shared" si="30"/>
        <v>0</v>
      </c>
      <c r="AA24" s="128">
        <f t="shared" si="31"/>
        <v>0</v>
      </c>
      <c r="AB24" s="128">
        <f t="shared" si="32"/>
        <v>0</v>
      </c>
      <c r="AC24" s="128">
        <f t="shared" si="33"/>
        <v>0</v>
      </c>
      <c r="AD24" s="128">
        <f t="shared" si="34"/>
        <v>0</v>
      </c>
      <c r="AE24" s="16"/>
      <c r="AF24" s="16"/>
      <c r="AG24" s="16"/>
      <c r="AH24" s="16"/>
    </row>
    <row r="25" spans="1:34" ht="16" thickBot="1" x14ac:dyDescent="0.25">
      <c r="A25" s="16"/>
      <c r="B25" s="38"/>
      <c r="C25" s="16" t="s">
        <v>1290</v>
      </c>
      <c r="D25" s="56">
        <v>0</v>
      </c>
      <c r="E25" s="135" t="s">
        <v>5960</v>
      </c>
      <c r="F25" s="226" t="str">
        <f t="shared" si="18"/>
        <v xml:space="preserve"> </v>
      </c>
      <c r="G25" s="114" t="str">
        <f t="shared" si="19"/>
        <v xml:space="preserve"> </v>
      </c>
      <c r="H25" s="214"/>
      <c r="I25" s="151" t="str">
        <f t="shared" si="20"/>
        <v xml:space="preserve"> </v>
      </c>
      <c r="J25" s="114" t="str">
        <f t="shared" si="21"/>
        <v xml:space="preserve"> </v>
      </c>
      <c r="K25" s="114" t="str">
        <f t="shared" si="22"/>
        <v xml:space="preserve"> </v>
      </c>
      <c r="L25" s="213" t="str">
        <f t="shared" si="5"/>
        <v xml:space="preserve"> </v>
      </c>
      <c r="M25" s="212" t="str">
        <f t="shared" si="23"/>
        <v xml:space="preserve"> </v>
      </c>
      <c r="N25" s="128" t="str">
        <f t="shared" si="24"/>
        <v xml:space="preserve"> </v>
      </c>
      <c r="O25" s="128">
        <f t="shared" si="17"/>
        <v>0</v>
      </c>
      <c r="P25" s="194" t="s">
        <v>1226</v>
      </c>
      <c r="Q25" s="288" t="s">
        <v>6253</v>
      </c>
      <c r="R25" s="128" t="str">
        <f t="shared" si="25"/>
        <v>Pro No</v>
      </c>
      <c r="S25" s="288" t="s">
        <v>6253</v>
      </c>
      <c r="T25" s="128" t="str">
        <f t="shared" si="26"/>
        <v>Prime No</v>
      </c>
      <c r="U25" s="192">
        <v>4</v>
      </c>
      <c r="V25" s="128">
        <v>4</v>
      </c>
      <c r="W25" s="128">
        <f t="shared" si="27"/>
        <v>0</v>
      </c>
      <c r="X25" s="128">
        <f t="shared" si="28"/>
        <v>0</v>
      </c>
      <c r="Y25" s="128">
        <f t="shared" si="29"/>
        <v>0</v>
      </c>
      <c r="Z25" s="128">
        <f t="shared" si="30"/>
        <v>0</v>
      </c>
      <c r="AA25" s="128">
        <f t="shared" si="31"/>
        <v>0</v>
      </c>
      <c r="AB25" s="128">
        <f t="shared" si="32"/>
        <v>0</v>
      </c>
      <c r="AC25" s="128">
        <f t="shared" si="33"/>
        <v>0</v>
      </c>
      <c r="AD25" s="128">
        <f t="shared" si="34"/>
        <v>0</v>
      </c>
      <c r="AE25" s="16"/>
      <c r="AF25" s="16"/>
      <c r="AG25" s="16"/>
      <c r="AH25" s="16"/>
    </row>
    <row r="26" spans="1:34" ht="16" thickBot="1" x14ac:dyDescent="0.25">
      <c r="A26" s="16"/>
      <c r="B26" s="38"/>
      <c r="C26" s="16" t="s">
        <v>1317</v>
      </c>
      <c r="D26" s="56">
        <v>0</v>
      </c>
      <c r="E26" s="135" t="s">
        <v>5960</v>
      </c>
      <c r="F26" s="226" t="str">
        <f t="shared" si="18"/>
        <v xml:space="preserve"> </v>
      </c>
      <c r="G26" s="114" t="str">
        <f t="shared" si="19"/>
        <v xml:space="preserve"> </v>
      </c>
      <c r="H26" s="214"/>
      <c r="I26" s="151" t="str">
        <f t="shared" si="20"/>
        <v xml:space="preserve"> </v>
      </c>
      <c r="J26" s="114" t="str">
        <f t="shared" si="21"/>
        <v xml:space="preserve"> </v>
      </c>
      <c r="K26" s="114" t="str">
        <f t="shared" si="22"/>
        <v xml:space="preserve"> </v>
      </c>
      <c r="L26" s="213" t="str">
        <f t="shared" si="5"/>
        <v xml:space="preserve"> </v>
      </c>
      <c r="M26" s="212" t="str">
        <f t="shared" si="23"/>
        <v xml:space="preserve"> </v>
      </c>
      <c r="N26" s="128" t="str">
        <f t="shared" si="24"/>
        <v xml:space="preserve"> </v>
      </c>
      <c r="O26" s="128">
        <f t="shared" si="17"/>
        <v>0</v>
      </c>
      <c r="P26" s="194" t="s">
        <v>1226</v>
      </c>
      <c r="Q26" s="288" t="s">
        <v>6253</v>
      </c>
      <c r="R26" s="128" t="str">
        <f t="shared" si="25"/>
        <v>Pro No</v>
      </c>
      <c r="S26" s="288" t="s">
        <v>6253</v>
      </c>
      <c r="T26" s="128" t="str">
        <f t="shared" si="26"/>
        <v>Prime No</v>
      </c>
      <c r="U26" s="192">
        <v>4</v>
      </c>
      <c r="V26" s="128">
        <v>4</v>
      </c>
      <c r="W26" s="128">
        <f t="shared" si="27"/>
        <v>0</v>
      </c>
      <c r="X26" s="128">
        <f t="shared" si="28"/>
        <v>0</v>
      </c>
      <c r="Y26" s="128">
        <f t="shared" si="29"/>
        <v>0</v>
      </c>
      <c r="Z26" s="128">
        <f t="shared" si="30"/>
        <v>0</v>
      </c>
      <c r="AA26" s="128">
        <f t="shared" si="31"/>
        <v>0</v>
      </c>
      <c r="AB26" s="128">
        <f t="shared" si="32"/>
        <v>0</v>
      </c>
      <c r="AC26" s="128">
        <f t="shared" si="33"/>
        <v>0</v>
      </c>
      <c r="AD26" s="128">
        <f t="shared" si="34"/>
        <v>0</v>
      </c>
      <c r="AE26" s="16"/>
      <c r="AF26" s="16"/>
      <c r="AG26" s="16"/>
      <c r="AH26" s="16"/>
    </row>
    <row r="27" spans="1:34" ht="16" thickBot="1" x14ac:dyDescent="0.25">
      <c r="A27" s="16"/>
      <c r="B27" s="38"/>
      <c r="C27" s="16" t="s">
        <v>5920</v>
      </c>
      <c r="D27" s="56">
        <v>0</v>
      </c>
      <c r="E27" s="135" t="s">
        <v>5960</v>
      </c>
      <c r="F27" s="226" t="str">
        <f t="shared" si="18"/>
        <v xml:space="preserve"> </v>
      </c>
      <c r="G27" s="114" t="str">
        <f t="shared" si="19"/>
        <v xml:space="preserve"> </v>
      </c>
      <c r="H27" s="214"/>
      <c r="I27" s="151" t="str">
        <f t="shared" si="20"/>
        <v xml:space="preserve"> </v>
      </c>
      <c r="J27" s="114" t="str">
        <f t="shared" si="21"/>
        <v xml:space="preserve"> </v>
      </c>
      <c r="K27" s="114" t="str">
        <f t="shared" si="22"/>
        <v xml:space="preserve"> </v>
      </c>
      <c r="L27" s="213" t="str">
        <f t="shared" si="5"/>
        <v xml:space="preserve"> </v>
      </c>
      <c r="M27" s="212" t="str">
        <f t="shared" si="23"/>
        <v xml:space="preserve"> </v>
      </c>
      <c r="N27" s="128" t="str">
        <f t="shared" si="24"/>
        <v xml:space="preserve"> </v>
      </c>
      <c r="O27" s="128">
        <f t="shared" si="17"/>
        <v>0</v>
      </c>
      <c r="P27" s="194" t="s">
        <v>1226</v>
      </c>
      <c r="Q27" s="288" t="s">
        <v>6254</v>
      </c>
      <c r="R27" s="128" t="str">
        <f t="shared" si="25"/>
        <v>Pro No</v>
      </c>
      <c r="S27" s="288" t="s">
        <v>6254</v>
      </c>
      <c r="T27" s="128" t="str">
        <f t="shared" si="26"/>
        <v>Prime No</v>
      </c>
      <c r="U27" s="192">
        <v>4</v>
      </c>
      <c r="V27" s="128">
        <v>4</v>
      </c>
      <c r="W27" s="128">
        <f t="shared" si="27"/>
        <v>0</v>
      </c>
      <c r="X27" s="128">
        <f t="shared" si="28"/>
        <v>0</v>
      </c>
      <c r="Y27" s="128">
        <f t="shared" si="29"/>
        <v>0</v>
      </c>
      <c r="Z27" s="128">
        <f t="shared" si="30"/>
        <v>0</v>
      </c>
      <c r="AA27" s="128">
        <f t="shared" si="31"/>
        <v>0</v>
      </c>
      <c r="AB27" s="128">
        <f t="shared" si="32"/>
        <v>0</v>
      </c>
      <c r="AC27" s="128">
        <f t="shared" si="33"/>
        <v>0</v>
      </c>
      <c r="AD27" s="128">
        <f t="shared" si="34"/>
        <v>0</v>
      </c>
      <c r="AE27" s="16"/>
      <c r="AF27" s="16"/>
      <c r="AG27" s="16"/>
      <c r="AH27" s="16"/>
    </row>
    <row r="28" spans="1:34" ht="16" thickBot="1" x14ac:dyDescent="0.25">
      <c r="A28" s="16"/>
      <c r="B28" s="38"/>
      <c r="C28" s="16" t="s">
        <v>1322</v>
      </c>
      <c r="D28" s="56">
        <v>0</v>
      </c>
      <c r="E28" s="135" t="s">
        <v>5960</v>
      </c>
      <c r="F28" s="226" t="str">
        <f t="shared" si="18"/>
        <v xml:space="preserve"> </v>
      </c>
      <c r="G28" s="114" t="str">
        <f t="shared" si="19"/>
        <v xml:space="preserve"> </v>
      </c>
      <c r="H28" s="214"/>
      <c r="I28" s="151" t="str">
        <f t="shared" si="20"/>
        <v xml:space="preserve"> </v>
      </c>
      <c r="J28" s="114" t="str">
        <f t="shared" si="21"/>
        <v xml:space="preserve"> </v>
      </c>
      <c r="K28" s="114" t="str">
        <f t="shared" si="22"/>
        <v xml:space="preserve"> </v>
      </c>
      <c r="L28" s="213" t="str">
        <f t="shared" si="5"/>
        <v xml:space="preserve"> </v>
      </c>
      <c r="M28" s="212" t="str">
        <f t="shared" si="23"/>
        <v xml:space="preserve"> </v>
      </c>
      <c r="N28" s="128" t="str">
        <f t="shared" si="24"/>
        <v xml:space="preserve"> </v>
      </c>
      <c r="O28" s="128">
        <f t="shared" si="17"/>
        <v>0</v>
      </c>
      <c r="P28" s="194" t="s">
        <v>1226</v>
      </c>
      <c r="Q28" s="288" t="s">
        <v>6253</v>
      </c>
      <c r="R28" s="128" t="str">
        <f t="shared" si="25"/>
        <v>Pro No</v>
      </c>
      <c r="S28" s="288" t="s">
        <v>6254</v>
      </c>
      <c r="T28" s="128" t="str">
        <f t="shared" si="26"/>
        <v>Prime No</v>
      </c>
      <c r="U28" s="192">
        <v>4</v>
      </c>
      <c r="V28" s="128">
        <v>4</v>
      </c>
      <c r="W28" s="128">
        <f t="shared" si="27"/>
        <v>0</v>
      </c>
      <c r="X28" s="128">
        <f t="shared" si="28"/>
        <v>0</v>
      </c>
      <c r="Y28" s="128">
        <f t="shared" si="29"/>
        <v>0</v>
      </c>
      <c r="Z28" s="128">
        <f t="shared" si="30"/>
        <v>0</v>
      </c>
      <c r="AA28" s="128">
        <f t="shared" si="31"/>
        <v>0</v>
      </c>
      <c r="AB28" s="128">
        <f t="shared" si="32"/>
        <v>0</v>
      </c>
      <c r="AC28" s="128">
        <f t="shared" si="33"/>
        <v>0</v>
      </c>
      <c r="AD28" s="128">
        <f t="shared" si="34"/>
        <v>0</v>
      </c>
      <c r="AE28" s="16"/>
      <c r="AF28" s="16"/>
      <c r="AG28" s="16"/>
      <c r="AH28" s="16"/>
    </row>
    <row r="29" spans="1:34" ht="16" thickBot="1" x14ac:dyDescent="0.25">
      <c r="A29" s="16"/>
      <c r="B29" s="38"/>
      <c r="C29" s="16" t="s">
        <v>1325</v>
      </c>
      <c r="D29" s="56">
        <v>0</v>
      </c>
      <c r="E29" s="135" t="s">
        <v>5960</v>
      </c>
      <c r="F29" s="226" t="str">
        <f t="shared" si="18"/>
        <v xml:space="preserve"> </v>
      </c>
      <c r="G29" s="114" t="str">
        <f t="shared" si="19"/>
        <v xml:space="preserve"> </v>
      </c>
      <c r="H29" s="214"/>
      <c r="I29" s="151" t="str">
        <f t="shared" si="20"/>
        <v xml:space="preserve"> </v>
      </c>
      <c r="J29" s="114" t="str">
        <f t="shared" si="21"/>
        <v xml:space="preserve"> </v>
      </c>
      <c r="K29" s="114" t="str">
        <f t="shared" si="22"/>
        <v xml:space="preserve"> </v>
      </c>
      <c r="L29" s="213" t="str">
        <f t="shared" si="5"/>
        <v xml:space="preserve"> </v>
      </c>
      <c r="M29" s="212" t="str">
        <f t="shared" si="23"/>
        <v xml:space="preserve"> </v>
      </c>
      <c r="N29" s="128" t="str">
        <f t="shared" si="24"/>
        <v xml:space="preserve"> </v>
      </c>
      <c r="O29" s="128">
        <f t="shared" si="17"/>
        <v>0</v>
      </c>
      <c r="P29" s="194" t="s">
        <v>1226</v>
      </c>
      <c r="Q29" s="288" t="s">
        <v>6253</v>
      </c>
      <c r="R29" s="128" t="str">
        <f t="shared" si="25"/>
        <v>Pro No</v>
      </c>
      <c r="S29" s="288" t="s">
        <v>6253</v>
      </c>
      <c r="T29" s="128" t="str">
        <f t="shared" si="26"/>
        <v>Prime No</v>
      </c>
      <c r="U29" s="192">
        <v>4</v>
      </c>
      <c r="V29" s="128">
        <v>4</v>
      </c>
      <c r="W29" s="128">
        <f t="shared" si="27"/>
        <v>0</v>
      </c>
      <c r="X29" s="128">
        <f t="shared" si="28"/>
        <v>0</v>
      </c>
      <c r="Y29" s="128">
        <f t="shared" si="29"/>
        <v>0</v>
      </c>
      <c r="Z29" s="128">
        <f t="shared" si="30"/>
        <v>0</v>
      </c>
      <c r="AA29" s="128">
        <f t="shared" si="31"/>
        <v>0</v>
      </c>
      <c r="AB29" s="128">
        <f t="shared" si="32"/>
        <v>0</v>
      </c>
      <c r="AC29" s="128">
        <f t="shared" si="33"/>
        <v>0</v>
      </c>
      <c r="AD29" s="128">
        <f t="shared" si="34"/>
        <v>0</v>
      </c>
      <c r="AE29" s="16"/>
      <c r="AF29" s="16"/>
      <c r="AG29" s="16"/>
      <c r="AH29" s="16"/>
    </row>
    <row r="30" spans="1:34" ht="16" thickBot="1" x14ac:dyDescent="0.25">
      <c r="A30" s="16"/>
      <c r="B30" s="38"/>
      <c r="C30" s="16" t="s">
        <v>1293</v>
      </c>
      <c r="D30" s="56">
        <v>0</v>
      </c>
      <c r="E30" s="135" t="s">
        <v>5960</v>
      </c>
      <c r="F30" s="226" t="str">
        <f t="shared" si="18"/>
        <v xml:space="preserve"> </v>
      </c>
      <c r="G30" s="114" t="str">
        <f t="shared" si="19"/>
        <v xml:space="preserve"> </v>
      </c>
      <c r="H30" s="214"/>
      <c r="I30" s="151" t="str">
        <f t="shared" si="20"/>
        <v xml:space="preserve"> </v>
      </c>
      <c r="J30" s="114" t="str">
        <f t="shared" si="21"/>
        <v xml:space="preserve"> </v>
      </c>
      <c r="K30" s="114" t="str">
        <f t="shared" si="22"/>
        <v xml:space="preserve"> </v>
      </c>
      <c r="L30" s="213" t="str">
        <f t="shared" si="5"/>
        <v xml:space="preserve"> </v>
      </c>
      <c r="M30" s="212" t="str">
        <f t="shared" si="23"/>
        <v xml:space="preserve"> </v>
      </c>
      <c r="N30" s="128" t="str">
        <f t="shared" si="24"/>
        <v xml:space="preserve"> </v>
      </c>
      <c r="O30" s="128">
        <f t="shared" si="17"/>
        <v>0</v>
      </c>
      <c r="P30" s="194" t="s">
        <v>1226</v>
      </c>
      <c r="Q30" s="288" t="s">
        <v>6253</v>
      </c>
      <c r="R30" s="128" t="str">
        <f t="shared" si="25"/>
        <v>Pro No</v>
      </c>
      <c r="S30" s="288" t="s">
        <v>6253</v>
      </c>
      <c r="T30" s="128" t="str">
        <f t="shared" si="26"/>
        <v>Prime No</v>
      </c>
      <c r="U30" s="192">
        <v>4</v>
      </c>
      <c r="V30" s="128">
        <v>4</v>
      </c>
      <c r="W30" s="128">
        <f t="shared" si="27"/>
        <v>0</v>
      </c>
      <c r="X30" s="128">
        <f t="shared" si="28"/>
        <v>0</v>
      </c>
      <c r="Y30" s="128">
        <f t="shared" si="29"/>
        <v>0</v>
      </c>
      <c r="Z30" s="128">
        <f t="shared" si="30"/>
        <v>0</v>
      </c>
      <c r="AA30" s="128">
        <f t="shared" si="31"/>
        <v>0</v>
      </c>
      <c r="AB30" s="128">
        <f t="shared" si="32"/>
        <v>0</v>
      </c>
      <c r="AC30" s="128">
        <f t="shared" si="33"/>
        <v>0</v>
      </c>
      <c r="AD30" s="128">
        <f t="shared" si="34"/>
        <v>0</v>
      </c>
      <c r="AE30" s="16"/>
      <c r="AF30" s="16"/>
      <c r="AG30" s="16"/>
      <c r="AH30" s="16"/>
    </row>
    <row r="31" spans="1:34" ht="16" thickBot="1" x14ac:dyDescent="0.25">
      <c r="A31" s="16"/>
      <c r="B31" s="38"/>
      <c r="C31" s="16" t="s">
        <v>1330</v>
      </c>
      <c r="D31" s="56">
        <v>0</v>
      </c>
      <c r="E31" s="135" t="s">
        <v>5960</v>
      </c>
      <c r="F31" s="226" t="str">
        <f t="shared" si="18"/>
        <v xml:space="preserve"> </v>
      </c>
      <c r="G31" s="114" t="str">
        <f t="shared" si="19"/>
        <v xml:space="preserve"> </v>
      </c>
      <c r="H31" s="214"/>
      <c r="I31" s="151" t="str">
        <f t="shared" si="20"/>
        <v xml:space="preserve"> </v>
      </c>
      <c r="J31" s="114" t="str">
        <f t="shared" si="21"/>
        <v xml:space="preserve"> </v>
      </c>
      <c r="K31" s="114" t="str">
        <f t="shared" si="22"/>
        <v xml:space="preserve"> </v>
      </c>
      <c r="L31" s="213" t="str">
        <f t="shared" si="5"/>
        <v xml:space="preserve"> </v>
      </c>
      <c r="M31" s="212" t="str">
        <f t="shared" si="23"/>
        <v xml:space="preserve"> </v>
      </c>
      <c r="N31" s="128" t="str">
        <f t="shared" si="24"/>
        <v xml:space="preserve"> </v>
      </c>
      <c r="O31" s="128">
        <f t="shared" si="17"/>
        <v>0</v>
      </c>
      <c r="P31" s="194" t="s">
        <v>1226</v>
      </c>
      <c r="Q31" s="288" t="s">
        <v>6254</v>
      </c>
      <c r="R31" s="128" t="str">
        <f t="shared" si="25"/>
        <v>Pro No</v>
      </c>
      <c r="S31" s="288" t="s">
        <v>6254</v>
      </c>
      <c r="T31" s="128" t="str">
        <f t="shared" si="26"/>
        <v>Prime No</v>
      </c>
      <c r="U31" s="192">
        <v>4</v>
      </c>
      <c r="V31" s="128">
        <v>4</v>
      </c>
      <c r="W31" s="128">
        <f t="shared" si="27"/>
        <v>0</v>
      </c>
      <c r="X31" s="128">
        <f t="shared" si="28"/>
        <v>0</v>
      </c>
      <c r="Y31" s="128">
        <f t="shared" si="29"/>
        <v>0</v>
      </c>
      <c r="Z31" s="128">
        <f t="shared" si="30"/>
        <v>0</v>
      </c>
      <c r="AA31" s="128">
        <f t="shared" si="31"/>
        <v>0</v>
      </c>
      <c r="AB31" s="128">
        <f t="shared" si="32"/>
        <v>0</v>
      </c>
      <c r="AC31" s="128">
        <f t="shared" si="33"/>
        <v>0</v>
      </c>
      <c r="AD31" s="128">
        <f t="shared" si="34"/>
        <v>0</v>
      </c>
      <c r="AE31" s="16"/>
      <c r="AF31" s="16"/>
      <c r="AG31" s="16"/>
      <c r="AH31" s="16"/>
    </row>
    <row r="32" spans="1:34" ht="16" thickBot="1" x14ac:dyDescent="0.25">
      <c r="A32" s="16"/>
      <c r="B32" s="38"/>
      <c r="C32" s="91" t="s">
        <v>5574</v>
      </c>
      <c r="D32" s="92"/>
      <c r="E32" s="92"/>
      <c r="F32" s="92"/>
      <c r="G32" s="92"/>
      <c r="H32" s="92"/>
      <c r="I32" s="92"/>
      <c r="J32" s="92"/>
      <c r="K32" s="92"/>
      <c r="L32" s="92"/>
      <c r="M32" s="106"/>
      <c r="N32" s="128"/>
      <c r="O32" s="128"/>
      <c r="P32" s="194"/>
      <c r="Q32" s="128"/>
      <c r="R32" s="128"/>
      <c r="S32" s="128"/>
      <c r="T32" s="128"/>
      <c r="U32" s="171"/>
      <c r="V32" s="128"/>
      <c r="W32" s="128"/>
      <c r="X32" s="128"/>
      <c r="Y32" s="128"/>
      <c r="Z32" s="128"/>
      <c r="AA32" s="128"/>
      <c r="AB32" s="128"/>
      <c r="AC32" s="128"/>
      <c r="AD32" s="128"/>
      <c r="AE32" s="16"/>
      <c r="AF32" s="16"/>
      <c r="AG32" s="16"/>
      <c r="AH32" s="16"/>
    </row>
    <row r="33" spans="1:34" ht="16" thickBot="1" x14ac:dyDescent="0.25">
      <c r="A33" s="16"/>
      <c r="B33" s="38"/>
      <c r="C33" s="16" t="s">
        <v>1267</v>
      </c>
      <c r="D33" s="56">
        <v>0</v>
      </c>
      <c r="E33" s="135" t="s">
        <v>5960</v>
      </c>
      <c r="F33" s="226" t="str">
        <f>IF(NOT(Start_Here_Complete)," ",
IF(D33=0," ",
IF(AND(Service="cnMaestro X",P33&lt;&gt;"N/A"),P33,
IF(AND(Service="cnMaestro X",P33="N/A"),"Not Available",
" "))))</f>
        <v xml:space="preserve"> </v>
      </c>
      <c r="G33" s="114" t="str">
        <f>IF(NOT(Start_Here_Complete)," ",
IF(D33=0," ",
IF(AND(Service="cnMaestro X",P33&lt;&gt;"N/A",P33&lt;&gt;"Free Tier"),cnMX_Term,
IF(AND(Service="cnMaestro X",P33="Free Tier")," ",
IF(AND(Service="cnMaestro X",P33="N/A")," ",
" ")))))</f>
        <v xml:space="preserve"> </v>
      </c>
      <c r="H33" s="214"/>
      <c r="I33" s="151" t="str">
        <f>IF(NOT((Start_Here_Complete))," ",
IF(D33=0," ",
IF(R33="Pro Go",CONCATENATE("CC Pro ",Q33),
IF(R33="Pro N/R","CC Pro not req'd *",
IF(T33="Prime Go",CONCATENATE("CC Prime ",S33),
IF(T33="Prime N/R","CC Prime not req'd *",
IF(T33="Prime N/A","Prime not available",
IF(CC_Type="Decline Cambium Care","CC Declined",
" "))))))))</f>
        <v xml:space="preserve"> </v>
      </c>
      <c r="J33" s="114" t="str">
        <f>IF(NOT(Start_Here_Complete)," ",
IF(D33=0," ",
IF(R33="Pro Go","1 year",
IF(T33="Prime Go","1 Year",
" "))))</f>
        <v xml:space="preserve"> </v>
      </c>
      <c r="K33" s="114" t="str">
        <f>IF(NOT(Start_Here_Complete)," ",
IF(D33=0," ",
IF(AND(EW,U33&lt;&gt;"N/A"),"Extended Warranty",
IF(AND(EW,U33="N/A"),"Ext Wty not available",
IF(AND(AR,V33&lt;&gt;"N/A"),"All Risks Adv Replace",
IF(AND(AR,V33="N/A"),"ARAR not available",
IF(NoHW,"HW Support Declined",
IF(AND(FWB_CCPrime,T33="Prime Go"),"ARAR included",
IF(Ent_CCAdv,"Includes Adv Repl",
"X")))))))))</f>
        <v xml:space="preserve"> </v>
      </c>
      <c r="L33" s="213" t="str">
        <f t="shared" si="5"/>
        <v xml:space="preserve"> </v>
      </c>
      <c r="M33" s="212" t="str">
        <f>IF(NOT(Start_Here_Complete)," ",
IF(D33=0," ",
IF(OR(FWB_CCPrime,Ent_CCAdv)," ",
"3 years")))</f>
        <v xml:space="preserve"> </v>
      </c>
      <c r="N33" s="128" t="str">
        <f>IF(D33=0," ",
IF(AND(EW,U33&lt;&gt;"N/A"),"Choose",
IF(AND(AR,V33&lt;&gt;"N/A"),"Choose",
" ")))</f>
        <v xml:space="preserve"> </v>
      </c>
      <c r="O33" s="128">
        <f t="shared" si="17"/>
        <v>0</v>
      </c>
      <c r="P33" s="194" t="s">
        <v>6246</v>
      </c>
      <c r="Q33" s="288" t="s">
        <v>6251</v>
      </c>
      <c r="R33" s="128" t="str">
        <f>IF(AND(FWB_CCPro,Q33&lt;&gt;"N/R"),"Pro Go",
IF(AND(FWB_CCPro,Q33="N/R"),"Pro N/R",
"Pro No"))</f>
        <v>Pro No</v>
      </c>
      <c r="S33" s="288" t="s">
        <v>6251</v>
      </c>
      <c r="T33" s="128" t="str">
        <f>IF(AND(FWB_CCPrime,AND(S33&lt;&gt;"N/R",S33&lt;&gt;"N/A")),"Prime Go",
IF(AND(FWB_CCPrime,S33="N/R"),"Prime N/R",
IF(AND(FWB_CCPrime,S33="N/A"),"Prime N/A",
"Prime No")))</f>
        <v>Prime No</v>
      </c>
      <c r="U33" s="192">
        <v>2</v>
      </c>
      <c r="V33" s="128">
        <v>2</v>
      </c>
      <c r="W33" s="128">
        <f>IF(NOT(Start_Here_Complete),0,
IF(D33=0,0,
IF(AND(Service="Standalone Support",Device_Type="Enterprise &amp; cnWave"),0,
IF(AND(FWB_CCPro,Q33="SC10"),D33,
IF(AND(FWB_CCPrime,S33="SC10"),D33,
0)))))</f>
        <v>0</v>
      </c>
      <c r="X33" s="128">
        <f>IF(NOT(Start_Here_Complete),0,
IF(D33=0,0,
IF(AND(Service="Standalone Support",Device_Type="Enterprise &amp; cnWave"),0,
IF(AND(FWB_CCPrime,S33="SC15"),D33,
0))))</f>
        <v>0</v>
      </c>
      <c r="Y33" s="128">
        <f>IF(NOT(Start_Here_Complete),0,
IF(D33=0,0,
IF(AND(Service="Standalone Support",Device_Type="Enterprise &amp; cnWave"),0,
IF(AND(FWB_CCPro,Q33="SC20"),D33,
IF(AND(FWB_CCPrime,S33="SC20"),D33,
0)))))</f>
        <v>0</v>
      </c>
      <c r="Z33" s="128">
        <f>IF(NOT(Start_Here_Complete),0,
IF(D33=0,0,
IF(AND(Service="Standalone Support",Device_Type="Enterprise &amp; cnWave"),0,
IF(AND(FWB_CCPrime,S33="SC25"),D33,
0))))</f>
        <v>0</v>
      </c>
      <c r="AA33" s="128">
        <f>IF(NOT(Start_Here_Complete),0,
IF(D33=0,0,
IF(AND(Service="Standalone Support",Device_Type="Enterprise &amp; cnWave"),0,
IF(AND(FWB_CCPro,Q33="SC30"),D33,
IF(AND(FWB_CCPrime,S33="SC30"),D33,
0)))))</f>
        <v>0</v>
      </c>
      <c r="AB33" s="128">
        <f>IF(NOT(Start_Here_Complete),0,
IF(D33=0,0,
IF(AND(Service="Standalone Support",Device_Type="Enterprise &amp; cnWave"),0,
IF(AND(FWB_CCPro,Q33="SC40"),D33,
IF(AND(FWB_CCPrime,S33="SC40"),D33,
0)))))</f>
        <v>0</v>
      </c>
      <c r="AC33" s="128">
        <f>IF(NOT(Start_Here_Complete),0,
IF(D33=0,0,
IF(AND(Service="Standalone Support",Device_Type="Enterprise &amp; cnWave"),0,
IF(AND(FWB_CCPro,Q33="SC50"),D33,
IF(AND(FWB_CCPrime,S33="SC50"),D33,
0)))))</f>
        <v>0</v>
      </c>
      <c r="AD33" s="128">
        <f>IF(NOT(Start_Here_Complete),0,
IF(D33=0,0,
IF(AND(Service="Standalone Support",Device_Type="Enterprise &amp; cnWave"),0,
IF(AND(FWB_CCPro,Q33="SC60"),D33,
IF(AND(FWB_CCPrime,S33="SC60"),D33,
0)))))</f>
        <v>0</v>
      </c>
      <c r="AE33" s="16"/>
      <c r="AF33" s="16"/>
      <c r="AG33" s="16"/>
      <c r="AH33" s="16"/>
    </row>
    <row r="34" spans="1:34" ht="16" thickBot="1" x14ac:dyDescent="0.25">
      <c r="A34" s="16"/>
      <c r="B34" s="39"/>
      <c r="C34" s="100" t="s">
        <v>1270</v>
      </c>
      <c r="D34" s="56">
        <v>0</v>
      </c>
      <c r="E34" s="135" t="s">
        <v>5960</v>
      </c>
      <c r="F34" s="226" t="str">
        <f>IF(NOT(Start_Here_Complete)," ",
IF(D34=0," ",
IF(AND(Service="cnMaestro X",P34&lt;&gt;"N/A"),P34,
IF(AND(Service="cnMaestro X",P34="N/A"),"Not Available",
" "))))</f>
        <v xml:space="preserve"> </v>
      </c>
      <c r="G34" s="114" t="str">
        <f>IF(NOT(Start_Here_Complete)," ",
IF(D34=0," ",
IF(AND(Service="cnMaestro X",P34&lt;&gt;"N/A",P34&lt;&gt;"Free Tier"),cnMX_Term,
IF(AND(Service="cnMaestro X",P34="Free Tier")," ",
IF(AND(Service="cnMaestro X",P34="N/A")," ",
" ")))))</f>
        <v xml:space="preserve"> </v>
      </c>
      <c r="H34" s="228"/>
      <c r="I34" s="227" t="str">
        <f>IF(NOT((Start_Here_Complete))," ",
IF(D34=0," ",
IF(R34="Pro Go",CONCATENATE("CC Pro ",Q34),
IF(R34="Pro N/R","CC Pro not req'd *",
IF(T34="Prime Go",CONCATENATE("CC Prime ",S34),
IF(T34="Prime N/R","CC Prime not req'd *",
IF(T34="Prime N/A","Prime not available",
IF(CC_Type="Decline Cambium Care","CC Declined",
" "))))))))</f>
        <v xml:space="preserve"> </v>
      </c>
      <c r="J34" s="117" t="str">
        <f>IF(NOT(Start_Here_Complete)," ",
IF(D34=0," ",
IF(R34="Pro Go","1 year",
IF(T34="Prime Go","1 Year",
" "))))</f>
        <v xml:space="preserve"> </v>
      </c>
      <c r="K34" s="117" t="str">
        <f>IF(NOT(Start_Here_Complete)," ",
IF(D34=0," ",
IF(AND(EW,U34&lt;&gt;"N/A"),"Extended Warranty",
IF(AND(EW,U34="N/A"),"Ext Wty not available",
IF(AND(AR,V34&lt;&gt;"N/A"),"All Risks Adv Replace",
IF(AND(AR,V34="N/A"),"ARAR not available",
IF(NoHW,"HW Support Declined",
IF(AND(FWB_CCPrime,T34="Prime Go"),"ARAR included",
IF(Ent_CCAdv,"Includes Adv Repl",
"X")))))))))</f>
        <v xml:space="preserve"> </v>
      </c>
      <c r="L34" s="213" t="str">
        <f t="shared" si="5"/>
        <v xml:space="preserve"> </v>
      </c>
      <c r="M34" s="215" t="str">
        <f>IF(NOT(Start_Here_Complete)," ",
IF(D34=0," ",
IF(OR(FWB_CCPrime,Ent_CCAdv)," ",
"3 years")))</f>
        <v xml:space="preserve"> </v>
      </c>
      <c r="N34" s="128" t="str">
        <f>IF(D34=0," ",
IF(AND(EW,U34&lt;&gt;"N/A"),"Choose",
IF(AND(AR,V34&lt;&gt;"N/A"),"Choose",
" ")))</f>
        <v xml:space="preserve"> </v>
      </c>
      <c r="O34" s="128">
        <f t="shared" si="17"/>
        <v>0</v>
      </c>
      <c r="P34" s="194" t="s">
        <v>6246</v>
      </c>
      <c r="Q34" s="288" t="s">
        <v>6251</v>
      </c>
      <c r="R34" s="128" t="str">
        <f>IF(AND(FWB_CCPro,Q34&lt;&gt;"N/R"),"Pro Go",
IF(AND(FWB_CCPro,Q34="N/R"),"Pro N/R",
"Pro No"))</f>
        <v>Pro No</v>
      </c>
      <c r="S34" s="288" t="s">
        <v>6251</v>
      </c>
      <c r="T34" s="128" t="str">
        <f>IF(AND(FWB_CCPrime,AND(S34&lt;&gt;"N/R",S34&lt;&gt;"N/A")),"Prime Go",
IF(AND(FWB_CCPrime,S34="N/R"),"Prime N/R",
IF(AND(FWB_CCPrime,S34="N/A"),"Prime N/A",
"Prime No")))</f>
        <v>Prime No</v>
      </c>
      <c r="U34" s="192">
        <v>2</v>
      </c>
      <c r="V34" s="128">
        <v>2</v>
      </c>
      <c r="W34" s="128">
        <f>IF(NOT(Start_Here_Complete),0,
IF(D34=0,0,
IF(AND(Service="Standalone Support",Device_Type="Enterprise &amp; cnWave"),0,
IF(AND(FWB_CCPro,Q34="SC10"),D34,
IF(AND(FWB_CCPrime,S34="SC10"),D34,
0)))))</f>
        <v>0</v>
      </c>
      <c r="X34" s="128">
        <f>IF(NOT(Start_Here_Complete),0,
IF(D34=0,0,
IF(AND(Service="Standalone Support",Device_Type="Enterprise &amp; cnWave"),0,
IF(AND(FWB_CCPrime,S34="SC15"),D34,
0))))</f>
        <v>0</v>
      </c>
      <c r="Y34" s="128">
        <f>IF(NOT(Start_Here_Complete),0,
IF(D34=0,0,
IF(AND(Service="Standalone Support",Device_Type="Enterprise &amp; cnWave"),0,
IF(AND(FWB_CCPro,Q34="SC20"),D34,
IF(AND(FWB_CCPrime,S34="SC20"),D34,
0)))))</f>
        <v>0</v>
      </c>
      <c r="Z34" s="128">
        <f>IF(NOT(Start_Here_Complete),0,
IF(D34=0,0,
IF(AND(Service="Standalone Support",Device_Type="Enterprise &amp; cnWave"),0,
IF(AND(FWB_CCPrime,S34="SC25"),D34,
0))))</f>
        <v>0</v>
      </c>
      <c r="AA34" s="128">
        <f>IF(NOT(Start_Here_Complete),0,
IF(D34=0,0,
IF(AND(Service="Standalone Support",Device_Type="Enterprise &amp; cnWave"),0,
IF(AND(FWB_CCPro,Q34="SC30"),D34,
IF(AND(FWB_CCPrime,S34="SC30"),D34,
0)))))</f>
        <v>0</v>
      </c>
      <c r="AB34" s="128">
        <f>IF(NOT(Start_Here_Complete),0,
IF(D34=0,0,
IF(AND(Service="Standalone Support",Device_Type="Enterprise &amp; cnWave"),0,
IF(AND(FWB_CCPro,Q34="SC40"),D34,
IF(AND(FWB_CCPrime,S34="SC40"),D34,
0)))))</f>
        <v>0</v>
      </c>
      <c r="AC34" s="128">
        <f>IF(NOT(Start_Here_Complete),0,
IF(D34=0,0,
IF(AND(Service="Standalone Support",Device_Type="Enterprise &amp; cnWave"),0,
IF(AND(FWB_CCPro,Q34="SC50"),D34,
IF(AND(FWB_CCPrime,S34="SC50"),D34,
0)))))</f>
        <v>0</v>
      </c>
      <c r="AD34" s="128">
        <f>IF(NOT(Start_Here_Complete),0,
IF(D34=0,0,
IF(AND(Service="Standalone Support",Device_Type="Enterprise &amp; cnWave"),0,
IF(AND(FWB_CCPro,Q34="SC60"),D34,
IF(AND(FWB_CCPrime,S34="SC60"),D34,
0)))))</f>
        <v>0</v>
      </c>
      <c r="AE34" s="16"/>
      <c r="AF34" s="16"/>
      <c r="AG34" s="16"/>
      <c r="AH34" s="16"/>
    </row>
    <row r="35" spans="1:34" x14ac:dyDescent="0.2">
      <c r="A35" s="16"/>
      <c r="B35" s="16"/>
      <c r="C35" s="16"/>
      <c r="D35" s="16"/>
      <c r="E35" s="16"/>
      <c r="F35" s="118" t="s">
        <v>5908</v>
      </c>
      <c r="G35" s="118"/>
      <c r="H35" s="110" t="str">
        <f>IF(CC_Type="Cambium Care Pro","* CC Pro purchase not required for SMs.  CC Pro SKUs will not be added to",
IF(CC_Type="Cambium Care Prime","* CC Prime purchase not required for SMs.  CC Prime SKUs will not be added to",
" "))</f>
        <v xml:space="preserve"> </v>
      </c>
      <c r="I35" s="110"/>
      <c r="J35" s="109"/>
      <c r="K35" s="210" t="s">
        <v>6674</v>
      </c>
      <c r="L35" s="109">
        <f>N35</f>
        <v>0</v>
      </c>
      <c r="M35" s="109"/>
      <c r="N35" s="109"/>
      <c r="O35" s="128" t="s">
        <v>6258</v>
      </c>
      <c r="P35" s="128"/>
      <c r="Q35" s="128"/>
      <c r="R35" s="128"/>
      <c r="S35" s="128"/>
      <c r="T35" s="128"/>
      <c r="U35" s="128"/>
      <c r="V35" s="128"/>
      <c r="W35" s="128">
        <f>SUM(W6:W34)</f>
        <v>0</v>
      </c>
      <c r="X35" s="128">
        <f t="shared" ref="X35:AD35" si="35">SUM(X6:X34)</f>
        <v>0</v>
      </c>
      <c r="Y35" s="128">
        <f t="shared" si="35"/>
        <v>0</v>
      </c>
      <c r="Z35" s="128">
        <f t="shared" si="35"/>
        <v>0</v>
      </c>
      <c r="AA35" s="128">
        <f t="shared" si="35"/>
        <v>0</v>
      </c>
      <c r="AB35" s="128">
        <f t="shared" si="35"/>
        <v>0</v>
      </c>
      <c r="AC35" s="128">
        <f t="shared" si="35"/>
        <v>0</v>
      </c>
      <c r="AD35" s="128">
        <f t="shared" si="35"/>
        <v>0</v>
      </c>
      <c r="AE35" s="16"/>
      <c r="AF35" s="16"/>
      <c r="AG35" s="16"/>
    </row>
    <row r="36" spans="1:34" x14ac:dyDescent="0.2">
      <c r="A36" s="16"/>
      <c r="B36" s="16"/>
      <c r="C36" s="16"/>
      <c r="D36" s="16"/>
      <c r="E36" s="16"/>
      <c r="F36" s="118"/>
      <c r="G36" s="118"/>
      <c r="H36" s="110" t="str">
        <f>IF(CC_Type="Cambium Care Pro","   the BOM for these SMs.  However, all infrastructure devices must have",
IF(CC_Type="Cambium Care Prime","   the BOM for these SMs.  However, all infrastructure devices must have",
" "))</f>
        <v xml:space="preserve"> </v>
      </c>
      <c r="I36" s="110"/>
      <c r="J36" s="109"/>
      <c r="K36" s="109"/>
      <c r="L36" s="109"/>
      <c r="M36" s="109"/>
      <c r="N36" s="172"/>
      <c r="O36" s="172"/>
      <c r="P36" s="172"/>
      <c r="Q36" s="172"/>
      <c r="R36" s="173"/>
      <c r="S36" s="173"/>
      <c r="T36" s="172"/>
      <c r="U36" s="172"/>
      <c r="V36" s="172"/>
      <c r="W36" s="172"/>
      <c r="X36" s="172"/>
      <c r="Y36" s="172"/>
      <c r="Z36" s="172"/>
      <c r="AA36" s="172"/>
      <c r="AB36" s="172"/>
      <c r="AC36" s="173"/>
      <c r="AD36" s="16"/>
      <c r="AE36" s="16"/>
      <c r="AF36" s="16"/>
    </row>
    <row r="37" spans="1:34" x14ac:dyDescent="0.2">
      <c r="A37" s="16"/>
      <c r="B37" s="16"/>
      <c r="D37" s="16"/>
      <c r="E37" s="16"/>
      <c r="F37" s="118"/>
      <c r="G37" s="118"/>
      <c r="H37" s="110" t="str">
        <f>IF(CC_Type="Cambium Care Pro","   Cambium Care Pro coverage.  See Cambium Care Program Guide for details.",
IF(CC_Type="Cambium Care Prime","   Cambium Care Prime coverage.  See Cambium Care Program Guide for details.",
" "))</f>
        <v xml:space="preserve"> </v>
      </c>
      <c r="I37" s="109"/>
      <c r="J37" s="110"/>
      <c r="K37" s="109"/>
      <c r="L37" s="109"/>
      <c r="M37" s="109"/>
      <c r="N37" s="109"/>
      <c r="O37" s="109"/>
      <c r="P37" s="109"/>
      <c r="Q37" s="109"/>
      <c r="R37" s="16"/>
      <c r="S37" s="16"/>
      <c r="T37" s="109"/>
      <c r="U37" s="109"/>
      <c r="V37" s="109"/>
      <c r="W37" s="109"/>
      <c r="X37" s="109"/>
      <c r="Y37" s="109"/>
      <c r="Z37" s="109"/>
      <c r="AA37" s="109"/>
      <c r="AB37" s="109"/>
      <c r="AC37" s="16"/>
      <c r="AD37" s="16"/>
      <c r="AE37" s="16"/>
      <c r="AF37" s="16"/>
    </row>
    <row r="38" spans="1:34" x14ac:dyDescent="0.2">
      <c r="A38" s="16"/>
      <c r="B38" s="16"/>
      <c r="C38" s="169"/>
      <c r="D38" s="16"/>
      <c r="E38" s="16"/>
      <c r="F38" s="118"/>
      <c r="G38" s="118"/>
      <c r="H38" s="109"/>
      <c r="I38" s="109"/>
      <c r="J38" s="110"/>
      <c r="K38" s="109"/>
      <c r="L38" s="109"/>
      <c r="M38" s="109"/>
      <c r="N38" s="109"/>
      <c r="O38" s="109"/>
      <c r="P38" s="109"/>
      <c r="Q38" s="109"/>
      <c r="R38" s="16"/>
      <c r="S38" s="16"/>
      <c r="T38" s="109"/>
      <c r="U38" s="109"/>
      <c r="V38" s="109"/>
      <c r="W38" s="109"/>
      <c r="X38" s="109"/>
      <c r="Y38" s="109"/>
      <c r="Z38" s="109"/>
      <c r="AA38" s="109"/>
      <c r="AB38" s="109"/>
      <c r="AC38" s="16"/>
      <c r="AD38" s="16"/>
      <c r="AE38" s="16"/>
      <c r="AF38" s="16"/>
    </row>
    <row r="39" spans="1:34" x14ac:dyDescent="0.2">
      <c r="A39" s="16"/>
      <c r="B39" s="16"/>
      <c r="C39" s="171" t="s">
        <v>6342</v>
      </c>
      <c r="D39" s="128"/>
      <c r="E39" s="128"/>
      <c r="F39" s="128">
        <f>SUMIF($F$6:$F$34,"Tier1",$D$6:$D$34)</f>
        <v>0</v>
      </c>
      <c r="G39" s="128"/>
      <c r="H39" s="109"/>
      <c r="I39" s="109"/>
      <c r="J39" s="110"/>
      <c r="K39" s="109"/>
      <c r="L39" s="109"/>
      <c r="M39" s="109"/>
      <c r="N39" s="109"/>
      <c r="O39" s="109"/>
      <c r="P39" s="109"/>
      <c r="Q39" s="109"/>
      <c r="R39" s="16"/>
      <c r="S39" s="16"/>
      <c r="T39" s="109"/>
      <c r="U39" s="109"/>
      <c r="V39" s="109"/>
      <c r="W39" s="109"/>
      <c r="X39" s="109"/>
      <c r="Y39" s="109"/>
      <c r="Z39" s="109"/>
      <c r="AA39" s="109"/>
      <c r="AB39" s="109"/>
      <c r="AC39" s="16"/>
      <c r="AD39" s="16"/>
      <c r="AE39" s="16"/>
      <c r="AF39" s="16"/>
    </row>
    <row r="40" spans="1:34" x14ac:dyDescent="0.2">
      <c r="A40" s="16"/>
      <c r="B40" s="16"/>
      <c r="C40" s="171" t="s">
        <v>6343</v>
      </c>
      <c r="D40" s="128"/>
      <c r="E40" s="128"/>
      <c r="F40" s="128">
        <f>SUMIF($F$6:$F$34,"Tier2",$D$6:$D$34)</f>
        <v>0</v>
      </c>
      <c r="G40" s="128"/>
      <c r="H40" s="109"/>
      <c r="I40" s="109"/>
      <c r="J40" s="110"/>
      <c r="K40" s="109"/>
      <c r="L40" s="109"/>
      <c r="M40" s="109"/>
      <c r="N40" s="109"/>
      <c r="O40" s="109"/>
      <c r="P40" s="109"/>
      <c r="Q40" s="109"/>
      <c r="R40" s="16"/>
      <c r="S40" s="16"/>
      <c r="T40" s="109"/>
      <c r="U40" s="109"/>
      <c r="V40" s="109"/>
      <c r="W40" s="109"/>
      <c r="X40" s="109"/>
      <c r="Y40" s="109"/>
      <c r="Z40" s="109"/>
      <c r="AA40" s="109"/>
      <c r="AB40" s="109"/>
      <c r="AC40" s="16"/>
      <c r="AD40" s="16"/>
      <c r="AE40" s="16"/>
      <c r="AF40" s="16"/>
    </row>
    <row r="41" spans="1:34" x14ac:dyDescent="0.2">
      <c r="A41" s="16"/>
      <c r="B41" s="16"/>
      <c r="C41" s="171" t="s">
        <v>6344</v>
      </c>
      <c r="D41" s="171"/>
      <c r="E41" s="171"/>
      <c r="F41" s="128">
        <f>SUMIF($F$6:$F$34,"Tier3",$D$6:$D$34)</f>
        <v>0</v>
      </c>
      <c r="G41" s="128"/>
      <c r="H41" s="109"/>
      <c r="I41" s="109"/>
      <c r="J41" s="110"/>
      <c r="K41" s="109"/>
      <c r="L41" s="109"/>
      <c r="M41" s="109"/>
      <c r="N41" s="109"/>
      <c r="O41" s="109"/>
      <c r="P41" s="109"/>
      <c r="Q41" s="109"/>
      <c r="R41" s="16"/>
      <c r="S41" s="16"/>
      <c r="T41" s="109"/>
      <c r="U41" s="109"/>
      <c r="V41" s="109"/>
      <c r="W41" s="109"/>
      <c r="X41" s="109"/>
      <c r="Y41" s="109"/>
      <c r="Z41" s="109"/>
      <c r="AA41" s="109"/>
      <c r="AB41" s="109"/>
      <c r="AC41" s="16"/>
      <c r="AD41" s="16"/>
      <c r="AE41" s="16"/>
      <c r="AF41" s="16"/>
    </row>
    <row r="42" spans="1:34" x14ac:dyDescent="0.2">
      <c r="A42" s="16"/>
      <c r="B42" s="16"/>
      <c r="C42" s="171" t="s">
        <v>6345</v>
      </c>
      <c r="D42" s="171"/>
      <c r="E42" s="171"/>
      <c r="F42" s="128">
        <f>SUMIF($F$6:$F$34,"Tier4",$D$6:$D$34)</f>
        <v>0</v>
      </c>
      <c r="G42" s="128"/>
      <c r="H42" s="109"/>
      <c r="I42" s="109"/>
      <c r="J42" s="110"/>
      <c r="K42" s="109"/>
      <c r="L42" s="109"/>
      <c r="M42" s="109"/>
      <c r="N42" s="109"/>
      <c r="O42" s="109"/>
      <c r="P42" s="109"/>
      <c r="Q42" s="109"/>
      <c r="R42" s="16"/>
      <c r="S42" s="16"/>
      <c r="T42" s="109"/>
      <c r="U42" s="109"/>
      <c r="V42" s="109"/>
      <c r="W42" s="109"/>
      <c r="X42" s="109"/>
      <c r="Y42" s="109"/>
      <c r="Z42" s="109"/>
      <c r="AA42" s="109"/>
      <c r="AB42" s="109"/>
      <c r="AC42" s="16"/>
      <c r="AD42" s="16"/>
      <c r="AE42" s="16"/>
      <c r="AF42" s="16"/>
    </row>
    <row r="43" spans="1:34" x14ac:dyDescent="0.2">
      <c r="A43" s="16"/>
      <c r="B43" s="16"/>
      <c r="C43" s="171" t="s">
        <v>6346</v>
      </c>
      <c r="D43" s="171"/>
      <c r="E43" s="171"/>
      <c r="F43" s="128">
        <f>SUMIF($F$6:$F$34,"Tier5",$D$6:$D$34)</f>
        <v>0</v>
      </c>
      <c r="G43" s="128"/>
      <c r="H43" s="109"/>
      <c r="I43" s="109"/>
      <c r="J43" s="110"/>
      <c r="K43" s="109"/>
      <c r="L43" s="109"/>
      <c r="M43" s="109"/>
      <c r="N43" s="109"/>
      <c r="O43" s="109"/>
      <c r="P43" s="109"/>
      <c r="Q43" s="109"/>
      <c r="R43" s="16"/>
      <c r="S43" s="16"/>
      <c r="T43" s="109"/>
      <c r="U43" s="109"/>
      <c r="V43" s="109"/>
      <c r="W43" s="109"/>
      <c r="X43" s="109"/>
      <c r="Y43" s="109"/>
      <c r="Z43" s="109"/>
      <c r="AA43" s="109"/>
      <c r="AB43" s="109"/>
      <c r="AC43" s="16"/>
      <c r="AD43" s="16"/>
      <c r="AE43" s="16"/>
      <c r="AF43" s="16"/>
    </row>
    <row r="44" spans="1:34" x14ac:dyDescent="0.2">
      <c r="A44" s="16"/>
      <c r="B44" s="16"/>
      <c r="C44" s="16"/>
      <c r="D44" s="16"/>
      <c r="E44" s="16"/>
      <c r="F44" s="109"/>
      <c r="G44" s="109"/>
      <c r="H44" s="109"/>
      <c r="I44" s="109"/>
      <c r="J44" s="110"/>
      <c r="K44" s="109"/>
      <c r="L44" s="109"/>
      <c r="M44" s="109"/>
      <c r="N44" s="109"/>
      <c r="O44" s="109"/>
      <c r="P44" s="109"/>
      <c r="Q44" s="109"/>
      <c r="R44" s="16"/>
      <c r="S44" s="16"/>
      <c r="T44" s="109"/>
      <c r="U44" s="109"/>
      <c r="V44" s="109"/>
      <c r="W44" s="109"/>
      <c r="X44" s="109"/>
      <c r="Y44" s="109"/>
      <c r="Z44" s="109"/>
      <c r="AA44" s="109"/>
      <c r="AB44" s="109"/>
      <c r="AC44" s="16"/>
      <c r="AD44" s="16"/>
      <c r="AE44" s="16"/>
      <c r="AF44" s="16"/>
    </row>
    <row r="45" spans="1:34" x14ac:dyDescent="0.2">
      <c r="A45" s="16"/>
      <c r="B45" s="16"/>
      <c r="C45" s="16"/>
      <c r="D45" s="16"/>
      <c r="E45" s="16"/>
      <c r="F45" s="109"/>
      <c r="G45" s="109"/>
      <c r="H45" s="109"/>
      <c r="I45" s="109"/>
      <c r="J45" s="110"/>
      <c r="K45" s="109"/>
      <c r="L45" s="109"/>
      <c r="M45" s="109"/>
      <c r="N45" s="109"/>
      <c r="O45" s="109"/>
      <c r="P45" s="109"/>
      <c r="Q45" s="109"/>
      <c r="R45" s="16"/>
      <c r="S45" s="16"/>
      <c r="T45" s="109"/>
      <c r="U45" s="109"/>
      <c r="V45" s="109"/>
      <c r="W45" s="109"/>
      <c r="X45" s="109"/>
      <c r="Y45" s="109"/>
      <c r="Z45" s="109"/>
      <c r="AA45" s="109"/>
      <c r="AB45" s="109"/>
      <c r="AC45" s="16"/>
      <c r="AD45" s="16"/>
      <c r="AE45" s="16"/>
      <c r="AF45" s="16"/>
    </row>
    <row r="46" spans="1:34" x14ac:dyDescent="0.2">
      <c r="A46" s="16"/>
      <c r="B46" s="16"/>
      <c r="C46" s="16"/>
      <c r="D46" s="16"/>
      <c r="E46" s="16"/>
      <c r="F46" s="109"/>
      <c r="G46" s="109"/>
      <c r="H46" s="109"/>
      <c r="I46" s="109"/>
      <c r="J46" s="110"/>
      <c r="K46" s="109"/>
      <c r="L46" s="109"/>
      <c r="M46" s="109"/>
      <c r="N46" s="109"/>
      <c r="O46" s="109"/>
      <c r="P46" s="109"/>
      <c r="Q46" s="109"/>
      <c r="R46" s="16"/>
      <c r="S46" s="16"/>
      <c r="T46" s="109"/>
      <c r="U46" s="109"/>
      <c r="V46" s="109"/>
      <c r="W46" s="109"/>
      <c r="X46" s="109"/>
      <c r="Y46" s="109"/>
      <c r="Z46" s="109"/>
      <c r="AA46" s="109"/>
      <c r="AB46" s="109"/>
      <c r="AC46" s="16"/>
      <c r="AD46" s="16"/>
      <c r="AE46" s="16"/>
      <c r="AF46" s="16"/>
    </row>
    <row r="47" spans="1:34" x14ac:dyDescent="0.2">
      <c r="A47" s="16"/>
      <c r="B47" s="16"/>
      <c r="C47" s="16"/>
      <c r="D47" s="16"/>
      <c r="E47" s="16"/>
      <c r="F47" s="109"/>
      <c r="G47" s="109"/>
      <c r="H47" s="109"/>
      <c r="I47" s="109"/>
      <c r="J47" s="110"/>
      <c r="K47" s="109"/>
      <c r="L47" s="109"/>
      <c r="M47" s="109"/>
      <c r="N47" s="109"/>
      <c r="O47" s="109"/>
      <c r="P47" s="109"/>
      <c r="Q47" s="109"/>
      <c r="R47" s="16"/>
      <c r="S47" s="16"/>
      <c r="T47" s="109"/>
      <c r="U47" s="109"/>
      <c r="V47" s="109"/>
      <c r="W47" s="109"/>
      <c r="X47" s="109"/>
      <c r="Y47" s="109"/>
      <c r="Z47" s="109"/>
      <c r="AA47" s="109"/>
      <c r="AB47" s="109"/>
      <c r="AC47" s="16"/>
      <c r="AD47" s="16"/>
      <c r="AE47" s="16"/>
      <c r="AF47" s="16"/>
    </row>
    <row r="48" spans="1:34" x14ac:dyDescent="0.2">
      <c r="A48" s="16"/>
      <c r="B48" s="16"/>
      <c r="C48" s="16"/>
      <c r="D48" s="16"/>
      <c r="E48" s="16"/>
      <c r="F48" s="109"/>
      <c r="G48" s="109"/>
      <c r="H48" s="109"/>
      <c r="I48" s="109"/>
      <c r="J48" s="110"/>
      <c r="K48" s="109"/>
      <c r="L48" s="109"/>
      <c r="M48" s="109"/>
      <c r="N48" s="109"/>
      <c r="O48" s="109"/>
      <c r="P48" s="109"/>
      <c r="Q48" s="109"/>
      <c r="R48" s="16"/>
      <c r="S48" s="16"/>
      <c r="T48" s="109"/>
      <c r="U48" s="109"/>
      <c r="V48" s="109"/>
      <c r="W48" s="109"/>
      <c r="X48" s="109"/>
      <c r="Y48" s="109"/>
      <c r="Z48" s="109"/>
      <c r="AA48" s="109"/>
      <c r="AB48" s="109"/>
      <c r="AC48" s="16"/>
      <c r="AD48" s="16"/>
      <c r="AE48" s="16"/>
      <c r="AF48" s="16"/>
    </row>
    <row r="49" spans="1:32" x14ac:dyDescent="0.2">
      <c r="A49" s="16"/>
      <c r="B49" s="16"/>
      <c r="C49" s="16"/>
      <c r="D49" s="16"/>
      <c r="E49" s="16"/>
      <c r="F49" s="109"/>
      <c r="G49" s="109"/>
      <c r="H49" s="109"/>
      <c r="I49" s="109"/>
      <c r="J49" s="110"/>
      <c r="K49" s="109"/>
      <c r="L49" s="109"/>
      <c r="M49" s="109"/>
      <c r="N49" s="109"/>
      <c r="O49" s="109"/>
      <c r="P49" s="109"/>
      <c r="Q49" s="109"/>
      <c r="R49" s="16"/>
      <c r="S49" s="16"/>
      <c r="T49" s="109"/>
      <c r="U49" s="109"/>
      <c r="V49" s="109"/>
      <c r="W49" s="109"/>
      <c r="X49" s="109"/>
      <c r="Y49" s="109"/>
      <c r="Z49" s="109"/>
      <c r="AA49" s="109"/>
      <c r="AB49" s="109"/>
      <c r="AC49" s="16"/>
      <c r="AD49" s="16"/>
      <c r="AE49" s="16"/>
      <c r="AF49" s="16"/>
    </row>
    <row r="50" spans="1:32" x14ac:dyDescent="0.2">
      <c r="A50" s="16"/>
      <c r="B50" s="16"/>
      <c r="C50" s="16"/>
      <c r="D50" s="16"/>
      <c r="E50" s="16"/>
      <c r="F50" s="109"/>
      <c r="G50" s="109"/>
      <c r="H50" s="109"/>
      <c r="I50" s="109"/>
      <c r="J50" s="110"/>
      <c r="K50" s="109"/>
      <c r="L50" s="109"/>
      <c r="M50" s="109"/>
      <c r="N50" s="109"/>
      <c r="O50" s="109"/>
      <c r="P50" s="109"/>
      <c r="Q50" s="109"/>
      <c r="R50" s="16"/>
      <c r="S50" s="16"/>
      <c r="T50" s="109"/>
      <c r="U50" s="109"/>
      <c r="V50" s="109"/>
      <c r="W50" s="109"/>
      <c r="X50" s="109"/>
      <c r="Y50" s="109"/>
      <c r="Z50" s="109"/>
      <c r="AA50" s="109"/>
      <c r="AB50" s="109"/>
      <c r="AC50" s="16"/>
      <c r="AD50" s="16"/>
      <c r="AE50" s="16"/>
      <c r="AF50" s="16"/>
    </row>
    <row r="51" spans="1:32" x14ac:dyDescent="0.2">
      <c r="A51" s="16"/>
      <c r="B51" s="16"/>
      <c r="C51" s="16"/>
      <c r="D51" s="16"/>
      <c r="E51" s="16"/>
      <c r="F51" s="109"/>
      <c r="G51" s="109"/>
      <c r="H51" s="109"/>
      <c r="I51" s="109"/>
      <c r="J51" s="110"/>
      <c r="K51" s="109"/>
      <c r="L51" s="109"/>
      <c r="M51" s="109"/>
      <c r="N51" s="109"/>
      <c r="O51" s="109"/>
      <c r="P51" s="109"/>
      <c r="Q51" s="109"/>
      <c r="R51" s="16"/>
      <c r="S51" s="16"/>
      <c r="T51" s="109"/>
      <c r="U51" s="109"/>
      <c r="V51" s="109"/>
      <c r="W51" s="109"/>
      <c r="X51" s="109"/>
      <c r="Y51" s="109"/>
      <c r="Z51" s="109"/>
      <c r="AA51" s="109"/>
      <c r="AB51" s="109"/>
      <c r="AC51" s="16"/>
      <c r="AD51" s="16"/>
      <c r="AE51" s="16"/>
      <c r="AF51" s="16"/>
    </row>
    <row r="52" spans="1:32" x14ac:dyDescent="0.2">
      <c r="A52" s="16"/>
      <c r="B52" s="16"/>
      <c r="C52" s="16"/>
      <c r="D52" s="16"/>
      <c r="E52" s="16"/>
      <c r="F52" s="109"/>
      <c r="G52" s="109"/>
      <c r="H52" s="109"/>
      <c r="I52" s="109"/>
      <c r="J52" s="110"/>
      <c r="K52" s="109"/>
      <c r="L52" s="109"/>
      <c r="M52" s="109"/>
      <c r="N52" s="109"/>
      <c r="O52" s="109"/>
      <c r="P52" s="109"/>
      <c r="Q52" s="109"/>
      <c r="R52" s="16"/>
      <c r="S52" s="16"/>
      <c r="T52" s="109"/>
      <c r="U52" s="109"/>
      <c r="V52" s="109"/>
      <c r="W52" s="109"/>
      <c r="X52" s="109"/>
      <c r="Y52" s="109"/>
      <c r="Z52" s="109"/>
      <c r="AA52" s="109"/>
      <c r="AB52" s="109"/>
      <c r="AC52" s="16"/>
      <c r="AD52" s="16"/>
      <c r="AE52" s="16"/>
      <c r="AF52" s="16"/>
    </row>
    <row r="53" spans="1:32" x14ac:dyDescent="0.2">
      <c r="A53" s="16"/>
      <c r="B53" s="16"/>
      <c r="C53" s="16"/>
      <c r="D53" s="16"/>
      <c r="E53" s="16"/>
      <c r="F53" s="109"/>
      <c r="G53" s="109"/>
      <c r="H53" s="109"/>
      <c r="I53" s="109"/>
      <c r="J53" s="110"/>
      <c r="K53" s="109"/>
      <c r="L53" s="109"/>
      <c r="M53" s="109"/>
      <c r="N53" s="109"/>
      <c r="O53" s="109"/>
      <c r="P53" s="109"/>
      <c r="Q53" s="109"/>
      <c r="R53" s="16"/>
      <c r="S53" s="16"/>
      <c r="T53" s="109"/>
      <c r="U53" s="109"/>
      <c r="V53" s="109"/>
      <c r="W53" s="109"/>
      <c r="X53" s="109"/>
      <c r="Y53" s="109"/>
      <c r="Z53" s="109"/>
      <c r="AA53" s="109"/>
      <c r="AB53" s="109"/>
      <c r="AC53" s="16"/>
      <c r="AD53" s="16"/>
      <c r="AE53" s="16"/>
      <c r="AF53" s="16"/>
    </row>
    <row r="54" spans="1:32" x14ac:dyDescent="0.2">
      <c r="A54" s="16"/>
      <c r="B54" s="16"/>
      <c r="C54" s="16"/>
      <c r="D54" s="16"/>
      <c r="E54" s="16"/>
      <c r="F54" s="109"/>
      <c r="G54" s="109"/>
      <c r="H54" s="109"/>
      <c r="I54" s="109"/>
      <c r="J54" s="110"/>
      <c r="K54" s="109"/>
      <c r="L54" s="109"/>
      <c r="M54" s="109"/>
      <c r="N54" s="109"/>
      <c r="O54" s="109"/>
      <c r="P54" s="109"/>
      <c r="Q54" s="109"/>
      <c r="R54" s="16"/>
      <c r="S54" s="16"/>
      <c r="T54" s="109"/>
      <c r="U54" s="109"/>
      <c r="V54" s="109"/>
      <c r="W54" s="109"/>
      <c r="X54" s="109"/>
      <c r="Y54" s="109"/>
      <c r="Z54" s="109"/>
      <c r="AA54" s="109"/>
      <c r="AB54" s="109"/>
      <c r="AC54" s="16"/>
      <c r="AD54" s="16"/>
      <c r="AE54" s="16"/>
      <c r="AF54" s="16"/>
    </row>
    <row r="55" spans="1:32" x14ac:dyDescent="0.2">
      <c r="A55" s="16"/>
      <c r="B55" s="16"/>
      <c r="C55" s="16"/>
      <c r="D55" s="16"/>
      <c r="E55" s="16"/>
      <c r="F55" s="109"/>
      <c r="G55" s="109"/>
      <c r="H55" s="109"/>
      <c r="I55" s="109"/>
      <c r="J55" s="110"/>
      <c r="K55" s="109"/>
      <c r="L55" s="109"/>
      <c r="M55" s="109"/>
      <c r="N55" s="109"/>
      <c r="O55" s="109"/>
      <c r="P55" s="109"/>
      <c r="Q55" s="109"/>
      <c r="R55" s="16"/>
      <c r="S55" s="16"/>
      <c r="T55" s="109"/>
      <c r="U55" s="109"/>
      <c r="V55" s="109"/>
      <c r="W55" s="109"/>
      <c r="X55" s="109"/>
      <c r="Y55" s="109"/>
      <c r="Z55" s="109"/>
      <c r="AA55" s="109"/>
      <c r="AB55" s="109"/>
      <c r="AC55" s="16"/>
      <c r="AD55" s="16"/>
      <c r="AE55" s="16"/>
      <c r="AF55" s="16"/>
    </row>
    <row r="56" spans="1:32" x14ac:dyDescent="0.2">
      <c r="A56" s="16"/>
      <c r="B56" s="16"/>
      <c r="C56" s="16"/>
      <c r="D56" s="16"/>
      <c r="E56" s="16"/>
      <c r="F56" s="109"/>
      <c r="G56" s="109"/>
      <c r="H56" s="109"/>
      <c r="I56" s="109"/>
      <c r="J56" s="109"/>
      <c r="K56" s="109"/>
      <c r="L56" s="109"/>
      <c r="M56" s="109"/>
      <c r="N56" s="109"/>
      <c r="O56" s="109"/>
      <c r="P56" s="109"/>
      <c r="Q56" s="109"/>
      <c r="R56" s="16"/>
      <c r="S56" s="16"/>
      <c r="T56" s="109"/>
      <c r="U56" s="109"/>
      <c r="V56" s="109"/>
      <c r="W56" s="109"/>
      <c r="X56" s="109"/>
      <c r="Y56" s="109"/>
      <c r="Z56" s="109"/>
      <c r="AA56" s="109"/>
      <c r="AB56" s="109"/>
      <c r="AC56" s="16"/>
      <c r="AD56" s="16"/>
      <c r="AE56" s="16"/>
      <c r="AF56" s="16"/>
    </row>
    <row r="57" spans="1:32" x14ac:dyDescent="0.2">
      <c r="A57" s="16"/>
      <c r="B57" s="16"/>
      <c r="C57" s="16"/>
      <c r="D57" s="16"/>
      <c r="E57" s="16"/>
      <c r="F57" s="109"/>
      <c r="G57" s="109"/>
      <c r="H57" s="109"/>
      <c r="I57" s="109"/>
      <c r="J57" s="109"/>
      <c r="K57" s="109"/>
      <c r="L57" s="109"/>
      <c r="M57" s="109"/>
      <c r="N57" s="109"/>
      <c r="O57" s="109"/>
      <c r="P57" s="109"/>
      <c r="Q57" s="109"/>
      <c r="R57" s="16"/>
      <c r="S57" s="16"/>
      <c r="T57" s="109"/>
      <c r="U57" s="109"/>
      <c r="V57" s="109"/>
      <c r="W57" s="109"/>
      <c r="X57" s="109"/>
      <c r="Y57" s="109"/>
      <c r="Z57" s="109"/>
      <c r="AA57" s="109"/>
      <c r="AB57" s="109"/>
      <c r="AC57" s="16"/>
      <c r="AD57" s="16"/>
      <c r="AE57" s="16"/>
      <c r="AF57" s="16"/>
    </row>
    <row r="58" spans="1:32" x14ac:dyDescent="0.2">
      <c r="A58" s="16"/>
      <c r="B58" s="16"/>
      <c r="C58" s="16"/>
      <c r="D58" s="16"/>
      <c r="E58" s="16"/>
      <c r="F58" s="109"/>
      <c r="G58" s="109"/>
      <c r="H58" s="109"/>
      <c r="I58" s="109"/>
      <c r="J58" s="109"/>
      <c r="K58" s="109"/>
      <c r="L58" s="109"/>
      <c r="M58" s="109"/>
      <c r="N58" s="109"/>
      <c r="O58" s="109"/>
      <c r="P58" s="109"/>
      <c r="Q58" s="109"/>
      <c r="R58" s="16"/>
      <c r="S58" s="16"/>
      <c r="T58" s="109"/>
      <c r="U58" s="109"/>
      <c r="V58" s="109"/>
      <c r="W58" s="109"/>
      <c r="X58" s="109"/>
      <c r="Y58" s="109"/>
      <c r="Z58" s="109"/>
      <c r="AA58" s="109"/>
      <c r="AB58" s="109"/>
      <c r="AC58" s="16"/>
      <c r="AD58" s="16"/>
      <c r="AE58" s="16"/>
      <c r="AF58" s="16"/>
    </row>
    <row r="59" spans="1:32" x14ac:dyDescent="0.2">
      <c r="A59" s="16"/>
      <c r="B59" s="16"/>
      <c r="C59" s="16"/>
      <c r="D59" s="16"/>
      <c r="E59" s="16"/>
      <c r="F59" s="109"/>
      <c r="G59" s="109"/>
      <c r="H59" s="109"/>
      <c r="I59" s="109"/>
      <c r="J59" s="109"/>
      <c r="K59" s="109"/>
      <c r="L59" s="109"/>
      <c r="M59" s="109"/>
      <c r="N59" s="109"/>
      <c r="O59" s="109"/>
      <c r="P59" s="109"/>
      <c r="Q59" s="109"/>
      <c r="R59" s="16"/>
      <c r="S59" s="16"/>
      <c r="T59" s="109"/>
      <c r="U59" s="109"/>
      <c r="V59" s="109"/>
      <c r="W59" s="109"/>
      <c r="X59" s="109"/>
      <c r="Y59" s="109"/>
      <c r="Z59" s="109"/>
      <c r="AA59" s="109"/>
      <c r="AB59" s="109"/>
      <c r="AC59" s="16"/>
      <c r="AD59" s="16"/>
      <c r="AE59" s="16"/>
      <c r="AF59" s="16"/>
    </row>
    <row r="60" spans="1:32" x14ac:dyDescent="0.2">
      <c r="A60" s="16"/>
      <c r="B60" s="16"/>
      <c r="C60" s="16"/>
      <c r="D60" s="16"/>
      <c r="E60" s="16"/>
      <c r="F60" s="109"/>
      <c r="G60" s="109"/>
      <c r="H60" s="109"/>
      <c r="I60" s="109"/>
      <c r="J60" s="109"/>
      <c r="K60" s="109"/>
      <c r="L60" s="109"/>
      <c r="M60" s="109"/>
      <c r="N60" s="109"/>
      <c r="O60" s="109"/>
      <c r="P60" s="109"/>
      <c r="Q60" s="109"/>
      <c r="R60" s="16"/>
      <c r="S60" s="16"/>
      <c r="T60" s="109"/>
      <c r="U60" s="109"/>
      <c r="V60" s="109"/>
      <c r="W60" s="109"/>
      <c r="X60" s="109"/>
      <c r="Y60" s="109"/>
      <c r="Z60" s="109"/>
      <c r="AA60" s="109"/>
      <c r="AB60" s="109"/>
      <c r="AC60" s="16"/>
      <c r="AD60" s="16"/>
      <c r="AE60" s="16"/>
      <c r="AF60" s="16"/>
    </row>
    <row r="61" spans="1:32" x14ac:dyDescent="0.2">
      <c r="A61" s="16"/>
      <c r="B61" s="16"/>
      <c r="C61" s="16"/>
      <c r="D61" s="16"/>
      <c r="E61" s="16"/>
      <c r="F61" s="109"/>
      <c r="G61" s="109"/>
      <c r="H61" s="109"/>
      <c r="I61" s="109"/>
      <c r="J61" s="109"/>
      <c r="K61" s="109"/>
      <c r="L61" s="109"/>
      <c r="M61" s="109"/>
      <c r="N61" s="109"/>
      <c r="O61" s="109"/>
      <c r="P61" s="109"/>
      <c r="Q61" s="109"/>
      <c r="R61" s="16"/>
      <c r="S61" s="16"/>
      <c r="T61" s="109"/>
      <c r="U61" s="109"/>
      <c r="V61" s="109"/>
      <c r="W61" s="109"/>
      <c r="X61" s="109"/>
      <c r="Y61" s="109"/>
      <c r="Z61" s="109"/>
      <c r="AA61" s="109"/>
      <c r="AB61" s="109"/>
      <c r="AC61" s="16"/>
      <c r="AD61" s="16"/>
      <c r="AE61" s="16"/>
      <c r="AF61" s="16"/>
    </row>
    <row r="62" spans="1:32" x14ac:dyDescent="0.2">
      <c r="A62" s="16"/>
      <c r="B62" s="16"/>
      <c r="C62" s="16"/>
      <c r="D62" s="16"/>
      <c r="E62" s="16"/>
      <c r="F62" s="109"/>
      <c r="G62" s="109"/>
      <c r="H62" s="109"/>
      <c r="I62" s="109"/>
      <c r="J62" s="109"/>
      <c r="K62" s="109"/>
      <c r="L62" s="109"/>
      <c r="M62" s="109"/>
      <c r="N62" s="109"/>
      <c r="O62" s="109"/>
      <c r="P62" s="109"/>
      <c r="Q62" s="109"/>
      <c r="R62" s="16"/>
      <c r="S62" s="16"/>
      <c r="T62" s="109"/>
      <c r="U62" s="109"/>
      <c r="V62" s="109"/>
      <c r="W62" s="109"/>
      <c r="X62" s="109"/>
      <c r="Y62" s="109"/>
      <c r="Z62" s="109"/>
      <c r="AA62" s="109"/>
      <c r="AB62" s="109"/>
      <c r="AC62" s="16"/>
      <c r="AD62" s="16"/>
      <c r="AE62" s="16"/>
      <c r="AF62" s="16"/>
    </row>
    <row r="63" spans="1:32" x14ac:dyDescent="0.2">
      <c r="A63" s="16"/>
      <c r="B63" s="16"/>
      <c r="C63" s="16"/>
      <c r="D63" s="16"/>
      <c r="E63" s="16"/>
      <c r="F63" s="109"/>
      <c r="G63" s="109"/>
      <c r="H63" s="109"/>
      <c r="I63" s="109"/>
      <c r="J63" s="109"/>
      <c r="K63" s="109"/>
      <c r="L63" s="109"/>
      <c r="M63" s="109"/>
      <c r="N63" s="109"/>
      <c r="O63" s="109"/>
      <c r="P63" s="109"/>
      <c r="Q63" s="109"/>
      <c r="R63" s="16"/>
      <c r="S63" s="16"/>
      <c r="T63" s="109"/>
      <c r="U63" s="109"/>
      <c r="V63" s="109"/>
      <c r="W63" s="109"/>
      <c r="X63" s="109"/>
      <c r="Y63" s="109"/>
      <c r="Z63" s="109"/>
      <c r="AA63" s="109"/>
      <c r="AB63" s="109"/>
      <c r="AC63" s="16"/>
      <c r="AD63" s="16"/>
      <c r="AE63" s="16"/>
      <c r="AF63" s="16"/>
    </row>
    <row r="64" spans="1:32" x14ac:dyDescent="0.2">
      <c r="A64" s="16"/>
      <c r="B64" s="16"/>
      <c r="C64" s="16"/>
      <c r="D64" s="16"/>
      <c r="E64" s="16"/>
      <c r="F64" s="109"/>
      <c r="G64" s="109"/>
      <c r="H64" s="109"/>
      <c r="I64" s="109"/>
      <c r="J64" s="109"/>
      <c r="K64" s="109"/>
      <c r="L64" s="109"/>
      <c r="M64" s="109"/>
      <c r="N64" s="109"/>
      <c r="O64" s="109"/>
      <c r="P64" s="109"/>
      <c r="Q64" s="109"/>
      <c r="R64" s="16"/>
      <c r="S64" s="16"/>
      <c r="T64" s="109"/>
      <c r="U64" s="109"/>
      <c r="V64" s="109"/>
      <c r="W64" s="109"/>
      <c r="X64" s="109"/>
      <c r="Y64" s="109"/>
      <c r="Z64" s="109"/>
      <c r="AA64" s="109"/>
      <c r="AB64" s="109"/>
      <c r="AC64" s="16"/>
      <c r="AD64" s="16"/>
      <c r="AE64" s="16"/>
      <c r="AF64" s="16"/>
    </row>
    <row r="65" spans="1:32" x14ac:dyDescent="0.2">
      <c r="A65" s="16"/>
      <c r="B65" s="16"/>
      <c r="C65" s="16"/>
      <c r="D65" s="16"/>
      <c r="E65" s="16"/>
      <c r="F65" s="109"/>
      <c r="G65" s="109"/>
      <c r="H65" s="109"/>
      <c r="I65" s="109"/>
      <c r="J65" s="109"/>
      <c r="K65" s="109"/>
      <c r="L65" s="109"/>
      <c r="M65" s="109"/>
      <c r="N65" s="109"/>
      <c r="O65" s="109"/>
      <c r="P65" s="109"/>
      <c r="Q65" s="109"/>
      <c r="R65" s="16"/>
      <c r="S65" s="16"/>
      <c r="T65" s="109"/>
      <c r="U65" s="109"/>
      <c r="V65" s="109"/>
      <c r="W65" s="109"/>
      <c r="X65" s="109"/>
      <c r="Y65" s="109"/>
      <c r="Z65" s="109"/>
      <c r="AA65" s="109"/>
      <c r="AB65" s="109"/>
      <c r="AC65" s="16"/>
      <c r="AD65" s="16"/>
      <c r="AE65" s="16"/>
      <c r="AF65" s="16"/>
    </row>
    <row r="66" spans="1:32" x14ac:dyDescent="0.2">
      <c r="A66" s="16"/>
      <c r="B66" s="16"/>
      <c r="C66" s="16"/>
      <c r="D66" s="16"/>
      <c r="E66" s="16"/>
      <c r="F66" s="109"/>
      <c r="G66" s="109"/>
      <c r="H66" s="109"/>
      <c r="I66" s="109"/>
      <c r="J66" s="109"/>
      <c r="K66" s="109"/>
      <c r="L66" s="109"/>
      <c r="M66" s="109"/>
      <c r="N66" s="109"/>
      <c r="O66" s="109"/>
      <c r="P66" s="109"/>
      <c r="Q66" s="109"/>
      <c r="R66" s="16"/>
      <c r="S66" s="16"/>
      <c r="T66" s="109"/>
      <c r="U66" s="109"/>
      <c r="V66" s="109"/>
      <c r="W66" s="109"/>
      <c r="X66" s="109"/>
      <c r="Y66" s="109"/>
      <c r="Z66" s="109"/>
      <c r="AA66" s="109"/>
      <c r="AB66" s="109"/>
      <c r="AC66" s="16"/>
      <c r="AD66" s="16"/>
      <c r="AE66" s="16"/>
      <c r="AF66" s="16"/>
    </row>
    <row r="67" spans="1:32" x14ac:dyDescent="0.2">
      <c r="A67" s="16"/>
      <c r="B67" s="16"/>
      <c r="C67" s="16"/>
      <c r="D67" s="16"/>
      <c r="E67" s="16"/>
      <c r="F67" s="109"/>
      <c r="G67" s="109"/>
      <c r="H67" s="109"/>
      <c r="I67" s="109"/>
      <c r="J67" s="109"/>
      <c r="K67" s="109"/>
      <c r="L67" s="109"/>
      <c r="M67" s="109"/>
      <c r="N67" s="109"/>
      <c r="O67" s="109"/>
      <c r="P67" s="109"/>
      <c r="Q67" s="109"/>
      <c r="R67" s="16"/>
      <c r="S67" s="16"/>
      <c r="T67" s="109"/>
      <c r="U67" s="109"/>
      <c r="V67" s="109"/>
      <c r="W67" s="109"/>
      <c r="X67" s="109"/>
      <c r="Y67" s="109"/>
      <c r="Z67" s="109"/>
      <c r="AA67" s="109"/>
      <c r="AB67" s="109"/>
      <c r="AC67" s="16"/>
      <c r="AD67" s="16"/>
      <c r="AE67" s="16"/>
      <c r="AF67" s="16"/>
    </row>
    <row r="68" spans="1:32" x14ac:dyDescent="0.2">
      <c r="A68" s="16"/>
      <c r="B68" s="16"/>
      <c r="C68" s="16"/>
      <c r="D68" s="16"/>
      <c r="E68" s="16"/>
      <c r="F68" s="109"/>
      <c r="G68" s="109"/>
      <c r="H68" s="109"/>
      <c r="I68" s="109"/>
      <c r="J68" s="109"/>
      <c r="K68" s="109"/>
      <c r="L68" s="109"/>
      <c r="M68" s="109"/>
      <c r="N68" s="109"/>
      <c r="O68" s="109"/>
      <c r="P68" s="109"/>
      <c r="Q68" s="109"/>
      <c r="R68" s="16"/>
      <c r="S68" s="16"/>
      <c r="T68" s="109"/>
      <c r="U68" s="109"/>
      <c r="V68" s="109"/>
      <c r="W68" s="109"/>
      <c r="X68" s="109"/>
      <c r="Y68" s="109"/>
      <c r="Z68" s="109"/>
      <c r="AA68" s="109"/>
      <c r="AB68" s="109"/>
      <c r="AC68" s="16"/>
      <c r="AD68" s="16"/>
      <c r="AE68" s="16"/>
      <c r="AF68" s="16"/>
    </row>
    <row r="69" spans="1:32" x14ac:dyDescent="0.2">
      <c r="A69" s="16"/>
      <c r="B69" s="16"/>
      <c r="C69" s="16"/>
      <c r="D69" s="16"/>
      <c r="E69" s="16"/>
      <c r="F69" s="109"/>
      <c r="G69" s="109"/>
      <c r="H69" s="109"/>
      <c r="I69" s="109"/>
      <c r="J69" s="109"/>
      <c r="K69" s="109"/>
      <c r="L69" s="109"/>
      <c r="M69" s="109"/>
      <c r="N69" s="109"/>
      <c r="O69" s="109"/>
      <c r="P69" s="109"/>
      <c r="Q69" s="109"/>
      <c r="R69" s="16"/>
      <c r="S69" s="16"/>
      <c r="T69" s="109"/>
      <c r="U69" s="109"/>
      <c r="V69" s="109"/>
      <c r="W69" s="109"/>
      <c r="X69" s="109"/>
      <c r="Y69" s="109"/>
      <c r="Z69" s="109"/>
      <c r="AA69" s="109"/>
      <c r="AB69" s="109"/>
      <c r="AC69" s="16"/>
      <c r="AD69" s="16"/>
      <c r="AE69" s="16"/>
      <c r="AF69" s="16"/>
    </row>
    <row r="70" spans="1:32" x14ac:dyDescent="0.2">
      <c r="A70" s="16"/>
      <c r="B70" s="16"/>
      <c r="C70" s="16"/>
      <c r="D70" s="16"/>
      <c r="E70" s="16"/>
      <c r="F70" s="109"/>
      <c r="G70" s="109"/>
      <c r="H70" s="109"/>
      <c r="I70" s="109"/>
      <c r="J70" s="109"/>
      <c r="K70" s="109"/>
      <c r="L70" s="109"/>
      <c r="M70" s="109"/>
      <c r="N70" s="109"/>
      <c r="O70" s="109"/>
      <c r="P70" s="109"/>
      <c r="Q70" s="109"/>
      <c r="R70" s="16"/>
      <c r="S70" s="16"/>
      <c r="T70" s="109"/>
      <c r="U70" s="109"/>
      <c r="V70" s="109"/>
      <c r="W70" s="109"/>
      <c r="X70" s="109"/>
      <c r="Y70" s="109"/>
      <c r="Z70" s="109"/>
      <c r="AA70" s="109"/>
      <c r="AB70" s="109"/>
      <c r="AC70" s="16"/>
      <c r="AD70" s="16"/>
      <c r="AE70" s="16"/>
      <c r="AF70" s="16"/>
    </row>
    <row r="71" spans="1:32" x14ac:dyDescent="0.2">
      <c r="A71" s="16"/>
      <c r="B71" s="16"/>
      <c r="C71" s="16"/>
      <c r="D71" s="16"/>
      <c r="E71" s="16"/>
      <c r="F71" s="109"/>
      <c r="G71" s="109"/>
      <c r="H71" s="109"/>
      <c r="I71" s="109"/>
      <c r="J71" s="109"/>
      <c r="K71" s="109"/>
      <c r="L71" s="109"/>
      <c r="M71" s="109"/>
      <c r="N71" s="109"/>
      <c r="O71" s="109"/>
      <c r="P71" s="109"/>
      <c r="Q71" s="109"/>
      <c r="R71" s="16"/>
      <c r="S71" s="16"/>
      <c r="T71" s="109"/>
      <c r="U71" s="109"/>
      <c r="V71" s="109"/>
      <c r="W71" s="109"/>
      <c r="X71" s="109"/>
      <c r="Y71" s="109"/>
      <c r="Z71" s="109"/>
      <c r="AA71" s="109"/>
      <c r="AB71" s="109"/>
      <c r="AC71" s="16"/>
      <c r="AD71" s="16"/>
      <c r="AE71" s="16"/>
      <c r="AF71" s="16"/>
    </row>
    <row r="72" spans="1:32" x14ac:dyDescent="0.2">
      <c r="A72" s="16"/>
      <c r="B72" s="16"/>
      <c r="C72" s="16"/>
      <c r="D72" s="16"/>
      <c r="E72" s="16"/>
      <c r="F72" s="109"/>
      <c r="G72" s="109"/>
      <c r="H72" s="109"/>
      <c r="I72" s="109"/>
      <c r="J72" s="109"/>
      <c r="K72" s="109"/>
      <c r="L72" s="109"/>
      <c r="M72" s="109"/>
      <c r="N72" s="109"/>
      <c r="O72" s="109"/>
      <c r="P72" s="109"/>
      <c r="Q72" s="109"/>
      <c r="R72" s="16"/>
      <c r="S72" s="16"/>
      <c r="T72" s="109"/>
      <c r="U72" s="109"/>
      <c r="V72" s="109"/>
      <c r="W72" s="109"/>
      <c r="X72" s="109"/>
      <c r="Y72" s="109"/>
      <c r="Z72" s="109"/>
      <c r="AA72" s="109"/>
      <c r="AB72" s="109"/>
      <c r="AC72" s="16"/>
      <c r="AD72" s="16"/>
      <c r="AE72" s="16"/>
      <c r="AF72" s="16"/>
    </row>
    <row r="73" spans="1:32" x14ac:dyDescent="0.2">
      <c r="A73" s="16"/>
      <c r="B73" s="16"/>
      <c r="C73" s="16"/>
      <c r="D73" s="16"/>
      <c r="E73" s="16"/>
      <c r="F73" s="109"/>
      <c r="G73" s="109"/>
      <c r="H73" s="109"/>
      <c r="I73" s="109"/>
      <c r="J73" s="109"/>
      <c r="K73" s="109"/>
      <c r="L73" s="109"/>
      <c r="M73" s="109"/>
      <c r="N73" s="109"/>
      <c r="O73" s="109"/>
      <c r="P73" s="109"/>
      <c r="Q73" s="109"/>
      <c r="R73" s="16"/>
      <c r="S73" s="16"/>
      <c r="T73" s="109"/>
      <c r="U73" s="109"/>
      <c r="V73" s="109"/>
      <c r="W73" s="109"/>
      <c r="X73" s="109"/>
      <c r="Y73" s="109"/>
      <c r="Z73" s="109"/>
      <c r="AA73" s="109"/>
      <c r="AB73" s="109"/>
      <c r="AC73" s="16"/>
      <c r="AD73" s="16"/>
      <c r="AE73" s="16"/>
      <c r="AF73" s="16"/>
    </row>
    <row r="74" spans="1:32" x14ac:dyDescent="0.2">
      <c r="A74" s="16"/>
      <c r="B74" s="16"/>
      <c r="C74" s="16"/>
      <c r="D74" s="16"/>
      <c r="E74" s="16"/>
      <c r="F74" s="109"/>
      <c r="G74" s="109"/>
      <c r="H74" s="109"/>
      <c r="I74" s="109"/>
      <c r="J74" s="109"/>
      <c r="K74" s="109"/>
      <c r="L74" s="109"/>
      <c r="M74" s="109"/>
      <c r="N74" s="109"/>
      <c r="O74" s="109"/>
      <c r="P74" s="109"/>
      <c r="Q74" s="109"/>
      <c r="R74" s="16"/>
      <c r="S74" s="16"/>
      <c r="T74" s="109"/>
      <c r="U74" s="109"/>
      <c r="V74" s="109"/>
      <c r="W74" s="109"/>
      <c r="X74" s="109"/>
      <c r="Y74" s="109"/>
      <c r="Z74" s="109"/>
      <c r="AA74" s="109"/>
      <c r="AB74" s="109"/>
      <c r="AC74" s="16"/>
      <c r="AD74" s="16"/>
      <c r="AE74" s="16"/>
      <c r="AF74" s="16"/>
    </row>
    <row r="75" spans="1:32" x14ac:dyDescent="0.2">
      <c r="A75" s="16"/>
      <c r="B75" s="16"/>
      <c r="C75" s="16"/>
      <c r="D75" s="16"/>
      <c r="E75" s="16"/>
      <c r="F75" s="109"/>
      <c r="G75" s="109"/>
      <c r="H75" s="109"/>
      <c r="I75" s="109"/>
      <c r="J75" s="109"/>
      <c r="K75" s="109"/>
      <c r="L75" s="109"/>
      <c r="M75" s="109"/>
      <c r="N75" s="109"/>
      <c r="O75" s="109"/>
      <c r="P75" s="109"/>
      <c r="Q75" s="109"/>
      <c r="R75" s="16"/>
      <c r="S75" s="16"/>
      <c r="T75" s="109"/>
      <c r="U75" s="109"/>
      <c r="V75" s="109"/>
      <c r="W75" s="109"/>
      <c r="X75" s="109"/>
      <c r="Y75" s="109"/>
      <c r="Z75" s="109"/>
      <c r="AA75" s="109"/>
      <c r="AB75" s="109"/>
      <c r="AC75" s="16"/>
      <c r="AD75" s="16"/>
      <c r="AE75" s="16"/>
      <c r="AF75" s="16"/>
    </row>
    <row r="76" spans="1:32" x14ac:dyDescent="0.2">
      <c r="A76" s="16"/>
      <c r="B76" s="16"/>
      <c r="C76" s="16"/>
      <c r="D76" s="16"/>
      <c r="E76" s="16"/>
      <c r="F76" s="109"/>
      <c r="G76" s="109"/>
      <c r="H76" s="109"/>
      <c r="I76" s="109"/>
      <c r="J76" s="109"/>
      <c r="K76" s="109"/>
      <c r="L76" s="109"/>
      <c r="M76" s="109"/>
      <c r="N76" s="109"/>
      <c r="O76" s="109"/>
      <c r="P76" s="109"/>
      <c r="Q76" s="109"/>
      <c r="R76" s="16"/>
      <c r="S76" s="16"/>
      <c r="T76" s="109"/>
      <c r="U76" s="109"/>
      <c r="V76" s="109"/>
      <c r="W76" s="109"/>
      <c r="X76" s="109"/>
      <c r="Y76" s="109"/>
      <c r="Z76" s="109"/>
      <c r="AA76" s="109"/>
      <c r="AB76" s="109"/>
      <c r="AC76" s="16"/>
      <c r="AD76" s="16"/>
      <c r="AE76" s="16"/>
      <c r="AF76" s="16"/>
    </row>
    <row r="77" spans="1:32" x14ac:dyDescent="0.2">
      <c r="A77" s="16"/>
      <c r="B77" s="16"/>
      <c r="C77" s="16"/>
      <c r="D77" s="16"/>
      <c r="E77" s="16"/>
      <c r="F77" s="109"/>
      <c r="G77" s="109"/>
      <c r="H77" s="109"/>
      <c r="I77" s="109"/>
      <c r="J77" s="109"/>
      <c r="K77" s="109"/>
      <c r="L77" s="109"/>
      <c r="M77" s="109"/>
      <c r="N77" s="109"/>
      <c r="O77" s="109"/>
      <c r="P77" s="109"/>
      <c r="Q77" s="109"/>
      <c r="R77" s="16"/>
      <c r="S77" s="16"/>
      <c r="T77" s="109"/>
      <c r="U77" s="109"/>
      <c r="V77" s="109"/>
      <c r="W77" s="109"/>
      <c r="X77" s="109"/>
      <c r="Y77" s="109"/>
      <c r="Z77" s="109"/>
      <c r="AA77" s="109"/>
      <c r="AB77" s="109"/>
      <c r="AC77" s="16"/>
      <c r="AD77" s="16"/>
      <c r="AE77" s="16"/>
      <c r="AF77" s="16"/>
    </row>
    <row r="78" spans="1:32" x14ac:dyDescent="0.2">
      <c r="A78" s="16"/>
      <c r="B78" s="16"/>
      <c r="C78" s="16"/>
      <c r="D78" s="16"/>
      <c r="E78" s="16"/>
      <c r="F78" s="109"/>
      <c r="G78" s="109"/>
      <c r="H78" s="109"/>
      <c r="I78" s="109"/>
      <c r="J78" s="109"/>
      <c r="K78" s="109"/>
      <c r="L78" s="109"/>
      <c r="M78" s="109"/>
      <c r="N78" s="109"/>
      <c r="O78" s="109"/>
      <c r="P78" s="109"/>
      <c r="Q78" s="109"/>
      <c r="R78" s="16"/>
      <c r="S78" s="16"/>
      <c r="T78" s="109"/>
      <c r="U78" s="109"/>
      <c r="V78" s="109"/>
      <c r="W78" s="109"/>
      <c r="X78" s="109"/>
      <c r="Y78" s="109"/>
      <c r="Z78" s="109"/>
      <c r="AA78" s="109"/>
      <c r="AB78" s="109"/>
      <c r="AC78" s="16"/>
      <c r="AD78" s="16"/>
      <c r="AE78" s="16"/>
      <c r="AF78" s="16"/>
    </row>
    <row r="79" spans="1:32" x14ac:dyDescent="0.2">
      <c r="A79" s="16"/>
      <c r="B79" s="16"/>
      <c r="C79" s="16"/>
      <c r="D79" s="16"/>
      <c r="E79" s="16"/>
      <c r="F79" s="109"/>
      <c r="G79" s="109"/>
      <c r="H79" s="109"/>
      <c r="I79" s="109"/>
      <c r="J79" s="109"/>
      <c r="K79" s="109"/>
      <c r="L79" s="109"/>
      <c r="M79" s="109"/>
      <c r="N79" s="109"/>
      <c r="O79" s="109"/>
      <c r="P79" s="109"/>
      <c r="Q79" s="109"/>
      <c r="R79" s="16"/>
      <c r="S79" s="16"/>
      <c r="T79" s="109"/>
      <c r="U79" s="109"/>
      <c r="V79" s="109"/>
      <c r="W79" s="109"/>
      <c r="X79" s="109"/>
      <c r="Y79" s="109"/>
      <c r="Z79" s="109"/>
      <c r="AA79" s="109"/>
      <c r="AB79" s="109"/>
      <c r="AC79" s="16"/>
      <c r="AD79" s="16"/>
      <c r="AE79" s="16"/>
      <c r="AF79" s="16"/>
    </row>
    <row r="80" spans="1:32" x14ac:dyDescent="0.2">
      <c r="A80" s="16"/>
      <c r="B80" s="16"/>
      <c r="C80" s="16"/>
      <c r="D80" s="16"/>
      <c r="E80" s="16"/>
      <c r="F80" s="109"/>
      <c r="G80" s="109"/>
      <c r="H80" s="109"/>
      <c r="I80" s="109"/>
      <c r="J80" s="109"/>
      <c r="K80" s="109"/>
      <c r="L80" s="109"/>
      <c r="M80" s="109"/>
      <c r="N80" s="109"/>
      <c r="O80" s="109"/>
      <c r="P80" s="109"/>
      <c r="Q80" s="109"/>
      <c r="R80" s="16"/>
      <c r="S80" s="16"/>
      <c r="T80" s="109"/>
      <c r="U80" s="109"/>
      <c r="V80" s="109"/>
      <c r="W80" s="109"/>
      <c r="X80" s="109"/>
      <c r="Y80" s="109"/>
      <c r="Z80" s="109"/>
      <c r="AA80" s="109"/>
      <c r="AB80" s="109"/>
      <c r="AC80" s="16"/>
      <c r="AD80" s="16"/>
      <c r="AE80" s="16"/>
      <c r="AF80" s="16"/>
    </row>
    <row r="81" spans="1:32" x14ac:dyDescent="0.2">
      <c r="A81" s="16"/>
      <c r="B81" s="16"/>
      <c r="C81" s="16"/>
      <c r="D81" s="16"/>
      <c r="E81" s="16"/>
      <c r="F81" s="109"/>
      <c r="G81" s="109"/>
      <c r="H81" s="109"/>
      <c r="I81" s="109"/>
      <c r="J81" s="109"/>
      <c r="K81" s="109"/>
      <c r="L81" s="109"/>
      <c r="M81" s="109"/>
      <c r="N81" s="109"/>
      <c r="O81" s="109"/>
      <c r="P81" s="109"/>
      <c r="Q81" s="109"/>
      <c r="R81" s="16"/>
      <c r="S81" s="16"/>
      <c r="T81" s="109"/>
      <c r="U81" s="109"/>
      <c r="V81" s="109"/>
      <c r="W81" s="109"/>
      <c r="X81" s="109"/>
      <c r="Y81" s="109"/>
      <c r="Z81" s="109"/>
      <c r="AA81" s="109"/>
      <c r="AB81" s="109"/>
      <c r="AC81" s="16"/>
      <c r="AD81" s="16"/>
      <c r="AE81" s="16"/>
      <c r="AF81" s="16"/>
    </row>
    <row r="82" spans="1:32" x14ac:dyDescent="0.2">
      <c r="A82" s="16"/>
      <c r="B82" s="16"/>
      <c r="C82" s="16"/>
      <c r="D82" s="16"/>
      <c r="E82" s="16"/>
      <c r="F82" s="109"/>
      <c r="G82" s="109"/>
      <c r="H82" s="109"/>
      <c r="I82" s="109"/>
      <c r="J82" s="109"/>
      <c r="K82" s="109"/>
      <c r="L82" s="109"/>
      <c r="M82" s="109"/>
      <c r="N82" s="109"/>
      <c r="O82" s="109"/>
      <c r="P82" s="109"/>
      <c r="Q82" s="109"/>
      <c r="R82" s="16"/>
      <c r="S82" s="16"/>
      <c r="T82" s="109"/>
      <c r="U82" s="109"/>
      <c r="V82" s="109"/>
      <c r="W82" s="109"/>
      <c r="X82" s="109"/>
      <c r="Y82" s="109"/>
      <c r="Z82" s="109"/>
      <c r="AA82" s="109"/>
      <c r="AB82" s="109"/>
      <c r="AC82" s="16"/>
      <c r="AD82" s="16"/>
      <c r="AE82" s="16"/>
      <c r="AF82" s="16"/>
    </row>
    <row r="83" spans="1:32" x14ac:dyDescent="0.2">
      <c r="A83" s="16"/>
      <c r="B83" s="16"/>
      <c r="C83" s="16"/>
      <c r="D83" s="16"/>
      <c r="E83" s="16"/>
      <c r="F83" s="109"/>
      <c r="G83" s="109"/>
      <c r="H83" s="109"/>
      <c r="I83" s="109"/>
      <c r="J83" s="109"/>
      <c r="K83" s="109"/>
      <c r="L83" s="109"/>
      <c r="M83" s="109"/>
      <c r="N83" s="109"/>
      <c r="O83" s="109"/>
      <c r="P83" s="109"/>
      <c r="Q83" s="109"/>
      <c r="R83" s="16"/>
      <c r="S83" s="16"/>
      <c r="T83" s="109"/>
      <c r="U83" s="109"/>
      <c r="V83" s="109"/>
      <c r="W83" s="109"/>
      <c r="X83" s="109"/>
      <c r="Y83" s="109"/>
      <c r="Z83" s="109"/>
      <c r="AA83" s="109"/>
      <c r="AB83" s="109"/>
      <c r="AC83" s="16"/>
      <c r="AD83" s="16"/>
      <c r="AE83" s="16"/>
      <c r="AF83" s="16"/>
    </row>
    <row r="84" spans="1:32" x14ac:dyDescent="0.2">
      <c r="A84" s="16"/>
      <c r="B84" s="16"/>
      <c r="C84" s="16"/>
      <c r="D84" s="16"/>
      <c r="E84" s="16"/>
      <c r="F84" s="109"/>
      <c r="G84" s="109"/>
      <c r="H84" s="109"/>
      <c r="I84" s="109"/>
      <c r="J84" s="109"/>
      <c r="K84" s="109"/>
      <c r="L84" s="109"/>
      <c r="M84" s="109"/>
      <c r="N84" s="109"/>
      <c r="O84" s="109"/>
      <c r="P84" s="109"/>
      <c r="Q84" s="109"/>
      <c r="R84" s="16"/>
      <c r="S84" s="16"/>
      <c r="T84" s="109"/>
      <c r="U84" s="109"/>
      <c r="V84" s="109"/>
      <c r="W84" s="109"/>
      <c r="X84" s="109"/>
      <c r="Y84" s="109"/>
      <c r="Z84" s="109"/>
      <c r="AA84" s="109"/>
      <c r="AB84" s="109"/>
      <c r="AC84" s="16"/>
      <c r="AD84" s="16"/>
      <c r="AE84" s="16"/>
      <c r="AF84" s="16"/>
    </row>
    <row r="85" spans="1:32" x14ac:dyDescent="0.2">
      <c r="A85" s="16"/>
      <c r="B85" s="16"/>
      <c r="C85" s="16"/>
      <c r="D85" s="16"/>
      <c r="E85" s="16"/>
      <c r="F85" s="109"/>
      <c r="G85" s="109"/>
      <c r="H85" s="109"/>
      <c r="I85" s="109"/>
      <c r="J85" s="109"/>
      <c r="K85" s="109"/>
      <c r="L85" s="109"/>
      <c r="M85" s="109"/>
      <c r="N85" s="109"/>
      <c r="O85" s="109"/>
      <c r="P85" s="109"/>
      <c r="Q85" s="109"/>
      <c r="R85" s="16"/>
      <c r="S85" s="16"/>
      <c r="T85" s="109"/>
      <c r="U85" s="109"/>
      <c r="V85" s="109"/>
      <c r="W85" s="109"/>
      <c r="X85" s="109"/>
      <c r="Y85" s="109"/>
      <c r="Z85" s="109"/>
      <c r="AA85" s="109"/>
      <c r="AB85" s="109"/>
      <c r="AC85" s="16"/>
      <c r="AD85" s="16"/>
      <c r="AE85" s="16"/>
      <c r="AF85" s="16"/>
    </row>
    <row r="86" spans="1:32" x14ac:dyDescent="0.2">
      <c r="A86" s="16"/>
      <c r="B86" s="16"/>
      <c r="C86" s="16"/>
      <c r="D86" s="16"/>
      <c r="E86" s="16"/>
      <c r="F86" s="109"/>
      <c r="G86" s="109"/>
      <c r="H86" s="109"/>
      <c r="I86" s="109"/>
      <c r="J86" s="109"/>
      <c r="K86" s="109"/>
      <c r="L86" s="109"/>
      <c r="M86" s="109"/>
      <c r="N86" s="109"/>
      <c r="O86" s="109"/>
      <c r="P86" s="109"/>
      <c r="Q86" s="109"/>
      <c r="R86" s="16"/>
      <c r="S86" s="16"/>
      <c r="T86" s="109"/>
      <c r="U86" s="109"/>
      <c r="V86" s="109"/>
      <c r="W86" s="109"/>
      <c r="X86" s="109"/>
      <c r="Y86" s="109"/>
      <c r="Z86" s="109"/>
      <c r="AA86" s="109"/>
      <c r="AB86" s="109"/>
      <c r="AC86" s="16"/>
      <c r="AD86" s="16"/>
      <c r="AE86" s="16"/>
      <c r="AF86" s="16"/>
    </row>
    <row r="87" spans="1:32" x14ac:dyDescent="0.2">
      <c r="A87" s="16"/>
      <c r="B87" s="16"/>
      <c r="C87" s="16"/>
      <c r="D87" s="16"/>
      <c r="E87" s="16"/>
      <c r="F87" s="109"/>
      <c r="G87" s="109"/>
      <c r="H87" s="109"/>
      <c r="I87" s="109"/>
      <c r="J87" s="109"/>
      <c r="K87" s="109"/>
      <c r="L87" s="109"/>
      <c r="M87" s="109"/>
      <c r="N87" s="109"/>
      <c r="O87" s="109"/>
      <c r="P87" s="109"/>
      <c r="Q87" s="109"/>
      <c r="R87" s="16"/>
      <c r="S87" s="16"/>
      <c r="T87" s="109"/>
      <c r="U87" s="109"/>
      <c r="V87" s="109"/>
      <c r="W87" s="109"/>
      <c r="X87" s="109"/>
      <c r="Y87" s="109"/>
      <c r="Z87" s="109"/>
      <c r="AA87" s="109"/>
      <c r="AB87" s="109"/>
      <c r="AC87" s="16"/>
      <c r="AD87" s="16"/>
      <c r="AE87" s="16"/>
      <c r="AF87" s="16"/>
    </row>
    <row r="88" spans="1:32" x14ac:dyDescent="0.2">
      <c r="A88" s="16"/>
      <c r="B88" s="16"/>
      <c r="C88" s="16"/>
      <c r="D88" s="16"/>
      <c r="E88" s="16"/>
      <c r="F88" s="109"/>
      <c r="G88" s="109"/>
      <c r="H88" s="109"/>
      <c r="I88" s="109"/>
      <c r="J88" s="109"/>
      <c r="K88" s="109"/>
      <c r="L88" s="109"/>
      <c r="M88" s="109"/>
      <c r="N88" s="109"/>
      <c r="O88" s="109"/>
      <c r="P88" s="109"/>
      <c r="Q88" s="109"/>
      <c r="R88" s="16"/>
      <c r="S88" s="16"/>
      <c r="T88" s="109"/>
      <c r="U88" s="109"/>
      <c r="V88" s="109"/>
      <c r="W88" s="109"/>
      <c r="X88" s="109"/>
      <c r="Y88" s="109"/>
      <c r="Z88" s="109"/>
      <c r="AA88" s="109"/>
      <c r="AB88" s="109"/>
      <c r="AC88" s="16"/>
      <c r="AD88" s="16"/>
      <c r="AE88" s="16"/>
      <c r="AF88" s="16"/>
    </row>
    <row r="89" spans="1:32" x14ac:dyDescent="0.2">
      <c r="A89" s="16"/>
      <c r="B89" s="16"/>
      <c r="C89" s="16"/>
      <c r="D89" s="16"/>
      <c r="E89" s="16"/>
      <c r="F89" s="109"/>
      <c r="G89" s="109"/>
      <c r="H89" s="109"/>
      <c r="I89" s="109"/>
      <c r="J89" s="109"/>
      <c r="K89" s="109"/>
      <c r="L89" s="109"/>
      <c r="M89" s="109"/>
      <c r="N89" s="109"/>
      <c r="O89" s="109"/>
      <c r="P89" s="109"/>
      <c r="Q89" s="109"/>
      <c r="R89" s="16"/>
      <c r="S89" s="16"/>
      <c r="T89" s="109"/>
      <c r="U89" s="109"/>
      <c r="V89" s="109"/>
      <c r="W89" s="109"/>
      <c r="X89" s="109"/>
      <c r="Y89" s="109"/>
      <c r="Z89" s="109"/>
      <c r="AA89" s="109"/>
      <c r="AB89" s="109"/>
      <c r="AC89" s="16"/>
      <c r="AD89" s="16"/>
      <c r="AE89" s="16"/>
      <c r="AF89" s="16"/>
    </row>
    <row r="90" spans="1:32" x14ac:dyDescent="0.2">
      <c r="A90" s="16"/>
      <c r="B90" s="16"/>
      <c r="C90" s="16"/>
      <c r="D90" s="16"/>
      <c r="E90" s="16"/>
      <c r="F90" s="109"/>
      <c r="G90" s="109"/>
      <c r="H90" s="109"/>
      <c r="I90" s="109"/>
      <c r="J90" s="109"/>
      <c r="K90" s="109"/>
      <c r="L90" s="109"/>
      <c r="M90" s="109"/>
      <c r="N90" s="109"/>
      <c r="O90" s="109"/>
      <c r="P90" s="109"/>
      <c r="Q90" s="109"/>
      <c r="R90" s="16"/>
      <c r="S90" s="16"/>
      <c r="T90" s="109"/>
      <c r="U90" s="109"/>
      <c r="V90" s="109"/>
      <c r="W90" s="109"/>
      <c r="X90" s="109"/>
      <c r="Y90" s="109"/>
      <c r="Z90" s="109"/>
      <c r="AA90" s="109"/>
      <c r="AB90" s="109"/>
      <c r="AC90" s="16"/>
      <c r="AD90" s="16"/>
      <c r="AE90" s="16"/>
      <c r="AF90" s="16"/>
    </row>
    <row r="91" spans="1:32" x14ac:dyDescent="0.2">
      <c r="A91" s="16"/>
      <c r="B91" s="16"/>
      <c r="C91" s="16"/>
      <c r="D91" s="16"/>
      <c r="E91" s="16"/>
      <c r="F91" s="109"/>
      <c r="G91" s="109"/>
      <c r="H91" s="109"/>
      <c r="I91" s="109"/>
      <c r="J91" s="109"/>
      <c r="K91" s="109"/>
      <c r="L91" s="109"/>
      <c r="M91" s="109"/>
      <c r="N91" s="109"/>
      <c r="O91" s="109"/>
      <c r="P91" s="109"/>
      <c r="Q91" s="109"/>
      <c r="R91" s="16"/>
      <c r="S91" s="16"/>
      <c r="T91" s="109"/>
      <c r="U91" s="109"/>
      <c r="V91" s="109"/>
      <c r="W91" s="109"/>
      <c r="X91" s="109"/>
      <c r="Y91" s="109"/>
      <c r="Z91" s="109"/>
      <c r="AA91" s="109"/>
      <c r="AB91" s="109"/>
      <c r="AC91" s="16"/>
      <c r="AD91" s="16"/>
      <c r="AE91" s="16"/>
      <c r="AF91" s="16"/>
    </row>
    <row r="92" spans="1:32" x14ac:dyDescent="0.2">
      <c r="A92" s="16"/>
      <c r="B92" s="16"/>
      <c r="C92" s="16"/>
      <c r="D92" s="16"/>
      <c r="E92" s="16"/>
      <c r="F92" s="109"/>
      <c r="G92" s="109"/>
      <c r="H92" s="109"/>
      <c r="I92" s="109"/>
      <c r="J92" s="109"/>
      <c r="K92" s="109"/>
      <c r="L92" s="109"/>
      <c r="M92" s="109"/>
      <c r="N92" s="109"/>
      <c r="O92" s="109"/>
      <c r="P92" s="109"/>
      <c r="Q92" s="109"/>
      <c r="R92" s="16"/>
      <c r="S92" s="16"/>
      <c r="T92" s="109"/>
      <c r="U92" s="109"/>
      <c r="V92" s="109"/>
      <c r="W92" s="109"/>
      <c r="X92" s="109"/>
      <c r="Y92" s="109"/>
      <c r="Z92" s="109"/>
      <c r="AA92" s="109"/>
      <c r="AB92" s="109"/>
      <c r="AC92" s="16"/>
      <c r="AD92" s="16"/>
      <c r="AE92" s="16"/>
      <c r="AF92" s="16"/>
    </row>
    <row r="93" spans="1:32" x14ac:dyDescent="0.2">
      <c r="A93" s="16"/>
      <c r="B93" s="16"/>
      <c r="C93" s="16"/>
      <c r="D93" s="16"/>
      <c r="E93" s="16"/>
      <c r="F93" s="109"/>
      <c r="G93" s="109"/>
      <c r="H93" s="109"/>
      <c r="I93" s="109"/>
      <c r="J93" s="109"/>
      <c r="K93" s="109"/>
      <c r="L93" s="109"/>
      <c r="M93" s="109"/>
      <c r="N93" s="109"/>
      <c r="O93" s="109"/>
      <c r="P93" s="109"/>
      <c r="Q93" s="109"/>
      <c r="R93" s="16"/>
      <c r="S93" s="16"/>
      <c r="T93" s="109"/>
      <c r="U93" s="109"/>
      <c r="V93" s="109"/>
      <c r="W93" s="109"/>
      <c r="X93" s="109"/>
      <c r="Y93" s="109"/>
      <c r="Z93" s="109"/>
      <c r="AA93" s="109"/>
      <c r="AB93" s="109"/>
      <c r="AC93" s="16"/>
      <c r="AD93" s="16"/>
      <c r="AE93" s="16"/>
      <c r="AF93" s="16"/>
    </row>
    <row r="94" spans="1:32" x14ac:dyDescent="0.2">
      <c r="A94" s="16"/>
      <c r="B94" s="16"/>
      <c r="C94" s="16"/>
      <c r="D94" s="16"/>
      <c r="E94" s="16"/>
      <c r="F94" s="109"/>
      <c r="G94" s="109"/>
      <c r="H94" s="109"/>
      <c r="I94" s="109"/>
      <c r="J94" s="109"/>
      <c r="K94" s="109"/>
      <c r="L94" s="109"/>
      <c r="M94" s="109"/>
      <c r="N94" s="109"/>
      <c r="O94" s="109"/>
      <c r="P94" s="109"/>
      <c r="Q94" s="109"/>
      <c r="R94" s="16"/>
      <c r="S94" s="16"/>
      <c r="T94" s="109"/>
      <c r="U94" s="109"/>
      <c r="V94" s="109"/>
      <c r="W94" s="109"/>
      <c r="X94" s="109"/>
      <c r="Y94" s="109"/>
      <c r="Z94" s="109"/>
      <c r="AA94" s="109"/>
      <c r="AB94" s="109"/>
      <c r="AC94" s="16"/>
      <c r="AD94" s="16"/>
      <c r="AE94" s="16"/>
      <c r="AF94" s="16"/>
    </row>
    <row r="95" spans="1:32" x14ac:dyDescent="0.2">
      <c r="A95" s="16"/>
      <c r="B95" s="16"/>
      <c r="C95" s="16"/>
      <c r="D95" s="16"/>
      <c r="E95" s="16"/>
      <c r="F95" s="109"/>
      <c r="G95" s="109"/>
      <c r="H95" s="109"/>
      <c r="I95" s="109"/>
      <c r="J95" s="109"/>
      <c r="K95" s="109"/>
      <c r="L95" s="109"/>
      <c r="M95" s="109"/>
      <c r="N95" s="109"/>
      <c r="O95" s="109"/>
      <c r="P95" s="109"/>
      <c r="Q95" s="109"/>
      <c r="R95" s="16"/>
      <c r="S95" s="16"/>
      <c r="T95" s="109"/>
      <c r="U95" s="109"/>
      <c r="V95" s="109"/>
      <c r="W95" s="109"/>
      <c r="X95" s="109"/>
      <c r="Y95" s="109"/>
      <c r="Z95" s="109"/>
      <c r="AA95" s="109"/>
      <c r="AB95" s="109"/>
      <c r="AC95" s="16"/>
      <c r="AD95" s="16"/>
      <c r="AE95" s="16"/>
      <c r="AF95" s="16"/>
    </row>
    <row r="96" spans="1:32" x14ac:dyDescent="0.2">
      <c r="A96" s="16"/>
      <c r="B96" s="16"/>
      <c r="C96" s="16"/>
      <c r="D96" s="16"/>
      <c r="E96" s="16"/>
      <c r="F96" s="109"/>
      <c r="G96" s="109"/>
      <c r="H96" s="109"/>
      <c r="I96" s="109"/>
      <c r="J96" s="109"/>
      <c r="K96" s="109"/>
      <c r="L96" s="109"/>
      <c r="M96" s="109"/>
      <c r="N96" s="109"/>
      <c r="O96" s="109"/>
      <c r="P96" s="109"/>
      <c r="Q96" s="109"/>
      <c r="R96" s="16"/>
      <c r="S96" s="16"/>
      <c r="T96" s="109"/>
      <c r="U96" s="109"/>
      <c r="V96" s="109"/>
      <c r="W96" s="109"/>
      <c r="X96" s="109"/>
      <c r="Y96" s="109"/>
      <c r="Z96" s="109"/>
      <c r="AA96" s="109"/>
      <c r="AB96" s="109"/>
      <c r="AC96" s="16"/>
      <c r="AD96" s="16"/>
      <c r="AE96" s="16"/>
      <c r="AF96" s="16"/>
    </row>
    <row r="97" spans="1:32" x14ac:dyDescent="0.2">
      <c r="A97" s="16"/>
      <c r="B97" s="16"/>
      <c r="C97" s="16"/>
      <c r="D97" s="16"/>
      <c r="E97" s="16"/>
      <c r="F97" s="109"/>
      <c r="G97" s="109"/>
      <c r="H97" s="109"/>
      <c r="I97" s="109"/>
      <c r="J97" s="109"/>
      <c r="K97" s="109"/>
      <c r="L97" s="109"/>
      <c r="M97" s="109"/>
      <c r="N97" s="109"/>
      <c r="O97" s="109"/>
      <c r="P97" s="109"/>
      <c r="Q97" s="109"/>
      <c r="R97" s="16"/>
      <c r="S97" s="16"/>
      <c r="T97" s="109"/>
      <c r="U97" s="109"/>
      <c r="V97" s="109"/>
      <c r="W97" s="109"/>
      <c r="X97" s="109"/>
      <c r="Y97" s="109"/>
      <c r="Z97" s="109"/>
      <c r="AA97" s="109"/>
      <c r="AB97" s="109"/>
      <c r="AC97" s="16"/>
      <c r="AD97" s="16"/>
      <c r="AE97" s="16"/>
      <c r="AF97" s="16"/>
    </row>
    <row r="98" spans="1:32" x14ac:dyDescent="0.2">
      <c r="A98" s="16"/>
      <c r="B98" s="16"/>
      <c r="C98" s="16"/>
      <c r="D98" s="16"/>
      <c r="E98" s="16"/>
      <c r="F98" s="109"/>
      <c r="G98" s="109"/>
      <c r="H98" s="109"/>
      <c r="I98" s="109"/>
      <c r="J98" s="109"/>
      <c r="K98" s="109"/>
      <c r="L98" s="109"/>
      <c r="M98" s="109"/>
      <c r="N98" s="109"/>
      <c r="O98" s="109"/>
      <c r="P98" s="109"/>
      <c r="Q98" s="109"/>
      <c r="R98" s="16"/>
      <c r="S98" s="16"/>
      <c r="T98" s="109"/>
      <c r="U98" s="109"/>
      <c r="V98" s="109"/>
      <c r="W98" s="109"/>
      <c r="X98" s="109"/>
      <c r="Y98" s="109"/>
      <c r="Z98" s="109"/>
      <c r="AA98" s="109"/>
      <c r="AB98" s="109"/>
      <c r="AC98" s="16"/>
      <c r="AD98" s="16"/>
      <c r="AE98" s="16"/>
      <c r="AF98" s="16"/>
    </row>
    <row r="99" spans="1:32" x14ac:dyDescent="0.2">
      <c r="A99" s="16"/>
      <c r="B99" s="16"/>
      <c r="C99" s="16"/>
      <c r="D99" s="16"/>
      <c r="E99" s="16"/>
      <c r="F99" s="109"/>
      <c r="G99" s="109"/>
      <c r="H99" s="109"/>
      <c r="I99" s="109"/>
      <c r="J99" s="109"/>
      <c r="K99" s="109"/>
      <c r="L99" s="109"/>
      <c r="M99" s="109"/>
      <c r="N99" s="109"/>
      <c r="O99" s="109"/>
      <c r="P99" s="109"/>
      <c r="Q99" s="109"/>
      <c r="R99" s="16"/>
      <c r="S99" s="16"/>
      <c r="T99" s="109"/>
      <c r="U99" s="109"/>
      <c r="V99" s="109"/>
      <c r="W99" s="109"/>
      <c r="X99" s="109"/>
      <c r="Y99" s="109"/>
      <c r="Z99" s="109"/>
      <c r="AA99" s="109"/>
      <c r="AB99" s="109"/>
      <c r="AC99" s="16"/>
      <c r="AD99" s="16"/>
      <c r="AE99" s="16"/>
      <c r="AF99" s="16"/>
    </row>
    <row r="100" spans="1:32" x14ac:dyDescent="0.2">
      <c r="A100" s="16"/>
      <c r="B100" s="16"/>
      <c r="C100" s="16"/>
      <c r="D100" s="16"/>
      <c r="E100" s="16"/>
      <c r="F100" s="109"/>
      <c r="G100" s="109"/>
      <c r="H100" s="109"/>
      <c r="I100" s="109"/>
      <c r="J100" s="109"/>
      <c r="K100" s="109"/>
      <c r="L100" s="109"/>
      <c r="M100" s="109"/>
      <c r="N100" s="109"/>
      <c r="O100" s="109"/>
      <c r="P100" s="109"/>
      <c r="Q100" s="109"/>
      <c r="R100" s="16"/>
      <c r="S100" s="16"/>
      <c r="T100" s="109"/>
      <c r="U100" s="109"/>
      <c r="V100" s="109"/>
      <c r="W100" s="109"/>
      <c r="X100" s="109"/>
      <c r="Y100" s="109"/>
      <c r="Z100" s="109"/>
      <c r="AA100" s="109"/>
      <c r="AB100" s="109"/>
      <c r="AC100" s="16"/>
      <c r="AD100" s="16"/>
      <c r="AE100" s="16"/>
      <c r="AF100" s="16"/>
    </row>
    <row r="101" spans="1:32" x14ac:dyDescent="0.2">
      <c r="A101" s="16"/>
      <c r="B101" s="16"/>
      <c r="C101" s="16"/>
      <c r="D101" s="16"/>
      <c r="E101" s="16"/>
      <c r="F101" s="109"/>
      <c r="G101" s="109"/>
      <c r="H101" s="109"/>
      <c r="I101" s="109"/>
      <c r="J101" s="109"/>
      <c r="K101" s="109"/>
      <c r="L101" s="109"/>
      <c r="M101" s="109"/>
      <c r="N101" s="109"/>
      <c r="O101" s="109"/>
      <c r="P101" s="109"/>
      <c r="Q101" s="109"/>
      <c r="R101" s="16"/>
      <c r="S101" s="16"/>
      <c r="T101" s="109"/>
      <c r="U101" s="109"/>
      <c r="V101" s="109"/>
      <c r="W101" s="109"/>
      <c r="X101" s="109"/>
      <c r="Y101" s="109"/>
      <c r="Z101" s="109"/>
      <c r="AA101" s="109"/>
      <c r="AB101" s="109"/>
      <c r="AC101" s="16"/>
      <c r="AD101" s="16"/>
      <c r="AE101" s="16"/>
      <c r="AF101" s="16"/>
    </row>
    <row r="102" spans="1:32" x14ac:dyDescent="0.2">
      <c r="A102" s="16"/>
      <c r="B102" s="16"/>
      <c r="C102" s="16"/>
      <c r="D102" s="16"/>
      <c r="E102" s="16"/>
      <c r="F102" s="109"/>
      <c r="G102" s="109"/>
      <c r="H102" s="109"/>
      <c r="I102" s="109"/>
      <c r="J102" s="109"/>
      <c r="K102" s="109"/>
      <c r="L102" s="109"/>
      <c r="M102" s="109"/>
      <c r="N102" s="109"/>
      <c r="O102" s="109"/>
      <c r="P102" s="109"/>
      <c r="Q102" s="109"/>
      <c r="R102" s="16"/>
      <c r="S102" s="16"/>
      <c r="T102" s="109"/>
      <c r="U102" s="109"/>
      <c r="V102" s="109"/>
      <c r="W102" s="109"/>
      <c r="X102" s="109"/>
      <c r="Y102" s="109"/>
      <c r="Z102" s="109"/>
      <c r="AA102" s="109"/>
      <c r="AB102" s="109"/>
      <c r="AC102" s="16"/>
      <c r="AD102" s="16"/>
      <c r="AE102" s="16"/>
      <c r="AF102" s="16"/>
    </row>
    <row r="103" spans="1:32" x14ac:dyDescent="0.2">
      <c r="A103" s="16"/>
      <c r="B103" s="16"/>
      <c r="C103" s="16"/>
      <c r="D103" s="16"/>
      <c r="E103" s="16"/>
      <c r="F103" s="109"/>
      <c r="G103" s="109"/>
      <c r="H103" s="109"/>
      <c r="I103" s="109"/>
      <c r="J103" s="109"/>
      <c r="K103" s="109"/>
      <c r="L103" s="109"/>
      <c r="M103" s="109"/>
      <c r="N103" s="109"/>
      <c r="O103" s="109"/>
      <c r="P103" s="109"/>
      <c r="Q103" s="109"/>
      <c r="R103" s="16"/>
      <c r="S103" s="16"/>
      <c r="T103" s="109"/>
      <c r="U103" s="109"/>
      <c r="V103" s="109"/>
      <c r="W103" s="109"/>
      <c r="X103" s="109"/>
      <c r="Y103" s="109"/>
      <c r="Z103" s="109"/>
      <c r="AA103" s="109"/>
      <c r="AB103" s="109"/>
      <c r="AC103" s="16"/>
      <c r="AD103" s="16"/>
      <c r="AE103" s="16"/>
      <c r="AF103" s="16"/>
    </row>
    <row r="104" spans="1:32" x14ac:dyDescent="0.2">
      <c r="A104" s="16"/>
      <c r="B104" s="16"/>
      <c r="C104" s="16"/>
      <c r="D104" s="16"/>
      <c r="E104" s="16"/>
      <c r="F104" s="109"/>
      <c r="G104" s="109"/>
      <c r="H104" s="109"/>
      <c r="I104" s="109"/>
      <c r="J104" s="109"/>
      <c r="K104" s="109"/>
      <c r="L104" s="109"/>
      <c r="M104" s="109"/>
      <c r="N104" s="109"/>
      <c r="O104" s="109"/>
      <c r="P104" s="109"/>
      <c r="Q104" s="109"/>
      <c r="R104" s="16"/>
      <c r="S104" s="16"/>
      <c r="T104" s="109"/>
      <c r="U104" s="109"/>
      <c r="V104" s="109"/>
      <c r="W104" s="109"/>
      <c r="X104" s="109"/>
      <c r="Y104" s="109"/>
      <c r="Z104" s="109"/>
      <c r="AA104" s="109"/>
      <c r="AB104" s="109"/>
      <c r="AC104" s="16"/>
      <c r="AD104" s="16"/>
      <c r="AE104" s="16"/>
      <c r="AF104" s="16"/>
    </row>
    <row r="105" spans="1:32" x14ac:dyDescent="0.2">
      <c r="A105" s="16"/>
      <c r="B105" s="16"/>
      <c r="C105" s="16"/>
      <c r="D105" s="16"/>
      <c r="E105" s="16"/>
      <c r="F105" s="109"/>
      <c r="G105" s="109"/>
      <c r="H105" s="109"/>
      <c r="I105" s="109"/>
      <c r="J105" s="109"/>
      <c r="K105" s="109"/>
      <c r="L105" s="109"/>
      <c r="M105" s="109"/>
      <c r="N105" s="109"/>
      <c r="O105" s="109"/>
      <c r="P105" s="109"/>
      <c r="Q105" s="109"/>
      <c r="R105" s="16"/>
      <c r="S105" s="16"/>
      <c r="T105" s="109"/>
      <c r="U105" s="109"/>
      <c r="V105" s="109"/>
      <c r="W105" s="109"/>
      <c r="X105" s="109"/>
      <c r="Y105" s="109"/>
      <c r="Z105" s="109"/>
      <c r="AA105" s="109"/>
      <c r="AB105" s="109"/>
      <c r="AC105" s="16"/>
      <c r="AD105" s="16"/>
      <c r="AE105" s="16"/>
      <c r="AF105" s="16"/>
    </row>
    <row r="106" spans="1:32" x14ac:dyDescent="0.2">
      <c r="A106" s="16"/>
      <c r="B106" s="16"/>
      <c r="C106" s="16"/>
      <c r="D106" s="16"/>
      <c r="E106" s="16"/>
      <c r="F106" s="109"/>
      <c r="G106" s="109"/>
      <c r="H106" s="109"/>
      <c r="I106" s="109"/>
      <c r="J106" s="109"/>
      <c r="K106" s="109"/>
      <c r="L106" s="109"/>
      <c r="M106" s="109"/>
      <c r="N106" s="109"/>
      <c r="O106" s="109"/>
      <c r="P106" s="109"/>
      <c r="Q106" s="109"/>
      <c r="R106" s="16"/>
      <c r="S106" s="16"/>
      <c r="T106" s="109"/>
      <c r="U106" s="109"/>
      <c r="V106" s="109"/>
      <c r="W106" s="109"/>
      <c r="X106" s="109"/>
      <c r="Y106" s="109"/>
      <c r="Z106" s="109"/>
      <c r="AA106" s="109"/>
      <c r="AB106" s="109"/>
      <c r="AC106" s="16"/>
      <c r="AD106" s="16"/>
      <c r="AE106" s="16"/>
      <c r="AF106" s="16"/>
    </row>
    <row r="107" spans="1:32" x14ac:dyDescent="0.2">
      <c r="A107" s="16"/>
      <c r="B107" s="16"/>
      <c r="C107" s="16"/>
      <c r="D107" s="16"/>
      <c r="E107" s="16"/>
      <c r="F107" s="109"/>
      <c r="G107" s="109"/>
      <c r="H107" s="109"/>
      <c r="I107" s="109"/>
      <c r="J107" s="109"/>
      <c r="K107" s="109"/>
      <c r="L107" s="109"/>
      <c r="M107" s="109"/>
      <c r="N107" s="109"/>
      <c r="O107" s="109"/>
      <c r="P107" s="109"/>
      <c r="Q107" s="109"/>
      <c r="R107" s="16"/>
      <c r="S107" s="16"/>
      <c r="T107" s="109"/>
      <c r="U107" s="109"/>
      <c r="V107" s="109"/>
      <c r="W107" s="109"/>
      <c r="X107" s="109"/>
      <c r="Y107" s="109"/>
      <c r="Z107" s="109"/>
      <c r="AA107" s="109"/>
      <c r="AB107" s="109"/>
      <c r="AC107" s="16"/>
      <c r="AD107" s="16"/>
      <c r="AE107" s="16"/>
      <c r="AF107" s="16"/>
    </row>
    <row r="108" spans="1:32" x14ac:dyDescent="0.2">
      <c r="A108" s="16"/>
      <c r="B108" s="16"/>
      <c r="C108" s="16"/>
      <c r="D108" s="16"/>
      <c r="E108" s="16"/>
      <c r="F108" s="109"/>
      <c r="G108" s="109"/>
      <c r="H108" s="109"/>
      <c r="I108" s="109"/>
      <c r="J108" s="109"/>
      <c r="K108" s="109"/>
      <c r="L108" s="109"/>
      <c r="M108" s="109"/>
      <c r="N108" s="109"/>
      <c r="O108" s="109"/>
      <c r="P108" s="109"/>
      <c r="Q108" s="109"/>
      <c r="R108" s="16"/>
      <c r="S108" s="16"/>
      <c r="T108" s="109"/>
      <c r="U108" s="109"/>
      <c r="V108" s="109"/>
      <c r="W108" s="109"/>
      <c r="X108" s="109"/>
      <c r="Y108" s="109"/>
      <c r="Z108" s="109"/>
      <c r="AA108" s="109"/>
      <c r="AB108" s="109"/>
      <c r="AC108" s="16"/>
      <c r="AD108" s="16"/>
      <c r="AE108" s="16"/>
      <c r="AF108" s="16"/>
    </row>
    <row r="109" spans="1:32" x14ac:dyDescent="0.2">
      <c r="A109" s="16"/>
      <c r="B109" s="16"/>
      <c r="C109" s="16"/>
      <c r="D109" s="16"/>
      <c r="E109" s="16"/>
      <c r="F109" s="109"/>
      <c r="G109" s="109"/>
      <c r="H109" s="109"/>
      <c r="I109" s="109"/>
      <c r="J109" s="109"/>
      <c r="K109" s="109"/>
      <c r="L109" s="109"/>
      <c r="M109" s="109"/>
      <c r="N109" s="109"/>
      <c r="O109" s="109"/>
      <c r="P109" s="109"/>
      <c r="Q109" s="109"/>
      <c r="R109" s="16"/>
      <c r="S109" s="16"/>
      <c r="T109" s="109"/>
      <c r="U109" s="109"/>
      <c r="V109" s="109"/>
      <c r="W109" s="109"/>
      <c r="X109" s="109"/>
      <c r="Y109" s="109"/>
      <c r="Z109" s="109"/>
      <c r="AA109" s="109"/>
      <c r="AB109" s="109"/>
      <c r="AC109" s="16"/>
      <c r="AD109" s="16"/>
      <c r="AE109" s="16"/>
      <c r="AF109" s="16"/>
    </row>
    <row r="110" spans="1:32" x14ac:dyDescent="0.2">
      <c r="A110" s="16"/>
      <c r="B110" s="16"/>
      <c r="C110" s="16"/>
      <c r="D110" s="16"/>
      <c r="E110" s="16"/>
      <c r="F110" s="109"/>
      <c r="G110" s="109"/>
      <c r="H110" s="109"/>
      <c r="I110" s="109"/>
      <c r="J110" s="109"/>
      <c r="K110" s="109"/>
      <c r="L110" s="109"/>
      <c r="M110" s="109"/>
      <c r="N110" s="109"/>
      <c r="O110" s="109"/>
      <c r="P110" s="109"/>
      <c r="Q110" s="109"/>
      <c r="R110" s="16"/>
      <c r="S110" s="16"/>
      <c r="T110" s="109"/>
      <c r="U110" s="109"/>
      <c r="V110" s="109"/>
      <c r="W110" s="109"/>
      <c r="X110" s="109"/>
      <c r="Y110" s="109"/>
      <c r="Z110" s="109"/>
      <c r="AA110" s="109"/>
      <c r="AB110" s="109"/>
      <c r="AC110" s="16"/>
      <c r="AD110" s="16"/>
      <c r="AE110" s="16"/>
      <c r="AF110" s="16"/>
    </row>
    <row r="111" spans="1:32" x14ac:dyDescent="0.2">
      <c r="A111" s="16"/>
      <c r="B111" s="16"/>
      <c r="C111" s="16"/>
      <c r="D111" s="16"/>
      <c r="E111" s="16"/>
      <c r="F111" s="109"/>
      <c r="G111" s="109"/>
      <c r="H111" s="109"/>
      <c r="I111" s="109"/>
      <c r="J111" s="109"/>
      <c r="K111" s="109"/>
      <c r="L111" s="109"/>
      <c r="M111" s="109"/>
      <c r="N111" s="109"/>
      <c r="O111" s="109"/>
      <c r="P111" s="109"/>
      <c r="Q111" s="109"/>
      <c r="R111" s="16"/>
      <c r="S111" s="16"/>
      <c r="T111" s="109"/>
      <c r="U111" s="109"/>
      <c r="V111" s="109"/>
      <c r="W111" s="109"/>
      <c r="X111" s="109"/>
      <c r="Y111" s="109"/>
      <c r="Z111" s="109"/>
      <c r="AA111" s="109"/>
      <c r="AB111" s="109"/>
      <c r="AC111" s="16"/>
      <c r="AD111" s="16"/>
      <c r="AE111" s="16"/>
      <c r="AF111" s="16"/>
    </row>
    <row r="112" spans="1:32" x14ac:dyDescent="0.2">
      <c r="A112" s="16"/>
      <c r="B112" s="16"/>
      <c r="C112" s="16"/>
      <c r="D112" s="16"/>
      <c r="E112" s="16"/>
      <c r="F112" s="109"/>
      <c r="G112" s="109"/>
      <c r="H112" s="109"/>
      <c r="I112" s="109"/>
      <c r="J112" s="109"/>
      <c r="K112" s="109"/>
      <c r="L112" s="109"/>
      <c r="M112" s="109"/>
      <c r="N112" s="109"/>
      <c r="O112" s="109"/>
      <c r="P112" s="109"/>
      <c r="Q112" s="109"/>
      <c r="R112" s="16"/>
      <c r="S112" s="16"/>
      <c r="T112" s="109"/>
      <c r="U112" s="109"/>
      <c r="V112" s="109"/>
      <c r="W112" s="109"/>
      <c r="X112" s="109"/>
      <c r="Y112" s="109"/>
      <c r="Z112" s="109"/>
      <c r="AA112" s="109"/>
      <c r="AB112" s="109"/>
      <c r="AC112" s="16"/>
      <c r="AD112" s="16"/>
      <c r="AE112" s="16"/>
      <c r="AF112" s="16"/>
    </row>
    <row r="113" spans="1:32" x14ac:dyDescent="0.2">
      <c r="A113" s="16"/>
      <c r="B113" s="16"/>
      <c r="C113" s="16"/>
      <c r="D113" s="16"/>
      <c r="E113" s="16"/>
      <c r="F113" s="109"/>
      <c r="G113" s="109"/>
      <c r="H113" s="109"/>
      <c r="I113" s="109"/>
      <c r="J113" s="109"/>
      <c r="K113" s="109"/>
      <c r="L113" s="109"/>
      <c r="M113" s="109"/>
      <c r="N113" s="109"/>
      <c r="O113" s="109"/>
      <c r="P113" s="109"/>
      <c r="Q113" s="109"/>
      <c r="R113" s="16"/>
      <c r="S113" s="16"/>
      <c r="T113" s="109"/>
      <c r="U113" s="109"/>
      <c r="V113" s="109"/>
      <c r="W113" s="109"/>
      <c r="X113" s="109"/>
      <c r="Y113" s="109"/>
      <c r="Z113" s="109"/>
      <c r="AA113" s="109"/>
      <c r="AB113" s="109"/>
      <c r="AC113" s="16"/>
      <c r="AD113" s="16"/>
      <c r="AE113" s="16"/>
      <c r="AF113" s="16"/>
    </row>
    <row r="114" spans="1:32" x14ac:dyDescent="0.2">
      <c r="A114" s="16"/>
      <c r="B114" s="16"/>
      <c r="C114" s="16"/>
      <c r="D114" s="16"/>
      <c r="E114" s="16"/>
      <c r="F114" s="109"/>
      <c r="G114" s="109"/>
      <c r="H114" s="109"/>
      <c r="I114" s="109"/>
      <c r="J114" s="109"/>
      <c r="K114" s="109"/>
      <c r="L114" s="109"/>
      <c r="M114" s="109"/>
      <c r="N114" s="109"/>
      <c r="O114" s="109"/>
      <c r="P114" s="109"/>
      <c r="Q114" s="109"/>
      <c r="R114" s="16"/>
      <c r="S114" s="16"/>
      <c r="T114" s="109"/>
      <c r="U114" s="109"/>
      <c r="V114" s="109"/>
      <c r="W114" s="109"/>
      <c r="X114" s="109"/>
      <c r="Y114" s="109"/>
      <c r="Z114" s="109"/>
      <c r="AA114" s="109"/>
      <c r="AB114" s="109"/>
      <c r="AC114" s="16"/>
      <c r="AD114" s="16"/>
      <c r="AE114" s="16"/>
      <c r="AF114" s="16"/>
    </row>
    <row r="115" spans="1:32" x14ac:dyDescent="0.2">
      <c r="A115" s="16"/>
      <c r="B115" s="16"/>
      <c r="C115" s="16"/>
      <c r="D115" s="16"/>
      <c r="E115" s="16"/>
      <c r="F115" s="109"/>
      <c r="G115" s="109"/>
      <c r="H115" s="109"/>
      <c r="I115" s="109"/>
      <c r="J115" s="109"/>
      <c r="K115" s="109"/>
      <c r="L115" s="109"/>
      <c r="M115" s="109"/>
      <c r="N115" s="109"/>
      <c r="O115" s="109"/>
      <c r="P115" s="109"/>
      <c r="Q115" s="109"/>
      <c r="R115" s="16"/>
      <c r="S115" s="16"/>
      <c r="T115" s="109"/>
      <c r="U115" s="109"/>
      <c r="V115" s="109"/>
      <c r="W115" s="109"/>
      <c r="X115" s="109"/>
      <c r="Y115" s="109"/>
      <c r="Z115" s="109"/>
      <c r="AA115" s="109"/>
      <c r="AB115" s="109"/>
      <c r="AC115" s="16"/>
      <c r="AD115" s="16"/>
      <c r="AE115" s="16"/>
      <c r="AF115" s="16"/>
    </row>
    <row r="116" spans="1:32" x14ac:dyDescent="0.2">
      <c r="A116" s="16"/>
      <c r="B116" s="16"/>
      <c r="C116" s="16"/>
      <c r="D116" s="16"/>
      <c r="E116" s="16"/>
      <c r="F116" s="109"/>
      <c r="G116" s="109"/>
      <c r="H116" s="109"/>
      <c r="I116" s="109"/>
      <c r="J116" s="109"/>
      <c r="K116" s="109"/>
      <c r="L116" s="109"/>
      <c r="M116" s="109"/>
      <c r="N116" s="109"/>
      <c r="O116" s="109"/>
      <c r="P116" s="109"/>
      <c r="Q116" s="109"/>
      <c r="R116" s="16"/>
      <c r="S116" s="16"/>
      <c r="T116" s="109"/>
      <c r="U116" s="109"/>
      <c r="V116" s="109"/>
      <c r="W116" s="109"/>
      <c r="X116" s="109"/>
      <c r="Y116" s="109"/>
      <c r="Z116" s="109"/>
      <c r="AA116" s="109"/>
      <c r="AB116" s="109"/>
      <c r="AC116" s="16"/>
      <c r="AD116" s="16"/>
      <c r="AE116" s="16"/>
      <c r="AF116" s="16"/>
    </row>
    <row r="117" spans="1:32" x14ac:dyDescent="0.2">
      <c r="A117" s="16"/>
      <c r="B117" s="16"/>
      <c r="C117" s="16"/>
      <c r="D117" s="16"/>
      <c r="E117" s="16"/>
      <c r="F117" s="109"/>
      <c r="G117" s="109"/>
      <c r="H117" s="109"/>
      <c r="I117" s="109"/>
      <c r="J117" s="109"/>
      <c r="K117" s="109"/>
      <c r="L117" s="109"/>
      <c r="M117" s="109"/>
      <c r="N117" s="109"/>
      <c r="O117" s="109"/>
      <c r="P117" s="109"/>
      <c r="Q117" s="109"/>
      <c r="R117" s="16"/>
      <c r="S117" s="16"/>
      <c r="T117" s="109"/>
      <c r="U117" s="109"/>
      <c r="V117" s="109"/>
      <c r="W117" s="109"/>
      <c r="X117" s="109"/>
      <c r="Y117" s="109"/>
      <c r="Z117" s="109"/>
      <c r="AA117" s="109"/>
      <c r="AB117" s="109"/>
      <c r="AC117" s="16"/>
      <c r="AD117" s="16"/>
      <c r="AE117" s="16"/>
      <c r="AF117" s="16"/>
    </row>
    <row r="118" spans="1:32" x14ac:dyDescent="0.2">
      <c r="A118" s="16"/>
      <c r="B118" s="16"/>
      <c r="C118" s="16"/>
      <c r="D118" s="16"/>
      <c r="E118" s="16"/>
      <c r="F118" s="109"/>
      <c r="G118" s="109"/>
      <c r="H118" s="109"/>
      <c r="I118" s="109"/>
      <c r="J118" s="109"/>
      <c r="K118" s="109"/>
      <c r="L118" s="109"/>
      <c r="M118" s="109"/>
      <c r="N118" s="109"/>
      <c r="O118" s="109"/>
      <c r="P118" s="109"/>
      <c r="Q118" s="109"/>
      <c r="R118" s="16"/>
      <c r="S118" s="16"/>
      <c r="T118" s="109"/>
      <c r="U118" s="109"/>
      <c r="V118" s="109"/>
      <c r="W118" s="109"/>
      <c r="X118" s="109"/>
      <c r="Y118" s="109"/>
      <c r="Z118" s="109"/>
      <c r="AA118" s="109"/>
      <c r="AB118" s="109"/>
      <c r="AC118" s="16"/>
      <c r="AD118" s="16"/>
      <c r="AE118" s="16"/>
      <c r="AF118" s="16"/>
    </row>
    <row r="119" spans="1:32" x14ac:dyDescent="0.2">
      <c r="A119" s="16"/>
      <c r="B119" s="16"/>
      <c r="C119" s="16"/>
      <c r="D119" s="16"/>
      <c r="E119" s="16"/>
      <c r="F119" s="109"/>
      <c r="G119" s="109"/>
      <c r="H119" s="109"/>
      <c r="I119" s="109"/>
      <c r="J119" s="109"/>
      <c r="K119" s="109"/>
      <c r="L119" s="109"/>
      <c r="M119" s="109"/>
      <c r="N119" s="109"/>
      <c r="O119" s="109"/>
      <c r="P119" s="109"/>
      <c r="Q119" s="109"/>
      <c r="R119" s="16"/>
      <c r="S119" s="16"/>
      <c r="T119" s="109"/>
      <c r="U119" s="109"/>
      <c r="V119" s="109"/>
      <c r="W119" s="109"/>
      <c r="X119" s="109"/>
      <c r="Y119" s="109"/>
      <c r="Z119" s="109"/>
      <c r="AA119" s="109"/>
      <c r="AB119" s="109"/>
      <c r="AC119" s="16"/>
      <c r="AD119" s="16"/>
      <c r="AE119" s="16"/>
      <c r="AF119" s="16"/>
    </row>
    <row r="120" spans="1:32" x14ac:dyDescent="0.2">
      <c r="A120" s="16"/>
      <c r="B120" s="16"/>
      <c r="C120" s="16"/>
      <c r="D120" s="16"/>
      <c r="E120" s="16"/>
      <c r="F120" s="109"/>
      <c r="G120" s="109"/>
      <c r="H120" s="109"/>
      <c r="I120" s="109"/>
      <c r="J120" s="109"/>
      <c r="K120" s="109"/>
      <c r="L120" s="109"/>
      <c r="M120" s="109"/>
      <c r="N120" s="109"/>
      <c r="O120" s="109"/>
      <c r="P120" s="109"/>
      <c r="Q120" s="109"/>
      <c r="R120" s="16"/>
      <c r="S120" s="16"/>
      <c r="T120" s="109"/>
      <c r="U120" s="109"/>
      <c r="V120" s="109"/>
      <c r="W120" s="109"/>
      <c r="X120" s="109"/>
      <c r="Y120" s="109"/>
      <c r="Z120" s="109"/>
      <c r="AA120" s="109"/>
      <c r="AB120" s="109"/>
      <c r="AC120" s="16"/>
      <c r="AD120" s="16"/>
      <c r="AE120" s="16"/>
      <c r="AF120" s="16"/>
    </row>
    <row r="121" spans="1:32" x14ac:dyDescent="0.2">
      <c r="A121" s="16"/>
      <c r="B121" s="16"/>
      <c r="C121" s="16"/>
      <c r="D121" s="16"/>
      <c r="E121" s="16"/>
      <c r="F121" s="109"/>
      <c r="G121" s="109"/>
      <c r="H121" s="109"/>
      <c r="I121" s="109"/>
      <c r="J121" s="109"/>
      <c r="K121" s="109"/>
      <c r="L121" s="109"/>
      <c r="M121" s="109"/>
      <c r="N121" s="109"/>
      <c r="O121" s="109"/>
      <c r="P121" s="109"/>
      <c r="Q121" s="109"/>
      <c r="R121" s="16"/>
      <c r="S121" s="16"/>
      <c r="T121" s="109"/>
      <c r="U121" s="109"/>
      <c r="V121" s="109"/>
      <c r="W121" s="109"/>
      <c r="X121" s="109"/>
      <c r="Y121" s="109"/>
      <c r="Z121" s="109"/>
      <c r="AA121" s="109"/>
      <c r="AB121" s="109"/>
      <c r="AC121" s="16"/>
      <c r="AD121" s="16"/>
      <c r="AE121" s="16"/>
      <c r="AF121" s="16"/>
    </row>
    <row r="122" spans="1:32" x14ac:dyDescent="0.2">
      <c r="A122" s="16"/>
      <c r="B122" s="16"/>
      <c r="C122" s="16"/>
      <c r="D122" s="16"/>
      <c r="E122" s="16"/>
      <c r="F122" s="109"/>
      <c r="G122" s="109"/>
      <c r="H122" s="109"/>
      <c r="I122" s="109"/>
      <c r="J122" s="109"/>
      <c r="K122" s="109"/>
      <c r="L122" s="109"/>
      <c r="M122" s="109"/>
      <c r="N122" s="109"/>
      <c r="O122" s="109"/>
      <c r="P122" s="109"/>
      <c r="Q122" s="109"/>
      <c r="R122" s="16"/>
      <c r="S122" s="16"/>
      <c r="T122" s="109"/>
      <c r="U122" s="109"/>
      <c r="V122" s="109"/>
      <c r="W122" s="109"/>
      <c r="X122" s="109"/>
      <c r="Y122" s="109"/>
      <c r="Z122" s="109"/>
      <c r="AA122" s="109"/>
      <c r="AB122" s="109"/>
      <c r="AC122" s="16"/>
      <c r="AD122" s="16"/>
      <c r="AE122" s="16"/>
      <c r="AF122" s="16"/>
    </row>
    <row r="123" spans="1:32" x14ac:dyDescent="0.2">
      <c r="A123" s="16"/>
      <c r="B123" s="16"/>
      <c r="C123" s="16"/>
      <c r="D123" s="16"/>
      <c r="E123" s="16"/>
      <c r="F123" s="109"/>
      <c r="G123" s="109"/>
      <c r="H123" s="109"/>
      <c r="I123" s="109"/>
      <c r="J123" s="109"/>
      <c r="K123" s="109"/>
      <c r="L123" s="109"/>
      <c r="M123" s="109"/>
      <c r="N123" s="109"/>
      <c r="O123" s="109"/>
      <c r="P123" s="109"/>
      <c r="Q123" s="109"/>
      <c r="R123" s="16"/>
      <c r="S123" s="16"/>
      <c r="T123" s="109"/>
      <c r="U123" s="109"/>
      <c r="V123" s="109"/>
      <c r="W123" s="109"/>
      <c r="X123" s="109"/>
      <c r="Y123" s="109"/>
      <c r="Z123" s="109"/>
      <c r="AA123" s="109"/>
      <c r="AB123" s="109"/>
      <c r="AC123" s="16"/>
      <c r="AD123" s="16"/>
      <c r="AE123" s="16"/>
      <c r="AF123" s="16"/>
    </row>
    <row r="124" spans="1:32" x14ac:dyDescent="0.2">
      <c r="A124" s="16"/>
      <c r="B124" s="16"/>
      <c r="C124" s="16"/>
      <c r="D124" s="16"/>
      <c r="E124" s="16"/>
      <c r="F124" s="109"/>
      <c r="G124" s="109"/>
      <c r="H124" s="109"/>
      <c r="I124" s="109"/>
      <c r="J124" s="109"/>
      <c r="K124" s="109"/>
      <c r="L124" s="109"/>
      <c r="M124" s="109"/>
      <c r="N124" s="109"/>
      <c r="O124" s="109"/>
      <c r="P124" s="109"/>
      <c r="Q124" s="109"/>
      <c r="R124" s="16"/>
      <c r="S124" s="16"/>
      <c r="T124" s="109"/>
      <c r="U124" s="109"/>
      <c r="V124" s="109"/>
      <c r="W124" s="109"/>
      <c r="X124" s="109"/>
      <c r="Y124" s="109"/>
      <c r="Z124" s="109"/>
      <c r="AA124" s="109"/>
      <c r="AB124" s="109"/>
      <c r="AC124" s="16"/>
      <c r="AD124" s="16"/>
      <c r="AE124" s="16"/>
      <c r="AF124" s="16"/>
    </row>
    <row r="125" spans="1:32" x14ac:dyDescent="0.2">
      <c r="A125" s="16"/>
      <c r="B125" s="16"/>
      <c r="C125" s="16"/>
      <c r="D125" s="16"/>
      <c r="E125" s="16"/>
      <c r="F125" s="109"/>
      <c r="G125" s="109"/>
      <c r="H125" s="109"/>
      <c r="I125" s="109"/>
      <c r="J125" s="109"/>
      <c r="K125" s="109"/>
      <c r="L125" s="109"/>
      <c r="M125" s="109"/>
      <c r="N125" s="109"/>
      <c r="O125" s="109"/>
      <c r="P125" s="109"/>
      <c r="Q125" s="109"/>
      <c r="R125" s="16"/>
      <c r="S125" s="16"/>
      <c r="T125" s="109"/>
      <c r="U125" s="109"/>
      <c r="V125" s="109"/>
      <c r="W125" s="109"/>
      <c r="X125" s="109"/>
      <c r="Y125" s="109"/>
      <c r="Z125" s="109"/>
      <c r="AA125" s="109"/>
      <c r="AB125" s="109"/>
      <c r="AC125" s="16"/>
      <c r="AD125" s="16"/>
      <c r="AE125" s="16"/>
      <c r="AF125" s="16"/>
    </row>
    <row r="126" spans="1:32" x14ac:dyDescent="0.2">
      <c r="A126" s="16"/>
      <c r="B126" s="16"/>
      <c r="C126" s="16"/>
      <c r="D126" s="16"/>
      <c r="E126" s="16"/>
      <c r="F126" s="109"/>
      <c r="G126" s="109"/>
      <c r="H126" s="109"/>
      <c r="I126" s="109"/>
      <c r="J126" s="109"/>
      <c r="K126" s="109"/>
      <c r="L126" s="109"/>
      <c r="M126" s="109"/>
      <c r="N126" s="109"/>
      <c r="O126" s="109"/>
      <c r="P126" s="109"/>
      <c r="Q126" s="109"/>
      <c r="R126" s="16"/>
      <c r="S126" s="16"/>
      <c r="T126" s="109"/>
      <c r="U126" s="109"/>
      <c r="V126" s="109"/>
      <c r="W126" s="109"/>
      <c r="X126" s="109"/>
      <c r="Y126" s="109"/>
      <c r="Z126" s="109"/>
      <c r="AA126" s="109"/>
      <c r="AB126" s="109"/>
      <c r="AC126" s="16"/>
      <c r="AD126" s="16"/>
      <c r="AE126" s="16"/>
      <c r="AF126" s="16"/>
    </row>
    <row r="127" spans="1:32" x14ac:dyDescent="0.2">
      <c r="A127" s="16"/>
      <c r="B127" s="16"/>
      <c r="C127" s="16"/>
      <c r="D127" s="16"/>
      <c r="E127" s="16"/>
      <c r="F127" s="109"/>
      <c r="G127" s="109"/>
      <c r="H127" s="109"/>
      <c r="I127" s="109"/>
      <c r="J127" s="109"/>
      <c r="K127" s="109"/>
      <c r="L127" s="109"/>
      <c r="M127" s="109"/>
      <c r="N127" s="109"/>
      <c r="O127" s="109"/>
      <c r="P127" s="109"/>
      <c r="Q127" s="109"/>
      <c r="R127" s="16"/>
      <c r="S127" s="16"/>
      <c r="T127" s="109"/>
      <c r="U127" s="109"/>
      <c r="V127" s="109"/>
      <c r="W127" s="109"/>
      <c r="X127" s="109"/>
      <c r="Y127" s="109"/>
      <c r="Z127" s="109"/>
      <c r="AA127" s="109"/>
      <c r="AB127" s="109"/>
      <c r="AC127" s="16"/>
      <c r="AD127" s="16"/>
      <c r="AE127" s="16"/>
      <c r="AF127" s="16"/>
    </row>
    <row r="128" spans="1:32" x14ac:dyDescent="0.2">
      <c r="A128" s="16"/>
      <c r="B128" s="16"/>
      <c r="C128" s="16"/>
      <c r="D128" s="16"/>
      <c r="E128" s="16"/>
      <c r="F128" s="109"/>
      <c r="G128" s="109"/>
      <c r="H128" s="109"/>
      <c r="I128" s="109"/>
      <c r="J128" s="109"/>
      <c r="K128" s="109"/>
      <c r="L128" s="109"/>
      <c r="M128" s="109"/>
      <c r="N128" s="109"/>
      <c r="O128" s="109"/>
      <c r="P128" s="109"/>
      <c r="Q128" s="109"/>
      <c r="R128" s="16"/>
      <c r="S128" s="16"/>
      <c r="T128" s="109"/>
      <c r="U128" s="109"/>
      <c r="V128" s="109"/>
      <c r="W128" s="109"/>
      <c r="X128" s="109"/>
      <c r="Y128" s="109"/>
      <c r="Z128" s="109"/>
      <c r="AA128" s="109"/>
      <c r="AB128" s="109"/>
      <c r="AC128" s="16"/>
      <c r="AD128" s="16"/>
      <c r="AE128" s="16"/>
      <c r="AF128" s="16"/>
    </row>
    <row r="129" spans="1:32" x14ac:dyDescent="0.2">
      <c r="A129" s="16"/>
      <c r="B129" s="16"/>
      <c r="C129" s="16"/>
      <c r="D129" s="16"/>
      <c r="E129" s="16"/>
      <c r="F129" s="109"/>
      <c r="G129" s="109"/>
      <c r="H129" s="109"/>
      <c r="I129" s="109"/>
      <c r="J129" s="109"/>
      <c r="K129" s="109"/>
      <c r="L129" s="109"/>
      <c r="M129" s="109"/>
      <c r="N129" s="109"/>
      <c r="O129" s="109"/>
      <c r="P129" s="109"/>
      <c r="Q129" s="109"/>
      <c r="R129" s="16"/>
      <c r="S129" s="16"/>
      <c r="T129" s="109"/>
      <c r="U129" s="109"/>
      <c r="V129" s="109"/>
      <c r="W129" s="109"/>
      <c r="X129" s="109"/>
      <c r="Y129" s="109"/>
      <c r="Z129" s="109"/>
      <c r="AA129" s="109"/>
      <c r="AB129" s="109"/>
      <c r="AC129" s="16"/>
      <c r="AD129" s="16"/>
      <c r="AE129" s="16"/>
      <c r="AF129" s="16"/>
    </row>
    <row r="130" spans="1:32" x14ac:dyDescent="0.2">
      <c r="A130" s="16"/>
      <c r="B130" s="16"/>
      <c r="C130" s="16"/>
      <c r="D130" s="16"/>
      <c r="E130" s="16"/>
      <c r="F130" s="109"/>
      <c r="G130" s="109"/>
      <c r="H130" s="109"/>
      <c r="I130" s="109"/>
      <c r="J130" s="109"/>
      <c r="K130" s="109"/>
      <c r="L130" s="109"/>
      <c r="M130" s="109"/>
      <c r="N130" s="109"/>
      <c r="O130" s="109"/>
      <c r="P130" s="109"/>
      <c r="Q130" s="109"/>
      <c r="R130" s="16"/>
      <c r="S130" s="16"/>
      <c r="T130" s="109"/>
      <c r="U130" s="109"/>
      <c r="V130" s="109"/>
      <c r="W130" s="109"/>
      <c r="X130" s="109"/>
      <c r="Y130" s="109"/>
      <c r="Z130" s="109"/>
      <c r="AA130" s="109"/>
      <c r="AB130" s="109"/>
      <c r="AC130" s="16"/>
      <c r="AD130" s="16"/>
      <c r="AE130" s="16"/>
      <c r="AF130" s="16"/>
    </row>
    <row r="131" spans="1:32" x14ac:dyDescent="0.2">
      <c r="A131" s="16"/>
      <c r="B131" s="16"/>
      <c r="C131" s="16"/>
      <c r="D131" s="16"/>
      <c r="E131" s="16"/>
      <c r="F131" s="109"/>
      <c r="G131" s="109"/>
      <c r="H131" s="109"/>
      <c r="I131" s="109"/>
      <c r="J131" s="109"/>
      <c r="K131" s="109"/>
      <c r="L131" s="109"/>
      <c r="M131" s="109"/>
      <c r="N131" s="109"/>
      <c r="O131" s="109"/>
      <c r="P131" s="109"/>
      <c r="Q131" s="109"/>
      <c r="R131" s="16"/>
      <c r="S131" s="16"/>
      <c r="T131" s="109"/>
      <c r="U131" s="109"/>
      <c r="V131" s="109"/>
      <c r="W131" s="109"/>
      <c r="X131" s="109"/>
      <c r="Y131" s="109"/>
      <c r="Z131" s="109"/>
      <c r="AA131" s="109"/>
      <c r="AB131" s="109"/>
      <c r="AC131" s="16"/>
      <c r="AD131" s="16"/>
      <c r="AE131" s="16"/>
      <c r="AF131" s="16"/>
    </row>
    <row r="132" spans="1:32" x14ac:dyDescent="0.2">
      <c r="A132" s="16"/>
      <c r="B132" s="16"/>
      <c r="C132" s="16"/>
      <c r="D132" s="16"/>
      <c r="E132" s="16"/>
      <c r="F132" s="109"/>
      <c r="G132" s="109"/>
      <c r="H132" s="109"/>
      <c r="I132" s="109"/>
      <c r="J132" s="109"/>
      <c r="K132" s="109"/>
      <c r="L132" s="109"/>
      <c r="M132" s="109"/>
      <c r="N132" s="109"/>
      <c r="O132" s="109"/>
      <c r="P132" s="109"/>
      <c r="Q132" s="109"/>
      <c r="R132" s="16"/>
      <c r="S132" s="16"/>
      <c r="T132" s="109"/>
      <c r="U132" s="109"/>
      <c r="V132" s="109"/>
      <c r="W132" s="109"/>
      <c r="X132" s="109"/>
      <c r="Y132" s="109"/>
      <c r="Z132" s="109"/>
      <c r="AA132" s="109"/>
      <c r="AB132" s="109"/>
      <c r="AC132" s="16"/>
      <c r="AD132" s="16"/>
      <c r="AE132" s="16"/>
      <c r="AF132" s="16"/>
    </row>
    <row r="133" spans="1:32" x14ac:dyDescent="0.2">
      <c r="A133" s="16"/>
      <c r="B133" s="16"/>
      <c r="C133" s="16"/>
      <c r="D133" s="16"/>
      <c r="E133" s="16"/>
      <c r="F133" s="109"/>
      <c r="G133" s="109"/>
      <c r="H133" s="109"/>
      <c r="I133" s="109"/>
      <c r="J133" s="109"/>
      <c r="K133" s="109"/>
      <c r="L133" s="109"/>
      <c r="M133" s="109"/>
      <c r="N133" s="109"/>
      <c r="O133" s="109"/>
      <c r="P133" s="109"/>
      <c r="Q133" s="109"/>
      <c r="R133" s="16"/>
      <c r="S133" s="16"/>
      <c r="T133" s="109"/>
      <c r="U133" s="109"/>
      <c r="V133" s="109"/>
      <c r="W133" s="109"/>
      <c r="X133" s="109"/>
      <c r="Y133" s="109"/>
      <c r="Z133" s="109"/>
      <c r="AA133" s="109"/>
      <c r="AB133" s="109"/>
      <c r="AC133" s="16"/>
      <c r="AD133" s="16"/>
      <c r="AE133" s="16"/>
      <c r="AF133" s="16"/>
    </row>
    <row r="134" spans="1:32" x14ac:dyDescent="0.2">
      <c r="A134" s="16"/>
      <c r="B134" s="16"/>
      <c r="C134" s="16"/>
      <c r="D134" s="16"/>
      <c r="E134" s="16"/>
      <c r="F134" s="109"/>
      <c r="G134" s="109"/>
      <c r="H134" s="109"/>
      <c r="I134" s="109"/>
      <c r="J134" s="109"/>
      <c r="K134" s="109"/>
      <c r="L134" s="109"/>
      <c r="M134" s="109"/>
      <c r="N134" s="109"/>
      <c r="O134" s="109"/>
      <c r="P134" s="109"/>
      <c r="Q134" s="109"/>
      <c r="R134" s="16"/>
      <c r="S134" s="16"/>
      <c r="T134" s="109"/>
      <c r="U134" s="109"/>
      <c r="V134" s="109"/>
      <c r="W134" s="109"/>
      <c r="X134" s="109"/>
      <c r="Y134" s="109"/>
      <c r="Z134" s="109"/>
      <c r="AA134" s="109"/>
      <c r="AB134" s="109"/>
      <c r="AC134" s="16"/>
      <c r="AD134" s="16"/>
      <c r="AE134" s="16"/>
      <c r="AF134" s="16"/>
    </row>
    <row r="135" spans="1:32" x14ac:dyDescent="0.2">
      <c r="A135" s="16"/>
      <c r="B135" s="16"/>
      <c r="C135" s="16"/>
      <c r="D135" s="16"/>
      <c r="E135" s="16"/>
      <c r="F135" s="109"/>
      <c r="G135" s="109"/>
      <c r="H135" s="109"/>
      <c r="I135" s="109"/>
      <c r="J135" s="109"/>
      <c r="K135" s="109"/>
      <c r="L135" s="109"/>
      <c r="M135" s="109"/>
      <c r="N135" s="109"/>
      <c r="O135" s="109"/>
      <c r="P135" s="109"/>
      <c r="Q135" s="109"/>
      <c r="R135" s="16"/>
      <c r="S135" s="16"/>
      <c r="T135" s="109"/>
      <c r="U135" s="109"/>
      <c r="V135" s="109"/>
      <c r="W135" s="109"/>
      <c r="X135" s="109"/>
      <c r="Y135" s="109"/>
      <c r="Z135" s="109"/>
      <c r="AA135" s="109"/>
      <c r="AB135" s="109"/>
      <c r="AC135" s="16"/>
      <c r="AD135" s="16"/>
      <c r="AE135" s="16"/>
      <c r="AF135" s="16"/>
    </row>
    <row r="136" spans="1:32" x14ac:dyDescent="0.2">
      <c r="A136" s="16"/>
      <c r="B136" s="16"/>
      <c r="C136" s="16"/>
      <c r="D136" s="16"/>
      <c r="E136" s="16"/>
      <c r="F136" s="109"/>
      <c r="G136" s="109"/>
      <c r="H136" s="109"/>
      <c r="I136" s="109"/>
      <c r="J136" s="109"/>
      <c r="K136" s="109"/>
      <c r="L136" s="109"/>
      <c r="M136" s="109"/>
      <c r="N136" s="109"/>
      <c r="O136" s="109"/>
      <c r="P136" s="109"/>
      <c r="Q136" s="109"/>
      <c r="R136" s="16"/>
      <c r="S136" s="16"/>
      <c r="T136" s="109"/>
      <c r="U136" s="109"/>
      <c r="V136" s="109"/>
      <c r="W136" s="109"/>
      <c r="X136" s="109"/>
      <c r="Y136" s="109"/>
      <c r="Z136" s="109"/>
      <c r="AA136" s="109"/>
      <c r="AB136" s="109"/>
      <c r="AC136" s="16"/>
      <c r="AD136" s="16"/>
      <c r="AE136" s="16"/>
      <c r="AF136" s="16"/>
    </row>
    <row r="137" spans="1:32" x14ac:dyDescent="0.2">
      <c r="A137" s="16"/>
      <c r="B137" s="16"/>
      <c r="C137" s="16"/>
      <c r="D137" s="16"/>
      <c r="E137" s="16"/>
      <c r="F137" s="109"/>
      <c r="G137" s="109"/>
      <c r="H137" s="109"/>
      <c r="I137" s="109"/>
      <c r="J137" s="109"/>
      <c r="K137" s="109"/>
      <c r="L137" s="109"/>
      <c r="M137" s="109"/>
      <c r="N137" s="109"/>
      <c r="O137" s="109"/>
      <c r="P137" s="109"/>
      <c r="Q137" s="109"/>
      <c r="R137" s="16"/>
      <c r="S137" s="16"/>
      <c r="T137" s="109"/>
      <c r="U137" s="109"/>
      <c r="V137" s="109"/>
      <c r="W137" s="109"/>
      <c r="X137" s="109"/>
      <c r="Y137" s="109"/>
      <c r="Z137" s="109"/>
      <c r="AA137" s="109"/>
      <c r="AB137" s="109"/>
      <c r="AC137" s="16"/>
      <c r="AD137" s="16"/>
      <c r="AE137" s="16"/>
      <c r="AF137" s="16"/>
    </row>
    <row r="138" spans="1:32" x14ac:dyDescent="0.2">
      <c r="A138" s="16"/>
      <c r="B138" s="16"/>
      <c r="C138" s="16"/>
      <c r="D138" s="16"/>
      <c r="E138" s="16"/>
      <c r="F138" s="109"/>
      <c r="G138" s="109"/>
      <c r="H138" s="109"/>
      <c r="I138" s="109"/>
      <c r="J138" s="109"/>
      <c r="K138" s="109"/>
      <c r="L138" s="109"/>
      <c r="M138" s="109"/>
      <c r="N138" s="109"/>
      <c r="O138" s="109"/>
      <c r="P138" s="109"/>
      <c r="Q138" s="109"/>
      <c r="R138" s="16"/>
      <c r="S138" s="16"/>
      <c r="T138" s="109"/>
      <c r="U138" s="109"/>
      <c r="V138" s="109"/>
      <c r="W138" s="109"/>
      <c r="X138" s="109"/>
      <c r="Y138" s="109"/>
      <c r="Z138" s="109"/>
      <c r="AA138" s="109"/>
      <c r="AB138" s="109"/>
      <c r="AC138" s="16"/>
      <c r="AD138" s="16"/>
      <c r="AE138" s="16"/>
      <c r="AF138" s="16"/>
    </row>
    <row r="139" spans="1:32" x14ac:dyDescent="0.2">
      <c r="A139" s="16"/>
      <c r="B139" s="16"/>
      <c r="C139" s="16"/>
      <c r="D139" s="16"/>
      <c r="E139" s="16"/>
      <c r="F139" s="109"/>
      <c r="G139" s="109"/>
      <c r="H139" s="109"/>
      <c r="I139" s="109"/>
      <c r="J139" s="109"/>
      <c r="K139" s="109"/>
      <c r="L139" s="109"/>
      <c r="M139" s="109"/>
      <c r="N139" s="109"/>
      <c r="O139" s="109"/>
      <c r="P139" s="109"/>
      <c r="Q139" s="109"/>
      <c r="R139" s="16"/>
      <c r="S139" s="16"/>
      <c r="T139" s="109"/>
      <c r="U139" s="109"/>
      <c r="V139" s="109"/>
      <c r="W139" s="109"/>
      <c r="X139" s="109"/>
      <c r="Y139" s="109"/>
      <c r="Z139" s="109"/>
      <c r="AA139" s="109"/>
      <c r="AB139" s="109"/>
      <c r="AC139" s="16"/>
      <c r="AD139" s="16"/>
      <c r="AE139" s="16"/>
      <c r="AF139" s="16"/>
    </row>
    <row r="140" spans="1:32" x14ac:dyDescent="0.2">
      <c r="A140" s="16"/>
      <c r="B140" s="16"/>
      <c r="C140" s="16"/>
      <c r="D140" s="16"/>
      <c r="E140" s="16"/>
      <c r="F140" s="109"/>
      <c r="G140" s="109"/>
      <c r="H140" s="109"/>
      <c r="I140" s="109"/>
      <c r="J140" s="109"/>
      <c r="K140" s="109"/>
      <c r="L140" s="109"/>
      <c r="M140" s="109"/>
      <c r="N140" s="109"/>
      <c r="O140" s="109"/>
      <c r="P140" s="109"/>
      <c r="Q140" s="109"/>
      <c r="R140" s="16"/>
      <c r="S140" s="16"/>
      <c r="T140" s="109"/>
      <c r="U140" s="109"/>
      <c r="V140" s="109"/>
      <c r="W140" s="109"/>
      <c r="X140" s="109"/>
      <c r="Y140" s="109"/>
      <c r="Z140" s="109"/>
      <c r="AA140" s="109"/>
      <c r="AB140" s="109"/>
      <c r="AC140" s="16"/>
      <c r="AD140" s="16"/>
      <c r="AE140" s="16"/>
      <c r="AF140" s="16"/>
    </row>
    <row r="141" spans="1:32" x14ac:dyDescent="0.2">
      <c r="A141" s="16"/>
      <c r="B141" s="16"/>
      <c r="C141" s="16"/>
      <c r="D141" s="16"/>
      <c r="E141" s="16"/>
      <c r="F141" s="109"/>
      <c r="G141" s="109"/>
      <c r="H141" s="109"/>
      <c r="I141" s="109"/>
      <c r="J141" s="109"/>
      <c r="K141" s="109"/>
      <c r="L141" s="109"/>
      <c r="M141" s="109"/>
      <c r="N141" s="109"/>
      <c r="O141" s="109"/>
      <c r="P141" s="109"/>
      <c r="Q141" s="109"/>
      <c r="R141" s="16"/>
      <c r="S141" s="16"/>
      <c r="T141" s="109"/>
      <c r="U141" s="109"/>
      <c r="V141" s="109"/>
      <c r="W141" s="109"/>
      <c r="X141" s="109"/>
      <c r="Y141" s="109"/>
      <c r="Z141" s="109"/>
      <c r="AA141" s="109"/>
      <c r="AB141" s="109"/>
      <c r="AC141" s="16"/>
      <c r="AD141" s="16"/>
      <c r="AE141" s="16"/>
      <c r="AF141" s="16"/>
    </row>
    <row r="142" spans="1:32" x14ac:dyDescent="0.2">
      <c r="A142" s="16"/>
      <c r="B142" s="16"/>
      <c r="C142" s="16"/>
      <c r="D142" s="16"/>
      <c r="E142" s="16"/>
      <c r="F142" s="109"/>
      <c r="G142" s="109"/>
      <c r="H142" s="109"/>
      <c r="I142" s="109"/>
      <c r="J142" s="109"/>
      <c r="K142" s="109"/>
      <c r="L142" s="109"/>
      <c r="M142" s="109"/>
      <c r="N142" s="109"/>
      <c r="O142" s="109"/>
      <c r="P142" s="109"/>
      <c r="Q142" s="109"/>
      <c r="R142" s="16"/>
      <c r="S142" s="16"/>
      <c r="T142" s="109"/>
      <c r="U142" s="109"/>
      <c r="V142" s="109"/>
      <c r="W142" s="109"/>
      <c r="X142" s="109"/>
      <c r="Y142" s="109"/>
      <c r="Z142" s="109"/>
      <c r="AA142" s="109"/>
      <c r="AB142" s="109"/>
      <c r="AC142" s="16"/>
      <c r="AD142" s="16"/>
      <c r="AE142" s="16"/>
      <c r="AF142" s="16"/>
    </row>
    <row r="143" spans="1:32" x14ac:dyDescent="0.2">
      <c r="A143" s="16"/>
      <c r="B143" s="16"/>
      <c r="C143" s="16"/>
      <c r="D143" s="16"/>
      <c r="E143" s="16"/>
      <c r="F143" s="109"/>
      <c r="G143" s="109"/>
      <c r="H143" s="109"/>
      <c r="I143" s="109"/>
      <c r="J143" s="109"/>
      <c r="K143" s="109"/>
      <c r="L143" s="109"/>
      <c r="M143" s="109"/>
      <c r="N143" s="109"/>
      <c r="O143" s="109"/>
      <c r="P143" s="109"/>
      <c r="Q143" s="109"/>
      <c r="R143" s="16"/>
      <c r="S143" s="16"/>
      <c r="T143" s="109"/>
      <c r="U143" s="109"/>
      <c r="V143" s="109"/>
      <c r="W143" s="109"/>
      <c r="X143" s="109"/>
      <c r="Y143" s="109"/>
      <c r="Z143" s="109"/>
      <c r="AA143" s="109"/>
      <c r="AB143" s="109"/>
      <c r="AC143" s="16"/>
      <c r="AD143" s="16"/>
      <c r="AE143" s="16"/>
      <c r="AF143" s="16"/>
    </row>
    <row r="144" spans="1:32" x14ac:dyDescent="0.2">
      <c r="A144" s="16"/>
      <c r="B144" s="16"/>
      <c r="C144" s="16"/>
      <c r="D144" s="16"/>
      <c r="E144" s="16"/>
      <c r="F144" s="109"/>
      <c r="G144" s="109"/>
      <c r="H144" s="109"/>
      <c r="I144" s="109"/>
      <c r="J144" s="109"/>
      <c r="K144" s="109"/>
      <c r="L144" s="109"/>
      <c r="M144" s="109"/>
      <c r="N144" s="109"/>
      <c r="O144" s="109"/>
      <c r="P144" s="109"/>
      <c r="Q144" s="109"/>
      <c r="R144" s="16"/>
      <c r="S144" s="16"/>
      <c r="T144" s="109"/>
      <c r="U144" s="109"/>
      <c r="V144" s="109"/>
      <c r="W144" s="109"/>
      <c r="X144" s="109"/>
      <c r="Y144" s="109"/>
      <c r="Z144" s="109"/>
      <c r="AA144" s="109"/>
      <c r="AB144" s="109"/>
      <c r="AC144" s="16"/>
      <c r="AD144" s="16"/>
      <c r="AE144" s="16"/>
      <c r="AF144" s="16"/>
    </row>
    <row r="145" spans="1:32" x14ac:dyDescent="0.2">
      <c r="A145" s="16"/>
      <c r="B145" s="16"/>
      <c r="C145" s="16"/>
      <c r="D145" s="16"/>
      <c r="E145" s="16"/>
      <c r="F145" s="109"/>
      <c r="G145" s="109"/>
      <c r="H145" s="109"/>
      <c r="I145" s="109"/>
      <c r="J145" s="109"/>
      <c r="K145" s="109"/>
      <c r="L145" s="109"/>
      <c r="M145" s="109"/>
      <c r="N145" s="109"/>
      <c r="O145" s="109"/>
      <c r="P145" s="109"/>
      <c r="Q145" s="109"/>
      <c r="R145" s="16"/>
      <c r="S145" s="16"/>
      <c r="T145" s="109"/>
      <c r="U145" s="109"/>
      <c r="V145" s="109"/>
      <c r="W145" s="109"/>
      <c r="X145" s="109"/>
      <c r="Y145" s="109"/>
      <c r="Z145" s="109"/>
      <c r="AA145" s="109"/>
      <c r="AB145" s="109"/>
      <c r="AC145" s="16"/>
      <c r="AD145" s="16"/>
      <c r="AE145" s="16"/>
      <c r="AF145" s="16"/>
    </row>
    <row r="146" spans="1:32" x14ac:dyDescent="0.2">
      <c r="A146" s="16"/>
      <c r="B146" s="16"/>
      <c r="C146" s="16"/>
      <c r="D146" s="16"/>
      <c r="E146" s="16"/>
      <c r="F146" s="109"/>
      <c r="G146" s="109"/>
      <c r="H146" s="109"/>
      <c r="I146" s="109"/>
      <c r="J146" s="109"/>
      <c r="K146" s="109"/>
      <c r="L146" s="109"/>
      <c r="M146" s="109"/>
      <c r="N146" s="109"/>
      <c r="O146" s="109"/>
      <c r="P146" s="109"/>
      <c r="Q146" s="109"/>
      <c r="R146" s="16"/>
      <c r="S146" s="16"/>
      <c r="T146" s="109"/>
      <c r="U146" s="109"/>
      <c r="V146" s="109"/>
      <c r="W146" s="109"/>
      <c r="X146" s="109"/>
      <c r="Y146" s="109"/>
      <c r="Z146" s="109"/>
      <c r="AA146" s="109"/>
      <c r="AB146" s="109"/>
      <c r="AC146" s="16"/>
      <c r="AD146" s="16"/>
      <c r="AE146" s="16"/>
      <c r="AF146" s="16"/>
    </row>
    <row r="147" spans="1:32" x14ac:dyDescent="0.2">
      <c r="A147" s="16"/>
      <c r="B147" s="16"/>
      <c r="C147" s="16"/>
      <c r="D147" s="16"/>
      <c r="E147" s="16"/>
      <c r="F147" s="109"/>
      <c r="G147" s="109"/>
      <c r="H147" s="109"/>
      <c r="I147" s="109"/>
      <c r="J147" s="109"/>
      <c r="K147" s="109"/>
      <c r="L147" s="109"/>
      <c r="M147" s="109"/>
      <c r="N147" s="109"/>
      <c r="O147" s="109"/>
      <c r="P147" s="109"/>
      <c r="Q147" s="109"/>
      <c r="R147" s="16"/>
      <c r="S147" s="16"/>
      <c r="T147" s="109"/>
      <c r="U147" s="109"/>
      <c r="V147" s="109"/>
      <c r="W147" s="109"/>
      <c r="X147" s="109"/>
      <c r="Y147" s="109"/>
      <c r="Z147" s="109"/>
      <c r="AA147" s="109"/>
      <c r="AB147" s="109"/>
      <c r="AC147" s="16"/>
      <c r="AD147" s="16"/>
      <c r="AE147" s="16"/>
      <c r="AF147" s="16"/>
    </row>
    <row r="148" spans="1:32" x14ac:dyDescent="0.2">
      <c r="A148" s="16"/>
      <c r="B148" s="16"/>
      <c r="C148" s="16"/>
      <c r="D148" s="16"/>
      <c r="E148" s="16"/>
      <c r="F148" s="109"/>
      <c r="G148" s="109"/>
      <c r="H148" s="109"/>
      <c r="I148" s="109"/>
      <c r="J148" s="109"/>
      <c r="K148" s="109"/>
      <c r="L148" s="109"/>
      <c r="M148" s="109"/>
      <c r="N148" s="109"/>
      <c r="O148" s="109"/>
      <c r="P148" s="109"/>
      <c r="Q148" s="109"/>
      <c r="R148" s="16"/>
      <c r="S148" s="16"/>
      <c r="T148" s="109"/>
      <c r="U148" s="109"/>
      <c r="V148" s="109"/>
      <c r="W148" s="109"/>
      <c r="X148" s="109"/>
      <c r="Y148" s="109"/>
      <c r="Z148" s="109"/>
      <c r="AA148" s="109"/>
      <c r="AB148" s="109"/>
      <c r="AC148" s="16"/>
      <c r="AD148" s="16"/>
      <c r="AE148" s="16"/>
      <c r="AF148" s="16"/>
    </row>
    <row r="149" spans="1:32" x14ac:dyDescent="0.2">
      <c r="A149" s="16"/>
      <c r="B149" s="16"/>
      <c r="C149" s="16"/>
      <c r="D149" s="16"/>
      <c r="E149" s="16"/>
      <c r="F149" s="109"/>
      <c r="G149" s="109"/>
      <c r="H149" s="109"/>
      <c r="I149" s="109"/>
      <c r="J149" s="109"/>
      <c r="K149" s="109"/>
      <c r="L149" s="109"/>
      <c r="M149" s="109"/>
      <c r="N149" s="109"/>
      <c r="O149" s="109"/>
      <c r="P149" s="109"/>
      <c r="Q149" s="109"/>
      <c r="R149" s="16"/>
      <c r="S149" s="16"/>
      <c r="T149" s="109"/>
      <c r="U149" s="109"/>
      <c r="V149" s="109"/>
      <c r="W149" s="109"/>
      <c r="X149" s="109"/>
      <c r="Y149" s="109"/>
      <c r="Z149" s="109"/>
      <c r="AA149" s="109"/>
      <c r="AB149" s="109"/>
      <c r="AC149" s="16"/>
      <c r="AD149" s="16"/>
      <c r="AE149" s="16"/>
      <c r="AF149" s="16"/>
    </row>
    <row r="150" spans="1:32" x14ac:dyDescent="0.2">
      <c r="A150" s="16"/>
      <c r="B150" s="16"/>
      <c r="C150" s="16"/>
      <c r="D150" s="16"/>
      <c r="E150" s="16"/>
      <c r="F150" s="109"/>
      <c r="G150" s="109"/>
      <c r="H150" s="109"/>
      <c r="I150" s="109"/>
      <c r="J150" s="109"/>
      <c r="K150" s="109"/>
      <c r="L150" s="109"/>
      <c r="M150" s="109"/>
      <c r="N150" s="109"/>
      <c r="O150" s="109"/>
      <c r="P150" s="109"/>
      <c r="Q150" s="109"/>
      <c r="R150" s="16"/>
      <c r="S150" s="16"/>
      <c r="T150" s="109"/>
      <c r="U150" s="109"/>
      <c r="V150" s="109"/>
      <c r="W150" s="109"/>
      <c r="X150" s="109"/>
      <c r="Y150" s="109"/>
      <c r="Z150" s="109"/>
      <c r="AA150" s="109"/>
      <c r="AB150" s="109"/>
      <c r="AC150" s="16"/>
      <c r="AD150" s="16"/>
      <c r="AE150" s="16"/>
      <c r="AF150" s="16"/>
    </row>
    <row r="151" spans="1:32" x14ac:dyDescent="0.2">
      <c r="A151" s="16"/>
      <c r="B151" s="16"/>
      <c r="C151" s="16"/>
      <c r="D151" s="16"/>
      <c r="E151" s="16"/>
      <c r="F151" s="109"/>
      <c r="G151" s="109"/>
      <c r="H151" s="109"/>
      <c r="I151" s="109"/>
      <c r="J151" s="109"/>
      <c r="K151" s="109"/>
      <c r="L151" s="109"/>
      <c r="M151" s="109"/>
      <c r="N151" s="109"/>
      <c r="O151" s="109"/>
      <c r="P151" s="109"/>
      <c r="Q151" s="109"/>
      <c r="R151" s="16"/>
      <c r="S151" s="16"/>
      <c r="T151" s="109"/>
      <c r="U151" s="109"/>
      <c r="V151" s="109"/>
      <c r="W151" s="109"/>
      <c r="X151" s="109"/>
      <c r="Y151" s="109"/>
      <c r="Z151" s="109"/>
      <c r="AA151" s="109"/>
      <c r="AB151" s="109"/>
      <c r="AC151" s="16"/>
      <c r="AD151" s="16"/>
      <c r="AE151" s="16"/>
      <c r="AF151" s="16"/>
    </row>
    <row r="152" spans="1:32" x14ac:dyDescent="0.2">
      <c r="A152" s="16"/>
      <c r="B152" s="16"/>
      <c r="C152" s="16"/>
      <c r="D152" s="16"/>
      <c r="E152" s="16"/>
      <c r="F152" s="109"/>
      <c r="G152" s="109"/>
      <c r="H152" s="109"/>
      <c r="I152" s="109"/>
      <c r="J152" s="109"/>
      <c r="K152" s="109"/>
      <c r="L152" s="109"/>
      <c r="M152" s="109"/>
      <c r="N152" s="109"/>
      <c r="O152" s="109"/>
      <c r="P152" s="109"/>
      <c r="Q152" s="109"/>
      <c r="R152" s="16"/>
      <c r="S152" s="16"/>
      <c r="T152" s="109"/>
      <c r="U152" s="109"/>
      <c r="V152" s="109"/>
      <c r="W152" s="109"/>
      <c r="X152" s="109"/>
      <c r="Y152" s="109"/>
      <c r="Z152" s="109"/>
      <c r="AA152" s="109"/>
      <c r="AB152" s="109"/>
      <c r="AC152" s="16"/>
      <c r="AD152" s="16"/>
      <c r="AE152" s="16"/>
      <c r="AF152" s="16"/>
    </row>
    <row r="153" spans="1:32" x14ac:dyDescent="0.2">
      <c r="A153" s="16"/>
      <c r="B153" s="16"/>
      <c r="C153" s="16"/>
      <c r="D153" s="16"/>
      <c r="E153" s="16"/>
      <c r="F153" s="109"/>
      <c r="G153" s="109"/>
      <c r="H153" s="109"/>
      <c r="I153" s="109"/>
      <c r="J153" s="109"/>
      <c r="K153" s="109"/>
      <c r="L153" s="109"/>
      <c r="M153" s="109"/>
      <c r="N153" s="109"/>
      <c r="O153" s="109"/>
      <c r="P153" s="109"/>
      <c r="Q153" s="109"/>
      <c r="R153" s="16"/>
      <c r="S153" s="16"/>
      <c r="T153" s="109"/>
      <c r="U153" s="109"/>
      <c r="V153" s="109"/>
      <c r="W153" s="109"/>
      <c r="X153" s="109"/>
      <c r="Y153" s="109"/>
      <c r="Z153" s="109"/>
      <c r="AA153" s="109"/>
      <c r="AB153" s="109"/>
      <c r="AC153" s="16"/>
      <c r="AD153" s="16"/>
      <c r="AE153" s="16"/>
      <c r="AF153" s="16"/>
    </row>
    <row r="154" spans="1:32" x14ac:dyDescent="0.2">
      <c r="A154" s="16"/>
      <c r="B154" s="16"/>
      <c r="C154" s="16"/>
      <c r="D154" s="16"/>
      <c r="E154" s="16"/>
      <c r="F154" s="109"/>
      <c r="G154" s="109"/>
      <c r="H154" s="109"/>
      <c r="I154" s="109"/>
      <c r="J154" s="109"/>
      <c r="K154" s="109"/>
      <c r="L154" s="109"/>
      <c r="M154" s="109"/>
      <c r="N154" s="109"/>
      <c r="O154" s="109"/>
      <c r="P154" s="109"/>
      <c r="Q154" s="109"/>
      <c r="R154" s="16"/>
      <c r="S154" s="16"/>
      <c r="T154" s="109"/>
      <c r="U154" s="109"/>
      <c r="V154" s="109"/>
      <c r="W154" s="109"/>
      <c r="X154" s="109"/>
      <c r="Y154" s="109"/>
      <c r="Z154" s="109"/>
      <c r="AA154" s="109"/>
      <c r="AB154" s="109"/>
      <c r="AC154" s="16"/>
      <c r="AD154" s="16"/>
      <c r="AE154" s="16"/>
      <c r="AF154" s="16"/>
    </row>
    <row r="155" spans="1:32" x14ac:dyDescent="0.2">
      <c r="A155" s="16"/>
      <c r="B155" s="16"/>
      <c r="C155" s="16"/>
      <c r="D155" s="16"/>
      <c r="E155" s="16"/>
      <c r="F155" s="109"/>
      <c r="G155" s="109"/>
      <c r="H155" s="109"/>
      <c r="I155" s="109"/>
      <c r="J155" s="109"/>
      <c r="K155" s="109"/>
      <c r="L155" s="109"/>
      <c r="M155" s="109"/>
      <c r="N155" s="109"/>
      <c r="O155" s="109"/>
      <c r="P155" s="109"/>
      <c r="Q155" s="109"/>
      <c r="R155" s="16"/>
      <c r="S155" s="16"/>
      <c r="T155" s="109"/>
      <c r="U155" s="109"/>
      <c r="V155" s="109"/>
      <c r="W155" s="109"/>
      <c r="X155" s="109"/>
      <c r="Y155" s="109"/>
      <c r="Z155" s="109"/>
      <c r="AA155" s="109"/>
      <c r="AB155" s="109"/>
      <c r="AC155" s="16"/>
      <c r="AD155" s="16"/>
      <c r="AE155" s="16"/>
      <c r="AF155" s="16"/>
    </row>
    <row r="156" spans="1:32" x14ac:dyDescent="0.2">
      <c r="A156" s="16"/>
      <c r="B156" s="16"/>
      <c r="C156" s="16"/>
      <c r="D156" s="16"/>
      <c r="E156" s="16"/>
      <c r="F156" s="109"/>
      <c r="G156" s="109"/>
      <c r="H156" s="109"/>
      <c r="I156" s="109"/>
      <c r="J156" s="109"/>
      <c r="K156" s="109"/>
      <c r="L156" s="109"/>
      <c r="M156" s="109"/>
      <c r="N156" s="109"/>
      <c r="O156" s="109"/>
      <c r="P156" s="109"/>
      <c r="Q156" s="109"/>
      <c r="R156" s="16"/>
      <c r="S156" s="16"/>
      <c r="T156" s="109"/>
      <c r="U156" s="109"/>
      <c r="V156" s="109"/>
      <c r="W156" s="109"/>
      <c r="X156" s="109"/>
      <c r="Y156" s="109"/>
      <c r="Z156" s="109"/>
      <c r="AA156" s="109"/>
      <c r="AB156" s="109"/>
      <c r="AC156" s="16"/>
      <c r="AD156" s="16"/>
      <c r="AE156" s="16"/>
      <c r="AF156" s="16"/>
    </row>
    <row r="157" spans="1:32" x14ac:dyDescent="0.2">
      <c r="A157" s="16"/>
      <c r="B157" s="16"/>
      <c r="C157" s="16"/>
      <c r="D157" s="16"/>
      <c r="E157" s="16"/>
      <c r="F157" s="109"/>
      <c r="G157" s="109"/>
      <c r="H157" s="109"/>
      <c r="I157" s="109"/>
      <c r="J157" s="109"/>
      <c r="K157" s="109"/>
      <c r="L157" s="109"/>
      <c r="M157" s="109"/>
      <c r="N157" s="109"/>
      <c r="O157" s="109"/>
      <c r="P157" s="109"/>
      <c r="Q157" s="109"/>
      <c r="R157" s="16"/>
      <c r="S157" s="16"/>
      <c r="T157" s="109"/>
      <c r="U157" s="109"/>
      <c r="V157" s="109"/>
      <c r="W157" s="109"/>
      <c r="X157" s="109"/>
      <c r="Y157" s="109"/>
      <c r="Z157" s="109"/>
      <c r="AA157" s="109"/>
      <c r="AB157" s="109"/>
      <c r="AC157" s="16"/>
      <c r="AD157" s="16"/>
      <c r="AE157" s="16"/>
      <c r="AF157" s="16"/>
    </row>
    <row r="158" spans="1:32" x14ac:dyDescent="0.2">
      <c r="A158" s="16"/>
      <c r="B158" s="16"/>
      <c r="C158" s="16"/>
      <c r="D158" s="16"/>
      <c r="E158" s="16"/>
      <c r="F158" s="109"/>
      <c r="G158" s="109"/>
      <c r="H158" s="109"/>
      <c r="I158" s="109"/>
      <c r="J158" s="109"/>
      <c r="K158" s="109"/>
      <c r="L158" s="109"/>
      <c r="M158" s="109"/>
      <c r="N158" s="109"/>
      <c r="O158" s="109"/>
      <c r="P158" s="109"/>
      <c r="Q158" s="109"/>
      <c r="R158" s="16"/>
      <c r="S158" s="16"/>
      <c r="T158" s="109"/>
      <c r="U158" s="109"/>
      <c r="V158" s="109"/>
      <c r="W158" s="109"/>
      <c r="X158" s="109"/>
      <c r="Y158" s="109"/>
      <c r="Z158" s="109"/>
      <c r="AA158" s="109"/>
      <c r="AB158" s="109"/>
      <c r="AC158" s="16"/>
      <c r="AD158" s="16"/>
      <c r="AE158" s="16"/>
      <c r="AF158" s="16"/>
    </row>
    <row r="159" spans="1:32" x14ac:dyDescent="0.2">
      <c r="A159" s="16"/>
      <c r="B159" s="16"/>
      <c r="C159" s="16"/>
      <c r="D159" s="16"/>
      <c r="E159" s="16"/>
      <c r="F159" s="109"/>
      <c r="G159" s="109"/>
      <c r="H159" s="109"/>
      <c r="I159" s="109"/>
      <c r="J159" s="109"/>
      <c r="K159" s="109"/>
      <c r="L159" s="109"/>
      <c r="M159" s="109"/>
      <c r="N159" s="109"/>
      <c r="O159" s="109"/>
      <c r="P159" s="109"/>
      <c r="Q159" s="109"/>
      <c r="R159" s="16"/>
      <c r="S159" s="16"/>
      <c r="T159" s="109"/>
      <c r="U159" s="109"/>
      <c r="V159" s="109"/>
      <c r="W159" s="109"/>
      <c r="X159" s="109"/>
      <c r="Y159" s="109"/>
      <c r="Z159" s="109"/>
      <c r="AA159" s="109"/>
      <c r="AB159" s="109"/>
      <c r="AC159" s="16"/>
      <c r="AD159" s="16"/>
      <c r="AE159" s="16"/>
      <c r="AF159" s="16"/>
    </row>
    <row r="160" spans="1:32" x14ac:dyDescent="0.2">
      <c r="A160" s="16"/>
      <c r="B160" s="16"/>
      <c r="C160" s="16"/>
      <c r="D160" s="16"/>
      <c r="E160" s="16"/>
      <c r="F160" s="109"/>
      <c r="G160" s="109"/>
      <c r="H160" s="109"/>
      <c r="I160" s="109"/>
      <c r="J160" s="109"/>
      <c r="K160" s="109"/>
      <c r="L160" s="109"/>
      <c r="M160" s="109"/>
      <c r="N160" s="109"/>
      <c r="O160" s="109"/>
      <c r="P160" s="109"/>
      <c r="Q160" s="109"/>
      <c r="R160" s="16"/>
      <c r="S160" s="16"/>
      <c r="T160" s="109"/>
      <c r="U160" s="109"/>
      <c r="V160" s="109"/>
      <c r="W160" s="109"/>
      <c r="X160" s="109"/>
      <c r="Y160" s="109"/>
      <c r="Z160" s="109"/>
      <c r="AA160" s="109"/>
      <c r="AB160" s="109"/>
      <c r="AC160" s="16"/>
      <c r="AD160" s="16"/>
      <c r="AE160" s="16"/>
      <c r="AF160" s="16"/>
    </row>
    <row r="161" spans="1:32" x14ac:dyDescent="0.2">
      <c r="A161" s="16"/>
      <c r="B161" s="16"/>
      <c r="C161" s="16"/>
      <c r="D161" s="16"/>
      <c r="E161" s="16"/>
      <c r="F161" s="109"/>
      <c r="G161" s="109"/>
      <c r="H161" s="109"/>
      <c r="I161" s="109"/>
      <c r="J161" s="109"/>
      <c r="K161" s="109"/>
      <c r="L161" s="109"/>
      <c r="M161" s="109"/>
      <c r="N161" s="109"/>
      <c r="O161" s="109"/>
      <c r="P161" s="109"/>
      <c r="Q161" s="109"/>
      <c r="R161" s="16"/>
      <c r="S161" s="16"/>
      <c r="T161" s="109"/>
      <c r="U161" s="109"/>
      <c r="V161" s="109"/>
      <c r="W161" s="109"/>
      <c r="X161" s="109"/>
      <c r="Y161" s="109"/>
      <c r="Z161" s="109"/>
      <c r="AA161" s="109"/>
      <c r="AB161" s="109"/>
      <c r="AC161" s="16"/>
      <c r="AD161" s="16"/>
      <c r="AE161" s="16"/>
      <c r="AF161" s="16"/>
    </row>
    <row r="162" spans="1:32" x14ac:dyDescent="0.2">
      <c r="A162" s="16"/>
      <c r="B162" s="16"/>
      <c r="C162" s="16"/>
      <c r="D162" s="16"/>
      <c r="E162" s="16"/>
      <c r="F162" s="109"/>
      <c r="G162" s="109"/>
      <c r="H162" s="109"/>
      <c r="I162" s="109"/>
      <c r="J162" s="109"/>
      <c r="K162" s="109"/>
      <c r="L162" s="109"/>
      <c r="M162" s="109"/>
      <c r="N162" s="109"/>
      <c r="O162" s="109"/>
      <c r="P162" s="109"/>
      <c r="Q162" s="109"/>
      <c r="R162" s="16"/>
      <c r="S162" s="16"/>
      <c r="T162" s="109"/>
      <c r="U162" s="109"/>
      <c r="V162" s="109"/>
      <c r="W162" s="109"/>
      <c r="X162" s="109"/>
      <c r="Y162" s="109"/>
      <c r="Z162" s="109"/>
      <c r="AA162" s="109"/>
      <c r="AB162" s="109"/>
      <c r="AC162" s="16"/>
      <c r="AD162" s="16"/>
      <c r="AE162" s="16"/>
      <c r="AF162" s="16"/>
    </row>
    <row r="163" spans="1:32" x14ac:dyDescent="0.2">
      <c r="A163" s="16"/>
      <c r="B163" s="16"/>
      <c r="C163" s="16"/>
      <c r="D163" s="16"/>
      <c r="E163" s="16"/>
      <c r="F163" s="109"/>
      <c r="G163" s="109"/>
      <c r="H163" s="109"/>
      <c r="I163" s="109"/>
      <c r="J163" s="109"/>
      <c r="K163" s="109"/>
      <c r="L163" s="109"/>
      <c r="M163" s="109"/>
      <c r="N163" s="109"/>
      <c r="O163" s="109"/>
      <c r="P163" s="109"/>
      <c r="Q163" s="109"/>
      <c r="R163" s="16"/>
      <c r="S163" s="16"/>
      <c r="T163" s="109"/>
      <c r="U163" s="109"/>
      <c r="V163" s="109"/>
      <c r="W163" s="109"/>
      <c r="X163" s="109"/>
      <c r="Y163" s="109"/>
      <c r="Z163" s="109"/>
      <c r="AA163" s="109"/>
      <c r="AB163" s="109"/>
      <c r="AC163" s="16"/>
      <c r="AD163" s="16"/>
      <c r="AE163" s="16"/>
      <c r="AF163" s="16"/>
    </row>
    <row r="164" spans="1:32" x14ac:dyDescent="0.2">
      <c r="A164" s="16"/>
      <c r="B164" s="16"/>
      <c r="C164" s="16"/>
      <c r="D164" s="16"/>
      <c r="E164" s="16"/>
      <c r="F164" s="109"/>
      <c r="G164" s="109"/>
      <c r="H164" s="109"/>
      <c r="I164" s="109"/>
      <c r="J164" s="109"/>
      <c r="K164" s="109"/>
      <c r="L164" s="109"/>
      <c r="M164" s="109"/>
      <c r="N164" s="109"/>
      <c r="O164" s="109"/>
      <c r="P164" s="109"/>
      <c r="Q164" s="109"/>
      <c r="R164" s="16"/>
      <c r="S164" s="16"/>
      <c r="T164" s="109"/>
      <c r="U164" s="109"/>
      <c r="V164" s="109"/>
      <c r="W164" s="109"/>
      <c r="X164" s="109"/>
      <c r="Y164" s="109"/>
      <c r="Z164" s="109"/>
      <c r="AA164" s="109"/>
      <c r="AB164" s="109"/>
      <c r="AC164" s="16"/>
      <c r="AD164" s="16"/>
      <c r="AE164" s="16"/>
      <c r="AF164" s="16"/>
    </row>
    <row r="165" spans="1:32" x14ac:dyDescent="0.2">
      <c r="A165" s="16"/>
      <c r="B165" s="16"/>
      <c r="C165" s="16"/>
      <c r="D165" s="16"/>
      <c r="E165" s="16"/>
      <c r="F165" s="109"/>
      <c r="G165" s="109"/>
      <c r="H165" s="109"/>
      <c r="I165" s="109"/>
      <c r="J165" s="109"/>
      <c r="K165" s="109"/>
      <c r="L165" s="109"/>
      <c r="M165" s="109"/>
      <c r="N165" s="109"/>
      <c r="O165" s="109"/>
      <c r="P165" s="109"/>
      <c r="Q165" s="109"/>
      <c r="R165" s="16"/>
      <c r="S165" s="16"/>
      <c r="T165" s="109"/>
      <c r="U165" s="109"/>
      <c r="V165" s="109"/>
      <c r="W165" s="109"/>
      <c r="X165" s="109"/>
      <c r="Y165" s="109"/>
      <c r="Z165" s="109"/>
      <c r="AA165" s="109"/>
      <c r="AB165" s="109"/>
      <c r="AC165" s="16"/>
      <c r="AD165" s="16"/>
      <c r="AE165" s="16"/>
      <c r="AF165" s="16"/>
    </row>
    <row r="166" spans="1:32" x14ac:dyDescent="0.2">
      <c r="A166" s="16"/>
      <c r="B166" s="16"/>
      <c r="C166" s="16"/>
      <c r="D166" s="16"/>
      <c r="E166" s="16"/>
      <c r="F166" s="109"/>
      <c r="G166" s="109"/>
      <c r="H166" s="109"/>
      <c r="I166" s="109"/>
      <c r="J166" s="109"/>
      <c r="K166" s="109"/>
      <c r="L166" s="109"/>
      <c r="M166" s="109"/>
      <c r="N166" s="109"/>
      <c r="O166" s="109"/>
      <c r="P166" s="109"/>
      <c r="Q166" s="109"/>
      <c r="R166" s="16"/>
      <c r="S166" s="16"/>
      <c r="T166" s="109"/>
      <c r="U166" s="109"/>
      <c r="V166" s="109"/>
      <c r="W166" s="109"/>
      <c r="X166" s="109"/>
      <c r="Y166" s="109"/>
      <c r="Z166" s="109"/>
      <c r="AA166" s="109"/>
      <c r="AB166" s="109"/>
      <c r="AC166" s="16"/>
      <c r="AD166" s="16"/>
      <c r="AE166" s="16"/>
      <c r="AF166" s="16"/>
    </row>
    <row r="167" spans="1:32" x14ac:dyDescent="0.2">
      <c r="A167" s="16"/>
      <c r="B167" s="16"/>
      <c r="C167" s="16"/>
      <c r="D167" s="16"/>
      <c r="E167" s="16"/>
      <c r="F167" s="109"/>
      <c r="G167" s="109"/>
      <c r="H167" s="109"/>
      <c r="I167" s="109"/>
      <c r="J167" s="109"/>
      <c r="K167" s="109"/>
      <c r="L167" s="109"/>
      <c r="M167" s="109"/>
      <c r="N167" s="109"/>
      <c r="O167" s="109"/>
      <c r="P167" s="109"/>
      <c r="Q167" s="109"/>
      <c r="R167" s="16"/>
      <c r="S167" s="16"/>
      <c r="T167" s="109"/>
      <c r="U167" s="109"/>
      <c r="V167" s="109"/>
      <c r="W167" s="109"/>
      <c r="X167" s="109"/>
      <c r="Y167" s="109"/>
      <c r="Z167" s="109"/>
      <c r="AA167" s="109"/>
      <c r="AB167" s="109"/>
      <c r="AC167" s="16"/>
      <c r="AD167" s="16"/>
      <c r="AE167" s="16"/>
      <c r="AF167" s="16"/>
    </row>
    <row r="168" spans="1:32" x14ac:dyDescent="0.2">
      <c r="A168" s="16"/>
      <c r="B168" s="16"/>
      <c r="C168" s="16"/>
      <c r="D168" s="16"/>
      <c r="E168" s="16"/>
      <c r="F168" s="109"/>
      <c r="G168" s="109"/>
      <c r="H168" s="109"/>
      <c r="I168" s="109"/>
      <c r="J168" s="109"/>
      <c r="K168" s="109"/>
      <c r="L168" s="109"/>
      <c r="M168" s="109"/>
      <c r="N168" s="109"/>
      <c r="O168" s="109"/>
      <c r="P168" s="109"/>
      <c r="Q168" s="109"/>
      <c r="R168" s="16"/>
      <c r="S168" s="16"/>
      <c r="T168" s="109"/>
      <c r="U168" s="109"/>
      <c r="V168" s="109"/>
      <c r="W168" s="109"/>
      <c r="X168" s="109"/>
      <c r="Y168" s="109"/>
      <c r="Z168" s="109"/>
      <c r="AA168" s="109"/>
      <c r="AB168" s="109"/>
      <c r="AC168" s="16"/>
      <c r="AD168" s="16"/>
      <c r="AE168" s="16"/>
      <c r="AF168" s="16"/>
    </row>
    <row r="169" spans="1:32" x14ac:dyDescent="0.2">
      <c r="A169" s="16"/>
      <c r="B169" s="16"/>
      <c r="C169" s="16"/>
      <c r="D169" s="16"/>
      <c r="E169" s="16"/>
      <c r="F169" s="109"/>
      <c r="G169" s="109"/>
      <c r="H169" s="109"/>
      <c r="I169" s="109"/>
      <c r="J169" s="109"/>
      <c r="K169" s="109"/>
      <c r="L169" s="109"/>
      <c r="M169" s="109"/>
      <c r="N169" s="109"/>
      <c r="O169" s="109"/>
      <c r="P169" s="109"/>
      <c r="Q169" s="109"/>
      <c r="R169" s="16"/>
      <c r="S169" s="16"/>
      <c r="T169" s="109"/>
      <c r="U169" s="109"/>
      <c r="V169" s="109"/>
      <c r="W169" s="109"/>
      <c r="X169" s="109"/>
      <c r="Y169" s="109"/>
      <c r="Z169" s="109"/>
      <c r="AA169" s="109"/>
      <c r="AB169" s="109"/>
      <c r="AC169" s="16"/>
      <c r="AD169" s="16"/>
      <c r="AE169" s="16"/>
      <c r="AF169" s="16"/>
    </row>
    <row r="170" spans="1:32" x14ac:dyDescent="0.2">
      <c r="A170" s="16"/>
      <c r="B170" s="16"/>
      <c r="C170" s="16"/>
      <c r="D170" s="16"/>
      <c r="E170" s="16"/>
      <c r="F170" s="109"/>
      <c r="G170" s="109"/>
      <c r="H170" s="109"/>
      <c r="I170" s="109"/>
      <c r="J170" s="109"/>
      <c r="K170" s="109"/>
      <c r="L170" s="109"/>
      <c r="M170" s="109"/>
      <c r="N170" s="109"/>
      <c r="O170" s="109"/>
      <c r="P170" s="109"/>
      <c r="Q170" s="109"/>
      <c r="R170" s="16"/>
      <c r="S170" s="16"/>
      <c r="T170" s="109"/>
      <c r="U170" s="109"/>
      <c r="V170" s="109"/>
      <c r="W170" s="109"/>
      <c r="X170" s="109"/>
      <c r="Y170" s="109"/>
      <c r="Z170" s="109"/>
      <c r="AA170" s="109"/>
      <c r="AB170" s="109"/>
      <c r="AC170" s="16"/>
      <c r="AD170" s="16"/>
      <c r="AE170" s="16"/>
      <c r="AF170" s="16"/>
    </row>
    <row r="171" spans="1:32" x14ac:dyDescent="0.2">
      <c r="A171" s="16"/>
      <c r="B171" s="16"/>
      <c r="C171" s="16"/>
      <c r="D171" s="16"/>
      <c r="E171" s="16"/>
      <c r="F171" s="109"/>
      <c r="G171" s="109"/>
      <c r="H171" s="109"/>
      <c r="I171" s="109"/>
      <c r="J171" s="109"/>
      <c r="K171" s="109"/>
      <c r="L171" s="109"/>
      <c r="M171" s="109"/>
      <c r="N171" s="109"/>
      <c r="O171" s="109"/>
      <c r="P171" s="109"/>
      <c r="Q171" s="109"/>
      <c r="R171" s="16"/>
      <c r="S171" s="16"/>
      <c r="T171" s="109"/>
      <c r="U171" s="109"/>
      <c r="V171" s="109"/>
      <c r="W171" s="109"/>
      <c r="X171" s="109"/>
      <c r="Y171" s="109"/>
      <c r="Z171" s="109"/>
      <c r="AA171" s="109"/>
      <c r="AB171" s="109"/>
      <c r="AC171" s="16"/>
      <c r="AD171" s="16"/>
      <c r="AE171" s="16"/>
      <c r="AF171" s="16"/>
    </row>
    <row r="172" spans="1:32" x14ac:dyDescent="0.2">
      <c r="A172" s="16"/>
      <c r="B172" s="16"/>
      <c r="C172" s="16"/>
      <c r="D172" s="16"/>
      <c r="E172" s="16"/>
      <c r="F172" s="109"/>
      <c r="G172" s="109"/>
      <c r="H172" s="109"/>
      <c r="I172" s="109"/>
      <c r="J172" s="109"/>
      <c r="K172" s="109"/>
      <c r="L172" s="109"/>
      <c r="M172" s="109"/>
      <c r="N172" s="109"/>
      <c r="O172" s="109"/>
      <c r="P172" s="109"/>
      <c r="Q172" s="109"/>
      <c r="R172" s="16"/>
      <c r="S172" s="16"/>
      <c r="T172" s="109"/>
      <c r="U172" s="109"/>
      <c r="V172" s="109"/>
      <c r="W172" s="109"/>
      <c r="X172" s="109"/>
      <c r="Y172" s="109"/>
      <c r="Z172" s="109"/>
      <c r="AA172" s="109"/>
      <c r="AB172" s="109"/>
      <c r="AC172" s="16"/>
      <c r="AD172" s="16"/>
      <c r="AE172" s="16"/>
      <c r="AF172" s="16"/>
    </row>
    <row r="173" spans="1:32" x14ac:dyDescent="0.2">
      <c r="A173" s="16"/>
      <c r="B173" s="16"/>
      <c r="C173" s="16"/>
      <c r="D173" s="16"/>
      <c r="E173" s="16"/>
      <c r="F173" s="109"/>
      <c r="G173" s="109"/>
      <c r="H173" s="109"/>
      <c r="I173" s="109"/>
      <c r="J173" s="109"/>
      <c r="K173" s="109"/>
      <c r="L173" s="109"/>
      <c r="M173" s="109"/>
      <c r="N173" s="109"/>
      <c r="O173" s="109"/>
      <c r="P173" s="109"/>
      <c r="Q173" s="109"/>
      <c r="R173" s="16"/>
      <c r="S173" s="16"/>
      <c r="T173" s="109"/>
      <c r="U173" s="109"/>
      <c r="V173" s="109"/>
      <c r="W173" s="109"/>
      <c r="X173" s="109"/>
      <c r="Y173" s="109"/>
      <c r="Z173" s="109"/>
      <c r="AA173" s="109"/>
      <c r="AB173" s="109"/>
      <c r="AC173" s="16"/>
      <c r="AD173" s="16"/>
      <c r="AE173" s="16"/>
      <c r="AF173" s="16"/>
    </row>
    <row r="174" spans="1:32" x14ac:dyDescent="0.2">
      <c r="A174" s="16"/>
      <c r="B174" s="16"/>
      <c r="C174" s="16"/>
      <c r="D174" s="16"/>
      <c r="E174" s="16"/>
      <c r="F174" s="109"/>
      <c r="G174" s="109"/>
      <c r="H174" s="109"/>
      <c r="I174" s="109"/>
      <c r="J174" s="109"/>
      <c r="K174" s="109"/>
      <c r="L174" s="109"/>
      <c r="M174" s="109"/>
      <c r="N174" s="109"/>
      <c r="O174" s="109"/>
      <c r="P174" s="109"/>
      <c r="Q174" s="109"/>
      <c r="R174" s="16"/>
      <c r="S174" s="16"/>
      <c r="T174" s="109"/>
      <c r="U174" s="109"/>
      <c r="V174" s="109"/>
      <c r="W174" s="109"/>
      <c r="X174" s="109"/>
      <c r="Y174" s="109"/>
      <c r="Z174" s="109"/>
      <c r="AA174" s="109"/>
      <c r="AB174" s="109"/>
      <c r="AC174" s="16"/>
      <c r="AD174" s="16"/>
      <c r="AE174" s="16"/>
      <c r="AF174" s="16"/>
    </row>
    <row r="175" spans="1:32" x14ac:dyDescent="0.2">
      <c r="A175" s="16"/>
      <c r="B175" s="16"/>
      <c r="C175" s="16"/>
      <c r="D175" s="16"/>
      <c r="E175" s="16"/>
      <c r="F175" s="109"/>
      <c r="G175" s="109"/>
      <c r="H175" s="109"/>
      <c r="I175" s="109"/>
      <c r="J175" s="109"/>
      <c r="K175" s="109"/>
      <c r="L175" s="109"/>
      <c r="M175" s="109"/>
      <c r="N175" s="109"/>
      <c r="O175" s="109"/>
      <c r="P175" s="109"/>
      <c r="Q175" s="109"/>
      <c r="R175" s="16"/>
      <c r="S175" s="16"/>
      <c r="T175" s="109"/>
      <c r="U175" s="109"/>
      <c r="V175" s="109"/>
      <c r="W175" s="109"/>
      <c r="X175" s="109"/>
      <c r="Y175" s="109"/>
      <c r="Z175" s="109"/>
      <c r="AA175" s="109"/>
      <c r="AB175" s="109"/>
      <c r="AC175" s="16"/>
      <c r="AD175" s="16"/>
      <c r="AE175" s="16"/>
      <c r="AF175" s="16"/>
    </row>
    <row r="176" spans="1:32" x14ac:dyDescent="0.2">
      <c r="A176" s="16"/>
      <c r="B176" s="16"/>
      <c r="C176" s="16"/>
      <c r="D176" s="16"/>
      <c r="E176" s="16"/>
      <c r="F176" s="109"/>
      <c r="G176" s="109"/>
      <c r="H176" s="109"/>
      <c r="I176" s="109"/>
      <c r="J176" s="109"/>
      <c r="K176" s="109"/>
      <c r="L176" s="109"/>
      <c r="M176" s="109"/>
      <c r="N176" s="109"/>
      <c r="O176" s="109"/>
      <c r="P176" s="109"/>
      <c r="Q176" s="109"/>
      <c r="R176" s="16"/>
      <c r="S176" s="16"/>
      <c r="T176" s="109"/>
      <c r="U176" s="109"/>
      <c r="V176" s="109"/>
      <c r="W176" s="109"/>
      <c r="X176" s="109"/>
      <c r="Y176" s="109"/>
      <c r="Z176" s="109"/>
      <c r="AA176" s="109"/>
      <c r="AB176" s="109"/>
      <c r="AC176" s="16"/>
      <c r="AD176" s="16"/>
      <c r="AE176" s="16"/>
      <c r="AF176" s="16"/>
    </row>
    <row r="177" spans="1:32" x14ac:dyDescent="0.2">
      <c r="A177" s="16"/>
      <c r="B177" s="16"/>
      <c r="C177" s="16"/>
      <c r="D177" s="16"/>
      <c r="E177" s="16"/>
      <c r="F177" s="109"/>
      <c r="G177" s="109"/>
      <c r="H177" s="109"/>
      <c r="I177" s="109"/>
      <c r="J177" s="109"/>
      <c r="K177" s="109"/>
      <c r="L177" s="109"/>
      <c r="M177" s="109"/>
      <c r="N177" s="109"/>
      <c r="O177" s="109"/>
      <c r="P177" s="109"/>
      <c r="Q177" s="109"/>
      <c r="R177" s="16"/>
      <c r="S177" s="16"/>
      <c r="T177" s="109"/>
      <c r="U177" s="109"/>
      <c r="V177" s="109"/>
      <c r="W177" s="109"/>
      <c r="X177" s="109"/>
      <c r="Y177" s="109"/>
      <c r="Z177" s="109"/>
      <c r="AA177" s="109"/>
      <c r="AB177" s="109"/>
      <c r="AC177" s="16"/>
      <c r="AD177" s="16"/>
      <c r="AE177" s="16"/>
      <c r="AF177" s="16"/>
    </row>
    <row r="178" spans="1:32" x14ac:dyDescent="0.2">
      <c r="A178" s="16"/>
      <c r="B178" s="16"/>
      <c r="C178" s="16"/>
      <c r="D178" s="16"/>
      <c r="E178" s="16"/>
      <c r="F178" s="109"/>
      <c r="G178" s="109"/>
      <c r="H178" s="109"/>
      <c r="I178" s="109"/>
      <c r="J178" s="109"/>
      <c r="K178" s="109"/>
      <c r="L178" s="109"/>
      <c r="M178" s="109"/>
      <c r="N178" s="109"/>
      <c r="O178" s="109"/>
      <c r="P178" s="109"/>
      <c r="Q178" s="109"/>
      <c r="R178" s="16"/>
      <c r="S178" s="16"/>
      <c r="T178" s="109"/>
      <c r="U178" s="109"/>
      <c r="V178" s="109"/>
      <c r="W178" s="109"/>
      <c r="X178" s="109"/>
      <c r="Y178" s="109"/>
      <c r="Z178" s="109"/>
      <c r="AA178" s="109"/>
      <c r="AB178" s="109"/>
      <c r="AC178" s="16"/>
      <c r="AD178" s="16"/>
      <c r="AE178" s="16"/>
      <c r="AF178" s="16"/>
    </row>
    <row r="179" spans="1:32" x14ac:dyDescent="0.2">
      <c r="A179" s="16"/>
      <c r="B179" s="16"/>
      <c r="C179" s="16"/>
      <c r="D179" s="16"/>
      <c r="E179" s="16"/>
      <c r="F179" s="109"/>
      <c r="G179" s="109"/>
      <c r="H179" s="109"/>
      <c r="I179" s="109"/>
      <c r="J179" s="109"/>
      <c r="K179" s="109"/>
      <c r="L179" s="109"/>
      <c r="M179" s="109"/>
      <c r="N179" s="109"/>
      <c r="O179" s="109"/>
      <c r="P179" s="109"/>
      <c r="Q179" s="109"/>
      <c r="R179" s="16"/>
      <c r="S179" s="16"/>
      <c r="T179" s="109"/>
      <c r="U179" s="109"/>
      <c r="V179" s="109"/>
      <c r="W179" s="109"/>
      <c r="X179" s="109"/>
      <c r="Y179" s="109"/>
      <c r="Z179" s="109"/>
      <c r="AA179" s="109"/>
      <c r="AB179" s="109"/>
      <c r="AC179" s="16"/>
      <c r="AD179" s="16"/>
      <c r="AE179" s="16"/>
      <c r="AF179" s="16"/>
    </row>
    <row r="180" spans="1:32" x14ac:dyDescent="0.2">
      <c r="A180" s="16"/>
      <c r="B180" s="16"/>
      <c r="C180" s="16"/>
      <c r="D180" s="16"/>
      <c r="E180" s="16"/>
      <c r="F180" s="109"/>
      <c r="G180" s="109"/>
      <c r="H180" s="109"/>
      <c r="I180" s="109"/>
      <c r="J180" s="109"/>
      <c r="K180" s="109"/>
      <c r="L180" s="109"/>
      <c r="M180" s="109"/>
      <c r="N180" s="109"/>
      <c r="O180" s="109"/>
      <c r="P180" s="109"/>
      <c r="Q180" s="109"/>
      <c r="R180" s="16"/>
      <c r="S180" s="16"/>
      <c r="T180" s="109"/>
      <c r="U180" s="109"/>
      <c r="V180" s="109"/>
      <c r="W180" s="109"/>
      <c r="X180" s="109"/>
      <c r="Y180" s="109"/>
      <c r="Z180" s="109"/>
      <c r="AA180" s="109"/>
      <c r="AB180" s="109"/>
      <c r="AC180" s="16"/>
      <c r="AD180" s="16"/>
      <c r="AE180" s="16"/>
      <c r="AF180" s="16"/>
    </row>
    <row r="181" spans="1:32" x14ac:dyDescent="0.2">
      <c r="A181" s="16"/>
      <c r="B181" s="16"/>
      <c r="C181" s="16"/>
      <c r="D181" s="16"/>
      <c r="E181" s="16"/>
      <c r="F181" s="109"/>
      <c r="G181" s="109"/>
      <c r="H181" s="109"/>
      <c r="I181" s="109"/>
      <c r="J181" s="109"/>
      <c r="K181" s="109"/>
      <c r="L181" s="109"/>
      <c r="M181" s="109"/>
      <c r="N181" s="109"/>
      <c r="O181" s="109"/>
      <c r="P181" s="109"/>
      <c r="Q181" s="109"/>
      <c r="R181" s="16"/>
      <c r="S181" s="16"/>
      <c r="T181" s="109"/>
      <c r="U181" s="109"/>
      <c r="V181" s="109"/>
      <c r="W181" s="109"/>
      <c r="X181" s="109"/>
      <c r="Y181" s="109"/>
      <c r="Z181" s="109"/>
      <c r="AA181" s="109"/>
      <c r="AB181" s="109"/>
      <c r="AC181" s="16"/>
      <c r="AD181" s="16"/>
      <c r="AE181" s="16"/>
      <c r="AF181" s="16"/>
    </row>
    <row r="182" spans="1:32" x14ac:dyDescent="0.2">
      <c r="A182" s="16"/>
      <c r="B182" s="16"/>
      <c r="C182" s="16"/>
      <c r="D182" s="16"/>
      <c r="E182" s="16"/>
      <c r="F182" s="109"/>
      <c r="G182" s="109"/>
      <c r="H182" s="109"/>
      <c r="I182" s="109"/>
      <c r="J182" s="109"/>
      <c r="K182" s="109"/>
      <c r="L182" s="109"/>
      <c r="M182" s="109"/>
      <c r="N182" s="109"/>
      <c r="O182" s="109"/>
      <c r="P182" s="109"/>
      <c r="Q182" s="109"/>
      <c r="R182" s="16"/>
      <c r="S182" s="16"/>
      <c r="T182" s="109"/>
      <c r="U182" s="109"/>
      <c r="V182" s="109"/>
      <c r="W182" s="109"/>
      <c r="X182" s="109"/>
      <c r="Y182" s="109"/>
      <c r="Z182" s="109"/>
      <c r="AA182" s="109"/>
      <c r="AB182" s="109"/>
      <c r="AC182" s="16"/>
      <c r="AD182" s="16"/>
      <c r="AE182" s="16"/>
      <c r="AF182" s="16"/>
    </row>
    <row r="183" spans="1:32" x14ac:dyDescent="0.2">
      <c r="A183" s="16"/>
      <c r="B183" s="16"/>
      <c r="C183" s="16"/>
      <c r="D183" s="16"/>
      <c r="E183" s="16"/>
      <c r="F183" s="109"/>
      <c r="G183" s="109"/>
      <c r="H183" s="109"/>
      <c r="I183" s="109"/>
      <c r="J183" s="109"/>
      <c r="K183" s="109"/>
      <c r="L183" s="109"/>
      <c r="M183" s="109"/>
      <c r="N183" s="109"/>
      <c r="O183" s="109"/>
      <c r="P183" s="109"/>
      <c r="Q183" s="109"/>
      <c r="R183" s="16"/>
      <c r="S183" s="16"/>
      <c r="T183" s="109"/>
      <c r="U183" s="109"/>
      <c r="V183" s="109"/>
      <c r="W183" s="109"/>
      <c r="X183" s="109"/>
      <c r="Y183" s="109"/>
      <c r="Z183" s="109"/>
      <c r="AA183" s="109"/>
      <c r="AB183" s="109"/>
      <c r="AC183" s="16"/>
      <c r="AD183" s="16"/>
      <c r="AE183" s="16"/>
      <c r="AF183" s="16"/>
    </row>
    <row r="184" spans="1:32" x14ac:dyDescent="0.2">
      <c r="A184" s="16"/>
      <c r="B184" s="16"/>
      <c r="C184" s="16"/>
      <c r="D184" s="16"/>
      <c r="E184" s="16"/>
      <c r="F184" s="109"/>
      <c r="G184" s="109"/>
      <c r="H184" s="109"/>
      <c r="I184" s="109"/>
      <c r="J184" s="109"/>
      <c r="K184" s="109"/>
      <c r="L184" s="109"/>
      <c r="M184" s="109"/>
      <c r="N184" s="109"/>
      <c r="O184" s="109"/>
      <c r="P184" s="109"/>
      <c r="Q184" s="109"/>
      <c r="R184" s="16"/>
      <c r="S184" s="16"/>
      <c r="T184" s="109"/>
      <c r="U184" s="109"/>
      <c r="V184" s="109"/>
      <c r="W184" s="109"/>
      <c r="X184" s="109"/>
      <c r="Y184" s="109"/>
      <c r="Z184" s="109"/>
      <c r="AA184" s="109"/>
      <c r="AB184" s="109"/>
      <c r="AC184" s="16"/>
      <c r="AD184" s="16"/>
      <c r="AE184" s="16"/>
      <c r="AF184" s="16"/>
    </row>
    <row r="185" spans="1:32" x14ac:dyDescent="0.2">
      <c r="A185" s="16"/>
      <c r="B185" s="16"/>
      <c r="C185" s="16"/>
      <c r="D185" s="16"/>
      <c r="E185" s="16"/>
      <c r="F185" s="109"/>
      <c r="G185" s="109"/>
      <c r="H185" s="109"/>
      <c r="I185" s="109"/>
      <c r="J185" s="109"/>
      <c r="K185" s="109"/>
      <c r="L185" s="109"/>
      <c r="M185" s="109"/>
      <c r="N185" s="109"/>
      <c r="O185" s="109"/>
      <c r="P185" s="109"/>
      <c r="Q185" s="109"/>
      <c r="R185" s="16"/>
      <c r="S185" s="16"/>
      <c r="T185" s="109"/>
      <c r="U185" s="109"/>
      <c r="V185" s="109"/>
      <c r="W185" s="109"/>
      <c r="X185" s="109"/>
      <c r="Y185" s="109"/>
      <c r="Z185" s="109"/>
      <c r="AA185" s="109"/>
      <c r="AB185" s="109"/>
      <c r="AC185" s="16"/>
      <c r="AD185" s="16"/>
      <c r="AE185" s="16"/>
      <c r="AF185" s="16"/>
    </row>
    <row r="186" spans="1:32" x14ac:dyDescent="0.2">
      <c r="A186" s="16"/>
      <c r="B186" s="16"/>
      <c r="C186" s="16"/>
      <c r="D186" s="16"/>
      <c r="E186" s="16"/>
      <c r="F186" s="109"/>
      <c r="G186" s="109"/>
      <c r="H186" s="109"/>
      <c r="I186" s="109"/>
      <c r="J186" s="109"/>
      <c r="K186" s="109"/>
      <c r="L186" s="109"/>
      <c r="M186" s="109"/>
      <c r="N186" s="109"/>
      <c r="O186" s="109"/>
      <c r="P186" s="109"/>
      <c r="Q186" s="109"/>
      <c r="R186" s="16"/>
      <c r="S186" s="16"/>
      <c r="T186" s="109"/>
      <c r="U186" s="109"/>
      <c r="V186" s="109"/>
      <c r="W186" s="109"/>
      <c r="X186" s="109"/>
      <c r="Y186" s="109"/>
      <c r="Z186" s="109"/>
      <c r="AA186" s="109"/>
      <c r="AB186" s="109"/>
      <c r="AC186" s="16"/>
      <c r="AD186" s="16"/>
      <c r="AE186" s="16"/>
      <c r="AF186" s="16"/>
    </row>
    <row r="187" spans="1:32" x14ac:dyDescent="0.2">
      <c r="A187" s="16"/>
      <c r="B187" s="16"/>
      <c r="C187" s="16"/>
      <c r="D187" s="16"/>
      <c r="E187" s="16"/>
      <c r="F187" s="109"/>
      <c r="G187" s="109"/>
      <c r="H187" s="109"/>
      <c r="I187" s="109"/>
      <c r="J187" s="109"/>
      <c r="K187" s="109"/>
      <c r="L187" s="109"/>
      <c r="M187" s="109"/>
      <c r="N187" s="109"/>
      <c r="O187" s="109"/>
      <c r="P187" s="109"/>
      <c r="Q187" s="109"/>
      <c r="R187" s="16"/>
      <c r="S187" s="16"/>
      <c r="T187" s="109"/>
      <c r="U187" s="109"/>
      <c r="V187" s="109"/>
      <c r="W187" s="109"/>
      <c r="X187" s="109"/>
      <c r="Y187" s="109"/>
      <c r="Z187" s="109"/>
      <c r="AA187" s="109"/>
      <c r="AB187" s="109"/>
      <c r="AC187" s="16"/>
      <c r="AD187" s="16"/>
      <c r="AE187" s="16"/>
      <c r="AF187" s="16"/>
    </row>
    <row r="188" spans="1:32" x14ac:dyDescent="0.2">
      <c r="A188" s="16"/>
      <c r="B188" s="16"/>
      <c r="C188" s="16"/>
      <c r="D188" s="16"/>
      <c r="E188" s="16"/>
      <c r="F188" s="109"/>
      <c r="G188" s="109"/>
      <c r="H188" s="109"/>
      <c r="I188" s="109"/>
      <c r="J188" s="109"/>
      <c r="K188" s="109"/>
      <c r="L188" s="109"/>
      <c r="M188" s="109"/>
      <c r="N188" s="109"/>
      <c r="O188" s="109"/>
      <c r="P188" s="109"/>
      <c r="Q188" s="109"/>
      <c r="R188" s="16"/>
      <c r="S188" s="16"/>
      <c r="T188" s="109"/>
      <c r="U188" s="109"/>
      <c r="V188" s="109"/>
      <c r="W188" s="109"/>
      <c r="X188" s="109"/>
      <c r="Y188" s="109"/>
      <c r="Z188" s="109"/>
      <c r="AA188" s="109"/>
      <c r="AB188" s="109"/>
      <c r="AC188" s="16"/>
      <c r="AD188" s="16"/>
      <c r="AE188" s="16"/>
      <c r="AF188" s="16"/>
    </row>
    <row r="189" spans="1:32" x14ac:dyDescent="0.2">
      <c r="A189" s="16"/>
      <c r="B189" s="16"/>
      <c r="C189" s="16"/>
      <c r="D189" s="16"/>
      <c r="E189" s="16"/>
      <c r="F189" s="109"/>
      <c r="G189" s="109"/>
      <c r="H189" s="109"/>
      <c r="I189" s="109"/>
      <c r="J189" s="109"/>
      <c r="K189" s="109"/>
      <c r="L189" s="109"/>
      <c r="M189" s="109"/>
      <c r="N189" s="109"/>
      <c r="O189" s="109"/>
      <c r="P189" s="109"/>
      <c r="Q189" s="109"/>
      <c r="R189" s="16"/>
      <c r="S189" s="16"/>
      <c r="T189" s="109"/>
      <c r="U189" s="109"/>
      <c r="V189" s="109"/>
      <c r="W189" s="109"/>
      <c r="X189" s="109"/>
      <c r="Y189" s="109"/>
      <c r="Z189" s="109"/>
      <c r="AA189" s="109"/>
      <c r="AB189" s="109"/>
      <c r="AC189" s="16"/>
      <c r="AD189" s="16"/>
      <c r="AE189" s="16"/>
      <c r="AF189" s="16"/>
    </row>
    <row r="190" spans="1:32" x14ac:dyDescent="0.2">
      <c r="A190" s="16"/>
      <c r="B190" s="16"/>
      <c r="C190" s="16"/>
      <c r="D190" s="16"/>
      <c r="E190" s="16"/>
      <c r="F190" s="109"/>
      <c r="G190" s="109"/>
      <c r="H190" s="109"/>
      <c r="I190" s="109"/>
      <c r="J190" s="109"/>
      <c r="K190" s="109"/>
      <c r="L190" s="109"/>
      <c r="M190" s="109"/>
      <c r="N190" s="109"/>
      <c r="O190" s="109"/>
      <c r="P190" s="109"/>
      <c r="Q190" s="109"/>
      <c r="R190" s="16"/>
      <c r="S190" s="16"/>
      <c r="T190" s="109"/>
      <c r="U190" s="109"/>
      <c r="V190" s="109"/>
      <c r="W190" s="109"/>
      <c r="X190" s="109"/>
      <c r="Y190" s="109"/>
      <c r="Z190" s="109"/>
      <c r="AA190" s="109"/>
      <c r="AB190" s="109"/>
      <c r="AC190" s="16"/>
      <c r="AD190" s="16"/>
      <c r="AE190" s="16"/>
      <c r="AF190" s="16"/>
    </row>
    <row r="191" spans="1:32" x14ac:dyDescent="0.2">
      <c r="A191" s="16"/>
      <c r="B191" s="16"/>
      <c r="C191" s="16"/>
      <c r="D191" s="16"/>
      <c r="E191" s="16"/>
      <c r="F191" s="109"/>
      <c r="G191" s="109"/>
      <c r="H191" s="109"/>
      <c r="I191" s="109"/>
      <c r="J191" s="109"/>
      <c r="K191" s="109"/>
      <c r="L191" s="109"/>
      <c r="M191" s="109"/>
      <c r="N191" s="109"/>
      <c r="O191" s="109"/>
      <c r="P191" s="109"/>
      <c r="Q191" s="109"/>
      <c r="R191" s="16"/>
      <c r="S191" s="16"/>
      <c r="T191" s="109"/>
      <c r="U191" s="109"/>
      <c r="V191" s="109"/>
      <c r="W191" s="109"/>
      <c r="X191" s="109"/>
      <c r="Y191" s="109"/>
      <c r="Z191" s="109"/>
      <c r="AA191" s="109"/>
      <c r="AB191" s="109"/>
      <c r="AC191" s="16"/>
      <c r="AD191" s="16"/>
      <c r="AE191" s="16"/>
      <c r="AF191" s="16"/>
    </row>
    <row r="192" spans="1:32" x14ac:dyDescent="0.2">
      <c r="A192" s="16"/>
      <c r="B192" s="16"/>
      <c r="C192" s="16"/>
      <c r="D192" s="16"/>
      <c r="E192" s="16"/>
      <c r="F192" s="109"/>
      <c r="G192" s="109"/>
      <c r="H192" s="109"/>
      <c r="I192" s="109"/>
      <c r="J192" s="109"/>
      <c r="K192" s="109"/>
      <c r="L192" s="109"/>
      <c r="M192" s="109"/>
      <c r="N192" s="109"/>
      <c r="O192" s="109"/>
      <c r="P192" s="109"/>
      <c r="Q192" s="109"/>
      <c r="R192" s="16"/>
      <c r="S192" s="16"/>
      <c r="T192" s="109"/>
      <c r="U192" s="109"/>
      <c r="V192" s="109"/>
      <c r="W192" s="109"/>
      <c r="X192" s="109"/>
      <c r="Y192" s="109"/>
      <c r="Z192" s="109"/>
      <c r="AA192" s="109"/>
      <c r="AB192" s="109"/>
      <c r="AC192" s="16"/>
      <c r="AD192" s="16"/>
      <c r="AE192" s="16"/>
      <c r="AF192" s="16"/>
    </row>
    <row r="193" spans="1:32" x14ac:dyDescent="0.2">
      <c r="A193" s="16"/>
      <c r="B193" s="16"/>
      <c r="C193" s="16"/>
      <c r="D193" s="16"/>
      <c r="E193" s="16"/>
      <c r="F193" s="109"/>
      <c r="G193" s="109"/>
      <c r="H193" s="109"/>
      <c r="I193" s="109"/>
      <c r="J193" s="109"/>
      <c r="K193" s="109"/>
      <c r="L193" s="109"/>
      <c r="M193" s="109"/>
      <c r="N193" s="109"/>
      <c r="O193" s="109"/>
      <c r="P193" s="109"/>
      <c r="Q193" s="109"/>
      <c r="R193" s="16"/>
      <c r="S193" s="16"/>
      <c r="T193" s="109"/>
      <c r="U193" s="109"/>
      <c r="V193" s="109"/>
      <c r="W193" s="109"/>
      <c r="X193" s="109"/>
      <c r="Y193" s="109"/>
      <c r="Z193" s="109"/>
      <c r="AA193" s="109"/>
      <c r="AB193" s="109"/>
      <c r="AC193" s="16"/>
      <c r="AD193" s="16"/>
      <c r="AE193" s="16"/>
      <c r="AF193" s="16"/>
    </row>
    <row r="194" spans="1:32" x14ac:dyDescent="0.2">
      <c r="A194" s="16"/>
      <c r="B194" s="16"/>
      <c r="C194" s="16"/>
      <c r="D194" s="16"/>
      <c r="E194" s="16"/>
      <c r="F194" s="109"/>
      <c r="G194" s="109"/>
      <c r="H194" s="109"/>
      <c r="I194" s="109"/>
      <c r="J194" s="109"/>
      <c r="K194" s="109"/>
      <c r="L194" s="109"/>
      <c r="M194" s="109"/>
      <c r="N194" s="109"/>
      <c r="O194" s="109"/>
      <c r="P194" s="109"/>
      <c r="Q194" s="109"/>
      <c r="R194" s="16"/>
      <c r="S194" s="16"/>
      <c r="T194" s="109"/>
      <c r="U194" s="109"/>
      <c r="V194" s="109"/>
      <c r="W194" s="109"/>
      <c r="X194" s="109"/>
      <c r="Y194" s="109"/>
      <c r="Z194" s="109"/>
      <c r="AA194" s="109"/>
      <c r="AB194" s="109"/>
      <c r="AC194" s="16"/>
      <c r="AD194" s="16"/>
      <c r="AE194" s="16"/>
      <c r="AF194" s="16"/>
    </row>
    <row r="195" spans="1:32" x14ac:dyDescent="0.2">
      <c r="A195" s="16"/>
      <c r="B195" s="16"/>
      <c r="C195" s="16"/>
      <c r="D195" s="16"/>
      <c r="E195" s="16"/>
      <c r="F195" s="109"/>
      <c r="G195" s="109"/>
      <c r="H195" s="109"/>
      <c r="I195" s="109"/>
      <c r="J195" s="109"/>
      <c r="K195" s="109"/>
      <c r="L195" s="109"/>
      <c r="M195" s="109"/>
      <c r="N195" s="109"/>
      <c r="O195" s="109"/>
      <c r="P195" s="109"/>
      <c r="Q195" s="109"/>
      <c r="R195" s="16"/>
      <c r="S195" s="16"/>
      <c r="T195" s="109"/>
      <c r="U195" s="109"/>
      <c r="V195" s="109"/>
      <c r="W195" s="109"/>
      <c r="X195" s="109"/>
      <c r="Y195" s="109"/>
      <c r="Z195" s="109"/>
      <c r="AA195" s="109"/>
      <c r="AB195" s="109"/>
      <c r="AC195" s="16"/>
      <c r="AD195" s="16"/>
      <c r="AE195" s="16"/>
      <c r="AF195" s="16"/>
    </row>
    <row r="196" spans="1:32" x14ac:dyDescent="0.2">
      <c r="A196" s="16"/>
      <c r="B196" s="16"/>
      <c r="C196" s="16"/>
      <c r="D196" s="16"/>
      <c r="E196" s="16"/>
      <c r="F196" s="109"/>
      <c r="G196" s="109"/>
      <c r="H196" s="109"/>
      <c r="I196" s="109"/>
      <c r="J196" s="109"/>
      <c r="K196" s="109"/>
      <c r="L196" s="109"/>
      <c r="M196" s="109"/>
      <c r="N196" s="109"/>
      <c r="O196" s="109"/>
      <c r="P196" s="109"/>
      <c r="Q196" s="109"/>
      <c r="R196" s="16"/>
      <c r="S196" s="16"/>
      <c r="T196" s="109"/>
      <c r="U196" s="109"/>
      <c r="V196" s="109"/>
      <c r="W196" s="109"/>
      <c r="X196" s="109"/>
      <c r="Y196" s="109"/>
      <c r="Z196" s="109"/>
      <c r="AA196" s="109"/>
      <c r="AB196" s="109"/>
      <c r="AC196" s="16"/>
      <c r="AD196" s="16"/>
      <c r="AE196" s="16"/>
      <c r="AF196" s="16"/>
    </row>
    <row r="197" spans="1:32" x14ac:dyDescent="0.2">
      <c r="A197" s="16"/>
      <c r="B197" s="16"/>
      <c r="C197" s="16"/>
      <c r="D197" s="16"/>
      <c r="E197" s="16"/>
      <c r="F197" s="109"/>
      <c r="G197" s="109"/>
      <c r="H197" s="109"/>
      <c r="I197" s="109"/>
      <c r="J197" s="109"/>
      <c r="K197" s="109"/>
      <c r="L197" s="109"/>
      <c r="M197" s="109"/>
      <c r="N197" s="109"/>
      <c r="O197" s="109"/>
      <c r="P197" s="109"/>
      <c r="Q197" s="109"/>
      <c r="R197" s="16"/>
      <c r="S197" s="16"/>
      <c r="T197" s="109"/>
      <c r="U197" s="109"/>
      <c r="V197" s="109"/>
      <c r="W197" s="109"/>
      <c r="X197" s="109"/>
      <c r="Y197" s="109"/>
      <c r="Z197" s="109"/>
      <c r="AA197" s="109"/>
      <c r="AB197" s="109"/>
      <c r="AC197" s="16"/>
      <c r="AD197" s="16"/>
      <c r="AE197" s="16"/>
      <c r="AF197" s="16"/>
    </row>
    <row r="198" spans="1:32" x14ac:dyDescent="0.2">
      <c r="A198" s="16"/>
      <c r="B198" s="16"/>
      <c r="C198" s="16"/>
      <c r="D198" s="16"/>
      <c r="E198" s="16"/>
      <c r="F198" s="109"/>
      <c r="G198" s="109"/>
      <c r="H198" s="109"/>
      <c r="I198" s="109"/>
      <c r="J198" s="109"/>
      <c r="K198" s="109"/>
      <c r="L198" s="109"/>
      <c r="M198" s="109"/>
      <c r="N198" s="109"/>
      <c r="O198" s="109"/>
      <c r="P198" s="109"/>
      <c r="Q198" s="109"/>
      <c r="R198" s="16"/>
      <c r="S198" s="16"/>
      <c r="T198" s="109"/>
      <c r="U198" s="109"/>
      <c r="V198" s="109"/>
      <c r="W198" s="109"/>
      <c r="X198" s="109"/>
      <c r="Y198" s="109"/>
      <c r="Z198" s="109"/>
      <c r="AA198" s="109"/>
      <c r="AB198" s="109"/>
      <c r="AC198" s="16"/>
      <c r="AD198" s="16"/>
      <c r="AE198" s="16"/>
      <c r="AF198" s="16"/>
    </row>
    <row r="199" spans="1:32" x14ac:dyDescent="0.2">
      <c r="A199" s="16"/>
      <c r="B199" s="16"/>
      <c r="C199" s="16"/>
      <c r="D199" s="16"/>
      <c r="E199" s="16"/>
      <c r="F199" s="109"/>
      <c r="G199" s="109"/>
      <c r="H199" s="109"/>
      <c r="I199" s="109"/>
      <c r="J199" s="109"/>
      <c r="K199" s="109"/>
      <c r="L199" s="109"/>
      <c r="M199" s="109"/>
      <c r="N199" s="109"/>
      <c r="O199" s="109"/>
      <c r="P199" s="109"/>
      <c r="Q199" s="109"/>
      <c r="R199" s="16"/>
      <c r="S199" s="16"/>
      <c r="T199" s="109"/>
      <c r="U199" s="109"/>
      <c r="V199" s="109"/>
      <c r="W199" s="109"/>
      <c r="X199" s="109"/>
      <c r="Y199" s="109"/>
      <c r="Z199" s="109"/>
      <c r="AA199" s="109"/>
      <c r="AB199" s="109"/>
      <c r="AC199" s="16"/>
      <c r="AD199" s="16"/>
      <c r="AE199" s="16"/>
      <c r="AF199" s="16"/>
    </row>
    <row r="200" spans="1:32" x14ac:dyDescent="0.2">
      <c r="A200" s="16"/>
      <c r="B200" s="16"/>
      <c r="C200" s="16"/>
      <c r="D200" s="16"/>
      <c r="E200" s="16"/>
      <c r="F200" s="109"/>
      <c r="G200" s="109"/>
      <c r="H200" s="109"/>
      <c r="I200" s="109"/>
      <c r="J200" s="109"/>
      <c r="K200" s="109"/>
      <c r="L200" s="109"/>
      <c r="M200" s="109"/>
      <c r="N200" s="109"/>
      <c r="O200" s="109"/>
      <c r="P200" s="109"/>
      <c r="Q200" s="109"/>
      <c r="R200" s="16"/>
      <c r="S200" s="16"/>
      <c r="T200" s="109"/>
      <c r="U200" s="109"/>
      <c r="V200" s="109"/>
      <c r="W200" s="109"/>
      <c r="X200" s="109"/>
      <c r="Y200" s="109"/>
      <c r="Z200" s="109"/>
      <c r="AA200" s="109"/>
      <c r="AB200" s="109"/>
      <c r="AC200" s="16"/>
      <c r="AD200" s="16"/>
      <c r="AE200" s="16"/>
      <c r="AF200" s="16"/>
    </row>
    <row r="201" spans="1:32" x14ac:dyDescent="0.2">
      <c r="A201" s="16"/>
      <c r="B201" s="16"/>
      <c r="C201" s="16"/>
      <c r="D201" s="16"/>
      <c r="E201" s="16"/>
      <c r="F201" s="109"/>
      <c r="G201" s="109"/>
      <c r="H201" s="109"/>
      <c r="I201" s="109"/>
      <c r="J201" s="109"/>
      <c r="K201" s="109"/>
      <c r="L201" s="109"/>
      <c r="M201" s="109"/>
      <c r="N201" s="109"/>
      <c r="O201" s="109"/>
      <c r="P201" s="109"/>
      <c r="Q201" s="109"/>
      <c r="R201" s="16"/>
      <c r="S201" s="16"/>
      <c r="T201" s="109"/>
      <c r="U201" s="109"/>
      <c r="V201" s="109"/>
      <c r="W201" s="109"/>
      <c r="X201" s="109"/>
      <c r="Y201" s="109"/>
      <c r="Z201" s="109"/>
      <c r="AA201" s="109"/>
      <c r="AB201" s="109"/>
      <c r="AC201" s="16"/>
      <c r="AD201" s="16"/>
      <c r="AE201" s="16"/>
      <c r="AF201" s="16"/>
    </row>
    <row r="202" spans="1:32" x14ac:dyDescent="0.2">
      <c r="A202" s="16"/>
      <c r="B202" s="16"/>
      <c r="C202" s="16"/>
      <c r="D202" s="16"/>
      <c r="E202" s="16"/>
      <c r="F202" s="109"/>
      <c r="G202" s="109"/>
      <c r="H202" s="109"/>
      <c r="I202" s="109"/>
      <c r="J202" s="109"/>
      <c r="K202" s="109"/>
      <c r="L202" s="109"/>
      <c r="M202" s="109"/>
      <c r="N202" s="109"/>
      <c r="O202" s="109"/>
      <c r="P202" s="109"/>
      <c r="Q202" s="109"/>
      <c r="R202" s="16"/>
      <c r="S202" s="16"/>
      <c r="T202" s="109"/>
      <c r="U202" s="109"/>
      <c r="V202" s="109"/>
      <c r="W202" s="109"/>
      <c r="X202" s="109"/>
      <c r="Y202" s="109"/>
      <c r="Z202" s="109"/>
      <c r="AA202" s="109"/>
      <c r="AB202" s="109"/>
      <c r="AC202" s="16"/>
      <c r="AD202" s="16"/>
      <c r="AE202" s="16"/>
      <c r="AF202" s="16"/>
    </row>
    <row r="203" spans="1:32" x14ac:dyDescent="0.2">
      <c r="A203" s="16"/>
      <c r="B203" s="16"/>
      <c r="C203" s="16"/>
      <c r="D203" s="16"/>
      <c r="E203" s="16"/>
      <c r="F203" s="109"/>
      <c r="G203" s="109"/>
      <c r="H203" s="109"/>
      <c r="I203" s="109"/>
      <c r="J203" s="109"/>
      <c r="K203" s="109"/>
      <c r="L203" s="109"/>
      <c r="M203" s="109"/>
      <c r="N203" s="109"/>
      <c r="O203" s="109"/>
      <c r="P203" s="109"/>
      <c r="Q203" s="109"/>
      <c r="R203" s="16"/>
      <c r="S203" s="16"/>
      <c r="T203" s="109"/>
      <c r="U203" s="109"/>
      <c r="V203" s="109"/>
      <c r="W203" s="109"/>
      <c r="X203" s="109"/>
      <c r="Y203" s="109"/>
      <c r="Z203" s="109"/>
      <c r="AA203" s="109"/>
      <c r="AB203" s="109"/>
      <c r="AC203" s="16"/>
      <c r="AD203" s="16"/>
      <c r="AE203" s="16"/>
      <c r="AF203" s="16"/>
    </row>
    <row r="204" spans="1:32" x14ac:dyDescent="0.2">
      <c r="A204" s="16"/>
      <c r="B204" s="16"/>
      <c r="C204" s="16"/>
      <c r="D204" s="16"/>
      <c r="E204" s="16"/>
      <c r="F204" s="109"/>
      <c r="G204" s="109"/>
      <c r="H204" s="109"/>
      <c r="I204" s="109"/>
      <c r="J204" s="109"/>
      <c r="K204" s="109"/>
      <c r="L204" s="109"/>
      <c r="M204" s="109"/>
      <c r="N204" s="109"/>
      <c r="O204" s="109"/>
      <c r="P204" s="109"/>
      <c r="Q204" s="109"/>
      <c r="R204" s="16"/>
      <c r="S204" s="16"/>
      <c r="T204" s="109"/>
      <c r="U204" s="109"/>
      <c r="V204" s="109"/>
      <c r="W204" s="109"/>
      <c r="X204" s="109"/>
      <c r="Y204" s="109"/>
      <c r="Z204" s="109"/>
      <c r="AA204" s="109"/>
      <c r="AB204" s="109"/>
      <c r="AC204" s="16"/>
      <c r="AD204" s="16"/>
      <c r="AE204" s="16"/>
      <c r="AF204" s="16"/>
    </row>
    <row r="205" spans="1:32" x14ac:dyDescent="0.2">
      <c r="A205" s="16"/>
      <c r="B205" s="16"/>
      <c r="C205" s="16"/>
      <c r="D205" s="16"/>
      <c r="E205" s="16"/>
      <c r="F205" s="109"/>
      <c r="G205" s="109"/>
      <c r="H205" s="109"/>
      <c r="I205" s="109"/>
      <c r="J205" s="109"/>
      <c r="K205" s="109"/>
      <c r="L205" s="109"/>
      <c r="M205" s="109"/>
      <c r="N205" s="109"/>
      <c r="O205" s="109"/>
      <c r="P205" s="109"/>
      <c r="Q205" s="109"/>
      <c r="R205" s="16"/>
      <c r="S205" s="16"/>
      <c r="T205" s="109"/>
      <c r="U205" s="109"/>
      <c r="V205" s="109"/>
      <c r="W205" s="109"/>
      <c r="X205" s="109"/>
      <c r="Y205" s="109"/>
      <c r="Z205" s="109"/>
      <c r="AA205" s="109"/>
      <c r="AB205" s="109"/>
      <c r="AC205" s="16"/>
      <c r="AD205" s="16"/>
      <c r="AE205" s="16"/>
      <c r="AF205" s="16"/>
    </row>
    <row r="206" spans="1:32" x14ac:dyDescent="0.2">
      <c r="A206" s="16"/>
      <c r="B206" s="16"/>
      <c r="C206" s="16"/>
      <c r="D206" s="16"/>
      <c r="E206" s="16"/>
      <c r="F206" s="109"/>
      <c r="G206" s="109"/>
      <c r="H206" s="109"/>
      <c r="I206" s="109"/>
      <c r="J206" s="109"/>
      <c r="K206" s="109"/>
      <c r="L206" s="109"/>
      <c r="M206" s="109"/>
      <c r="N206" s="109"/>
      <c r="O206" s="109"/>
      <c r="P206" s="109"/>
      <c r="Q206" s="109"/>
      <c r="R206" s="16"/>
      <c r="S206" s="16"/>
      <c r="T206" s="109"/>
      <c r="U206" s="109"/>
      <c r="V206" s="109"/>
      <c r="W206" s="109"/>
      <c r="X206" s="109"/>
      <c r="Y206" s="109"/>
      <c r="Z206" s="109"/>
      <c r="AA206" s="109"/>
      <c r="AB206" s="109"/>
      <c r="AC206" s="16"/>
      <c r="AD206" s="16"/>
      <c r="AE206" s="16"/>
      <c r="AF206" s="16"/>
    </row>
    <row r="207" spans="1:32" x14ac:dyDescent="0.2">
      <c r="A207" s="16"/>
      <c r="B207" s="16"/>
      <c r="C207" s="16"/>
      <c r="D207" s="16"/>
      <c r="E207" s="16"/>
      <c r="F207" s="109"/>
      <c r="G207" s="109"/>
      <c r="H207" s="109"/>
      <c r="I207" s="109"/>
      <c r="J207" s="109"/>
      <c r="K207" s="109"/>
      <c r="L207" s="109"/>
      <c r="M207" s="109"/>
      <c r="N207" s="109"/>
      <c r="O207" s="109"/>
      <c r="P207" s="109"/>
      <c r="Q207" s="109"/>
      <c r="R207" s="16"/>
      <c r="S207" s="16"/>
      <c r="T207" s="109"/>
      <c r="U207" s="109"/>
      <c r="V207" s="109"/>
      <c r="W207" s="109"/>
      <c r="X207" s="109"/>
      <c r="Y207" s="109"/>
      <c r="Z207" s="109"/>
      <c r="AA207" s="109"/>
      <c r="AB207" s="109"/>
      <c r="AC207" s="16"/>
      <c r="AD207" s="16"/>
      <c r="AE207" s="16"/>
      <c r="AF207" s="16"/>
    </row>
    <row r="208" spans="1:32" x14ac:dyDescent="0.2">
      <c r="A208" s="16"/>
      <c r="B208" s="16"/>
      <c r="C208" s="16"/>
      <c r="D208" s="16"/>
      <c r="E208" s="16"/>
      <c r="F208" s="109"/>
      <c r="G208" s="109"/>
      <c r="H208" s="109"/>
      <c r="I208" s="109"/>
      <c r="J208" s="109"/>
      <c r="K208" s="109"/>
      <c r="L208" s="109"/>
      <c r="M208" s="109"/>
      <c r="N208" s="109"/>
      <c r="O208" s="109"/>
      <c r="P208" s="109"/>
      <c r="Q208" s="109"/>
      <c r="R208" s="16"/>
      <c r="S208" s="16"/>
      <c r="T208" s="109"/>
      <c r="U208" s="109"/>
      <c r="V208" s="109"/>
      <c r="W208" s="109"/>
      <c r="X208" s="109"/>
      <c r="Y208" s="109"/>
      <c r="Z208" s="109"/>
      <c r="AA208" s="109"/>
      <c r="AB208" s="109"/>
      <c r="AC208" s="16"/>
      <c r="AD208" s="16"/>
      <c r="AE208" s="16"/>
      <c r="AF208" s="16"/>
    </row>
    <row r="209" spans="1:32" x14ac:dyDescent="0.2">
      <c r="A209" s="16"/>
      <c r="B209" s="16"/>
      <c r="C209" s="16"/>
      <c r="D209" s="16"/>
      <c r="E209" s="16"/>
      <c r="F209" s="109"/>
      <c r="G209" s="109"/>
      <c r="H209" s="109"/>
      <c r="I209" s="109"/>
      <c r="J209" s="109"/>
      <c r="K209" s="109"/>
      <c r="L209" s="109"/>
      <c r="M209" s="109"/>
      <c r="N209" s="109"/>
      <c r="O209" s="109"/>
      <c r="P209" s="109"/>
      <c r="Q209" s="109"/>
      <c r="R209" s="16"/>
      <c r="S209" s="16"/>
      <c r="T209" s="109"/>
      <c r="U209" s="109"/>
      <c r="V209" s="109"/>
      <c r="W209" s="109"/>
      <c r="X209" s="109"/>
      <c r="Y209" s="109"/>
      <c r="Z209" s="109"/>
      <c r="AA209" s="109"/>
      <c r="AB209" s="109"/>
      <c r="AC209" s="16"/>
      <c r="AD209" s="16"/>
      <c r="AE209" s="16"/>
      <c r="AF209" s="16"/>
    </row>
    <row r="210" spans="1:32" x14ac:dyDescent="0.2">
      <c r="A210" s="16"/>
      <c r="B210" s="16"/>
      <c r="C210" s="16"/>
      <c r="D210" s="16"/>
      <c r="E210" s="16"/>
      <c r="F210" s="109"/>
      <c r="G210" s="109"/>
      <c r="H210" s="109"/>
      <c r="I210" s="109"/>
      <c r="J210" s="109"/>
      <c r="K210" s="109"/>
      <c r="L210" s="109"/>
      <c r="M210" s="109"/>
      <c r="N210" s="109"/>
      <c r="O210" s="109"/>
      <c r="P210" s="109"/>
      <c r="Q210" s="109"/>
      <c r="R210" s="16"/>
      <c r="S210" s="16"/>
      <c r="T210" s="109"/>
      <c r="U210" s="109"/>
      <c r="V210" s="109"/>
      <c r="W210" s="109"/>
      <c r="X210" s="109"/>
      <c r="Y210" s="109"/>
      <c r="Z210" s="109"/>
      <c r="AA210" s="109"/>
      <c r="AB210" s="109"/>
      <c r="AC210" s="16"/>
      <c r="AD210" s="16"/>
      <c r="AE210" s="16"/>
      <c r="AF210" s="16"/>
    </row>
    <row r="211" spans="1:32" x14ac:dyDescent="0.2">
      <c r="A211" s="16"/>
      <c r="B211" s="16"/>
      <c r="C211" s="16"/>
      <c r="D211" s="16"/>
      <c r="E211" s="16"/>
      <c r="F211" s="109"/>
      <c r="G211" s="109"/>
      <c r="H211" s="109"/>
      <c r="I211" s="109"/>
      <c r="J211" s="109"/>
      <c r="K211" s="109"/>
      <c r="L211" s="109"/>
      <c r="M211" s="109"/>
      <c r="N211" s="109"/>
      <c r="O211" s="109"/>
      <c r="P211" s="109"/>
      <c r="Q211" s="109"/>
      <c r="R211" s="16"/>
      <c r="S211" s="16"/>
      <c r="T211" s="109"/>
      <c r="U211" s="109"/>
      <c r="V211" s="109"/>
      <c r="W211" s="109"/>
      <c r="X211" s="109"/>
      <c r="Y211" s="109"/>
      <c r="Z211" s="109"/>
      <c r="AA211" s="109"/>
      <c r="AB211" s="109"/>
      <c r="AC211" s="16"/>
      <c r="AD211" s="16"/>
      <c r="AE211" s="16"/>
      <c r="AF211" s="16"/>
    </row>
    <row r="212" spans="1:32" x14ac:dyDescent="0.2">
      <c r="A212" s="16"/>
      <c r="B212" s="16"/>
      <c r="C212" s="16"/>
      <c r="D212" s="16"/>
      <c r="E212" s="16"/>
      <c r="F212" s="109"/>
      <c r="G212" s="109"/>
      <c r="H212" s="109"/>
      <c r="I212" s="109"/>
      <c r="J212" s="109"/>
      <c r="K212" s="109"/>
      <c r="L212" s="109"/>
      <c r="M212" s="109"/>
      <c r="N212" s="109"/>
      <c r="O212" s="109"/>
      <c r="P212" s="109"/>
      <c r="Q212" s="109"/>
      <c r="R212" s="16"/>
      <c r="S212" s="16"/>
      <c r="T212" s="109"/>
      <c r="U212" s="109"/>
      <c r="V212" s="109"/>
      <c r="W212" s="109"/>
      <c r="X212" s="109"/>
      <c r="Y212" s="109"/>
      <c r="Z212" s="109"/>
      <c r="AA212" s="109"/>
      <c r="AB212" s="109"/>
      <c r="AC212" s="16"/>
      <c r="AD212" s="16"/>
      <c r="AE212" s="16"/>
      <c r="AF212" s="16"/>
    </row>
    <row r="213" spans="1:32" x14ac:dyDescent="0.2">
      <c r="A213" s="16"/>
      <c r="B213" s="16"/>
      <c r="C213" s="16"/>
      <c r="D213" s="16"/>
      <c r="E213" s="16"/>
      <c r="F213" s="109"/>
      <c r="G213" s="109"/>
      <c r="H213" s="109"/>
      <c r="I213" s="109"/>
      <c r="J213" s="109"/>
      <c r="K213" s="109"/>
      <c r="L213" s="109"/>
      <c r="M213" s="109"/>
      <c r="N213" s="109"/>
      <c r="O213" s="109"/>
      <c r="P213" s="109"/>
      <c r="Q213" s="109"/>
      <c r="R213" s="16"/>
      <c r="S213" s="16"/>
      <c r="T213" s="109"/>
      <c r="U213" s="109"/>
      <c r="V213" s="109"/>
      <c r="W213" s="109"/>
      <c r="X213" s="109"/>
      <c r="Y213" s="109"/>
      <c r="Z213" s="109"/>
      <c r="AA213" s="109"/>
      <c r="AB213" s="109"/>
      <c r="AC213" s="16"/>
      <c r="AD213" s="16"/>
      <c r="AE213" s="16"/>
      <c r="AF213" s="16"/>
    </row>
    <row r="214" spans="1:32" x14ac:dyDescent="0.2">
      <c r="A214" s="16"/>
      <c r="B214" s="16"/>
      <c r="C214" s="16"/>
      <c r="D214" s="16"/>
      <c r="E214" s="16"/>
      <c r="F214" s="109"/>
      <c r="G214" s="109"/>
      <c r="H214" s="109"/>
      <c r="I214" s="109"/>
      <c r="J214" s="109"/>
      <c r="K214" s="109"/>
      <c r="L214" s="109"/>
      <c r="M214" s="109"/>
      <c r="N214" s="109"/>
      <c r="O214" s="109"/>
      <c r="P214" s="109"/>
      <c r="Q214" s="109"/>
      <c r="R214" s="16"/>
      <c r="S214" s="16"/>
      <c r="T214" s="109"/>
      <c r="U214" s="109"/>
      <c r="V214" s="109"/>
      <c r="W214" s="109"/>
      <c r="X214" s="109"/>
      <c r="Y214" s="109"/>
      <c r="Z214" s="109"/>
      <c r="AA214" s="109"/>
      <c r="AB214" s="109"/>
      <c r="AC214" s="16"/>
      <c r="AD214" s="16"/>
      <c r="AE214" s="16"/>
      <c r="AF214" s="16"/>
    </row>
    <row r="215" spans="1:32" x14ac:dyDescent="0.2">
      <c r="A215" s="16"/>
      <c r="B215" s="16"/>
      <c r="C215" s="16"/>
      <c r="D215" s="16"/>
      <c r="E215" s="16"/>
      <c r="F215" s="109"/>
      <c r="G215" s="109"/>
      <c r="H215" s="109"/>
      <c r="I215" s="109"/>
      <c r="J215" s="109"/>
      <c r="K215" s="109"/>
      <c r="L215" s="109"/>
      <c r="M215" s="109"/>
      <c r="N215" s="109"/>
      <c r="O215" s="109"/>
      <c r="P215" s="109"/>
      <c r="Q215" s="109"/>
      <c r="R215" s="16"/>
      <c r="S215" s="16"/>
      <c r="T215" s="109"/>
      <c r="U215" s="109"/>
      <c r="V215" s="109"/>
      <c r="W215" s="109"/>
      <c r="X215" s="109"/>
      <c r="Y215" s="109"/>
      <c r="Z215" s="109"/>
      <c r="AA215" s="109"/>
      <c r="AB215" s="109"/>
      <c r="AC215" s="16"/>
      <c r="AD215" s="16"/>
      <c r="AE215" s="16"/>
      <c r="AF215" s="16"/>
    </row>
    <row r="216" spans="1:32" x14ac:dyDescent="0.2">
      <c r="A216" s="16"/>
      <c r="B216" s="16"/>
      <c r="C216" s="16"/>
      <c r="D216" s="16"/>
      <c r="E216" s="16"/>
      <c r="F216" s="109"/>
      <c r="G216" s="109"/>
      <c r="H216" s="109"/>
      <c r="I216" s="109"/>
      <c r="J216" s="109"/>
      <c r="K216" s="109"/>
      <c r="L216" s="109"/>
      <c r="M216" s="109"/>
      <c r="N216" s="109"/>
      <c r="O216" s="109"/>
      <c r="P216" s="109"/>
      <c r="Q216" s="109"/>
      <c r="R216" s="16"/>
      <c r="S216" s="16"/>
      <c r="T216" s="109"/>
      <c r="U216" s="109"/>
      <c r="V216" s="109"/>
      <c r="W216" s="109"/>
      <c r="X216" s="109"/>
      <c r="Y216" s="109"/>
      <c r="Z216" s="109"/>
      <c r="AA216" s="109"/>
      <c r="AB216" s="109"/>
      <c r="AC216" s="16"/>
      <c r="AD216" s="16"/>
      <c r="AE216" s="16"/>
      <c r="AF216" s="16"/>
    </row>
    <row r="217" spans="1:32" x14ac:dyDescent="0.2">
      <c r="A217" s="16"/>
      <c r="B217" s="16"/>
      <c r="C217" s="16"/>
      <c r="D217" s="16"/>
      <c r="E217" s="16"/>
      <c r="F217" s="109"/>
      <c r="G217" s="109"/>
      <c r="H217" s="109"/>
      <c r="I217" s="109"/>
      <c r="J217" s="109"/>
      <c r="K217" s="109"/>
      <c r="L217" s="109"/>
      <c r="M217" s="109"/>
      <c r="N217" s="109"/>
      <c r="O217" s="109"/>
      <c r="P217" s="109"/>
      <c r="Q217" s="109"/>
      <c r="R217" s="16"/>
      <c r="S217" s="16"/>
      <c r="T217" s="109"/>
      <c r="U217" s="109"/>
      <c r="V217" s="109"/>
      <c r="W217" s="109"/>
      <c r="X217" s="109"/>
      <c r="Y217" s="109"/>
      <c r="Z217" s="109"/>
      <c r="AA217" s="109"/>
      <c r="AB217" s="109"/>
      <c r="AC217" s="16"/>
      <c r="AD217" s="16"/>
      <c r="AE217" s="16"/>
      <c r="AF217" s="16"/>
    </row>
    <row r="218" spans="1:32" x14ac:dyDescent="0.2">
      <c r="A218" s="16"/>
      <c r="B218" s="16"/>
      <c r="C218" s="16"/>
      <c r="D218" s="16"/>
      <c r="E218" s="16"/>
      <c r="F218" s="109"/>
      <c r="G218" s="109"/>
      <c r="H218" s="109"/>
      <c r="I218" s="109"/>
      <c r="J218" s="109"/>
      <c r="K218" s="109"/>
      <c r="L218" s="109"/>
      <c r="M218" s="109"/>
      <c r="N218" s="109"/>
      <c r="O218" s="109"/>
      <c r="P218" s="109"/>
      <c r="Q218" s="109"/>
      <c r="R218" s="16"/>
      <c r="S218" s="16"/>
      <c r="T218" s="109"/>
      <c r="U218" s="109"/>
      <c r="V218" s="109"/>
      <c r="W218" s="109"/>
      <c r="X218" s="109"/>
      <c r="Y218" s="109"/>
      <c r="Z218" s="109"/>
      <c r="AA218" s="109"/>
      <c r="AB218" s="109"/>
      <c r="AC218" s="16"/>
      <c r="AD218" s="16"/>
      <c r="AE218" s="16"/>
      <c r="AF218" s="16"/>
    </row>
    <row r="219" spans="1:32" x14ac:dyDescent="0.2">
      <c r="A219" s="16"/>
      <c r="B219" s="16"/>
      <c r="C219" s="16"/>
      <c r="D219" s="16"/>
      <c r="E219" s="16"/>
      <c r="F219" s="109"/>
      <c r="G219" s="109"/>
      <c r="H219" s="109"/>
      <c r="I219" s="109"/>
      <c r="J219" s="109"/>
      <c r="K219" s="109"/>
      <c r="L219" s="109"/>
      <c r="M219" s="109"/>
      <c r="N219" s="109"/>
      <c r="O219" s="109"/>
      <c r="P219" s="109"/>
      <c r="Q219" s="109"/>
      <c r="R219" s="16"/>
      <c r="S219" s="16"/>
      <c r="T219" s="109"/>
      <c r="U219" s="109"/>
      <c r="V219" s="109"/>
      <c r="W219" s="109"/>
      <c r="X219" s="109"/>
      <c r="Y219" s="109"/>
      <c r="Z219" s="109"/>
      <c r="AA219" s="109"/>
      <c r="AB219" s="109"/>
      <c r="AC219" s="16"/>
      <c r="AD219" s="16"/>
      <c r="AE219" s="16"/>
      <c r="AF219" s="16"/>
    </row>
    <row r="220" spans="1:32" x14ac:dyDescent="0.2">
      <c r="A220" s="16"/>
      <c r="B220" s="16"/>
      <c r="C220" s="16"/>
      <c r="D220" s="16"/>
      <c r="E220" s="16"/>
      <c r="F220" s="109"/>
      <c r="G220" s="109"/>
      <c r="H220" s="109"/>
      <c r="I220" s="109"/>
      <c r="J220" s="109"/>
      <c r="K220" s="109"/>
      <c r="L220" s="109"/>
      <c r="M220" s="109"/>
      <c r="N220" s="109"/>
      <c r="O220" s="109"/>
      <c r="P220" s="109"/>
      <c r="Q220" s="109"/>
      <c r="R220" s="16"/>
      <c r="S220" s="16"/>
      <c r="T220" s="109"/>
      <c r="U220" s="109"/>
      <c r="V220" s="109"/>
      <c r="W220" s="109"/>
      <c r="X220" s="109"/>
      <c r="Y220" s="109"/>
      <c r="Z220" s="109"/>
      <c r="AA220" s="109"/>
      <c r="AB220" s="109"/>
      <c r="AC220" s="16"/>
      <c r="AD220" s="16"/>
      <c r="AE220" s="16"/>
      <c r="AF220" s="16"/>
    </row>
    <row r="221" spans="1:32" x14ac:dyDescent="0.2">
      <c r="A221" s="16"/>
      <c r="B221" s="16"/>
      <c r="C221" s="16"/>
      <c r="D221" s="16"/>
      <c r="E221" s="16"/>
      <c r="F221" s="109"/>
      <c r="G221" s="109"/>
      <c r="H221" s="109"/>
      <c r="I221" s="109"/>
      <c r="J221" s="109"/>
      <c r="K221" s="109"/>
      <c r="L221" s="109"/>
      <c r="M221" s="109"/>
      <c r="N221" s="109"/>
      <c r="O221" s="109"/>
      <c r="P221" s="109"/>
      <c r="Q221" s="109"/>
      <c r="R221" s="16"/>
      <c r="S221" s="16"/>
      <c r="T221" s="109"/>
      <c r="U221" s="109"/>
      <c r="V221" s="109"/>
      <c r="W221" s="109"/>
      <c r="X221" s="109"/>
      <c r="Y221" s="109"/>
      <c r="Z221" s="109"/>
      <c r="AA221" s="109"/>
      <c r="AB221" s="109"/>
      <c r="AC221" s="16"/>
      <c r="AD221" s="16"/>
      <c r="AE221" s="16"/>
      <c r="AF221" s="16"/>
    </row>
    <row r="222" spans="1:32" x14ac:dyDescent="0.2">
      <c r="A222" s="16"/>
      <c r="B222" s="16"/>
      <c r="C222" s="16"/>
      <c r="D222" s="16"/>
      <c r="E222" s="16"/>
      <c r="F222" s="109"/>
      <c r="G222" s="109"/>
      <c r="H222" s="109"/>
      <c r="I222" s="109"/>
      <c r="J222" s="109"/>
      <c r="K222" s="109"/>
      <c r="L222" s="109"/>
      <c r="M222" s="109"/>
      <c r="N222" s="109"/>
      <c r="O222" s="109"/>
      <c r="P222" s="109"/>
      <c r="Q222" s="109"/>
      <c r="R222" s="16"/>
      <c r="S222" s="16"/>
      <c r="T222" s="109"/>
      <c r="U222" s="109"/>
      <c r="V222" s="109"/>
      <c r="W222" s="109"/>
      <c r="X222" s="109"/>
      <c r="Y222" s="109"/>
      <c r="Z222" s="109"/>
      <c r="AA222" s="109"/>
      <c r="AB222" s="109"/>
      <c r="AC222" s="16"/>
      <c r="AD222" s="16"/>
      <c r="AE222" s="16"/>
      <c r="AF222" s="16"/>
    </row>
    <row r="223" spans="1:32" x14ac:dyDescent="0.2">
      <c r="A223" s="16"/>
      <c r="B223" s="16"/>
      <c r="C223" s="16"/>
      <c r="D223" s="16"/>
      <c r="E223" s="16"/>
      <c r="F223" s="109"/>
      <c r="G223" s="109"/>
      <c r="H223" s="109"/>
      <c r="I223" s="109"/>
      <c r="J223" s="109"/>
      <c r="K223" s="109"/>
      <c r="L223" s="109"/>
      <c r="M223" s="109"/>
      <c r="N223" s="109"/>
      <c r="O223" s="109"/>
      <c r="P223" s="109"/>
      <c r="Q223" s="109"/>
      <c r="R223" s="16"/>
      <c r="S223" s="16"/>
      <c r="T223" s="109"/>
      <c r="U223" s="109"/>
      <c r="V223" s="109"/>
      <c r="W223" s="109"/>
      <c r="X223" s="109"/>
      <c r="Y223" s="109"/>
      <c r="Z223" s="109"/>
      <c r="AA223" s="109"/>
      <c r="AB223" s="109"/>
      <c r="AC223" s="16"/>
      <c r="AD223" s="16"/>
      <c r="AE223" s="16"/>
      <c r="AF223" s="16"/>
    </row>
    <row r="224" spans="1:32" x14ac:dyDescent="0.2">
      <c r="A224" s="16"/>
      <c r="B224" s="16"/>
      <c r="C224" s="16"/>
      <c r="D224" s="16"/>
      <c r="E224" s="16"/>
      <c r="F224" s="109"/>
      <c r="G224" s="109"/>
      <c r="H224" s="109"/>
      <c r="I224" s="109"/>
      <c r="J224" s="109"/>
      <c r="K224" s="109"/>
      <c r="L224" s="109"/>
      <c r="M224" s="109"/>
      <c r="N224" s="109"/>
      <c r="O224" s="109"/>
      <c r="P224" s="109"/>
      <c r="Q224" s="109"/>
      <c r="R224" s="16"/>
      <c r="S224" s="16"/>
      <c r="T224" s="109"/>
      <c r="U224" s="109"/>
      <c r="V224" s="109"/>
      <c r="W224" s="109"/>
      <c r="X224" s="109"/>
      <c r="Y224" s="109"/>
      <c r="Z224" s="109"/>
      <c r="AA224" s="109"/>
      <c r="AB224" s="109"/>
      <c r="AC224" s="16"/>
      <c r="AD224" s="16"/>
      <c r="AE224" s="16"/>
      <c r="AF224" s="16"/>
    </row>
    <row r="225" spans="1:32" x14ac:dyDescent="0.2">
      <c r="A225" s="16"/>
      <c r="B225" s="16"/>
      <c r="C225" s="16"/>
      <c r="D225" s="16"/>
      <c r="E225" s="16"/>
      <c r="F225" s="109"/>
      <c r="G225" s="109"/>
      <c r="H225" s="109"/>
      <c r="I225" s="109"/>
      <c r="J225" s="109"/>
      <c r="K225" s="109"/>
      <c r="L225" s="109"/>
      <c r="M225" s="109"/>
      <c r="N225" s="109"/>
      <c r="O225" s="109"/>
      <c r="P225" s="109"/>
      <c r="Q225" s="109"/>
      <c r="R225" s="16"/>
      <c r="S225" s="16"/>
      <c r="T225" s="109"/>
      <c r="U225" s="109"/>
      <c r="V225" s="109"/>
      <c r="W225" s="109"/>
      <c r="X225" s="109"/>
      <c r="Y225" s="109"/>
      <c r="Z225" s="109"/>
      <c r="AA225" s="109"/>
      <c r="AB225" s="109"/>
      <c r="AC225" s="16"/>
      <c r="AD225" s="16"/>
      <c r="AE225" s="16"/>
      <c r="AF225" s="16"/>
    </row>
    <row r="226" spans="1:32" x14ac:dyDescent="0.2">
      <c r="A226" s="16"/>
      <c r="B226" s="16"/>
      <c r="C226" s="16"/>
      <c r="D226" s="16"/>
      <c r="E226" s="16"/>
      <c r="F226" s="109"/>
      <c r="G226" s="109"/>
      <c r="H226" s="109"/>
      <c r="I226" s="109"/>
      <c r="J226" s="109"/>
      <c r="K226" s="109"/>
      <c r="L226" s="109"/>
      <c r="M226" s="109"/>
      <c r="N226" s="109"/>
      <c r="O226" s="109"/>
      <c r="P226" s="109"/>
      <c r="Q226" s="109"/>
      <c r="R226" s="16"/>
      <c r="S226" s="16"/>
      <c r="T226" s="109"/>
      <c r="U226" s="109"/>
      <c r="V226" s="109"/>
      <c r="W226" s="109"/>
      <c r="X226" s="109"/>
      <c r="Y226" s="109"/>
      <c r="Z226" s="109"/>
      <c r="AA226" s="109"/>
      <c r="AB226" s="109"/>
      <c r="AC226" s="16"/>
      <c r="AD226" s="16"/>
      <c r="AE226" s="16"/>
      <c r="AF226" s="16"/>
    </row>
    <row r="227" spans="1:32" x14ac:dyDescent="0.2">
      <c r="A227" s="16"/>
      <c r="B227" s="16"/>
      <c r="C227" s="16"/>
      <c r="D227" s="16"/>
      <c r="E227" s="16"/>
      <c r="F227" s="109"/>
      <c r="G227" s="109"/>
      <c r="H227" s="109"/>
      <c r="I227" s="109"/>
      <c r="J227" s="109"/>
      <c r="K227" s="109"/>
      <c r="L227" s="109"/>
      <c r="M227" s="109"/>
      <c r="N227" s="109"/>
      <c r="O227" s="109"/>
      <c r="P227" s="109"/>
      <c r="Q227" s="109"/>
      <c r="R227" s="16"/>
      <c r="S227" s="16"/>
      <c r="T227" s="109"/>
      <c r="U227" s="109"/>
      <c r="V227" s="109"/>
      <c r="W227" s="109"/>
      <c r="X227" s="109"/>
      <c r="Y227" s="109"/>
      <c r="Z227" s="109"/>
      <c r="AA227" s="109"/>
      <c r="AB227" s="109"/>
      <c r="AC227" s="16"/>
      <c r="AD227" s="16"/>
      <c r="AE227" s="16"/>
      <c r="AF227" s="16"/>
    </row>
    <row r="228" spans="1:32" x14ac:dyDescent="0.2">
      <c r="A228" s="16"/>
      <c r="B228" s="16"/>
      <c r="C228" s="16"/>
      <c r="D228" s="16"/>
      <c r="E228" s="16"/>
      <c r="F228" s="109"/>
      <c r="G228" s="109"/>
      <c r="H228" s="109"/>
      <c r="I228" s="109"/>
      <c r="J228" s="109"/>
      <c r="K228" s="109"/>
      <c r="L228" s="109"/>
      <c r="M228" s="109"/>
      <c r="N228" s="109"/>
      <c r="O228" s="109"/>
      <c r="P228" s="109"/>
      <c r="Q228" s="109"/>
      <c r="R228" s="16"/>
      <c r="S228" s="16"/>
      <c r="T228" s="109"/>
      <c r="U228" s="109"/>
      <c r="V228" s="109"/>
      <c r="W228" s="109"/>
      <c r="X228" s="109"/>
      <c r="Y228" s="109"/>
      <c r="Z228" s="109"/>
      <c r="AA228" s="109"/>
      <c r="AB228" s="109"/>
      <c r="AC228" s="16"/>
      <c r="AD228" s="16"/>
      <c r="AE228" s="16"/>
      <c r="AF228" s="16"/>
    </row>
    <row r="229" spans="1:32" x14ac:dyDescent="0.2">
      <c r="A229" s="16"/>
      <c r="B229" s="16"/>
      <c r="C229" s="16"/>
      <c r="D229" s="16"/>
      <c r="E229" s="16"/>
      <c r="F229" s="109"/>
      <c r="G229" s="109"/>
      <c r="H229" s="109"/>
      <c r="I229" s="109"/>
      <c r="J229" s="109"/>
      <c r="K229" s="109"/>
      <c r="L229" s="109"/>
      <c r="M229" s="109"/>
      <c r="N229" s="109"/>
      <c r="O229" s="109"/>
      <c r="P229" s="109"/>
      <c r="Q229" s="109"/>
      <c r="R229" s="16"/>
      <c r="S229" s="16"/>
      <c r="T229" s="109"/>
      <c r="U229" s="109"/>
      <c r="V229" s="109"/>
      <c r="W229" s="109"/>
      <c r="X229" s="109"/>
      <c r="Y229" s="109"/>
      <c r="Z229" s="109"/>
      <c r="AA229" s="109"/>
      <c r="AB229" s="109"/>
      <c r="AC229" s="16"/>
      <c r="AD229" s="16"/>
      <c r="AE229" s="16"/>
      <c r="AF229" s="16"/>
    </row>
    <row r="230" spans="1:32" x14ac:dyDescent="0.2">
      <c r="A230" s="16"/>
      <c r="B230" s="16"/>
      <c r="C230" s="16"/>
      <c r="D230" s="16"/>
      <c r="E230" s="16"/>
      <c r="F230" s="109"/>
      <c r="G230" s="109"/>
      <c r="H230" s="109"/>
      <c r="I230" s="109"/>
      <c r="J230" s="109"/>
      <c r="K230" s="109"/>
      <c r="L230" s="109"/>
      <c r="M230" s="109"/>
      <c r="N230" s="109"/>
      <c r="O230" s="109"/>
      <c r="P230" s="109"/>
      <c r="Q230" s="109"/>
      <c r="R230" s="16"/>
      <c r="S230" s="16"/>
      <c r="T230" s="109"/>
      <c r="U230" s="109"/>
      <c r="V230" s="109"/>
      <c r="W230" s="109"/>
      <c r="X230" s="109"/>
      <c r="Y230" s="109"/>
      <c r="Z230" s="109"/>
      <c r="AA230" s="109"/>
      <c r="AB230" s="109"/>
      <c r="AC230" s="16"/>
      <c r="AD230" s="16"/>
      <c r="AE230" s="16"/>
      <c r="AF230" s="16"/>
    </row>
    <row r="231" spans="1:32" x14ac:dyDescent="0.2">
      <c r="A231" s="16"/>
      <c r="B231" s="16"/>
      <c r="C231" s="16"/>
      <c r="D231" s="16"/>
      <c r="E231" s="16"/>
      <c r="F231" s="109"/>
      <c r="G231" s="109"/>
      <c r="H231" s="109"/>
      <c r="I231" s="109"/>
      <c r="J231" s="109"/>
      <c r="K231" s="109"/>
      <c r="L231" s="109"/>
      <c r="M231" s="109"/>
      <c r="N231" s="109"/>
      <c r="O231" s="109"/>
      <c r="P231" s="109"/>
      <c r="Q231" s="109"/>
      <c r="R231" s="16"/>
      <c r="S231" s="16"/>
      <c r="T231" s="109"/>
      <c r="U231" s="109"/>
      <c r="V231" s="109"/>
      <c r="W231" s="109"/>
      <c r="X231" s="109"/>
      <c r="Y231" s="109"/>
      <c r="Z231" s="109"/>
      <c r="AA231" s="109"/>
      <c r="AB231" s="109"/>
      <c r="AC231" s="16"/>
      <c r="AD231" s="16"/>
      <c r="AE231" s="16"/>
      <c r="AF231" s="16"/>
    </row>
    <row r="232" spans="1:32" x14ac:dyDescent="0.2">
      <c r="A232" s="16"/>
      <c r="B232" s="16"/>
      <c r="C232" s="16"/>
      <c r="D232" s="16"/>
      <c r="E232" s="16"/>
      <c r="F232" s="109"/>
      <c r="G232" s="109"/>
      <c r="H232" s="109"/>
      <c r="I232" s="109"/>
      <c r="J232" s="109"/>
      <c r="K232" s="109"/>
      <c r="L232" s="109"/>
      <c r="M232" s="109"/>
      <c r="N232" s="109"/>
      <c r="O232" s="109"/>
      <c r="P232" s="109"/>
      <c r="Q232" s="109"/>
      <c r="R232" s="16"/>
      <c r="S232" s="16"/>
      <c r="T232" s="109"/>
      <c r="U232" s="109"/>
      <c r="V232" s="109"/>
      <c r="W232" s="109"/>
      <c r="X232" s="109"/>
      <c r="Y232" s="109"/>
      <c r="Z232" s="109"/>
      <c r="AA232" s="109"/>
      <c r="AB232" s="109"/>
      <c r="AC232" s="16"/>
      <c r="AD232" s="16"/>
      <c r="AE232" s="16"/>
      <c r="AF232" s="16"/>
    </row>
    <row r="233" spans="1:32" x14ac:dyDescent="0.2">
      <c r="A233" s="16"/>
      <c r="B233" s="16"/>
      <c r="C233" s="16"/>
      <c r="D233" s="16"/>
      <c r="E233" s="16"/>
      <c r="F233" s="109"/>
      <c r="G233" s="109"/>
      <c r="H233" s="109"/>
      <c r="I233" s="109"/>
      <c r="J233" s="109"/>
      <c r="K233" s="109"/>
      <c r="L233" s="109"/>
      <c r="M233" s="109"/>
      <c r="N233" s="109"/>
      <c r="O233" s="109"/>
      <c r="P233" s="109"/>
      <c r="Q233" s="109"/>
      <c r="R233" s="16"/>
      <c r="S233" s="16"/>
      <c r="T233" s="109"/>
      <c r="U233" s="109"/>
      <c r="V233" s="109"/>
      <c r="W233" s="109"/>
      <c r="X233" s="109"/>
      <c r="Y233" s="109"/>
      <c r="Z233" s="109"/>
      <c r="AA233" s="109"/>
      <c r="AB233" s="109"/>
      <c r="AC233" s="16"/>
      <c r="AD233" s="16"/>
      <c r="AE233" s="16"/>
      <c r="AF233" s="16"/>
    </row>
    <row r="234" spans="1:32" x14ac:dyDescent="0.2">
      <c r="A234" s="16"/>
      <c r="B234" s="16"/>
      <c r="C234" s="16"/>
      <c r="D234" s="16"/>
      <c r="E234" s="16"/>
      <c r="F234" s="109"/>
      <c r="G234" s="109"/>
      <c r="H234" s="109"/>
      <c r="I234" s="109"/>
      <c r="J234" s="109"/>
      <c r="K234" s="109"/>
      <c r="L234" s="109"/>
      <c r="M234" s="109"/>
      <c r="N234" s="109"/>
      <c r="O234" s="109"/>
      <c r="P234" s="109"/>
      <c r="Q234" s="109"/>
      <c r="R234" s="16"/>
      <c r="S234" s="16"/>
      <c r="T234" s="109"/>
      <c r="U234" s="109"/>
      <c r="V234" s="109"/>
      <c r="W234" s="109"/>
      <c r="X234" s="109"/>
      <c r="Y234" s="109"/>
      <c r="Z234" s="109"/>
      <c r="AA234" s="109"/>
      <c r="AB234" s="109"/>
      <c r="AC234" s="16"/>
      <c r="AD234" s="16"/>
      <c r="AE234" s="16"/>
      <c r="AF234" s="16"/>
    </row>
    <row r="235" spans="1:32" x14ac:dyDescent="0.2">
      <c r="A235" s="16"/>
      <c r="B235" s="16"/>
      <c r="C235" s="16"/>
      <c r="D235" s="16"/>
      <c r="E235" s="16"/>
      <c r="F235" s="109"/>
      <c r="G235" s="109"/>
      <c r="H235" s="109"/>
      <c r="I235" s="109"/>
      <c r="J235" s="109"/>
      <c r="K235" s="109"/>
      <c r="L235" s="109"/>
      <c r="M235" s="109"/>
      <c r="N235" s="109"/>
      <c r="O235" s="109"/>
      <c r="P235" s="109"/>
      <c r="Q235" s="109"/>
      <c r="R235" s="16"/>
      <c r="S235" s="16"/>
      <c r="T235" s="109"/>
      <c r="U235" s="109"/>
      <c r="V235" s="109"/>
      <c r="W235" s="109"/>
      <c r="X235" s="109"/>
      <c r="Y235" s="109"/>
      <c r="Z235" s="109"/>
      <c r="AA235" s="109"/>
      <c r="AB235" s="109"/>
      <c r="AC235" s="16"/>
      <c r="AD235" s="16"/>
      <c r="AE235" s="16"/>
      <c r="AF235" s="16"/>
    </row>
    <row r="236" spans="1:32" x14ac:dyDescent="0.2">
      <c r="A236" s="16"/>
      <c r="B236" s="16"/>
      <c r="C236" s="16"/>
      <c r="D236" s="16"/>
      <c r="E236" s="16"/>
      <c r="F236" s="109"/>
      <c r="G236" s="109"/>
      <c r="H236" s="109"/>
      <c r="I236" s="109"/>
      <c r="J236" s="109"/>
      <c r="K236" s="109"/>
      <c r="L236" s="109"/>
      <c r="M236" s="109"/>
      <c r="N236" s="109"/>
      <c r="O236" s="109"/>
      <c r="P236" s="109"/>
      <c r="Q236" s="109"/>
      <c r="R236" s="16"/>
      <c r="S236" s="16"/>
      <c r="T236" s="109"/>
      <c r="U236" s="109"/>
      <c r="V236" s="109"/>
      <c r="W236" s="109"/>
      <c r="X236" s="109"/>
      <c r="Y236" s="109"/>
      <c r="Z236" s="109"/>
      <c r="AA236" s="109"/>
      <c r="AB236" s="109"/>
      <c r="AC236" s="16"/>
      <c r="AD236" s="16"/>
      <c r="AE236" s="16"/>
      <c r="AF236" s="16"/>
    </row>
    <row r="237" spans="1:32" x14ac:dyDescent="0.2">
      <c r="A237" s="16"/>
      <c r="B237" s="16"/>
      <c r="C237" s="16"/>
      <c r="D237" s="16"/>
      <c r="E237" s="16"/>
      <c r="F237" s="109"/>
      <c r="G237" s="109"/>
      <c r="H237" s="109"/>
      <c r="I237" s="109"/>
      <c r="J237" s="109"/>
      <c r="K237" s="109"/>
      <c r="L237" s="109"/>
      <c r="M237" s="109"/>
      <c r="N237" s="109"/>
      <c r="O237" s="109"/>
      <c r="P237" s="109"/>
      <c r="Q237" s="109"/>
      <c r="R237" s="16"/>
      <c r="S237" s="16"/>
      <c r="T237" s="109"/>
      <c r="U237" s="109"/>
      <c r="V237" s="109"/>
      <c r="W237" s="109"/>
      <c r="X237" s="109"/>
      <c r="Y237" s="109"/>
      <c r="Z237" s="109"/>
      <c r="AA237" s="109"/>
      <c r="AB237" s="109"/>
      <c r="AC237" s="16"/>
      <c r="AD237" s="16"/>
      <c r="AE237" s="16"/>
      <c r="AF237" s="16"/>
    </row>
    <row r="238" spans="1:32" x14ac:dyDescent="0.2">
      <c r="A238" s="16"/>
      <c r="B238" s="16"/>
      <c r="C238" s="16"/>
      <c r="D238" s="16"/>
      <c r="E238" s="16"/>
      <c r="F238" s="109"/>
      <c r="G238" s="109"/>
      <c r="H238" s="109"/>
      <c r="I238" s="109"/>
      <c r="J238" s="109"/>
      <c r="K238" s="109"/>
      <c r="L238" s="109"/>
      <c r="M238" s="109"/>
      <c r="N238" s="109"/>
      <c r="O238" s="109"/>
      <c r="P238" s="109"/>
      <c r="Q238" s="109"/>
      <c r="R238" s="16"/>
      <c r="S238" s="16"/>
      <c r="T238" s="109"/>
      <c r="U238" s="109"/>
      <c r="V238" s="109"/>
      <c r="W238" s="109"/>
      <c r="X238" s="109"/>
      <c r="Y238" s="109"/>
      <c r="Z238" s="109"/>
      <c r="AA238" s="109"/>
      <c r="AB238" s="109"/>
      <c r="AC238" s="16"/>
      <c r="AD238" s="16"/>
      <c r="AE238" s="16"/>
      <c r="AF238" s="16"/>
    </row>
    <row r="239" spans="1:32" x14ac:dyDescent="0.2">
      <c r="A239" s="16"/>
      <c r="B239" s="16"/>
      <c r="C239" s="16"/>
      <c r="D239" s="16"/>
      <c r="E239" s="16"/>
      <c r="F239" s="109"/>
      <c r="G239" s="109"/>
      <c r="H239" s="109"/>
      <c r="I239" s="109"/>
      <c r="J239" s="109"/>
      <c r="K239" s="109"/>
      <c r="L239" s="109"/>
      <c r="M239" s="109"/>
      <c r="N239" s="109"/>
      <c r="O239" s="109"/>
      <c r="P239" s="109"/>
      <c r="Q239" s="109"/>
      <c r="R239" s="16"/>
      <c r="S239" s="16"/>
      <c r="T239" s="109"/>
      <c r="U239" s="109"/>
      <c r="V239" s="109"/>
      <c r="W239" s="109"/>
      <c r="X239" s="109"/>
      <c r="Y239" s="109"/>
      <c r="Z239" s="109"/>
      <c r="AA239" s="109"/>
      <c r="AB239" s="109"/>
      <c r="AC239" s="16"/>
      <c r="AD239" s="16"/>
      <c r="AE239" s="16"/>
      <c r="AF239" s="16"/>
    </row>
    <row r="240" spans="1:32" x14ac:dyDescent="0.2">
      <c r="A240" s="16"/>
      <c r="B240" s="16"/>
      <c r="C240" s="16"/>
      <c r="D240" s="16"/>
      <c r="E240" s="16"/>
      <c r="F240" s="109"/>
      <c r="G240" s="109"/>
      <c r="H240" s="109"/>
      <c r="I240" s="109"/>
      <c r="J240" s="109"/>
      <c r="K240" s="109"/>
      <c r="L240" s="109"/>
      <c r="M240" s="109"/>
      <c r="N240" s="109"/>
      <c r="O240" s="109"/>
      <c r="P240" s="109"/>
      <c r="Q240" s="109"/>
      <c r="R240" s="16"/>
      <c r="S240" s="16"/>
      <c r="T240" s="109"/>
      <c r="U240" s="109"/>
      <c r="V240" s="109"/>
      <c r="W240" s="109"/>
      <c r="X240" s="109"/>
      <c r="Y240" s="109"/>
      <c r="Z240" s="109"/>
      <c r="AA240" s="109"/>
      <c r="AB240" s="109"/>
      <c r="AC240" s="16"/>
      <c r="AD240" s="16"/>
      <c r="AE240" s="16"/>
      <c r="AF240" s="16"/>
    </row>
    <row r="241" spans="1:32" x14ac:dyDescent="0.2">
      <c r="A241" s="16"/>
      <c r="B241" s="16"/>
      <c r="C241" s="16"/>
      <c r="D241" s="16"/>
      <c r="E241" s="16"/>
      <c r="F241" s="109"/>
      <c r="G241" s="109"/>
      <c r="H241" s="109"/>
      <c r="I241" s="109"/>
      <c r="J241" s="109"/>
      <c r="K241" s="109"/>
      <c r="L241" s="109"/>
      <c r="M241" s="109"/>
      <c r="N241" s="109"/>
      <c r="O241" s="109"/>
      <c r="P241" s="109"/>
      <c r="Q241" s="109"/>
      <c r="R241" s="16"/>
      <c r="S241" s="16"/>
      <c r="T241" s="109"/>
      <c r="U241" s="109"/>
      <c r="V241" s="109"/>
      <c r="W241" s="109"/>
      <c r="X241" s="109"/>
      <c r="Y241" s="109"/>
      <c r="Z241" s="109"/>
      <c r="AA241" s="109"/>
      <c r="AB241" s="109"/>
      <c r="AC241" s="16"/>
      <c r="AD241" s="16"/>
      <c r="AE241" s="16"/>
      <c r="AF241" s="16"/>
    </row>
    <row r="242" spans="1:32" x14ac:dyDescent="0.2">
      <c r="A242" s="16"/>
      <c r="B242" s="16"/>
      <c r="C242" s="16"/>
      <c r="D242" s="16"/>
      <c r="E242" s="16"/>
      <c r="F242" s="109"/>
      <c r="G242" s="109"/>
      <c r="H242" s="109"/>
      <c r="I242" s="109"/>
      <c r="J242" s="109"/>
      <c r="K242" s="109"/>
      <c r="L242" s="109"/>
      <c r="M242" s="109"/>
      <c r="N242" s="109"/>
      <c r="O242" s="109"/>
      <c r="P242" s="109"/>
      <c r="Q242" s="109"/>
      <c r="R242" s="16"/>
      <c r="S242" s="16"/>
      <c r="T242" s="109"/>
      <c r="U242" s="109"/>
      <c r="V242" s="109"/>
      <c r="W242" s="109"/>
      <c r="X242" s="109"/>
      <c r="Y242" s="109"/>
      <c r="Z242" s="109"/>
      <c r="AA242" s="109"/>
      <c r="AB242" s="109"/>
      <c r="AC242" s="16"/>
      <c r="AD242" s="16"/>
      <c r="AE242" s="16"/>
      <c r="AF242" s="16"/>
    </row>
    <row r="243" spans="1:32" x14ac:dyDescent="0.2">
      <c r="A243" s="16"/>
      <c r="B243" s="16"/>
      <c r="C243" s="16"/>
      <c r="D243" s="16"/>
      <c r="E243" s="16"/>
      <c r="F243" s="109"/>
      <c r="G243" s="109"/>
      <c r="H243" s="109"/>
      <c r="I243" s="109"/>
      <c r="J243" s="109"/>
      <c r="K243" s="109"/>
      <c r="L243" s="109"/>
      <c r="M243" s="109"/>
      <c r="N243" s="109"/>
      <c r="O243" s="109"/>
      <c r="P243" s="109"/>
      <c r="Q243" s="109"/>
      <c r="R243" s="16"/>
      <c r="S243" s="16"/>
      <c r="T243" s="109"/>
      <c r="U243" s="109"/>
      <c r="V243" s="109"/>
      <c r="W243" s="109"/>
      <c r="X243" s="109"/>
      <c r="Y243" s="109"/>
      <c r="Z243" s="109"/>
      <c r="AA243" s="109"/>
      <c r="AB243" s="109"/>
      <c r="AC243" s="16"/>
      <c r="AD243" s="16"/>
      <c r="AE243" s="16"/>
      <c r="AF243" s="16"/>
    </row>
    <row r="244" spans="1:32" x14ac:dyDescent="0.2">
      <c r="A244" s="16"/>
      <c r="B244" s="16"/>
      <c r="C244" s="16"/>
      <c r="D244" s="16"/>
      <c r="E244" s="16"/>
      <c r="F244" s="109"/>
      <c r="G244" s="109"/>
      <c r="H244" s="109"/>
      <c r="I244" s="109"/>
      <c r="J244" s="109"/>
      <c r="K244" s="109"/>
      <c r="L244" s="109"/>
      <c r="M244" s="109"/>
      <c r="N244" s="109"/>
      <c r="O244" s="109"/>
      <c r="P244" s="109"/>
      <c r="Q244" s="109"/>
      <c r="R244" s="16"/>
      <c r="S244" s="16"/>
      <c r="T244" s="109"/>
      <c r="U244" s="109"/>
      <c r="V244" s="109"/>
      <c r="W244" s="109"/>
      <c r="X244" s="109"/>
      <c r="Y244" s="109"/>
      <c r="Z244" s="109"/>
      <c r="AA244" s="109"/>
      <c r="AB244" s="109"/>
      <c r="AC244" s="16"/>
      <c r="AD244" s="16"/>
      <c r="AE244" s="16"/>
      <c r="AF244" s="16"/>
    </row>
    <row r="245" spans="1:32" x14ac:dyDescent="0.2">
      <c r="A245" s="16"/>
      <c r="B245" s="16"/>
      <c r="C245" s="16"/>
      <c r="D245" s="16"/>
      <c r="E245" s="16"/>
      <c r="F245" s="109"/>
      <c r="G245" s="109"/>
      <c r="H245" s="109"/>
      <c r="I245" s="109"/>
      <c r="J245" s="109"/>
      <c r="K245" s="109"/>
      <c r="L245" s="109"/>
      <c r="M245" s="109"/>
      <c r="N245" s="109"/>
      <c r="O245" s="109"/>
      <c r="P245" s="109"/>
      <c r="Q245" s="109"/>
      <c r="R245" s="16"/>
      <c r="S245" s="16"/>
      <c r="T245" s="109"/>
      <c r="U245" s="109"/>
      <c r="V245" s="109"/>
      <c r="W245" s="109"/>
      <c r="X245" s="109"/>
      <c r="Y245" s="109"/>
      <c r="Z245" s="109"/>
      <c r="AA245" s="109"/>
      <c r="AB245" s="109"/>
      <c r="AC245" s="16"/>
      <c r="AD245" s="16"/>
      <c r="AE245" s="16"/>
      <c r="AF245" s="16"/>
    </row>
    <row r="246" spans="1:32" x14ac:dyDescent="0.2">
      <c r="A246" s="16"/>
      <c r="B246" s="16"/>
      <c r="C246" s="16"/>
      <c r="D246" s="16"/>
      <c r="E246" s="16"/>
      <c r="F246" s="109"/>
      <c r="G246" s="109"/>
      <c r="H246" s="109"/>
      <c r="I246" s="109"/>
      <c r="J246" s="109"/>
      <c r="K246" s="109"/>
      <c r="L246" s="109"/>
      <c r="M246" s="109"/>
      <c r="N246" s="109"/>
      <c r="O246" s="109"/>
      <c r="P246" s="109"/>
      <c r="Q246" s="109"/>
      <c r="R246" s="16"/>
      <c r="S246" s="16"/>
      <c r="T246" s="109"/>
      <c r="U246" s="109"/>
      <c r="V246" s="109"/>
      <c r="W246" s="109"/>
      <c r="X246" s="109"/>
      <c r="Y246" s="109"/>
      <c r="Z246" s="109"/>
      <c r="AA246" s="109"/>
      <c r="AB246" s="109"/>
      <c r="AC246" s="16"/>
      <c r="AD246" s="16"/>
      <c r="AE246" s="16"/>
      <c r="AF246" s="16"/>
    </row>
    <row r="247" spans="1:32" x14ac:dyDescent="0.2">
      <c r="A247" s="16"/>
      <c r="B247" s="16"/>
      <c r="C247" s="16"/>
      <c r="D247" s="16"/>
      <c r="E247" s="16"/>
      <c r="F247" s="109"/>
      <c r="G247" s="109"/>
      <c r="H247" s="109"/>
      <c r="I247" s="109"/>
      <c r="J247" s="109"/>
      <c r="K247" s="109"/>
      <c r="L247" s="109"/>
      <c r="M247" s="109"/>
      <c r="N247" s="109"/>
      <c r="O247" s="109"/>
      <c r="P247" s="109"/>
      <c r="Q247" s="109"/>
      <c r="R247" s="16"/>
      <c r="S247" s="16"/>
      <c r="T247" s="109"/>
      <c r="U247" s="109"/>
      <c r="V247" s="109"/>
      <c r="W247" s="109"/>
      <c r="X247" s="109"/>
      <c r="Y247" s="109"/>
      <c r="Z247" s="109"/>
      <c r="AA247" s="109"/>
      <c r="AB247" s="109"/>
      <c r="AC247" s="16"/>
      <c r="AD247" s="16"/>
      <c r="AE247" s="16"/>
      <c r="AF247" s="16"/>
    </row>
    <row r="248" spans="1:32" x14ac:dyDescent="0.2">
      <c r="A248" s="16"/>
      <c r="B248" s="16"/>
      <c r="C248" s="16"/>
      <c r="D248" s="16"/>
      <c r="E248" s="16"/>
      <c r="F248" s="109"/>
      <c r="G248" s="109"/>
      <c r="H248" s="109"/>
      <c r="I248" s="109"/>
      <c r="J248" s="109"/>
      <c r="K248" s="109"/>
      <c r="L248" s="109"/>
      <c r="M248" s="109"/>
      <c r="N248" s="109"/>
      <c r="O248" s="109"/>
      <c r="P248" s="109"/>
      <c r="Q248" s="109"/>
      <c r="R248" s="16"/>
      <c r="S248" s="16"/>
      <c r="T248" s="109"/>
      <c r="U248" s="109"/>
      <c r="V248" s="109"/>
      <c r="W248" s="109"/>
      <c r="X248" s="109"/>
      <c r="Y248" s="109"/>
      <c r="Z248" s="109"/>
      <c r="AA248" s="109"/>
      <c r="AB248" s="109"/>
      <c r="AC248" s="16"/>
      <c r="AD248" s="16"/>
      <c r="AE248" s="16"/>
      <c r="AF248" s="16"/>
    </row>
    <row r="249" spans="1:32" x14ac:dyDescent="0.2">
      <c r="A249" s="16"/>
      <c r="B249" s="16"/>
      <c r="C249" s="16"/>
      <c r="D249" s="16"/>
      <c r="E249" s="16"/>
      <c r="F249" s="109"/>
      <c r="G249" s="109"/>
      <c r="H249" s="109"/>
      <c r="I249" s="109"/>
      <c r="J249" s="109"/>
      <c r="K249" s="109"/>
      <c r="L249" s="109"/>
      <c r="M249" s="109"/>
      <c r="N249" s="109"/>
      <c r="O249" s="109"/>
      <c r="P249" s="109"/>
      <c r="Q249" s="109"/>
      <c r="R249" s="16"/>
      <c r="S249" s="16"/>
      <c r="T249" s="109"/>
      <c r="U249" s="109"/>
      <c r="V249" s="109"/>
      <c r="W249" s="109"/>
      <c r="X249" s="109"/>
      <c r="Y249" s="109"/>
      <c r="Z249" s="109"/>
      <c r="AA249" s="109"/>
      <c r="AB249" s="109"/>
      <c r="AC249" s="16"/>
      <c r="AD249" s="16"/>
      <c r="AE249" s="16"/>
      <c r="AF249" s="16"/>
    </row>
    <row r="250" spans="1:32" x14ac:dyDescent="0.2">
      <c r="A250" s="16"/>
      <c r="B250" s="16"/>
      <c r="C250" s="16"/>
      <c r="D250" s="16"/>
      <c r="E250" s="16"/>
      <c r="F250" s="109"/>
      <c r="G250" s="109"/>
      <c r="H250" s="109"/>
      <c r="I250" s="109"/>
      <c r="J250" s="109"/>
      <c r="K250" s="109"/>
      <c r="L250" s="109"/>
      <c r="M250" s="109"/>
      <c r="N250" s="109"/>
      <c r="O250" s="109"/>
      <c r="P250" s="109"/>
      <c r="Q250" s="109"/>
      <c r="R250" s="16"/>
      <c r="S250" s="16"/>
      <c r="T250" s="109"/>
      <c r="U250" s="109"/>
      <c r="V250" s="109"/>
      <c r="W250" s="109"/>
      <c r="X250" s="109"/>
      <c r="Y250" s="109"/>
      <c r="Z250" s="109"/>
      <c r="AA250" s="109"/>
      <c r="AB250" s="109"/>
      <c r="AC250" s="16"/>
      <c r="AD250" s="16"/>
      <c r="AE250" s="16"/>
      <c r="AF250" s="16"/>
    </row>
    <row r="251" spans="1:32" x14ac:dyDescent="0.2">
      <c r="A251" s="16"/>
      <c r="B251" s="16"/>
      <c r="C251" s="16"/>
      <c r="D251" s="16"/>
      <c r="E251" s="16"/>
      <c r="F251" s="109"/>
      <c r="G251" s="109"/>
      <c r="H251" s="109"/>
      <c r="I251" s="109"/>
      <c r="J251" s="109"/>
      <c r="K251" s="109"/>
      <c r="L251" s="109"/>
      <c r="M251" s="109"/>
      <c r="N251" s="109"/>
      <c r="O251" s="109"/>
      <c r="P251" s="109"/>
      <c r="Q251" s="109"/>
      <c r="R251" s="16"/>
      <c r="S251" s="16"/>
      <c r="T251" s="109"/>
      <c r="U251" s="109"/>
      <c r="V251" s="109"/>
      <c r="W251" s="109"/>
      <c r="X251" s="109"/>
      <c r="Y251" s="109"/>
      <c r="Z251" s="109"/>
      <c r="AA251" s="109"/>
      <c r="AB251" s="109"/>
      <c r="AC251" s="16"/>
      <c r="AD251" s="16"/>
      <c r="AE251" s="16"/>
      <c r="AF251" s="16"/>
    </row>
    <row r="252" spans="1:32" x14ac:dyDescent="0.2">
      <c r="A252" s="16"/>
      <c r="B252" s="16"/>
      <c r="C252" s="16"/>
      <c r="D252" s="16"/>
      <c r="E252" s="16"/>
      <c r="F252" s="109"/>
      <c r="G252" s="109"/>
      <c r="H252" s="109"/>
      <c r="I252" s="109"/>
      <c r="J252" s="109"/>
      <c r="K252" s="109"/>
      <c r="L252" s="109"/>
      <c r="M252" s="109"/>
      <c r="N252" s="109"/>
      <c r="O252" s="109"/>
      <c r="P252" s="109"/>
      <c r="Q252" s="109"/>
      <c r="R252" s="16"/>
      <c r="S252" s="16"/>
      <c r="T252" s="109"/>
      <c r="U252" s="109"/>
      <c r="V252" s="109"/>
      <c r="W252" s="109"/>
      <c r="X252" s="109"/>
      <c r="Y252" s="109"/>
      <c r="Z252" s="109"/>
      <c r="AA252" s="109"/>
      <c r="AB252" s="109"/>
      <c r="AC252" s="16"/>
      <c r="AD252" s="16"/>
      <c r="AE252" s="16"/>
      <c r="AF252" s="16"/>
    </row>
    <row r="253" spans="1:32" x14ac:dyDescent="0.2">
      <c r="A253" s="16"/>
      <c r="B253" s="16"/>
      <c r="C253" s="16"/>
      <c r="D253" s="16"/>
      <c r="E253" s="16"/>
      <c r="F253" s="109"/>
      <c r="G253" s="109"/>
      <c r="H253" s="109"/>
      <c r="I253" s="109"/>
      <c r="J253" s="109"/>
      <c r="K253" s="109"/>
      <c r="L253" s="109"/>
      <c r="M253" s="109"/>
      <c r="N253" s="109"/>
      <c r="O253" s="109"/>
      <c r="P253" s="109"/>
      <c r="Q253" s="109"/>
      <c r="R253" s="16"/>
      <c r="S253" s="16"/>
      <c r="T253" s="109"/>
      <c r="U253" s="109"/>
      <c r="V253" s="109"/>
      <c r="W253" s="109"/>
      <c r="X253" s="109"/>
      <c r="Y253" s="109"/>
      <c r="Z253" s="109"/>
      <c r="AA253" s="109"/>
      <c r="AB253" s="109"/>
      <c r="AC253" s="16"/>
      <c r="AD253" s="16"/>
      <c r="AE253" s="16"/>
      <c r="AF253" s="16"/>
    </row>
    <row r="254" spans="1:32" x14ac:dyDescent="0.2">
      <c r="A254" s="16"/>
      <c r="B254" s="16"/>
      <c r="C254" s="16"/>
      <c r="D254" s="16"/>
      <c r="E254" s="16"/>
      <c r="F254" s="109"/>
      <c r="G254" s="109"/>
      <c r="H254" s="109"/>
      <c r="I254" s="109"/>
      <c r="J254" s="109"/>
      <c r="K254" s="109"/>
      <c r="L254" s="109"/>
      <c r="M254" s="109"/>
      <c r="N254" s="109"/>
      <c r="O254" s="109"/>
      <c r="P254" s="109"/>
      <c r="Q254" s="109"/>
      <c r="R254" s="16"/>
      <c r="S254" s="16"/>
      <c r="T254" s="109"/>
      <c r="U254" s="109"/>
      <c r="V254" s="109"/>
      <c r="W254" s="109"/>
      <c r="X254" s="109"/>
      <c r="Y254" s="109"/>
      <c r="Z254" s="109"/>
      <c r="AA254" s="109"/>
      <c r="AB254" s="109"/>
      <c r="AC254" s="16"/>
      <c r="AD254" s="16"/>
      <c r="AE254" s="16"/>
      <c r="AF254" s="16"/>
    </row>
    <row r="255" spans="1:32" x14ac:dyDescent="0.2">
      <c r="A255" s="16"/>
      <c r="B255" s="16"/>
      <c r="C255" s="16"/>
      <c r="D255" s="16"/>
      <c r="E255" s="16"/>
      <c r="F255" s="109"/>
      <c r="G255" s="109"/>
      <c r="H255" s="109"/>
      <c r="I255" s="109"/>
      <c r="J255" s="109"/>
      <c r="K255" s="109"/>
      <c r="L255" s="109"/>
      <c r="M255" s="109"/>
      <c r="N255" s="109"/>
      <c r="O255" s="109"/>
      <c r="P255" s="109"/>
      <c r="Q255" s="109"/>
      <c r="R255" s="16"/>
      <c r="S255" s="16"/>
      <c r="T255" s="109"/>
      <c r="U255" s="109"/>
      <c r="V255" s="109"/>
      <c r="W255" s="109"/>
      <c r="X255" s="109"/>
      <c r="Y255" s="109"/>
      <c r="Z255" s="109"/>
      <c r="AA255" s="109"/>
      <c r="AB255" s="109"/>
      <c r="AC255" s="16"/>
      <c r="AD255" s="16"/>
      <c r="AE255" s="16"/>
      <c r="AF255" s="16"/>
    </row>
    <row r="256" spans="1:32" x14ac:dyDescent="0.2">
      <c r="A256" s="16"/>
      <c r="B256" s="16"/>
      <c r="C256" s="16"/>
      <c r="D256" s="16"/>
      <c r="E256" s="16"/>
      <c r="F256" s="109"/>
      <c r="G256" s="109"/>
      <c r="H256" s="109"/>
      <c r="I256" s="109"/>
      <c r="J256" s="109"/>
      <c r="K256" s="109"/>
      <c r="L256" s="109"/>
      <c r="M256" s="109"/>
      <c r="N256" s="109"/>
      <c r="O256" s="109"/>
      <c r="P256" s="109"/>
      <c r="Q256" s="109"/>
      <c r="R256" s="16"/>
      <c r="S256" s="16"/>
      <c r="T256" s="109"/>
      <c r="U256" s="109"/>
      <c r="V256" s="109"/>
      <c r="W256" s="109"/>
      <c r="X256" s="109"/>
      <c r="Y256" s="109"/>
      <c r="Z256" s="109"/>
      <c r="AA256" s="109"/>
      <c r="AB256" s="109"/>
      <c r="AC256" s="16"/>
      <c r="AD256" s="16"/>
      <c r="AE256" s="16"/>
      <c r="AF256" s="16"/>
    </row>
    <row r="257" spans="1:32" x14ac:dyDescent="0.2">
      <c r="A257" s="16"/>
      <c r="B257" s="16"/>
      <c r="C257" s="16"/>
      <c r="D257" s="16"/>
      <c r="E257" s="16"/>
      <c r="F257" s="109"/>
      <c r="G257" s="109"/>
      <c r="H257" s="109"/>
      <c r="I257" s="109"/>
      <c r="J257" s="109"/>
      <c r="K257" s="109"/>
      <c r="L257" s="109"/>
      <c r="M257" s="109"/>
      <c r="N257" s="109"/>
      <c r="O257" s="109"/>
      <c r="P257" s="109"/>
      <c r="Q257" s="109"/>
      <c r="R257" s="16"/>
      <c r="S257" s="16"/>
      <c r="T257" s="109"/>
      <c r="U257" s="109"/>
      <c r="V257" s="109"/>
      <c r="W257" s="109"/>
      <c r="X257" s="109"/>
      <c r="Y257" s="109"/>
      <c r="Z257" s="109"/>
      <c r="AA257" s="109"/>
      <c r="AB257" s="109"/>
      <c r="AC257" s="16"/>
      <c r="AD257" s="16"/>
      <c r="AE257" s="16"/>
      <c r="AF257" s="16"/>
    </row>
    <row r="258" spans="1:32" x14ac:dyDescent="0.2">
      <c r="A258" s="16"/>
      <c r="B258" s="16"/>
      <c r="C258" s="16"/>
      <c r="D258" s="16"/>
      <c r="E258" s="16"/>
      <c r="F258" s="109"/>
      <c r="G258" s="109"/>
      <c r="H258" s="109"/>
      <c r="I258" s="109"/>
      <c r="J258" s="109"/>
      <c r="K258" s="109"/>
      <c r="L258" s="109"/>
      <c r="M258" s="109"/>
      <c r="N258" s="109"/>
      <c r="O258" s="109"/>
      <c r="P258" s="109"/>
      <c r="Q258" s="109"/>
      <c r="R258" s="16"/>
      <c r="S258" s="16"/>
      <c r="T258" s="109"/>
      <c r="U258" s="109"/>
      <c r="V258" s="109"/>
      <c r="W258" s="109"/>
      <c r="X258" s="109"/>
      <c r="Y258" s="109"/>
      <c r="Z258" s="109"/>
      <c r="AA258" s="109"/>
      <c r="AB258" s="109"/>
      <c r="AC258" s="16"/>
      <c r="AD258" s="16"/>
      <c r="AE258" s="16"/>
      <c r="AF258" s="16"/>
    </row>
    <row r="259" spans="1:32" x14ac:dyDescent="0.2">
      <c r="A259" s="16"/>
      <c r="B259" s="16"/>
      <c r="C259" s="16"/>
      <c r="D259" s="16"/>
      <c r="E259" s="16"/>
      <c r="F259" s="109"/>
      <c r="G259" s="109"/>
      <c r="H259" s="109"/>
      <c r="I259" s="109"/>
      <c r="J259" s="109"/>
      <c r="K259" s="109"/>
      <c r="L259" s="109"/>
      <c r="M259" s="109"/>
      <c r="N259" s="109"/>
      <c r="O259" s="109"/>
      <c r="P259" s="109"/>
      <c r="Q259" s="109"/>
      <c r="R259" s="16"/>
      <c r="S259" s="16"/>
      <c r="T259" s="109"/>
      <c r="U259" s="109"/>
      <c r="V259" s="109"/>
      <c r="W259" s="109"/>
      <c r="X259" s="109"/>
      <c r="Y259" s="109"/>
      <c r="Z259" s="109"/>
      <c r="AA259" s="109"/>
      <c r="AB259" s="109"/>
      <c r="AC259" s="16"/>
      <c r="AD259" s="16"/>
      <c r="AE259" s="16"/>
      <c r="AF259" s="16"/>
    </row>
    <row r="260" spans="1:32" x14ac:dyDescent="0.2">
      <c r="A260" s="16"/>
      <c r="B260" s="16"/>
      <c r="C260" s="16"/>
      <c r="D260" s="16"/>
      <c r="E260" s="16"/>
      <c r="F260" s="109"/>
      <c r="G260" s="109"/>
      <c r="H260" s="109"/>
      <c r="I260" s="109"/>
      <c r="J260" s="109"/>
      <c r="K260" s="109"/>
      <c r="L260" s="109"/>
      <c r="M260" s="109"/>
      <c r="N260" s="109"/>
      <c r="O260" s="109"/>
      <c r="P260" s="109"/>
      <c r="Q260" s="109"/>
      <c r="R260" s="16"/>
      <c r="S260" s="16"/>
      <c r="T260" s="109"/>
      <c r="U260" s="109"/>
      <c r="V260" s="109"/>
      <c r="W260" s="109"/>
      <c r="X260" s="109"/>
      <c r="Y260" s="109"/>
      <c r="Z260" s="109"/>
      <c r="AA260" s="109"/>
      <c r="AB260" s="109"/>
      <c r="AC260" s="16"/>
      <c r="AD260" s="16"/>
      <c r="AE260" s="16"/>
      <c r="AF260" s="16"/>
    </row>
    <row r="261" spans="1:32" x14ac:dyDescent="0.2">
      <c r="A261" s="16"/>
      <c r="B261" s="16"/>
      <c r="C261" s="16"/>
      <c r="D261" s="16"/>
      <c r="E261" s="16"/>
      <c r="F261" s="109"/>
      <c r="G261" s="109"/>
      <c r="H261" s="109"/>
      <c r="I261" s="109"/>
      <c r="J261" s="109"/>
      <c r="K261" s="109"/>
      <c r="L261" s="109"/>
      <c r="M261" s="109"/>
      <c r="N261" s="109"/>
      <c r="O261" s="109"/>
      <c r="P261" s="109"/>
      <c r="Q261" s="109"/>
      <c r="R261" s="16"/>
      <c r="S261" s="16"/>
      <c r="T261" s="109"/>
      <c r="U261" s="109"/>
      <c r="V261" s="109"/>
      <c r="W261" s="109"/>
      <c r="X261" s="109"/>
      <c r="Y261" s="109"/>
      <c r="Z261" s="109"/>
      <c r="AA261" s="109"/>
      <c r="AB261" s="109"/>
      <c r="AC261" s="16"/>
      <c r="AD261" s="16"/>
      <c r="AE261" s="16"/>
      <c r="AF261" s="16"/>
    </row>
    <row r="262" spans="1:32" x14ac:dyDescent="0.2">
      <c r="A262" s="16"/>
      <c r="B262" s="16"/>
      <c r="C262" s="16"/>
      <c r="D262" s="16"/>
      <c r="E262" s="16"/>
      <c r="F262" s="109"/>
      <c r="G262" s="109"/>
      <c r="H262" s="109"/>
      <c r="I262" s="109"/>
      <c r="J262" s="109"/>
      <c r="K262" s="109"/>
      <c r="L262" s="109"/>
      <c r="M262" s="109"/>
      <c r="N262" s="109"/>
      <c r="O262" s="109"/>
      <c r="P262" s="109"/>
      <c r="Q262" s="109"/>
      <c r="R262" s="16"/>
      <c r="S262" s="16"/>
      <c r="T262" s="109"/>
      <c r="U262" s="109"/>
      <c r="V262" s="109"/>
      <c r="W262" s="109"/>
      <c r="X262" s="109"/>
      <c r="Y262" s="109"/>
      <c r="Z262" s="109"/>
      <c r="AA262" s="109"/>
      <c r="AB262" s="109"/>
      <c r="AC262" s="16"/>
      <c r="AD262" s="16"/>
      <c r="AE262" s="16"/>
      <c r="AF262" s="16"/>
    </row>
    <row r="263" spans="1:32" x14ac:dyDescent="0.2">
      <c r="A263" s="16"/>
      <c r="B263" s="16"/>
      <c r="C263" s="16"/>
      <c r="D263" s="16"/>
      <c r="E263" s="16"/>
      <c r="F263" s="109"/>
      <c r="G263" s="109"/>
      <c r="H263" s="109"/>
      <c r="I263" s="109"/>
      <c r="J263" s="109"/>
      <c r="K263" s="109"/>
      <c r="L263" s="109"/>
      <c r="M263" s="109"/>
      <c r="N263" s="109"/>
      <c r="O263" s="109"/>
      <c r="P263" s="109"/>
      <c r="Q263" s="109"/>
      <c r="R263" s="16"/>
      <c r="S263" s="16"/>
      <c r="T263" s="109"/>
      <c r="U263" s="109"/>
      <c r="V263" s="109"/>
      <c r="W263" s="109"/>
      <c r="X263" s="109"/>
      <c r="Y263" s="109"/>
      <c r="Z263" s="109"/>
      <c r="AA263" s="109"/>
      <c r="AB263" s="109"/>
      <c r="AC263" s="16"/>
      <c r="AD263" s="16"/>
      <c r="AE263" s="16"/>
      <c r="AF263" s="16"/>
    </row>
    <row r="264" spans="1:32" x14ac:dyDescent="0.2">
      <c r="A264" s="16"/>
      <c r="B264" s="16"/>
      <c r="C264" s="16"/>
      <c r="D264" s="16"/>
      <c r="E264" s="16"/>
      <c r="F264" s="109"/>
      <c r="G264" s="109"/>
      <c r="H264" s="109"/>
      <c r="I264" s="109"/>
      <c r="J264" s="109"/>
      <c r="K264" s="109"/>
      <c r="L264" s="109"/>
      <c r="M264" s="109"/>
      <c r="N264" s="109"/>
      <c r="O264" s="109"/>
      <c r="P264" s="109"/>
      <c r="Q264" s="109"/>
      <c r="R264" s="16"/>
      <c r="S264" s="16"/>
      <c r="T264" s="109"/>
      <c r="U264" s="109"/>
      <c r="V264" s="109"/>
      <c r="W264" s="109"/>
      <c r="X264" s="109"/>
      <c r="Y264" s="109"/>
      <c r="Z264" s="109"/>
      <c r="AA264" s="109"/>
      <c r="AB264" s="109"/>
      <c r="AC264" s="16"/>
      <c r="AD264" s="16"/>
      <c r="AE264" s="16"/>
      <c r="AF264" s="16"/>
    </row>
    <row r="265" spans="1:32" x14ac:dyDescent="0.2">
      <c r="A265" s="16"/>
      <c r="B265" s="16"/>
      <c r="C265" s="16"/>
      <c r="D265" s="16"/>
      <c r="E265" s="16"/>
      <c r="F265" s="109"/>
      <c r="G265" s="109"/>
      <c r="H265" s="109"/>
      <c r="I265" s="109"/>
      <c r="J265" s="109"/>
      <c r="K265" s="109"/>
      <c r="L265" s="109"/>
      <c r="M265" s="109"/>
      <c r="N265" s="109"/>
      <c r="O265" s="109"/>
      <c r="P265" s="109"/>
      <c r="Q265" s="109"/>
      <c r="R265" s="16"/>
      <c r="S265" s="16"/>
      <c r="T265" s="109"/>
      <c r="U265" s="109"/>
      <c r="V265" s="109"/>
      <c r="W265" s="109"/>
      <c r="X265" s="109"/>
      <c r="Y265" s="109"/>
      <c r="Z265" s="109"/>
      <c r="AA265" s="109"/>
      <c r="AB265" s="109"/>
      <c r="AC265" s="16"/>
      <c r="AD265" s="16"/>
      <c r="AE265" s="16"/>
      <c r="AF265" s="16"/>
    </row>
    <row r="266" spans="1:32" x14ac:dyDescent="0.2">
      <c r="A266" s="16"/>
      <c r="B266" s="16"/>
      <c r="C266" s="16"/>
      <c r="D266" s="16"/>
      <c r="E266" s="16"/>
      <c r="F266" s="109"/>
      <c r="G266" s="109"/>
      <c r="H266" s="109"/>
      <c r="I266" s="109"/>
      <c r="J266" s="109"/>
      <c r="K266" s="109"/>
      <c r="L266" s="109"/>
      <c r="M266" s="109"/>
      <c r="N266" s="109"/>
      <c r="O266" s="109"/>
      <c r="P266" s="109"/>
      <c r="Q266" s="109"/>
      <c r="R266" s="16"/>
      <c r="S266" s="16"/>
      <c r="T266" s="109"/>
      <c r="U266" s="109"/>
      <c r="V266" s="109"/>
      <c r="W266" s="109"/>
      <c r="X266" s="109"/>
      <c r="Y266" s="109"/>
      <c r="Z266" s="109"/>
      <c r="AA266" s="109"/>
      <c r="AB266" s="109"/>
      <c r="AC266" s="16"/>
      <c r="AD266" s="16"/>
      <c r="AE266" s="16"/>
      <c r="AF266" s="16"/>
    </row>
    <row r="267" spans="1:32" x14ac:dyDescent="0.2">
      <c r="A267" s="16"/>
      <c r="B267" s="16"/>
      <c r="C267" s="16"/>
      <c r="D267" s="16"/>
      <c r="E267" s="16"/>
      <c r="F267" s="109"/>
      <c r="G267" s="109"/>
      <c r="H267" s="109"/>
      <c r="I267" s="109"/>
      <c r="J267" s="109"/>
      <c r="K267" s="109"/>
      <c r="L267" s="109"/>
      <c r="M267" s="109"/>
      <c r="N267" s="109"/>
      <c r="O267" s="109"/>
      <c r="P267" s="109"/>
      <c r="Q267" s="109"/>
      <c r="R267" s="16"/>
      <c r="S267" s="16"/>
      <c r="T267" s="109"/>
      <c r="U267" s="109"/>
      <c r="V267" s="109"/>
      <c r="W267" s="109"/>
      <c r="X267" s="109"/>
      <c r="Y267" s="109"/>
      <c r="Z267" s="109"/>
      <c r="AA267" s="109"/>
      <c r="AB267" s="109"/>
      <c r="AC267" s="16"/>
      <c r="AD267" s="16"/>
      <c r="AE267" s="16"/>
      <c r="AF267" s="16"/>
    </row>
    <row r="268" spans="1:32" x14ac:dyDescent="0.2">
      <c r="A268" s="16"/>
      <c r="B268" s="16"/>
      <c r="C268" s="16"/>
      <c r="D268" s="16"/>
      <c r="E268" s="16"/>
      <c r="F268" s="109"/>
      <c r="G268" s="109"/>
      <c r="H268" s="109"/>
      <c r="I268" s="109"/>
      <c r="J268" s="109"/>
      <c r="K268" s="109"/>
      <c r="L268" s="109"/>
      <c r="M268" s="109"/>
      <c r="N268" s="109"/>
      <c r="O268" s="109"/>
      <c r="P268" s="109"/>
      <c r="Q268" s="109"/>
      <c r="R268" s="16"/>
      <c r="S268" s="16"/>
      <c r="T268" s="109"/>
      <c r="U268" s="109"/>
      <c r="V268" s="109"/>
      <c r="W268" s="109"/>
      <c r="X268" s="109"/>
      <c r="Y268" s="109"/>
      <c r="Z268" s="109"/>
      <c r="AA268" s="109"/>
      <c r="AB268" s="109"/>
      <c r="AC268" s="16"/>
      <c r="AD268" s="16"/>
      <c r="AE268" s="16"/>
      <c r="AF268" s="16"/>
    </row>
    <row r="269" spans="1:32" x14ac:dyDescent="0.2">
      <c r="A269" s="16"/>
      <c r="B269" s="16"/>
      <c r="C269" s="16"/>
      <c r="D269" s="16"/>
      <c r="E269" s="16"/>
      <c r="F269" s="109"/>
      <c r="G269" s="109"/>
      <c r="H269" s="109"/>
      <c r="I269" s="109"/>
      <c r="J269" s="109"/>
      <c r="K269" s="109"/>
      <c r="L269" s="109"/>
      <c r="M269" s="109"/>
      <c r="N269" s="109"/>
      <c r="O269" s="109"/>
      <c r="P269" s="109"/>
      <c r="Q269" s="109"/>
      <c r="R269" s="16"/>
      <c r="S269" s="16"/>
      <c r="T269" s="109"/>
      <c r="U269" s="109"/>
      <c r="V269" s="109"/>
      <c r="W269" s="109"/>
      <c r="X269" s="109"/>
      <c r="Y269" s="109"/>
      <c r="Z269" s="109"/>
      <c r="AA269" s="109"/>
      <c r="AB269" s="109"/>
      <c r="AC269" s="16"/>
      <c r="AD269" s="16"/>
      <c r="AE269" s="16"/>
      <c r="AF269" s="16"/>
    </row>
    <row r="270" spans="1:32" x14ac:dyDescent="0.2">
      <c r="A270" s="16"/>
      <c r="B270" s="16"/>
      <c r="C270" s="16"/>
      <c r="D270" s="16"/>
      <c r="E270" s="16"/>
      <c r="F270" s="109"/>
      <c r="G270" s="109"/>
      <c r="H270" s="109"/>
      <c r="I270" s="109"/>
      <c r="J270" s="109"/>
      <c r="K270" s="109"/>
      <c r="L270" s="109"/>
      <c r="M270" s="109"/>
      <c r="N270" s="109"/>
      <c r="O270" s="109"/>
      <c r="P270" s="109"/>
      <c r="Q270" s="109"/>
      <c r="R270" s="16"/>
      <c r="S270" s="16"/>
      <c r="T270" s="109"/>
      <c r="U270" s="109"/>
      <c r="V270" s="109"/>
      <c r="W270" s="109"/>
      <c r="X270" s="109"/>
      <c r="Y270" s="109"/>
      <c r="Z270" s="109"/>
      <c r="AA270" s="109"/>
      <c r="AB270" s="109"/>
      <c r="AC270" s="16"/>
      <c r="AD270" s="16"/>
      <c r="AE270" s="16"/>
      <c r="AF270" s="16"/>
    </row>
    <row r="271" spans="1:32" x14ac:dyDescent="0.2">
      <c r="A271" s="16"/>
      <c r="B271" s="16"/>
      <c r="C271" s="16"/>
      <c r="D271" s="16"/>
      <c r="E271" s="16"/>
      <c r="F271" s="109"/>
      <c r="G271" s="109"/>
      <c r="H271" s="109"/>
      <c r="I271" s="109"/>
      <c r="J271" s="109"/>
      <c r="K271" s="109"/>
      <c r="L271" s="109"/>
      <c r="M271" s="109"/>
      <c r="N271" s="109"/>
      <c r="O271" s="109"/>
      <c r="P271" s="109"/>
      <c r="Q271" s="109"/>
      <c r="R271" s="16"/>
      <c r="S271" s="16"/>
      <c r="T271" s="109"/>
      <c r="U271" s="109"/>
      <c r="V271" s="109"/>
      <c r="W271" s="109"/>
      <c r="X271" s="109"/>
      <c r="Y271" s="109"/>
      <c r="Z271" s="109"/>
      <c r="AA271" s="109"/>
      <c r="AB271" s="109"/>
      <c r="AC271" s="16"/>
      <c r="AD271" s="16"/>
      <c r="AE271" s="16"/>
      <c r="AF271" s="16"/>
    </row>
    <row r="272" spans="1:32" x14ac:dyDescent="0.2">
      <c r="A272" s="16"/>
      <c r="B272" s="16"/>
      <c r="C272" s="16"/>
      <c r="D272" s="16"/>
      <c r="E272" s="16"/>
      <c r="F272" s="109"/>
      <c r="G272" s="109"/>
      <c r="H272" s="109"/>
      <c r="I272" s="109"/>
      <c r="J272" s="109"/>
      <c r="K272" s="109"/>
      <c r="L272" s="109"/>
      <c r="M272" s="109"/>
      <c r="N272" s="109"/>
      <c r="O272" s="109"/>
      <c r="P272" s="109"/>
      <c r="Q272" s="109"/>
      <c r="R272" s="16"/>
      <c r="S272" s="16"/>
      <c r="T272" s="109"/>
      <c r="U272" s="109"/>
      <c r="V272" s="109"/>
      <c r="W272" s="109"/>
      <c r="X272" s="109"/>
      <c r="Y272" s="109"/>
      <c r="Z272" s="109"/>
      <c r="AA272" s="109"/>
      <c r="AB272" s="109"/>
      <c r="AC272" s="16"/>
      <c r="AD272" s="16"/>
      <c r="AE272" s="16"/>
      <c r="AF272" s="16"/>
    </row>
    <row r="273" spans="1:32" x14ac:dyDescent="0.2">
      <c r="A273" s="16"/>
      <c r="B273" s="16"/>
      <c r="C273" s="16"/>
      <c r="D273" s="16"/>
      <c r="E273" s="16"/>
      <c r="F273" s="109"/>
      <c r="G273" s="109"/>
      <c r="H273" s="109"/>
      <c r="I273" s="109"/>
      <c r="J273" s="109"/>
      <c r="K273" s="109"/>
      <c r="L273" s="109"/>
      <c r="M273" s="109"/>
      <c r="N273" s="109"/>
      <c r="O273" s="109"/>
      <c r="P273" s="109"/>
      <c r="Q273" s="109"/>
      <c r="R273" s="16"/>
      <c r="S273" s="16"/>
      <c r="T273" s="109"/>
      <c r="U273" s="109"/>
      <c r="V273" s="109"/>
      <c r="W273" s="109"/>
      <c r="X273" s="109"/>
      <c r="Y273" s="109"/>
      <c r="Z273" s="109"/>
      <c r="AA273" s="109"/>
      <c r="AB273" s="109"/>
      <c r="AC273" s="16"/>
      <c r="AD273" s="16"/>
      <c r="AE273" s="16"/>
      <c r="AF273" s="16"/>
    </row>
    <row r="274" spans="1:32" x14ac:dyDescent="0.2">
      <c r="A274" s="16"/>
      <c r="B274" s="16"/>
      <c r="C274" s="16"/>
      <c r="D274" s="16"/>
      <c r="E274" s="16"/>
      <c r="F274" s="109"/>
      <c r="G274" s="109"/>
      <c r="H274" s="109"/>
      <c r="I274" s="109"/>
      <c r="J274" s="109"/>
      <c r="K274" s="109"/>
      <c r="L274" s="109"/>
      <c r="M274" s="109"/>
      <c r="N274" s="109"/>
      <c r="O274" s="109"/>
      <c r="P274" s="109"/>
      <c r="Q274" s="109"/>
      <c r="R274" s="16"/>
      <c r="S274" s="16"/>
      <c r="T274" s="109"/>
      <c r="U274" s="109"/>
      <c r="V274" s="109"/>
      <c r="W274" s="109"/>
      <c r="X274" s="109"/>
      <c r="Y274" s="109"/>
      <c r="Z274" s="109"/>
      <c r="AA274" s="109"/>
      <c r="AB274" s="109"/>
      <c r="AC274" s="16"/>
      <c r="AD274" s="16"/>
      <c r="AE274" s="16"/>
      <c r="AF274" s="16"/>
    </row>
    <row r="275" spans="1:32" x14ac:dyDescent="0.2">
      <c r="A275" s="16"/>
      <c r="B275" s="16"/>
      <c r="C275" s="16"/>
      <c r="D275" s="16"/>
      <c r="E275" s="16"/>
      <c r="F275" s="109"/>
      <c r="G275" s="109"/>
      <c r="H275" s="109"/>
      <c r="I275" s="109"/>
      <c r="J275" s="109"/>
      <c r="K275" s="109"/>
      <c r="L275" s="109"/>
      <c r="M275" s="109"/>
      <c r="N275" s="109"/>
      <c r="O275" s="109"/>
      <c r="P275" s="109"/>
      <c r="Q275" s="109"/>
      <c r="R275" s="16"/>
      <c r="S275" s="16"/>
      <c r="T275" s="109"/>
      <c r="U275" s="109"/>
      <c r="V275" s="109"/>
      <c r="W275" s="109"/>
      <c r="X275" s="109"/>
      <c r="Y275" s="109"/>
      <c r="Z275" s="109"/>
      <c r="AA275" s="109"/>
      <c r="AB275" s="109"/>
      <c r="AC275" s="16"/>
      <c r="AD275" s="16"/>
      <c r="AE275" s="16"/>
      <c r="AF275" s="16"/>
    </row>
    <row r="276" spans="1:32" x14ac:dyDescent="0.2">
      <c r="A276" s="16"/>
      <c r="B276" s="16"/>
      <c r="C276" s="16"/>
      <c r="D276" s="16"/>
      <c r="E276" s="16"/>
      <c r="F276" s="109"/>
      <c r="G276" s="109"/>
      <c r="H276" s="109"/>
      <c r="I276" s="109"/>
      <c r="J276" s="109"/>
      <c r="K276" s="109"/>
      <c r="L276" s="109"/>
      <c r="M276" s="109"/>
      <c r="N276" s="109"/>
      <c r="O276" s="109"/>
      <c r="P276" s="109"/>
      <c r="Q276" s="109"/>
      <c r="R276" s="16"/>
      <c r="S276" s="16"/>
      <c r="T276" s="109"/>
      <c r="U276" s="109"/>
      <c r="V276" s="109"/>
      <c r="W276" s="109"/>
      <c r="X276" s="109"/>
      <c r="Y276" s="109"/>
      <c r="Z276" s="109"/>
      <c r="AA276" s="109"/>
      <c r="AB276" s="109"/>
      <c r="AC276" s="16"/>
      <c r="AD276" s="16"/>
      <c r="AE276" s="16"/>
      <c r="AF276" s="16"/>
    </row>
    <row r="277" spans="1:32" x14ac:dyDescent="0.2">
      <c r="A277" s="16"/>
      <c r="B277" s="16"/>
      <c r="C277" s="16"/>
      <c r="D277" s="16"/>
      <c r="E277" s="16"/>
      <c r="F277" s="109"/>
      <c r="G277" s="109"/>
      <c r="H277" s="109"/>
      <c r="I277" s="109"/>
      <c r="J277" s="109"/>
      <c r="K277" s="109"/>
      <c r="L277" s="109"/>
      <c r="M277" s="109"/>
      <c r="N277" s="109"/>
      <c r="O277" s="109"/>
      <c r="P277" s="109"/>
      <c r="Q277" s="109"/>
      <c r="R277" s="16"/>
      <c r="S277" s="16"/>
      <c r="T277" s="109"/>
      <c r="U277" s="109"/>
      <c r="V277" s="109"/>
      <c r="W277" s="109"/>
      <c r="X277" s="109"/>
      <c r="Y277" s="109"/>
      <c r="Z277" s="109"/>
      <c r="AA277" s="109"/>
      <c r="AB277" s="109"/>
      <c r="AC277" s="16"/>
      <c r="AD277" s="16"/>
      <c r="AE277" s="16"/>
      <c r="AF277" s="16"/>
    </row>
    <row r="278" spans="1:32" x14ac:dyDescent="0.2">
      <c r="A278" s="16"/>
      <c r="B278" s="16"/>
      <c r="C278" s="16"/>
      <c r="D278" s="16"/>
      <c r="E278" s="16"/>
      <c r="F278" s="109"/>
      <c r="G278" s="109"/>
      <c r="H278" s="109"/>
      <c r="I278" s="109"/>
      <c r="J278" s="109"/>
      <c r="K278" s="109"/>
      <c r="L278" s="109"/>
      <c r="M278" s="109"/>
      <c r="N278" s="109"/>
      <c r="O278" s="109"/>
      <c r="P278" s="109"/>
      <c r="Q278" s="109"/>
      <c r="R278" s="16"/>
      <c r="S278" s="16"/>
      <c r="T278" s="109"/>
      <c r="U278" s="109"/>
      <c r="V278" s="109"/>
      <c r="W278" s="109"/>
      <c r="X278" s="109"/>
      <c r="Y278" s="109"/>
      <c r="Z278" s="109"/>
      <c r="AA278" s="109"/>
      <c r="AB278" s="109"/>
      <c r="AC278" s="16"/>
      <c r="AD278" s="16"/>
      <c r="AE278" s="16"/>
      <c r="AF278" s="16"/>
    </row>
    <row r="279" spans="1:32" x14ac:dyDescent="0.2">
      <c r="A279" s="16"/>
      <c r="B279" s="16"/>
      <c r="C279" s="16"/>
      <c r="D279" s="16"/>
      <c r="E279" s="16"/>
      <c r="F279" s="109"/>
      <c r="G279" s="109"/>
      <c r="H279" s="109"/>
      <c r="I279" s="109"/>
      <c r="J279" s="109"/>
      <c r="K279" s="109"/>
      <c r="L279" s="109"/>
      <c r="M279" s="109"/>
      <c r="N279" s="109"/>
      <c r="O279" s="109"/>
      <c r="P279" s="109"/>
      <c r="Q279" s="109"/>
      <c r="R279" s="16"/>
      <c r="S279" s="16"/>
      <c r="T279" s="109"/>
      <c r="U279" s="109"/>
      <c r="V279" s="109"/>
      <c r="W279" s="109"/>
      <c r="X279" s="109"/>
      <c r="Y279" s="109"/>
      <c r="Z279" s="109"/>
      <c r="AA279" s="109"/>
      <c r="AB279" s="109"/>
      <c r="AC279" s="16"/>
      <c r="AD279" s="16"/>
      <c r="AE279" s="16"/>
      <c r="AF279" s="16"/>
    </row>
    <row r="280" spans="1:32" x14ac:dyDescent="0.2">
      <c r="A280" s="16"/>
      <c r="B280" s="16"/>
      <c r="C280" s="16"/>
      <c r="D280" s="16"/>
      <c r="E280" s="16"/>
      <c r="F280" s="109"/>
      <c r="G280" s="109"/>
      <c r="H280" s="109"/>
      <c r="I280" s="109"/>
      <c r="J280" s="109"/>
      <c r="K280" s="109"/>
      <c r="L280" s="109"/>
      <c r="M280" s="109"/>
      <c r="N280" s="109"/>
      <c r="O280" s="109"/>
      <c r="P280" s="109"/>
      <c r="Q280" s="109"/>
      <c r="R280" s="16"/>
      <c r="S280" s="16"/>
      <c r="T280" s="109"/>
      <c r="U280" s="109"/>
      <c r="V280" s="109"/>
      <c r="W280" s="109"/>
      <c r="X280" s="109"/>
      <c r="Y280" s="109"/>
      <c r="Z280" s="109"/>
      <c r="AA280" s="109"/>
      <c r="AB280" s="109"/>
      <c r="AC280" s="16"/>
      <c r="AD280" s="16"/>
      <c r="AE280" s="16"/>
      <c r="AF280" s="16"/>
    </row>
    <row r="281" spans="1:32" x14ac:dyDescent="0.2">
      <c r="A281" s="16"/>
      <c r="B281" s="16"/>
      <c r="C281" s="16"/>
      <c r="D281" s="16"/>
      <c r="E281" s="16"/>
      <c r="F281" s="109"/>
      <c r="G281" s="109"/>
      <c r="H281" s="109"/>
      <c r="I281" s="109"/>
      <c r="J281" s="109"/>
      <c r="K281" s="109"/>
      <c r="L281" s="109"/>
      <c r="M281" s="109"/>
      <c r="N281" s="109"/>
      <c r="O281" s="109"/>
      <c r="P281" s="109"/>
      <c r="Q281" s="109"/>
      <c r="R281" s="16"/>
      <c r="S281" s="16"/>
      <c r="T281" s="109"/>
      <c r="U281" s="109"/>
      <c r="V281" s="109"/>
      <c r="W281" s="109"/>
      <c r="X281" s="109"/>
      <c r="Y281" s="109"/>
      <c r="Z281" s="109"/>
      <c r="AA281" s="109"/>
      <c r="AB281" s="109"/>
      <c r="AC281" s="16"/>
      <c r="AD281" s="16"/>
      <c r="AE281" s="16"/>
      <c r="AF281" s="16"/>
    </row>
    <row r="282" spans="1:32" x14ac:dyDescent="0.2">
      <c r="A282" s="16"/>
      <c r="B282" s="16"/>
      <c r="C282" s="16"/>
      <c r="D282" s="16"/>
      <c r="E282" s="16"/>
      <c r="F282" s="109"/>
      <c r="G282" s="109"/>
      <c r="H282" s="109"/>
      <c r="I282" s="109"/>
      <c r="J282" s="109"/>
      <c r="K282" s="109"/>
      <c r="L282" s="109"/>
      <c r="M282" s="109"/>
      <c r="N282" s="109"/>
      <c r="O282" s="109"/>
      <c r="P282" s="109"/>
      <c r="Q282" s="109"/>
      <c r="R282" s="16"/>
      <c r="S282" s="16"/>
      <c r="T282" s="109"/>
      <c r="U282" s="109"/>
      <c r="V282" s="109"/>
      <c r="W282" s="109"/>
      <c r="X282" s="109"/>
      <c r="Y282" s="109"/>
      <c r="Z282" s="109"/>
      <c r="AA282" s="109"/>
      <c r="AB282" s="109"/>
      <c r="AC282" s="16"/>
      <c r="AD282" s="16"/>
      <c r="AE282" s="16"/>
      <c r="AF282" s="16"/>
    </row>
    <row r="283" spans="1:32" x14ac:dyDescent="0.2">
      <c r="A283" s="16"/>
      <c r="B283" s="16"/>
      <c r="C283" s="16"/>
      <c r="D283" s="16"/>
      <c r="E283" s="16"/>
      <c r="F283" s="109"/>
      <c r="G283" s="109"/>
      <c r="H283" s="109"/>
      <c r="I283" s="109"/>
      <c r="J283" s="109"/>
      <c r="K283" s="109"/>
      <c r="L283" s="109"/>
      <c r="M283" s="109"/>
      <c r="N283" s="109"/>
      <c r="O283" s="109"/>
      <c r="P283" s="109"/>
      <c r="Q283" s="109"/>
      <c r="R283" s="16"/>
      <c r="S283" s="16"/>
      <c r="T283" s="109"/>
      <c r="U283" s="109"/>
      <c r="V283" s="109"/>
      <c r="W283" s="109"/>
      <c r="X283" s="109"/>
      <c r="Y283" s="109"/>
      <c r="Z283" s="109"/>
      <c r="AA283" s="109"/>
      <c r="AB283" s="109"/>
      <c r="AC283" s="16"/>
      <c r="AD283" s="16"/>
      <c r="AE283" s="16"/>
      <c r="AF283" s="16"/>
    </row>
    <row r="284" spans="1:32" x14ac:dyDescent="0.2">
      <c r="A284" s="16"/>
      <c r="B284" s="16"/>
      <c r="C284" s="16"/>
      <c r="D284" s="16"/>
      <c r="E284" s="16"/>
      <c r="F284" s="109"/>
      <c r="G284" s="109"/>
      <c r="H284" s="109"/>
      <c r="I284" s="109"/>
      <c r="J284" s="109"/>
      <c r="K284" s="109"/>
      <c r="L284" s="109"/>
      <c r="M284" s="109"/>
      <c r="N284" s="109"/>
      <c r="O284" s="109"/>
      <c r="P284" s="109"/>
      <c r="Q284" s="109"/>
      <c r="R284" s="16"/>
      <c r="S284" s="16"/>
      <c r="T284" s="109"/>
      <c r="U284" s="109"/>
      <c r="V284" s="109"/>
      <c r="W284" s="109"/>
      <c r="X284" s="109"/>
      <c r="Y284" s="109"/>
      <c r="Z284" s="109"/>
      <c r="AA284" s="109"/>
      <c r="AB284" s="109"/>
      <c r="AC284" s="16"/>
      <c r="AD284" s="16"/>
      <c r="AE284" s="16"/>
      <c r="AF284" s="16"/>
    </row>
    <row r="285" spans="1:32" x14ac:dyDescent="0.2">
      <c r="A285" s="16"/>
      <c r="B285" s="16"/>
      <c r="C285" s="16"/>
      <c r="D285" s="16"/>
      <c r="E285" s="16"/>
      <c r="F285" s="109"/>
      <c r="G285" s="109"/>
      <c r="H285" s="109"/>
      <c r="I285" s="109"/>
      <c r="J285" s="109"/>
      <c r="K285" s="109"/>
      <c r="L285" s="109"/>
      <c r="M285" s="109"/>
      <c r="N285" s="109"/>
      <c r="O285" s="109"/>
      <c r="P285" s="109"/>
      <c r="Q285" s="109"/>
      <c r="R285" s="16"/>
      <c r="S285" s="16"/>
      <c r="T285" s="109"/>
      <c r="U285" s="109"/>
      <c r="V285" s="109"/>
      <c r="W285" s="109"/>
      <c r="X285" s="109"/>
      <c r="Y285" s="109"/>
      <c r="Z285" s="109"/>
      <c r="AA285" s="109"/>
      <c r="AB285" s="109"/>
      <c r="AC285" s="16"/>
      <c r="AD285" s="16"/>
      <c r="AE285" s="16"/>
      <c r="AF285" s="16"/>
    </row>
    <row r="286" spans="1:32" x14ac:dyDescent="0.2">
      <c r="A286" s="16"/>
      <c r="B286" s="16"/>
      <c r="C286" s="16"/>
      <c r="D286" s="16"/>
      <c r="E286" s="16"/>
      <c r="F286" s="109"/>
      <c r="G286" s="109"/>
      <c r="H286" s="109"/>
      <c r="I286" s="109"/>
      <c r="J286" s="109"/>
      <c r="K286" s="109"/>
      <c r="L286" s="109"/>
      <c r="M286" s="109"/>
      <c r="N286" s="109"/>
      <c r="O286" s="109"/>
      <c r="P286" s="109"/>
      <c r="Q286" s="109"/>
      <c r="R286" s="16"/>
      <c r="S286" s="16"/>
      <c r="T286" s="109"/>
      <c r="U286" s="109"/>
      <c r="V286" s="109"/>
      <c r="W286" s="109"/>
      <c r="X286" s="109"/>
      <c r="Y286" s="109"/>
      <c r="Z286" s="109"/>
      <c r="AA286" s="109"/>
      <c r="AB286" s="109"/>
      <c r="AC286" s="16"/>
      <c r="AD286" s="16"/>
      <c r="AE286" s="16"/>
      <c r="AF286" s="16"/>
    </row>
    <row r="287" spans="1:32" x14ac:dyDescent="0.2">
      <c r="A287" s="16"/>
      <c r="B287" s="16"/>
      <c r="C287" s="16"/>
      <c r="D287" s="16"/>
      <c r="E287" s="16"/>
      <c r="F287" s="109"/>
      <c r="G287" s="109"/>
      <c r="H287" s="109"/>
      <c r="I287" s="109"/>
      <c r="J287" s="109"/>
      <c r="K287" s="109"/>
      <c r="L287" s="109"/>
      <c r="M287" s="109"/>
      <c r="N287" s="109"/>
      <c r="O287" s="109"/>
      <c r="P287" s="109"/>
      <c r="Q287" s="109"/>
      <c r="R287" s="16"/>
      <c r="S287" s="16"/>
      <c r="T287" s="109"/>
      <c r="U287" s="109"/>
      <c r="V287" s="109"/>
      <c r="W287" s="109"/>
      <c r="X287" s="109"/>
      <c r="Y287" s="109"/>
      <c r="Z287" s="109"/>
      <c r="AA287" s="109"/>
      <c r="AB287" s="109"/>
      <c r="AC287" s="16"/>
      <c r="AD287" s="16"/>
      <c r="AE287" s="16"/>
      <c r="AF287" s="16"/>
    </row>
    <row r="288" spans="1:32" x14ac:dyDescent="0.2">
      <c r="A288" s="16"/>
      <c r="B288" s="16"/>
      <c r="C288" s="16"/>
      <c r="D288" s="16"/>
      <c r="E288" s="16"/>
      <c r="F288" s="109"/>
      <c r="G288" s="109"/>
      <c r="H288" s="109"/>
      <c r="I288" s="109"/>
      <c r="J288" s="109"/>
      <c r="K288" s="109"/>
      <c r="L288" s="109"/>
      <c r="M288" s="109"/>
      <c r="N288" s="109"/>
      <c r="O288" s="109"/>
      <c r="P288" s="109"/>
      <c r="Q288" s="109"/>
      <c r="R288" s="16"/>
      <c r="S288" s="16"/>
      <c r="T288" s="109"/>
      <c r="U288" s="109"/>
      <c r="V288" s="109"/>
      <c r="W288" s="109"/>
      <c r="X288" s="109"/>
      <c r="Y288" s="109"/>
      <c r="Z288" s="109"/>
      <c r="AA288" s="109"/>
      <c r="AB288" s="109"/>
      <c r="AC288" s="16"/>
      <c r="AD288" s="16"/>
      <c r="AE288" s="16"/>
      <c r="AF288" s="16"/>
    </row>
    <row r="289" spans="1:32" x14ac:dyDescent="0.2">
      <c r="A289" s="16"/>
      <c r="B289" s="16"/>
      <c r="C289" s="16"/>
      <c r="D289" s="16"/>
      <c r="E289" s="16"/>
      <c r="F289" s="109"/>
      <c r="G289" s="109"/>
      <c r="H289" s="109"/>
      <c r="I289" s="109"/>
      <c r="J289" s="109"/>
      <c r="K289" s="109"/>
      <c r="L289" s="109"/>
      <c r="M289" s="109"/>
      <c r="N289" s="109"/>
      <c r="O289" s="109"/>
      <c r="P289" s="109"/>
      <c r="Q289" s="109"/>
      <c r="R289" s="16"/>
      <c r="S289" s="16"/>
      <c r="T289" s="109"/>
      <c r="U289" s="109"/>
      <c r="V289" s="109"/>
      <c r="W289" s="109"/>
      <c r="X289" s="109"/>
      <c r="Y289" s="109"/>
      <c r="Z289" s="109"/>
      <c r="AA289" s="109"/>
      <c r="AB289" s="109"/>
      <c r="AC289" s="16"/>
      <c r="AD289" s="16"/>
      <c r="AE289" s="16"/>
      <c r="AF289" s="16"/>
    </row>
    <row r="290" spans="1:32" x14ac:dyDescent="0.2">
      <c r="A290" s="16"/>
      <c r="B290" s="16"/>
      <c r="C290" s="16"/>
      <c r="D290" s="16"/>
      <c r="E290" s="16"/>
      <c r="F290" s="109"/>
      <c r="G290" s="109"/>
      <c r="H290" s="109"/>
      <c r="I290" s="109"/>
      <c r="J290" s="109"/>
      <c r="K290" s="109"/>
      <c r="L290" s="109"/>
      <c r="M290" s="109"/>
      <c r="N290" s="109"/>
      <c r="O290" s="109"/>
      <c r="P290" s="109"/>
      <c r="Q290" s="109"/>
      <c r="R290" s="16"/>
      <c r="S290" s="16"/>
      <c r="T290" s="109"/>
      <c r="U290" s="109"/>
      <c r="V290" s="109"/>
      <c r="W290" s="109"/>
      <c r="X290" s="109"/>
      <c r="Y290" s="109"/>
      <c r="Z290" s="109"/>
      <c r="AA290" s="109"/>
      <c r="AB290" s="109"/>
      <c r="AC290" s="16"/>
      <c r="AD290" s="16"/>
      <c r="AE290" s="16"/>
      <c r="AF290" s="16"/>
    </row>
    <row r="291" spans="1:32" x14ac:dyDescent="0.2">
      <c r="A291" s="16"/>
      <c r="B291" s="16"/>
      <c r="C291" s="16"/>
      <c r="D291" s="16"/>
      <c r="E291" s="16"/>
      <c r="F291" s="109"/>
      <c r="G291" s="109"/>
      <c r="H291" s="109"/>
      <c r="I291" s="109"/>
      <c r="J291" s="109"/>
      <c r="K291" s="109"/>
      <c r="L291" s="109"/>
      <c r="M291" s="109"/>
      <c r="N291" s="109"/>
      <c r="O291" s="109"/>
      <c r="P291" s="109"/>
      <c r="Q291" s="109"/>
      <c r="R291" s="16"/>
      <c r="S291" s="16"/>
      <c r="T291" s="109"/>
      <c r="U291" s="109"/>
      <c r="V291" s="109"/>
      <c r="W291" s="109"/>
      <c r="X291" s="109"/>
      <c r="Y291" s="109"/>
      <c r="Z291" s="109"/>
      <c r="AA291" s="109"/>
      <c r="AB291" s="109"/>
      <c r="AC291" s="16"/>
      <c r="AD291" s="16"/>
      <c r="AE291" s="16"/>
      <c r="AF291" s="16"/>
    </row>
    <row r="292" spans="1:32" x14ac:dyDescent="0.2">
      <c r="A292" s="16"/>
      <c r="B292" s="16"/>
      <c r="C292" s="16"/>
      <c r="D292" s="16"/>
      <c r="E292" s="16"/>
      <c r="F292" s="109"/>
      <c r="G292" s="109"/>
      <c r="H292" s="109"/>
      <c r="I292" s="109"/>
      <c r="J292" s="109"/>
      <c r="K292" s="109"/>
      <c r="L292" s="109"/>
      <c r="M292" s="109"/>
      <c r="N292" s="109"/>
      <c r="O292" s="109"/>
      <c r="P292" s="109"/>
      <c r="Q292" s="109"/>
      <c r="R292" s="16"/>
      <c r="S292" s="16"/>
      <c r="T292" s="109"/>
      <c r="U292" s="109"/>
      <c r="V292" s="109"/>
      <c r="W292" s="109"/>
      <c r="X292" s="109"/>
      <c r="Y292" s="109"/>
      <c r="Z292" s="109"/>
      <c r="AA292" s="109"/>
      <c r="AB292" s="109"/>
      <c r="AC292" s="16"/>
      <c r="AD292" s="16"/>
      <c r="AE292" s="16"/>
      <c r="AF292" s="16"/>
    </row>
    <row r="293" spans="1:32" x14ac:dyDescent="0.2">
      <c r="A293" s="16"/>
      <c r="B293" s="16"/>
      <c r="C293" s="16"/>
      <c r="D293" s="16"/>
      <c r="E293" s="16"/>
      <c r="F293" s="109"/>
      <c r="G293" s="109"/>
      <c r="H293" s="109"/>
      <c r="I293" s="109"/>
      <c r="J293" s="109"/>
      <c r="K293" s="109"/>
      <c r="L293" s="109"/>
      <c r="M293" s="109"/>
      <c r="N293" s="109"/>
      <c r="O293" s="109"/>
      <c r="P293" s="109"/>
      <c r="Q293" s="109"/>
      <c r="R293" s="16"/>
      <c r="S293" s="16"/>
      <c r="T293" s="109"/>
      <c r="U293" s="109"/>
      <c r="V293" s="109"/>
      <c r="W293" s="109"/>
      <c r="X293" s="109"/>
      <c r="Y293" s="109"/>
      <c r="Z293" s="109"/>
      <c r="AA293" s="109"/>
      <c r="AB293" s="109"/>
      <c r="AC293" s="16"/>
      <c r="AD293" s="16"/>
      <c r="AE293" s="16"/>
      <c r="AF293" s="16"/>
    </row>
    <row r="294" spans="1:32" x14ac:dyDescent="0.2">
      <c r="A294" s="16"/>
      <c r="B294" s="16"/>
      <c r="C294" s="16"/>
      <c r="D294" s="16"/>
      <c r="E294" s="16"/>
      <c r="F294" s="109"/>
      <c r="G294" s="109"/>
      <c r="H294" s="109"/>
      <c r="I294" s="109"/>
      <c r="J294" s="109"/>
      <c r="K294" s="109"/>
      <c r="L294" s="109"/>
      <c r="M294" s="109"/>
      <c r="N294" s="109"/>
      <c r="O294" s="109"/>
      <c r="P294" s="109"/>
      <c r="Q294" s="109"/>
      <c r="R294" s="16"/>
      <c r="S294" s="16"/>
      <c r="T294" s="109"/>
      <c r="U294" s="109"/>
      <c r="V294" s="109"/>
      <c r="W294" s="109"/>
      <c r="X294" s="109"/>
      <c r="Y294" s="109"/>
      <c r="Z294" s="109"/>
      <c r="AA294" s="109"/>
      <c r="AB294" s="109"/>
      <c r="AC294" s="16"/>
      <c r="AD294" s="16"/>
      <c r="AE294" s="16"/>
      <c r="AF294" s="16"/>
    </row>
    <row r="295" spans="1:32" x14ac:dyDescent="0.2">
      <c r="A295" s="16"/>
      <c r="B295" s="16"/>
      <c r="C295" s="16"/>
      <c r="D295" s="16"/>
      <c r="E295" s="16"/>
      <c r="F295" s="109"/>
      <c r="G295" s="109"/>
      <c r="H295" s="109"/>
      <c r="I295" s="109"/>
      <c r="J295" s="109"/>
      <c r="K295" s="109"/>
      <c r="L295" s="109"/>
      <c r="M295" s="109"/>
      <c r="N295" s="109"/>
      <c r="O295" s="109"/>
      <c r="P295" s="109"/>
      <c r="Q295" s="109"/>
      <c r="R295" s="16"/>
      <c r="S295" s="16"/>
      <c r="T295" s="109"/>
      <c r="U295" s="109"/>
      <c r="V295" s="109"/>
      <c r="W295" s="109"/>
      <c r="X295" s="109"/>
      <c r="Y295" s="109"/>
      <c r="Z295" s="109"/>
      <c r="AA295" s="109"/>
      <c r="AB295" s="109"/>
      <c r="AC295" s="16"/>
      <c r="AD295" s="16"/>
      <c r="AE295" s="16"/>
      <c r="AF295" s="16"/>
    </row>
    <row r="296" spans="1:32" x14ac:dyDescent="0.2">
      <c r="A296" s="16"/>
      <c r="B296" s="16"/>
      <c r="C296" s="16"/>
      <c r="D296" s="16"/>
      <c r="E296" s="16"/>
      <c r="F296" s="109"/>
      <c r="G296" s="109"/>
      <c r="H296" s="109"/>
      <c r="I296" s="109"/>
      <c r="J296" s="109"/>
      <c r="K296" s="109"/>
      <c r="L296" s="109"/>
      <c r="M296" s="109"/>
      <c r="N296" s="109"/>
      <c r="O296" s="109"/>
      <c r="P296" s="109"/>
      <c r="Q296" s="109"/>
      <c r="R296" s="16"/>
      <c r="S296" s="16"/>
      <c r="T296" s="109"/>
      <c r="U296" s="109"/>
      <c r="V296" s="109"/>
      <c r="W296" s="109"/>
      <c r="X296" s="109"/>
      <c r="Y296" s="109"/>
      <c r="Z296" s="109"/>
      <c r="AA296" s="109"/>
      <c r="AB296" s="109"/>
      <c r="AC296" s="16"/>
      <c r="AD296" s="16"/>
      <c r="AE296" s="16"/>
      <c r="AF296" s="16"/>
    </row>
    <row r="297" spans="1:32" x14ac:dyDescent="0.2">
      <c r="A297" s="16"/>
      <c r="B297" s="16"/>
      <c r="C297" s="16"/>
      <c r="D297" s="16"/>
      <c r="E297" s="16"/>
      <c r="F297" s="109"/>
      <c r="G297" s="109"/>
      <c r="H297" s="109"/>
      <c r="I297" s="109"/>
      <c r="J297" s="109"/>
      <c r="K297" s="109"/>
      <c r="L297" s="109"/>
      <c r="M297" s="109"/>
      <c r="N297" s="109"/>
      <c r="O297" s="109"/>
      <c r="P297" s="109"/>
      <c r="Q297" s="109"/>
      <c r="R297" s="16"/>
      <c r="S297" s="16"/>
      <c r="T297" s="109"/>
      <c r="U297" s="109"/>
      <c r="V297" s="109"/>
      <c r="W297" s="109"/>
      <c r="X297" s="109"/>
      <c r="Y297" s="109"/>
      <c r="Z297" s="109"/>
      <c r="AA297" s="109"/>
      <c r="AB297" s="109"/>
      <c r="AC297" s="16"/>
      <c r="AD297" s="16"/>
      <c r="AE297" s="16"/>
      <c r="AF297" s="16"/>
    </row>
    <row r="298" spans="1:32" x14ac:dyDescent="0.2">
      <c r="A298" s="16"/>
      <c r="B298" s="16"/>
      <c r="C298" s="16"/>
      <c r="D298" s="16"/>
      <c r="E298" s="16"/>
      <c r="F298" s="109"/>
      <c r="G298" s="109"/>
      <c r="H298" s="109"/>
      <c r="I298" s="109"/>
      <c r="J298" s="109"/>
      <c r="K298" s="109"/>
      <c r="L298" s="109"/>
      <c r="M298" s="109"/>
      <c r="N298" s="109"/>
      <c r="O298" s="109"/>
      <c r="P298" s="109"/>
      <c r="Q298" s="109"/>
      <c r="R298" s="16"/>
      <c r="S298" s="16"/>
      <c r="T298" s="109"/>
      <c r="U298" s="109"/>
      <c r="V298" s="109"/>
      <c r="W298" s="109"/>
      <c r="X298" s="109"/>
      <c r="Y298" s="109"/>
      <c r="Z298" s="109"/>
      <c r="AA298" s="109"/>
      <c r="AB298" s="109"/>
      <c r="AC298" s="16"/>
      <c r="AD298" s="16"/>
      <c r="AE298" s="16"/>
      <c r="AF298" s="16"/>
    </row>
    <row r="299" spans="1:32" x14ac:dyDescent="0.2">
      <c r="A299" s="16"/>
      <c r="B299" s="16"/>
      <c r="C299" s="16"/>
      <c r="D299" s="16"/>
      <c r="E299" s="16"/>
      <c r="F299" s="109"/>
      <c r="G299" s="109"/>
      <c r="H299" s="109"/>
      <c r="I299" s="109"/>
      <c r="J299" s="109"/>
      <c r="K299" s="109"/>
      <c r="L299" s="109"/>
      <c r="M299" s="109"/>
      <c r="N299" s="109"/>
      <c r="O299" s="109"/>
      <c r="P299" s="109"/>
      <c r="Q299" s="109"/>
      <c r="R299" s="16"/>
      <c r="S299" s="16"/>
      <c r="T299" s="109"/>
      <c r="U299" s="109"/>
      <c r="V299" s="109"/>
      <c r="W299" s="109"/>
      <c r="X299" s="109"/>
      <c r="Y299" s="109"/>
      <c r="Z299" s="109"/>
      <c r="AA299" s="109"/>
      <c r="AB299" s="109"/>
      <c r="AC299" s="16"/>
      <c r="AD299" s="16"/>
      <c r="AE299" s="16"/>
      <c r="AF299" s="16"/>
    </row>
    <row r="300" spans="1:32" x14ac:dyDescent="0.2">
      <c r="A300" s="16"/>
      <c r="B300" s="16"/>
      <c r="C300" s="16"/>
      <c r="D300" s="16"/>
      <c r="E300" s="16"/>
      <c r="F300" s="109"/>
      <c r="G300" s="109"/>
      <c r="H300" s="109"/>
      <c r="I300" s="109"/>
      <c r="J300" s="109"/>
      <c r="K300" s="109"/>
      <c r="L300" s="109"/>
      <c r="M300" s="109"/>
      <c r="N300" s="109"/>
      <c r="O300" s="109"/>
      <c r="P300" s="109"/>
      <c r="Q300" s="109"/>
      <c r="R300" s="16"/>
      <c r="S300" s="16"/>
      <c r="T300" s="109"/>
      <c r="U300" s="109"/>
      <c r="V300" s="109"/>
      <c r="W300" s="109"/>
      <c r="X300" s="109"/>
      <c r="Y300" s="109"/>
      <c r="Z300" s="109"/>
      <c r="AA300" s="109"/>
      <c r="AB300" s="109"/>
      <c r="AC300" s="16"/>
      <c r="AD300" s="16"/>
      <c r="AE300" s="16"/>
      <c r="AF300" s="16"/>
    </row>
    <row r="301" spans="1:32" x14ac:dyDescent="0.2">
      <c r="A301" s="16"/>
      <c r="B301" s="16"/>
      <c r="C301" s="16"/>
      <c r="D301" s="16"/>
      <c r="E301" s="16"/>
      <c r="F301" s="109"/>
      <c r="G301" s="109"/>
      <c r="H301" s="109"/>
      <c r="I301" s="109"/>
      <c r="J301" s="109"/>
      <c r="K301" s="109"/>
      <c r="L301" s="109"/>
      <c r="M301" s="109"/>
      <c r="N301" s="109"/>
      <c r="O301" s="109"/>
      <c r="P301" s="109"/>
      <c r="Q301" s="109"/>
      <c r="R301" s="16"/>
      <c r="S301" s="16"/>
      <c r="T301" s="109"/>
      <c r="U301" s="109"/>
      <c r="V301" s="109"/>
      <c r="W301" s="109"/>
      <c r="X301" s="109"/>
      <c r="Y301" s="109"/>
      <c r="Z301" s="109"/>
      <c r="AA301" s="109"/>
      <c r="AB301" s="109"/>
      <c r="AC301" s="16"/>
      <c r="AD301" s="16"/>
      <c r="AE301" s="16"/>
      <c r="AF301" s="16"/>
    </row>
    <row r="302" spans="1:32" x14ac:dyDescent="0.2">
      <c r="A302" s="16"/>
      <c r="B302" s="16"/>
      <c r="C302" s="16"/>
      <c r="D302" s="16"/>
      <c r="E302" s="16"/>
      <c r="F302" s="109"/>
      <c r="G302" s="109"/>
      <c r="H302" s="109"/>
      <c r="I302" s="109"/>
      <c r="J302" s="109"/>
      <c r="K302" s="109"/>
      <c r="L302" s="109"/>
      <c r="M302" s="109"/>
      <c r="N302" s="109"/>
      <c r="O302" s="109"/>
      <c r="P302" s="109"/>
      <c r="Q302" s="109"/>
      <c r="R302" s="16"/>
      <c r="S302" s="16"/>
      <c r="T302" s="109"/>
      <c r="U302" s="109"/>
      <c r="V302" s="109"/>
      <c r="W302" s="109"/>
      <c r="X302" s="109"/>
      <c r="Y302" s="109"/>
      <c r="Z302" s="109"/>
      <c r="AA302" s="109"/>
      <c r="AB302" s="109"/>
      <c r="AC302" s="16"/>
      <c r="AD302" s="16"/>
      <c r="AE302" s="16"/>
      <c r="AF302" s="16"/>
    </row>
    <row r="303" spans="1:32" x14ac:dyDescent="0.2">
      <c r="A303" s="16"/>
      <c r="B303" s="16"/>
      <c r="C303" s="16"/>
      <c r="D303" s="16"/>
      <c r="E303" s="16"/>
      <c r="F303" s="109"/>
      <c r="G303" s="109"/>
      <c r="H303" s="109"/>
      <c r="I303" s="109"/>
      <c r="J303" s="109"/>
      <c r="K303" s="109"/>
      <c r="L303" s="109"/>
      <c r="M303" s="109"/>
      <c r="N303" s="109"/>
      <c r="O303" s="109"/>
      <c r="P303" s="109"/>
      <c r="Q303" s="109"/>
      <c r="R303" s="16"/>
      <c r="S303" s="16"/>
      <c r="T303" s="109"/>
      <c r="U303" s="109"/>
      <c r="V303" s="109"/>
      <c r="W303" s="109"/>
      <c r="X303" s="109"/>
      <c r="Y303" s="109"/>
      <c r="Z303" s="109"/>
      <c r="AA303" s="109"/>
      <c r="AB303" s="109"/>
      <c r="AC303" s="16"/>
      <c r="AD303" s="16"/>
      <c r="AE303" s="16"/>
      <c r="AF303" s="16"/>
    </row>
    <row r="304" spans="1:32" x14ac:dyDescent="0.2">
      <c r="A304" s="16"/>
      <c r="B304" s="16"/>
      <c r="C304" s="16"/>
      <c r="D304" s="16"/>
      <c r="E304" s="16"/>
      <c r="F304" s="109"/>
      <c r="G304" s="109"/>
      <c r="H304" s="109"/>
      <c r="I304" s="109"/>
      <c r="J304" s="109"/>
      <c r="K304" s="109"/>
      <c r="L304" s="109"/>
      <c r="M304" s="109"/>
      <c r="N304" s="109"/>
      <c r="O304" s="109"/>
      <c r="P304" s="109"/>
      <c r="Q304" s="109"/>
      <c r="R304" s="16"/>
      <c r="S304" s="16"/>
      <c r="T304" s="109"/>
      <c r="U304" s="109"/>
      <c r="V304" s="109"/>
      <c r="W304" s="109"/>
      <c r="X304" s="109"/>
      <c r="Y304" s="109"/>
      <c r="Z304" s="109"/>
      <c r="AA304" s="109"/>
      <c r="AB304" s="109"/>
      <c r="AC304" s="16"/>
      <c r="AD304" s="16"/>
      <c r="AE304" s="16"/>
      <c r="AF304" s="16"/>
    </row>
    <row r="305" spans="1:32" x14ac:dyDescent="0.2">
      <c r="A305" s="16"/>
      <c r="B305" s="16"/>
      <c r="C305" s="16"/>
      <c r="D305" s="16"/>
      <c r="E305" s="16"/>
      <c r="F305" s="109"/>
      <c r="G305" s="109"/>
      <c r="H305" s="109"/>
      <c r="I305" s="109"/>
      <c r="J305" s="109"/>
      <c r="K305" s="109"/>
      <c r="L305" s="109"/>
      <c r="M305" s="109"/>
      <c r="N305" s="109"/>
      <c r="O305" s="109"/>
      <c r="P305" s="109"/>
      <c r="Q305" s="109"/>
      <c r="R305" s="16"/>
      <c r="S305" s="16"/>
      <c r="T305" s="109"/>
      <c r="U305" s="109"/>
      <c r="V305" s="109"/>
      <c r="W305" s="109"/>
      <c r="X305" s="109"/>
      <c r="Y305" s="109"/>
      <c r="Z305" s="109"/>
      <c r="AA305" s="109"/>
      <c r="AB305" s="109"/>
      <c r="AC305" s="16"/>
      <c r="AD305" s="16"/>
      <c r="AE305" s="16"/>
      <c r="AF305" s="16"/>
    </row>
    <row r="306" spans="1:32" x14ac:dyDescent="0.2">
      <c r="A306" s="16"/>
      <c r="B306" s="16"/>
      <c r="C306" s="16"/>
      <c r="D306" s="16"/>
      <c r="E306" s="16"/>
      <c r="F306" s="109"/>
      <c r="G306" s="109"/>
      <c r="H306" s="109"/>
      <c r="I306" s="109"/>
      <c r="J306" s="109"/>
      <c r="K306" s="109"/>
      <c r="L306" s="109"/>
      <c r="M306" s="109"/>
      <c r="N306" s="109"/>
      <c r="O306" s="109"/>
      <c r="P306" s="109"/>
      <c r="Q306" s="109"/>
      <c r="R306" s="16"/>
      <c r="S306" s="16"/>
      <c r="T306" s="109"/>
      <c r="U306" s="109"/>
      <c r="V306" s="109"/>
      <c r="W306" s="109"/>
      <c r="X306" s="109"/>
      <c r="Y306" s="109"/>
      <c r="Z306" s="109"/>
      <c r="AA306" s="109"/>
      <c r="AB306" s="109"/>
      <c r="AC306" s="16"/>
      <c r="AD306" s="16"/>
      <c r="AE306" s="16"/>
      <c r="AF306" s="16"/>
    </row>
    <row r="307" spans="1:32" x14ac:dyDescent="0.2">
      <c r="A307" s="16"/>
      <c r="B307" s="16"/>
      <c r="C307" s="16"/>
      <c r="D307" s="16"/>
      <c r="E307" s="16"/>
      <c r="F307" s="109"/>
      <c r="G307" s="109"/>
      <c r="H307" s="109"/>
      <c r="I307" s="109"/>
      <c r="J307" s="109"/>
      <c r="K307" s="109"/>
      <c r="L307" s="109"/>
      <c r="M307" s="109"/>
      <c r="N307" s="109"/>
      <c r="O307" s="109"/>
      <c r="P307" s="109"/>
      <c r="Q307" s="109"/>
      <c r="R307" s="16"/>
      <c r="S307" s="16"/>
      <c r="T307" s="109"/>
      <c r="U307" s="109"/>
      <c r="V307" s="109"/>
      <c r="W307" s="109"/>
      <c r="X307" s="109"/>
      <c r="Y307" s="109"/>
      <c r="Z307" s="109"/>
      <c r="AA307" s="109"/>
      <c r="AB307" s="109"/>
      <c r="AC307" s="16"/>
      <c r="AD307" s="16"/>
      <c r="AE307" s="16"/>
      <c r="AF307" s="16"/>
    </row>
    <row r="308" spans="1:32" x14ac:dyDescent="0.2">
      <c r="A308" s="16"/>
      <c r="B308" s="16"/>
      <c r="C308" s="16"/>
      <c r="D308" s="16"/>
      <c r="E308" s="16"/>
      <c r="F308" s="109"/>
      <c r="G308" s="109"/>
      <c r="H308" s="109"/>
      <c r="I308" s="109"/>
      <c r="J308" s="109"/>
      <c r="K308" s="109"/>
      <c r="L308" s="109"/>
      <c r="M308" s="109"/>
      <c r="N308" s="109"/>
      <c r="O308" s="109"/>
      <c r="P308" s="109"/>
      <c r="Q308" s="109"/>
      <c r="R308" s="16"/>
      <c r="S308" s="16"/>
      <c r="T308" s="109"/>
      <c r="U308" s="109"/>
      <c r="V308" s="109"/>
      <c r="W308" s="109"/>
      <c r="X308" s="109"/>
      <c r="Y308" s="109"/>
      <c r="Z308" s="109"/>
      <c r="AA308" s="109"/>
      <c r="AB308" s="109"/>
      <c r="AC308" s="16"/>
      <c r="AD308" s="16"/>
      <c r="AE308" s="16"/>
      <c r="AF308" s="16"/>
    </row>
    <row r="309" spans="1:32" x14ac:dyDescent="0.2">
      <c r="A309" s="16"/>
      <c r="B309" s="16"/>
      <c r="C309" s="16"/>
      <c r="D309" s="16"/>
      <c r="E309" s="16"/>
      <c r="F309" s="109"/>
      <c r="G309" s="109"/>
      <c r="H309" s="109"/>
      <c r="I309" s="109"/>
      <c r="J309" s="109"/>
      <c r="K309" s="109"/>
      <c r="L309" s="109"/>
      <c r="M309" s="109"/>
      <c r="N309" s="109"/>
      <c r="O309" s="109"/>
      <c r="P309" s="109"/>
      <c r="Q309" s="109"/>
      <c r="R309" s="16"/>
      <c r="S309" s="16"/>
      <c r="T309" s="109"/>
      <c r="U309" s="109"/>
      <c r="V309" s="109"/>
      <c r="W309" s="109"/>
      <c r="X309" s="109"/>
      <c r="Y309" s="109"/>
      <c r="Z309" s="109"/>
      <c r="AA309" s="109"/>
      <c r="AB309" s="109"/>
      <c r="AC309" s="16"/>
      <c r="AD309" s="16"/>
      <c r="AE309" s="16"/>
      <c r="AF309" s="16"/>
    </row>
    <row r="310" spans="1:32" x14ac:dyDescent="0.2">
      <c r="A310" s="16"/>
      <c r="B310" s="16"/>
      <c r="C310" s="16"/>
      <c r="D310" s="16"/>
      <c r="E310" s="16"/>
      <c r="F310" s="109"/>
      <c r="G310" s="109"/>
      <c r="H310" s="109"/>
      <c r="I310" s="109"/>
      <c r="J310" s="109"/>
      <c r="K310" s="109"/>
      <c r="L310" s="109"/>
      <c r="M310" s="109"/>
      <c r="N310" s="109"/>
      <c r="O310" s="109"/>
      <c r="P310" s="109"/>
      <c r="Q310" s="109"/>
      <c r="R310" s="16"/>
      <c r="S310" s="16"/>
      <c r="T310" s="109"/>
      <c r="U310" s="109"/>
      <c r="V310" s="109"/>
      <c r="W310" s="109"/>
      <c r="X310" s="109"/>
      <c r="Y310" s="109"/>
      <c r="Z310" s="109"/>
      <c r="AA310" s="109"/>
      <c r="AB310" s="109"/>
      <c r="AC310" s="16"/>
      <c r="AD310" s="16"/>
      <c r="AE310" s="16"/>
      <c r="AF310" s="16"/>
    </row>
    <row r="311" spans="1:32" x14ac:dyDescent="0.2">
      <c r="A311" s="16"/>
      <c r="B311" s="16"/>
      <c r="C311" s="16"/>
      <c r="D311" s="16"/>
      <c r="E311" s="16"/>
      <c r="F311" s="109"/>
      <c r="G311" s="109"/>
      <c r="H311" s="109"/>
      <c r="I311" s="109"/>
      <c r="J311" s="109"/>
      <c r="K311" s="109"/>
      <c r="L311" s="109"/>
      <c r="M311" s="109"/>
      <c r="N311" s="109"/>
      <c r="O311" s="109"/>
      <c r="P311" s="109"/>
      <c r="Q311" s="109"/>
      <c r="R311" s="16"/>
      <c r="S311" s="16"/>
      <c r="T311" s="109"/>
      <c r="U311" s="109"/>
      <c r="V311" s="109"/>
      <c r="W311" s="109"/>
      <c r="X311" s="109"/>
      <c r="Y311" s="109"/>
      <c r="Z311" s="109"/>
      <c r="AA311" s="109"/>
      <c r="AB311" s="109"/>
      <c r="AC311" s="16"/>
      <c r="AD311" s="16"/>
      <c r="AE311" s="16"/>
      <c r="AF311" s="16"/>
    </row>
    <row r="312" spans="1:32" x14ac:dyDescent="0.2">
      <c r="A312" s="16"/>
      <c r="B312" s="16"/>
      <c r="C312" s="16"/>
      <c r="D312" s="16"/>
      <c r="E312" s="16"/>
      <c r="F312" s="109"/>
      <c r="G312" s="109"/>
      <c r="H312" s="109"/>
      <c r="I312" s="109"/>
      <c r="J312" s="109"/>
      <c r="K312" s="109"/>
      <c r="L312" s="109"/>
      <c r="M312" s="109"/>
      <c r="N312" s="109"/>
      <c r="O312" s="109"/>
      <c r="P312" s="109"/>
      <c r="Q312" s="109"/>
      <c r="R312" s="16"/>
      <c r="S312" s="16"/>
      <c r="T312" s="109"/>
      <c r="U312" s="109"/>
      <c r="V312" s="109"/>
      <c r="W312" s="109"/>
      <c r="X312" s="109"/>
      <c r="Y312" s="109"/>
      <c r="Z312" s="109"/>
      <c r="AA312" s="109"/>
      <c r="AB312" s="109"/>
      <c r="AC312" s="16"/>
      <c r="AD312" s="16"/>
      <c r="AE312" s="16"/>
      <c r="AF312" s="16"/>
    </row>
    <row r="313" spans="1:32" x14ac:dyDescent="0.2">
      <c r="A313" s="16"/>
      <c r="B313" s="16"/>
      <c r="C313" s="16"/>
      <c r="D313" s="16"/>
      <c r="E313" s="16"/>
      <c r="F313" s="109"/>
      <c r="G313" s="109"/>
      <c r="H313" s="109"/>
      <c r="I313" s="109"/>
      <c r="J313" s="109"/>
      <c r="K313" s="109"/>
      <c r="L313" s="109"/>
      <c r="M313" s="109"/>
      <c r="N313" s="109"/>
      <c r="O313" s="109"/>
      <c r="P313" s="109"/>
      <c r="Q313" s="109"/>
      <c r="R313" s="16"/>
      <c r="S313" s="16"/>
      <c r="T313" s="109"/>
      <c r="U313" s="109"/>
      <c r="V313" s="109"/>
      <c r="W313" s="109"/>
      <c r="X313" s="109"/>
      <c r="Y313" s="109"/>
      <c r="Z313" s="109"/>
      <c r="AA313" s="109"/>
      <c r="AB313" s="109"/>
      <c r="AC313" s="16"/>
      <c r="AD313" s="16"/>
      <c r="AE313" s="16"/>
      <c r="AF313" s="16"/>
    </row>
    <row r="314" spans="1:32" x14ac:dyDescent="0.2">
      <c r="A314" s="16"/>
      <c r="B314" s="16"/>
      <c r="C314" s="16"/>
      <c r="D314" s="16"/>
      <c r="E314" s="16"/>
      <c r="F314" s="109"/>
      <c r="G314" s="109"/>
      <c r="H314" s="109"/>
      <c r="I314" s="109"/>
      <c r="J314" s="109"/>
      <c r="K314" s="109"/>
      <c r="L314" s="109"/>
      <c r="M314" s="109"/>
      <c r="N314" s="109"/>
      <c r="O314" s="109"/>
      <c r="P314" s="109"/>
      <c r="Q314" s="109"/>
      <c r="R314" s="16"/>
      <c r="S314" s="16"/>
      <c r="T314" s="109"/>
      <c r="U314" s="109"/>
      <c r="V314" s="109"/>
      <c r="W314" s="109"/>
      <c r="X314" s="109"/>
      <c r="Y314" s="109"/>
      <c r="Z314" s="109"/>
      <c r="AA314" s="109"/>
      <c r="AB314" s="109"/>
      <c r="AC314" s="16"/>
      <c r="AD314" s="16"/>
      <c r="AE314" s="16"/>
      <c r="AF314" s="16"/>
    </row>
    <row r="315" spans="1:32" x14ac:dyDescent="0.2">
      <c r="A315" s="16"/>
      <c r="B315" s="16"/>
      <c r="C315" s="16"/>
      <c r="D315" s="16"/>
      <c r="E315" s="16"/>
      <c r="F315" s="109"/>
      <c r="G315" s="109"/>
      <c r="H315" s="109"/>
      <c r="I315" s="109"/>
      <c r="J315" s="109"/>
      <c r="K315" s="109"/>
      <c r="L315" s="109"/>
      <c r="M315" s="109"/>
      <c r="N315" s="109"/>
      <c r="O315" s="109"/>
      <c r="P315" s="109"/>
      <c r="Q315" s="109"/>
      <c r="R315" s="16"/>
      <c r="S315" s="16"/>
      <c r="T315" s="109"/>
      <c r="U315" s="109"/>
      <c r="V315" s="109"/>
      <c r="W315" s="109"/>
      <c r="X315" s="109"/>
      <c r="Y315" s="109"/>
      <c r="Z315" s="109"/>
      <c r="AA315" s="109"/>
      <c r="AB315" s="109"/>
      <c r="AC315" s="16"/>
      <c r="AD315" s="16"/>
      <c r="AE315" s="16"/>
      <c r="AF315" s="16"/>
    </row>
    <row r="316" spans="1:32" x14ac:dyDescent="0.2">
      <c r="A316" s="16"/>
      <c r="B316" s="16"/>
      <c r="C316" s="16"/>
      <c r="D316" s="16"/>
      <c r="E316" s="16"/>
      <c r="F316" s="109"/>
      <c r="G316" s="109"/>
      <c r="H316" s="109"/>
      <c r="I316" s="109"/>
      <c r="J316" s="109"/>
      <c r="K316" s="109"/>
      <c r="L316" s="109"/>
      <c r="M316" s="109"/>
      <c r="N316" s="109"/>
      <c r="O316" s="109"/>
      <c r="P316" s="109"/>
      <c r="Q316" s="109"/>
      <c r="R316" s="16"/>
      <c r="S316" s="16"/>
      <c r="T316" s="109"/>
      <c r="U316" s="109"/>
      <c r="V316" s="109"/>
      <c r="W316" s="109"/>
      <c r="X316" s="109"/>
      <c r="Y316" s="109"/>
      <c r="Z316" s="109"/>
      <c r="AA316" s="109"/>
      <c r="AB316" s="109"/>
      <c r="AC316" s="16"/>
      <c r="AD316" s="16"/>
      <c r="AE316" s="16"/>
      <c r="AF316" s="16"/>
    </row>
    <row r="317" spans="1:32" x14ac:dyDescent="0.2">
      <c r="A317" s="16"/>
      <c r="B317" s="16"/>
      <c r="C317" s="16"/>
      <c r="D317" s="16"/>
      <c r="E317" s="16"/>
      <c r="F317" s="109"/>
      <c r="G317" s="109"/>
      <c r="H317" s="109"/>
      <c r="I317" s="109"/>
      <c r="J317" s="109"/>
      <c r="K317" s="109"/>
      <c r="L317" s="109"/>
      <c r="M317" s="109"/>
      <c r="N317" s="109"/>
      <c r="O317" s="109"/>
      <c r="P317" s="109"/>
      <c r="Q317" s="109"/>
      <c r="R317" s="16"/>
      <c r="S317" s="16"/>
      <c r="T317" s="109"/>
      <c r="U317" s="109"/>
      <c r="V317" s="109"/>
      <c r="W317" s="109"/>
      <c r="X317" s="109"/>
      <c r="Y317" s="109"/>
      <c r="Z317" s="109"/>
      <c r="AA317" s="109"/>
      <c r="AB317" s="109"/>
      <c r="AC317" s="16"/>
      <c r="AD317" s="16"/>
      <c r="AE317" s="16"/>
      <c r="AF317" s="16"/>
    </row>
    <row r="318" spans="1:32" x14ac:dyDescent="0.2">
      <c r="A318" s="16"/>
      <c r="B318" s="16"/>
      <c r="C318" s="16"/>
      <c r="D318" s="16"/>
      <c r="E318" s="16"/>
      <c r="F318" s="109"/>
      <c r="G318" s="109"/>
      <c r="H318" s="109"/>
      <c r="I318" s="109"/>
      <c r="J318" s="109"/>
      <c r="K318" s="109"/>
      <c r="L318" s="109"/>
      <c r="M318" s="109"/>
      <c r="N318" s="109"/>
      <c r="O318" s="109"/>
      <c r="P318" s="109"/>
      <c r="Q318" s="109"/>
      <c r="R318" s="16"/>
      <c r="S318" s="16"/>
      <c r="T318" s="109"/>
      <c r="U318" s="109"/>
      <c r="V318" s="109"/>
      <c r="W318" s="109"/>
      <c r="X318" s="109"/>
      <c r="Y318" s="109"/>
      <c r="Z318" s="109"/>
      <c r="AA318" s="109"/>
      <c r="AB318" s="109"/>
      <c r="AC318" s="16"/>
      <c r="AD318" s="16"/>
      <c r="AE318" s="16"/>
      <c r="AF318" s="16"/>
    </row>
    <row r="319" spans="1:32" x14ac:dyDescent="0.2">
      <c r="A319" s="16"/>
      <c r="B319" s="16"/>
      <c r="C319" s="16"/>
      <c r="D319" s="16"/>
      <c r="E319" s="16"/>
      <c r="F319" s="109"/>
      <c r="G319" s="109"/>
      <c r="H319" s="109"/>
      <c r="I319" s="109"/>
      <c r="J319" s="109"/>
      <c r="K319" s="109"/>
      <c r="L319" s="109"/>
      <c r="M319" s="109"/>
      <c r="N319" s="109"/>
      <c r="O319" s="109"/>
      <c r="P319" s="109"/>
      <c r="Q319" s="109"/>
      <c r="R319" s="16"/>
      <c r="S319" s="16"/>
      <c r="T319" s="109"/>
      <c r="U319" s="109"/>
      <c r="V319" s="109"/>
      <c r="W319" s="109"/>
      <c r="X319" s="109"/>
      <c r="Y319" s="109"/>
      <c r="Z319" s="109"/>
      <c r="AA319" s="109"/>
      <c r="AB319" s="109"/>
      <c r="AC319" s="16"/>
      <c r="AD319" s="16"/>
      <c r="AE319" s="16"/>
      <c r="AF319" s="16"/>
    </row>
    <row r="320" spans="1:32" x14ac:dyDescent="0.2">
      <c r="A320" s="16"/>
      <c r="B320" s="16"/>
      <c r="C320" s="16"/>
      <c r="D320" s="16"/>
      <c r="E320" s="16"/>
      <c r="F320" s="109"/>
      <c r="G320" s="109"/>
      <c r="H320" s="109"/>
      <c r="I320" s="109"/>
      <c r="J320" s="109"/>
      <c r="K320" s="109"/>
      <c r="L320" s="109"/>
      <c r="M320" s="109"/>
      <c r="N320" s="109"/>
      <c r="O320" s="109"/>
      <c r="P320" s="109"/>
      <c r="Q320" s="109"/>
      <c r="R320" s="16"/>
      <c r="S320" s="16"/>
      <c r="T320" s="109"/>
      <c r="U320" s="109"/>
      <c r="V320" s="109"/>
      <c r="W320" s="109"/>
      <c r="X320" s="109"/>
      <c r="Y320" s="109"/>
      <c r="Z320" s="109"/>
      <c r="AA320" s="109"/>
      <c r="AB320" s="109"/>
      <c r="AC320" s="16"/>
      <c r="AD320" s="16"/>
      <c r="AE320" s="16"/>
      <c r="AF320" s="16"/>
    </row>
    <row r="321" spans="1:32" x14ac:dyDescent="0.2">
      <c r="A321" s="16"/>
      <c r="B321" s="16"/>
      <c r="C321" s="16"/>
      <c r="D321" s="16"/>
      <c r="E321" s="16"/>
      <c r="F321" s="109"/>
      <c r="G321" s="109"/>
      <c r="H321" s="109"/>
      <c r="I321" s="109"/>
      <c r="J321" s="109"/>
      <c r="K321" s="109"/>
      <c r="L321" s="109"/>
      <c r="M321" s="109"/>
      <c r="N321" s="109"/>
      <c r="O321" s="109"/>
      <c r="P321" s="109"/>
      <c r="Q321" s="109"/>
      <c r="R321" s="16"/>
      <c r="S321" s="16"/>
      <c r="T321" s="109"/>
      <c r="U321" s="109"/>
      <c r="V321" s="109"/>
      <c r="W321" s="109"/>
      <c r="X321" s="109"/>
      <c r="Y321" s="109"/>
      <c r="Z321" s="109"/>
      <c r="AA321" s="109"/>
      <c r="AB321" s="109"/>
      <c r="AC321" s="16"/>
      <c r="AD321" s="16"/>
      <c r="AE321" s="16"/>
      <c r="AF321" s="16"/>
    </row>
    <row r="322" spans="1:32" x14ac:dyDescent="0.2">
      <c r="A322" s="16"/>
      <c r="B322" s="16"/>
      <c r="C322" s="16"/>
      <c r="D322" s="16"/>
      <c r="E322" s="16"/>
      <c r="F322" s="109"/>
      <c r="G322" s="109"/>
      <c r="H322" s="109"/>
      <c r="I322" s="109"/>
      <c r="J322" s="109"/>
      <c r="K322" s="109"/>
      <c r="L322" s="109"/>
      <c r="M322" s="109"/>
      <c r="N322" s="109"/>
      <c r="O322" s="109"/>
      <c r="P322" s="109"/>
      <c r="Q322" s="109"/>
      <c r="R322" s="16"/>
      <c r="S322" s="16"/>
      <c r="T322" s="109"/>
      <c r="U322" s="109"/>
      <c r="V322" s="109"/>
      <c r="W322" s="109"/>
      <c r="X322" s="109"/>
      <c r="Y322" s="109"/>
      <c r="Z322" s="109"/>
      <c r="AA322" s="109"/>
      <c r="AB322" s="109"/>
      <c r="AC322" s="16"/>
      <c r="AD322" s="16"/>
      <c r="AE322" s="16"/>
      <c r="AF322" s="16"/>
    </row>
    <row r="323" spans="1:32" x14ac:dyDescent="0.2">
      <c r="A323" s="16"/>
      <c r="B323" s="16"/>
      <c r="C323" s="16"/>
      <c r="D323" s="16"/>
      <c r="E323" s="16"/>
      <c r="F323" s="109"/>
      <c r="G323" s="109"/>
      <c r="H323" s="109"/>
      <c r="I323" s="109"/>
      <c r="J323" s="109"/>
      <c r="K323" s="109"/>
      <c r="L323" s="109"/>
      <c r="M323" s="109"/>
      <c r="N323" s="109"/>
      <c r="O323" s="109"/>
      <c r="P323" s="109"/>
      <c r="Q323" s="109"/>
      <c r="R323" s="16"/>
      <c r="S323" s="16"/>
      <c r="T323" s="109"/>
      <c r="U323" s="109"/>
      <c r="V323" s="109"/>
      <c r="W323" s="109"/>
      <c r="X323" s="109"/>
      <c r="Y323" s="109"/>
      <c r="Z323" s="109"/>
      <c r="AA323" s="109"/>
      <c r="AB323" s="109"/>
      <c r="AC323" s="16"/>
      <c r="AD323" s="16"/>
      <c r="AE323" s="16"/>
      <c r="AF323" s="16"/>
    </row>
    <row r="324" spans="1:32" x14ac:dyDescent="0.2">
      <c r="A324" s="16"/>
      <c r="B324" s="16"/>
      <c r="C324" s="16"/>
      <c r="D324" s="16"/>
      <c r="E324" s="16"/>
      <c r="F324" s="109"/>
      <c r="G324" s="109"/>
      <c r="H324" s="109"/>
      <c r="I324" s="109"/>
      <c r="J324" s="109"/>
      <c r="K324" s="109"/>
      <c r="L324" s="109"/>
      <c r="M324" s="109"/>
      <c r="N324" s="109"/>
      <c r="O324" s="109"/>
      <c r="P324" s="109"/>
      <c r="Q324" s="109"/>
      <c r="R324" s="16"/>
      <c r="S324" s="16"/>
      <c r="T324" s="109"/>
      <c r="U324" s="109"/>
      <c r="V324" s="109"/>
      <c r="W324" s="109"/>
      <c r="X324" s="109"/>
      <c r="Y324" s="109"/>
      <c r="Z324" s="109"/>
      <c r="AA324" s="109"/>
      <c r="AB324" s="109"/>
      <c r="AC324" s="16"/>
      <c r="AD324" s="16"/>
      <c r="AE324" s="16"/>
      <c r="AF324" s="16"/>
    </row>
    <row r="325" spans="1:32" x14ac:dyDescent="0.2">
      <c r="A325" s="16"/>
      <c r="B325" s="16"/>
      <c r="C325" s="16"/>
      <c r="D325" s="16"/>
      <c r="E325" s="16"/>
      <c r="F325" s="109"/>
      <c r="G325" s="109"/>
      <c r="H325" s="109"/>
      <c r="I325" s="109"/>
      <c r="J325" s="109"/>
      <c r="K325" s="109"/>
      <c r="L325" s="109"/>
      <c r="M325" s="109"/>
      <c r="N325" s="109"/>
      <c r="O325" s="109"/>
      <c r="P325" s="109"/>
      <c r="Q325" s="109"/>
      <c r="R325" s="16"/>
      <c r="S325" s="16"/>
      <c r="T325" s="109"/>
      <c r="U325" s="109"/>
      <c r="V325" s="109"/>
      <c r="W325" s="109"/>
      <c r="X325" s="109"/>
      <c r="Y325" s="109"/>
      <c r="Z325" s="109"/>
      <c r="AA325" s="109"/>
      <c r="AB325" s="109"/>
      <c r="AC325" s="16"/>
      <c r="AD325" s="16"/>
      <c r="AE325" s="16"/>
      <c r="AF325" s="16"/>
    </row>
    <row r="326" spans="1:32" x14ac:dyDescent="0.2">
      <c r="A326" s="16"/>
      <c r="B326" s="16"/>
      <c r="C326" s="16"/>
      <c r="D326" s="16"/>
      <c r="E326" s="16"/>
      <c r="F326" s="109"/>
      <c r="G326" s="109"/>
      <c r="H326" s="109"/>
      <c r="I326" s="109"/>
      <c r="J326" s="109"/>
      <c r="K326" s="109"/>
      <c r="L326" s="109"/>
      <c r="M326" s="109"/>
      <c r="N326" s="109"/>
      <c r="O326" s="109"/>
      <c r="P326" s="109"/>
      <c r="Q326" s="109"/>
      <c r="R326" s="16"/>
      <c r="S326" s="16"/>
      <c r="T326" s="109"/>
      <c r="U326" s="109"/>
      <c r="V326" s="109"/>
      <c r="W326" s="109"/>
      <c r="X326" s="109"/>
      <c r="Y326" s="109"/>
      <c r="Z326" s="109"/>
      <c r="AA326" s="109"/>
      <c r="AB326" s="109"/>
      <c r="AC326" s="16"/>
      <c r="AD326" s="16"/>
      <c r="AE326" s="16"/>
      <c r="AF326" s="16"/>
    </row>
    <row r="327" spans="1:32" x14ac:dyDescent="0.2">
      <c r="A327" s="16"/>
      <c r="B327" s="16"/>
      <c r="C327" s="16"/>
      <c r="D327" s="16"/>
      <c r="E327" s="16"/>
      <c r="F327" s="109"/>
      <c r="G327" s="109"/>
      <c r="H327" s="109"/>
      <c r="I327" s="109"/>
      <c r="J327" s="109"/>
      <c r="K327" s="109"/>
      <c r="L327" s="109"/>
      <c r="M327" s="109"/>
      <c r="N327" s="109"/>
      <c r="O327" s="109"/>
      <c r="P327" s="109"/>
      <c r="Q327" s="109"/>
      <c r="R327" s="16"/>
      <c r="S327" s="16"/>
      <c r="T327" s="109"/>
      <c r="U327" s="109"/>
      <c r="V327" s="109"/>
      <c r="W327" s="109"/>
      <c r="X327" s="109"/>
      <c r="Y327" s="109"/>
      <c r="Z327" s="109"/>
      <c r="AA327" s="109"/>
      <c r="AB327" s="109"/>
      <c r="AC327" s="16"/>
      <c r="AD327" s="16"/>
      <c r="AE327" s="16"/>
      <c r="AF327" s="16"/>
    </row>
    <row r="328" spans="1:32" x14ac:dyDescent="0.2">
      <c r="A328" s="16"/>
      <c r="B328" s="16"/>
      <c r="C328" s="16"/>
      <c r="D328" s="16"/>
      <c r="E328" s="16"/>
      <c r="F328" s="109"/>
      <c r="G328" s="109"/>
      <c r="H328" s="109"/>
      <c r="I328" s="109"/>
      <c r="J328" s="109"/>
      <c r="K328" s="109"/>
      <c r="L328" s="109"/>
      <c r="M328" s="109"/>
      <c r="N328" s="109"/>
      <c r="O328" s="109"/>
      <c r="P328" s="109"/>
      <c r="Q328" s="109"/>
      <c r="R328" s="16"/>
      <c r="S328" s="16"/>
      <c r="T328" s="109"/>
      <c r="U328" s="109"/>
      <c r="V328" s="109"/>
      <c r="W328" s="109"/>
      <c r="X328" s="109"/>
      <c r="Y328" s="109"/>
      <c r="Z328" s="109"/>
      <c r="AA328" s="109"/>
      <c r="AB328" s="109"/>
      <c r="AC328" s="16"/>
      <c r="AD328" s="16"/>
      <c r="AE328" s="16"/>
      <c r="AF328" s="16"/>
    </row>
    <row r="329" spans="1:32" x14ac:dyDescent="0.2">
      <c r="A329" s="16"/>
      <c r="B329" s="16"/>
      <c r="C329" s="16"/>
      <c r="D329" s="16"/>
      <c r="E329" s="16"/>
      <c r="F329" s="109"/>
      <c r="G329" s="109"/>
      <c r="H329" s="109"/>
      <c r="I329" s="109"/>
      <c r="J329" s="109"/>
      <c r="K329" s="109"/>
      <c r="L329" s="109"/>
      <c r="M329" s="109"/>
      <c r="N329" s="109"/>
      <c r="O329" s="109"/>
      <c r="P329" s="109"/>
      <c r="Q329" s="109"/>
      <c r="R329" s="16"/>
      <c r="S329" s="16"/>
      <c r="T329" s="109"/>
      <c r="U329" s="109"/>
      <c r="V329" s="109"/>
      <c r="W329" s="109"/>
      <c r="X329" s="109"/>
      <c r="Y329" s="109"/>
      <c r="Z329" s="109"/>
      <c r="AA329" s="109"/>
      <c r="AB329" s="109"/>
      <c r="AC329" s="16"/>
      <c r="AD329" s="16"/>
      <c r="AE329" s="16"/>
      <c r="AF329" s="16"/>
    </row>
    <row r="330" spans="1:32" x14ac:dyDescent="0.2">
      <c r="A330" s="16"/>
      <c r="B330" s="16"/>
      <c r="C330" s="16"/>
      <c r="D330" s="16"/>
      <c r="E330" s="16"/>
      <c r="F330" s="109"/>
      <c r="G330" s="109"/>
      <c r="H330" s="109"/>
      <c r="I330" s="109"/>
      <c r="J330" s="109"/>
      <c r="K330" s="109"/>
      <c r="L330" s="109"/>
      <c r="M330" s="109"/>
      <c r="N330" s="109"/>
      <c r="O330" s="109"/>
      <c r="P330" s="109"/>
      <c r="Q330" s="109"/>
      <c r="R330" s="16"/>
      <c r="S330" s="16"/>
      <c r="T330" s="109"/>
      <c r="U330" s="109"/>
      <c r="V330" s="109"/>
      <c r="W330" s="109"/>
      <c r="X330" s="109"/>
      <c r="Y330" s="109"/>
      <c r="Z330" s="109"/>
      <c r="AA330" s="109"/>
      <c r="AB330" s="109"/>
      <c r="AC330" s="16"/>
      <c r="AD330" s="16"/>
      <c r="AE330" s="16"/>
      <c r="AF330" s="16"/>
    </row>
    <row r="331" spans="1:32" x14ac:dyDescent="0.2">
      <c r="A331" s="16"/>
      <c r="B331" s="16"/>
      <c r="C331" s="16"/>
      <c r="D331" s="16"/>
      <c r="E331" s="16"/>
      <c r="F331" s="109"/>
      <c r="G331" s="109"/>
      <c r="H331" s="109"/>
      <c r="I331" s="109"/>
      <c r="J331" s="109"/>
      <c r="K331" s="109"/>
      <c r="L331" s="109"/>
      <c r="M331" s="109"/>
      <c r="N331" s="109"/>
      <c r="O331" s="109"/>
      <c r="P331" s="109"/>
      <c r="Q331" s="109"/>
      <c r="R331" s="16"/>
      <c r="S331" s="16"/>
      <c r="T331" s="109"/>
      <c r="U331" s="109"/>
      <c r="V331" s="109"/>
      <c r="W331" s="109"/>
      <c r="X331" s="109"/>
      <c r="Y331" s="109"/>
      <c r="Z331" s="109"/>
      <c r="AA331" s="109"/>
      <c r="AB331" s="109"/>
      <c r="AC331" s="16"/>
      <c r="AD331" s="16"/>
      <c r="AE331" s="16"/>
      <c r="AF331" s="16"/>
    </row>
    <row r="332" spans="1:32" x14ac:dyDescent="0.2">
      <c r="A332" s="16"/>
      <c r="B332" s="16"/>
      <c r="C332" s="16"/>
      <c r="D332" s="16"/>
      <c r="E332" s="16"/>
      <c r="F332" s="109"/>
      <c r="G332" s="109"/>
      <c r="H332" s="109"/>
      <c r="I332" s="109"/>
      <c r="J332" s="109"/>
      <c r="K332" s="109"/>
      <c r="L332" s="109"/>
      <c r="M332" s="109"/>
      <c r="N332" s="109"/>
      <c r="O332" s="109"/>
      <c r="P332" s="109"/>
      <c r="Q332" s="109"/>
      <c r="R332" s="16"/>
      <c r="S332" s="16"/>
      <c r="T332" s="109"/>
      <c r="U332" s="109"/>
      <c r="V332" s="109"/>
      <c r="W332" s="109"/>
      <c r="X332" s="109"/>
      <c r="Y332" s="109"/>
      <c r="Z332" s="109"/>
      <c r="AA332" s="109"/>
      <c r="AB332" s="109"/>
      <c r="AC332" s="16"/>
      <c r="AD332" s="16"/>
      <c r="AE332" s="16"/>
      <c r="AF332" s="16"/>
    </row>
    <row r="333" spans="1:32" x14ac:dyDescent="0.2">
      <c r="A333" s="16"/>
      <c r="B333" s="16"/>
      <c r="C333" s="16"/>
      <c r="D333" s="16"/>
      <c r="E333" s="16"/>
      <c r="F333" s="109"/>
      <c r="G333" s="109"/>
      <c r="H333" s="109"/>
      <c r="I333" s="109"/>
      <c r="J333" s="109"/>
      <c r="K333" s="109"/>
      <c r="L333" s="109"/>
      <c r="M333" s="109"/>
      <c r="N333" s="109"/>
      <c r="O333" s="109"/>
      <c r="P333" s="109"/>
      <c r="Q333" s="109"/>
      <c r="R333" s="16"/>
      <c r="S333" s="16"/>
      <c r="T333" s="109"/>
      <c r="U333" s="109"/>
      <c r="V333" s="109"/>
      <c r="W333" s="109"/>
      <c r="X333" s="109"/>
      <c r="Y333" s="109"/>
      <c r="Z333" s="109"/>
      <c r="AA333" s="109"/>
      <c r="AB333" s="109"/>
      <c r="AC333" s="16"/>
      <c r="AD333" s="16"/>
      <c r="AE333" s="16"/>
      <c r="AF333" s="16"/>
    </row>
    <row r="334" spans="1:32" x14ac:dyDescent="0.2">
      <c r="A334" s="16"/>
      <c r="B334" s="16"/>
      <c r="C334" s="16"/>
      <c r="D334" s="16"/>
      <c r="E334" s="16"/>
      <c r="F334" s="109"/>
      <c r="G334" s="109"/>
      <c r="H334" s="109"/>
      <c r="I334" s="109"/>
      <c r="J334" s="109"/>
      <c r="K334" s="109"/>
      <c r="L334" s="109"/>
      <c r="M334" s="109"/>
      <c r="N334" s="109"/>
      <c r="O334" s="109"/>
      <c r="P334" s="109"/>
      <c r="Q334" s="109"/>
      <c r="R334" s="16"/>
      <c r="S334" s="16"/>
      <c r="T334" s="109"/>
      <c r="U334" s="109"/>
      <c r="V334" s="109"/>
      <c r="W334" s="109"/>
      <c r="X334" s="109"/>
      <c r="Y334" s="109"/>
      <c r="Z334" s="109"/>
      <c r="AA334" s="109"/>
      <c r="AB334" s="109"/>
      <c r="AC334" s="16"/>
      <c r="AD334" s="16"/>
      <c r="AE334" s="16"/>
      <c r="AF334" s="16"/>
    </row>
    <row r="335" spans="1:32" x14ac:dyDescent="0.2">
      <c r="A335" s="16"/>
      <c r="B335" s="16"/>
      <c r="C335" s="16"/>
      <c r="D335" s="16"/>
      <c r="E335" s="16"/>
      <c r="F335" s="109"/>
      <c r="G335" s="109"/>
      <c r="H335" s="109"/>
      <c r="I335" s="109"/>
      <c r="J335" s="109"/>
      <c r="K335" s="109"/>
      <c r="L335" s="109"/>
      <c r="M335" s="109"/>
      <c r="N335" s="109"/>
      <c r="O335" s="109"/>
      <c r="P335" s="109"/>
      <c r="Q335" s="109"/>
      <c r="R335" s="16"/>
      <c r="S335" s="16"/>
      <c r="T335" s="109"/>
      <c r="U335" s="109"/>
      <c r="V335" s="109"/>
      <c r="W335" s="109"/>
      <c r="X335" s="109"/>
      <c r="Y335" s="109"/>
      <c r="Z335" s="109"/>
      <c r="AA335" s="109"/>
      <c r="AB335" s="109"/>
      <c r="AC335" s="16"/>
      <c r="AD335" s="16"/>
      <c r="AE335" s="16"/>
      <c r="AF335" s="16"/>
    </row>
    <row r="336" spans="1:32" x14ac:dyDescent="0.2">
      <c r="A336" s="16"/>
      <c r="B336" s="16"/>
      <c r="C336" s="16"/>
      <c r="D336" s="16"/>
      <c r="E336" s="16"/>
      <c r="F336" s="109"/>
      <c r="G336" s="109"/>
      <c r="H336" s="109"/>
      <c r="I336" s="109"/>
      <c r="J336" s="109"/>
      <c r="K336" s="109"/>
      <c r="L336" s="109"/>
      <c r="M336" s="109"/>
      <c r="N336" s="109"/>
      <c r="O336" s="109"/>
      <c r="P336" s="109"/>
      <c r="Q336" s="109"/>
      <c r="R336" s="16"/>
      <c r="S336" s="16"/>
      <c r="T336" s="109"/>
      <c r="U336" s="109"/>
      <c r="V336" s="109"/>
      <c r="W336" s="109"/>
      <c r="X336" s="109"/>
      <c r="Y336" s="109"/>
      <c r="Z336" s="109"/>
      <c r="AA336" s="109"/>
      <c r="AB336" s="109"/>
      <c r="AC336" s="16"/>
      <c r="AD336" s="16"/>
      <c r="AE336" s="16"/>
      <c r="AF336" s="16"/>
    </row>
    <row r="337" spans="1:32" x14ac:dyDescent="0.2">
      <c r="A337" s="16"/>
      <c r="B337" s="16"/>
      <c r="C337" s="16"/>
      <c r="D337" s="16"/>
      <c r="E337" s="16"/>
      <c r="F337" s="109"/>
      <c r="G337" s="109"/>
      <c r="H337" s="109"/>
      <c r="I337" s="109"/>
      <c r="J337" s="109"/>
      <c r="K337" s="109"/>
      <c r="L337" s="109"/>
      <c r="M337" s="109"/>
      <c r="N337" s="109"/>
      <c r="O337" s="109"/>
      <c r="P337" s="109"/>
      <c r="Q337" s="109"/>
      <c r="R337" s="16"/>
      <c r="S337" s="16"/>
      <c r="T337" s="109"/>
      <c r="U337" s="109"/>
      <c r="V337" s="109"/>
      <c r="W337" s="109"/>
      <c r="X337" s="109"/>
      <c r="Y337" s="109"/>
      <c r="Z337" s="109"/>
      <c r="AA337" s="109"/>
      <c r="AB337" s="109"/>
      <c r="AC337" s="16"/>
      <c r="AD337" s="16"/>
      <c r="AE337" s="16"/>
      <c r="AF337" s="16"/>
    </row>
    <row r="338" spans="1:32" x14ac:dyDescent="0.2">
      <c r="A338" s="16"/>
      <c r="B338" s="16"/>
      <c r="C338" s="16"/>
      <c r="D338" s="16"/>
      <c r="E338" s="16"/>
      <c r="F338" s="109"/>
      <c r="G338" s="109"/>
      <c r="H338" s="109"/>
      <c r="I338" s="109"/>
      <c r="J338" s="109"/>
      <c r="K338" s="109"/>
      <c r="L338" s="109"/>
      <c r="M338" s="109"/>
      <c r="N338" s="109"/>
      <c r="O338" s="109"/>
      <c r="P338" s="109"/>
      <c r="Q338" s="109"/>
      <c r="R338" s="16"/>
      <c r="S338" s="16"/>
      <c r="T338" s="109"/>
      <c r="U338" s="109"/>
      <c r="V338" s="109"/>
      <c r="W338" s="109"/>
      <c r="X338" s="109"/>
      <c r="Y338" s="109"/>
      <c r="Z338" s="109"/>
      <c r="AA338" s="109"/>
      <c r="AB338" s="109"/>
      <c r="AC338" s="16"/>
      <c r="AD338" s="16"/>
      <c r="AE338" s="16"/>
      <c r="AF338" s="16"/>
    </row>
    <row r="339" spans="1:32" x14ac:dyDescent="0.2">
      <c r="A339" s="16"/>
      <c r="B339" s="16"/>
      <c r="C339" s="16"/>
      <c r="D339" s="16"/>
      <c r="E339" s="16"/>
      <c r="F339" s="109"/>
      <c r="G339" s="109"/>
      <c r="H339" s="109"/>
      <c r="I339" s="109"/>
      <c r="J339" s="109"/>
      <c r="K339" s="109"/>
      <c r="L339" s="109"/>
      <c r="M339" s="109"/>
      <c r="N339" s="109"/>
      <c r="O339" s="109"/>
      <c r="P339" s="109"/>
      <c r="Q339" s="109"/>
      <c r="R339" s="16"/>
      <c r="S339" s="16"/>
      <c r="T339" s="109"/>
      <c r="U339" s="109"/>
      <c r="V339" s="109"/>
      <c r="W339" s="109"/>
      <c r="X339" s="109"/>
      <c r="Y339" s="109"/>
      <c r="Z339" s="109"/>
      <c r="AA339" s="109"/>
      <c r="AB339" s="109"/>
      <c r="AC339" s="16"/>
      <c r="AD339" s="16"/>
      <c r="AE339" s="16"/>
      <c r="AF339" s="16"/>
    </row>
    <row r="340" spans="1:32" x14ac:dyDescent="0.2">
      <c r="A340" s="16"/>
      <c r="B340" s="16"/>
      <c r="C340" s="16"/>
      <c r="D340" s="16"/>
      <c r="E340" s="16"/>
      <c r="F340" s="109"/>
      <c r="G340" s="109"/>
      <c r="H340" s="109"/>
      <c r="I340" s="109"/>
      <c r="J340" s="109"/>
      <c r="K340" s="109"/>
      <c r="L340" s="109"/>
      <c r="M340" s="109"/>
      <c r="N340" s="109"/>
      <c r="O340" s="109"/>
      <c r="P340" s="109"/>
      <c r="Q340" s="109"/>
      <c r="R340" s="16"/>
      <c r="S340" s="16"/>
      <c r="T340" s="109"/>
      <c r="U340" s="109"/>
      <c r="V340" s="109"/>
      <c r="W340" s="109"/>
      <c r="X340" s="109"/>
      <c r="Y340" s="109"/>
      <c r="Z340" s="109"/>
      <c r="AA340" s="109"/>
      <c r="AB340" s="109"/>
      <c r="AC340" s="16"/>
      <c r="AD340" s="16"/>
      <c r="AE340" s="16"/>
      <c r="AF340" s="16"/>
    </row>
    <row r="341" spans="1:32" x14ac:dyDescent="0.2">
      <c r="A341" s="16"/>
      <c r="B341" s="16"/>
      <c r="C341" s="16"/>
      <c r="D341" s="16"/>
      <c r="E341" s="16"/>
      <c r="F341" s="109"/>
      <c r="G341" s="109"/>
      <c r="H341" s="109"/>
      <c r="I341" s="109"/>
      <c r="J341" s="109"/>
      <c r="K341" s="109"/>
      <c r="L341" s="109"/>
      <c r="M341" s="109"/>
      <c r="N341" s="109"/>
      <c r="O341" s="109"/>
      <c r="P341" s="109"/>
      <c r="Q341" s="109"/>
      <c r="R341" s="16"/>
      <c r="S341" s="16"/>
      <c r="T341" s="109"/>
      <c r="U341" s="109"/>
      <c r="V341" s="109"/>
      <c r="W341" s="109"/>
      <c r="X341" s="109"/>
      <c r="Y341" s="109"/>
      <c r="Z341" s="109"/>
      <c r="AA341" s="109"/>
      <c r="AB341" s="109"/>
      <c r="AC341" s="16"/>
      <c r="AD341" s="16"/>
      <c r="AE341" s="16"/>
      <c r="AF341" s="16"/>
    </row>
    <row r="342" spans="1:32" x14ac:dyDescent="0.2">
      <c r="A342" s="16"/>
      <c r="B342" s="16"/>
      <c r="C342" s="16"/>
      <c r="D342" s="16"/>
      <c r="E342" s="16"/>
      <c r="F342" s="109"/>
      <c r="G342" s="109"/>
      <c r="H342" s="109"/>
      <c r="I342" s="109"/>
      <c r="J342" s="109"/>
      <c r="K342" s="109"/>
      <c r="L342" s="109"/>
      <c r="M342" s="109"/>
      <c r="N342" s="109"/>
      <c r="O342" s="109"/>
      <c r="P342" s="109"/>
      <c r="Q342" s="109"/>
      <c r="R342" s="16"/>
      <c r="S342" s="16"/>
      <c r="T342" s="109"/>
      <c r="U342" s="109"/>
      <c r="V342" s="109"/>
      <c r="W342" s="109"/>
      <c r="X342" s="109"/>
      <c r="Y342" s="109"/>
      <c r="Z342" s="109"/>
      <c r="AA342" s="109"/>
      <c r="AB342" s="109"/>
      <c r="AC342" s="16"/>
      <c r="AD342" s="16"/>
      <c r="AE342" s="16"/>
      <c r="AF342" s="16"/>
    </row>
    <row r="343" spans="1:32" x14ac:dyDescent="0.2">
      <c r="A343" s="16"/>
      <c r="B343" s="16"/>
      <c r="C343" s="16"/>
      <c r="D343" s="16"/>
      <c r="E343" s="16"/>
      <c r="F343" s="109"/>
      <c r="G343" s="109"/>
      <c r="H343" s="109"/>
      <c r="I343" s="109"/>
      <c r="J343" s="109"/>
      <c r="K343" s="109"/>
      <c r="L343" s="109"/>
      <c r="M343" s="109"/>
      <c r="N343" s="109"/>
      <c r="O343" s="109"/>
      <c r="P343" s="109"/>
      <c r="Q343" s="109"/>
      <c r="R343" s="16"/>
      <c r="S343" s="16"/>
      <c r="T343" s="109"/>
      <c r="U343" s="109"/>
      <c r="V343" s="109"/>
      <c r="W343" s="109"/>
      <c r="X343" s="109"/>
      <c r="Y343" s="109"/>
      <c r="Z343" s="109"/>
      <c r="AA343" s="109"/>
      <c r="AB343" s="109"/>
      <c r="AC343" s="16"/>
      <c r="AD343" s="16"/>
      <c r="AE343" s="16"/>
      <c r="AF343" s="16"/>
    </row>
    <row r="344" spans="1:32" x14ac:dyDescent="0.2">
      <c r="A344" s="16"/>
      <c r="B344" s="16"/>
      <c r="C344" s="16"/>
      <c r="D344" s="16"/>
      <c r="E344" s="16"/>
      <c r="F344" s="109"/>
      <c r="G344" s="109"/>
      <c r="H344" s="109"/>
      <c r="I344" s="109"/>
      <c r="J344" s="109"/>
      <c r="K344" s="109"/>
      <c r="L344" s="109"/>
      <c r="M344" s="109"/>
      <c r="N344" s="109"/>
      <c r="O344" s="109"/>
      <c r="P344" s="109"/>
      <c r="Q344" s="109"/>
      <c r="R344" s="16"/>
      <c r="S344" s="16"/>
      <c r="T344" s="109"/>
      <c r="U344" s="109"/>
      <c r="V344" s="109"/>
      <c r="W344" s="109"/>
      <c r="X344" s="109"/>
      <c r="Y344" s="109"/>
      <c r="Z344" s="109"/>
      <c r="AA344" s="109"/>
      <c r="AB344" s="109"/>
      <c r="AC344" s="16"/>
      <c r="AD344" s="16"/>
      <c r="AE344" s="16"/>
      <c r="AF344" s="16"/>
    </row>
    <row r="345" spans="1:32" x14ac:dyDescent="0.2">
      <c r="A345" s="16"/>
      <c r="B345" s="16"/>
      <c r="C345" s="16"/>
      <c r="D345" s="16"/>
      <c r="E345" s="16"/>
      <c r="F345" s="109"/>
      <c r="G345" s="109"/>
      <c r="H345" s="109"/>
      <c r="I345" s="109"/>
      <c r="J345" s="109"/>
      <c r="K345" s="109"/>
      <c r="L345" s="109"/>
      <c r="M345" s="109"/>
      <c r="N345" s="109"/>
      <c r="O345" s="109"/>
      <c r="P345" s="109"/>
      <c r="Q345" s="109"/>
      <c r="R345" s="16"/>
      <c r="S345" s="16"/>
      <c r="T345" s="109"/>
      <c r="U345" s="109"/>
      <c r="V345" s="109"/>
      <c r="W345" s="109"/>
      <c r="X345" s="109"/>
      <c r="Y345" s="109"/>
      <c r="Z345" s="109"/>
      <c r="AA345" s="109"/>
      <c r="AB345" s="109"/>
      <c r="AC345" s="16"/>
      <c r="AD345" s="16"/>
      <c r="AE345" s="16"/>
      <c r="AF345" s="16"/>
    </row>
    <row r="346" spans="1:32" x14ac:dyDescent="0.2">
      <c r="A346" s="16"/>
      <c r="B346" s="16"/>
      <c r="C346" s="16"/>
      <c r="D346" s="16"/>
      <c r="E346" s="16"/>
      <c r="F346" s="109"/>
      <c r="G346" s="109"/>
      <c r="H346" s="109"/>
      <c r="I346" s="109"/>
      <c r="J346" s="109"/>
      <c r="K346" s="109"/>
      <c r="L346" s="109"/>
      <c r="M346" s="109"/>
      <c r="N346" s="109"/>
      <c r="O346" s="109"/>
      <c r="P346" s="109"/>
      <c r="Q346" s="109"/>
      <c r="R346" s="16"/>
      <c r="S346" s="16"/>
      <c r="T346" s="109"/>
      <c r="U346" s="109"/>
      <c r="V346" s="109"/>
      <c r="W346" s="109"/>
      <c r="X346" s="109"/>
      <c r="Y346" s="109"/>
      <c r="Z346" s="109"/>
      <c r="AA346" s="109"/>
      <c r="AB346" s="109"/>
      <c r="AC346" s="16"/>
      <c r="AD346" s="16"/>
      <c r="AE346" s="16"/>
      <c r="AF346" s="16"/>
    </row>
    <row r="347" spans="1:32" x14ac:dyDescent="0.2">
      <c r="A347" s="16"/>
      <c r="B347" s="16"/>
      <c r="C347" s="16"/>
      <c r="D347" s="16"/>
      <c r="E347" s="16"/>
      <c r="F347" s="109"/>
      <c r="G347" s="109"/>
      <c r="H347" s="109"/>
      <c r="I347" s="109"/>
      <c r="J347" s="109"/>
      <c r="K347" s="109"/>
      <c r="L347" s="109"/>
      <c r="M347" s="109"/>
      <c r="N347" s="109"/>
      <c r="O347" s="109"/>
      <c r="P347" s="109"/>
      <c r="Q347" s="109"/>
      <c r="R347" s="16"/>
      <c r="S347" s="16"/>
      <c r="T347" s="109"/>
      <c r="U347" s="109"/>
      <c r="V347" s="109"/>
      <c r="W347" s="109"/>
      <c r="X347" s="109"/>
      <c r="Y347" s="109"/>
      <c r="Z347" s="109"/>
      <c r="AA347" s="109"/>
      <c r="AB347" s="109"/>
      <c r="AC347" s="16"/>
      <c r="AD347" s="16"/>
      <c r="AE347" s="16"/>
      <c r="AF347" s="16"/>
    </row>
    <row r="348" spans="1:32" x14ac:dyDescent="0.2">
      <c r="A348" s="16"/>
      <c r="B348" s="16"/>
      <c r="C348" s="16"/>
      <c r="D348" s="16"/>
      <c r="E348" s="16"/>
      <c r="F348" s="109"/>
      <c r="G348" s="109"/>
      <c r="H348" s="109"/>
      <c r="I348" s="109"/>
      <c r="J348" s="109"/>
      <c r="K348" s="109"/>
      <c r="L348" s="109"/>
      <c r="M348" s="109"/>
      <c r="N348" s="109"/>
      <c r="O348" s="109"/>
      <c r="P348" s="109"/>
      <c r="Q348" s="109"/>
      <c r="R348" s="16"/>
      <c r="S348" s="16"/>
      <c r="T348" s="109"/>
      <c r="U348" s="109"/>
      <c r="V348" s="109"/>
      <c r="W348" s="109"/>
      <c r="X348" s="109"/>
      <c r="Y348" s="109"/>
      <c r="Z348" s="109"/>
      <c r="AA348" s="109"/>
      <c r="AB348" s="109"/>
      <c r="AC348" s="16"/>
      <c r="AD348" s="16"/>
      <c r="AE348" s="16"/>
      <c r="AF348" s="16"/>
    </row>
    <row r="349" spans="1:32" x14ac:dyDescent="0.2">
      <c r="A349" s="16"/>
      <c r="B349" s="16"/>
      <c r="C349" s="16"/>
      <c r="D349" s="16"/>
      <c r="E349" s="16"/>
      <c r="F349" s="109"/>
      <c r="G349" s="109"/>
      <c r="H349" s="109"/>
      <c r="I349" s="109"/>
      <c r="J349" s="109"/>
      <c r="K349" s="109"/>
      <c r="L349" s="109"/>
      <c r="M349" s="109"/>
      <c r="N349" s="109"/>
      <c r="O349" s="109"/>
      <c r="P349" s="109"/>
      <c r="Q349" s="109"/>
      <c r="R349" s="16"/>
      <c r="S349" s="16"/>
      <c r="T349" s="109"/>
      <c r="U349" s="109"/>
      <c r="V349" s="109"/>
      <c r="W349" s="109"/>
      <c r="X349" s="109"/>
      <c r="Y349" s="109"/>
      <c r="Z349" s="109"/>
      <c r="AA349" s="109"/>
      <c r="AB349" s="109"/>
      <c r="AC349" s="16"/>
      <c r="AD349" s="16"/>
      <c r="AE349" s="16"/>
      <c r="AF349" s="16"/>
    </row>
    <row r="350" spans="1:32" x14ac:dyDescent="0.2">
      <c r="A350" s="16"/>
      <c r="B350" s="16"/>
      <c r="C350" s="16"/>
      <c r="D350" s="16"/>
      <c r="E350" s="16"/>
      <c r="F350" s="109"/>
      <c r="G350" s="109"/>
      <c r="H350" s="109"/>
      <c r="I350" s="109"/>
      <c r="J350" s="109"/>
      <c r="K350" s="109"/>
      <c r="L350" s="109"/>
      <c r="M350" s="109"/>
      <c r="N350" s="109"/>
      <c r="O350" s="109"/>
      <c r="P350" s="109"/>
      <c r="Q350" s="109"/>
      <c r="R350" s="16"/>
      <c r="S350" s="16"/>
      <c r="T350" s="109"/>
      <c r="U350" s="109"/>
      <c r="V350" s="109"/>
      <c r="W350" s="109"/>
      <c r="X350" s="109"/>
      <c r="Y350" s="109"/>
      <c r="Z350" s="109"/>
      <c r="AA350" s="109"/>
      <c r="AB350" s="109"/>
      <c r="AC350" s="16"/>
      <c r="AD350" s="16"/>
      <c r="AE350" s="16"/>
      <c r="AF350" s="16"/>
    </row>
    <row r="351" spans="1:32" x14ac:dyDescent="0.2">
      <c r="A351" s="16"/>
      <c r="B351" s="16"/>
      <c r="C351" s="16"/>
      <c r="D351" s="16"/>
      <c r="E351" s="16"/>
      <c r="F351" s="109"/>
      <c r="G351" s="109"/>
      <c r="H351" s="109"/>
      <c r="I351" s="109"/>
      <c r="J351" s="109"/>
      <c r="K351" s="109"/>
      <c r="L351" s="109"/>
      <c r="M351" s="109"/>
      <c r="N351" s="109"/>
      <c r="O351" s="109"/>
      <c r="P351" s="109"/>
      <c r="Q351" s="109"/>
      <c r="R351" s="16"/>
      <c r="S351" s="16"/>
      <c r="T351" s="109"/>
      <c r="U351" s="109"/>
      <c r="V351" s="109"/>
      <c r="W351" s="109"/>
      <c r="X351" s="109"/>
      <c r="Y351" s="109"/>
      <c r="Z351" s="109"/>
      <c r="AA351" s="109"/>
      <c r="AB351" s="109"/>
      <c r="AC351" s="16"/>
      <c r="AD351" s="16"/>
      <c r="AE351" s="16"/>
      <c r="AF351" s="16"/>
    </row>
    <row r="352" spans="1:32" x14ac:dyDescent="0.2">
      <c r="A352" s="16"/>
      <c r="B352" s="16"/>
      <c r="C352" s="16"/>
      <c r="D352" s="16"/>
      <c r="E352" s="16"/>
      <c r="F352" s="109"/>
      <c r="G352" s="109"/>
      <c r="H352" s="109"/>
      <c r="I352" s="109"/>
      <c r="J352" s="109"/>
      <c r="K352" s="109"/>
      <c r="L352" s="109"/>
      <c r="M352" s="109"/>
      <c r="N352" s="109"/>
      <c r="O352" s="109"/>
      <c r="P352" s="109"/>
      <c r="Q352" s="109"/>
      <c r="R352" s="16"/>
      <c r="S352" s="16"/>
      <c r="T352" s="109"/>
      <c r="U352" s="109"/>
      <c r="V352" s="109"/>
      <c r="W352" s="109"/>
      <c r="X352" s="109"/>
      <c r="Y352" s="109"/>
      <c r="Z352" s="109"/>
      <c r="AA352" s="109"/>
      <c r="AB352" s="109"/>
      <c r="AC352" s="16"/>
      <c r="AD352" s="16"/>
      <c r="AE352" s="16"/>
      <c r="AF352" s="16"/>
    </row>
    <row r="353" spans="1:32" x14ac:dyDescent="0.2">
      <c r="A353" s="16"/>
      <c r="B353" s="16"/>
      <c r="C353" s="16"/>
      <c r="D353" s="16"/>
      <c r="E353" s="16"/>
      <c r="F353" s="109"/>
      <c r="G353" s="109"/>
      <c r="H353" s="109"/>
      <c r="I353" s="109"/>
      <c r="J353" s="109"/>
      <c r="K353" s="109"/>
      <c r="L353" s="109"/>
      <c r="M353" s="109"/>
      <c r="N353" s="109"/>
      <c r="O353" s="109"/>
      <c r="P353" s="109"/>
      <c r="Q353" s="109"/>
      <c r="R353" s="16"/>
      <c r="S353" s="16"/>
      <c r="T353" s="109"/>
      <c r="U353" s="109"/>
      <c r="V353" s="109"/>
      <c r="W353" s="109"/>
      <c r="X353" s="109"/>
      <c r="Y353" s="109"/>
      <c r="Z353" s="109"/>
      <c r="AA353" s="109"/>
      <c r="AB353" s="109"/>
      <c r="AC353" s="16"/>
      <c r="AD353" s="16"/>
      <c r="AE353" s="16"/>
      <c r="AF353" s="16"/>
    </row>
    <row r="354" spans="1:32" x14ac:dyDescent="0.2">
      <c r="A354" s="16"/>
      <c r="B354" s="16"/>
      <c r="C354" s="16"/>
      <c r="D354" s="16"/>
      <c r="E354" s="16"/>
      <c r="F354" s="109"/>
      <c r="G354" s="109"/>
      <c r="H354" s="109"/>
      <c r="I354" s="109"/>
      <c r="J354" s="109"/>
      <c r="K354" s="109"/>
      <c r="L354" s="109"/>
      <c r="M354" s="109"/>
      <c r="N354" s="109"/>
      <c r="O354" s="109"/>
      <c r="P354" s="109"/>
      <c r="Q354" s="109"/>
      <c r="R354" s="16"/>
      <c r="S354" s="16"/>
      <c r="T354" s="109"/>
      <c r="U354" s="109"/>
      <c r="V354" s="109"/>
      <c r="W354" s="109"/>
      <c r="X354" s="109"/>
      <c r="Y354" s="109"/>
      <c r="Z354" s="109"/>
      <c r="AA354" s="109"/>
      <c r="AB354" s="109"/>
      <c r="AC354" s="16"/>
      <c r="AD354" s="16"/>
      <c r="AE354" s="16"/>
      <c r="AF354" s="16"/>
    </row>
    <row r="355" spans="1:32" x14ac:dyDescent="0.2">
      <c r="A355" s="16"/>
      <c r="B355" s="16"/>
      <c r="C355" s="16"/>
      <c r="D355" s="16"/>
      <c r="E355" s="16"/>
      <c r="F355" s="109"/>
      <c r="G355" s="109"/>
      <c r="H355" s="109"/>
      <c r="I355" s="109"/>
      <c r="J355" s="109"/>
      <c r="K355" s="109"/>
      <c r="L355" s="109"/>
      <c r="M355" s="109"/>
      <c r="N355" s="109"/>
      <c r="O355" s="109"/>
      <c r="P355" s="109"/>
      <c r="Q355" s="109"/>
      <c r="R355" s="16"/>
      <c r="S355" s="16"/>
      <c r="T355" s="109"/>
      <c r="U355" s="109"/>
      <c r="V355" s="109"/>
      <c r="W355" s="109"/>
      <c r="X355" s="109"/>
      <c r="Y355" s="109"/>
      <c r="Z355" s="109"/>
      <c r="AA355" s="109"/>
      <c r="AB355" s="109"/>
      <c r="AC355" s="16"/>
      <c r="AD355" s="16"/>
      <c r="AE355" s="16"/>
      <c r="AF355" s="16"/>
    </row>
    <row r="356" spans="1:32" x14ac:dyDescent="0.2">
      <c r="A356" s="16"/>
      <c r="B356" s="16"/>
      <c r="C356" s="16"/>
      <c r="D356" s="16"/>
      <c r="E356" s="16"/>
      <c r="F356" s="109"/>
      <c r="G356" s="109"/>
      <c r="H356" s="109"/>
      <c r="I356" s="109"/>
      <c r="J356" s="109"/>
      <c r="K356" s="109"/>
      <c r="L356" s="109"/>
      <c r="M356" s="109"/>
      <c r="N356" s="109"/>
      <c r="O356" s="109"/>
      <c r="P356" s="109"/>
      <c r="Q356" s="109"/>
      <c r="R356" s="16"/>
      <c r="S356" s="16"/>
      <c r="T356" s="109"/>
      <c r="U356" s="109"/>
      <c r="V356" s="109"/>
      <c r="W356" s="109"/>
      <c r="X356" s="109"/>
      <c r="Y356" s="109"/>
      <c r="Z356" s="109"/>
      <c r="AA356" s="109"/>
      <c r="AB356" s="109"/>
      <c r="AC356" s="16"/>
      <c r="AD356" s="16"/>
      <c r="AE356" s="16"/>
      <c r="AF356" s="16"/>
    </row>
    <row r="357" spans="1:32" x14ac:dyDescent="0.2">
      <c r="A357" s="16"/>
      <c r="B357" s="16"/>
      <c r="C357" s="16"/>
      <c r="D357" s="16"/>
      <c r="E357" s="16"/>
      <c r="F357" s="109"/>
      <c r="G357" s="109"/>
      <c r="H357" s="109"/>
      <c r="I357" s="109"/>
      <c r="J357" s="109"/>
      <c r="K357" s="109"/>
      <c r="L357" s="109"/>
      <c r="M357" s="109"/>
      <c r="N357" s="109"/>
      <c r="O357" s="109"/>
      <c r="P357" s="109"/>
      <c r="Q357" s="109"/>
      <c r="R357" s="16"/>
      <c r="S357" s="16"/>
      <c r="T357" s="109"/>
      <c r="U357" s="109"/>
      <c r="V357" s="109"/>
      <c r="W357" s="109"/>
      <c r="X357" s="109"/>
      <c r="Y357" s="109"/>
      <c r="Z357" s="109"/>
      <c r="AA357" s="109"/>
      <c r="AB357" s="109"/>
      <c r="AC357" s="16"/>
      <c r="AD357" s="16"/>
      <c r="AE357" s="16"/>
      <c r="AF357" s="16"/>
    </row>
    <row r="358" spans="1:32" x14ac:dyDescent="0.2">
      <c r="A358" s="16"/>
      <c r="B358" s="16"/>
      <c r="C358" s="16"/>
      <c r="D358" s="16"/>
      <c r="E358" s="16"/>
      <c r="F358" s="109"/>
      <c r="G358" s="109"/>
      <c r="H358" s="109"/>
      <c r="I358" s="109"/>
      <c r="J358" s="109"/>
      <c r="K358" s="109"/>
      <c r="L358" s="109"/>
      <c r="M358" s="109"/>
      <c r="N358" s="109"/>
      <c r="O358" s="109"/>
      <c r="P358" s="109"/>
      <c r="Q358" s="109"/>
      <c r="R358" s="16"/>
      <c r="S358" s="16"/>
      <c r="T358" s="109"/>
      <c r="U358" s="109"/>
      <c r="V358" s="109"/>
      <c r="W358" s="109"/>
      <c r="X358" s="109"/>
      <c r="Y358" s="109"/>
      <c r="Z358" s="109"/>
      <c r="AA358" s="109"/>
      <c r="AB358" s="109"/>
      <c r="AC358" s="16"/>
      <c r="AD358" s="16"/>
      <c r="AE358" s="16"/>
      <c r="AF358" s="16"/>
    </row>
    <row r="359" spans="1:32" x14ac:dyDescent="0.2">
      <c r="A359" s="16"/>
      <c r="B359" s="16"/>
      <c r="C359" s="16"/>
      <c r="D359" s="16"/>
      <c r="E359" s="16"/>
      <c r="F359" s="109"/>
      <c r="G359" s="109"/>
      <c r="H359" s="109"/>
      <c r="I359" s="109"/>
      <c r="J359" s="109"/>
      <c r="K359" s="109"/>
      <c r="L359" s="109"/>
      <c r="M359" s="109"/>
      <c r="N359" s="109"/>
      <c r="O359" s="109"/>
      <c r="P359" s="109"/>
      <c r="Q359" s="109"/>
      <c r="R359" s="16"/>
      <c r="S359" s="16"/>
      <c r="T359" s="109"/>
      <c r="U359" s="109"/>
      <c r="V359" s="109"/>
      <c r="W359" s="109"/>
      <c r="X359" s="109"/>
      <c r="Y359" s="109"/>
      <c r="Z359" s="109"/>
      <c r="AA359" s="109"/>
      <c r="AB359" s="109"/>
      <c r="AC359" s="16"/>
      <c r="AD359" s="16"/>
      <c r="AE359" s="16"/>
      <c r="AF359" s="16"/>
    </row>
    <row r="360" spans="1:32" x14ac:dyDescent="0.2">
      <c r="A360" s="16"/>
      <c r="B360" s="16"/>
      <c r="C360" s="16"/>
      <c r="D360" s="16"/>
      <c r="E360" s="16"/>
      <c r="F360" s="109"/>
      <c r="G360" s="109"/>
      <c r="H360" s="109"/>
      <c r="I360" s="109"/>
      <c r="J360" s="109"/>
      <c r="K360" s="109"/>
      <c r="L360" s="109"/>
      <c r="M360" s="109"/>
      <c r="N360" s="109"/>
      <c r="O360" s="109"/>
      <c r="P360" s="109"/>
      <c r="Q360" s="109"/>
      <c r="R360" s="16"/>
      <c r="S360" s="16"/>
      <c r="T360" s="109"/>
      <c r="U360" s="109"/>
      <c r="V360" s="109"/>
      <c r="W360" s="109"/>
      <c r="X360" s="109"/>
      <c r="Y360" s="109"/>
      <c r="Z360" s="109"/>
      <c r="AA360" s="109"/>
      <c r="AB360" s="109"/>
      <c r="AC360" s="16"/>
      <c r="AD360" s="16"/>
      <c r="AE360" s="16"/>
      <c r="AF360" s="16"/>
    </row>
    <row r="361" spans="1:32" x14ac:dyDescent="0.2">
      <c r="A361" s="16"/>
      <c r="B361" s="16"/>
      <c r="C361" s="16"/>
      <c r="D361" s="16"/>
      <c r="E361" s="16"/>
      <c r="F361" s="109"/>
      <c r="G361" s="109"/>
      <c r="H361" s="109"/>
      <c r="I361" s="109"/>
      <c r="J361" s="109"/>
      <c r="K361" s="109"/>
      <c r="L361" s="109"/>
      <c r="M361" s="109"/>
      <c r="N361" s="109"/>
      <c r="O361" s="109"/>
      <c r="P361" s="109"/>
      <c r="Q361" s="109"/>
      <c r="R361" s="16"/>
      <c r="S361" s="16"/>
      <c r="T361" s="109"/>
      <c r="U361" s="109"/>
      <c r="V361" s="109"/>
      <c r="W361" s="109"/>
      <c r="X361" s="109"/>
      <c r="Y361" s="109"/>
      <c r="Z361" s="109"/>
      <c r="AA361" s="109"/>
      <c r="AB361" s="109"/>
      <c r="AC361" s="16"/>
      <c r="AD361" s="16"/>
      <c r="AE361" s="16"/>
      <c r="AF361" s="16"/>
    </row>
    <row r="362" spans="1:32" x14ac:dyDescent="0.2">
      <c r="A362" s="16"/>
      <c r="B362" s="16"/>
      <c r="C362" s="16"/>
      <c r="D362" s="16"/>
      <c r="E362" s="16"/>
      <c r="F362" s="109"/>
      <c r="G362" s="109"/>
      <c r="H362" s="109"/>
      <c r="I362" s="109"/>
      <c r="J362" s="109"/>
      <c r="K362" s="109"/>
      <c r="L362" s="109"/>
      <c r="M362" s="109"/>
      <c r="N362" s="109"/>
      <c r="O362" s="109"/>
      <c r="P362" s="109"/>
      <c r="Q362" s="109"/>
      <c r="R362" s="16"/>
      <c r="S362" s="16"/>
      <c r="T362" s="109"/>
      <c r="U362" s="109"/>
      <c r="V362" s="109"/>
      <c r="W362" s="109"/>
      <c r="X362" s="109"/>
      <c r="Y362" s="109"/>
      <c r="Z362" s="109"/>
      <c r="AA362" s="109"/>
      <c r="AB362" s="109"/>
      <c r="AC362" s="16"/>
      <c r="AD362" s="16"/>
      <c r="AE362" s="16"/>
      <c r="AF362" s="16"/>
    </row>
    <row r="363" spans="1:32" x14ac:dyDescent="0.2">
      <c r="A363" s="16"/>
      <c r="B363" s="16"/>
      <c r="C363" s="16"/>
      <c r="D363" s="16"/>
      <c r="E363" s="16"/>
      <c r="F363" s="109"/>
      <c r="G363" s="109"/>
      <c r="H363" s="109"/>
      <c r="I363" s="109"/>
      <c r="J363" s="109"/>
      <c r="K363" s="109"/>
      <c r="L363" s="109"/>
      <c r="M363" s="109"/>
      <c r="N363" s="109"/>
      <c r="O363" s="109"/>
      <c r="P363" s="109"/>
      <c r="Q363" s="109"/>
      <c r="R363" s="16"/>
      <c r="S363" s="16"/>
      <c r="T363" s="109"/>
      <c r="U363" s="109"/>
      <c r="V363" s="109"/>
      <c r="W363" s="109"/>
      <c r="X363" s="109"/>
      <c r="Y363" s="109"/>
      <c r="Z363" s="109"/>
      <c r="AA363" s="109"/>
      <c r="AB363" s="109"/>
      <c r="AC363" s="16"/>
      <c r="AD363" s="16"/>
      <c r="AE363" s="16"/>
      <c r="AF363" s="16"/>
    </row>
    <row r="364" spans="1:32" x14ac:dyDescent="0.2">
      <c r="A364" s="16"/>
      <c r="B364" s="16"/>
      <c r="C364" s="16"/>
      <c r="D364" s="16"/>
      <c r="E364" s="16"/>
      <c r="F364" s="109"/>
      <c r="G364" s="109"/>
      <c r="H364" s="109"/>
      <c r="I364" s="109"/>
      <c r="J364" s="109"/>
      <c r="K364" s="109"/>
      <c r="L364" s="109"/>
      <c r="M364" s="109"/>
      <c r="N364" s="109"/>
      <c r="O364" s="109"/>
      <c r="P364" s="109"/>
      <c r="Q364" s="109"/>
      <c r="R364" s="16"/>
      <c r="S364" s="16"/>
      <c r="T364" s="109"/>
      <c r="U364" s="109"/>
      <c r="V364" s="109"/>
      <c r="W364" s="109"/>
      <c r="X364" s="109"/>
      <c r="Y364" s="109"/>
      <c r="Z364" s="109"/>
      <c r="AA364" s="109"/>
      <c r="AB364" s="109"/>
      <c r="AC364" s="16"/>
      <c r="AD364" s="16"/>
      <c r="AE364" s="16"/>
      <c r="AF364" s="16"/>
    </row>
    <row r="365" spans="1:32" x14ac:dyDescent="0.2">
      <c r="A365" s="16"/>
      <c r="B365" s="16"/>
      <c r="C365" s="16"/>
      <c r="D365" s="16"/>
      <c r="E365" s="16"/>
      <c r="F365" s="109"/>
      <c r="G365" s="109"/>
      <c r="H365" s="109"/>
      <c r="I365" s="109"/>
      <c r="J365" s="109"/>
      <c r="K365" s="109"/>
      <c r="L365" s="109"/>
      <c r="M365" s="109"/>
      <c r="N365" s="109"/>
      <c r="O365" s="109"/>
      <c r="P365" s="109"/>
      <c r="Q365" s="109"/>
      <c r="R365" s="16"/>
      <c r="S365" s="16"/>
      <c r="T365" s="109"/>
      <c r="U365" s="109"/>
      <c r="V365" s="109"/>
      <c r="W365" s="109"/>
      <c r="X365" s="109"/>
      <c r="Y365" s="109"/>
      <c r="Z365" s="109"/>
      <c r="AA365" s="109"/>
      <c r="AB365" s="109"/>
      <c r="AC365" s="16"/>
      <c r="AD365" s="16"/>
      <c r="AE365" s="16"/>
      <c r="AF365" s="16"/>
    </row>
    <row r="366" spans="1:32" x14ac:dyDescent="0.2">
      <c r="A366" s="16"/>
      <c r="B366" s="16"/>
      <c r="C366" s="16"/>
      <c r="D366" s="16"/>
      <c r="E366" s="16"/>
      <c r="F366" s="109"/>
      <c r="G366" s="109"/>
      <c r="H366" s="109"/>
      <c r="I366" s="109"/>
      <c r="J366" s="109"/>
      <c r="K366" s="109"/>
      <c r="L366" s="109"/>
      <c r="M366" s="109"/>
      <c r="N366" s="109"/>
      <c r="O366" s="109"/>
      <c r="P366" s="109"/>
      <c r="Q366" s="109"/>
      <c r="R366" s="16"/>
      <c r="S366" s="16"/>
      <c r="T366" s="109"/>
      <c r="U366" s="109"/>
      <c r="V366" s="109"/>
      <c r="W366" s="109"/>
      <c r="X366" s="109"/>
      <c r="Y366" s="109"/>
      <c r="Z366" s="109"/>
      <c r="AA366" s="109"/>
      <c r="AB366" s="109"/>
      <c r="AC366" s="16"/>
      <c r="AD366" s="16"/>
      <c r="AE366" s="16"/>
      <c r="AF366" s="16"/>
    </row>
    <row r="367" spans="1:32" x14ac:dyDescent="0.2">
      <c r="A367" s="16"/>
      <c r="B367" s="16"/>
      <c r="C367" s="16"/>
      <c r="D367" s="16"/>
      <c r="E367" s="16"/>
      <c r="F367" s="109"/>
      <c r="G367" s="109"/>
      <c r="H367" s="109"/>
      <c r="I367" s="109"/>
      <c r="J367" s="109"/>
      <c r="K367" s="109"/>
      <c r="L367" s="109"/>
      <c r="M367" s="109"/>
      <c r="N367" s="109"/>
      <c r="O367" s="109"/>
      <c r="P367" s="109"/>
      <c r="Q367" s="109"/>
      <c r="R367" s="16"/>
      <c r="S367" s="16"/>
      <c r="T367" s="109"/>
      <c r="U367" s="109"/>
      <c r="V367" s="109"/>
      <c r="W367" s="109"/>
      <c r="X367" s="109"/>
      <c r="Y367" s="109"/>
      <c r="Z367" s="109"/>
      <c r="AA367" s="109"/>
      <c r="AB367" s="109"/>
      <c r="AC367" s="16"/>
      <c r="AD367" s="16"/>
      <c r="AE367" s="16"/>
      <c r="AF367" s="16"/>
    </row>
    <row r="368" spans="1:32" x14ac:dyDescent="0.2">
      <c r="A368" s="16"/>
      <c r="B368" s="16"/>
      <c r="C368" s="16"/>
      <c r="D368" s="16"/>
      <c r="E368" s="16"/>
      <c r="F368" s="109"/>
      <c r="G368" s="109"/>
      <c r="H368" s="109"/>
      <c r="I368" s="109"/>
      <c r="J368" s="109"/>
      <c r="K368" s="109"/>
      <c r="L368" s="109"/>
      <c r="M368" s="109"/>
      <c r="N368" s="109"/>
      <c r="O368" s="109"/>
      <c r="P368" s="109"/>
      <c r="Q368" s="109"/>
      <c r="R368" s="16"/>
      <c r="S368" s="16"/>
      <c r="T368" s="109"/>
      <c r="U368" s="109"/>
      <c r="V368" s="109"/>
      <c r="W368" s="109"/>
      <c r="X368" s="109"/>
      <c r="Y368" s="109"/>
      <c r="Z368" s="109"/>
      <c r="AA368" s="109"/>
      <c r="AB368" s="109"/>
      <c r="AC368" s="16"/>
      <c r="AD368" s="16"/>
      <c r="AE368" s="16"/>
      <c r="AF368" s="16"/>
    </row>
    <row r="369" spans="1:32" x14ac:dyDescent="0.2">
      <c r="A369" s="16"/>
      <c r="B369" s="16"/>
      <c r="C369" s="16"/>
      <c r="D369" s="16"/>
      <c r="E369" s="16"/>
      <c r="F369" s="109"/>
      <c r="G369" s="109"/>
      <c r="H369" s="109"/>
      <c r="I369" s="109"/>
      <c r="J369" s="109"/>
      <c r="K369" s="109"/>
      <c r="L369" s="109"/>
      <c r="M369" s="109"/>
      <c r="N369" s="109"/>
      <c r="O369" s="109"/>
      <c r="P369" s="109"/>
      <c r="Q369" s="109"/>
      <c r="R369" s="16"/>
      <c r="S369" s="16"/>
      <c r="T369" s="109"/>
      <c r="U369" s="109"/>
      <c r="V369" s="109"/>
      <c r="W369" s="109"/>
      <c r="X369" s="109"/>
      <c r="Y369" s="109"/>
      <c r="Z369" s="109"/>
      <c r="AA369" s="109"/>
      <c r="AB369" s="109"/>
      <c r="AC369" s="16"/>
      <c r="AD369" s="16"/>
      <c r="AE369" s="16"/>
      <c r="AF369" s="16"/>
    </row>
    <row r="370" spans="1:32" x14ac:dyDescent="0.2">
      <c r="A370" s="16"/>
      <c r="B370" s="16"/>
      <c r="C370" s="16"/>
      <c r="D370" s="16"/>
      <c r="E370" s="16"/>
      <c r="F370" s="109"/>
      <c r="G370" s="109"/>
      <c r="H370" s="109"/>
      <c r="I370" s="109"/>
      <c r="J370" s="109"/>
      <c r="K370" s="109"/>
      <c r="L370" s="109"/>
      <c r="M370" s="109"/>
      <c r="N370" s="109"/>
      <c r="O370" s="109"/>
      <c r="P370" s="109"/>
      <c r="Q370" s="109"/>
      <c r="R370" s="16"/>
      <c r="S370" s="16"/>
      <c r="T370" s="109"/>
      <c r="U370" s="109"/>
      <c r="V370" s="109"/>
      <c r="W370" s="109"/>
      <c r="X370" s="109"/>
      <c r="Y370" s="109"/>
      <c r="Z370" s="109"/>
      <c r="AA370" s="109"/>
      <c r="AB370" s="109"/>
      <c r="AC370" s="16"/>
      <c r="AD370" s="16"/>
      <c r="AE370" s="16"/>
      <c r="AF370" s="16"/>
    </row>
    <row r="371" spans="1:32" x14ac:dyDescent="0.2">
      <c r="A371" s="16"/>
      <c r="B371" s="16"/>
      <c r="C371" s="16"/>
      <c r="D371" s="16"/>
      <c r="E371" s="16"/>
      <c r="F371" s="109"/>
      <c r="G371" s="109"/>
      <c r="H371" s="109"/>
      <c r="I371" s="109"/>
      <c r="J371" s="109"/>
      <c r="K371" s="109"/>
      <c r="L371" s="109"/>
      <c r="M371" s="109"/>
      <c r="N371" s="109"/>
      <c r="O371" s="109"/>
      <c r="P371" s="109"/>
      <c r="Q371" s="109"/>
      <c r="R371" s="16"/>
      <c r="S371" s="16"/>
      <c r="T371" s="109"/>
      <c r="U371" s="109"/>
      <c r="V371" s="109"/>
      <c r="W371" s="109"/>
      <c r="X371" s="109"/>
      <c r="Y371" s="109"/>
      <c r="Z371" s="109"/>
      <c r="AA371" s="109"/>
      <c r="AB371" s="109"/>
      <c r="AC371" s="16"/>
      <c r="AD371" s="16"/>
      <c r="AE371" s="16"/>
      <c r="AF371" s="16"/>
    </row>
    <row r="372" spans="1:32" x14ac:dyDescent="0.2">
      <c r="A372" s="16"/>
      <c r="B372" s="16"/>
      <c r="C372" s="16"/>
      <c r="D372" s="16"/>
      <c r="E372" s="16"/>
      <c r="F372" s="109"/>
      <c r="G372" s="109"/>
      <c r="H372" s="109"/>
      <c r="I372" s="109"/>
      <c r="J372" s="109"/>
      <c r="K372" s="109"/>
      <c r="L372" s="109"/>
      <c r="M372" s="109"/>
      <c r="N372" s="109"/>
      <c r="O372" s="109"/>
      <c r="P372" s="109"/>
      <c r="Q372" s="109"/>
      <c r="R372" s="16"/>
      <c r="S372" s="16"/>
      <c r="T372" s="109"/>
      <c r="U372" s="109"/>
      <c r="V372" s="109"/>
      <c r="W372" s="109"/>
      <c r="X372" s="109"/>
      <c r="Y372" s="109"/>
      <c r="Z372" s="109"/>
      <c r="AA372" s="109"/>
      <c r="AB372" s="109"/>
      <c r="AC372" s="16"/>
      <c r="AD372" s="16"/>
      <c r="AE372" s="16"/>
      <c r="AF372" s="16"/>
    </row>
    <row r="373" spans="1:32" x14ac:dyDescent="0.2">
      <c r="A373" s="16"/>
      <c r="B373" s="16"/>
      <c r="C373" s="16"/>
      <c r="D373" s="16"/>
      <c r="E373" s="16"/>
      <c r="F373" s="109"/>
      <c r="G373" s="109"/>
      <c r="H373" s="109"/>
      <c r="I373" s="109"/>
      <c r="J373" s="109"/>
      <c r="K373" s="109"/>
      <c r="L373" s="109"/>
      <c r="M373" s="109"/>
      <c r="N373" s="109"/>
      <c r="O373" s="109"/>
      <c r="P373" s="109"/>
      <c r="Q373" s="109"/>
      <c r="R373" s="16"/>
      <c r="S373" s="16"/>
      <c r="T373" s="109"/>
      <c r="U373" s="109"/>
      <c r="V373" s="109"/>
      <c r="W373" s="109"/>
      <c r="X373" s="109"/>
      <c r="Y373" s="109"/>
      <c r="Z373" s="109"/>
      <c r="AA373" s="109"/>
      <c r="AB373" s="109"/>
      <c r="AC373" s="16"/>
      <c r="AD373" s="16"/>
      <c r="AE373" s="16"/>
      <c r="AF373" s="16"/>
    </row>
    <row r="374" spans="1:32" x14ac:dyDescent="0.2">
      <c r="A374" s="16"/>
      <c r="B374" s="16"/>
      <c r="C374" s="16"/>
      <c r="D374" s="16"/>
      <c r="E374" s="16"/>
      <c r="F374" s="109"/>
      <c r="G374" s="109"/>
      <c r="H374" s="109"/>
      <c r="I374" s="109"/>
      <c r="J374" s="109"/>
      <c r="K374" s="109"/>
      <c r="L374" s="109"/>
      <c r="M374" s="109"/>
      <c r="N374" s="109"/>
      <c r="O374" s="109"/>
      <c r="P374" s="109"/>
      <c r="Q374" s="109"/>
      <c r="R374" s="16"/>
      <c r="S374" s="16"/>
      <c r="T374" s="109"/>
      <c r="U374" s="109"/>
      <c r="V374" s="109"/>
      <c r="W374" s="109"/>
      <c r="X374" s="109"/>
      <c r="Y374" s="109"/>
      <c r="Z374" s="109"/>
      <c r="AA374" s="109"/>
      <c r="AB374" s="109"/>
      <c r="AC374" s="16"/>
      <c r="AD374" s="16"/>
      <c r="AE374" s="16"/>
      <c r="AF374" s="16"/>
    </row>
    <row r="375" spans="1:32" x14ac:dyDescent="0.2">
      <c r="A375" s="16"/>
      <c r="B375" s="16"/>
      <c r="C375" s="16"/>
      <c r="D375" s="16"/>
      <c r="E375" s="16"/>
      <c r="F375" s="109"/>
      <c r="G375" s="109"/>
      <c r="H375" s="109"/>
      <c r="I375" s="109"/>
      <c r="J375" s="109"/>
      <c r="K375" s="109"/>
      <c r="L375" s="109"/>
      <c r="M375" s="109"/>
      <c r="N375" s="109"/>
      <c r="O375" s="109"/>
      <c r="P375" s="109"/>
      <c r="Q375" s="109"/>
      <c r="R375" s="16"/>
      <c r="S375" s="16"/>
      <c r="T375" s="109"/>
      <c r="U375" s="109"/>
      <c r="V375" s="109"/>
      <c r="W375" s="109"/>
      <c r="X375" s="109"/>
      <c r="Y375" s="109"/>
      <c r="Z375" s="109"/>
      <c r="AA375" s="109"/>
      <c r="AB375" s="109"/>
      <c r="AC375" s="16"/>
      <c r="AD375" s="16"/>
      <c r="AE375" s="16"/>
      <c r="AF375" s="16"/>
    </row>
    <row r="376" spans="1:32" x14ac:dyDescent="0.2">
      <c r="A376" s="16"/>
      <c r="B376" s="16"/>
      <c r="C376" s="16"/>
      <c r="D376" s="16"/>
      <c r="E376" s="16"/>
      <c r="F376" s="109"/>
      <c r="G376" s="109"/>
      <c r="H376" s="109"/>
      <c r="I376" s="109"/>
      <c r="J376" s="109"/>
      <c r="K376" s="109"/>
      <c r="L376" s="109"/>
      <c r="M376" s="109"/>
      <c r="N376" s="109"/>
      <c r="O376" s="109"/>
      <c r="P376" s="109"/>
      <c r="Q376" s="109"/>
      <c r="R376" s="16"/>
      <c r="S376" s="16"/>
      <c r="T376" s="109"/>
      <c r="U376" s="109"/>
      <c r="V376" s="109"/>
      <c r="W376" s="109"/>
      <c r="X376" s="109"/>
      <c r="Y376" s="109"/>
      <c r="Z376" s="109"/>
      <c r="AA376" s="109"/>
      <c r="AB376" s="109"/>
      <c r="AC376" s="16"/>
      <c r="AD376" s="16"/>
      <c r="AE376" s="16"/>
      <c r="AF376" s="16"/>
    </row>
    <row r="377" spans="1:32" x14ac:dyDescent="0.2">
      <c r="A377" s="16"/>
      <c r="B377" s="16"/>
      <c r="C377" s="16"/>
      <c r="D377" s="16"/>
      <c r="E377" s="16"/>
      <c r="F377" s="109"/>
      <c r="G377" s="109"/>
      <c r="H377" s="109"/>
      <c r="I377" s="109"/>
      <c r="J377" s="109"/>
      <c r="K377" s="109"/>
      <c r="L377" s="109"/>
      <c r="M377" s="109"/>
      <c r="N377" s="109"/>
      <c r="O377" s="109"/>
      <c r="P377" s="109"/>
      <c r="Q377" s="109"/>
      <c r="R377" s="16"/>
      <c r="S377" s="16"/>
      <c r="T377" s="109"/>
      <c r="U377" s="109"/>
      <c r="V377" s="109"/>
      <c r="W377" s="109"/>
      <c r="X377" s="109"/>
      <c r="Y377" s="109"/>
      <c r="Z377" s="109"/>
      <c r="AA377" s="109"/>
      <c r="AB377" s="109"/>
      <c r="AC377" s="16"/>
      <c r="AD377" s="16"/>
      <c r="AE377" s="16"/>
      <c r="AF377" s="16"/>
    </row>
    <row r="378" spans="1:32" x14ac:dyDescent="0.2">
      <c r="A378" s="16"/>
      <c r="B378" s="16"/>
      <c r="C378" s="16"/>
      <c r="D378" s="16"/>
      <c r="E378" s="16"/>
      <c r="F378" s="109"/>
      <c r="G378" s="109"/>
      <c r="H378" s="109"/>
      <c r="I378" s="109"/>
      <c r="J378" s="109"/>
      <c r="K378" s="109"/>
      <c r="L378" s="109"/>
      <c r="M378" s="109"/>
      <c r="N378" s="109"/>
      <c r="O378" s="109"/>
      <c r="P378" s="109"/>
      <c r="Q378" s="109"/>
      <c r="R378" s="16"/>
      <c r="S378" s="16"/>
      <c r="T378" s="109"/>
      <c r="U378" s="109"/>
      <c r="V378" s="109"/>
      <c r="W378" s="109"/>
      <c r="X378" s="109"/>
      <c r="Y378" s="109"/>
      <c r="Z378" s="109"/>
      <c r="AA378" s="109"/>
      <c r="AB378" s="109"/>
      <c r="AC378" s="16"/>
      <c r="AD378" s="16"/>
      <c r="AE378" s="16"/>
      <c r="AF378" s="16"/>
    </row>
    <row r="379" spans="1:32" x14ac:dyDescent="0.2">
      <c r="A379" s="16"/>
      <c r="B379" s="16"/>
      <c r="C379" s="16"/>
      <c r="D379" s="16"/>
      <c r="E379" s="16"/>
      <c r="F379" s="109"/>
      <c r="G379" s="109"/>
      <c r="H379" s="109"/>
      <c r="I379" s="109"/>
      <c r="J379" s="109"/>
      <c r="K379" s="109"/>
      <c r="L379" s="109"/>
      <c r="M379" s="109"/>
      <c r="N379" s="109"/>
      <c r="O379" s="109"/>
      <c r="P379" s="109"/>
      <c r="Q379" s="109"/>
      <c r="R379" s="16"/>
      <c r="S379" s="16"/>
      <c r="T379" s="109"/>
      <c r="U379" s="109"/>
      <c r="V379" s="109"/>
      <c r="W379" s="109"/>
      <c r="X379" s="109"/>
      <c r="Y379" s="109"/>
      <c r="Z379" s="109"/>
      <c r="AA379" s="109"/>
      <c r="AB379" s="109"/>
      <c r="AC379" s="16"/>
      <c r="AD379" s="16"/>
      <c r="AE379" s="16"/>
      <c r="AF379" s="16"/>
    </row>
    <row r="380" spans="1:32" x14ac:dyDescent="0.2">
      <c r="A380" s="16"/>
      <c r="B380" s="16"/>
      <c r="C380" s="16"/>
      <c r="D380" s="16"/>
      <c r="E380" s="16"/>
      <c r="F380" s="109"/>
      <c r="G380" s="109"/>
      <c r="H380" s="109"/>
      <c r="I380" s="109"/>
      <c r="J380" s="109"/>
      <c r="K380" s="109"/>
      <c r="L380" s="109"/>
      <c r="M380" s="109"/>
      <c r="N380" s="109"/>
      <c r="O380" s="109"/>
      <c r="P380" s="109"/>
      <c r="Q380" s="109"/>
      <c r="R380" s="16"/>
      <c r="S380" s="16"/>
      <c r="T380" s="109"/>
      <c r="U380" s="109"/>
      <c r="V380" s="109"/>
      <c r="W380" s="109"/>
      <c r="X380" s="109"/>
      <c r="Y380" s="109"/>
      <c r="Z380" s="109"/>
      <c r="AA380" s="109"/>
      <c r="AB380" s="109"/>
      <c r="AC380" s="16"/>
      <c r="AD380" s="16"/>
      <c r="AE380" s="16"/>
      <c r="AF380" s="16"/>
    </row>
    <row r="381" spans="1:32" x14ac:dyDescent="0.2">
      <c r="A381" s="16"/>
      <c r="B381" s="16"/>
      <c r="C381" s="16"/>
      <c r="D381" s="16"/>
      <c r="E381" s="16"/>
      <c r="F381" s="109"/>
      <c r="G381" s="109"/>
      <c r="H381" s="109"/>
      <c r="I381" s="109"/>
      <c r="J381" s="109"/>
      <c r="K381" s="109"/>
      <c r="L381" s="109"/>
      <c r="M381" s="109"/>
      <c r="N381" s="109"/>
      <c r="O381" s="109"/>
      <c r="P381" s="109"/>
      <c r="Q381" s="109"/>
      <c r="R381" s="16"/>
      <c r="S381" s="16"/>
      <c r="T381" s="109"/>
      <c r="U381" s="109"/>
      <c r="V381" s="109"/>
      <c r="W381" s="109"/>
      <c r="X381" s="109"/>
      <c r="Y381" s="109"/>
      <c r="Z381" s="109"/>
      <c r="AA381" s="109"/>
      <c r="AB381" s="109"/>
      <c r="AC381" s="16"/>
      <c r="AD381" s="16"/>
      <c r="AE381" s="16"/>
      <c r="AF381" s="16"/>
    </row>
    <row r="382" spans="1:32" x14ac:dyDescent="0.2">
      <c r="A382" s="16"/>
      <c r="B382" s="16"/>
      <c r="C382" s="16"/>
      <c r="D382" s="16"/>
      <c r="E382" s="16"/>
      <c r="F382" s="109"/>
      <c r="G382" s="109"/>
      <c r="H382" s="109"/>
      <c r="I382" s="109"/>
      <c r="J382" s="109"/>
      <c r="K382" s="109"/>
      <c r="L382" s="109"/>
      <c r="M382" s="109"/>
      <c r="N382" s="109"/>
      <c r="O382" s="109"/>
      <c r="P382" s="109"/>
      <c r="Q382" s="109"/>
      <c r="R382" s="16"/>
      <c r="S382" s="16"/>
      <c r="T382" s="109"/>
      <c r="U382" s="109"/>
      <c r="V382" s="109"/>
      <c r="W382" s="109"/>
      <c r="X382" s="109"/>
      <c r="Y382" s="109"/>
      <c r="Z382" s="109"/>
      <c r="AA382" s="109"/>
      <c r="AB382" s="109"/>
      <c r="AC382" s="16"/>
      <c r="AD382" s="16"/>
      <c r="AE382" s="16"/>
      <c r="AF382" s="16"/>
    </row>
    <row r="383" spans="1:32" x14ac:dyDescent="0.2">
      <c r="A383" s="16"/>
      <c r="B383" s="16"/>
      <c r="C383" s="16"/>
      <c r="D383" s="16"/>
      <c r="E383" s="16"/>
      <c r="F383" s="109"/>
      <c r="G383" s="109"/>
      <c r="H383" s="109"/>
      <c r="I383" s="109"/>
      <c r="J383" s="109"/>
      <c r="K383" s="109"/>
      <c r="L383" s="109"/>
      <c r="M383" s="109"/>
      <c r="N383" s="109"/>
      <c r="O383" s="109"/>
      <c r="P383" s="109"/>
      <c r="Q383" s="109"/>
      <c r="R383" s="16"/>
      <c r="S383" s="16"/>
      <c r="T383" s="109"/>
      <c r="U383" s="109"/>
      <c r="V383" s="109"/>
      <c r="W383" s="109"/>
      <c r="X383" s="109"/>
      <c r="Y383" s="109"/>
      <c r="Z383" s="109"/>
      <c r="AA383" s="109"/>
      <c r="AB383" s="109"/>
      <c r="AC383" s="16"/>
      <c r="AD383" s="16"/>
      <c r="AE383" s="16"/>
      <c r="AF383" s="16"/>
    </row>
    <row r="384" spans="1:32" x14ac:dyDescent="0.2">
      <c r="A384" s="16"/>
      <c r="B384" s="16"/>
      <c r="C384" s="16"/>
      <c r="D384" s="16"/>
      <c r="E384" s="16"/>
      <c r="F384" s="109"/>
      <c r="G384" s="109"/>
      <c r="H384" s="109"/>
      <c r="I384" s="109"/>
      <c r="J384" s="109"/>
      <c r="K384" s="109"/>
      <c r="L384" s="109"/>
      <c r="M384" s="109"/>
      <c r="N384" s="109"/>
      <c r="O384" s="109"/>
      <c r="P384" s="109"/>
      <c r="Q384" s="109"/>
      <c r="R384" s="16"/>
      <c r="S384" s="16"/>
      <c r="T384" s="109"/>
      <c r="U384" s="109"/>
      <c r="V384" s="109"/>
      <c r="W384" s="109"/>
      <c r="X384" s="109"/>
      <c r="Y384" s="109"/>
      <c r="Z384" s="109"/>
      <c r="AA384" s="109"/>
      <c r="AB384" s="109"/>
      <c r="AC384" s="16"/>
      <c r="AD384" s="16"/>
      <c r="AE384" s="16"/>
      <c r="AF384" s="16"/>
    </row>
    <row r="385" spans="1:32" x14ac:dyDescent="0.2">
      <c r="A385" s="16"/>
      <c r="B385" s="16"/>
      <c r="C385" s="16"/>
      <c r="D385" s="16"/>
      <c r="E385" s="16"/>
      <c r="F385" s="109"/>
      <c r="G385" s="109"/>
      <c r="H385" s="109"/>
      <c r="I385" s="109"/>
      <c r="J385" s="109"/>
      <c r="K385" s="109"/>
      <c r="L385" s="109"/>
      <c r="M385" s="109"/>
      <c r="N385" s="109"/>
      <c r="O385" s="109"/>
      <c r="P385" s="109"/>
      <c r="Q385" s="109"/>
      <c r="R385" s="16"/>
      <c r="S385" s="16"/>
      <c r="T385" s="109"/>
      <c r="U385" s="109"/>
      <c r="V385" s="109"/>
      <c r="W385" s="109"/>
      <c r="X385" s="109"/>
      <c r="Y385" s="109"/>
      <c r="Z385" s="109"/>
      <c r="AA385" s="109"/>
      <c r="AB385" s="109"/>
      <c r="AC385" s="16"/>
      <c r="AD385" s="16"/>
      <c r="AE385" s="16"/>
      <c r="AF385" s="16"/>
    </row>
    <row r="386" spans="1:32" x14ac:dyDescent="0.2">
      <c r="A386" s="16"/>
      <c r="B386" s="16"/>
      <c r="C386" s="16"/>
      <c r="D386" s="16"/>
      <c r="E386" s="16"/>
      <c r="F386" s="109"/>
      <c r="G386" s="109"/>
      <c r="H386" s="109"/>
      <c r="I386" s="109"/>
      <c r="J386" s="109"/>
      <c r="K386" s="109"/>
      <c r="L386" s="109"/>
      <c r="M386" s="109"/>
      <c r="N386" s="109"/>
      <c r="O386" s="109"/>
      <c r="P386" s="109"/>
      <c r="Q386" s="109"/>
      <c r="R386" s="16"/>
      <c r="S386" s="16"/>
      <c r="T386" s="109"/>
      <c r="U386" s="109"/>
      <c r="V386" s="109"/>
      <c r="W386" s="109"/>
      <c r="X386" s="109"/>
      <c r="Y386" s="109"/>
      <c r="Z386" s="109"/>
      <c r="AA386" s="109"/>
      <c r="AB386" s="109"/>
      <c r="AC386" s="16"/>
      <c r="AD386" s="16"/>
      <c r="AE386" s="16"/>
      <c r="AF386" s="16"/>
    </row>
    <row r="387" spans="1:32" x14ac:dyDescent="0.2">
      <c r="A387" s="16"/>
      <c r="B387" s="16"/>
      <c r="C387" s="16"/>
      <c r="D387" s="16"/>
      <c r="E387" s="16"/>
      <c r="F387" s="109"/>
      <c r="G387" s="109"/>
      <c r="H387" s="109"/>
      <c r="I387" s="109"/>
      <c r="J387" s="109"/>
      <c r="K387" s="109"/>
      <c r="L387" s="109"/>
      <c r="M387" s="109"/>
      <c r="N387" s="109"/>
      <c r="O387" s="109"/>
      <c r="P387" s="109"/>
      <c r="Q387" s="109"/>
      <c r="R387" s="16"/>
      <c r="S387" s="16"/>
      <c r="T387" s="109"/>
      <c r="U387" s="109"/>
      <c r="V387" s="109"/>
      <c r="W387" s="109"/>
      <c r="X387" s="109"/>
      <c r="Y387" s="109"/>
      <c r="Z387" s="109"/>
      <c r="AA387" s="109"/>
      <c r="AB387" s="109"/>
      <c r="AC387" s="16"/>
      <c r="AD387" s="16"/>
      <c r="AE387" s="16"/>
      <c r="AF387" s="16"/>
    </row>
    <row r="388" spans="1:32" x14ac:dyDescent="0.2">
      <c r="A388" s="16"/>
      <c r="B388" s="16"/>
      <c r="C388" s="16"/>
      <c r="D388" s="16"/>
      <c r="E388" s="16"/>
      <c r="F388" s="109"/>
      <c r="G388" s="109"/>
      <c r="H388" s="109"/>
      <c r="I388" s="109"/>
      <c r="J388" s="109"/>
      <c r="K388" s="109"/>
      <c r="L388" s="109"/>
      <c r="M388" s="109"/>
      <c r="N388" s="109"/>
      <c r="O388" s="109"/>
      <c r="P388" s="109"/>
      <c r="Q388" s="109"/>
      <c r="R388" s="16"/>
      <c r="S388" s="16"/>
      <c r="T388" s="109"/>
      <c r="U388" s="109"/>
      <c r="V388" s="109"/>
      <c r="W388" s="109"/>
      <c r="X388" s="109"/>
      <c r="Y388" s="109"/>
      <c r="Z388" s="109"/>
      <c r="AA388" s="109"/>
      <c r="AB388" s="109"/>
      <c r="AC388" s="16"/>
      <c r="AD388" s="16"/>
      <c r="AE388" s="16"/>
      <c r="AF388" s="16"/>
    </row>
    <row r="389" spans="1:32" x14ac:dyDescent="0.2">
      <c r="A389" s="16"/>
      <c r="B389" s="16"/>
      <c r="C389" s="16"/>
      <c r="D389" s="16"/>
      <c r="E389" s="16"/>
      <c r="F389" s="109"/>
      <c r="G389" s="109"/>
      <c r="H389" s="109"/>
      <c r="I389" s="109"/>
      <c r="J389" s="109"/>
      <c r="K389" s="109"/>
      <c r="L389" s="109"/>
      <c r="M389" s="109"/>
      <c r="N389" s="109"/>
      <c r="O389" s="109"/>
      <c r="P389" s="109"/>
      <c r="Q389" s="109"/>
      <c r="R389" s="16"/>
      <c r="S389" s="16"/>
      <c r="T389" s="109"/>
      <c r="U389" s="109"/>
      <c r="V389" s="109"/>
      <c r="W389" s="109"/>
      <c r="X389" s="109"/>
      <c r="Y389" s="109"/>
      <c r="Z389" s="109"/>
      <c r="AA389" s="109"/>
      <c r="AB389" s="109"/>
      <c r="AC389" s="16"/>
      <c r="AD389" s="16"/>
      <c r="AE389" s="16"/>
      <c r="AF389" s="16"/>
    </row>
    <row r="390" spans="1:32" x14ac:dyDescent="0.2">
      <c r="A390" s="16"/>
      <c r="B390" s="16"/>
      <c r="C390" s="16"/>
      <c r="D390" s="16"/>
      <c r="E390" s="16"/>
      <c r="F390" s="109"/>
      <c r="G390" s="109"/>
      <c r="H390" s="109"/>
      <c r="I390" s="109"/>
      <c r="J390" s="109"/>
      <c r="K390" s="109"/>
      <c r="L390" s="109"/>
      <c r="M390" s="109"/>
      <c r="N390" s="109"/>
      <c r="O390" s="109"/>
      <c r="P390" s="109"/>
      <c r="Q390" s="109"/>
      <c r="R390" s="16"/>
      <c r="S390" s="16"/>
      <c r="T390" s="109"/>
      <c r="U390" s="109"/>
      <c r="V390" s="109"/>
      <c r="W390" s="109"/>
      <c r="X390" s="109"/>
      <c r="Y390" s="109"/>
      <c r="Z390" s="109"/>
      <c r="AA390" s="109"/>
      <c r="AB390" s="109"/>
      <c r="AC390" s="16"/>
      <c r="AD390" s="16"/>
      <c r="AE390" s="16"/>
      <c r="AF390" s="16"/>
    </row>
    <row r="391" spans="1:32" x14ac:dyDescent="0.2">
      <c r="A391" s="16"/>
      <c r="B391" s="16"/>
      <c r="C391" s="16"/>
      <c r="D391" s="16"/>
      <c r="E391" s="16"/>
      <c r="F391" s="109"/>
      <c r="G391" s="109"/>
      <c r="H391" s="109"/>
      <c r="I391" s="109"/>
      <c r="J391" s="109"/>
      <c r="K391" s="109"/>
      <c r="L391" s="109"/>
      <c r="M391" s="109"/>
      <c r="N391" s="109"/>
      <c r="O391" s="109"/>
      <c r="P391" s="109"/>
      <c r="Q391" s="109"/>
      <c r="R391" s="16"/>
      <c r="S391" s="16"/>
      <c r="T391" s="109"/>
      <c r="U391" s="109"/>
      <c r="V391" s="109"/>
      <c r="W391" s="109"/>
      <c r="X391" s="109"/>
      <c r="Y391" s="109"/>
      <c r="Z391" s="109"/>
      <c r="AA391" s="109"/>
      <c r="AB391" s="109"/>
      <c r="AC391" s="16"/>
      <c r="AD391" s="16"/>
      <c r="AE391" s="16"/>
      <c r="AF391" s="16"/>
    </row>
    <row r="392" spans="1:32" x14ac:dyDescent="0.2">
      <c r="A392" s="16"/>
      <c r="B392" s="16"/>
      <c r="C392" s="16"/>
      <c r="D392" s="16"/>
      <c r="E392" s="16"/>
      <c r="F392" s="109"/>
      <c r="G392" s="109"/>
      <c r="H392" s="109"/>
      <c r="I392" s="109"/>
      <c r="J392" s="109"/>
      <c r="K392" s="109"/>
      <c r="L392" s="109"/>
      <c r="M392" s="109"/>
      <c r="N392" s="109"/>
      <c r="O392" s="109"/>
      <c r="P392" s="109"/>
      <c r="Q392" s="109"/>
      <c r="R392" s="16"/>
      <c r="S392" s="16"/>
      <c r="T392" s="109"/>
      <c r="U392" s="109"/>
      <c r="V392" s="109"/>
      <c r="W392" s="109"/>
      <c r="X392" s="109"/>
      <c r="Y392" s="109"/>
      <c r="Z392" s="109"/>
      <c r="AA392" s="109"/>
      <c r="AB392" s="109"/>
      <c r="AC392" s="16"/>
      <c r="AD392" s="16"/>
      <c r="AE392" s="16"/>
      <c r="AF392" s="16"/>
    </row>
    <row r="393" spans="1:32" x14ac:dyDescent="0.2">
      <c r="A393" s="16"/>
      <c r="B393" s="16"/>
      <c r="C393" s="16"/>
      <c r="D393" s="16"/>
      <c r="E393" s="16"/>
      <c r="F393" s="109"/>
      <c r="G393" s="109"/>
      <c r="H393" s="109"/>
      <c r="I393" s="109"/>
      <c r="J393" s="109"/>
      <c r="K393" s="109"/>
      <c r="L393" s="109"/>
      <c r="M393" s="109"/>
      <c r="N393" s="109"/>
      <c r="O393" s="109"/>
      <c r="P393" s="109"/>
      <c r="Q393" s="109"/>
      <c r="R393" s="16"/>
      <c r="S393" s="16"/>
      <c r="T393" s="109"/>
      <c r="U393" s="109"/>
      <c r="V393" s="109"/>
      <c r="W393" s="109"/>
      <c r="X393" s="109"/>
      <c r="Y393" s="109"/>
      <c r="Z393" s="109"/>
      <c r="AA393" s="109"/>
      <c r="AB393" s="109"/>
      <c r="AC393" s="16"/>
      <c r="AD393" s="16"/>
      <c r="AE393" s="16"/>
      <c r="AF393" s="16"/>
    </row>
    <row r="394" spans="1:32" x14ac:dyDescent="0.2">
      <c r="A394" s="16"/>
      <c r="B394" s="16"/>
      <c r="C394" s="16"/>
      <c r="D394" s="16"/>
      <c r="E394" s="16"/>
      <c r="F394" s="109"/>
      <c r="G394" s="109"/>
      <c r="H394" s="109"/>
      <c r="I394" s="109"/>
      <c r="J394" s="109"/>
      <c r="K394" s="109"/>
      <c r="L394" s="109"/>
      <c r="M394" s="109"/>
      <c r="N394" s="109"/>
      <c r="O394" s="109"/>
      <c r="P394" s="109"/>
      <c r="Q394" s="109"/>
      <c r="R394" s="16"/>
      <c r="S394" s="16"/>
      <c r="T394" s="109"/>
      <c r="U394" s="109"/>
      <c r="V394" s="109"/>
      <c r="W394" s="109"/>
      <c r="X394" s="109"/>
      <c r="Y394" s="109"/>
      <c r="Z394" s="109"/>
      <c r="AA394" s="109"/>
      <c r="AB394" s="109"/>
      <c r="AC394" s="16"/>
      <c r="AD394" s="16"/>
      <c r="AE394" s="16"/>
      <c r="AF394" s="16"/>
    </row>
    <row r="395" spans="1:32" x14ac:dyDescent="0.2">
      <c r="A395" s="16"/>
      <c r="B395" s="16"/>
      <c r="C395" s="16"/>
      <c r="D395" s="16"/>
      <c r="E395" s="16"/>
      <c r="F395" s="109"/>
      <c r="G395" s="109"/>
      <c r="H395" s="109"/>
      <c r="I395" s="109"/>
      <c r="J395" s="109"/>
      <c r="K395" s="109"/>
      <c r="L395" s="109"/>
      <c r="M395" s="109"/>
      <c r="N395" s="109"/>
      <c r="O395" s="109"/>
      <c r="P395" s="109"/>
      <c r="Q395" s="109"/>
      <c r="R395" s="16"/>
      <c r="S395" s="16"/>
      <c r="T395" s="109"/>
      <c r="U395" s="109"/>
      <c r="V395" s="109"/>
      <c r="W395" s="109"/>
      <c r="X395" s="109"/>
      <c r="Y395" s="109"/>
      <c r="Z395" s="109"/>
      <c r="AA395" s="109"/>
      <c r="AB395" s="109"/>
      <c r="AC395" s="16"/>
      <c r="AD395" s="16"/>
      <c r="AE395" s="16"/>
      <c r="AF395" s="16"/>
    </row>
    <row r="396" spans="1:32" x14ac:dyDescent="0.2">
      <c r="A396" s="16"/>
      <c r="B396" s="16"/>
      <c r="C396" s="16"/>
      <c r="D396" s="16"/>
      <c r="E396" s="16"/>
      <c r="F396" s="109"/>
      <c r="G396" s="109"/>
      <c r="H396" s="109"/>
      <c r="I396" s="109"/>
      <c r="J396" s="109"/>
      <c r="K396" s="109"/>
      <c r="L396" s="109"/>
      <c r="M396" s="109"/>
      <c r="N396" s="109"/>
      <c r="O396" s="109"/>
      <c r="P396" s="109"/>
      <c r="Q396" s="109"/>
      <c r="R396" s="16"/>
      <c r="S396" s="16"/>
      <c r="T396" s="109"/>
      <c r="U396" s="109"/>
      <c r="V396" s="109"/>
      <c r="W396" s="109"/>
      <c r="X396" s="109"/>
      <c r="Y396" s="109"/>
      <c r="Z396" s="109"/>
      <c r="AA396" s="109"/>
      <c r="AB396" s="109"/>
      <c r="AC396" s="16"/>
      <c r="AD396" s="16"/>
      <c r="AE396" s="16"/>
      <c r="AF396" s="16"/>
    </row>
    <row r="397" spans="1:32" x14ac:dyDescent="0.2">
      <c r="A397" s="16"/>
      <c r="B397" s="16"/>
      <c r="C397" s="16"/>
      <c r="D397" s="16"/>
      <c r="E397" s="16"/>
      <c r="F397" s="109"/>
      <c r="G397" s="109"/>
      <c r="H397" s="109"/>
      <c r="I397" s="109"/>
      <c r="J397" s="109"/>
      <c r="K397" s="109"/>
      <c r="L397" s="109"/>
      <c r="M397" s="109"/>
      <c r="N397" s="109"/>
      <c r="O397" s="109"/>
      <c r="P397" s="109"/>
      <c r="Q397" s="109"/>
      <c r="R397" s="16"/>
      <c r="S397" s="16"/>
      <c r="T397" s="109"/>
      <c r="U397" s="109"/>
      <c r="V397" s="109"/>
      <c r="W397" s="109"/>
      <c r="X397" s="109"/>
      <c r="Y397" s="109"/>
      <c r="Z397" s="109"/>
      <c r="AA397" s="109"/>
      <c r="AB397" s="109"/>
      <c r="AC397" s="16"/>
      <c r="AD397" s="16"/>
      <c r="AE397" s="16"/>
      <c r="AF397" s="16"/>
    </row>
    <row r="398" spans="1:32" x14ac:dyDescent="0.2">
      <c r="A398" s="16"/>
      <c r="B398" s="16"/>
      <c r="C398" s="16"/>
      <c r="D398" s="16"/>
      <c r="E398" s="16"/>
      <c r="F398" s="109"/>
      <c r="G398" s="109"/>
      <c r="H398" s="109"/>
      <c r="I398" s="109"/>
      <c r="J398" s="109"/>
      <c r="K398" s="109"/>
      <c r="L398" s="109"/>
      <c r="M398" s="109"/>
      <c r="N398" s="109"/>
      <c r="O398" s="109"/>
      <c r="P398" s="109"/>
      <c r="Q398" s="109"/>
      <c r="R398" s="16"/>
      <c r="S398" s="16"/>
      <c r="T398" s="109"/>
      <c r="U398" s="109"/>
      <c r="V398" s="109"/>
      <c r="W398" s="109"/>
      <c r="X398" s="109"/>
      <c r="Y398" s="109"/>
      <c r="Z398" s="109"/>
      <c r="AA398" s="109"/>
      <c r="AB398" s="109"/>
      <c r="AC398" s="16"/>
      <c r="AD398" s="16"/>
      <c r="AE398" s="16"/>
      <c r="AF398" s="16"/>
    </row>
    <row r="399" spans="1:32" x14ac:dyDescent="0.2">
      <c r="A399" s="16"/>
      <c r="B399" s="16"/>
      <c r="C399" s="16"/>
      <c r="D399" s="16"/>
      <c r="E399" s="16"/>
      <c r="F399" s="109"/>
      <c r="G399" s="109"/>
      <c r="H399" s="109"/>
      <c r="I399" s="109"/>
      <c r="J399" s="109"/>
      <c r="K399" s="109"/>
      <c r="L399" s="109"/>
      <c r="M399" s="109"/>
      <c r="N399" s="109"/>
      <c r="O399" s="109"/>
      <c r="P399" s="109"/>
      <c r="Q399" s="109"/>
      <c r="R399" s="16"/>
      <c r="S399" s="16"/>
      <c r="T399" s="109"/>
      <c r="U399" s="109"/>
      <c r="V399" s="109"/>
      <c r="W399" s="109"/>
      <c r="X399" s="109"/>
      <c r="Y399" s="109"/>
      <c r="Z399" s="109"/>
      <c r="AA399" s="109"/>
      <c r="AB399" s="109"/>
      <c r="AC399" s="16"/>
      <c r="AD399" s="16"/>
      <c r="AE399" s="16"/>
      <c r="AF399" s="16"/>
    </row>
    <row r="400" spans="1:32" x14ac:dyDescent="0.2">
      <c r="A400" s="16"/>
      <c r="B400" s="16"/>
      <c r="C400" s="16"/>
      <c r="D400" s="16"/>
      <c r="E400" s="16"/>
      <c r="F400" s="109"/>
      <c r="G400" s="109"/>
      <c r="H400" s="109"/>
      <c r="I400" s="109"/>
      <c r="J400" s="109"/>
      <c r="K400" s="109"/>
      <c r="L400" s="109"/>
      <c r="M400" s="109"/>
      <c r="N400" s="109"/>
      <c r="O400" s="109"/>
      <c r="P400" s="109"/>
      <c r="Q400" s="109"/>
      <c r="R400" s="16"/>
      <c r="S400" s="16"/>
      <c r="T400" s="109"/>
      <c r="U400" s="109"/>
      <c r="V400" s="109"/>
      <c r="W400" s="109"/>
      <c r="X400" s="109"/>
      <c r="Y400" s="109"/>
      <c r="Z400" s="109"/>
      <c r="AA400" s="109"/>
      <c r="AB400" s="109"/>
      <c r="AC400" s="16"/>
      <c r="AD400" s="16"/>
      <c r="AE400" s="16"/>
      <c r="AF400" s="16"/>
    </row>
    <row r="401" spans="1:32" x14ac:dyDescent="0.2">
      <c r="A401" s="16"/>
      <c r="B401" s="16"/>
      <c r="C401" s="16"/>
      <c r="D401" s="16"/>
      <c r="E401" s="16"/>
      <c r="F401" s="109"/>
      <c r="G401" s="109"/>
      <c r="H401" s="109"/>
      <c r="I401" s="109"/>
      <c r="J401" s="109"/>
      <c r="K401" s="109"/>
      <c r="L401" s="109"/>
      <c r="M401" s="109"/>
      <c r="N401" s="109"/>
      <c r="O401" s="109"/>
      <c r="P401" s="109"/>
      <c r="Q401" s="109"/>
      <c r="R401" s="16"/>
      <c r="S401" s="16"/>
      <c r="T401" s="109"/>
      <c r="U401" s="109"/>
      <c r="V401" s="109"/>
      <c r="W401" s="109"/>
      <c r="X401" s="109"/>
      <c r="Y401" s="109"/>
      <c r="Z401" s="109"/>
      <c r="AA401" s="109"/>
      <c r="AB401" s="109"/>
      <c r="AC401" s="16"/>
      <c r="AD401" s="16"/>
      <c r="AE401" s="16"/>
      <c r="AF401" s="16"/>
    </row>
    <row r="402" spans="1:32" x14ac:dyDescent="0.2">
      <c r="A402" s="16"/>
      <c r="B402" s="16"/>
      <c r="C402" s="16"/>
      <c r="D402" s="16"/>
      <c r="E402" s="16"/>
      <c r="F402" s="109"/>
      <c r="G402" s="109"/>
      <c r="H402" s="109"/>
      <c r="I402" s="109"/>
      <c r="J402" s="109"/>
      <c r="K402" s="109"/>
      <c r="L402" s="109"/>
      <c r="M402" s="109"/>
      <c r="N402" s="109"/>
      <c r="O402" s="109"/>
      <c r="P402" s="109"/>
      <c r="Q402" s="109"/>
      <c r="R402" s="16"/>
      <c r="S402" s="16"/>
      <c r="T402" s="109"/>
      <c r="U402" s="109"/>
      <c r="V402" s="109"/>
      <c r="W402" s="109"/>
      <c r="X402" s="109"/>
      <c r="Y402" s="109"/>
      <c r="Z402" s="109"/>
      <c r="AA402" s="109"/>
      <c r="AB402" s="109"/>
      <c r="AC402" s="16"/>
      <c r="AD402" s="16"/>
      <c r="AE402" s="16"/>
      <c r="AF402" s="16"/>
    </row>
    <row r="403" spans="1:32" x14ac:dyDescent="0.2">
      <c r="A403" s="16"/>
      <c r="B403" s="16"/>
      <c r="C403" s="16"/>
      <c r="D403" s="16"/>
      <c r="E403" s="16"/>
      <c r="F403" s="109"/>
      <c r="G403" s="109"/>
      <c r="H403" s="109"/>
      <c r="I403" s="109"/>
      <c r="J403" s="109"/>
      <c r="K403" s="109"/>
      <c r="L403" s="109"/>
      <c r="M403" s="109"/>
      <c r="N403" s="109"/>
      <c r="O403" s="109"/>
      <c r="P403" s="109"/>
      <c r="Q403" s="109"/>
      <c r="R403" s="16"/>
      <c r="S403" s="16"/>
      <c r="T403" s="109"/>
      <c r="U403" s="109"/>
      <c r="V403" s="109"/>
      <c r="W403" s="109"/>
      <c r="X403" s="109"/>
      <c r="Y403" s="109"/>
      <c r="Z403" s="109"/>
      <c r="AA403" s="109"/>
      <c r="AB403" s="109"/>
      <c r="AC403" s="16"/>
      <c r="AD403" s="16"/>
      <c r="AE403" s="16"/>
      <c r="AF403" s="16"/>
    </row>
    <row r="404" spans="1:32" x14ac:dyDescent="0.2">
      <c r="A404" s="16"/>
      <c r="B404" s="16"/>
      <c r="C404" s="16"/>
      <c r="D404" s="16"/>
      <c r="E404" s="16"/>
      <c r="F404" s="109"/>
      <c r="G404" s="109"/>
      <c r="H404" s="109"/>
      <c r="I404" s="109"/>
      <c r="J404" s="109"/>
      <c r="K404" s="109"/>
      <c r="L404" s="109"/>
      <c r="M404" s="109"/>
      <c r="N404" s="109"/>
      <c r="O404" s="109"/>
      <c r="P404" s="109"/>
      <c r="Q404" s="109"/>
      <c r="R404" s="16"/>
      <c r="S404" s="16"/>
      <c r="T404" s="109"/>
      <c r="U404" s="109"/>
      <c r="V404" s="109"/>
      <c r="W404" s="109"/>
      <c r="X404" s="109"/>
      <c r="Y404" s="109"/>
      <c r="Z404" s="109"/>
      <c r="AA404" s="109"/>
      <c r="AB404" s="109"/>
      <c r="AC404" s="16"/>
      <c r="AD404" s="16"/>
      <c r="AE404" s="16"/>
      <c r="AF404" s="16"/>
    </row>
    <row r="405" spans="1:32" x14ac:dyDescent="0.2">
      <c r="A405" s="16"/>
      <c r="B405" s="16"/>
      <c r="C405" s="16"/>
      <c r="D405" s="16"/>
      <c r="E405" s="16"/>
      <c r="F405" s="109"/>
      <c r="G405" s="109"/>
      <c r="H405" s="109"/>
      <c r="I405" s="109"/>
      <c r="J405" s="109"/>
      <c r="K405" s="109"/>
      <c r="L405" s="109"/>
      <c r="M405" s="109"/>
      <c r="N405" s="109"/>
      <c r="O405" s="109"/>
      <c r="P405" s="109"/>
      <c r="Q405" s="109"/>
      <c r="R405" s="16"/>
      <c r="S405" s="16"/>
      <c r="T405" s="109"/>
      <c r="U405" s="109"/>
      <c r="V405" s="109"/>
      <c r="W405" s="109"/>
      <c r="X405" s="109"/>
      <c r="Y405" s="109"/>
      <c r="Z405" s="109"/>
      <c r="AA405" s="109"/>
      <c r="AB405" s="109"/>
      <c r="AC405" s="16"/>
      <c r="AD405" s="16"/>
      <c r="AE405" s="16"/>
      <c r="AF405" s="16"/>
    </row>
    <row r="406" spans="1:32" x14ac:dyDescent="0.2">
      <c r="A406" s="16"/>
      <c r="B406" s="16"/>
      <c r="C406" s="16"/>
      <c r="D406" s="16"/>
      <c r="E406" s="16"/>
      <c r="F406" s="109"/>
      <c r="G406" s="109"/>
      <c r="H406" s="109"/>
      <c r="I406" s="109"/>
      <c r="J406" s="109"/>
      <c r="K406" s="109"/>
      <c r="L406" s="109"/>
      <c r="M406" s="109"/>
      <c r="N406" s="109"/>
      <c r="O406" s="109"/>
      <c r="P406" s="109"/>
      <c r="Q406" s="109"/>
      <c r="R406" s="16"/>
      <c r="S406" s="16"/>
      <c r="T406" s="109"/>
      <c r="U406" s="109"/>
      <c r="V406" s="109"/>
      <c r="W406" s="109"/>
      <c r="X406" s="109"/>
      <c r="Y406" s="109"/>
      <c r="Z406" s="109"/>
      <c r="AA406" s="109"/>
      <c r="AB406" s="109"/>
      <c r="AC406" s="16"/>
      <c r="AD406" s="16"/>
      <c r="AE406" s="16"/>
      <c r="AF406" s="16"/>
    </row>
    <row r="407" spans="1:32" x14ac:dyDescent="0.2">
      <c r="A407" s="16"/>
      <c r="B407" s="16"/>
      <c r="C407" s="16"/>
      <c r="D407" s="16"/>
      <c r="E407" s="16"/>
      <c r="F407" s="109"/>
      <c r="G407" s="109"/>
      <c r="H407" s="109"/>
      <c r="I407" s="109"/>
      <c r="J407" s="109"/>
      <c r="K407" s="109"/>
      <c r="L407" s="109"/>
      <c r="M407" s="109"/>
      <c r="N407" s="109"/>
      <c r="O407" s="109"/>
      <c r="P407" s="109"/>
      <c r="Q407" s="109"/>
      <c r="R407" s="16"/>
      <c r="S407" s="16"/>
      <c r="T407" s="109"/>
      <c r="U407" s="109"/>
      <c r="V407" s="109"/>
      <c r="W407" s="109"/>
      <c r="X407" s="109"/>
      <c r="Y407" s="109"/>
      <c r="Z407" s="109"/>
      <c r="AA407" s="109"/>
      <c r="AB407" s="109"/>
      <c r="AC407" s="16"/>
      <c r="AD407" s="16"/>
      <c r="AE407" s="16"/>
      <c r="AF407" s="16"/>
    </row>
    <row r="408" spans="1:32" x14ac:dyDescent="0.2">
      <c r="A408" s="16"/>
      <c r="B408" s="16"/>
      <c r="C408" s="16"/>
      <c r="D408" s="16"/>
      <c r="E408" s="16"/>
      <c r="F408" s="109"/>
      <c r="G408" s="109"/>
      <c r="H408" s="109"/>
      <c r="I408" s="109"/>
      <c r="J408" s="109"/>
      <c r="K408" s="109"/>
      <c r="L408" s="109"/>
      <c r="M408" s="109"/>
      <c r="N408" s="109"/>
      <c r="O408" s="109"/>
      <c r="P408" s="109"/>
      <c r="Q408" s="109"/>
      <c r="R408" s="16"/>
      <c r="S408" s="16"/>
      <c r="T408" s="109"/>
      <c r="U408" s="109"/>
      <c r="V408" s="109"/>
      <c r="W408" s="109"/>
      <c r="X408" s="109"/>
      <c r="Y408" s="109"/>
      <c r="Z408" s="109"/>
      <c r="AA408" s="109"/>
      <c r="AB408" s="109"/>
      <c r="AC408" s="16"/>
      <c r="AD408" s="16"/>
      <c r="AE408" s="16"/>
      <c r="AF408" s="16"/>
    </row>
    <row r="409" spans="1:32" x14ac:dyDescent="0.2">
      <c r="A409" s="16"/>
      <c r="B409" s="16"/>
      <c r="C409" s="16"/>
      <c r="D409" s="16"/>
      <c r="E409" s="16"/>
      <c r="F409" s="109"/>
      <c r="G409" s="109"/>
      <c r="H409" s="109"/>
      <c r="I409" s="109"/>
      <c r="J409" s="109"/>
      <c r="K409" s="109"/>
      <c r="L409" s="109"/>
      <c r="M409" s="109"/>
      <c r="N409" s="109"/>
      <c r="O409" s="109"/>
      <c r="P409" s="109"/>
      <c r="Q409" s="109"/>
      <c r="R409" s="16"/>
      <c r="S409" s="16"/>
      <c r="T409" s="109"/>
      <c r="U409" s="109"/>
      <c r="V409" s="109"/>
      <c r="W409" s="109"/>
      <c r="X409" s="109"/>
      <c r="Y409" s="109"/>
      <c r="Z409" s="109"/>
      <c r="AA409" s="109"/>
      <c r="AB409" s="109"/>
      <c r="AC409" s="16"/>
      <c r="AD409" s="16"/>
      <c r="AE409" s="16"/>
      <c r="AF409" s="16"/>
    </row>
    <row r="410" spans="1:32" x14ac:dyDescent="0.2">
      <c r="A410" s="16"/>
      <c r="B410" s="16"/>
      <c r="C410" s="16"/>
      <c r="D410" s="16"/>
      <c r="E410" s="16"/>
      <c r="F410" s="109"/>
      <c r="G410" s="109"/>
      <c r="H410" s="109"/>
      <c r="I410" s="109"/>
      <c r="J410" s="109"/>
      <c r="K410" s="109"/>
      <c r="L410" s="109"/>
      <c r="M410" s="109"/>
      <c r="N410" s="109"/>
      <c r="O410" s="109"/>
      <c r="P410" s="109"/>
      <c r="Q410" s="109"/>
      <c r="R410" s="16"/>
      <c r="S410" s="16"/>
      <c r="T410" s="109"/>
      <c r="U410" s="109"/>
      <c r="V410" s="109"/>
      <c r="W410" s="109"/>
      <c r="X410" s="109"/>
      <c r="Y410" s="109"/>
      <c r="Z410" s="109"/>
      <c r="AA410" s="109"/>
      <c r="AB410" s="109"/>
      <c r="AC410" s="16"/>
      <c r="AD410" s="16"/>
      <c r="AE410" s="16"/>
      <c r="AF410" s="16"/>
    </row>
    <row r="411" spans="1:32" x14ac:dyDescent="0.2">
      <c r="A411" s="16"/>
      <c r="B411" s="16"/>
      <c r="C411" s="16"/>
      <c r="D411" s="16"/>
      <c r="E411" s="16"/>
      <c r="F411" s="109"/>
      <c r="G411" s="109"/>
      <c r="H411" s="109"/>
      <c r="I411" s="109"/>
      <c r="J411" s="109"/>
      <c r="K411" s="109"/>
      <c r="L411" s="109"/>
      <c r="M411" s="109"/>
      <c r="N411" s="109"/>
      <c r="O411" s="109"/>
      <c r="P411" s="109"/>
      <c r="Q411" s="109"/>
      <c r="R411" s="16"/>
      <c r="S411" s="16"/>
      <c r="T411" s="109"/>
      <c r="U411" s="109"/>
      <c r="V411" s="109"/>
      <c r="W411" s="109"/>
      <c r="X411" s="109"/>
      <c r="Y411" s="109"/>
      <c r="Z411" s="109"/>
      <c r="AA411" s="109"/>
      <c r="AB411" s="109"/>
      <c r="AC411" s="16"/>
      <c r="AD411" s="16"/>
      <c r="AE411" s="16"/>
      <c r="AF411" s="16"/>
    </row>
    <row r="412" spans="1:32" x14ac:dyDescent="0.2">
      <c r="A412" s="16"/>
      <c r="B412" s="16"/>
      <c r="C412" s="16"/>
      <c r="D412" s="16"/>
      <c r="E412" s="16"/>
      <c r="F412" s="109"/>
      <c r="G412" s="109"/>
      <c r="H412" s="109"/>
      <c r="I412" s="109"/>
      <c r="J412" s="109"/>
      <c r="K412" s="109"/>
      <c r="L412" s="109"/>
      <c r="M412" s="109"/>
      <c r="N412" s="109"/>
      <c r="O412" s="109"/>
      <c r="P412" s="109"/>
      <c r="Q412" s="109"/>
      <c r="R412" s="16"/>
      <c r="S412" s="16"/>
      <c r="T412" s="109"/>
      <c r="U412" s="109"/>
      <c r="V412" s="109"/>
      <c r="W412" s="109"/>
      <c r="X412" s="109"/>
      <c r="Y412" s="109"/>
      <c r="Z412" s="109"/>
      <c r="AA412" s="109"/>
      <c r="AB412" s="109"/>
      <c r="AC412" s="16"/>
      <c r="AD412" s="16"/>
      <c r="AE412" s="16"/>
      <c r="AF412" s="16"/>
    </row>
    <row r="413" spans="1:32" x14ac:dyDescent="0.2">
      <c r="A413" s="16"/>
      <c r="B413" s="16"/>
      <c r="C413" s="16"/>
      <c r="D413" s="16"/>
      <c r="E413" s="16"/>
      <c r="F413" s="109"/>
      <c r="G413" s="109"/>
      <c r="H413" s="109"/>
      <c r="I413" s="109"/>
      <c r="J413" s="109"/>
      <c r="K413" s="109"/>
      <c r="L413" s="109"/>
      <c r="M413" s="109"/>
      <c r="N413" s="109"/>
      <c r="O413" s="109"/>
      <c r="P413" s="109"/>
      <c r="Q413" s="109"/>
      <c r="R413" s="16"/>
      <c r="S413" s="16"/>
      <c r="T413" s="109"/>
      <c r="U413" s="109"/>
      <c r="V413" s="109"/>
      <c r="W413" s="109"/>
      <c r="X413" s="109"/>
      <c r="Y413" s="109"/>
      <c r="Z413" s="109"/>
      <c r="AA413" s="109"/>
      <c r="AB413" s="109"/>
      <c r="AC413" s="16"/>
      <c r="AD413" s="16"/>
      <c r="AE413" s="16"/>
      <c r="AF413" s="16"/>
    </row>
    <row r="414" spans="1:32" x14ac:dyDescent="0.2">
      <c r="A414" s="16"/>
      <c r="B414" s="16"/>
      <c r="C414" s="16"/>
      <c r="D414" s="16"/>
      <c r="E414" s="16"/>
      <c r="F414" s="109"/>
      <c r="G414" s="109"/>
      <c r="H414" s="109"/>
      <c r="I414" s="109"/>
      <c r="J414" s="109"/>
      <c r="K414" s="109"/>
      <c r="L414" s="109"/>
      <c r="M414" s="109"/>
      <c r="N414" s="109"/>
      <c r="O414" s="109"/>
      <c r="P414" s="109"/>
      <c r="Q414" s="109"/>
      <c r="R414" s="16"/>
      <c r="S414" s="16"/>
      <c r="T414" s="109"/>
      <c r="U414" s="109"/>
      <c r="V414" s="109"/>
      <c r="W414" s="109"/>
      <c r="X414" s="109"/>
      <c r="Y414" s="109"/>
      <c r="Z414" s="109"/>
      <c r="AA414" s="109"/>
      <c r="AB414" s="109"/>
      <c r="AC414" s="16"/>
      <c r="AD414" s="16"/>
      <c r="AE414" s="16"/>
      <c r="AF414" s="16"/>
    </row>
    <row r="415" spans="1:32" x14ac:dyDescent="0.2">
      <c r="A415" s="16"/>
      <c r="B415" s="16"/>
      <c r="C415" s="16"/>
      <c r="D415" s="16"/>
      <c r="E415" s="16"/>
      <c r="F415" s="109"/>
      <c r="G415" s="109"/>
      <c r="H415" s="109"/>
      <c r="I415" s="109"/>
      <c r="J415" s="109"/>
      <c r="K415" s="109"/>
      <c r="L415" s="109"/>
      <c r="M415" s="109"/>
      <c r="N415" s="109"/>
      <c r="O415" s="109"/>
      <c r="P415" s="109"/>
      <c r="Q415" s="109"/>
      <c r="R415" s="16"/>
      <c r="S415" s="16"/>
      <c r="T415" s="109"/>
      <c r="U415" s="109"/>
      <c r="V415" s="109"/>
      <c r="W415" s="109"/>
      <c r="X415" s="109"/>
      <c r="Y415" s="109"/>
      <c r="Z415" s="109"/>
      <c r="AA415" s="109"/>
      <c r="AB415" s="109"/>
      <c r="AC415" s="16"/>
      <c r="AD415" s="16"/>
      <c r="AE415" s="16"/>
      <c r="AF415" s="16"/>
    </row>
    <row r="416" spans="1:32" x14ac:dyDescent="0.2">
      <c r="A416" s="16"/>
      <c r="B416" s="16"/>
      <c r="C416" s="16"/>
      <c r="D416" s="16"/>
      <c r="E416" s="16"/>
      <c r="F416" s="109"/>
      <c r="G416" s="109"/>
      <c r="H416" s="109"/>
      <c r="I416" s="109"/>
      <c r="J416" s="109"/>
      <c r="K416" s="109"/>
      <c r="L416" s="109"/>
      <c r="M416" s="109"/>
      <c r="N416" s="109"/>
      <c r="O416" s="109"/>
      <c r="P416" s="109"/>
      <c r="Q416" s="109"/>
      <c r="R416" s="16"/>
      <c r="S416" s="16"/>
      <c r="T416" s="109"/>
      <c r="U416" s="109"/>
      <c r="V416" s="109"/>
      <c r="W416" s="109"/>
      <c r="X416" s="109"/>
      <c r="Y416" s="109"/>
      <c r="Z416" s="109"/>
      <c r="AA416" s="109"/>
      <c r="AB416" s="109"/>
      <c r="AC416" s="16"/>
      <c r="AD416" s="16"/>
      <c r="AE416" s="16"/>
      <c r="AF416" s="16"/>
    </row>
    <row r="417" spans="1:32" x14ac:dyDescent="0.2">
      <c r="A417" s="16"/>
      <c r="B417" s="16"/>
      <c r="C417" s="16"/>
      <c r="D417" s="16"/>
      <c r="E417" s="16"/>
      <c r="F417" s="109"/>
      <c r="G417" s="109"/>
      <c r="H417" s="109"/>
      <c r="I417" s="109"/>
      <c r="J417" s="109"/>
      <c r="K417" s="109"/>
      <c r="L417" s="109"/>
      <c r="M417" s="109"/>
      <c r="N417" s="109"/>
      <c r="O417" s="109"/>
      <c r="P417" s="109"/>
      <c r="Q417" s="109"/>
      <c r="R417" s="16"/>
      <c r="S417" s="16"/>
      <c r="T417" s="109"/>
      <c r="U417" s="109"/>
      <c r="V417" s="109"/>
      <c r="W417" s="109"/>
      <c r="X417" s="109"/>
      <c r="Y417" s="109"/>
      <c r="Z417" s="109"/>
      <c r="AA417" s="109"/>
      <c r="AB417" s="109"/>
      <c r="AC417" s="16"/>
      <c r="AD417" s="16"/>
      <c r="AE417" s="16"/>
      <c r="AF417" s="16"/>
    </row>
    <row r="418" spans="1:32" x14ac:dyDescent="0.2">
      <c r="A418" s="16"/>
      <c r="B418" s="16"/>
      <c r="C418" s="16"/>
      <c r="D418" s="16"/>
      <c r="E418" s="16"/>
      <c r="F418" s="109"/>
      <c r="G418" s="109"/>
      <c r="H418" s="109"/>
      <c r="I418" s="109"/>
      <c r="J418" s="109"/>
      <c r="K418" s="109"/>
      <c r="L418" s="109"/>
      <c r="M418" s="109"/>
      <c r="N418" s="109"/>
      <c r="O418" s="109"/>
      <c r="P418" s="109"/>
      <c r="Q418" s="109"/>
      <c r="R418" s="16"/>
      <c r="S418" s="16"/>
      <c r="T418" s="109"/>
      <c r="U418" s="109"/>
      <c r="V418" s="109"/>
      <c r="W418" s="109"/>
      <c r="X418" s="109"/>
      <c r="Y418" s="109"/>
      <c r="Z418" s="109"/>
      <c r="AA418" s="109"/>
      <c r="AB418" s="109"/>
      <c r="AC418" s="16"/>
      <c r="AD418" s="16"/>
      <c r="AE418" s="16"/>
      <c r="AF418" s="16"/>
    </row>
    <row r="419" spans="1:32" x14ac:dyDescent="0.2">
      <c r="A419" s="16"/>
      <c r="B419" s="16"/>
      <c r="C419" s="16"/>
      <c r="D419" s="16"/>
      <c r="E419" s="16"/>
      <c r="F419" s="109"/>
      <c r="G419" s="109"/>
      <c r="H419" s="109"/>
      <c r="I419" s="109"/>
      <c r="J419" s="109"/>
      <c r="K419" s="109"/>
      <c r="L419" s="109"/>
      <c r="M419" s="109"/>
      <c r="N419" s="109"/>
      <c r="O419" s="109"/>
      <c r="P419" s="109"/>
      <c r="Q419" s="109"/>
      <c r="R419" s="16"/>
      <c r="S419" s="16"/>
      <c r="T419" s="109"/>
      <c r="U419" s="109"/>
      <c r="V419" s="109"/>
      <c r="W419" s="109"/>
      <c r="X419" s="109"/>
      <c r="Y419" s="109"/>
      <c r="Z419" s="109"/>
      <c r="AA419" s="109"/>
      <c r="AB419" s="109"/>
      <c r="AC419" s="16"/>
      <c r="AD419" s="16"/>
      <c r="AE419" s="16"/>
      <c r="AF419" s="16"/>
    </row>
    <row r="420" spans="1:32" x14ac:dyDescent="0.2">
      <c r="A420" s="16"/>
      <c r="B420" s="16"/>
      <c r="C420" s="16"/>
      <c r="D420" s="16"/>
      <c r="E420" s="16"/>
      <c r="F420" s="109"/>
      <c r="G420" s="109"/>
      <c r="H420" s="109"/>
      <c r="I420" s="109"/>
      <c r="J420" s="109"/>
      <c r="K420" s="109"/>
      <c r="L420" s="109"/>
      <c r="M420" s="109"/>
      <c r="N420" s="109"/>
      <c r="O420" s="109"/>
      <c r="P420" s="109"/>
      <c r="Q420" s="109"/>
      <c r="R420" s="16"/>
      <c r="S420" s="16"/>
      <c r="T420" s="109"/>
      <c r="U420" s="109"/>
      <c r="V420" s="109"/>
      <c r="W420" s="109"/>
      <c r="X420" s="109"/>
      <c r="Y420" s="109"/>
      <c r="Z420" s="109"/>
      <c r="AA420" s="109"/>
      <c r="AB420" s="109"/>
      <c r="AC420" s="16"/>
      <c r="AD420" s="16"/>
      <c r="AE420" s="16"/>
      <c r="AF420" s="16"/>
    </row>
    <row r="421" spans="1:32" x14ac:dyDescent="0.2">
      <c r="A421" s="16"/>
      <c r="B421" s="16"/>
      <c r="C421" s="16"/>
      <c r="D421" s="16"/>
      <c r="E421" s="16"/>
      <c r="F421" s="109"/>
      <c r="G421" s="109"/>
      <c r="H421" s="109"/>
      <c r="I421" s="109"/>
      <c r="J421" s="109"/>
      <c r="K421" s="109"/>
      <c r="L421" s="109"/>
      <c r="M421" s="109"/>
      <c r="N421" s="109"/>
      <c r="O421" s="109"/>
      <c r="P421" s="109"/>
      <c r="Q421" s="109"/>
      <c r="R421" s="16"/>
      <c r="S421" s="16"/>
      <c r="T421" s="109"/>
      <c r="U421" s="109"/>
      <c r="V421" s="109"/>
      <c r="W421" s="109"/>
      <c r="X421" s="109"/>
      <c r="Y421" s="109"/>
      <c r="Z421" s="109"/>
      <c r="AA421" s="109"/>
      <c r="AB421" s="109"/>
      <c r="AC421" s="16"/>
      <c r="AD421" s="16"/>
      <c r="AE421" s="16"/>
      <c r="AF421" s="16"/>
    </row>
    <row r="422" spans="1:32" x14ac:dyDescent="0.2">
      <c r="A422" s="16"/>
      <c r="B422" s="16"/>
      <c r="C422" s="16"/>
      <c r="D422" s="16"/>
      <c r="E422" s="16"/>
      <c r="F422" s="109"/>
      <c r="G422" s="109"/>
      <c r="H422" s="109"/>
      <c r="I422" s="109"/>
      <c r="J422" s="109"/>
      <c r="K422" s="109"/>
      <c r="L422" s="109"/>
      <c r="M422" s="109"/>
      <c r="N422" s="109"/>
      <c r="O422" s="109"/>
      <c r="P422" s="109"/>
      <c r="Q422" s="109"/>
      <c r="R422" s="16"/>
      <c r="S422" s="16"/>
      <c r="T422" s="109"/>
      <c r="U422" s="109"/>
      <c r="V422" s="109"/>
      <c r="W422" s="109"/>
      <c r="X422" s="109"/>
      <c r="Y422" s="109"/>
      <c r="Z422" s="109"/>
      <c r="AA422" s="109"/>
      <c r="AB422" s="109"/>
      <c r="AC422" s="16"/>
      <c r="AD422" s="16"/>
      <c r="AE422" s="16"/>
      <c r="AF422" s="16"/>
    </row>
    <row r="423" spans="1:32" x14ac:dyDescent="0.2">
      <c r="A423" s="16"/>
      <c r="B423" s="16"/>
      <c r="C423" s="16"/>
      <c r="D423" s="16"/>
      <c r="E423" s="16"/>
      <c r="F423" s="109"/>
      <c r="G423" s="109"/>
      <c r="H423" s="109"/>
      <c r="I423" s="109"/>
      <c r="J423" s="109"/>
      <c r="K423" s="109"/>
      <c r="L423" s="109"/>
      <c r="M423" s="109"/>
      <c r="N423" s="109"/>
      <c r="O423" s="109"/>
      <c r="P423" s="109"/>
      <c r="Q423" s="109"/>
      <c r="R423" s="16"/>
      <c r="S423" s="16"/>
      <c r="T423" s="109"/>
      <c r="U423" s="109"/>
      <c r="V423" s="109"/>
      <c r="W423" s="109"/>
      <c r="X423" s="109"/>
      <c r="Y423" s="109"/>
      <c r="Z423" s="109"/>
      <c r="AA423" s="109"/>
      <c r="AB423" s="109"/>
      <c r="AC423" s="16"/>
      <c r="AD423" s="16"/>
      <c r="AE423" s="16"/>
      <c r="AF423" s="16"/>
    </row>
    <row r="424" spans="1:32" x14ac:dyDescent="0.2">
      <c r="A424" s="16"/>
      <c r="B424" s="16"/>
      <c r="C424" s="16"/>
      <c r="D424" s="16"/>
      <c r="E424" s="16"/>
      <c r="F424" s="109"/>
      <c r="G424" s="109"/>
      <c r="H424" s="109"/>
      <c r="I424" s="109"/>
      <c r="J424" s="109"/>
      <c r="K424" s="109"/>
      <c r="L424" s="109"/>
      <c r="M424" s="109"/>
      <c r="N424" s="109"/>
      <c r="O424" s="109"/>
      <c r="P424" s="109"/>
      <c r="Q424" s="109"/>
      <c r="R424" s="16"/>
      <c r="S424" s="16"/>
      <c r="T424" s="109"/>
      <c r="U424" s="109"/>
      <c r="V424" s="109"/>
      <c r="W424" s="109"/>
      <c r="X424" s="109"/>
      <c r="Y424" s="109"/>
      <c r="Z424" s="109"/>
      <c r="AA424" s="109"/>
      <c r="AB424" s="109"/>
      <c r="AC424" s="16"/>
      <c r="AD424" s="16"/>
      <c r="AE424" s="16"/>
      <c r="AF424" s="16"/>
    </row>
    <row r="425" spans="1:32" x14ac:dyDescent="0.2">
      <c r="A425" s="16"/>
      <c r="B425" s="16"/>
      <c r="C425" s="16"/>
      <c r="D425" s="16"/>
      <c r="E425" s="16"/>
      <c r="F425" s="109"/>
      <c r="G425" s="109"/>
      <c r="H425" s="109"/>
      <c r="I425" s="109"/>
      <c r="J425" s="109"/>
      <c r="K425" s="109"/>
      <c r="L425" s="109"/>
      <c r="M425" s="109"/>
      <c r="N425" s="109"/>
      <c r="O425" s="109"/>
      <c r="P425" s="109"/>
      <c r="Q425" s="109"/>
      <c r="R425" s="16"/>
      <c r="S425" s="16"/>
      <c r="T425" s="109"/>
      <c r="U425" s="109"/>
      <c r="V425" s="109"/>
      <c r="W425" s="109"/>
      <c r="X425" s="109"/>
      <c r="Y425" s="109"/>
      <c r="Z425" s="109"/>
      <c r="AA425" s="109"/>
      <c r="AB425" s="109"/>
      <c r="AC425" s="16"/>
      <c r="AD425" s="16"/>
      <c r="AE425" s="16"/>
      <c r="AF425" s="16"/>
    </row>
    <row r="426" spans="1:32" x14ac:dyDescent="0.2">
      <c r="A426" s="16"/>
      <c r="B426" s="16"/>
      <c r="C426" s="16"/>
      <c r="D426" s="16"/>
      <c r="E426" s="16"/>
      <c r="F426" s="109"/>
      <c r="G426" s="109"/>
      <c r="H426" s="109"/>
      <c r="I426" s="109"/>
      <c r="J426" s="109"/>
      <c r="K426" s="109"/>
      <c r="L426" s="109"/>
      <c r="M426" s="109"/>
      <c r="N426" s="109"/>
      <c r="O426" s="109"/>
      <c r="P426" s="109"/>
      <c r="Q426" s="109"/>
      <c r="R426" s="16"/>
      <c r="S426" s="16"/>
      <c r="T426" s="109"/>
      <c r="U426" s="109"/>
      <c r="V426" s="109"/>
      <c r="W426" s="109"/>
      <c r="X426" s="109"/>
      <c r="Y426" s="109"/>
      <c r="Z426" s="109"/>
      <c r="AA426" s="109"/>
      <c r="AB426" s="109"/>
      <c r="AC426" s="16"/>
      <c r="AD426" s="16"/>
      <c r="AE426" s="16"/>
      <c r="AF426" s="16"/>
    </row>
    <row r="427" spans="1:32" x14ac:dyDescent="0.2">
      <c r="A427" s="16"/>
      <c r="B427" s="16"/>
      <c r="C427" s="16"/>
      <c r="D427" s="16"/>
      <c r="E427" s="16"/>
      <c r="F427" s="109"/>
      <c r="G427" s="109"/>
      <c r="H427" s="109"/>
      <c r="I427" s="109"/>
      <c r="J427" s="109"/>
      <c r="K427" s="109"/>
      <c r="L427" s="109"/>
      <c r="M427" s="109"/>
      <c r="N427" s="109"/>
      <c r="O427" s="109"/>
      <c r="P427" s="109"/>
      <c r="Q427" s="109"/>
      <c r="R427" s="16"/>
      <c r="S427" s="16"/>
      <c r="T427" s="109"/>
      <c r="U427" s="109"/>
      <c r="V427" s="109"/>
      <c r="W427" s="109"/>
      <c r="X427" s="109"/>
      <c r="Y427" s="109"/>
      <c r="Z427" s="109"/>
      <c r="AA427" s="109"/>
      <c r="AB427" s="109"/>
      <c r="AC427" s="16"/>
      <c r="AD427" s="16"/>
      <c r="AE427" s="16"/>
      <c r="AF427" s="16"/>
    </row>
    <row r="428" spans="1:32" x14ac:dyDescent="0.2">
      <c r="A428" s="16"/>
      <c r="B428" s="16"/>
      <c r="C428" s="16"/>
      <c r="D428" s="16"/>
      <c r="E428" s="16"/>
      <c r="F428" s="109"/>
      <c r="G428" s="109"/>
      <c r="H428" s="109"/>
      <c r="I428" s="109"/>
      <c r="J428" s="109"/>
      <c r="K428" s="109"/>
      <c r="L428" s="109"/>
      <c r="M428" s="109"/>
      <c r="N428" s="109"/>
      <c r="O428" s="109"/>
      <c r="P428" s="109"/>
      <c r="Q428" s="109"/>
      <c r="R428" s="16"/>
      <c r="S428" s="16"/>
      <c r="T428" s="109"/>
      <c r="U428" s="109"/>
      <c r="V428" s="109"/>
      <c r="W428" s="109"/>
      <c r="X428" s="109"/>
      <c r="Y428" s="109"/>
      <c r="Z428" s="109"/>
      <c r="AA428" s="109"/>
      <c r="AB428" s="109"/>
      <c r="AC428" s="16"/>
      <c r="AD428" s="16"/>
      <c r="AE428" s="16"/>
      <c r="AF428" s="16"/>
    </row>
    <row r="429" spans="1:32" x14ac:dyDescent="0.2">
      <c r="A429" s="16"/>
      <c r="B429" s="16"/>
      <c r="C429" s="16"/>
      <c r="D429" s="16"/>
      <c r="E429" s="16"/>
      <c r="F429" s="109"/>
      <c r="G429" s="109"/>
      <c r="H429" s="109"/>
      <c r="I429" s="109"/>
      <c r="J429" s="109"/>
      <c r="K429" s="109"/>
      <c r="L429" s="109"/>
      <c r="M429" s="109"/>
      <c r="N429" s="109"/>
      <c r="O429" s="109"/>
      <c r="P429" s="109"/>
      <c r="Q429" s="109"/>
      <c r="R429" s="16"/>
      <c r="S429" s="16"/>
      <c r="T429" s="109"/>
      <c r="U429" s="109"/>
      <c r="V429" s="109"/>
      <c r="W429" s="109"/>
      <c r="X429" s="109"/>
      <c r="Y429" s="109"/>
      <c r="Z429" s="109"/>
      <c r="AA429" s="109"/>
      <c r="AB429" s="109"/>
      <c r="AC429" s="16"/>
      <c r="AD429" s="16"/>
      <c r="AE429" s="16"/>
      <c r="AF429" s="16"/>
    </row>
    <row r="430" spans="1:32" x14ac:dyDescent="0.2">
      <c r="A430" s="16"/>
      <c r="B430" s="16"/>
      <c r="C430" s="16"/>
      <c r="D430" s="16"/>
      <c r="E430" s="16"/>
      <c r="F430" s="109"/>
      <c r="G430" s="109"/>
      <c r="H430" s="109"/>
      <c r="I430" s="109"/>
      <c r="J430" s="109"/>
      <c r="K430" s="109"/>
      <c r="L430" s="109"/>
      <c r="M430" s="109"/>
      <c r="N430" s="109"/>
      <c r="O430" s="109"/>
      <c r="P430" s="109"/>
      <c r="Q430" s="109"/>
      <c r="R430" s="16"/>
      <c r="S430" s="16"/>
      <c r="T430" s="109"/>
      <c r="U430" s="109"/>
      <c r="V430" s="109"/>
      <c r="W430" s="109"/>
      <c r="X430" s="109"/>
      <c r="Y430" s="109"/>
      <c r="Z430" s="109"/>
      <c r="AA430" s="109"/>
      <c r="AB430" s="109"/>
      <c r="AC430" s="16"/>
      <c r="AD430" s="16"/>
      <c r="AE430" s="16"/>
      <c r="AF430" s="16"/>
    </row>
    <row r="431" spans="1:32" x14ac:dyDescent="0.2">
      <c r="A431" s="16"/>
      <c r="B431" s="16"/>
      <c r="C431" s="16"/>
      <c r="D431" s="16"/>
      <c r="E431" s="16"/>
      <c r="F431" s="109"/>
      <c r="G431" s="109"/>
      <c r="H431" s="109"/>
      <c r="I431" s="109"/>
      <c r="J431" s="109"/>
      <c r="K431" s="109"/>
      <c r="L431" s="109"/>
      <c r="M431" s="109"/>
      <c r="N431" s="109"/>
      <c r="O431" s="109"/>
      <c r="P431" s="109"/>
      <c r="Q431" s="109"/>
      <c r="R431" s="16"/>
      <c r="S431" s="16"/>
      <c r="T431" s="109"/>
      <c r="U431" s="109"/>
      <c r="V431" s="109"/>
      <c r="W431" s="109"/>
      <c r="X431" s="109"/>
      <c r="Y431" s="109"/>
      <c r="Z431" s="109"/>
      <c r="AA431" s="109"/>
      <c r="AB431" s="109"/>
      <c r="AC431" s="16"/>
      <c r="AD431" s="16"/>
      <c r="AE431" s="16"/>
      <c r="AF431" s="16"/>
    </row>
    <row r="432" spans="1:32" x14ac:dyDescent="0.2">
      <c r="A432" s="16"/>
      <c r="B432" s="16"/>
      <c r="C432" s="16"/>
      <c r="D432" s="16"/>
      <c r="E432" s="16"/>
      <c r="F432" s="109"/>
      <c r="G432" s="109"/>
      <c r="H432" s="109"/>
      <c r="I432" s="109"/>
      <c r="J432" s="109"/>
      <c r="K432" s="109"/>
      <c r="L432" s="109"/>
      <c r="M432" s="109"/>
      <c r="N432" s="109"/>
      <c r="O432" s="109"/>
      <c r="P432" s="109"/>
      <c r="Q432" s="109"/>
      <c r="R432" s="16"/>
      <c r="S432" s="16"/>
      <c r="T432" s="109"/>
      <c r="U432" s="109"/>
      <c r="V432" s="109"/>
      <c r="W432" s="109"/>
      <c r="X432" s="109"/>
      <c r="Y432" s="109"/>
      <c r="Z432" s="109"/>
      <c r="AA432" s="109"/>
      <c r="AB432" s="109"/>
      <c r="AC432" s="16"/>
      <c r="AD432" s="16"/>
      <c r="AE432" s="16"/>
      <c r="AF432" s="16"/>
    </row>
    <row r="433" spans="1:32" x14ac:dyDescent="0.2">
      <c r="A433" s="16"/>
      <c r="B433" s="16"/>
      <c r="C433" s="16"/>
      <c r="D433" s="16"/>
      <c r="E433" s="16"/>
      <c r="F433" s="109"/>
      <c r="G433" s="109"/>
      <c r="H433" s="109"/>
      <c r="I433" s="109"/>
      <c r="J433" s="109"/>
      <c r="K433" s="109"/>
      <c r="L433" s="109"/>
      <c r="M433" s="109"/>
      <c r="N433" s="109"/>
      <c r="O433" s="109"/>
      <c r="P433" s="109"/>
      <c r="Q433" s="109"/>
      <c r="R433" s="16"/>
      <c r="S433" s="16"/>
      <c r="T433" s="109"/>
      <c r="U433" s="109"/>
      <c r="V433" s="109"/>
      <c r="W433" s="109"/>
      <c r="X433" s="109"/>
      <c r="Y433" s="109"/>
      <c r="Z433" s="109"/>
      <c r="AA433" s="109"/>
      <c r="AB433" s="109"/>
      <c r="AC433" s="16"/>
      <c r="AD433" s="16"/>
      <c r="AE433" s="16"/>
      <c r="AF433" s="16"/>
    </row>
    <row r="434" spans="1:32" x14ac:dyDescent="0.2">
      <c r="A434" s="16"/>
      <c r="B434" s="16"/>
      <c r="C434" s="16"/>
      <c r="D434" s="16"/>
      <c r="E434" s="16"/>
      <c r="F434" s="109"/>
      <c r="G434" s="109"/>
      <c r="H434" s="109"/>
      <c r="I434" s="109"/>
      <c r="J434" s="109"/>
      <c r="K434" s="109"/>
      <c r="L434" s="109"/>
      <c r="M434" s="109"/>
      <c r="N434" s="109"/>
      <c r="O434" s="109"/>
      <c r="P434" s="109"/>
      <c r="Q434" s="109"/>
      <c r="R434" s="16"/>
      <c r="S434" s="16"/>
      <c r="T434" s="109"/>
      <c r="U434" s="109"/>
      <c r="V434" s="109"/>
      <c r="W434" s="109"/>
      <c r="X434" s="109"/>
      <c r="Y434" s="109"/>
      <c r="Z434" s="109"/>
      <c r="AA434" s="109"/>
      <c r="AB434" s="109"/>
      <c r="AC434" s="16"/>
      <c r="AD434" s="16"/>
      <c r="AE434" s="16"/>
      <c r="AF434" s="16"/>
    </row>
    <row r="435" spans="1:32" x14ac:dyDescent="0.2">
      <c r="A435" s="16"/>
      <c r="B435" s="16"/>
      <c r="C435" s="16"/>
      <c r="D435" s="16"/>
      <c r="E435" s="16"/>
      <c r="F435" s="109"/>
      <c r="G435" s="109"/>
      <c r="H435" s="109"/>
      <c r="I435" s="109"/>
      <c r="J435" s="109"/>
      <c r="K435" s="109"/>
      <c r="L435" s="109"/>
      <c r="M435" s="109"/>
      <c r="N435" s="109"/>
      <c r="O435" s="109"/>
      <c r="P435" s="109"/>
      <c r="Q435" s="109"/>
      <c r="R435" s="16"/>
      <c r="S435" s="16"/>
      <c r="T435" s="109"/>
      <c r="U435" s="109"/>
      <c r="V435" s="109"/>
      <c r="W435" s="109"/>
      <c r="X435" s="109"/>
      <c r="Y435" s="109"/>
      <c r="Z435" s="109"/>
      <c r="AA435" s="109"/>
      <c r="AB435" s="109"/>
      <c r="AC435" s="16"/>
      <c r="AD435" s="16"/>
      <c r="AE435" s="16"/>
      <c r="AF435" s="16"/>
    </row>
    <row r="436" spans="1:32" x14ac:dyDescent="0.2">
      <c r="A436" s="16"/>
      <c r="B436" s="16"/>
      <c r="C436" s="16"/>
      <c r="D436" s="16"/>
      <c r="E436" s="16"/>
      <c r="F436" s="109"/>
      <c r="G436" s="109"/>
      <c r="H436" s="109"/>
      <c r="I436" s="109"/>
      <c r="J436" s="109"/>
      <c r="K436" s="109"/>
      <c r="L436" s="109"/>
      <c r="M436" s="109"/>
      <c r="N436" s="109"/>
      <c r="O436" s="109"/>
      <c r="P436" s="109"/>
      <c r="Q436" s="109"/>
      <c r="R436" s="16"/>
      <c r="S436" s="16"/>
      <c r="T436" s="109"/>
      <c r="U436" s="109"/>
      <c r="V436" s="109"/>
      <c r="W436" s="109"/>
      <c r="X436" s="109"/>
      <c r="Y436" s="109"/>
      <c r="Z436" s="109"/>
      <c r="AA436" s="109"/>
      <c r="AB436" s="109"/>
      <c r="AC436" s="16"/>
      <c r="AD436" s="16"/>
      <c r="AE436" s="16"/>
      <c r="AF436" s="16"/>
    </row>
    <row r="437" spans="1:32" x14ac:dyDescent="0.2">
      <c r="A437" s="16"/>
      <c r="B437" s="16"/>
      <c r="C437" s="16"/>
      <c r="D437" s="16"/>
      <c r="E437" s="16"/>
      <c r="F437" s="109"/>
      <c r="G437" s="109"/>
      <c r="H437" s="109"/>
      <c r="I437" s="109"/>
      <c r="J437" s="109"/>
      <c r="K437" s="109"/>
      <c r="L437" s="109"/>
      <c r="M437" s="109"/>
      <c r="N437" s="109"/>
      <c r="O437" s="109"/>
      <c r="P437" s="109"/>
      <c r="Q437" s="109"/>
      <c r="R437" s="16"/>
      <c r="S437" s="16"/>
      <c r="T437" s="109"/>
      <c r="U437" s="109"/>
      <c r="V437" s="109"/>
      <c r="W437" s="109"/>
      <c r="X437" s="109"/>
      <c r="Y437" s="109"/>
      <c r="Z437" s="109"/>
      <c r="AA437" s="109"/>
      <c r="AB437" s="109"/>
      <c r="AC437" s="16"/>
      <c r="AD437" s="16"/>
      <c r="AE437" s="16"/>
      <c r="AF437" s="16"/>
    </row>
    <row r="438" spans="1:32" x14ac:dyDescent="0.2">
      <c r="A438" s="16"/>
      <c r="B438" s="16"/>
      <c r="C438" s="16"/>
      <c r="D438" s="16"/>
      <c r="E438" s="16"/>
      <c r="F438" s="109"/>
      <c r="G438" s="109"/>
      <c r="H438" s="109"/>
      <c r="I438" s="109"/>
      <c r="J438" s="109"/>
      <c r="K438" s="109"/>
      <c r="L438" s="109"/>
      <c r="M438" s="109"/>
      <c r="N438" s="109"/>
      <c r="O438" s="109"/>
      <c r="P438" s="109"/>
      <c r="Q438" s="109"/>
      <c r="R438" s="16"/>
      <c r="S438" s="16"/>
      <c r="T438" s="109"/>
      <c r="U438" s="109"/>
      <c r="V438" s="109"/>
      <c r="W438" s="109"/>
      <c r="X438" s="109"/>
      <c r="Y438" s="109"/>
      <c r="Z438" s="109"/>
      <c r="AA438" s="109"/>
      <c r="AB438" s="109"/>
      <c r="AC438" s="16"/>
      <c r="AD438" s="16"/>
      <c r="AE438" s="16"/>
      <c r="AF438" s="16"/>
    </row>
    <row r="439" spans="1:32" x14ac:dyDescent="0.2">
      <c r="A439" s="16"/>
      <c r="B439" s="16"/>
      <c r="C439" s="16"/>
      <c r="D439" s="16"/>
      <c r="E439" s="16"/>
      <c r="F439" s="109"/>
      <c r="G439" s="109"/>
      <c r="H439" s="109"/>
      <c r="I439" s="109"/>
      <c r="J439" s="109"/>
      <c r="K439" s="109"/>
      <c r="L439" s="109"/>
      <c r="M439" s="109"/>
      <c r="N439" s="109"/>
      <c r="O439" s="109"/>
      <c r="P439" s="109"/>
      <c r="Q439" s="109"/>
      <c r="R439" s="16"/>
      <c r="S439" s="16"/>
      <c r="T439" s="109"/>
      <c r="U439" s="109"/>
      <c r="V439" s="109"/>
      <c r="W439" s="109"/>
      <c r="X439" s="109"/>
      <c r="Y439" s="109"/>
      <c r="Z439" s="109"/>
      <c r="AA439" s="109"/>
      <c r="AB439" s="109"/>
      <c r="AC439" s="16"/>
      <c r="AD439" s="16"/>
      <c r="AE439" s="16"/>
      <c r="AF439" s="16"/>
    </row>
    <row r="440" spans="1:32" x14ac:dyDescent="0.2">
      <c r="A440" s="16"/>
      <c r="B440" s="16"/>
      <c r="C440" s="16"/>
      <c r="D440" s="16"/>
      <c r="E440" s="16"/>
      <c r="F440" s="109"/>
      <c r="G440" s="109"/>
      <c r="H440" s="109"/>
      <c r="I440" s="109"/>
      <c r="J440" s="109"/>
      <c r="K440" s="109"/>
      <c r="L440" s="109"/>
      <c r="M440" s="109"/>
      <c r="N440" s="109"/>
      <c r="O440" s="109"/>
      <c r="P440" s="109"/>
      <c r="Q440" s="109"/>
      <c r="R440" s="16"/>
      <c r="S440" s="16"/>
      <c r="T440" s="109"/>
      <c r="U440" s="109"/>
      <c r="V440" s="109"/>
      <c r="W440" s="109"/>
      <c r="X440" s="109"/>
      <c r="Y440" s="109"/>
      <c r="Z440" s="109"/>
      <c r="AA440" s="109"/>
      <c r="AB440" s="109"/>
      <c r="AC440" s="16"/>
      <c r="AD440" s="16"/>
      <c r="AE440" s="16"/>
      <c r="AF440" s="16"/>
    </row>
    <row r="441" spans="1:32" x14ac:dyDescent="0.2">
      <c r="A441" s="16"/>
      <c r="B441" s="16"/>
      <c r="C441" s="16"/>
      <c r="D441" s="16"/>
      <c r="E441" s="16"/>
      <c r="F441" s="109"/>
      <c r="G441" s="109"/>
      <c r="H441" s="109"/>
      <c r="I441" s="109"/>
      <c r="J441" s="109"/>
      <c r="K441" s="109"/>
      <c r="L441" s="109"/>
      <c r="M441" s="109"/>
      <c r="N441" s="109"/>
      <c r="O441" s="109"/>
      <c r="P441" s="109"/>
      <c r="Q441" s="109"/>
      <c r="R441" s="16"/>
      <c r="S441" s="16"/>
      <c r="T441" s="109"/>
      <c r="U441" s="109"/>
      <c r="V441" s="109"/>
      <c r="W441" s="109"/>
      <c r="X441" s="109"/>
      <c r="Y441" s="109"/>
      <c r="Z441" s="109"/>
      <c r="AA441" s="109"/>
      <c r="AB441" s="109"/>
      <c r="AC441" s="16"/>
      <c r="AD441" s="16"/>
      <c r="AE441" s="16"/>
      <c r="AF441" s="16"/>
    </row>
    <row r="442" spans="1:32" x14ac:dyDescent="0.2">
      <c r="A442" s="16"/>
      <c r="B442" s="16"/>
      <c r="C442" s="16"/>
      <c r="D442" s="16"/>
      <c r="E442" s="16"/>
      <c r="F442" s="109"/>
      <c r="G442" s="109"/>
      <c r="H442" s="109"/>
      <c r="I442" s="109"/>
      <c r="J442" s="109"/>
      <c r="K442" s="109"/>
      <c r="L442" s="109"/>
      <c r="M442" s="109"/>
      <c r="N442" s="109"/>
      <c r="O442" s="109"/>
      <c r="P442" s="109"/>
      <c r="Q442" s="109"/>
      <c r="R442" s="16"/>
      <c r="S442" s="16"/>
      <c r="T442" s="109"/>
      <c r="U442" s="109"/>
      <c r="V442" s="109"/>
      <c r="W442" s="109"/>
      <c r="X442" s="109"/>
      <c r="Y442" s="109"/>
      <c r="Z442" s="109"/>
      <c r="AA442" s="109"/>
      <c r="AB442" s="109"/>
      <c r="AC442" s="16"/>
      <c r="AD442" s="16"/>
      <c r="AE442" s="16"/>
      <c r="AF442" s="16"/>
    </row>
    <row r="443" spans="1:32" x14ac:dyDescent="0.2">
      <c r="A443" s="16"/>
      <c r="B443" s="16"/>
      <c r="C443" s="16"/>
      <c r="D443" s="16"/>
      <c r="E443" s="16"/>
      <c r="F443" s="109"/>
      <c r="G443" s="109"/>
      <c r="H443" s="109"/>
      <c r="I443" s="109"/>
      <c r="J443" s="109"/>
      <c r="K443" s="109"/>
      <c r="L443" s="109"/>
      <c r="M443" s="109"/>
      <c r="N443" s="109"/>
      <c r="O443" s="109"/>
      <c r="P443" s="109"/>
      <c r="Q443" s="109"/>
      <c r="R443" s="16"/>
      <c r="S443" s="16"/>
      <c r="T443" s="109"/>
      <c r="U443" s="109"/>
      <c r="V443" s="109"/>
      <c r="W443" s="109"/>
      <c r="X443" s="109"/>
      <c r="Y443" s="109"/>
      <c r="Z443" s="109"/>
      <c r="AA443" s="109"/>
      <c r="AB443" s="109"/>
      <c r="AC443" s="16"/>
      <c r="AD443" s="16"/>
      <c r="AE443" s="16"/>
      <c r="AF443" s="16"/>
    </row>
    <row r="444" spans="1:32" x14ac:dyDescent="0.2">
      <c r="A444" s="16"/>
      <c r="B444" s="16"/>
      <c r="C444" s="16"/>
      <c r="D444" s="16"/>
      <c r="E444" s="16"/>
      <c r="F444" s="109"/>
      <c r="G444" s="109"/>
      <c r="H444" s="109"/>
      <c r="I444" s="109"/>
      <c r="J444" s="109"/>
      <c r="K444" s="109"/>
      <c r="L444" s="109"/>
      <c r="M444" s="109"/>
      <c r="N444" s="109"/>
      <c r="O444" s="109"/>
      <c r="P444" s="109"/>
      <c r="Q444" s="109"/>
      <c r="R444" s="16"/>
      <c r="S444" s="16"/>
      <c r="T444" s="109"/>
      <c r="U444" s="109"/>
      <c r="V444" s="109"/>
      <c r="W444" s="109"/>
      <c r="X444" s="109"/>
      <c r="Y444" s="109"/>
      <c r="Z444" s="109"/>
      <c r="AA444" s="109"/>
      <c r="AB444" s="109"/>
      <c r="AC444" s="16"/>
      <c r="AD444" s="16"/>
      <c r="AE444" s="16"/>
      <c r="AF444" s="16"/>
    </row>
    <row r="445" spans="1:32" x14ac:dyDescent="0.2">
      <c r="A445" s="16"/>
      <c r="B445" s="16"/>
      <c r="C445" s="16"/>
      <c r="D445" s="16"/>
      <c r="E445" s="16"/>
      <c r="F445" s="109"/>
      <c r="G445" s="109"/>
      <c r="H445" s="109"/>
      <c r="I445" s="109"/>
      <c r="J445" s="109"/>
      <c r="K445" s="109"/>
      <c r="L445" s="109"/>
      <c r="M445" s="109"/>
      <c r="N445" s="109"/>
      <c r="O445" s="109"/>
      <c r="P445" s="109"/>
      <c r="Q445" s="109"/>
      <c r="R445" s="16"/>
      <c r="S445" s="16"/>
      <c r="T445" s="109"/>
      <c r="U445" s="109"/>
      <c r="V445" s="109"/>
      <c r="W445" s="109"/>
      <c r="X445" s="109"/>
      <c r="Y445" s="109"/>
      <c r="Z445" s="109"/>
      <c r="AA445" s="109"/>
      <c r="AB445" s="109"/>
      <c r="AC445" s="16"/>
      <c r="AD445" s="16"/>
      <c r="AE445" s="16"/>
      <c r="AF445" s="16"/>
    </row>
    <row r="446" spans="1:32" x14ac:dyDescent="0.2">
      <c r="A446" s="16"/>
      <c r="B446" s="16"/>
      <c r="C446" s="16"/>
      <c r="D446" s="16"/>
      <c r="E446" s="16"/>
      <c r="F446" s="109"/>
      <c r="G446" s="109"/>
      <c r="H446" s="109"/>
      <c r="I446" s="109"/>
      <c r="J446" s="109"/>
      <c r="K446" s="109"/>
      <c r="L446" s="109"/>
      <c r="M446" s="109"/>
      <c r="N446" s="109"/>
      <c r="O446" s="109"/>
      <c r="P446" s="109"/>
      <c r="Q446" s="109"/>
      <c r="R446" s="16"/>
      <c r="S446" s="16"/>
      <c r="T446" s="109"/>
      <c r="U446" s="109"/>
      <c r="V446" s="109"/>
      <c r="W446" s="109"/>
      <c r="X446" s="109"/>
      <c r="Y446" s="109"/>
      <c r="Z446" s="109"/>
      <c r="AA446" s="109"/>
      <c r="AB446" s="109"/>
      <c r="AC446" s="16"/>
      <c r="AD446" s="16"/>
      <c r="AE446" s="16"/>
      <c r="AF446" s="16"/>
    </row>
    <row r="447" spans="1:32" x14ac:dyDescent="0.2">
      <c r="A447" s="16"/>
      <c r="B447" s="16"/>
      <c r="C447" s="16"/>
      <c r="D447" s="16"/>
      <c r="E447" s="16"/>
      <c r="F447" s="109"/>
      <c r="G447" s="109"/>
      <c r="H447" s="109"/>
      <c r="I447" s="109"/>
      <c r="J447" s="109"/>
      <c r="K447" s="109"/>
      <c r="L447" s="109"/>
      <c r="M447" s="109"/>
      <c r="N447" s="109"/>
      <c r="O447" s="109"/>
      <c r="P447" s="109"/>
      <c r="Q447" s="109"/>
      <c r="R447" s="16"/>
      <c r="S447" s="16"/>
      <c r="T447" s="109"/>
      <c r="U447" s="109"/>
      <c r="V447" s="109"/>
      <c r="W447" s="109"/>
      <c r="X447" s="109"/>
      <c r="Y447" s="109"/>
      <c r="Z447" s="109"/>
      <c r="AA447" s="109"/>
      <c r="AB447" s="109"/>
      <c r="AC447" s="16"/>
      <c r="AD447" s="16"/>
      <c r="AE447" s="16"/>
      <c r="AF447" s="16"/>
    </row>
    <row r="448" spans="1:32" x14ac:dyDescent="0.2">
      <c r="A448" s="16"/>
      <c r="B448" s="16"/>
      <c r="C448" s="16"/>
      <c r="D448" s="16"/>
      <c r="E448" s="16"/>
      <c r="F448" s="109"/>
      <c r="G448" s="109"/>
      <c r="H448" s="109"/>
      <c r="I448" s="109"/>
      <c r="J448" s="109"/>
      <c r="K448" s="109"/>
      <c r="L448" s="109"/>
      <c r="M448" s="109"/>
      <c r="N448" s="109"/>
      <c r="O448" s="109"/>
      <c r="P448" s="109"/>
      <c r="Q448" s="109"/>
      <c r="R448" s="16"/>
      <c r="S448" s="16"/>
      <c r="T448" s="109"/>
      <c r="U448" s="109"/>
      <c r="V448" s="109"/>
      <c r="W448" s="109"/>
      <c r="X448" s="109"/>
      <c r="Y448" s="109"/>
      <c r="Z448" s="109"/>
      <c r="AA448" s="109"/>
      <c r="AB448" s="109"/>
      <c r="AC448" s="16"/>
      <c r="AD448" s="16"/>
      <c r="AE448" s="16"/>
      <c r="AF448" s="16"/>
    </row>
    <row r="449" spans="1:32" x14ac:dyDescent="0.2">
      <c r="A449" s="16"/>
      <c r="B449" s="16"/>
      <c r="C449" s="16"/>
      <c r="D449" s="16"/>
      <c r="E449" s="16"/>
      <c r="F449" s="109"/>
      <c r="G449" s="109"/>
      <c r="H449" s="109"/>
      <c r="I449" s="109"/>
      <c r="J449" s="109"/>
      <c r="K449" s="109"/>
      <c r="L449" s="109"/>
      <c r="M449" s="109"/>
      <c r="N449" s="109"/>
      <c r="O449" s="109"/>
      <c r="P449" s="109"/>
      <c r="Q449" s="109"/>
      <c r="R449" s="16"/>
      <c r="S449" s="16"/>
      <c r="T449" s="109"/>
      <c r="U449" s="109"/>
      <c r="V449" s="109"/>
      <c r="W449" s="109"/>
      <c r="X449" s="109"/>
      <c r="Y449" s="109"/>
      <c r="Z449" s="109"/>
      <c r="AA449" s="109"/>
      <c r="AB449" s="109"/>
      <c r="AC449" s="16"/>
      <c r="AD449" s="16"/>
      <c r="AE449" s="16"/>
      <c r="AF449" s="16"/>
    </row>
    <row r="450" spans="1:32" x14ac:dyDescent="0.2">
      <c r="A450" s="16"/>
      <c r="B450" s="16"/>
      <c r="C450" s="16"/>
      <c r="D450" s="16"/>
      <c r="E450" s="16"/>
      <c r="F450" s="109"/>
      <c r="G450" s="109"/>
      <c r="H450" s="109"/>
      <c r="I450" s="109"/>
      <c r="J450" s="109"/>
      <c r="K450" s="109"/>
      <c r="L450" s="109"/>
      <c r="M450" s="109"/>
      <c r="N450" s="109"/>
      <c r="O450" s="109"/>
      <c r="P450" s="109"/>
      <c r="Q450" s="109"/>
      <c r="R450" s="16"/>
      <c r="S450" s="16"/>
      <c r="T450" s="109"/>
      <c r="U450" s="109"/>
      <c r="V450" s="109"/>
      <c r="W450" s="109"/>
      <c r="X450" s="109"/>
      <c r="Y450" s="109"/>
      <c r="Z450" s="109"/>
      <c r="AA450" s="109"/>
      <c r="AB450" s="109"/>
      <c r="AC450" s="16"/>
      <c r="AD450" s="16"/>
      <c r="AE450" s="16"/>
      <c r="AF450" s="16"/>
    </row>
    <row r="451" spans="1:32" x14ac:dyDescent="0.2">
      <c r="A451" s="16"/>
      <c r="B451" s="16"/>
      <c r="C451" s="16"/>
      <c r="D451" s="16"/>
      <c r="E451" s="16"/>
      <c r="F451" s="109"/>
      <c r="G451" s="109"/>
      <c r="H451" s="109"/>
      <c r="I451" s="109"/>
      <c r="J451" s="109"/>
      <c r="K451" s="109"/>
      <c r="L451" s="109"/>
      <c r="M451" s="109"/>
      <c r="N451" s="109"/>
      <c r="O451" s="109"/>
      <c r="P451" s="109"/>
      <c r="Q451" s="109"/>
      <c r="R451" s="16"/>
      <c r="S451" s="16"/>
      <c r="T451" s="109"/>
      <c r="U451" s="109"/>
      <c r="V451" s="109"/>
      <c r="W451" s="109"/>
      <c r="X451" s="109"/>
      <c r="Y451" s="109"/>
      <c r="Z451" s="109"/>
      <c r="AA451" s="109"/>
      <c r="AB451" s="109"/>
      <c r="AC451" s="16"/>
      <c r="AD451" s="16"/>
      <c r="AE451" s="16"/>
      <c r="AF451" s="16"/>
    </row>
    <row r="452" spans="1:32" x14ac:dyDescent="0.2">
      <c r="A452" s="16"/>
      <c r="B452" s="16"/>
      <c r="C452" s="16"/>
      <c r="D452" s="16"/>
      <c r="E452" s="16"/>
      <c r="F452" s="109"/>
      <c r="G452" s="109"/>
      <c r="H452" s="109"/>
      <c r="I452" s="109"/>
      <c r="J452" s="109"/>
      <c r="K452" s="109"/>
      <c r="L452" s="109"/>
      <c r="M452" s="109"/>
      <c r="N452" s="109"/>
      <c r="O452" s="109"/>
      <c r="P452" s="109"/>
      <c r="Q452" s="109"/>
      <c r="R452" s="16"/>
      <c r="S452" s="16"/>
      <c r="T452" s="109"/>
      <c r="U452" s="109"/>
      <c r="V452" s="109"/>
      <c r="W452" s="109"/>
      <c r="X452" s="109"/>
      <c r="Y452" s="109"/>
      <c r="Z452" s="109"/>
      <c r="AA452" s="109"/>
      <c r="AB452" s="109"/>
      <c r="AC452" s="16"/>
      <c r="AD452" s="16"/>
      <c r="AE452" s="16"/>
      <c r="AF452" s="16"/>
    </row>
    <row r="453" spans="1:32" x14ac:dyDescent="0.2">
      <c r="A453" s="16"/>
      <c r="B453" s="16"/>
      <c r="C453" s="16"/>
      <c r="D453" s="16"/>
      <c r="E453" s="16"/>
      <c r="F453" s="109"/>
      <c r="G453" s="109"/>
      <c r="H453" s="109"/>
      <c r="I453" s="109"/>
      <c r="J453" s="109"/>
      <c r="K453" s="109"/>
      <c r="L453" s="109"/>
      <c r="M453" s="109"/>
      <c r="N453" s="109"/>
      <c r="O453" s="109"/>
      <c r="P453" s="109"/>
      <c r="Q453" s="109"/>
      <c r="R453" s="16"/>
      <c r="S453" s="16"/>
      <c r="T453" s="109"/>
      <c r="U453" s="109"/>
      <c r="V453" s="109"/>
      <c r="W453" s="109"/>
      <c r="X453" s="109"/>
      <c r="Y453" s="109"/>
      <c r="Z453" s="109"/>
      <c r="AA453" s="109"/>
      <c r="AB453" s="109"/>
      <c r="AC453" s="16"/>
      <c r="AD453" s="16"/>
      <c r="AE453" s="16"/>
      <c r="AF453" s="16"/>
    </row>
    <row r="454" spans="1:32" x14ac:dyDescent="0.2">
      <c r="A454" s="16"/>
      <c r="B454" s="16"/>
      <c r="C454" s="16"/>
      <c r="D454" s="16"/>
      <c r="E454" s="16"/>
      <c r="F454" s="109"/>
      <c r="G454" s="109"/>
      <c r="H454" s="109"/>
      <c r="I454" s="109"/>
      <c r="J454" s="109"/>
      <c r="K454" s="109"/>
      <c r="L454" s="109"/>
      <c r="M454" s="109"/>
      <c r="N454" s="109"/>
      <c r="O454" s="109"/>
      <c r="P454" s="109"/>
      <c r="Q454" s="109"/>
      <c r="R454" s="16"/>
      <c r="S454" s="16"/>
      <c r="T454" s="109"/>
      <c r="U454" s="109"/>
      <c r="V454" s="109"/>
      <c r="W454" s="109"/>
      <c r="X454" s="109"/>
      <c r="Y454" s="109"/>
      <c r="Z454" s="109"/>
      <c r="AA454" s="109"/>
      <c r="AB454" s="109"/>
      <c r="AC454" s="16"/>
      <c r="AD454" s="16"/>
      <c r="AE454" s="16"/>
      <c r="AF454" s="16"/>
    </row>
    <row r="455" spans="1:32" x14ac:dyDescent="0.2">
      <c r="A455" s="16"/>
      <c r="B455" s="16"/>
      <c r="C455" s="16"/>
      <c r="D455" s="16"/>
      <c r="E455" s="16"/>
      <c r="F455" s="109"/>
      <c r="G455" s="109"/>
      <c r="H455" s="109"/>
      <c r="I455" s="109"/>
      <c r="J455" s="109"/>
      <c r="K455" s="109"/>
      <c r="L455" s="109"/>
      <c r="M455" s="109"/>
      <c r="N455" s="109"/>
      <c r="O455" s="109"/>
      <c r="P455" s="109"/>
      <c r="Q455" s="109"/>
      <c r="R455" s="16"/>
      <c r="S455" s="16"/>
      <c r="T455" s="109"/>
      <c r="U455" s="109"/>
      <c r="V455" s="109"/>
      <c r="W455" s="109"/>
      <c r="X455" s="109"/>
      <c r="Y455" s="109"/>
      <c r="Z455" s="109"/>
      <c r="AA455" s="109"/>
      <c r="AB455" s="109"/>
      <c r="AC455" s="16"/>
      <c r="AD455" s="16"/>
      <c r="AE455" s="16"/>
      <c r="AF455" s="16"/>
    </row>
    <row r="456" spans="1:32" x14ac:dyDescent="0.2">
      <c r="A456" s="16"/>
      <c r="B456" s="16"/>
      <c r="C456" s="16"/>
      <c r="D456" s="16"/>
      <c r="E456" s="16"/>
      <c r="F456" s="109"/>
      <c r="G456" s="109"/>
      <c r="H456" s="109"/>
      <c r="I456" s="109"/>
      <c r="J456" s="109"/>
      <c r="K456" s="109"/>
      <c r="L456" s="109"/>
      <c r="M456" s="109"/>
      <c r="N456" s="109"/>
      <c r="O456" s="109"/>
      <c r="P456" s="109"/>
      <c r="Q456" s="109"/>
      <c r="R456" s="16"/>
      <c r="S456" s="16"/>
      <c r="T456" s="109"/>
      <c r="U456" s="109"/>
      <c r="V456" s="109"/>
      <c r="W456" s="109"/>
      <c r="X456" s="109"/>
      <c r="Y456" s="109"/>
      <c r="Z456" s="109"/>
      <c r="AA456" s="109"/>
      <c r="AB456" s="109"/>
      <c r="AC456" s="16"/>
      <c r="AD456" s="16"/>
      <c r="AE456" s="16"/>
      <c r="AF456" s="16"/>
    </row>
    <row r="457" spans="1:32" x14ac:dyDescent="0.2">
      <c r="A457" s="16"/>
      <c r="B457" s="16"/>
      <c r="C457" s="16"/>
      <c r="D457" s="16"/>
      <c r="E457" s="16"/>
      <c r="F457" s="109"/>
      <c r="G457" s="109"/>
      <c r="H457" s="109"/>
      <c r="I457" s="109"/>
      <c r="J457" s="109"/>
      <c r="K457" s="109"/>
      <c r="L457" s="109"/>
      <c r="M457" s="109"/>
      <c r="N457" s="109"/>
      <c r="O457" s="109"/>
      <c r="P457" s="109"/>
      <c r="Q457" s="109"/>
      <c r="R457" s="16"/>
      <c r="S457" s="16"/>
      <c r="T457" s="109"/>
      <c r="U457" s="109"/>
      <c r="V457" s="109"/>
      <c r="W457" s="109"/>
      <c r="X457" s="109"/>
      <c r="Y457" s="109"/>
      <c r="Z457" s="109"/>
      <c r="AA457" s="109"/>
      <c r="AB457" s="109"/>
      <c r="AC457" s="16"/>
      <c r="AD457" s="16"/>
      <c r="AE457" s="16"/>
      <c r="AF457" s="16"/>
    </row>
    <row r="458" spans="1:32" x14ac:dyDescent="0.2">
      <c r="A458" s="16"/>
      <c r="B458" s="16"/>
      <c r="C458" s="16"/>
      <c r="D458" s="16"/>
      <c r="E458" s="16"/>
      <c r="F458" s="109"/>
      <c r="G458" s="109"/>
      <c r="H458" s="109"/>
      <c r="I458" s="109"/>
      <c r="J458" s="109"/>
      <c r="K458" s="109"/>
      <c r="L458" s="109"/>
      <c r="M458" s="109"/>
      <c r="N458" s="109"/>
      <c r="O458" s="109"/>
      <c r="P458" s="109"/>
      <c r="Q458" s="109"/>
      <c r="R458" s="16"/>
      <c r="S458" s="16"/>
      <c r="T458" s="109"/>
      <c r="U458" s="109"/>
      <c r="V458" s="109"/>
      <c r="W458" s="109"/>
      <c r="X458" s="109"/>
      <c r="Y458" s="109"/>
      <c r="Z458" s="109"/>
      <c r="AA458" s="109"/>
      <c r="AB458" s="109"/>
      <c r="AC458" s="16"/>
      <c r="AD458" s="16"/>
      <c r="AE458" s="16"/>
      <c r="AF458" s="16"/>
    </row>
    <row r="459" spans="1:32" x14ac:dyDescent="0.2">
      <c r="A459" s="16"/>
      <c r="B459" s="16"/>
      <c r="C459" s="16"/>
      <c r="D459" s="16"/>
      <c r="E459" s="16"/>
      <c r="F459" s="109"/>
      <c r="G459" s="109"/>
      <c r="H459" s="109"/>
      <c r="I459" s="109"/>
      <c r="J459" s="109"/>
      <c r="K459" s="109"/>
      <c r="L459" s="109"/>
      <c r="M459" s="109"/>
      <c r="N459" s="109"/>
      <c r="O459" s="109"/>
      <c r="P459" s="109"/>
      <c r="Q459" s="109"/>
      <c r="R459" s="16"/>
      <c r="S459" s="16"/>
      <c r="T459" s="109"/>
      <c r="U459" s="109"/>
      <c r="V459" s="109"/>
      <c r="W459" s="109"/>
      <c r="X459" s="109"/>
      <c r="Y459" s="109"/>
      <c r="Z459" s="109"/>
      <c r="AA459" s="109"/>
      <c r="AB459" s="109"/>
      <c r="AC459" s="16"/>
      <c r="AD459" s="16"/>
      <c r="AE459" s="16"/>
      <c r="AF459" s="16"/>
    </row>
    <row r="460" spans="1:32" x14ac:dyDescent="0.2">
      <c r="A460" s="16"/>
      <c r="B460" s="16"/>
      <c r="C460" s="16"/>
      <c r="D460" s="16"/>
      <c r="E460" s="16"/>
      <c r="F460" s="109"/>
      <c r="G460" s="109"/>
      <c r="H460" s="109"/>
      <c r="I460" s="109"/>
      <c r="J460" s="109"/>
      <c r="K460" s="109"/>
      <c r="L460" s="109"/>
      <c r="M460" s="109"/>
      <c r="N460" s="109"/>
      <c r="O460" s="109"/>
      <c r="P460" s="109"/>
      <c r="Q460" s="109"/>
      <c r="R460" s="16"/>
      <c r="S460" s="16"/>
      <c r="T460" s="109"/>
      <c r="U460" s="109"/>
      <c r="V460" s="109"/>
      <c r="W460" s="109"/>
      <c r="X460" s="109"/>
      <c r="Y460" s="109"/>
      <c r="Z460" s="109"/>
      <c r="AA460" s="109"/>
      <c r="AB460" s="109"/>
      <c r="AC460" s="16"/>
      <c r="AD460" s="16"/>
      <c r="AE460" s="16"/>
      <c r="AF460" s="16"/>
    </row>
    <row r="461" spans="1:32" x14ac:dyDescent="0.2">
      <c r="A461" s="16"/>
      <c r="B461" s="16"/>
      <c r="C461" s="16"/>
      <c r="D461" s="16"/>
      <c r="E461" s="16"/>
      <c r="F461" s="109"/>
      <c r="G461" s="109"/>
      <c r="H461" s="109"/>
      <c r="I461" s="109"/>
      <c r="J461" s="109"/>
      <c r="K461" s="109"/>
      <c r="L461" s="109"/>
      <c r="M461" s="109"/>
      <c r="N461" s="109"/>
      <c r="O461" s="109"/>
      <c r="P461" s="109"/>
      <c r="Q461" s="109"/>
      <c r="R461" s="16"/>
      <c r="S461" s="16"/>
      <c r="T461" s="109"/>
      <c r="U461" s="109"/>
      <c r="V461" s="109"/>
      <c r="W461" s="109"/>
      <c r="X461" s="109"/>
      <c r="Y461" s="109"/>
      <c r="Z461" s="109"/>
      <c r="AA461" s="109"/>
      <c r="AB461" s="109"/>
      <c r="AC461" s="16"/>
      <c r="AD461" s="16"/>
      <c r="AE461" s="16"/>
      <c r="AF461" s="16"/>
    </row>
    <row r="462" spans="1:32" x14ac:dyDescent="0.2">
      <c r="A462" s="16"/>
      <c r="B462" s="16"/>
      <c r="C462" s="16"/>
      <c r="D462" s="16"/>
      <c r="E462" s="16"/>
      <c r="F462" s="109"/>
      <c r="G462" s="109"/>
      <c r="H462" s="109"/>
      <c r="I462" s="109"/>
      <c r="J462" s="109"/>
      <c r="K462" s="109"/>
      <c r="L462" s="109"/>
      <c r="M462" s="109"/>
      <c r="N462" s="109"/>
      <c r="O462" s="109"/>
      <c r="P462" s="109"/>
      <c r="Q462" s="109"/>
      <c r="R462" s="16"/>
      <c r="S462" s="16"/>
      <c r="T462" s="109"/>
      <c r="U462" s="109"/>
      <c r="V462" s="109"/>
      <c r="W462" s="109"/>
      <c r="X462" s="109"/>
      <c r="Y462" s="109"/>
      <c r="Z462" s="109"/>
      <c r="AA462" s="109"/>
      <c r="AB462" s="109"/>
      <c r="AC462" s="16"/>
      <c r="AD462" s="16"/>
      <c r="AE462" s="16"/>
      <c r="AF462" s="16"/>
    </row>
    <row r="463" spans="1:32" x14ac:dyDescent="0.2">
      <c r="A463" s="16"/>
      <c r="B463" s="16"/>
      <c r="C463" s="16"/>
      <c r="D463" s="16"/>
      <c r="E463" s="16"/>
      <c r="F463" s="109"/>
      <c r="G463" s="109"/>
      <c r="H463" s="109"/>
      <c r="I463" s="109"/>
      <c r="J463" s="109"/>
      <c r="K463" s="109"/>
      <c r="L463" s="109"/>
      <c r="M463" s="109"/>
      <c r="N463" s="109"/>
      <c r="O463" s="109"/>
      <c r="P463" s="109"/>
      <c r="Q463" s="109"/>
      <c r="R463" s="16"/>
      <c r="S463" s="16"/>
      <c r="T463" s="109"/>
      <c r="U463" s="109"/>
      <c r="V463" s="109"/>
      <c r="W463" s="109"/>
      <c r="X463" s="109"/>
      <c r="Y463" s="109"/>
      <c r="Z463" s="109"/>
      <c r="AA463" s="109"/>
      <c r="AB463" s="109"/>
      <c r="AC463" s="16"/>
      <c r="AD463" s="16"/>
      <c r="AE463" s="16"/>
      <c r="AF463" s="16"/>
    </row>
    <row r="464" spans="1:32" x14ac:dyDescent="0.2">
      <c r="A464" s="16"/>
      <c r="B464" s="16"/>
      <c r="C464" s="16"/>
      <c r="D464" s="16"/>
      <c r="E464" s="16"/>
      <c r="F464" s="109"/>
      <c r="G464" s="109"/>
      <c r="H464" s="109"/>
      <c r="I464" s="109"/>
      <c r="J464" s="109"/>
      <c r="K464" s="109"/>
      <c r="L464" s="109"/>
      <c r="M464" s="109"/>
      <c r="N464" s="109"/>
      <c r="O464" s="109"/>
      <c r="P464" s="109"/>
      <c r="Q464" s="109"/>
      <c r="R464" s="16"/>
      <c r="S464" s="16"/>
      <c r="T464" s="109"/>
      <c r="U464" s="109"/>
      <c r="V464" s="109"/>
      <c r="W464" s="109"/>
      <c r="X464" s="109"/>
      <c r="Y464" s="109"/>
      <c r="Z464" s="109"/>
      <c r="AA464" s="109"/>
      <c r="AB464" s="109"/>
      <c r="AC464" s="16"/>
      <c r="AD464" s="16"/>
      <c r="AE464" s="16"/>
      <c r="AF464" s="16"/>
    </row>
    <row r="465" spans="1:32" x14ac:dyDescent="0.2">
      <c r="A465" s="16"/>
      <c r="B465" s="16"/>
      <c r="C465" s="16"/>
      <c r="D465" s="16"/>
      <c r="E465" s="16"/>
      <c r="F465" s="109"/>
      <c r="G465" s="109"/>
      <c r="H465" s="109"/>
      <c r="I465" s="109"/>
      <c r="J465" s="109"/>
      <c r="K465" s="109"/>
      <c r="L465" s="109"/>
      <c r="M465" s="109"/>
      <c r="N465" s="109"/>
      <c r="O465" s="109"/>
      <c r="P465" s="109"/>
      <c r="Q465" s="109"/>
      <c r="R465" s="16"/>
      <c r="S465" s="16"/>
      <c r="T465" s="109"/>
      <c r="U465" s="109"/>
      <c r="V465" s="109"/>
      <c r="W465" s="109"/>
      <c r="X465" s="109"/>
      <c r="Y465" s="109"/>
      <c r="Z465" s="109"/>
      <c r="AA465" s="109"/>
      <c r="AB465" s="109"/>
      <c r="AC465" s="16"/>
      <c r="AD465" s="16"/>
      <c r="AE465" s="16"/>
      <c r="AF465" s="16"/>
    </row>
    <row r="466" spans="1:32" x14ac:dyDescent="0.2">
      <c r="A466" s="16"/>
      <c r="B466" s="16"/>
      <c r="C466" s="16"/>
      <c r="D466" s="16"/>
      <c r="E466" s="16"/>
      <c r="F466" s="109"/>
      <c r="G466" s="109"/>
      <c r="H466" s="109"/>
      <c r="I466" s="109"/>
      <c r="J466" s="109"/>
      <c r="K466" s="109"/>
      <c r="L466" s="109"/>
      <c r="M466" s="109"/>
      <c r="N466" s="109"/>
      <c r="O466" s="109"/>
      <c r="P466" s="109"/>
      <c r="Q466" s="109"/>
      <c r="R466" s="16"/>
      <c r="S466" s="16"/>
      <c r="T466" s="109"/>
      <c r="U466" s="109"/>
      <c r="V466" s="109"/>
      <c r="W466" s="109"/>
      <c r="X466" s="109"/>
      <c r="Y466" s="109"/>
      <c r="Z466" s="109"/>
      <c r="AA466" s="109"/>
      <c r="AB466" s="109"/>
      <c r="AC466" s="16"/>
      <c r="AD466" s="16"/>
      <c r="AE466" s="16"/>
      <c r="AF466" s="16"/>
    </row>
    <row r="467" spans="1:32" x14ac:dyDescent="0.2">
      <c r="A467" s="16"/>
      <c r="B467" s="16"/>
      <c r="C467" s="16"/>
      <c r="D467" s="16"/>
      <c r="E467" s="16"/>
      <c r="F467" s="109"/>
      <c r="G467" s="109"/>
      <c r="H467" s="109"/>
      <c r="I467" s="109"/>
      <c r="J467" s="109"/>
      <c r="K467" s="109"/>
      <c r="L467" s="109"/>
      <c r="M467" s="109"/>
      <c r="N467" s="109"/>
      <c r="O467" s="109"/>
      <c r="P467" s="109"/>
      <c r="Q467" s="109"/>
      <c r="R467" s="16"/>
      <c r="S467" s="16"/>
      <c r="T467" s="109"/>
      <c r="U467" s="109"/>
      <c r="V467" s="109"/>
      <c r="W467" s="109"/>
      <c r="X467" s="109"/>
      <c r="Y467" s="109"/>
      <c r="Z467" s="109"/>
      <c r="AA467" s="109"/>
      <c r="AB467" s="109"/>
      <c r="AC467" s="16"/>
      <c r="AD467" s="16"/>
      <c r="AE467" s="16"/>
      <c r="AF467" s="16"/>
    </row>
    <row r="468" spans="1:32" x14ac:dyDescent="0.2">
      <c r="A468" s="16"/>
      <c r="B468" s="16"/>
      <c r="C468" s="16"/>
      <c r="D468" s="16"/>
      <c r="E468" s="16"/>
      <c r="F468" s="109"/>
      <c r="G468" s="109"/>
      <c r="H468" s="109"/>
      <c r="I468" s="109"/>
      <c r="J468" s="109"/>
      <c r="K468" s="109"/>
      <c r="L468" s="109"/>
      <c r="M468" s="109"/>
      <c r="N468" s="109"/>
      <c r="O468" s="109"/>
      <c r="P468" s="109"/>
      <c r="Q468" s="109"/>
      <c r="R468" s="16"/>
      <c r="S468" s="16"/>
      <c r="T468" s="109"/>
      <c r="U468" s="109"/>
      <c r="V468" s="109"/>
      <c r="W468" s="109"/>
      <c r="X468" s="109"/>
      <c r="Y468" s="109"/>
      <c r="Z468" s="109"/>
      <c r="AA468" s="109"/>
      <c r="AB468" s="109"/>
      <c r="AC468" s="16"/>
      <c r="AD468" s="16"/>
      <c r="AE468" s="16"/>
      <c r="AF468" s="16"/>
    </row>
    <row r="469" spans="1:32" x14ac:dyDescent="0.2">
      <c r="A469" s="16"/>
      <c r="B469" s="16"/>
      <c r="C469" s="16"/>
      <c r="D469" s="16"/>
      <c r="E469" s="16"/>
      <c r="F469" s="109"/>
      <c r="G469" s="109"/>
      <c r="H469" s="109"/>
      <c r="I469" s="109"/>
      <c r="J469" s="109"/>
      <c r="K469" s="109"/>
      <c r="L469" s="109"/>
      <c r="M469" s="109"/>
      <c r="N469" s="109"/>
      <c r="O469" s="109"/>
      <c r="P469" s="109"/>
      <c r="Q469" s="109"/>
      <c r="R469" s="16"/>
      <c r="S469" s="16"/>
      <c r="T469" s="109"/>
      <c r="U469" s="109"/>
      <c r="V469" s="109"/>
      <c r="W469" s="109"/>
      <c r="X469" s="109"/>
      <c r="Y469" s="109"/>
      <c r="Z469" s="109"/>
      <c r="AA469" s="109"/>
      <c r="AB469" s="109"/>
      <c r="AC469" s="16"/>
      <c r="AD469" s="16"/>
      <c r="AE469" s="16"/>
      <c r="AF469" s="16"/>
    </row>
    <row r="470" spans="1:32" x14ac:dyDescent="0.2">
      <c r="A470" s="16"/>
      <c r="B470" s="16"/>
      <c r="C470" s="16"/>
      <c r="D470" s="16"/>
      <c r="E470" s="16"/>
      <c r="F470" s="109"/>
      <c r="G470" s="109"/>
      <c r="H470" s="109"/>
      <c r="I470" s="109"/>
      <c r="J470" s="109"/>
      <c r="K470" s="109"/>
      <c r="L470" s="109"/>
      <c r="M470" s="109"/>
      <c r="N470" s="109"/>
      <c r="O470" s="109"/>
      <c r="P470" s="109"/>
      <c r="Q470" s="109"/>
      <c r="R470" s="16"/>
      <c r="S470" s="16"/>
      <c r="T470" s="109"/>
      <c r="U470" s="109"/>
      <c r="V470" s="109"/>
      <c r="W470" s="109"/>
      <c r="X470" s="109"/>
      <c r="Y470" s="109"/>
      <c r="Z470" s="109"/>
      <c r="AA470" s="109"/>
      <c r="AB470" s="109"/>
      <c r="AC470" s="16"/>
      <c r="AD470" s="16"/>
      <c r="AE470" s="16"/>
      <c r="AF470" s="16"/>
    </row>
    <row r="471" spans="1:32" x14ac:dyDescent="0.2">
      <c r="A471" s="16"/>
      <c r="B471" s="16"/>
      <c r="C471" s="16"/>
      <c r="D471" s="16"/>
      <c r="E471" s="16"/>
      <c r="F471" s="109"/>
      <c r="G471" s="109"/>
      <c r="H471" s="109"/>
      <c r="I471" s="109"/>
      <c r="J471" s="109"/>
      <c r="K471" s="109"/>
      <c r="L471" s="109"/>
      <c r="M471" s="109"/>
      <c r="N471" s="109"/>
      <c r="O471" s="109"/>
      <c r="P471" s="109"/>
      <c r="Q471" s="109"/>
      <c r="R471" s="16"/>
      <c r="S471" s="16"/>
      <c r="T471" s="109"/>
      <c r="U471" s="109"/>
      <c r="V471" s="109"/>
      <c r="W471" s="109"/>
      <c r="X471" s="109"/>
      <c r="Y471" s="109"/>
      <c r="Z471" s="109"/>
      <c r="AA471" s="109"/>
      <c r="AB471" s="109"/>
      <c r="AC471" s="16"/>
      <c r="AD471" s="16"/>
      <c r="AE471" s="16"/>
      <c r="AF471" s="16"/>
    </row>
    <row r="472" spans="1:32" x14ac:dyDescent="0.2">
      <c r="A472" s="16"/>
      <c r="B472" s="16"/>
      <c r="C472" s="16"/>
      <c r="D472" s="16"/>
      <c r="E472" s="16"/>
      <c r="F472" s="109"/>
      <c r="G472" s="109"/>
      <c r="H472" s="109"/>
      <c r="I472" s="109"/>
      <c r="J472" s="109"/>
      <c r="K472" s="109"/>
      <c r="L472" s="109"/>
      <c r="M472" s="109"/>
      <c r="N472" s="109"/>
      <c r="O472" s="109"/>
      <c r="P472" s="109"/>
      <c r="Q472" s="109"/>
      <c r="R472" s="16"/>
      <c r="S472" s="16"/>
      <c r="T472" s="109"/>
      <c r="U472" s="109"/>
      <c r="V472" s="109"/>
      <c r="W472" s="109"/>
      <c r="X472" s="109"/>
      <c r="Y472" s="109"/>
      <c r="Z472" s="109"/>
      <c r="AA472" s="109"/>
      <c r="AB472" s="109"/>
      <c r="AC472" s="16"/>
      <c r="AD472" s="16"/>
      <c r="AE472" s="16"/>
      <c r="AF472" s="16"/>
    </row>
    <row r="473" spans="1:32" x14ac:dyDescent="0.2">
      <c r="A473" s="16"/>
      <c r="B473" s="16"/>
      <c r="C473" s="16"/>
      <c r="D473" s="16"/>
      <c r="E473" s="16"/>
      <c r="F473" s="109"/>
      <c r="G473" s="109"/>
      <c r="H473" s="109"/>
      <c r="I473" s="109"/>
      <c r="J473" s="109"/>
      <c r="K473" s="109"/>
      <c r="L473" s="109"/>
      <c r="M473" s="109"/>
      <c r="N473" s="109"/>
      <c r="O473" s="109"/>
      <c r="P473" s="109"/>
      <c r="Q473" s="109"/>
      <c r="R473" s="16"/>
      <c r="S473" s="16"/>
      <c r="T473" s="109"/>
      <c r="U473" s="109"/>
      <c r="V473" s="109"/>
      <c r="W473" s="109"/>
      <c r="X473" s="109"/>
      <c r="Y473" s="109"/>
      <c r="Z473" s="109"/>
      <c r="AA473" s="109"/>
      <c r="AB473" s="109"/>
      <c r="AC473" s="16"/>
      <c r="AD473" s="16"/>
      <c r="AE473" s="16"/>
      <c r="AF473" s="16"/>
    </row>
    <row r="474" spans="1:32" x14ac:dyDescent="0.2">
      <c r="A474" s="16"/>
      <c r="B474" s="16"/>
      <c r="C474" s="16"/>
      <c r="D474" s="16"/>
      <c r="E474" s="16"/>
      <c r="F474" s="109"/>
      <c r="G474" s="109"/>
      <c r="H474" s="109"/>
      <c r="I474" s="109"/>
      <c r="J474" s="109"/>
      <c r="K474" s="109"/>
      <c r="L474" s="109"/>
      <c r="M474" s="109"/>
      <c r="N474" s="109"/>
      <c r="O474" s="109"/>
      <c r="P474" s="109"/>
      <c r="Q474" s="109"/>
      <c r="R474" s="16"/>
      <c r="S474" s="16"/>
      <c r="T474" s="109"/>
      <c r="U474" s="109"/>
      <c r="V474" s="109"/>
      <c r="W474" s="109"/>
      <c r="X474" s="109"/>
      <c r="Y474" s="109"/>
      <c r="Z474" s="109"/>
      <c r="AA474" s="109"/>
      <c r="AB474" s="109"/>
      <c r="AC474" s="16"/>
      <c r="AD474" s="16"/>
      <c r="AE474" s="16"/>
      <c r="AF474" s="16"/>
    </row>
    <row r="475" spans="1:32" x14ac:dyDescent="0.2">
      <c r="A475" s="16"/>
      <c r="B475" s="16"/>
      <c r="C475" s="16"/>
      <c r="D475" s="16"/>
      <c r="E475" s="16"/>
      <c r="F475" s="109"/>
      <c r="G475" s="109"/>
      <c r="H475" s="109"/>
      <c r="I475" s="109"/>
      <c r="J475" s="109"/>
      <c r="K475" s="109"/>
      <c r="L475" s="109"/>
      <c r="M475" s="109"/>
      <c r="N475" s="109"/>
      <c r="O475" s="109"/>
      <c r="P475" s="109"/>
      <c r="Q475" s="109"/>
      <c r="R475" s="16"/>
      <c r="S475" s="16"/>
      <c r="T475" s="109"/>
      <c r="U475" s="109"/>
      <c r="V475" s="109"/>
      <c r="W475" s="109"/>
      <c r="X475" s="109"/>
      <c r="Y475" s="109"/>
      <c r="Z475" s="109"/>
      <c r="AA475" s="109"/>
      <c r="AB475" s="109"/>
      <c r="AC475" s="16"/>
      <c r="AD475" s="16"/>
      <c r="AE475" s="16"/>
      <c r="AF475" s="16"/>
    </row>
    <row r="476" spans="1:32" x14ac:dyDescent="0.2">
      <c r="A476" s="16"/>
      <c r="B476" s="16"/>
      <c r="C476" s="16"/>
      <c r="D476" s="16"/>
      <c r="E476" s="16"/>
      <c r="F476" s="109"/>
      <c r="G476" s="109"/>
      <c r="H476" s="109"/>
      <c r="I476" s="109"/>
      <c r="J476" s="109"/>
      <c r="K476" s="109"/>
      <c r="L476" s="109"/>
      <c r="M476" s="109"/>
      <c r="N476" s="109"/>
      <c r="O476" s="109"/>
      <c r="P476" s="109"/>
      <c r="Q476" s="109"/>
      <c r="R476" s="16"/>
      <c r="S476" s="16"/>
      <c r="T476" s="109"/>
      <c r="U476" s="109"/>
      <c r="V476" s="109"/>
      <c r="W476" s="109"/>
      <c r="X476" s="109"/>
      <c r="Y476" s="109"/>
      <c r="Z476" s="109"/>
      <c r="AA476" s="109"/>
      <c r="AB476" s="109"/>
      <c r="AC476" s="16"/>
      <c r="AD476" s="16"/>
      <c r="AE476" s="16"/>
      <c r="AF476" s="16"/>
    </row>
    <row r="477" spans="1:32" x14ac:dyDescent="0.2">
      <c r="A477" s="16"/>
      <c r="B477" s="16"/>
      <c r="C477" s="16"/>
      <c r="D477" s="16"/>
      <c r="E477" s="16"/>
      <c r="F477" s="109"/>
      <c r="G477" s="109"/>
      <c r="H477" s="109"/>
      <c r="I477" s="109"/>
      <c r="J477" s="109"/>
      <c r="K477" s="109"/>
      <c r="L477" s="109"/>
      <c r="M477" s="109"/>
      <c r="N477" s="109"/>
      <c r="O477" s="109"/>
      <c r="P477" s="109"/>
      <c r="Q477" s="109"/>
      <c r="R477" s="16"/>
      <c r="S477" s="16"/>
      <c r="T477" s="109"/>
      <c r="U477" s="109"/>
      <c r="V477" s="109"/>
      <c r="W477" s="109"/>
      <c r="X477" s="109"/>
      <c r="Y477" s="109"/>
      <c r="Z477" s="109"/>
      <c r="AA477" s="109"/>
      <c r="AB477" s="109"/>
      <c r="AC477" s="16"/>
      <c r="AD477" s="16"/>
      <c r="AE477" s="16"/>
      <c r="AF477" s="16"/>
    </row>
    <row r="478" spans="1:32" x14ac:dyDescent="0.2">
      <c r="A478" s="16"/>
      <c r="B478" s="16"/>
      <c r="C478" s="16"/>
      <c r="D478" s="16"/>
      <c r="E478" s="16"/>
      <c r="F478" s="109"/>
      <c r="G478" s="109"/>
      <c r="H478" s="109"/>
      <c r="I478" s="109"/>
      <c r="J478" s="109"/>
      <c r="K478" s="109"/>
      <c r="L478" s="109"/>
      <c r="M478" s="109"/>
      <c r="N478" s="109"/>
      <c r="O478" s="109"/>
      <c r="P478" s="109"/>
      <c r="Q478" s="109"/>
      <c r="R478" s="16"/>
      <c r="S478" s="16"/>
      <c r="T478" s="109"/>
      <c r="U478" s="109"/>
      <c r="V478" s="109"/>
      <c r="W478" s="109"/>
      <c r="X478" s="109"/>
      <c r="Y478" s="109"/>
      <c r="Z478" s="109"/>
      <c r="AA478" s="109"/>
      <c r="AB478" s="109"/>
      <c r="AC478" s="16"/>
      <c r="AD478" s="16"/>
      <c r="AE478" s="16"/>
      <c r="AF478" s="16"/>
    </row>
    <row r="479" spans="1:32" x14ac:dyDescent="0.2">
      <c r="A479" s="16"/>
      <c r="B479" s="16"/>
      <c r="C479" s="16"/>
      <c r="D479" s="16"/>
      <c r="E479" s="16"/>
      <c r="F479" s="109"/>
      <c r="G479" s="109"/>
      <c r="H479" s="109"/>
      <c r="I479" s="109"/>
      <c r="J479" s="109"/>
      <c r="K479" s="109"/>
      <c r="L479" s="109"/>
      <c r="M479" s="109"/>
      <c r="N479" s="109"/>
      <c r="O479" s="109"/>
      <c r="P479" s="109"/>
      <c r="Q479" s="109"/>
      <c r="R479" s="16"/>
      <c r="S479" s="16"/>
      <c r="T479" s="109"/>
      <c r="U479" s="109"/>
      <c r="V479" s="109"/>
      <c r="W479" s="109"/>
      <c r="X479" s="109"/>
      <c r="Y479" s="109"/>
      <c r="Z479" s="109"/>
      <c r="AA479" s="109"/>
      <c r="AB479" s="109"/>
      <c r="AC479" s="16"/>
      <c r="AD479" s="16"/>
      <c r="AE479" s="16"/>
      <c r="AF479" s="16"/>
    </row>
    <row r="480" spans="1:32" x14ac:dyDescent="0.2">
      <c r="A480" s="16"/>
      <c r="B480" s="16"/>
      <c r="C480" s="16"/>
      <c r="D480" s="16"/>
      <c r="E480" s="16"/>
      <c r="F480" s="109"/>
      <c r="G480" s="109"/>
      <c r="H480" s="109"/>
      <c r="I480" s="109"/>
      <c r="J480" s="109"/>
      <c r="K480" s="109"/>
      <c r="L480" s="109"/>
      <c r="M480" s="109"/>
      <c r="N480" s="109"/>
      <c r="O480" s="109"/>
      <c r="P480" s="109"/>
      <c r="Q480" s="109"/>
      <c r="R480" s="16"/>
      <c r="S480" s="16"/>
      <c r="T480" s="109"/>
      <c r="U480" s="109"/>
      <c r="V480" s="109"/>
      <c r="W480" s="109"/>
      <c r="X480" s="109"/>
      <c r="Y480" s="109"/>
      <c r="Z480" s="109"/>
      <c r="AA480" s="109"/>
      <c r="AB480" s="109"/>
      <c r="AC480" s="16"/>
      <c r="AD480" s="16"/>
      <c r="AE480" s="16"/>
      <c r="AF480" s="16"/>
    </row>
    <row r="481" spans="1:32" x14ac:dyDescent="0.2">
      <c r="A481" s="16"/>
      <c r="B481" s="16"/>
      <c r="C481" s="16"/>
      <c r="D481" s="16"/>
      <c r="E481" s="16"/>
      <c r="F481" s="109"/>
      <c r="G481" s="109"/>
      <c r="H481" s="109"/>
      <c r="I481" s="109"/>
      <c r="J481" s="109"/>
      <c r="K481" s="109"/>
      <c r="L481" s="109"/>
      <c r="M481" s="109"/>
      <c r="N481" s="109"/>
      <c r="O481" s="109"/>
      <c r="P481" s="109"/>
      <c r="Q481" s="109"/>
      <c r="R481" s="16"/>
      <c r="S481" s="16"/>
      <c r="T481" s="109"/>
      <c r="U481" s="109"/>
      <c r="V481" s="109"/>
      <c r="W481" s="109"/>
      <c r="X481" s="109"/>
      <c r="Y481" s="109"/>
      <c r="Z481" s="109"/>
      <c r="AA481" s="109"/>
      <c r="AB481" s="109"/>
      <c r="AC481" s="16"/>
      <c r="AD481" s="16"/>
      <c r="AE481" s="16"/>
      <c r="AF481" s="16"/>
    </row>
    <row r="482" spans="1:32" x14ac:dyDescent="0.2">
      <c r="A482" s="16"/>
      <c r="B482" s="16"/>
      <c r="C482" s="16"/>
      <c r="D482" s="16"/>
      <c r="E482" s="16"/>
      <c r="F482" s="109"/>
      <c r="G482" s="109"/>
      <c r="H482" s="109"/>
      <c r="I482" s="109"/>
      <c r="J482" s="109"/>
      <c r="K482" s="109"/>
      <c r="L482" s="109"/>
      <c r="M482" s="109"/>
      <c r="N482" s="109"/>
      <c r="O482" s="109"/>
      <c r="P482" s="109"/>
      <c r="Q482" s="109"/>
      <c r="R482" s="16"/>
      <c r="S482" s="16"/>
      <c r="T482" s="109"/>
      <c r="U482" s="109"/>
      <c r="V482" s="109"/>
      <c r="W482" s="109"/>
      <c r="X482" s="109"/>
      <c r="Y482" s="109"/>
      <c r="Z482" s="109"/>
      <c r="AA482" s="109"/>
      <c r="AB482" s="109"/>
      <c r="AC482" s="16"/>
      <c r="AD482" s="16"/>
      <c r="AE482" s="16"/>
      <c r="AF482" s="16"/>
    </row>
    <row r="483" spans="1:32" x14ac:dyDescent="0.2">
      <c r="A483" s="16"/>
      <c r="B483" s="16"/>
      <c r="C483" s="16"/>
      <c r="D483" s="16"/>
      <c r="E483" s="16"/>
      <c r="F483" s="109"/>
      <c r="G483" s="109"/>
      <c r="H483" s="109"/>
      <c r="I483" s="109"/>
      <c r="J483" s="109"/>
      <c r="K483" s="109"/>
      <c r="L483" s="109"/>
      <c r="M483" s="109"/>
      <c r="N483" s="109"/>
      <c r="O483" s="109"/>
      <c r="P483" s="109"/>
      <c r="Q483" s="109"/>
      <c r="R483" s="16"/>
      <c r="S483" s="16"/>
      <c r="T483" s="109"/>
      <c r="U483" s="109"/>
      <c r="V483" s="109"/>
      <c r="W483" s="109"/>
      <c r="X483" s="109"/>
      <c r="Y483" s="109"/>
      <c r="Z483" s="109"/>
      <c r="AA483" s="109"/>
      <c r="AB483" s="109"/>
      <c r="AC483" s="16"/>
      <c r="AD483" s="16"/>
      <c r="AE483" s="16"/>
      <c r="AF483" s="16"/>
    </row>
    <row r="484" spans="1:32" x14ac:dyDescent="0.2">
      <c r="A484" s="16"/>
      <c r="B484" s="16"/>
      <c r="C484" s="16"/>
      <c r="D484" s="16"/>
      <c r="E484" s="16"/>
      <c r="F484" s="109"/>
      <c r="G484" s="109"/>
      <c r="H484" s="109"/>
      <c r="I484" s="109"/>
      <c r="J484" s="109"/>
      <c r="K484" s="109"/>
      <c r="L484" s="109"/>
      <c r="M484" s="109"/>
      <c r="N484" s="109"/>
      <c r="O484" s="109"/>
      <c r="P484" s="109"/>
      <c r="Q484" s="109"/>
      <c r="R484" s="16"/>
      <c r="S484" s="16"/>
      <c r="T484" s="109"/>
      <c r="U484" s="109"/>
      <c r="V484" s="109"/>
      <c r="W484" s="109"/>
      <c r="X484" s="109"/>
      <c r="Y484" s="109"/>
      <c r="Z484" s="109"/>
      <c r="AA484" s="109"/>
      <c r="AB484" s="109"/>
      <c r="AC484" s="16"/>
      <c r="AD484" s="16"/>
      <c r="AE484" s="16"/>
      <c r="AF484" s="16"/>
    </row>
    <row r="485" spans="1:32" x14ac:dyDescent="0.2">
      <c r="A485" s="16"/>
      <c r="B485" s="16"/>
      <c r="C485" s="16"/>
      <c r="D485" s="16"/>
      <c r="E485" s="16"/>
      <c r="F485" s="109"/>
      <c r="G485" s="109"/>
      <c r="H485" s="109"/>
      <c r="I485" s="109"/>
      <c r="J485" s="109"/>
      <c r="K485" s="109"/>
      <c r="L485" s="109"/>
      <c r="M485" s="109"/>
      <c r="N485" s="109"/>
      <c r="O485" s="109"/>
      <c r="P485" s="109"/>
      <c r="Q485" s="109"/>
      <c r="R485" s="16"/>
      <c r="S485" s="16"/>
      <c r="T485" s="109"/>
      <c r="U485" s="109"/>
      <c r="V485" s="109"/>
      <c r="W485" s="109"/>
      <c r="X485" s="109"/>
      <c r="Y485" s="109"/>
      <c r="Z485" s="109"/>
      <c r="AA485" s="109"/>
      <c r="AB485" s="109"/>
      <c r="AC485" s="16"/>
      <c r="AD485" s="16"/>
      <c r="AE485" s="16"/>
      <c r="AF485" s="16"/>
    </row>
    <row r="486" spans="1:32" x14ac:dyDescent="0.2">
      <c r="A486" s="16"/>
      <c r="B486" s="16"/>
      <c r="C486" s="16"/>
      <c r="D486" s="16"/>
      <c r="E486" s="16"/>
      <c r="F486" s="109"/>
      <c r="G486" s="109"/>
      <c r="H486" s="109"/>
      <c r="I486" s="109"/>
      <c r="J486" s="109"/>
      <c r="K486" s="109"/>
      <c r="L486" s="109"/>
      <c r="M486" s="109"/>
      <c r="N486" s="109"/>
      <c r="O486" s="109"/>
      <c r="P486" s="109"/>
      <c r="Q486" s="109"/>
      <c r="R486" s="16"/>
      <c r="S486" s="16"/>
      <c r="T486" s="109"/>
      <c r="U486" s="109"/>
      <c r="V486" s="109"/>
      <c r="W486" s="109"/>
      <c r="X486" s="109"/>
      <c r="Y486" s="109"/>
      <c r="Z486" s="109"/>
      <c r="AA486" s="109"/>
      <c r="AB486" s="109"/>
      <c r="AC486" s="16"/>
      <c r="AD486" s="16"/>
      <c r="AE486" s="16"/>
      <c r="AF486" s="16"/>
    </row>
    <row r="487" spans="1:32" x14ac:dyDescent="0.2">
      <c r="A487" s="16"/>
      <c r="B487" s="16"/>
      <c r="C487" s="16"/>
      <c r="D487" s="16"/>
      <c r="E487" s="16"/>
      <c r="F487" s="109"/>
      <c r="G487" s="109"/>
      <c r="H487" s="109"/>
      <c r="I487" s="109"/>
      <c r="J487" s="109"/>
      <c r="K487" s="109"/>
      <c r="L487" s="109"/>
      <c r="M487" s="109"/>
      <c r="N487" s="109"/>
      <c r="O487" s="109"/>
      <c r="P487" s="109"/>
      <c r="Q487" s="109"/>
      <c r="R487" s="16"/>
      <c r="S487" s="16"/>
      <c r="T487" s="109"/>
      <c r="U487" s="109"/>
      <c r="V487" s="109"/>
      <c r="W487" s="109"/>
      <c r="X487" s="109"/>
      <c r="Y487" s="109"/>
      <c r="Z487" s="109"/>
      <c r="AA487" s="109"/>
      <c r="AB487" s="109"/>
      <c r="AC487" s="16"/>
      <c r="AD487" s="16"/>
      <c r="AE487" s="16"/>
      <c r="AF487" s="16"/>
    </row>
    <row r="488" spans="1:32" x14ac:dyDescent="0.2">
      <c r="A488" s="16"/>
      <c r="B488" s="16"/>
      <c r="C488" s="16"/>
      <c r="D488" s="16"/>
      <c r="E488" s="16"/>
      <c r="F488" s="109"/>
      <c r="G488" s="109"/>
      <c r="H488" s="109"/>
      <c r="I488" s="109"/>
      <c r="J488" s="109"/>
      <c r="K488" s="109"/>
      <c r="L488" s="109"/>
      <c r="M488" s="109"/>
      <c r="N488" s="109"/>
      <c r="O488" s="109"/>
      <c r="P488" s="109"/>
      <c r="Q488" s="109"/>
      <c r="R488" s="16"/>
      <c r="S488" s="16"/>
      <c r="T488" s="109"/>
      <c r="U488" s="109"/>
      <c r="V488" s="109"/>
      <c r="W488" s="109"/>
      <c r="X488" s="109"/>
      <c r="Y488" s="109"/>
      <c r="Z488" s="109"/>
      <c r="AA488" s="109"/>
      <c r="AB488" s="109"/>
      <c r="AC488" s="16"/>
      <c r="AD488" s="16"/>
      <c r="AE488" s="16"/>
      <c r="AF488" s="16"/>
    </row>
    <row r="489" spans="1:32" x14ac:dyDescent="0.2">
      <c r="A489" s="16"/>
      <c r="B489" s="16"/>
      <c r="C489" s="16"/>
      <c r="D489" s="16"/>
      <c r="E489" s="16"/>
      <c r="F489" s="109"/>
      <c r="G489" s="109"/>
      <c r="H489" s="109"/>
      <c r="I489" s="109"/>
      <c r="J489" s="109"/>
      <c r="K489" s="109"/>
      <c r="L489" s="109"/>
      <c r="M489" s="109"/>
      <c r="N489" s="109"/>
      <c r="O489" s="109"/>
      <c r="P489" s="109"/>
      <c r="Q489" s="109"/>
      <c r="R489" s="16"/>
      <c r="S489" s="16"/>
      <c r="T489" s="109"/>
      <c r="U489" s="109"/>
      <c r="V489" s="109"/>
      <c r="W489" s="109"/>
      <c r="X489" s="109"/>
      <c r="Y489" s="109"/>
      <c r="Z489" s="109"/>
      <c r="AA489" s="109"/>
      <c r="AB489" s="109"/>
      <c r="AC489" s="16"/>
      <c r="AD489" s="16"/>
      <c r="AE489" s="16"/>
      <c r="AF489" s="16"/>
    </row>
    <row r="490" spans="1:32" x14ac:dyDescent="0.2">
      <c r="A490" s="16"/>
      <c r="B490" s="16"/>
      <c r="C490" s="16"/>
      <c r="D490" s="16"/>
      <c r="E490" s="16"/>
      <c r="F490" s="109"/>
      <c r="G490" s="109"/>
      <c r="H490" s="109"/>
      <c r="I490" s="109"/>
      <c r="J490" s="109"/>
      <c r="K490" s="109"/>
      <c r="L490" s="109"/>
      <c r="M490" s="109"/>
      <c r="N490" s="109"/>
      <c r="O490" s="109"/>
      <c r="P490" s="109"/>
      <c r="Q490" s="109"/>
      <c r="R490" s="16"/>
      <c r="S490" s="16"/>
      <c r="T490" s="109"/>
      <c r="U490" s="109"/>
      <c r="V490" s="109"/>
      <c r="W490" s="109"/>
      <c r="X490" s="109"/>
      <c r="Y490" s="109"/>
      <c r="Z490" s="109"/>
      <c r="AA490" s="109"/>
      <c r="AB490" s="109"/>
      <c r="AC490" s="16"/>
      <c r="AD490" s="16"/>
      <c r="AE490" s="16"/>
      <c r="AF490" s="16"/>
    </row>
    <row r="491" spans="1:32" x14ac:dyDescent="0.2">
      <c r="A491" s="16"/>
      <c r="B491" s="16"/>
      <c r="C491" s="16"/>
      <c r="D491" s="16"/>
      <c r="E491" s="16"/>
      <c r="F491" s="109"/>
      <c r="G491" s="109"/>
      <c r="H491" s="109"/>
      <c r="I491" s="109"/>
      <c r="J491" s="109"/>
      <c r="K491" s="109"/>
      <c r="L491" s="109"/>
      <c r="M491" s="109"/>
      <c r="N491" s="109"/>
      <c r="O491" s="109"/>
      <c r="P491" s="109"/>
      <c r="Q491" s="109"/>
      <c r="R491" s="16"/>
      <c r="S491" s="16"/>
      <c r="T491" s="109"/>
      <c r="U491" s="109"/>
      <c r="V491" s="109"/>
      <c r="W491" s="109"/>
      <c r="X491" s="109"/>
      <c r="Y491" s="109"/>
      <c r="Z491" s="109"/>
      <c r="AA491" s="109"/>
      <c r="AB491" s="109"/>
      <c r="AC491" s="16"/>
      <c r="AD491" s="16"/>
      <c r="AE491" s="16"/>
      <c r="AF491" s="16"/>
    </row>
    <row r="492" spans="1:32" x14ac:dyDescent="0.2">
      <c r="A492" s="16"/>
      <c r="B492" s="16"/>
      <c r="C492" s="16"/>
      <c r="D492" s="16"/>
      <c r="E492" s="16"/>
      <c r="F492" s="109"/>
      <c r="G492" s="109"/>
      <c r="H492" s="109"/>
      <c r="I492" s="109"/>
      <c r="J492" s="109"/>
      <c r="K492" s="109"/>
      <c r="L492" s="109"/>
      <c r="M492" s="109"/>
      <c r="N492" s="109"/>
      <c r="O492" s="109"/>
      <c r="P492" s="109"/>
      <c r="Q492" s="109"/>
      <c r="R492" s="16"/>
      <c r="S492" s="16"/>
      <c r="T492" s="109"/>
      <c r="U492" s="109"/>
      <c r="V492" s="109"/>
      <c r="W492" s="109"/>
      <c r="X492" s="109"/>
      <c r="Y492" s="109"/>
      <c r="Z492" s="109"/>
      <c r="AA492" s="109"/>
      <c r="AB492" s="109"/>
      <c r="AC492" s="16"/>
      <c r="AD492" s="16"/>
      <c r="AE492" s="16"/>
      <c r="AF492" s="16"/>
    </row>
    <row r="493" spans="1:32" x14ac:dyDescent="0.2">
      <c r="A493" s="16"/>
      <c r="B493" s="16"/>
      <c r="C493" s="16"/>
      <c r="D493" s="16"/>
      <c r="E493" s="16"/>
      <c r="F493" s="109"/>
      <c r="G493" s="109"/>
      <c r="H493" s="109"/>
      <c r="I493" s="109"/>
      <c r="J493" s="109"/>
      <c r="K493" s="109"/>
      <c r="L493" s="109"/>
      <c r="M493" s="109"/>
      <c r="N493" s="109"/>
      <c r="O493" s="109"/>
      <c r="P493" s="109"/>
      <c r="Q493" s="109"/>
      <c r="R493" s="16"/>
      <c r="S493" s="16"/>
      <c r="T493" s="109"/>
      <c r="U493" s="109"/>
      <c r="V493" s="109"/>
      <c r="W493" s="109"/>
      <c r="X493" s="109"/>
      <c r="Y493" s="109"/>
      <c r="Z493" s="109"/>
      <c r="AA493" s="109"/>
      <c r="AB493" s="109"/>
      <c r="AC493" s="16"/>
      <c r="AD493" s="16"/>
      <c r="AE493" s="16"/>
      <c r="AF493" s="16"/>
    </row>
    <row r="494" spans="1:32" x14ac:dyDescent="0.2">
      <c r="A494" s="16"/>
      <c r="B494" s="16"/>
      <c r="C494" s="16"/>
      <c r="D494" s="16"/>
      <c r="E494" s="16"/>
      <c r="F494" s="109"/>
      <c r="G494" s="109"/>
      <c r="H494" s="109"/>
      <c r="I494" s="109"/>
      <c r="J494" s="109"/>
      <c r="K494" s="109"/>
      <c r="L494" s="109"/>
      <c r="M494" s="109"/>
      <c r="N494" s="109"/>
      <c r="O494" s="109"/>
      <c r="P494" s="109"/>
      <c r="Q494" s="109"/>
      <c r="R494" s="16"/>
      <c r="S494" s="16"/>
      <c r="T494" s="109"/>
      <c r="U494" s="109"/>
      <c r="V494" s="109"/>
      <c r="W494" s="109"/>
      <c r="X494" s="109"/>
      <c r="Y494" s="109"/>
      <c r="Z494" s="109"/>
      <c r="AA494" s="109"/>
      <c r="AB494" s="109"/>
      <c r="AC494" s="16"/>
      <c r="AD494" s="16"/>
      <c r="AE494" s="16"/>
      <c r="AF494" s="16"/>
    </row>
    <row r="495" spans="1:32" x14ac:dyDescent="0.2">
      <c r="A495" s="16"/>
      <c r="B495" s="16"/>
      <c r="C495" s="16"/>
      <c r="D495" s="16"/>
      <c r="E495" s="16"/>
      <c r="F495" s="109"/>
      <c r="G495" s="109"/>
      <c r="H495" s="109"/>
      <c r="I495" s="109"/>
      <c r="J495" s="109"/>
      <c r="K495" s="109"/>
      <c r="L495" s="109"/>
      <c r="M495" s="109"/>
      <c r="N495" s="109"/>
      <c r="O495" s="109"/>
      <c r="P495" s="109"/>
      <c r="Q495" s="109"/>
      <c r="R495" s="16"/>
      <c r="S495" s="16"/>
      <c r="T495" s="109"/>
      <c r="U495" s="109"/>
      <c r="V495" s="109"/>
      <c r="W495" s="109"/>
      <c r="X495" s="109"/>
      <c r="Y495" s="109"/>
      <c r="Z495" s="109"/>
      <c r="AA495" s="109"/>
      <c r="AB495" s="109"/>
      <c r="AC495" s="16"/>
      <c r="AD495" s="16"/>
      <c r="AE495" s="16"/>
      <c r="AF495" s="16"/>
    </row>
    <row r="496" spans="1:32" x14ac:dyDescent="0.2">
      <c r="A496" s="16"/>
      <c r="B496" s="16"/>
      <c r="C496" s="16"/>
      <c r="D496" s="16"/>
      <c r="E496" s="16"/>
      <c r="F496" s="109"/>
      <c r="G496" s="109"/>
      <c r="H496" s="109"/>
      <c r="I496" s="109"/>
      <c r="J496" s="109"/>
      <c r="K496" s="109"/>
      <c r="L496" s="109"/>
      <c r="M496" s="109"/>
      <c r="N496" s="109"/>
      <c r="O496" s="109"/>
      <c r="P496" s="109"/>
      <c r="Q496" s="109"/>
      <c r="R496" s="16"/>
      <c r="S496" s="16"/>
      <c r="T496" s="109"/>
      <c r="U496" s="109"/>
      <c r="V496" s="109"/>
      <c r="W496" s="109"/>
      <c r="X496" s="109"/>
      <c r="Y496" s="109"/>
      <c r="Z496" s="109"/>
      <c r="AA496" s="109"/>
      <c r="AB496" s="109"/>
      <c r="AC496" s="16"/>
      <c r="AD496" s="16"/>
      <c r="AE496" s="16"/>
      <c r="AF496" s="16"/>
    </row>
    <row r="497" spans="1:32" x14ac:dyDescent="0.2">
      <c r="A497" s="16"/>
      <c r="B497" s="16"/>
      <c r="C497" s="16"/>
      <c r="D497" s="16"/>
      <c r="E497" s="16"/>
      <c r="F497" s="109"/>
      <c r="G497" s="109"/>
      <c r="H497" s="109"/>
      <c r="I497" s="109"/>
      <c r="J497" s="109"/>
      <c r="K497" s="109"/>
      <c r="L497" s="109"/>
      <c r="M497" s="109"/>
      <c r="N497" s="109"/>
      <c r="O497" s="109"/>
      <c r="P497" s="109"/>
      <c r="Q497" s="109"/>
      <c r="R497" s="16"/>
      <c r="S497" s="16"/>
      <c r="T497" s="109"/>
      <c r="U497" s="109"/>
      <c r="V497" s="109"/>
      <c r="W497" s="109"/>
      <c r="X497" s="109"/>
      <c r="Y497" s="109"/>
      <c r="Z497" s="109"/>
      <c r="AA497" s="109"/>
      <c r="AB497" s="109"/>
      <c r="AC497" s="16"/>
      <c r="AD497" s="16"/>
      <c r="AE497" s="16"/>
      <c r="AF497" s="16"/>
    </row>
    <row r="498" spans="1:32" x14ac:dyDescent="0.2">
      <c r="A498" s="16"/>
      <c r="B498" s="16"/>
      <c r="C498" s="16"/>
      <c r="D498" s="16"/>
      <c r="E498" s="16"/>
      <c r="F498" s="109"/>
      <c r="G498" s="109"/>
      <c r="H498" s="109"/>
      <c r="I498" s="109"/>
      <c r="J498" s="109"/>
      <c r="K498" s="109"/>
      <c r="L498" s="109"/>
      <c r="M498" s="109"/>
      <c r="N498" s="109"/>
      <c r="O498" s="109"/>
      <c r="P498" s="109"/>
      <c r="Q498" s="109"/>
      <c r="R498" s="16"/>
      <c r="S498" s="16"/>
      <c r="T498" s="109"/>
      <c r="U498" s="109"/>
      <c r="V498" s="109"/>
      <c r="W498" s="109"/>
      <c r="X498" s="109"/>
      <c r="Y498" s="109"/>
      <c r="Z498" s="109"/>
      <c r="AA498" s="109"/>
      <c r="AB498" s="109"/>
      <c r="AC498" s="16"/>
      <c r="AD498" s="16"/>
      <c r="AE498" s="16"/>
      <c r="AF498" s="16"/>
    </row>
    <row r="499" spans="1:32" x14ac:dyDescent="0.2">
      <c r="A499" s="16"/>
      <c r="B499" s="16"/>
      <c r="C499" s="16"/>
      <c r="D499" s="16"/>
      <c r="E499" s="16"/>
      <c r="F499" s="109"/>
      <c r="G499" s="109"/>
      <c r="H499" s="109"/>
      <c r="I499" s="109"/>
      <c r="J499" s="109"/>
      <c r="K499" s="109"/>
      <c r="L499" s="109"/>
      <c r="M499" s="109"/>
      <c r="N499" s="109"/>
      <c r="O499" s="109"/>
      <c r="P499" s="109"/>
      <c r="Q499" s="109"/>
      <c r="R499" s="16"/>
      <c r="S499" s="16"/>
      <c r="T499" s="109"/>
      <c r="U499" s="109"/>
      <c r="V499" s="109"/>
      <c r="W499" s="109"/>
      <c r="X499" s="109"/>
      <c r="Y499" s="109"/>
      <c r="Z499" s="109"/>
      <c r="AA499" s="109"/>
      <c r="AB499" s="109"/>
      <c r="AC499" s="16"/>
      <c r="AD499" s="16"/>
      <c r="AE499" s="16"/>
      <c r="AF499" s="16"/>
    </row>
    <row r="500" spans="1:32" x14ac:dyDescent="0.2">
      <c r="A500" s="16"/>
      <c r="B500" s="16"/>
      <c r="C500" s="16"/>
      <c r="D500" s="16"/>
      <c r="E500" s="16"/>
      <c r="F500" s="109"/>
      <c r="G500" s="109"/>
      <c r="H500" s="109"/>
      <c r="I500" s="109"/>
      <c r="J500" s="109"/>
      <c r="K500" s="109"/>
      <c r="L500" s="109"/>
      <c r="M500" s="109"/>
      <c r="N500" s="109"/>
      <c r="O500" s="109"/>
      <c r="P500" s="109"/>
      <c r="Q500" s="109"/>
      <c r="R500" s="16"/>
      <c r="S500" s="16"/>
      <c r="T500" s="109"/>
      <c r="U500" s="109"/>
      <c r="V500" s="109"/>
      <c r="W500" s="109"/>
      <c r="X500" s="109"/>
      <c r="Y500" s="109"/>
      <c r="Z500" s="109"/>
      <c r="AA500" s="109"/>
      <c r="AB500" s="109"/>
      <c r="AC500" s="16"/>
      <c r="AD500" s="16"/>
      <c r="AE500" s="16"/>
      <c r="AF500" s="16"/>
    </row>
    <row r="501" spans="1:32" x14ac:dyDescent="0.2">
      <c r="A501" s="16"/>
      <c r="B501" s="16"/>
      <c r="C501" s="16"/>
      <c r="D501" s="16"/>
      <c r="E501" s="16"/>
      <c r="F501" s="109"/>
      <c r="G501" s="109"/>
      <c r="H501" s="109"/>
      <c r="I501" s="109"/>
      <c r="J501" s="109"/>
      <c r="K501" s="109"/>
      <c r="L501" s="109"/>
      <c r="M501" s="109"/>
      <c r="N501" s="109"/>
      <c r="O501" s="109"/>
      <c r="P501" s="109"/>
      <c r="Q501" s="109"/>
      <c r="R501" s="16"/>
      <c r="S501" s="16"/>
      <c r="T501" s="109"/>
      <c r="U501" s="109"/>
      <c r="V501" s="109"/>
      <c r="W501" s="109"/>
      <c r="X501" s="109"/>
      <c r="Y501" s="109"/>
      <c r="Z501" s="109"/>
      <c r="AA501" s="109"/>
      <c r="AB501" s="109"/>
      <c r="AC501" s="16"/>
      <c r="AD501" s="16"/>
      <c r="AE501" s="16"/>
      <c r="AF501" s="16"/>
    </row>
    <row r="502" spans="1:32" x14ac:dyDescent="0.2">
      <c r="A502" s="16"/>
      <c r="B502" s="16"/>
      <c r="C502" s="16"/>
      <c r="D502" s="16"/>
      <c r="E502" s="16"/>
      <c r="F502" s="109"/>
      <c r="G502" s="109"/>
      <c r="H502" s="109"/>
      <c r="I502" s="109"/>
      <c r="J502" s="109"/>
      <c r="K502" s="109"/>
      <c r="L502" s="109"/>
      <c r="M502" s="109"/>
      <c r="N502" s="109"/>
      <c r="O502" s="109"/>
      <c r="P502" s="109"/>
      <c r="Q502" s="109"/>
      <c r="R502" s="16"/>
      <c r="S502" s="16"/>
      <c r="T502" s="109"/>
      <c r="U502" s="109"/>
      <c r="V502" s="109"/>
      <c r="W502" s="109"/>
      <c r="X502" s="109"/>
      <c r="Y502" s="109"/>
      <c r="Z502" s="109"/>
      <c r="AA502" s="109"/>
      <c r="AB502" s="109"/>
      <c r="AC502" s="16"/>
      <c r="AD502" s="16"/>
      <c r="AE502" s="16"/>
      <c r="AF502" s="16"/>
    </row>
    <row r="503" spans="1:32" x14ac:dyDescent="0.2">
      <c r="A503" s="16"/>
      <c r="B503" s="16"/>
      <c r="C503" s="16"/>
      <c r="D503" s="16"/>
      <c r="E503" s="16"/>
      <c r="F503" s="109"/>
      <c r="G503" s="109"/>
      <c r="H503" s="109"/>
      <c r="I503" s="109"/>
      <c r="J503" s="109"/>
      <c r="K503" s="109"/>
      <c r="L503" s="109"/>
      <c r="M503" s="109"/>
      <c r="N503" s="109"/>
      <c r="O503" s="109"/>
      <c r="P503" s="109"/>
      <c r="Q503" s="109"/>
      <c r="R503" s="16"/>
      <c r="S503" s="16"/>
      <c r="T503" s="109"/>
      <c r="U503" s="109"/>
      <c r="V503" s="109"/>
      <c r="W503" s="109"/>
      <c r="X503" s="109"/>
      <c r="Y503" s="109"/>
      <c r="Z503" s="109"/>
      <c r="AA503" s="109"/>
      <c r="AB503" s="109"/>
      <c r="AC503" s="16"/>
      <c r="AD503" s="16"/>
      <c r="AE503" s="16"/>
      <c r="AF503" s="16"/>
    </row>
    <row r="504" spans="1:32" x14ac:dyDescent="0.2">
      <c r="A504" s="16"/>
      <c r="B504" s="16"/>
      <c r="C504" s="16"/>
      <c r="D504" s="16"/>
      <c r="E504" s="16"/>
      <c r="F504" s="109"/>
      <c r="G504" s="109"/>
      <c r="H504" s="109"/>
      <c r="I504" s="109"/>
      <c r="J504" s="109"/>
      <c r="K504" s="109"/>
      <c r="L504" s="109"/>
      <c r="M504" s="109"/>
      <c r="N504" s="109"/>
      <c r="O504" s="109"/>
      <c r="P504" s="109"/>
      <c r="Q504" s="109"/>
      <c r="R504" s="16"/>
      <c r="S504" s="16"/>
      <c r="T504" s="109"/>
      <c r="U504" s="109"/>
      <c r="V504" s="109"/>
      <c r="W504" s="109"/>
      <c r="X504" s="109"/>
      <c r="Y504" s="109"/>
      <c r="Z504" s="109"/>
      <c r="AA504" s="109"/>
      <c r="AB504" s="109"/>
      <c r="AC504" s="16"/>
      <c r="AD504" s="16"/>
      <c r="AE504" s="16"/>
      <c r="AF504" s="16"/>
    </row>
    <row r="505" spans="1:32" x14ac:dyDescent="0.2">
      <c r="A505" s="16"/>
      <c r="B505" s="16"/>
      <c r="C505" s="16"/>
      <c r="D505" s="16"/>
      <c r="E505" s="16"/>
      <c r="F505" s="109"/>
      <c r="G505" s="109"/>
      <c r="H505" s="109"/>
      <c r="I505" s="109"/>
      <c r="J505" s="109"/>
      <c r="K505" s="109"/>
      <c r="L505" s="109"/>
      <c r="M505" s="109"/>
      <c r="N505" s="109"/>
      <c r="O505" s="109"/>
      <c r="P505" s="109"/>
      <c r="Q505" s="109"/>
      <c r="R505" s="16"/>
      <c r="S505" s="16"/>
      <c r="T505" s="109"/>
      <c r="U505" s="109"/>
      <c r="V505" s="109"/>
      <c r="W505" s="109"/>
      <c r="X505" s="109"/>
      <c r="Y505" s="109"/>
      <c r="Z505" s="109"/>
      <c r="AA505" s="109"/>
      <c r="AB505" s="109"/>
      <c r="AC505" s="16"/>
      <c r="AD505" s="16"/>
      <c r="AE505" s="16"/>
      <c r="AF505" s="16"/>
    </row>
    <row r="506" spans="1:32" x14ac:dyDescent="0.2">
      <c r="A506" s="16"/>
      <c r="B506" s="16"/>
      <c r="C506" s="16"/>
      <c r="D506" s="16"/>
      <c r="E506" s="16"/>
      <c r="F506" s="109"/>
      <c r="G506" s="109"/>
      <c r="H506" s="109"/>
      <c r="I506" s="109"/>
      <c r="J506" s="109"/>
      <c r="K506" s="109"/>
      <c r="L506" s="109"/>
      <c r="M506" s="109"/>
      <c r="N506" s="109"/>
      <c r="O506" s="109"/>
      <c r="P506" s="109"/>
      <c r="Q506" s="109"/>
      <c r="R506" s="16"/>
      <c r="S506" s="16"/>
      <c r="T506" s="109"/>
      <c r="U506" s="109"/>
      <c r="V506" s="109"/>
      <c r="W506" s="109"/>
      <c r="X506" s="109"/>
      <c r="Y506" s="109"/>
      <c r="Z506" s="109"/>
      <c r="AA506" s="109"/>
      <c r="AB506" s="109"/>
      <c r="AC506" s="16"/>
      <c r="AD506" s="16"/>
      <c r="AE506" s="16"/>
      <c r="AF506" s="16"/>
    </row>
    <row r="507" spans="1:32" x14ac:dyDescent="0.2">
      <c r="A507" s="16"/>
      <c r="B507" s="16"/>
      <c r="C507" s="16"/>
      <c r="D507" s="16"/>
      <c r="E507" s="16"/>
      <c r="F507" s="109"/>
      <c r="G507" s="109"/>
      <c r="H507" s="109"/>
      <c r="I507" s="109"/>
      <c r="J507" s="109"/>
      <c r="K507" s="109"/>
      <c r="L507" s="109"/>
      <c r="M507" s="109"/>
      <c r="N507" s="109"/>
      <c r="O507" s="109"/>
      <c r="P507" s="109"/>
      <c r="Q507" s="109"/>
      <c r="R507" s="16"/>
      <c r="S507" s="16"/>
      <c r="T507" s="109"/>
      <c r="U507" s="109"/>
      <c r="V507" s="109"/>
      <c r="W507" s="109"/>
      <c r="X507" s="109"/>
      <c r="Y507" s="109"/>
      <c r="Z507" s="109"/>
      <c r="AA507" s="109"/>
      <c r="AB507" s="109"/>
      <c r="AC507" s="16"/>
      <c r="AD507" s="16"/>
      <c r="AE507" s="16"/>
      <c r="AF507" s="16"/>
    </row>
    <row r="508" spans="1:32" x14ac:dyDescent="0.2">
      <c r="A508" s="16"/>
      <c r="B508" s="16"/>
      <c r="C508" s="16"/>
      <c r="D508" s="16"/>
      <c r="E508" s="16"/>
      <c r="F508" s="109"/>
      <c r="G508" s="109"/>
      <c r="H508" s="109"/>
      <c r="I508" s="109"/>
      <c r="J508" s="109"/>
      <c r="K508" s="109"/>
      <c r="L508" s="109"/>
      <c r="M508" s="109"/>
      <c r="N508" s="109"/>
      <c r="O508" s="109"/>
      <c r="P508" s="109"/>
      <c r="Q508" s="109"/>
      <c r="R508" s="16"/>
      <c r="S508" s="16"/>
      <c r="T508" s="109"/>
      <c r="U508" s="109"/>
      <c r="V508" s="109"/>
      <c r="W508" s="109"/>
      <c r="X508" s="109"/>
      <c r="Y508" s="109"/>
      <c r="Z508" s="109"/>
      <c r="AA508" s="109"/>
      <c r="AB508" s="109"/>
      <c r="AC508" s="16"/>
      <c r="AD508" s="16"/>
      <c r="AE508" s="16"/>
      <c r="AF508" s="16"/>
    </row>
    <row r="509" spans="1:32" x14ac:dyDescent="0.2">
      <c r="A509" s="16"/>
      <c r="B509" s="16"/>
      <c r="C509" s="16"/>
      <c r="D509" s="16"/>
      <c r="E509" s="16"/>
      <c r="F509" s="109"/>
      <c r="G509" s="109"/>
      <c r="H509" s="109"/>
      <c r="I509" s="109"/>
      <c r="J509" s="109"/>
      <c r="K509" s="109"/>
      <c r="L509" s="109"/>
      <c r="M509" s="109"/>
      <c r="N509" s="109"/>
      <c r="O509" s="109"/>
      <c r="P509" s="109"/>
      <c r="Q509" s="109"/>
      <c r="R509" s="16"/>
      <c r="S509" s="16"/>
      <c r="T509" s="109"/>
      <c r="U509" s="109"/>
      <c r="V509" s="109"/>
      <c r="W509" s="109"/>
      <c r="X509" s="109"/>
      <c r="Y509" s="109"/>
      <c r="Z509" s="109"/>
      <c r="AA509" s="109"/>
      <c r="AB509" s="109"/>
      <c r="AC509" s="16"/>
      <c r="AD509" s="16"/>
      <c r="AE509" s="16"/>
      <c r="AF509" s="16"/>
    </row>
    <row r="510" spans="1:32" x14ac:dyDescent="0.2">
      <c r="A510" s="16"/>
      <c r="B510" s="16"/>
      <c r="C510" s="16"/>
      <c r="D510" s="16"/>
      <c r="E510" s="16"/>
      <c r="F510" s="109"/>
      <c r="G510" s="109"/>
      <c r="H510" s="109"/>
      <c r="I510" s="109"/>
      <c r="J510" s="109"/>
      <c r="K510" s="109"/>
      <c r="L510" s="109"/>
      <c r="M510" s="109"/>
      <c r="N510" s="109"/>
      <c r="O510" s="109"/>
      <c r="P510" s="109"/>
      <c r="Q510" s="109"/>
      <c r="R510" s="16"/>
      <c r="S510" s="16"/>
      <c r="T510" s="109"/>
      <c r="U510" s="109"/>
      <c r="V510" s="109"/>
      <c r="W510" s="109"/>
      <c r="X510" s="109"/>
      <c r="Y510" s="109"/>
      <c r="Z510" s="109"/>
      <c r="AA510" s="109"/>
      <c r="AB510" s="109"/>
      <c r="AC510" s="16"/>
      <c r="AD510" s="16"/>
      <c r="AE510" s="16"/>
      <c r="AF510" s="16"/>
    </row>
    <row r="511" spans="1:32" x14ac:dyDescent="0.2">
      <c r="B511" s="16"/>
      <c r="C511" s="16"/>
      <c r="D511" s="16"/>
      <c r="E511" s="16"/>
      <c r="F511" s="109"/>
      <c r="G511" s="109"/>
    </row>
    <row r="512" spans="1:32" x14ac:dyDescent="0.2">
      <c r="C512" s="16"/>
      <c r="D512" s="16"/>
      <c r="E512" s="16"/>
      <c r="F512" s="109"/>
      <c r="G512" s="109"/>
    </row>
    <row r="513" spans="3:7" x14ac:dyDescent="0.2">
      <c r="C513" s="16"/>
      <c r="D513" s="16"/>
      <c r="E513" s="16"/>
      <c r="F513" s="109"/>
      <c r="G513" s="109"/>
    </row>
  </sheetData>
  <sheetProtection algorithmName="SHA-512" hashValue="a05FjQeiUoKC/Tii076CDt+xu9gUHBRqZ0wnZDw0lqC6ghysXYhjwfVe9tFsJE4beQMIyY/fsJEBoOmfwFrh/Q==" saltValue="SXtTpxLuiI+q6FitXNT5dw==" spinCount="100000" sheet="1" objects="1" scenarios="1"/>
  <protectedRanges>
    <protectedRange sqref="L6:L34" name="PTP Addl Years"/>
    <protectedRange sqref="D6:D34" name="PTP Qty"/>
  </protectedRanges>
  <phoneticPr fontId="21" type="noConversion"/>
  <conditionalFormatting sqref="F35:G38">
    <cfRule type="expression" dxfId="165" priority="127">
      <formula>CCAdv_Upgrade="Yes"</formula>
    </cfRule>
  </conditionalFormatting>
  <conditionalFormatting sqref="F6:H13">
    <cfRule type="expression" dxfId="164" priority="35" stopIfTrue="1">
      <formula>OR(FWB_CCPro,FWB_CCPrime,FWB_NoCC)</formula>
    </cfRule>
  </conditionalFormatting>
  <conditionalFormatting sqref="F15:H31">
    <cfRule type="expression" dxfId="163" priority="24" stopIfTrue="1">
      <formula>OR(FWB_CCPro,FWB_CCPrime,FWB_NoCC)</formula>
    </cfRule>
  </conditionalFormatting>
  <conditionalFormatting sqref="F33:H34">
    <cfRule type="expression" dxfId="162" priority="29">
      <formula>OR(FWB_CCPro,FWB_CCPrime,FWB_NoCC)</formula>
    </cfRule>
  </conditionalFormatting>
  <conditionalFormatting sqref="D33:M34 D6:M13 D15:M31">
    <cfRule type="expression" dxfId="161" priority="11" stopIfTrue="1">
      <formula>_Dev="Ent"</formula>
    </cfRule>
  </conditionalFormatting>
  <conditionalFormatting sqref="H35:H37">
    <cfRule type="expression" dxfId="160" priority="32">
      <formula>SUM($D$13:$D$23)=0</formula>
    </cfRule>
  </conditionalFormatting>
  <conditionalFormatting sqref="H6:J13">
    <cfRule type="expression" dxfId="159" priority="31" stopIfTrue="1">
      <formula>Service="cnMaestro X"</formula>
    </cfRule>
  </conditionalFormatting>
  <conditionalFormatting sqref="H15:J31">
    <cfRule type="expression" dxfId="158" priority="14" stopIfTrue="1">
      <formula>Service="cnMaestro X"</formula>
    </cfRule>
  </conditionalFormatting>
  <conditionalFormatting sqref="H33:J34">
    <cfRule type="expression" dxfId="157" priority="27">
      <formula>Service="cnMaestro X"</formula>
    </cfRule>
  </conditionalFormatting>
  <conditionalFormatting sqref="L6:M13">
    <cfRule type="expression" dxfId="156" priority="26" stopIfTrue="1">
      <formula>FWB_CCPrime</formula>
    </cfRule>
  </conditionalFormatting>
  <conditionalFormatting sqref="L15:M31">
    <cfRule type="expression" dxfId="155" priority="12" stopIfTrue="1">
      <formula>FWB_CCPrime</formula>
    </cfRule>
  </conditionalFormatting>
  <conditionalFormatting sqref="L33:M34">
    <cfRule type="expression" dxfId="154" priority="21" stopIfTrue="1">
      <formula>FWB_CCPrime</formula>
    </cfRule>
  </conditionalFormatting>
  <conditionalFormatting sqref="L6:L13">
    <cfRule type="cellIs" dxfId="153" priority="38" operator="equal">
      <formula>"Choose"</formula>
    </cfRule>
  </conditionalFormatting>
  <conditionalFormatting sqref="L15:L31">
    <cfRule type="cellIs" dxfId="152" priority="28" operator="equal">
      <formula>"Choose"</formula>
    </cfRule>
  </conditionalFormatting>
  <conditionalFormatting sqref="L33:L34">
    <cfRule type="cellIs" dxfId="151" priority="36" operator="equal">
      <formula>"Choose"</formula>
    </cfRule>
  </conditionalFormatting>
  <conditionalFormatting sqref="D13">
    <cfRule type="expression" dxfId="150" priority="20">
      <formula>$F13&gt;0</formula>
    </cfRule>
  </conditionalFormatting>
  <conditionalFormatting sqref="L24">
    <cfRule type="expression" dxfId="149" priority="10" stopIfTrue="1">
      <formula>FWB_CCPrime</formula>
    </cfRule>
  </conditionalFormatting>
  <conditionalFormatting sqref="L28">
    <cfRule type="expression" dxfId="148" priority="9" stopIfTrue="1">
      <formula>FWB_CCPrime</formula>
    </cfRule>
  </conditionalFormatting>
  <conditionalFormatting sqref="N1:AD35">
    <cfRule type="expression" dxfId="147" priority="8">
      <formula>Hide_Calc="Yes"</formula>
    </cfRule>
  </conditionalFormatting>
  <conditionalFormatting sqref="C39:F43">
    <cfRule type="expression" dxfId="146" priority="7">
      <formula>Hide_Calc="Yes"</formula>
    </cfRule>
  </conditionalFormatting>
  <conditionalFormatting sqref="F3">
    <cfRule type="containsText" dxfId="145" priority="6" operator="containsText" text="Go to">
      <formula>NOT(ISERROR(SEARCH("Go to",F3)))</formula>
    </cfRule>
  </conditionalFormatting>
  <conditionalFormatting sqref="G3:I3">
    <cfRule type="expression" dxfId="144" priority="5">
      <formula>$F$3="Go to the START HERE worksheet and make the required choices"</formula>
    </cfRule>
  </conditionalFormatting>
  <conditionalFormatting sqref="K35:L35">
    <cfRule type="expression" dxfId="143" priority="4">
      <formula>Hide_Calc="Yes"</formula>
    </cfRule>
  </conditionalFormatting>
  <conditionalFormatting sqref="D6:D13">
    <cfRule type="cellIs" dxfId="142" priority="3" operator="greaterThan">
      <formula>0</formula>
    </cfRule>
  </conditionalFormatting>
  <conditionalFormatting sqref="D15:D31">
    <cfRule type="cellIs" dxfId="141" priority="2" operator="greaterThan">
      <formula>0</formula>
    </cfRule>
  </conditionalFormatting>
  <conditionalFormatting sqref="D33:D34">
    <cfRule type="cellIs" dxfId="140" priority="1" operator="greaterThan">
      <formula>0</formula>
    </cfRule>
  </conditionalFormatting>
  <dataValidations count="3">
    <dataValidation allowBlank="1" showInputMessage="1" sqref="N6:O34" xr:uid="{C09AA95D-8E2B-4218-818C-DC27D7FD4DF9}"/>
    <dataValidation type="list" allowBlank="1" showInputMessage="1" sqref="L11:L13" xr:uid="{940E3D2E-D0C8-4630-90F0-A1D53F11E75C}">
      <formula1>IF(NOT(Start_Here_Complete),_Y0,IF(AND(EW,U11=2),_Y2EW,IF(AND(EW,U11=4),_Y4AR,IF(AND(EW,U11="N/A"),_NA,IF(AND(AR,V11=2),_Y2AR,IF(AND(AR,V11=4),_Y4AR,IF(AND(AR,V11="N/A"),_NA,_NA)))))))</formula1>
    </dataValidation>
    <dataValidation type="list" allowBlank="1" showInputMessage="1" sqref="L6:L10 L15:L31 L33:L34" xr:uid="{A314715E-DA22-40FA-8D74-CAF5A723885A}">
      <formula1>IF(NOT(Start_Here_Complete),_Y0,IF(AND(EW,U6=2),_Y2EW,IF(AND(EW,U6=4),_Y4EW,IF(AND(EW,U6="N/A"),_NA,IF(AND(AR,V6=2),_Y2AR,IF(AND(AR,V6=4),_Y4AR,IF(AND(AR,V6="N/A"),_NA,_NA)))))))</formula1>
    </dataValidation>
  </dataValidations>
  <pageMargins left="0.7" right="0.7" top="0.75" bottom="0.75" header="0.3" footer="0.3"/>
  <pageSetup orientation="portrait" r:id="rId1"/>
  <ignoredErrors>
    <ignoredError sqref="M1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C41CE-9F70-4EF4-985B-B6F34A973C2E}">
  <sheetPr>
    <tabColor theme="4" tint="0.79998168889431442"/>
  </sheetPr>
  <dimension ref="A1:AH512"/>
  <sheetViews>
    <sheetView zoomScaleNormal="100" workbookViewId="0">
      <pane ySplit="5" topLeftCell="A6" activePane="bottomLeft" state="frozen"/>
      <selection pane="bottomLeft"/>
    </sheetView>
  </sheetViews>
  <sheetFormatPr baseColWidth="10" defaultColWidth="8.83203125" defaultRowHeight="15" x14ac:dyDescent="0.2"/>
  <cols>
    <col min="1" max="2" width="1.83203125" customWidth="1"/>
    <col min="3" max="3" width="33.1640625" customWidth="1"/>
    <col min="4" max="5" width="11.6640625" customWidth="1"/>
    <col min="6" max="6" width="12.6640625" style="7" customWidth="1"/>
    <col min="7" max="7" width="10.6640625" style="7" customWidth="1"/>
    <col min="8" max="8" width="12.6640625" style="7" customWidth="1"/>
    <col min="9" max="9" width="18.6640625" style="7" customWidth="1"/>
    <col min="10" max="10" width="13.1640625" style="7" customWidth="1"/>
    <col min="11" max="11" width="18.6640625" style="7" customWidth="1"/>
    <col min="12" max="12" width="13.6640625" style="7" customWidth="1"/>
    <col min="13" max="15" width="10.6640625" style="7" customWidth="1"/>
    <col min="16" max="17" width="10.6640625" customWidth="1"/>
    <col min="18" max="28" width="10.6640625" style="7" customWidth="1"/>
  </cols>
  <sheetData>
    <row r="1" spans="1:34" ht="14.5" customHeight="1" x14ac:dyDescent="0.2">
      <c r="A1" s="16"/>
      <c r="B1" s="16"/>
      <c r="C1" s="16"/>
      <c r="D1" s="16"/>
      <c r="E1" s="16"/>
      <c r="F1" s="109"/>
      <c r="G1" s="109"/>
      <c r="H1" s="109"/>
      <c r="I1" s="109"/>
      <c r="J1" s="109"/>
      <c r="K1" s="109"/>
      <c r="L1" s="110"/>
      <c r="M1" s="109"/>
      <c r="N1" s="152" t="s">
        <v>6266</v>
      </c>
      <c r="O1" s="152" t="s">
        <v>400</v>
      </c>
      <c r="P1" s="152" t="s">
        <v>6242</v>
      </c>
      <c r="Q1" s="152" t="s">
        <v>6263</v>
      </c>
      <c r="R1" s="152" t="s">
        <v>6264</v>
      </c>
      <c r="S1" s="152" t="s">
        <v>1628</v>
      </c>
      <c r="T1" s="211" t="s">
        <v>1262</v>
      </c>
      <c r="U1" s="152" t="s">
        <v>6332</v>
      </c>
      <c r="V1" s="152" t="s">
        <v>6333</v>
      </c>
      <c r="W1" s="109"/>
      <c r="X1" s="109"/>
      <c r="Y1" s="109"/>
      <c r="Z1" s="109"/>
      <c r="AA1" s="109"/>
      <c r="AB1" s="109"/>
      <c r="AC1" s="16"/>
      <c r="AD1" s="16"/>
      <c r="AE1" s="16"/>
      <c r="AF1" s="16"/>
    </row>
    <row r="2" spans="1:34" ht="24" customHeight="1" x14ac:dyDescent="0.3">
      <c r="A2" s="16"/>
      <c r="B2" s="32" t="s">
        <v>6221</v>
      </c>
      <c r="C2" s="23"/>
      <c r="D2" s="23"/>
      <c r="E2" s="23"/>
      <c r="F2" s="23"/>
      <c r="G2" s="23"/>
      <c r="H2" s="23"/>
      <c r="I2" s="23"/>
      <c r="J2" s="23"/>
      <c r="K2" s="23"/>
      <c r="L2" s="23"/>
      <c r="M2" s="23"/>
      <c r="N2" s="206" t="str">
        <f>Scenario</f>
        <v>Selections are incomplete</v>
      </c>
      <c r="O2" s="128" t="str">
        <f>Service</f>
        <v>Choose</v>
      </c>
      <c r="P2" s="128" t="str">
        <f>Device_Type</f>
        <v>Choose</v>
      </c>
      <c r="Q2" s="185"/>
      <c r="R2" s="128" t="str">
        <f>Hardware_Support</f>
        <v>Choose</v>
      </c>
      <c r="S2" s="128" t="b">
        <f>EW</f>
        <v>0</v>
      </c>
      <c r="T2" s="155" t="b">
        <f>AR</f>
        <v>0</v>
      </c>
      <c r="U2" s="132" t="b">
        <f>FWB_CCPro</f>
        <v>0</v>
      </c>
      <c r="V2" s="128" t="b">
        <f>FWB_CCPrime</f>
        <v>0</v>
      </c>
      <c r="W2" s="109"/>
      <c r="X2" s="109"/>
      <c r="Y2" s="109"/>
      <c r="Z2" s="109"/>
      <c r="AA2" s="109"/>
      <c r="AB2" s="109"/>
      <c r="AC2" s="16"/>
      <c r="AD2" s="16"/>
      <c r="AE2" s="16"/>
      <c r="AF2" s="16"/>
    </row>
    <row r="3" spans="1:34" ht="18" customHeight="1" thickBot="1" x14ac:dyDescent="0.25">
      <c r="A3" s="16"/>
      <c r="B3" s="16"/>
      <c r="C3" s="16"/>
      <c r="D3" s="16"/>
      <c r="E3" s="16"/>
      <c r="F3" s="220" t="str">
        <f>IF(NOT(Start_Here_Complete),"Go to the START HERE worksheet and make the required choices"," ")</f>
        <v>Go to the START HERE worksheet and make the required choices</v>
      </c>
      <c r="G3" s="221"/>
      <c r="H3" s="221"/>
      <c r="I3" s="221"/>
      <c r="J3" s="109"/>
      <c r="K3" s="109"/>
      <c r="L3" s="109"/>
      <c r="M3" s="210"/>
      <c r="N3" s="128"/>
      <c r="O3" s="128"/>
      <c r="P3" s="128"/>
      <c r="Q3" s="206" t="str">
        <f>CC_Type</f>
        <v>Choose</v>
      </c>
      <c r="R3" s="128" t="b">
        <f>EW</f>
        <v>0</v>
      </c>
      <c r="S3" s="128"/>
      <c r="T3" s="155"/>
      <c r="U3" s="128"/>
      <c r="V3" s="128"/>
      <c r="W3" s="109"/>
      <c r="X3" s="109"/>
      <c r="Y3" s="109"/>
      <c r="Z3" s="109"/>
      <c r="AA3" s="109"/>
      <c r="AB3" s="109"/>
      <c r="AC3" s="16"/>
      <c r="AD3" s="16"/>
      <c r="AE3" s="16"/>
      <c r="AF3" s="16"/>
    </row>
    <row r="4" spans="1:34" ht="30" customHeight="1" thickBot="1" x14ac:dyDescent="0.25">
      <c r="A4" s="16"/>
      <c r="B4" s="33"/>
      <c r="C4" s="111" t="s">
        <v>1137</v>
      </c>
      <c r="D4" s="112" t="s">
        <v>3</v>
      </c>
      <c r="E4" s="113" t="s">
        <v>6239</v>
      </c>
      <c r="F4" s="113" t="s">
        <v>6271</v>
      </c>
      <c r="G4" s="113" t="s">
        <v>5909</v>
      </c>
      <c r="H4" s="113" t="s">
        <v>5907</v>
      </c>
      <c r="I4" s="113" t="str">
        <f>IF(AND(Service="Standalone Support",Device_Type="Fixed Wireless Broadband"),"Cambium Care Program/Service Cat",
"Cambium Care Program")</f>
        <v>Cambium Care Program</v>
      </c>
      <c r="J4" s="113" t="s">
        <v>6270</v>
      </c>
      <c r="K4" s="113" t="s">
        <v>6380</v>
      </c>
      <c r="L4" s="113" t="str">
        <f>IF(RIGHT(Scenario,2)="EW","Add'l Years Ext Wty",
IF(RIGHT(Scenario,2)="AR","Add'l Years ARAR",
"Add'l
Years"))</f>
        <v>Add'l
Years</v>
      </c>
      <c r="M4" s="116" t="s">
        <v>6260</v>
      </c>
      <c r="N4" s="209" t="s">
        <v>6364</v>
      </c>
      <c r="O4" s="172"/>
      <c r="P4" s="173"/>
      <c r="Q4" s="173"/>
      <c r="R4" s="172"/>
      <c r="S4" s="172"/>
      <c r="T4" s="172"/>
      <c r="U4" s="172"/>
      <c r="V4" s="172"/>
      <c r="W4" s="172"/>
      <c r="X4" s="172"/>
      <c r="Y4" s="172"/>
      <c r="Z4" s="172"/>
      <c r="AA4" s="172"/>
      <c r="AB4" s="172"/>
      <c r="AC4" s="173"/>
      <c r="AD4" s="16"/>
      <c r="AE4" s="16"/>
      <c r="AF4" s="16"/>
    </row>
    <row r="5" spans="1:34" ht="16" thickBot="1" x14ac:dyDescent="0.25">
      <c r="A5" s="16"/>
      <c r="B5" s="36"/>
      <c r="C5" s="91" t="s">
        <v>6225</v>
      </c>
      <c r="D5" s="92"/>
      <c r="E5" s="92"/>
      <c r="F5" s="92"/>
      <c r="G5" s="92"/>
      <c r="H5" s="92"/>
      <c r="I5" s="92"/>
      <c r="J5" s="92"/>
      <c r="K5" s="92"/>
      <c r="L5" s="92"/>
      <c r="M5" s="106"/>
      <c r="N5" s="152" t="s">
        <v>6268</v>
      </c>
      <c r="O5" s="152" t="s">
        <v>6403</v>
      </c>
      <c r="P5" s="129" t="s">
        <v>6389</v>
      </c>
      <c r="Q5" s="129" t="s">
        <v>6366</v>
      </c>
      <c r="R5" s="129" t="s">
        <v>6368</v>
      </c>
      <c r="S5" s="129" t="s">
        <v>6367</v>
      </c>
      <c r="T5" s="129" t="s">
        <v>6363</v>
      </c>
      <c r="U5" s="129" t="s">
        <v>5972</v>
      </c>
      <c r="V5" s="129" t="s">
        <v>5973</v>
      </c>
      <c r="W5" s="129" t="s">
        <v>5965</v>
      </c>
      <c r="X5" s="129" t="s">
        <v>5966</v>
      </c>
      <c r="Y5" s="152" t="s">
        <v>5964</v>
      </c>
      <c r="Z5" s="129" t="s">
        <v>5967</v>
      </c>
      <c r="AA5" s="129" t="s">
        <v>5968</v>
      </c>
      <c r="AB5" s="129" t="s">
        <v>5969</v>
      </c>
      <c r="AC5" s="129" t="s">
        <v>5970</v>
      </c>
      <c r="AD5" s="129" t="s">
        <v>5971</v>
      </c>
      <c r="AE5" s="16"/>
      <c r="AF5" s="16"/>
      <c r="AG5" s="16"/>
      <c r="AH5" s="16"/>
    </row>
    <row r="6" spans="1:34" ht="16" thickBot="1" x14ac:dyDescent="0.25">
      <c r="A6" s="16"/>
      <c r="B6" s="40"/>
      <c r="C6" s="16" t="s">
        <v>6222</v>
      </c>
      <c r="D6" s="56">
        <v>0</v>
      </c>
      <c r="E6" s="135" t="s">
        <v>5960</v>
      </c>
      <c r="F6" s="224" t="str">
        <f>IF(NOT(Start_Here_Complete)," ",
IF(D6=0," ",
IF(AND(Service="cnMaestro X",P6&lt;&gt;"N/A"),P6,
IF(AND(Service="cnMaestro X",P6="N/A"),"Not Available",
" "))))</f>
        <v xml:space="preserve"> </v>
      </c>
      <c r="G6" s="114" t="str">
        <f>IF(NOT(Start_Here_Complete)," ",
IF(D6=0," ",
IF(AND(Service="cnMaestro X",P6&lt;&gt;"N/A",P6&lt;&gt;"Free Tier"),cnMX_Term,
IF(AND(Service="cnMaestro X",P6="Free Tier")," ",
IF(AND(Service="cnMaestro X",P6="N/A")," ",
" ")))))</f>
        <v xml:space="preserve"> </v>
      </c>
      <c r="H6" s="214"/>
      <c r="I6" s="151" t="str">
        <f>IF(NOT((Start_Here_Complete))," ",
IF(D6=0," ",
IF(R6="Pro Go",CONCATENATE("CC Pro ",Q6),
IF(R6="Pro N/R","CC Pro not req'd *",
IF(T6="Prime Go",CONCATENATE("CC Prime ",S6),
IF(T6="Prime N/R","CC Prime not req'd *",
IF(T6="Prime N/A","Prime not available",
IF(CC_Type="Decline Cambium Care","CC Declined",
" "))))))))</f>
        <v xml:space="preserve"> </v>
      </c>
      <c r="J6" s="114" t="str">
        <f>IF(NOT(Start_Here_Complete)," ",
IF(D6=0," ",
IF(R6="Pro Go","1 year",
IF(T6="Prime Go","1 Year",
" "))))</f>
        <v xml:space="preserve"> </v>
      </c>
      <c r="K6" s="114" t="str">
        <f>IF(NOT(Start_Here_Complete)," ",
IF(D6=0," ",
IF(AND(EW,U6&lt;&gt;"N/A"),"Extended Warranty",
IF(AND(EW,U6="N/A"),"Ext Wty not available",
IF(AND(AR,V6&lt;&gt;"N/A"),"All Risks Adv Replace",
IF(AND(AR,V6="N/A"),"ARAR not available",
IF(NoHW,"HW Support Declined",
IF(AND(FWB_CCPrime,T6="Prime Go"),"ARAR included",
IF(Ent_CCAdv,"Includes Adv Repl",
"X")))))))))</f>
        <v xml:space="preserve"> </v>
      </c>
      <c r="L6" s="213" t="str">
        <f>N6</f>
        <v xml:space="preserve"> </v>
      </c>
      <c r="M6" s="212" t="str">
        <f>IF(NOT(Start_Here_Complete)," ",
IF(D6=0," ",
IF(OR(FWB_CCPrime,Ent_CCAdv)," ",
"3 years")))</f>
        <v xml:space="preserve"> </v>
      </c>
      <c r="N6" s="171" t="str">
        <f>IF(D6=0," ",
IF(AND(EW,U6&lt;&gt;"N/A"),"Choose",
IF(AND(AR,V6&lt;&gt;"N/A"),"Choose",
" ")))</f>
        <v xml:space="preserve"> </v>
      </c>
      <c r="O6" s="128">
        <f>IF(AND(D6=0,L6=" "),0,1)</f>
        <v>0</v>
      </c>
      <c r="P6" s="194" t="s">
        <v>6246</v>
      </c>
      <c r="Q6" s="288" t="s">
        <v>6250</v>
      </c>
      <c r="R6" s="128" t="str">
        <f>IF(AND(FWB_CCPro,Q6&lt;&gt;"N/R"),"Pro Go",
IF(AND(FWB_CCPro,Q6="N/R"),"Pro N/R",
"Pro No"))</f>
        <v>Pro No</v>
      </c>
      <c r="S6" s="288" t="s">
        <v>6250</v>
      </c>
      <c r="T6" s="128" t="str">
        <f>IF(AND(FWB_CCPrime,AND(S6&lt;&gt;"N/R",S6&lt;&gt;"N/A")),"Prime Go",
IF(AND(FWB_CCPrime,S6="N/R"),"Prime N/R",
IF(AND(FWB_CCPrime,S6="N/A"),"Prime N/A",
"Prime No")))</f>
        <v>Prime No</v>
      </c>
      <c r="U6" s="128" t="s">
        <v>1226</v>
      </c>
      <c r="V6" s="128" t="s">
        <v>1226</v>
      </c>
      <c r="W6" s="128">
        <f>IF(NOT(Start_Here_Complete),0,
IF(D6=0,0,
IF(AND(Service="Standalone Support",Device_Type="Enterprise &amp; cnWave"),0,
IF(AND(FWB_CCPro,Q6="SC10"),D6,
IF(AND(FWB_CCPrime,S6="SC10"),D6,
0)))))</f>
        <v>0</v>
      </c>
      <c r="X6" s="128">
        <f>IF(NOT(Start_Here_Complete),0,
IF(D6=0,0,
IF(AND(Service="Standalone Support",Device_Type="Enterprise &amp; cnWave"),0,
IF(AND(FWB_CCPrime,S6="SC15"),D6,
0))))</f>
        <v>0</v>
      </c>
      <c r="Y6" s="128">
        <f>IF(NOT(Start_Here_Complete),0,
IF(D6=0,0,
IF(AND(Service="Standalone Support",Device_Type="Enterprise &amp; cnWave"),0,
IF(AND(FWB_CCPro,Q6="SC20"),D6,
IF(AND(FWB_CCPrime,S6="SC20"),D6,
0)))))</f>
        <v>0</v>
      </c>
      <c r="Z6" s="128">
        <f>IF(NOT(Start_Here_Complete),0,
IF(D6=0,0,
IF(AND(Service="Standalone Support",Device_Type="Enterprise &amp; cnWave"),0,
IF(AND(FWB_CCPrime,S6="SC25"),D6,
0))))</f>
        <v>0</v>
      </c>
      <c r="AA6" s="128">
        <f>IF(NOT(Start_Here_Complete),0,
IF(D6=0,0,
IF(AND(Service="Standalone Support",Device_Type="Enterprise &amp; cnWave"),0,
IF(AND(FWB_CCPro,Q6="SC30"),D6,
IF(AND(FWB_CCPrime,S6="SC30"),D6,
0)))))</f>
        <v>0</v>
      </c>
      <c r="AB6" s="128">
        <f>IF(NOT(Start_Here_Complete),0,
IF(D6=0,0,
IF(AND(Service="Standalone Support",Device_Type="Enterprise &amp; cnWave"),0,
IF(AND(FWB_CCPro,Q6="SC40"),D6,
IF(AND(FWB_CCPrime,S6="SC40"),D6,
0)))))</f>
        <v>0</v>
      </c>
      <c r="AC6" s="128">
        <f>IF(NOT(Start_Here_Complete),0,
IF(D6=0,0,
IF(AND(Service="Standalone Support",Device_Type="Enterprise &amp; cnWave"),0,
IF(AND(FWB_CCPro,Q6="SC50"),D6,
IF(AND(FWB_CCPrime,S6="SC50"),D6,
0)))))</f>
        <v>0</v>
      </c>
      <c r="AD6" s="128">
        <f>IF(NOT(Start_Here_Complete),0,
IF(D6=0,0,
IF(AND(Service="Standalone Support",Device_Type="Enterprise &amp; cnWave"),0,
IF(AND(FWB_CCPro,Q6="SC60"),D6,
IF(AND(FWB_CCPrime,S6="SC60"),D6,
0)))))</f>
        <v>0</v>
      </c>
      <c r="AE6" s="16"/>
      <c r="AF6" s="16"/>
      <c r="AG6" s="16"/>
      <c r="AH6" s="16"/>
    </row>
    <row r="7" spans="1:34" ht="16" thickBot="1" x14ac:dyDescent="0.25">
      <c r="A7" s="16"/>
      <c r="B7" s="40"/>
      <c r="C7" s="16" t="s">
        <v>6226</v>
      </c>
      <c r="D7" s="56">
        <v>0</v>
      </c>
      <c r="E7" s="135" t="s">
        <v>5960</v>
      </c>
      <c r="F7" s="224" t="str">
        <f>IF(NOT(Start_Here_Complete)," ",
IF(D7=0," ",
IF(AND(Service="cnMaestro X",P7&lt;&gt;"N/A"),P7,
IF(AND(Service="cnMaestro X",P7="N/A"),"Not Available",
" "))))</f>
        <v xml:space="preserve"> </v>
      </c>
      <c r="G7" s="114" t="str">
        <f>IF(NOT(Start_Here_Complete)," ",
IF(D7=0," ",
IF(AND(Service="cnMaestro X",P7&lt;&gt;"N/A",P7&lt;&gt;"Free Tier"),cnMX_Term,
IF(AND(Service="cnMaestro X",P7="Free Tier")," ",
IF(AND(Service="cnMaestro X",P7="N/A")," ",
" ")))))</f>
        <v xml:space="preserve"> </v>
      </c>
      <c r="H7" s="214"/>
      <c r="I7" s="151" t="str">
        <f>IF(NOT((Start_Here_Complete))," ",
IF(D7=0," ",
IF(R7="Pro Go",CONCATENATE("CC Pro ",Q7),
IF(R7="Pro N/R","CC Pro not req'd *",
IF(T7="Prime Go",CONCATENATE("CC Prime ",S7),
IF(T7="Prime N/R","CC Prime not req'd *",
IF(T7="Prime N/A","Prime not available",
IF(CC_Type="Decline Cambium Care","CC Declined",
" "))))))))</f>
        <v xml:space="preserve"> </v>
      </c>
      <c r="J7" s="114" t="str">
        <f>IF(NOT(Start_Here_Complete)," ",
IF(D7=0," ",
IF(R7="Pro Go","1 year",
IF(T7="Prime Go","1 Year",
" "))))</f>
        <v xml:space="preserve"> </v>
      </c>
      <c r="K7" s="114" t="str">
        <f>IF(NOT(Start_Here_Complete)," ",
IF(D7=0," ",
IF(AND(EW,U7&lt;&gt;"N/A"),"Extended Warranty",
IF(AND(EW,U7="N/A"),"Ext Wty not available",
IF(AND(AR,V7&lt;&gt;"N/A"),"All Risks Adv Replace",
IF(AND(AR,V7="N/A"),"ARAR not available",
IF(NoHW,"HW Support Declined",
IF(AND(FWB_CCPrime,T7="Prime Go"),"ARAR included",
IF(Ent_CCAdv,"Includes Adv Repl",
"X")))))))))</f>
        <v xml:space="preserve"> </v>
      </c>
      <c r="L7" s="213" t="str">
        <f t="shared" ref="L7:L9" si="0">N7</f>
        <v xml:space="preserve"> </v>
      </c>
      <c r="M7" s="212" t="str">
        <f>IF(NOT(Start_Here_Complete)," ",
IF(D7=0," ",
IF(OR(FWB_CCPrime,Ent_CCAdv)," ",
"3 years")))</f>
        <v xml:space="preserve"> </v>
      </c>
      <c r="N7" s="171" t="str">
        <f>IF(D7=0," ",
IF(AND(EW,U7&lt;&gt;"N/A"),"Choose",
IF(AND(AR,V7&lt;&gt;"N/A"),"Choose",
" ")))</f>
        <v xml:space="preserve"> </v>
      </c>
      <c r="O7" s="128">
        <f t="shared" ref="O7:O31" si="1">IF(AND(D7=0,L7=" "),0,1)</f>
        <v>0</v>
      </c>
      <c r="P7" s="194" t="s">
        <v>6246</v>
      </c>
      <c r="Q7" s="288" t="s">
        <v>6250</v>
      </c>
      <c r="R7" s="128" t="str">
        <f>IF(AND(FWB_CCPro,Q7&lt;&gt;"N/R"),"Pro Go",
IF(AND(FWB_CCPro,Q7="N/R"),"Pro N/R",
"Pro No"))</f>
        <v>Pro No</v>
      </c>
      <c r="S7" s="288" t="s">
        <v>6250</v>
      </c>
      <c r="T7" s="128" t="str">
        <f>IF(AND(FWB_CCPrime,AND(S7&lt;&gt;"N/R",S7&lt;&gt;"N/A")),"Prime Go",
IF(AND(FWB_CCPrime,S7="N/R"),"Prime N/R",
IF(AND(FWB_CCPrime,S7="N/A"),"Prime N/A",
"Prime No")))</f>
        <v>Prime No</v>
      </c>
      <c r="U7" s="128" t="s">
        <v>1226</v>
      </c>
      <c r="V7" s="128" t="s">
        <v>1226</v>
      </c>
      <c r="W7" s="128">
        <f>IF(NOT(Start_Here_Complete),0,
IF(D7=0,0,
IF(AND(Service="Standalone Support",Device_Type="Enterprise &amp; cnWave"),0,
IF(AND(FWB_CCPro,Q7="SC10"),D7,
IF(AND(FWB_CCPrime,S7="SC10"),D7,
0)))))</f>
        <v>0</v>
      </c>
      <c r="X7" s="128">
        <f>IF(NOT(Start_Here_Complete),0,
IF(D7=0,0,
IF(AND(Service="Standalone Support",Device_Type="Enterprise &amp; cnWave"),0,
IF(AND(FWB_CCPrime,S7="SC15"),D7,
0))))</f>
        <v>0</v>
      </c>
      <c r="Y7" s="128">
        <f>IF(NOT(Start_Here_Complete),0,
IF(D7=0,0,
IF(AND(Service="Standalone Support",Device_Type="Enterprise &amp; cnWave"),0,
IF(AND(FWB_CCPro,Q7="SC20"),D7,
IF(AND(FWB_CCPrime,S7="SC20"),D7,
0)))))</f>
        <v>0</v>
      </c>
      <c r="Z7" s="128">
        <f>IF(NOT(Start_Here_Complete),0,
IF(D7=0,0,
IF(AND(Service="Standalone Support",Device_Type="Enterprise &amp; cnWave"),0,
IF(AND(FWB_CCPrime,S7="SC25"),D7,
0))))</f>
        <v>0</v>
      </c>
      <c r="AA7" s="128">
        <f>IF(NOT(Start_Here_Complete),0,
IF(D7=0,0,
IF(AND(Service="Standalone Support",Device_Type="Enterprise &amp; cnWave"),0,
IF(AND(FWB_CCPro,Q7="SC30"),D7,
IF(AND(FWB_CCPrime,S7="SC30"),D7,
0)))))</f>
        <v>0</v>
      </c>
      <c r="AB7" s="128">
        <f>IF(NOT(Start_Here_Complete),0,
IF(D7=0,0,
IF(AND(Service="Standalone Support",Device_Type="Enterprise &amp; cnWave"),0,
IF(AND(FWB_CCPro,Q7="SC40"),D7,
IF(AND(FWB_CCPrime,S7="SC40"),D7,
0)))))</f>
        <v>0</v>
      </c>
      <c r="AC7" s="128">
        <f>IF(NOT(Start_Here_Complete),0,
IF(D7=0,0,
IF(AND(Service="Standalone Support",Device_Type="Enterprise &amp; cnWave"),0,
IF(AND(FWB_CCPro,Q7="SC50"),D7,
IF(AND(FWB_CCPrime,S7="SC50"),D7,
0)))))</f>
        <v>0</v>
      </c>
      <c r="AD7" s="128">
        <f>IF(NOT(Start_Here_Complete),0,
IF(D7=0,0,
IF(AND(Service="Standalone Support",Device_Type="Enterprise &amp; cnWave"),0,
IF(AND(FWB_CCPro,Q7="SC60"),D7,
IF(AND(FWB_CCPrime,S7="SC60"),D7,
0)))))</f>
        <v>0</v>
      </c>
      <c r="AE7" s="16"/>
      <c r="AF7" s="16"/>
      <c r="AG7" s="16"/>
      <c r="AH7" s="16"/>
    </row>
    <row r="8" spans="1:34" s="138" customFormat="1" ht="16" thickBot="1" x14ac:dyDescent="0.25">
      <c r="A8" s="136"/>
      <c r="B8" s="137"/>
      <c r="C8" s="16" t="s">
        <v>6227</v>
      </c>
      <c r="D8" s="56">
        <v>0</v>
      </c>
      <c r="E8" s="135" t="s">
        <v>5960</v>
      </c>
      <c r="F8" s="224" t="str">
        <f>IF(NOT(Start_Here_Complete)," ",
IF(D8=0," ",
IF(AND(Service="cnMaestro X",P8&lt;&gt;"N/A"),P8,
IF(AND(Service="cnMaestro X",P8="N/A"),"Not Available",
" "))))</f>
        <v xml:space="preserve"> </v>
      </c>
      <c r="G8" s="114" t="str">
        <f>IF(NOT(Start_Here_Complete)," ",
IF(D8=0," ",
IF(AND(Service="cnMaestro X",P8&lt;&gt;"N/A",P8&lt;&gt;"Free Tier"),cnMX_Term,
IF(AND(Service="cnMaestro X",P8="Free Tier")," ",
IF(AND(Service="cnMaestro X",P8="N/A")," ",
" ")))))</f>
        <v xml:space="preserve"> </v>
      </c>
      <c r="H8" s="214"/>
      <c r="I8" s="151" t="str">
        <f>IF(NOT((Start_Here_Complete))," ",
IF(D8=0," ",
IF(R8="Pro Go",CONCATENATE("CC Pro ",Q8),
IF(R8="Pro N/R","CC Pro not req'd *",
IF(T8="Prime Go",CONCATENATE("CC Prime ",S8),
IF(T8="Prime N/R","CC Prime not req'd *",
IF(T8="Prime N/A","Prime not available",
IF(CC_Type="Decline Cambium Care","CC Declined",
" "))))))))</f>
        <v xml:space="preserve"> </v>
      </c>
      <c r="J8" s="114" t="str">
        <f>IF(NOT(Start_Here_Complete)," ",
IF(D8=0," ",
IF(R8="Pro Go","1 year",
IF(T8="Prime Go","1 Year",
" "))))</f>
        <v xml:space="preserve"> </v>
      </c>
      <c r="K8" s="114" t="str">
        <f>IF(NOT(Start_Here_Complete)," ",
IF(D8=0," ",
IF(AND(EW,U8&lt;&gt;"N/A"),"Extended Warranty",
IF(AND(EW,U8="N/A"),"Ext Wty not available",
IF(AND(AR,V8&lt;&gt;"N/A"),"All Risks Adv Replace",
IF(AND(AR,V8="N/A"),"ARAR not available",
IF(NoHW,"HW Support Declined",
IF(AND(FWB_CCPrime,T8="Prime Go"),"ARAR included",
IF(Ent_CCAdv,"Includes Adv Repl",
"X")))))))))</f>
        <v xml:space="preserve"> </v>
      </c>
      <c r="L8" s="213" t="str">
        <f t="shared" si="0"/>
        <v xml:space="preserve"> </v>
      </c>
      <c r="M8" s="212" t="str">
        <f>IF(NOT(Start_Here_Complete)," ",
IF(D8=0," ",
IF(OR(FWB_CCPrime,Ent_CCAdv)," ",
"3 years")))</f>
        <v xml:space="preserve"> </v>
      </c>
      <c r="N8" s="171" t="str">
        <f>IF(D8=0," ",
IF(AND(EW,U8&lt;&gt;"N/A"),"Choose",
IF(AND(AR,V8&lt;&gt;"N/A"),"Choose",
" ")))</f>
        <v xml:space="preserve"> </v>
      </c>
      <c r="O8" s="128">
        <f t="shared" si="1"/>
        <v>0</v>
      </c>
      <c r="P8" s="194" t="s">
        <v>6246</v>
      </c>
      <c r="Q8" s="288" t="s">
        <v>6250</v>
      </c>
      <c r="R8" s="128" t="str">
        <f>IF(AND(FWB_CCPro,Q8&lt;&gt;"N/R"),"Pro Go",
IF(AND(FWB_CCPro,Q8="N/R"),"Pro N/R",
"Pro No"))</f>
        <v>Pro No</v>
      </c>
      <c r="S8" s="288" t="s">
        <v>6250</v>
      </c>
      <c r="T8" s="128" t="str">
        <f>IF(AND(FWB_CCPrime,AND(S8&lt;&gt;"N/R",S8&lt;&gt;"N/A")),"Prime Go",
IF(AND(FWB_CCPrime,S8="N/R"),"Prime N/R",
IF(AND(FWB_CCPrime,S8="N/A"),"Prime N/A",
"Prime No")))</f>
        <v>Prime No</v>
      </c>
      <c r="U8" s="128" t="s">
        <v>1226</v>
      </c>
      <c r="V8" s="128" t="s">
        <v>1226</v>
      </c>
      <c r="W8" s="128">
        <f>IF(NOT(Start_Here_Complete),0,
IF(D8=0,0,
IF(AND(Service="Standalone Support",Device_Type="Enterprise &amp; cnWave"),0,
IF(AND(FWB_CCPro,Q8="SC10"),D8,
IF(AND(FWB_CCPrime,S8="SC10"),D8,
0)))))</f>
        <v>0</v>
      </c>
      <c r="X8" s="128">
        <f>IF(NOT(Start_Here_Complete),0,
IF(D8=0,0,
IF(AND(Service="Standalone Support",Device_Type="Enterprise &amp; cnWave"),0,
IF(AND(FWB_CCPrime,S8="SC15"),D8,
0))))</f>
        <v>0</v>
      </c>
      <c r="Y8" s="128">
        <f>IF(NOT(Start_Here_Complete),0,
IF(D8=0,0,
IF(AND(Service="Standalone Support",Device_Type="Enterprise &amp; cnWave"),0,
IF(AND(FWB_CCPro,Q8="SC20"),D8,
IF(AND(FWB_CCPrime,S8="SC20"),D8,
0)))))</f>
        <v>0</v>
      </c>
      <c r="Z8" s="128">
        <f>IF(NOT(Start_Here_Complete),0,
IF(D8=0,0,
IF(AND(Service="Standalone Support",Device_Type="Enterprise &amp; cnWave"),0,
IF(AND(FWB_CCPrime,S8="SC25"),D8,
0))))</f>
        <v>0</v>
      </c>
      <c r="AA8" s="128">
        <f>IF(NOT(Start_Here_Complete),0,
IF(D8=0,0,
IF(AND(Service="Standalone Support",Device_Type="Enterprise &amp; cnWave"),0,
IF(AND(FWB_CCPro,Q8="SC30"),D8,
IF(AND(FWB_CCPrime,S8="SC30"),D8,
0)))))</f>
        <v>0</v>
      </c>
      <c r="AB8" s="128">
        <f>IF(NOT(Start_Here_Complete),0,
IF(D8=0,0,
IF(AND(Service="Standalone Support",Device_Type="Enterprise &amp; cnWave"),0,
IF(AND(FWB_CCPro,Q8="SC40"),D8,
IF(AND(FWB_CCPrime,S8="SC40"),D8,
0)))))</f>
        <v>0</v>
      </c>
      <c r="AC8" s="128">
        <f>IF(NOT(Start_Here_Complete),0,
IF(D8=0,0,
IF(AND(Service="Standalone Support",Device_Type="Enterprise &amp; cnWave"),0,
IF(AND(FWB_CCPro,Q8="SC50"),D8,
IF(AND(FWB_CCPrime,S8="SC50"),D8,
0)))))</f>
        <v>0</v>
      </c>
      <c r="AD8" s="128">
        <f>IF(NOT(Start_Here_Complete),0,
IF(D8=0,0,
IF(AND(Service="Standalone Support",Device_Type="Enterprise &amp; cnWave"),0,
IF(AND(FWB_CCPro,Q8="SC60"),D8,
IF(AND(FWB_CCPrime,S8="SC60"),D8,
0)))))</f>
        <v>0</v>
      </c>
      <c r="AE8" s="136"/>
      <c r="AF8" s="136"/>
      <c r="AG8" s="136"/>
      <c r="AH8" s="136"/>
    </row>
    <row r="9" spans="1:34" s="138" customFormat="1" ht="16" thickBot="1" x14ac:dyDescent="0.25">
      <c r="A9" s="136"/>
      <c r="B9" s="137"/>
      <c r="C9" s="16" t="s">
        <v>6228</v>
      </c>
      <c r="D9" s="56">
        <v>0</v>
      </c>
      <c r="E9" s="135" t="s">
        <v>5960</v>
      </c>
      <c r="F9" s="224" t="str">
        <f>IF(NOT(Start_Here_Complete)," ",
IF(D9=0," ",
IF(AND(Service="cnMaestro X",P9&lt;&gt;"N/A"),P9,
IF(AND(Service="cnMaestro X",P9="N/A"),"Not Available",
" "))))</f>
        <v xml:space="preserve"> </v>
      </c>
      <c r="G9" s="114" t="str">
        <f>IF(NOT(Start_Here_Complete)," ",
IF(D9=0," ",
IF(AND(Service="cnMaestro X",P9&lt;&gt;"N/A",P9&lt;&gt;"Free Tier"),cnMX_Term,
IF(AND(Service="cnMaestro X",P9="Free Tier")," ",
IF(AND(Service="cnMaestro X",P9="N/A")," ",
" ")))))</f>
        <v xml:space="preserve"> </v>
      </c>
      <c r="H9" s="214"/>
      <c r="I9" s="151" t="str">
        <f>IF(NOT((Start_Here_Complete))," ",
IF(D9=0," ",
IF(R9="Pro Go",CONCATENATE("CC Pro ",Q9),
IF(R9="Pro N/R","CC Pro not req'd *",
IF(T9="Prime Go",CONCATENATE("CC Prime ",S9),
IF(T9="Prime N/R","CC Prime not req'd *",
IF(T9="Prime N/A","Prime not available",
IF(CC_Type="Decline Cambium Care","CC Declined",
" "))))))))</f>
        <v xml:space="preserve"> </v>
      </c>
      <c r="J9" s="114" t="str">
        <f>IF(NOT(Start_Here_Complete)," ",
IF(D9=0," ",
IF(R9="Pro Go","1 year",
IF(T9="Prime Go","1 Year",
" "))))</f>
        <v xml:space="preserve"> </v>
      </c>
      <c r="K9" s="114" t="str">
        <f>IF(NOT(Start_Here_Complete)," ",
IF(D9=0," ",
IF(AND(EW,U9&lt;&gt;"N/A"),"Extended Warranty",
IF(AND(EW,U9="N/A"),"Ext Wty not available",
IF(AND(AR,V9&lt;&gt;"N/A"),"All Risks Adv Replace",
IF(AND(AR,V9="N/A"),"ARAR not available",
IF(NoHW,"HW Support Declined",
IF(AND(FWB_CCPrime,T9="Prime Go"),"ARAR included",
IF(Ent_CCAdv,"Includes Adv Repl",
"X")))))))))</f>
        <v xml:space="preserve"> </v>
      </c>
      <c r="L9" s="213" t="str">
        <f t="shared" si="0"/>
        <v xml:space="preserve"> </v>
      </c>
      <c r="M9" s="212" t="str">
        <f>IF(NOT(Start_Here_Complete)," ",
IF(D9=0," ",
IF(OR(FWB_CCPrime,Ent_CCAdv)," ",
"3 years")))</f>
        <v xml:space="preserve"> </v>
      </c>
      <c r="N9" s="171" t="str">
        <f>IF(D9=0," ",
IF(AND(EW,U9&lt;&gt;"N/A"),"Choose",
IF(AND(AR,V9&lt;&gt;"N/A"),"Choose",
" ")))</f>
        <v xml:space="preserve"> </v>
      </c>
      <c r="O9" s="128">
        <f t="shared" si="1"/>
        <v>0</v>
      </c>
      <c r="P9" s="194" t="s">
        <v>6246</v>
      </c>
      <c r="Q9" s="288" t="s">
        <v>6250</v>
      </c>
      <c r="R9" s="128" t="str">
        <f>IF(AND(FWB_CCPro,Q9&lt;&gt;"N/R"),"Pro Go",
IF(AND(FWB_CCPro,Q9="N/R"),"Pro N/R",
"Pro No"))</f>
        <v>Pro No</v>
      </c>
      <c r="S9" s="288" t="s">
        <v>6250</v>
      </c>
      <c r="T9" s="128" t="str">
        <f>IF(AND(FWB_CCPrime,AND(S9&lt;&gt;"N/R",S9&lt;&gt;"N/A")),"Prime Go",
IF(AND(FWB_CCPrime,S9="N/R"),"Prime N/R",
IF(AND(FWB_CCPrime,S9="N/A"),"Prime N/A",
"Prime No")))</f>
        <v>Prime No</v>
      </c>
      <c r="U9" s="128" t="s">
        <v>1226</v>
      </c>
      <c r="V9" s="128" t="s">
        <v>1226</v>
      </c>
      <c r="W9" s="128">
        <f>IF(NOT(Start_Here_Complete),0,
IF(D9=0,0,
IF(AND(Service="Standalone Support",Device_Type="Enterprise &amp; cnWave"),0,
IF(AND(FWB_CCPro,Q9="SC10"),D9,
IF(AND(FWB_CCPrime,S9="SC10"),D9,
0)))))</f>
        <v>0</v>
      </c>
      <c r="X9" s="128">
        <f>IF(NOT(Start_Here_Complete),0,
IF(D9=0,0,
IF(AND(Service="Standalone Support",Device_Type="Enterprise &amp; cnWave"),0,
IF(AND(FWB_CCPrime,S9="SC15"),D9,
0))))</f>
        <v>0</v>
      </c>
      <c r="Y9" s="128">
        <f>IF(NOT(Start_Here_Complete),0,
IF(D9=0,0,
IF(AND(Service="Standalone Support",Device_Type="Enterprise &amp; cnWave"),0,
IF(AND(FWB_CCPro,Q9="SC20"),D9,
IF(AND(FWB_CCPrime,S9="SC20"),D9,
0)))))</f>
        <v>0</v>
      </c>
      <c r="Z9" s="128">
        <f>IF(NOT(Start_Here_Complete),0,
IF(D9=0,0,
IF(AND(Service="Standalone Support",Device_Type="Enterprise &amp; cnWave"),0,
IF(AND(FWB_CCPrime,S9="SC25"),D9,
0))))</f>
        <v>0</v>
      </c>
      <c r="AA9" s="128">
        <f>IF(NOT(Start_Here_Complete),0,
IF(D9=0,0,
IF(AND(Service="Standalone Support",Device_Type="Enterprise &amp; cnWave"),0,
IF(AND(FWB_CCPro,Q9="SC30"),D9,
IF(AND(FWB_CCPrime,S9="SC30"),D9,
0)))))</f>
        <v>0</v>
      </c>
      <c r="AB9" s="128">
        <f>IF(NOT(Start_Here_Complete),0,
IF(D9=0,0,
IF(AND(Service="Standalone Support",Device_Type="Enterprise &amp; cnWave"),0,
IF(AND(FWB_CCPro,Q9="SC40"),D9,
IF(AND(FWB_CCPrime,S9="SC40"),D9,
0)))))</f>
        <v>0</v>
      </c>
      <c r="AC9" s="128">
        <f>IF(NOT(Start_Here_Complete),0,
IF(D9=0,0,
IF(AND(Service="Standalone Support",Device_Type="Enterprise &amp; cnWave"),0,
IF(AND(FWB_CCPro,Q9="SC50"),D9,
IF(AND(FWB_CCPrime,S9="SC50"),D9,
0)))))</f>
        <v>0</v>
      </c>
      <c r="AD9" s="128">
        <f>IF(NOT(Start_Here_Complete),0,
IF(D9=0,0,
IF(AND(Service="Standalone Support",Device_Type="Enterprise &amp; cnWave"),0,
IF(AND(FWB_CCPro,Q9="SC60"),D9,
IF(AND(FWB_CCPrime,S9="SC60"),D9,
0)))))</f>
        <v>0</v>
      </c>
      <c r="AE9" s="136"/>
      <c r="AF9" s="136"/>
      <c r="AG9" s="136"/>
      <c r="AH9" s="136"/>
    </row>
    <row r="10" spans="1:34" ht="16" thickBot="1" x14ac:dyDescent="0.25">
      <c r="A10" s="16"/>
      <c r="B10" s="40"/>
      <c r="C10" s="91" t="s">
        <v>6223</v>
      </c>
      <c r="D10" s="92"/>
      <c r="E10" s="92"/>
      <c r="F10" s="92"/>
      <c r="G10" s="92"/>
      <c r="H10" s="92"/>
      <c r="I10" s="92"/>
      <c r="J10" s="92"/>
      <c r="K10" s="92"/>
      <c r="L10" s="92"/>
      <c r="M10" s="106"/>
      <c r="N10" s="171"/>
      <c r="O10" s="128"/>
      <c r="P10" s="192"/>
      <c r="Q10" s="128"/>
      <c r="R10" s="128"/>
      <c r="S10" s="171"/>
      <c r="T10" s="171"/>
      <c r="U10" s="128"/>
      <c r="V10" s="128"/>
      <c r="W10" s="128"/>
      <c r="X10" s="128"/>
      <c r="Y10" s="128"/>
      <c r="Z10" s="128"/>
      <c r="AA10" s="128"/>
      <c r="AB10" s="128"/>
      <c r="AC10" s="128"/>
      <c r="AD10" s="128"/>
      <c r="AE10" s="16"/>
      <c r="AF10" s="16"/>
      <c r="AG10" s="16"/>
      <c r="AH10" s="16"/>
    </row>
    <row r="11" spans="1:34" ht="16" thickBot="1" x14ac:dyDescent="0.25">
      <c r="A11" s="16"/>
      <c r="B11" s="40"/>
      <c r="C11" s="16" t="s">
        <v>6237</v>
      </c>
      <c r="D11" s="56">
        <v>0</v>
      </c>
      <c r="E11" s="135" t="s">
        <v>5960</v>
      </c>
      <c r="F11" s="224" t="str">
        <f>IF(NOT(Start_Here_Complete)," ",
IF(D11=0," ",
IF(AND(Service="cnMaestro X",P11&lt;&gt;"N/A"),P11,
IF(AND(Service="cnMaestro X",P11="N/A"),"Not Available",
" "))))</f>
        <v xml:space="preserve"> </v>
      </c>
      <c r="G11" s="114" t="str">
        <f>IF(NOT(Start_Here_Complete)," ",
IF(D11=0," ",
IF(AND(Service="cnMaestro X",P11&lt;&gt;"N/A",P11&lt;&gt;"Free Tier"),cnMX_Term,
IF(AND(Service="cnMaestro X",P11="Free Tier")," ",
IF(AND(Service="cnMaestro X",P11="N/A")," ",
" ")))))</f>
        <v xml:space="preserve"> </v>
      </c>
      <c r="H11" s="214"/>
      <c r="I11" s="151" t="str">
        <f>IF(NOT((Start_Here_Complete))," ",
IF(D11=0," ",
IF(R11="Pro Go",CONCATENATE("CC Pro ",Q11),
IF(R11="Pro N/R","CC Pro not req'd *",
IF(T11="Prime Go",CONCATENATE("CC Prime ",S11),
IF(T11="Prime N/R","CC Prime not req'd *",
IF(T11="Prime N/A","Prime not available",
IF(CC_Type="Decline Cambium Care","CC Declined",
" "))))))))</f>
        <v xml:space="preserve"> </v>
      </c>
      <c r="J11" s="114" t="str">
        <f>IF(NOT(Start_Here_Complete)," ",
IF(D11=0," ",
IF(R11="Pro Go","1 year",
IF(T11="Prime Go","1 Year",
" "))))</f>
        <v xml:space="preserve"> </v>
      </c>
      <c r="K11" s="114" t="str">
        <f>IF(NOT(Start_Here_Complete)," ",
IF(D11=0," ",
IF(AND(EW,U11&lt;&gt;"N/A"),"Extended Warranty",
IF(AND(EW,U11="N/A"),"Ext Wty not available",
IF(AND(AR,V11&lt;&gt;"N/A"),"All Risks Adv Replace",
IF(AND(AR,V11="N/A"),"ARAR not available",
IF(NoHW,"HW Support Declined",
IF(AND(FWB_CCPrime,T11="Prime Go"),"ARAR included",
IF(Ent_CCAdv,"Includes Adv Repl",
"X")))))))))</f>
        <v xml:space="preserve"> </v>
      </c>
      <c r="L11" s="213" t="str">
        <f t="shared" ref="L11:L31" si="2">N11</f>
        <v xml:space="preserve"> </v>
      </c>
      <c r="M11" s="212" t="str">
        <f>IF(NOT(Start_Here_Complete)," ",
IF(D11=0," ",
IF(OR(FWB_CCPrime,Ent_CCAdv)," ",
"3 years")))</f>
        <v xml:space="preserve"> </v>
      </c>
      <c r="N11" s="171" t="str">
        <f>IF(D11=0," ",
IF(AND(EW,U11&lt;&gt;"N/A"),"Choose",
IF(AND(AR,V11&lt;&gt;"N/A"),"Choose",
" ")))</f>
        <v xml:space="preserve"> </v>
      </c>
      <c r="O11" s="128">
        <f t="shared" si="1"/>
        <v>0</v>
      </c>
      <c r="P11" s="192" t="s">
        <v>6245</v>
      </c>
      <c r="Q11" s="128" t="s">
        <v>6362</v>
      </c>
      <c r="R11" s="128" t="str">
        <f>IF(AND(FWB_CCPro,Q11&lt;&gt;"N/R"),"Pro Go",
IF(AND(FWB_CCPro,Q11="N/R"),"Pro N/R",
"Pro No"))</f>
        <v>Pro No</v>
      </c>
      <c r="S11" s="128" t="s">
        <v>1226</v>
      </c>
      <c r="T11" s="128" t="str">
        <f>IF(AND(FWB_CCPrime,AND(S11&lt;&gt;"N/R",S11&lt;&gt;"N/A")),"Prime Go",
IF(AND(FWB_CCPrime,S11="N/R"),"Prime N/R",
IF(AND(FWB_CCPrime,S11="N/A"),"Prime N/A",
"Prime No")))</f>
        <v>Prime No</v>
      </c>
      <c r="U11" s="128">
        <v>2</v>
      </c>
      <c r="V11" s="128" t="s">
        <v>1226</v>
      </c>
      <c r="W11" s="128"/>
      <c r="X11" s="128"/>
      <c r="Y11" s="128"/>
      <c r="Z11" s="128"/>
      <c r="AA11" s="128"/>
      <c r="AB11" s="128"/>
      <c r="AC11" s="128"/>
      <c r="AD11" s="128"/>
      <c r="AE11" s="16"/>
      <c r="AF11" s="16"/>
      <c r="AG11" s="16"/>
      <c r="AH11" s="16"/>
    </row>
    <row r="12" spans="1:34" ht="16" thickBot="1" x14ac:dyDescent="0.25">
      <c r="A12" s="16"/>
      <c r="B12" s="40"/>
      <c r="C12" s="16" t="s">
        <v>6238</v>
      </c>
      <c r="D12" s="56">
        <v>0</v>
      </c>
      <c r="E12" s="135" t="s">
        <v>5960</v>
      </c>
      <c r="F12" s="224" t="str">
        <f>IF(NOT(Start_Here_Complete)," ",
IF(D12=0," ",
IF(AND(Service="cnMaestro X",P12&lt;&gt;"N/A"),P12,
IF(AND(Service="cnMaestro X",P12="N/A"),"Not Available",
" "))))</f>
        <v xml:space="preserve"> </v>
      </c>
      <c r="G12" s="114" t="str">
        <f>IF(NOT(Start_Here_Complete)," ",
IF(D12=0," ",
IF(AND(Service="cnMaestro X",P12&lt;&gt;"N/A",P12&lt;&gt;"Free Tier"),cnMX_Term,
IF(AND(Service="cnMaestro X",P12="Free Tier")," ",
IF(AND(Service="cnMaestro X",P12="N/A")," ",
" ")))))</f>
        <v xml:space="preserve"> </v>
      </c>
      <c r="H12" s="214"/>
      <c r="I12" s="151" t="str">
        <f>IF(NOT((Start_Here_Complete))," ",
IF(D12=0," ",
IF(R12="Pro Go",CONCATENATE("CC Pro ",Q12),
IF(R12="Pro N/R","CC Pro not req'd *",
IF(T12="Prime Go",CONCATENATE("CC Prime ",S12),
IF(T12="Prime N/R","CC Prime not req'd *",
IF(T12="Prime N/A","Prime not available",
IF(CC_Type="Decline Cambium Care","CC Declined",
" "))))))))</f>
        <v xml:space="preserve"> </v>
      </c>
      <c r="J12" s="114" t="str">
        <f>IF(NOT(Start_Here_Complete)," ",
IF(D12=0," ",
IF(R12="Pro Go","1 year",
IF(T12="Prime Go","1 Year",
" "))))</f>
        <v xml:space="preserve"> </v>
      </c>
      <c r="K12" s="114" t="str">
        <f>IF(NOT(Start_Here_Complete)," ",
IF(D12=0," ",
IF(AND(EW,U12&lt;&gt;"N/A"),"Extended Warranty",
IF(AND(EW,U12="N/A"),"Ext Wty not available",
IF(AND(AR,V12&lt;&gt;"N/A"),"All Risks Adv Replace",
IF(AND(AR,V12="N/A"),"ARAR not available",
IF(NoHW,"HW Support Declined",
IF(AND(FWB_CCPrime,T12="Prime Go"),"ARAR included",
IF(Ent_CCAdv,"Includes Adv Repl",
"X")))))))))</f>
        <v xml:space="preserve"> </v>
      </c>
      <c r="L12" s="213" t="str">
        <f>N12</f>
        <v xml:space="preserve"> </v>
      </c>
      <c r="M12" s="212" t="str">
        <f>IF(NOT(Start_Here_Complete)," ",
IF(D12=0," ",
IF(OR(FWB_CCPrime,Ent_CCAdv)," ",
"3 years")))</f>
        <v xml:space="preserve"> </v>
      </c>
      <c r="N12" s="171" t="str">
        <f>IF(D12=0," ",
IF(AND(EW,U12&lt;&gt;"N/A"),"Choose",
IF(AND(AR,V12&lt;&gt;"N/A"),"Choose",
" ")))</f>
        <v xml:space="preserve"> </v>
      </c>
      <c r="O12" s="128">
        <f t="shared" si="1"/>
        <v>0</v>
      </c>
      <c r="P12" s="192" t="s">
        <v>6245</v>
      </c>
      <c r="Q12" s="288" t="s">
        <v>6250</v>
      </c>
      <c r="R12" s="128" t="str">
        <f>IF(AND(FWB_CCPro,Q12&lt;&gt;"N/R"),"Pro Go",
IF(AND(FWB_CCPro,Q12="N/R"),"Pro N/R",
"Pro No"))</f>
        <v>Pro No</v>
      </c>
      <c r="S12" s="288" t="s">
        <v>6255</v>
      </c>
      <c r="T12" s="128" t="str">
        <f>IF(AND(FWB_CCPrime,AND(S12&lt;&gt;"N/R",S12&lt;&gt;"N/A")),"Prime Go",
IF(AND(FWB_CCPrime,S12="N/R"),"Prime N/R",
IF(AND(FWB_CCPrime,S12="N/A"),"Prime N/A",
"Prime No")))</f>
        <v>Prime No</v>
      </c>
      <c r="U12" s="128">
        <v>2</v>
      </c>
      <c r="V12" s="128" t="s">
        <v>1226</v>
      </c>
      <c r="W12" s="128">
        <f>IF(NOT(Start_Here_Complete),0,
IF(D12=0,0,
IF(AND(Service="Standalone Support",Device_Type="Enterprise &amp; cnWave"),0,
IF(AND(FWB_CCPro,Q12="SC10"),D12,
IF(AND(FWB_CCPrime,S12="SC10"),D12,
0)))))</f>
        <v>0</v>
      </c>
      <c r="X12" s="128">
        <f>IF(NOT(Start_Here_Complete),0,
IF(D12=0,0,
IF(AND(Service="Standalone Support",Device_Type="Enterprise &amp; cnWave"),0,
IF(AND(FWB_CCPrime,S12="SC15"),D12,
0))))</f>
        <v>0</v>
      </c>
      <c r="Y12" s="128">
        <f>IF(NOT(Start_Here_Complete),0,
IF(D12=0,0,
IF(AND(Service="Standalone Support",Device_Type="Enterprise &amp; cnWave"),0,
IF(AND(FWB_CCPro,Q12="SC20"),D12,
IF(AND(FWB_CCPrime,S12="SC20"),D12,
0)))))</f>
        <v>0</v>
      </c>
      <c r="Z12" s="128">
        <f>IF(NOT(Start_Here_Complete),0,
IF(D12=0,0,
IF(AND(Service="Standalone Support",Device_Type="Enterprise &amp; cnWave"),0,
IF(AND(FWB_CCPrime,S12="SC25"),D12,
0))))</f>
        <v>0</v>
      </c>
      <c r="AA12" s="128">
        <f>IF(NOT(Start_Here_Complete),0,
IF(D12=0,0,
IF(AND(Service="Standalone Support",Device_Type="Enterprise &amp; cnWave"),0,
IF(AND(FWB_CCPro,Q12="SC30"),D12,
IF(AND(FWB_CCPrime,S12="SC30"),D12,
0)))))</f>
        <v>0</v>
      </c>
      <c r="AB12" s="128">
        <f>IF(NOT(Start_Here_Complete),0,
IF(D12=0,0,
IF(AND(Service="Standalone Support",Device_Type="Enterprise &amp; cnWave"),0,
IF(AND(FWB_CCPro,Q12="SC40"),D12,
IF(AND(FWB_CCPrime,S12="SC40"),D12,
0)))))</f>
        <v>0</v>
      </c>
      <c r="AC12" s="128">
        <f>IF(NOT(Start_Here_Complete),0,
IF(D12=0,0,
IF(AND(Service="Standalone Support",Device_Type="Enterprise &amp; cnWave"),0,
IF(AND(FWB_CCPro,Q12="SC50"),D12,
IF(AND(FWB_CCPrime,S12="SC50"),D12,
0)))))</f>
        <v>0</v>
      </c>
      <c r="AD12" s="128">
        <f>IF(NOT(Start_Here_Complete),0,
IF(D12=0,0,
IF(AND(Service="Standalone Support",Device_Type="Enterprise &amp; cnWave"),0,
IF(AND(FWB_CCPro,Q12="SC60"),D12,
IF(AND(FWB_CCPrime,S12="SC60"),D12,
0)))))</f>
        <v>0</v>
      </c>
      <c r="AE12" s="16"/>
      <c r="AF12" s="16"/>
      <c r="AG12" s="16"/>
      <c r="AH12" s="16"/>
    </row>
    <row r="13" spans="1:34" ht="16" thickBot="1" x14ac:dyDescent="0.25">
      <c r="A13" s="16"/>
      <c r="B13" s="38"/>
      <c r="C13" s="91" t="s">
        <v>6633</v>
      </c>
      <c r="D13" s="92"/>
      <c r="E13" s="92"/>
      <c r="F13" s="92"/>
      <c r="G13" s="92"/>
      <c r="H13" s="92"/>
      <c r="I13" s="92"/>
      <c r="J13" s="92"/>
      <c r="K13" s="92"/>
      <c r="L13" s="92"/>
      <c r="M13" s="106"/>
      <c r="N13" s="171"/>
      <c r="O13" s="128"/>
      <c r="P13" s="194"/>
      <c r="Q13" s="128"/>
      <c r="R13" s="128"/>
      <c r="S13" s="128"/>
      <c r="T13" s="128"/>
      <c r="U13" s="128"/>
      <c r="V13" s="128"/>
      <c r="W13" s="128"/>
      <c r="X13" s="128"/>
      <c r="Y13" s="128"/>
      <c r="Z13" s="128"/>
      <c r="AA13" s="128"/>
      <c r="AB13" s="128"/>
      <c r="AC13" s="128"/>
      <c r="AD13" s="128"/>
      <c r="AE13" s="16"/>
      <c r="AF13" s="16"/>
      <c r="AG13" s="16"/>
      <c r="AH13" s="16"/>
    </row>
    <row r="14" spans="1:34" ht="16" thickBot="1" x14ac:dyDescent="0.25">
      <c r="A14" s="16"/>
      <c r="B14" s="38"/>
      <c r="C14" s="16" t="s">
        <v>6229</v>
      </c>
      <c r="D14" s="6">
        <v>0</v>
      </c>
      <c r="E14" s="135" t="s">
        <v>5960</v>
      </c>
      <c r="F14" s="224" t="str">
        <f t="shared" ref="F14:F20" si="3">IF(NOT(Start_Here_Complete)," ",
IF(D14=0," ",
IF(AND(Service="cnMaestro X",P14&lt;&gt;"N/A"),P14,
IF(AND(Service="cnMaestro X",P14="N/A"),"Not Available",
" "))))</f>
        <v xml:space="preserve"> </v>
      </c>
      <c r="G14" s="114" t="str">
        <f t="shared" ref="G14:G20" si="4">IF(NOT(Start_Here_Complete)," ",
IF(D14=0," ",
IF(AND(Service="cnMaestro X",P14&lt;&gt;"N/A",P14&lt;&gt;"Free Tier"),cnMX_Term,
IF(AND(Service="cnMaestro X",P14="Free Tier")," ",
IF(AND(Service="cnMaestro X",P14="N/A")," ",
" ")))))</f>
        <v xml:space="preserve"> </v>
      </c>
      <c r="H14" s="214"/>
      <c r="I14" s="151" t="str">
        <f t="shared" ref="I14:I20" si="5">IF(NOT((Start_Here_Complete))," ",
IF(D14=0," ",
IF(R14="Pro Go",CONCATENATE("CC Pro ",Q14),
IF(R14="Pro N/R","CC Pro not req'd *",
IF(T14="Prime Go",CONCATENATE("CC Prime ",S14),
IF(T14="Prime N/R","CC Prime not req'd *",
IF(T14="Prime N/A","Prime not available",
IF(CC_Type="Decline Cambium Care","CC Declined",
" "))))))))</f>
        <v xml:space="preserve"> </v>
      </c>
      <c r="J14" s="114" t="str">
        <f t="shared" ref="J14:J20" si="6">IF(NOT(Start_Here_Complete)," ",
IF(D14=0," ",
IF(R14="Pro Go","1 year",
IF(T14="Prime Go","1 Year",
" "))))</f>
        <v xml:space="preserve"> </v>
      </c>
      <c r="K14" s="114" t="str">
        <f t="shared" ref="K14:K20" si="7">IF(NOT(Start_Here_Complete)," ",
IF(D14=0," ",
IF(AND(EW,U14&lt;&gt;"N/A"),"Extended Warranty",
IF(AND(EW,U14="N/A"),"Ext Wty not available",
IF(AND(AR,V14&lt;&gt;"N/A"),"All Risks Adv Replace",
IF(AND(AR,V14="N/A"),"ARAR not available",
IF(NoHW,"HW Support Declined",
IF(AND(FWB_CCPrime,T14="Prime Go"),"ARAR included",
IF(Ent_CCAdv,"Includes Adv Repl",
"X")))))))))</f>
        <v xml:space="preserve"> </v>
      </c>
      <c r="L14" s="213" t="str">
        <f t="shared" si="2"/>
        <v xml:space="preserve"> </v>
      </c>
      <c r="M14" s="212" t="str">
        <f t="shared" ref="M14:M20" si="8">IF(NOT(Start_Here_Complete)," ",
IF(D14=0," ",
IF(OR(FWB_CCPrime,Ent_CCAdv)," ",
"3 years")))</f>
        <v xml:space="preserve"> </v>
      </c>
      <c r="N14" s="171" t="str">
        <f t="shared" ref="N14:N20" si="9">IF(D14=0," ",
IF(AND(EW,U14&lt;&gt;"N/A"),"Choose",
IF(AND(AR,V14&lt;&gt;"N/A"),"Choose",
" ")))</f>
        <v xml:space="preserve"> </v>
      </c>
      <c r="O14" s="128">
        <f t="shared" si="1"/>
        <v>0</v>
      </c>
      <c r="P14" s="192" t="s">
        <v>6245</v>
      </c>
      <c r="Q14" s="128" t="s">
        <v>6362</v>
      </c>
      <c r="R14" s="128" t="str">
        <f t="shared" ref="R14:R20" si="10">IF(AND(FWB_CCPro,Q14&lt;&gt;"N/R"),"Pro Go",
IF(AND(FWB_CCPro,Q14="N/R"),"Pro N/R",
"Pro No"))</f>
        <v>Pro No</v>
      </c>
      <c r="S14" s="128" t="s">
        <v>1226</v>
      </c>
      <c r="T14" s="128" t="str">
        <f t="shared" ref="T14:T20" si="11">IF(AND(FWB_CCPrime,AND(S14&lt;&gt;"N/R",S14&lt;&gt;"N/A")),"Prime Go",
IF(AND(FWB_CCPrime,S14="N/R"),"Prime N/R",
IF(AND(FWB_CCPrime,S14="N/A"),"Prime N/A",
"Prime No")))</f>
        <v>Prime No</v>
      </c>
      <c r="U14" s="128" t="s">
        <v>1226</v>
      </c>
      <c r="V14" s="128" t="s">
        <v>1226</v>
      </c>
      <c r="W14" s="128"/>
      <c r="X14" s="128"/>
      <c r="Y14" s="128"/>
      <c r="Z14" s="128"/>
      <c r="AA14" s="128"/>
      <c r="AB14" s="128"/>
      <c r="AC14" s="128"/>
      <c r="AD14" s="128"/>
      <c r="AE14" s="16"/>
      <c r="AF14" s="16"/>
      <c r="AG14" s="16"/>
      <c r="AH14" s="16"/>
    </row>
    <row r="15" spans="1:34" ht="16" thickBot="1" x14ac:dyDescent="0.25">
      <c r="A15" s="16"/>
      <c r="B15" s="38"/>
      <c r="C15" s="16" t="s">
        <v>6230</v>
      </c>
      <c r="D15" s="6">
        <v>0</v>
      </c>
      <c r="E15" s="135" t="s">
        <v>5960</v>
      </c>
      <c r="F15" s="224" t="str">
        <f t="shared" si="3"/>
        <v xml:space="preserve"> </v>
      </c>
      <c r="G15" s="114" t="str">
        <f t="shared" si="4"/>
        <v xml:space="preserve"> </v>
      </c>
      <c r="H15" s="214"/>
      <c r="I15" s="151" t="str">
        <f t="shared" si="5"/>
        <v xml:space="preserve"> </v>
      </c>
      <c r="J15" s="114" t="str">
        <f t="shared" si="6"/>
        <v xml:space="preserve"> </v>
      </c>
      <c r="K15" s="114" t="str">
        <f t="shared" si="7"/>
        <v xml:space="preserve"> </v>
      </c>
      <c r="L15" s="213" t="str">
        <f t="shared" si="2"/>
        <v xml:space="preserve"> </v>
      </c>
      <c r="M15" s="212" t="str">
        <f t="shared" si="8"/>
        <v xml:space="preserve"> </v>
      </c>
      <c r="N15" s="171" t="str">
        <f t="shared" si="9"/>
        <v xml:space="preserve"> </v>
      </c>
      <c r="O15" s="128">
        <f t="shared" si="1"/>
        <v>0</v>
      </c>
      <c r="P15" s="192" t="s">
        <v>6245</v>
      </c>
      <c r="Q15" s="128" t="s">
        <v>6362</v>
      </c>
      <c r="R15" s="128" t="str">
        <f t="shared" si="10"/>
        <v>Pro No</v>
      </c>
      <c r="S15" s="128" t="s">
        <v>1226</v>
      </c>
      <c r="T15" s="128" t="str">
        <f t="shared" si="11"/>
        <v>Prime No</v>
      </c>
      <c r="U15" s="128">
        <v>2</v>
      </c>
      <c r="V15" s="128" t="s">
        <v>1226</v>
      </c>
      <c r="W15" s="128"/>
      <c r="X15" s="128"/>
      <c r="Y15" s="128"/>
      <c r="Z15" s="128"/>
      <c r="AA15" s="128"/>
      <c r="AB15" s="128"/>
      <c r="AC15" s="128"/>
      <c r="AD15" s="128"/>
      <c r="AE15" s="16"/>
      <c r="AF15" s="16"/>
      <c r="AG15" s="16"/>
      <c r="AH15" s="16"/>
    </row>
    <row r="16" spans="1:34" ht="16" thickBot="1" x14ac:dyDescent="0.25">
      <c r="A16" s="16"/>
      <c r="B16" s="38"/>
      <c r="C16" s="16" t="s">
        <v>6236</v>
      </c>
      <c r="D16" s="56">
        <v>0</v>
      </c>
      <c r="E16" s="135" t="s">
        <v>5960</v>
      </c>
      <c r="F16" s="224" t="str">
        <f t="shared" si="3"/>
        <v xml:space="preserve"> </v>
      </c>
      <c r="G16" s="114" t="str">
        <f t="shared" si="4"/>
        <v xml:space="preserve"> </v>
      </c>
      <c r="H16" s="214"/>
      <c r="I16" s="151" t="str">
        <f t="shared" si="5"/>
        <v xml:space="preserve"> </v>
      </c>
      <c r="J16" s="114" t="str">
        <f t="shared" si="6"/>
        <v xml:space="preserve"> </v>
      </c>
      <c r="K16" s="114" t="str">
        <f t="shared" si="7"/>
        <v xml:space="preserve"> </v>
      </c>
      <c r="L16" s="213" t="str">
        <f t="shared" si="2"/>
        <v xml:space="preserve"> </v>
      </c>
      <c r="M16" s="212" t="str">
        <f t="shared" si="8"/>
        <v xml:space="preserve"> </v>
      </c>
      <c r="N16" s="171" t="str">
        <f t="shared" si="9"/>
        <v xml:space="preserve"> </v>
      </c>
      <c r="O16" s="128">
        <f t="shared" si="1"/>
        <v>0</v>
      </c>
      <c r="P16" s="192" t="s">
        <v>6245</v>
      </c>
      <c r="Q16" s="128" t="s">
        <v>6362</v>
      </c>
      <c r="R16" s="128" t="str">
        <f t="shared" si="10"/>
        <v>Pro No</v>
      </c>
      <c r="S16" s="128" t="s">
        <v>1226</v>
      </c>
      <c r="T16" s="128" t="str">
        <f t="shared" si="11"/>
        <v>Prime No</v>
      </c>
      <c r="U16" s="128">
        <v>2</v>
      </c>
      <c r="V16" s="128" t="s">
        <v>1226</v>
      </c>
      <c r="W16" s="128"/>
      <c r="X16" s="128"/>
      <c r="Y16" s="128"/>
      <c r="Z16" s="128"/>
      <c r="AA16" s="128"/>
      <c r="AB16" s="128"/>
      <c r="AC16" s="128"/>
      <c r="AD16" s="128"/>
      <c r="AE16" s="16"/>
      <c r="AF16" s="16"/>
      <c r="AG16" s="16"/>
      <c r="AH16" s="16"/>
    </row>
    <row r="17" spans="1:34" ht="16" thickBot="1" x14ac:dyDescent="0.25">
      <c r="A17" s="16"/>
      <c r="B17" s="38"/>
      <c r="C17" s="16" t="s">
        <v>6231</v>
      </c>
      <c r="D17" s="6">
        <v>0</v>
      </c>
      <c r="E17" s="135" t="s">
        <v>5960</v>
      </c>
      <c r="F17" s="224" t="str">
        <f t="shared" si="3"/>
        <v xml:space="preserve"> </v>
      </c>
      <c r="G17" s="114" t="str">
        <f t="shared" si="4"/>
        <v xml:space="preserve"> </v>
      </c>
      <c r="H17" s="214"/>
      <c r="I17" s="151" t="str">
        <f t="shared" si="5"/>
        <v xml:space="preserve"> </v>
      </c>
      <c r="J17" s="114" t="str">
        <f t="shared" si="6"/>
        <v xml:space="preserve"> </v>
      </c>
      <c r="K17" s="114" t="str">
        <f t="shared" si="7"/>
        <v xml:space="preserve"> </v>
      </c>
      <c r="L17" s="213" t="str">
        <f t="shared" si="2"/>
        <v xml:space="preserve"> </v>
      </c>
      <c r="M17" s="212" t="str">
        <f t="shared" si="8"/>
        <v xml:space="preserve"> </v>
      </c>
      <c r="N17" s="171" t="str">
        <f t="shared" si="9"/>
        <v xml:space="preserve"> </v>
      </c>
      <c r="O17" s="128">
        <f t="shared" si="1"/>
        <v>0</v>
      </c>
      <c r="P17" s="192" t="s">
        <v>6245</v>
      </c>
      <c r="Q17" s="128" t="s">
        <v>6362</v>
      </c>
      <c r="R17" s="128" t="str">
        <f t="shared" si="10"/>
        <v>Pro No</v>
      </c>
      <c r="S17" s="128" t="s">
        <v>1226</v>
      </c>
      <c r="T17" s="128" t="str">
        <f t="shared" si="11"/>
        <v>Prime No</v>
      </c>
      <c r="U17" s="128">
        <v>2</v>
      </c>
      <c r="V17" s="128" t="s">
        <v>1226</v>
      </c>
      <c r="W17" s="128"/>
      <c r="X17" s="128"/>
      <c r="Y17" s="128"/>
      <c r="Z17" s="128"/>
      <c r="AA17" s="128"/>
      <c r="AB17" s="128"/>
      <c r="AC17" s="128"/>
      <c r="AD17" s="128"/>
      <c r="AE17" s="16"/>
      <c r="AF17" s="16"/>
      <c r="AG17" s="16"/>
      <c r="AH17" s="16"/>
    </row>
    <row r="18" spans="1:34" ht="16" thickBot="1" x14ac:dyDescent="0.25">
      <c r="A18" s="16"/>
      <c r="B18" s="38"/>
      <c r="C18" s="16" t="s">
        <v>6650</v>
      </c>
      <c r="D18" s="6">
        <v>0</v>
      </c>
      <c r="E18" s="135" t="s">
        <v>5960</v>
      </c>
      <c r="F18" s="224" t="str">
        <f t="shared" si="3"/>
        <v xml:space="preserve"> </v>
      </c>
      <c r="G18" s="114" t="str">
        <f t="shared" si="4"/>
        <v xml:space="preserve"> </v>
      </c>
      <c r="H18" s="214"/>
      <c r="I18" s="151" t="str">
        <f t="shared" si="5"/>
        <v xml:space="preserve"> </v>
      </c>
      <c r="J18" s="114" t="str">
        <f t="shared" si="6"/>
        <v xml:space="preserve"> </v>
      </c>
      <c r="K18" s="114" t="str">
        <f t="shared" si="7"/>
        <v xml:space="preserve"> </v>
      </c>
      <c r="L18" s="213" t="str">
        <f>N18</f>
        <v xml:space="preserve"> </v>
      </c>
      <c r="M18" s="212" t="str">
        <f t="shared" si="8"/>
        <v xml:space="preserve"> </v>
      </c>
      <c r="N18" s="171" t="str">
        <f t="shared" si="9"/>
        <v xml:space="preserve"> </v>
      </c>
      <c r="O18" s="128">
        <f t="shared" si="1"/>
        <v>0</v>
      </c>
      <c r="P18" s="192" t="s">
        <v>6245</v>
      </c>
      <c r="Q18" s="288" t="s">
        <v>6250</v>
      </c>
      <c r="R18" s="128" t="str">
        <f t="shared" si="10"/>
        <v>Pro No</v>
      </c>
      <c r="S18" s="288" t="s">
        <v>6250</v>
      </c>
      <c r="T18" s="128" t="str">
        <f t="shared" si="11"/>
        <v>Prime No</v>
      </c>
      <c r="U18" s="128">
        <v>2</v>
      </c>
      <c r="V18" s="128" t="s">
        <v>1226</v>
      </c>
      <c r="W18" s="128">
        <f>IF(NOT(Start_Here_Complete),0,
IF(D18=0,0,
IF(AND(Service="Standalone Support",Device_Type="Enterprise &amp; cnWave"),0,
IF(AND(FWB_CCPro,Q18="SC10"),D18,
IF(AND(FWB_CCPrime,S18="SC10"),D18,
0)))))</f>
        <v>0</v>
      </c>
      <c r="X18" s="128">
        <f>IF(NOT(Start_Here_Complete),0,
IF(D18=0,0,
IF(AND(Service="Standalone Support",Device_Type="Enterprise &amp; cnWave"),0,
IF(AND(FWB_CCPrime,S18="SC15"),D18,
0))))</f>
        <v>0</v>
      </c>
      <c r="Y18" s="128">
        <f>IF(NOT(Start_Here_Complete),0,
IF(D18=0,0,
IF(AND(Service="Standalone Support",Device_Type="Enterprise &amp; cnWave"),0,
IF(AND(FWB_CCPro,Q18="SC20"),D18,
IF(AND(FWB_CCPrime,S18="SC20"),D18,
0)))))</f>
        <v>0</v>
      </c>
      <c r="Z18" s="128">
        <f>IF(NOT(Start_Here_Complete),0,
IF(D18=0,0,
IF(AND(Service="Standalone Support",Device_Type="Enterprise &amp; cnWave"),0,
IF(AND(FWB_CCPrime,S18="SC25"),D18,
0))))</f>
        <v>0</v>
      </c>
      <c r="AA18" s="128">
        <f>IF(NOT(Start_Here_Complete),0,
IF(D18=0,0,
IF(AND(Service="Standalone Support",Device_Type="Enterprise &amp; cnWave"),0,
IF(AND(FWB_CCPro,Q18="SC30"),D18,
IF(AND(FWB_CCPrime,S18="SC30"),D18,
0)))))</f>
        <v>0</v>
      </c>
      <c r="AB18" s="128">
        <f>IF(NOT(Start_Here_Complete),0,
IF(D18=0,0,
IF(AND(Service="Standalone Support",Device_Type="Enterprise &amp; cnWave"),0,
IF(AND(FWB_CCPro,Q18="SC40"),D18,
IF(AND(FWB_CCPrime,S18="SC40"),D18,
0)))))</f>
        <v>0</v>
      </c>
      <c r="AC18" s="128">
        <f>IF(NOT(Start_Here_Complete),0,
IF(D18=0,0,
IF(AND(Service="Standalone Support",Device_Type="Enterprise &amp; cnWave"),0,
IF(AND(FWB_CCPro,Q18="SC50"),D18,
IF(AND(FWB_CCPrime,S18="SC50"),D18,
0)))))</f>
        <v>0</v>
      </c>
      <c r="AD18" s="128">
        <f>IF(NOT(Start_Here_Complete),0,
IF(D18=0,0,
IF(AND(Service="Standalone Support",Device_Type="Enterprise &amp; cnWave"),0,
IF(AND(FWB_CCPro,Q18="SC60"),D18,
IF(AND(FWB_CCPrime,S18="SC60"),D18,
0)))))</f>
        <v>0</v>
      </c>
      <c r="AE18" s="16"/>
      <c r="AF18" s="16"/>
      <c r="AG18" s="16"/>
      <c r="AH18" s="16"/>
    </row>
    <row r="19" spans="1:34" ht="16" thickBot="1" x14ac:dyDescent="0.25">
      <c r="A19" s="16"/>
      <c r="B19" s="38"/>
      <c r="C19" s="16" t="s">
        <v>6234</v>
      </c>
      <c r="D19" s="56">
        <v>0</v>
      </c>
      <c r="E19" s="135" t="s">
        <v>5960</v>
      </c>
      <c r="F19" s="224" t="str">
        <f t="shared" si="3"/>
        <v xml:space="preserve"> </v>
      </c>
      <c r="G19" s="114" t="str">
        <f t="shared" si="4"/>
        <v xml:space="preserve"> </v>
      </c>
      <c r="H19" s="214"/>
      <c r="I19" s="151" t="str">
        <f t="shared" si="5"/>
        <v xml:space="preserve"> </v>
      </c>
      <c r="J19" s="114" t="str">
        <f t="shared" si="6"/>
        <v xml:space="preserve"> </v>
      </c>
      <c r="K19" s="114" t="str">
        <f t="shared" si="7"/>
        <v xml:space="preserve"> </v>
      </c>
      <c r="L19" s="213" t="str">
        <f t="shared" si="2"/>
        <v xml:space="preserve"> </v>
      </c>
      <c r="M19" s="212" t="str">
        <f t="shared" si="8"/>
        <v xml:space="preserve"> </v>
      </c>
      <c r="N19" s="171" t="str">
        <f t="shared" si="9"/>
        <v xml:space="preserve"> </v>
      </c>
      <c r="O19" s="128">
        <f t="shared" si="1"/>
        <v>0</v>
      </c>
      <c r="P19" s="192" t="s">
        <v>6245</v>
      </c>
      <c r="Q19" s="288" t="s">
        <v>6249</v>
      </c>
      <c r="R19" s="128" t="str">
        <f t="shared" si="10"/>
        <v>Pro No</v>
      </c>
      <c r="S19" s="288" t="s">
        <v>6249</v>
      </c>
      <c r="T19" s="128" t="str">
        <f t="shared" si="11"/>
        <v>Prime No</v>
      </c>
      <c r="U19" s="128">
        <v>2</v>
      </c>
      <c r="V19" s="128" t="s">
        <v>1226</v>
      </c>
      <c r="W19" s="128">
        <f>IF(NOT(Start_Here_Complete),0,
IF(D19=0,0,
IF(AND(Service="Standalone Support",Device_Type="Enterprise &amp; cnWave"),0,
IF(AND(FWB_CCPro,Q19="SC10"),D19,
IF(AND(FWB_CCPrime,S19="SC10"),D19,
0)))))</f>
        <v>0</v>
      </c>
      <c r="X19" s="128">
        <f>IF(NOT(Start_Here_Complete),0,
IF(D19=0,0,
IF(AND(Service="Standalone Support",Device_Type="Enterprise &amp; cnWave"),0,
IF(AND(FWB_CCPrime,S19="SC15"),D19,
0))))</f>
        <v>0</v>
      </c>
      <c r="Y19" s="128">
        <f>IF(NOT(Start_Here_Complete),0,
IF(D19=0,0,
IF(AND(Service="Standalone Support",Device_Type="Enterprise &amp; cnWave"),0,
IF(AND(FWB_CCPro,Q19="SC20"),D19,
IF(AND(FWB_CCPrime,S19="SC20"),D19,
0)))))</f>
        <v>0</v>
      </c>
      <c r="Z19" s="128">
        <f>IF(NOT(Start_Here_Complete),0,
IF(D19=0,0,
IF(AND(Service="Standalone Support",Device_Type="Enterprise &amp; cnWave"),0,
IF(AND(FWB_CCPrime,S19="SC25"),D19,
0))))</f>
        <v>0</v>
      </c>
      <c r="AA19" s="128">
        <f>IF(NOT(Start_Here_Complete),0,
IF(D19=0,0,
IF(AND(Service="Standalone Support",Device_Type="Enterprise &amp; cnWave"),0,
IF(AND(FWB_CCPro,Q19="SC30"),D19,
IF(AND(FWB_CCPrime,S19="SC30"),D19,
0)))))</f>
        <v>0</v>
      </c>
      <c r="AB19" s="128">
        <f>IF(NOT(Start_Here_Complete),0,
IF(D19=0,0,
IF(AND(Service="Standalone Support",Device_Type="Enterprise &amp; cnWave"),0,
IF(AND(FWB_CCPro,Q19="SC40"),D19,
IF(AND(FWB_CCPrime,S19="SC40"),D19,
0)))))</f>
        <v>0</v>
      </c>
      <c r="AC19" s="128">
        <f>IF(NOT(Start_Here_Complete),0,
IF(D19=0,0,
IF(AND(Service="Standalone Support",Device_Type="Enterprise &amp; cnWave"),0,
IF(AND(FWB_CCPro,Q19="SC50"),D19,
IF(AND(FWB_CCPrime,S19="SC50"),D19,
0)))))</f>
        <v>0</v>
      </c>
      <c r="AD19" s="128">
        <f>IF(NOT(Start_Here_Complete),0,
IF(D19=0,0,
IF(AND(Service="Standalone Support",Device_Type="Enterprise &amp; cnWave"),0,
IF(AND(FWB_CCPro,Q19="SC60"),D19,
IF(AND(FWB_CCPrime,S19="SC60"),D19,
0)))))</f>
        <v>0</v>
      </c>
      <c r="AE19" s="16"/>
      <c r="AF19" s="16"/>
      <c r="AG19" s="16"/>
      <c r="AH19" s="16"/>
    </row>
    <row r="20" spans="1:34" ht="16" thickBot="1" x14ac:dyDescent="0.25">
      <c r="A20" s="16"/>
      <c r="B20" s="38"/>
      <c r="C20" s="16" t="s">
        <v>6235</v>
      </c>
      <c r="D20" s="56">
        <v>0</v>
      </c>
      <c r="E20" s="135" t="s">
        <v>5960</v>
      </c>
      <c r="F20" s="224" t="str">
        <f t="shared" si="3"/>
        <v xml:space="preserve"> </v>
      </c>
      <c r="G20" s="114" t="str">
        <f t="shared" si="4"/>
        <v xml:space="preserve"> </v>
      </c>
      <c r="H20" s="214"/>
      <c r="I20" s="151" t="str">
        <f t="shared" si="5"/>
        <v xml:space="preserve"> </v>
      </c>
      <c r="J20" s="114" t="str">
        <f t="shared" si="6"/>
        <v xml:space="preserve"> </v>
      </c>
      <c r="K20" s="114" t="str">
        <f t="shared" si="7"/>
        <v xml:space="preserve"> </v>
      </c>
      <c r="L20" s="213" t="str">
        <f t="shared" si="2"/>
        <v xml:space="preserve"> </v>
      </c>
      <c r="M20" s="212" t="str">
        <f t="shared" si="8"/>
        <v xml:space="preserve"> </v>
      </c>
      <c r="N20" s="171" t="str">
        <f t="shared" si="9"/>
        <v xml:space="preserve"> </v>
      </c>
      <c r="O20" s="128">
        <f t="shared" si="1"/>
        <v>0</v>
      </c>
      <c r="P20" s="192" t="s">
        <v>6245</v>
      </c>
      <c r="Q20" s="288" t="s">
        <v>6249</v>
      </c>
      <c r="R20" s="128" t="str">
        <f t="shared" si="10"/>
        <v>Pro No</v>
      </c>
      <c r="S20" s="288" t="s">
        <v>6249</v>
      </c>
      <c r="T20" s="128" t="str">
        <f t="shared" si="11"/>
        <v>Prime No</v>
      </c>
      <c r="U20" s="128">
        <v>2</v>
      </c>
      <c r="V20" s="128" t="s">
        <v>1226</v>
      </c>
      <c r="W20" s="128">
        <f>IF(NOT(Start_Here_Complete),0,
IF(D20=0,0,
IF(AND(Service="Standalone Support",Device_Type="Enterprise &amp; cnWave"),0,
IF(AND(FWB_CCPro,Q20="SC10"),D20,
IF(AND(FWB_CCPrime,S20="SC10"),D20,
0)))))</f>
        <v>0</v>
      </c>
      <c r="X20" s="128">
        <f>IF(NOT(Start_Here_Complete),0,
IF(D20=0,0,
IF(AND(Service="Standalone Support",Device_Type="Enterprise &amp; cnWave"),0,
IF(AND(FWB_CCPrime,S20="SC15"),D20,
0))))</f>
        <v>0</v>
      </c>
      <c r="Y20" s="128">
        <f>IF(NOT(Start_Here_Complete),0,
IF(D20=0,0,
IF(AND(Service="Standalone Support",Device_Type="Enterprise &amp; cnWave"),0,
IF(AND(FWB_CCPro,Q20="SC20"),D20,
IF(AND(FWB_CCPrime,S20="SC20"),D20,
0)))))</f>
        <v>0</v>
      </c>
      <c r="Z20" s="128">
        <f>IF(NOT(Start_Here_Complete),0,
IF(D20=0,0,
IF(AND(Service="Standalone Support",Device_Type="Enterprise &amp; cnWave"),0,
IF(AND(FWB_CCPrime,S20="SC25"),D20,
0))))</f>
        <v>0</v>
      </c>
      <c r="AA20" s="128">
        <f>IF(NOT(Start_Here_Complete),0,
IF(D20=0,0,
IF(AND(Service="Standalone Support",Device_Type="Enterprise &amp; cnWave"),0,
IF(AND(FWB_CCPro,Q20="SC30"),D20,
IF(AND(FWB_CCPrime,S20="SC30"),D20,
0)))))</f>
        <v>0</v>
      </c>
      <c r="AB20" s="128">
        <f>IF(NOT(Start_Here_Complete),0,
IF(D20=0,0,
IF(AND(Service="Standalone Support",Device_Type="Enterprise &amp; cnWave"),0,
IF(AND(FWB_CCPro,Q20="SC40"),D20,
IF(AND(FWB_CCPrime,S20="SC40"),D20,
0)))))</f>
        <v>0</v>
      </c>
      <c r="AC20" s="128">
        <f>IF(NOT(Start_Here_Complete),0,
IF(D20=0,0,
IF(AND(Service="Standalone Support",Device_Type="Enterprise &amp; cnWave"),0,
IF(AND(FWB_CCPro,Q20="SC50"),D20,
IF(AND(FWB_CCPrime,S20="SC50"),D20,
0)))))</f>
        <v>0</v>
      </c>
      <c r="AD20" s="128">
        <f>IF(NOT(Start_Here_Complete),0,
IF(D20=0,0,
IF(AND(Service="Standalone Support",Device_Type="Enterprise &amp; cnWave"),0,
IF(AND(FWB_CCPro,Q20="SC60"),D20,
IF(AND(FWB_CCPrime,S20="SC60"),D20,
0)))))</f>
        <v>0</v>
      </c>
      <c r="AE20" s="16"/>
      <c r="AF20" s="16"/>
      <c r="AG20" s="16"/>
      <c r="AH20" s="16"/>
    </row>
    <row r="21" spans="1:34" ht="16" thickBot="1" x14ac:dyDescent="0.25">
      <c r="A21" s="16"/>
      <c r="B21" s="38"/>
      <c r="C21" s="91" t="s">
        <v>6632</v>
      </c>
      <c r="D21" s="92"/>
      <c r="E21" s="92"/>
      <c r="F21" s="92"/>
      <c r="G21" s="92"/>
      <c r="H21" s="92"/>
      <c r="I21" s="92"/>
      <c r="J21" s="92"/>
      <c r="K21" s="92"/>
      <c r="L21" s="92"/>
      <c r="M21" s="106"/>
      <c r="N21" s="171"/>
      <c r="O21" s="128"/>
      <c r="P21" s="194"/>
      <c r="Q21" s="128"/>
      <c r="R21" s="128"/>
      <c r="S21" s="171"/>
      <c r="T21" s="171"/>
      <c r="U21" s="128"/>
      <c r="V21" s="128"/>
      <c r="W21" s="128"/>
      <c r="X21" s="128"/>
      <c r="Y21" s="128"/>
      <c r="Z21" s="128"/>
      <c r="AA21" s="128"/>
      <c r="AB21" s="128"/>
      <c r="AC21" s="128"/>
      <c r="AD21" s="128"/>
      <c r="AE21" s="16"/>
      <c r="AF21" s="16"/>
      <c r="AG21" s="16"/>
      <c r="AH21" s="16"/>
    </row>
    <row r="22" spans="1:34" ht="16" thickBot="1" x14ac:dyDescent="0.25">
      <c r="A22" s="16"/>
      <c r="B22" s="38"/>
      <c r="C22" s="16" t="s">
        <v>6232</v>
      </c>
      <c r="D22" s="6">
        <v>0</v>
      </c>
      <c r="E22" s="135" t="s">
        <v>5960</v>
      </c>
      <c r="F22" s="224" t="str">
        <f>IF(NOT(Start_Here_Complete)," ",
IF(D22=0," ",
IF(AND(Service="cnMaestro X",P22&lt;&gt;"N/A"),P22,
IF(AND(Service="cnMaestro X",P22="N/A"),"Not Available",
" "))))</f>
        <v xml:space="preserve"> </v>
      </c>
      <c r="G22" s="114" t="str">
        <f>IF(NOT(Start_Here_Complete)," ",
IF(D22=0," ",
IF(AND(Service="cnMaestro X",P22&lt;&gt;"N/A",P22&lt;&gt;"Free Tier"),cnMX_Term,
IF(AND(Service="cnMaestro X",P22="Free Tier")," ",
IF(AND(Service="cnMaestro X",P22="N/A")," ",
" ")))))</f>
        <v xml:space="preserve"> </v>
      </c>
      <c r="H22" s="214"/>
      <c r="I22" s="151" t="str">
        <f>IF(NOT((Start_Here_Complete))," ",
IF(D22=0," ",
IF(R22="Pro Go",CONCATENATE("CC Pro ",Q22),
IF(R22="Pro N/R","CC Pro not req'd *",
IF(T22="Prime Go",CONCATENATE("CC Prime ",S22),
IF(T22="Prime N/R","CC Prime not req'd *",
IF(T22="Prime N/A","Prime not available",
IF(CC_Type="Decline Cambium Care","CC Declined",
" "))))))))</f>
        <v xml:space="preserve"> </v>
      </c>
      <c r="J22" s="114" t="str">
        <f t="shared" ref="J22:J28" si="12">IF(NOT(Start_Here_Complete)," ",
IF(D22=0," ",
IF(R22="Pro Go","1 year",
IF(T22="Prime Go","1 Year",
" "))))</f>
        <v xml:space="preserve"> </v>
      </c>
      <c r="K22" s="114" t="str">
        <f>IF(NOT(Start_Here_Complete)," ",
IF(D22=0," ",
IF(AND(EW,U22&lt;&gt;"N/A"),"Extended Warranty",
IF(AND(EW,U22="N/A"),"Ext Wty not available",
IF(AND(AR,V22&lt;&gt;"N/A"),"All Risks Adv Replace",
IF(AND(AR,V22="N/A"),"ARAR not available",
IF(NoHW,"HW Support Declined",
IF(AND(FWB_CCPrime,T22="Prime Go"),"ARAR included",
IF(Ent_CCAdv,"Includes Adv Repl",
"X")))))))))</f>
        <v xml:space="preserve"> </v>
      </c>
      <c r="L22" s="213" t="str">
        <f t="shared" si="2"/>
        <v xml:space="preserve"> </v>
      </c>
      <c r="M22" s="212" t="str">
        <f>IF(NOT(Start_Here_Complete)," ",
IF(D22=0," ",
IF(OR(FWB_CCPrime,Ent_CCAdv)," ",
"3 years")))</f>
        <v xml:space="preserve"> </v>
      </c>
      <c r="N22" s="171" t="str">
        <f>IF(D22=0," ",
IF(AND(EW,U22&lt;&gt;"N/A"),"Choose",
IF(AND(AR,V22&lt;&gt;"N/A"),"Choose",
" ")))</f>
        <v xml:space="preserve"> </v>
      </c>
      <c r="O22" s="128">
        <f t="shared" si="1"/>
        <v>0</v>
      </c>
      <c r="P22" s="194" t="s">
        <v>6246</v>
      </c>
      <c r="Q22" s="288" t="s">
        <v>6249</v>
      </c>
      <c r="R22" s="128" t="str">
        <f>IF(AND(FWB_CCPro,Q22&lt;&gt;"N/R"),"Pro Go",
IF(AND(FWB_CCPro,Q22="N/R"),"Pro N/R",
"Pro No"))</f>
        <v>Pro No</v>
      </c>
      <c r="S22" s="288" t="s">
        <v>6249</v>
      </c>
      <c r="T22" s="128" t="str">
        <f>IF(AND(FWB_CCPrime,AND(S22&lt;&gt;"N/R",S22&lt;&gt;"N/A")),"Prime Go",
IF(AND(FWB_CCPrime,S22="N/R"),"Prime N/R",
IF(AND(FWB_CCPrime,S22="N/A"),"Prime N/A",
"Prime No")))</f>
        <v>Prime No</v>
      </c>
      <c r="U22" s="128">
        <v>2</v>
      </c>
      <c r="V22" s="128" t="s">
        <v>1226</v>
      </c>
      <c r="W22" s="128">
        <f>IF(NOT(Start_Here_Complete),0,
IF(D22=0,0,
IF(AND(Service="Standalone Support",Device_Type="Enterprise &amp; cnWave"),0,
IF(AND(FWB_CCPro,Q22="SC10"),D22,
IF(AND(FWB_CCPrime,S22="SC10"),D22,
0)))))</f>
        <v>0</v>
      </c>
      <c r="X22" s="128">
        <f>IF(NOT(Start_Here_Complete),0,
IF(D22=0,0,
IF(AND(Service="Standalone Support",Device_Type="Enterprise &amp; cnWave"),0,
IF(AND(FWB_CCPrime,S22="SC15"),D22,
0))))</f>
        <v>0</v>
      </c>
      <c r="Y22" s="128">
        <f>IF(NOT(Start_Here_Complete),0,
IF(D22=0,0,
IF(AND(Service="Standalone Support",Device_Type="Enterprise &amp; cnWave"),0,
IF(AND(FWB_CCPro,Q22="SC20"),D22,
IF(AND(FWB_CCPrime,S22="SC20"),D22,
0)))))</f>
        <v>0</v>
      </c>
      <c r="Z22" s="128">
        <f>IF(NOT(Start_Here_Complete),0,
IF(D22=0,0,
IF(AND(Service="Standalone Support",Device_Type="Enterprise &amp; cnWave"),0,
IF(AND(FWB_CCPrime,S22="SC25"),D22,
0))))</f>
        <v>0</v>
      </c>
      <c r="AA22" s="128">
        <f>IF(NOT(Start_Here_Complete),0,
IF(D22=0,0,
IF(AND(Service="Standalone Support",Device_Type="Enterprise &amp; cnWave"),0,
IF(AND(FWB_CCPro,Q22="SC30"),D22,
IF(AND(FWB_CCPrime,S22="SC30"),D22,
0)))))</f>
        <v>0</v>
      </c>
      <c r="AB22" s="128">
        <f>IF(NOT(Start_Here_Complete),0,
IF(D22=0,0,
IF(AND(Service="Standalone Support",Device_Type="Enterprise &amp; cnWave"),0,
IF(AND(FWB_CCPro,Q22="SC40"),D22,
IF(AND(FWB_CCPrime,S22="SC40"),D22,
0)))))</f>
        <v>0</v>
      </c>
      <c r="AC22" s="128">
        <f>IF(NOT(Start_Here_Complete),0,
IF(D22=0,0,
IF(AND(Service="Standalone Support",Device_Type="Enterprise &amp; cnWave"),0,
IF(AND(FWB_CCPro,Q22="SC50"),D22,
IF(AND(FWB_CCPrime,S22="SC50"),D22,
0)))))</f>
        <v>0</v>
      </c>
      <c r="AD22" s="128">
        <f>IF(NOT(Start_Here_Complete),0,
IF(D22=0,0,
IF(AND(Service="Standalone Support",Device_Type="Enterprise &amp; cnWave"),0,
IF(AND(FWB_CCPro,Q22="SC60"),D22,
IF(AND(FWB_CCPrime,S22="SC60"),D22,
0)))))</f>
        <v>0</v>
      </c>
      <c r="AE22" s="16"/>
      <c r="AF22" s="16"/>
      <c r="AG22" s="16"/>
      <c r="AH22" s="16"/>
    </row>
    <row r="23" spans="1:34" ht="16" thickBot="1" x14ac:dyDescent="0.25">
      <c r="A23" s="16"/>
      <c r="B23" s="38"/>
      <c r="C23" s="16" t="s">
        <v>6233</v>
      </c>
      <c r="D23" s="6">
        <v>0</v>
      </c>
      <c r="E23" s="135" t="s">
        <v>5960</v>
      </c>
      <c r="F23" s="224" t="str">
        <f>IF(NOT(Start_Here_Complete)," ",
IF(D23=0," ",
IF(AND(Service="cnMaestro X",P23&lt;&gt;"N/A"),P23,
IF(AND(Service="cnMaestro X",P23="N/A"),"Not Available",
" "))))</f>
        <v xml:space="preserve"> </v>
      </c>
      <c r="G23" s="114" t="str">
        <f>IF(NOT(Start_Here_Complete)," ",
IF(D23=0," ",
IF(AND(Service="cnMaestro X",P23&lt;&gt;"N/A",P23&lt;&gt;"Free Tier"),cnMX_Term,
IF(AND(Service="cnMaestro X",P23="Free Tier")," ",
IF(AND(Service="cnMaestro X",P23="N/A")," ",
" ")))))</f>
        <v xml:space="preserve"> </v>
      </c>
      <c r="H23" s="214"/>
      <c r="I23" s="151" t="str">
        <f>IF(NOT((Start_Here_Complete))," ",
IF(D23=0," ",
IF(R23="Pro Go",CONCATENATE("CC Pro ",Q23),
IF(R23="Pro N/R","CC Pro not req'd *",
IF(T23="Prime Go",CONCATENATE("CC Prime ",S23),
IF(T23="Prime N/R","CC Prime not req'd *",
IF(T23="Prime N/A","Prime not available",
IF(CC_Type="Decline Cambium Care","CC Declined",
" "))))))))</f>
        <v xml:space="preserve"> </v>
      </c>
      <c r="J23" s="114" t="str">
        <f t="shared" si="12"/>
        <v xml:space="preserve"> </v>
      </c>
      <c r="K23" s="114" t="str">
        <f>IF(NOT(Start_Here_Complete)," ",
IF(D23=0," ",
IF(AND(EW,U23&lt;&gt;"N/A"),"Extended Warranty",
IF(AND(EW,U23="N/A"),"Ext Wty not available",
IF(AND(AR,V23&lt;&gt;"N/A"),"All Risks Adv Replace",
IF(AND(AR,V23="N/A"),"ARAR not available",
IF(NoHW,"HW Support Declined",
IF(AND(FWB_CCPrime,T23="Prime Go"),"ARAR included",
IF(Ent_CCAdv,"Includes Adv Repl",
"X")))))))))</f>
        <v xml:space="preserve"> </v>
      </c>
      <c r="L23" s="213" t="str">
        <f>N23</f>
        <v xml:space="preserve"> </v>
      </c>
      <c r="M23" s="212" t="str">
        <f>IF(NOT(Start_Here_Complete)," ",
IF(D23=0," ",
IF(OR(FWB_CCPrime,Ent_CCAdv)," ",
"3 years")))</f>
        <v xml:space="preserve"> </v>
      </c>
      <c r="N23" s="171" t="str">
        <f>IF(D23=0," ",
IF(AND(EW,U23&lt;&gt;"N/A"),"Choose",
IF(AND(AR,V23&lt;&gt;"N/A"),"Choose",
" ")))</f>
        <v xml:space="preserve"> </v>
      </c>
      <c r="O23" s="128">
        <f t="shared" si="1"/>
        <v>0</v>
      </c>
      <c r="P23" s="194" t="s">
        <v>6246</v>
      </c>
      <c r="Q23" s="288" t="s">
        <v>6249</v>
      </c>
      <c r="R23" s="128" t="str">
        <f>IF(AND(FWB_CCPro,Q23&lt;&gt;"N/R"),"Pro Go",
IF(AND(FWB_CCPro,Q23="N/R"),"Pro N/R",
"Pro No"))</f>
        <v>Pro No</v>
      </c>
      <c r="S23" s="288" t="s">
        <v>6256</v>
      </c>
      <c r="T23" s="128" t="str">
        <f>IF(AND(FWB_CCPrime,AND(S23&lt;&gt;"N/R",S23&lt;&gt;"N/A")),"Prime Go",
IF(AND(FWB_CCPrime,S23="N/R"),"Prime N/R",
IF(AND(FWB_CCPrime,S23="N/A"),"Prime N/A",
"Prime No")))</f>
        <v>Prime No</v>
      </c>
      <c r="U23" s="128">
        <v>2</v>
      </c>
      <c r="V23" s="128" t="s">
        <v>1226</v>
      </c>
      <c r="W23" s="128">
        <f>IF(NOT(Start_Here_Complete),0,
IF(D23=0,0,
IF(AND(Service="Standalone Support",Device_Type="Enterprise &amp; cnWave"),0,
IF(AND(FWB_CCPro,Q23="SC10"),D23,
IF(AND(FWB_CCPrime,S23="SC10"),D23,
0)))))</f>
        <v>0</v>
      </c>
      <c r="X23" s="128">
        <f>IF(NOT(Start_Here_Complete),0,
IF(D23=0,0,
IF(AND(Service="Standalone Support",Device_Type="Enterprise &amp; cnWave"),0,
IF(AND(FWB_CCPrime,S23="SC15"),D23,
0))))</f>
        <v>0</v>
      </c>
      <c r="Y23" s="128">
        <f>IF(NOT(Start_Here_Complete),0,
IF(D23=0,0,
IF(AND(Service="Standalone Support",Device_Type="Enterprise &amp; cnWave"),0,
IF(AND(FWB_CCPro,Q23="SC20"),D23,
IF(AND(FWB_CCPrime,S23="SC20"),D23,
0)))))</f>
        <v>0</v>
      </c>
      <c r="Z23" s="128">
        <f>IF(NOT(Start_Here_Complete),0,
IF(D23=0,0,
IF(AND(Service="Standalone Support",Device_Type="Enterprise &amp; cnWave"),0,
IF(AND(FWB_CCPrime,S23="SC25"),D23,
0))))</f>
        <v>0</v>
      </c>
      <c r="AA23" s="128">
        <f>IF(NOT(Start_Here_Complete),0,
IF(D23=0,0,
IF(AND(Service="Standalone Support",Device_Type="Enterprise &amp; cnWave"),0,
IF(AND(FWB_CCPro,Q23="SC30"),D23,
IF(AND(FWB_CCPrime,S23="SC30"),D23,
0)))))</f>
        <v>0</v>
      </c>
      <c r="AB23" s="128">
        <f>IF(NOT(Start_Here_Complete),0,
IF(D23=0,0,
IF(AND(Service="Standalone Support",Device_Type="Enterprise &amp; cnWave"),0,
IF(AND(FWB_CCPro,Q23="SC40"),D23,
IF(AND(FWB_CCPrime,S23="SC40"),D23,
0)))))</f>
        <v>0</v>
      </c>
      <c r="AC23" s="128">
        <f>IF(NOT(Start_Here_Complete),0,
IF(D23=0,0,
IF(AND(Service="Standalone Support",Device_Type="Enterprise &amp; cnWave"),0,
IF(AND(FWB_CCPro,Q23="SC50"),D23,
IF(AND(FWB_CCPrime,S23="SC50"),D23,
0)))))</f>
        <v>0</v>
      </c>
      <c r="AD23" s="128">
        <f>IF(NOT(Start_Here_Complete),0,
IF(D23=0,0,
IF(AND(Service="Standalone Support",Device_Type="Enterprise &amp; cnWave"),0,
IF(AND(FWB_CCPro,Q23="SC60"),D23,
IF(AND(FWB_CCPrime,S23="SC60"),D23,
0)))))</f>
        <v>0</v>
      </c>
      <c r="AE23" s="16"/>
      <c r="AF23" s="16"/>
      <c r="AG23" s="16"/>
      <c r="AH23" s="16"/>
    </row>
    <row r="24" spans="1:34" ht="16" thickBot="1" x14ac:dyDescent="0.25">
      <c r="A24" s="16"/>
      <c r="B24" s="38"/>
      <c r="C24" s="16" t="s">
        <v>6634</v>
      </c>
      <c r="D24" s="6">
        <v>0</v>
      </c>
      <c r="E24" s="232" t="s">
        <v>5960</v>
      </c>
      <c r="F24" s="224" t="str">
        <f>IF(NOT(Start_Here_Complete)," ",
IF(D24=0," ",
IF(AND(Service="cnMaestro X",P24&lt;&gt;"N/A"),P24,
IF(AND(Service="cnMaestro X",P24="N/A"),"Not Available",
" "))))</f>
        <v xml:space="preserve"> </v>
      </c>
      <c r="G24" s="114" t="str">
        <f>IF(NOT(Start_Here_Complete)," ",
IF(D24=0," ",
IF(AND(Service="cnMaestro X",P24&lt;&gt;"N/A",P24&lt;&gt;"Free Tier"),cnMX_Term,
IF(AND(Service="cnMaestro X",P24="Free Tier")," ",
IF(AND(Service="cnMaestro X",P24="N/A")," ",
" ")))))</f>
        <v xml:space="preserve"> </v>
      </c>
      <c r="H24" s="214"/>
      <c r="I24" s="224" t="str">
        <f>IF(NOT((Start_Here_Complete))," ",
IF(D24=0," ",
IF(R24="Pro Go",CONCATENATE("CC Pro ",Q24),
IF(R24="Pro N/R","CC Pro not req'd *",
IF(T24="Prime Go",CONCATENATE("CC Prime ",S24),
IF(T24="Prime N/R","CC Prime not req'd *",
IF(T24="Prime N/A","Prime not available",
IF(CC_Type="Decline Cambium Care","CC Declined",
" "))))))))</f>
        <v xml:space="preserve"> </v>
      </c>
      <c r="J24" s="114" t="str">
        <f t="shared" ref="J24" si="13">IF(NOT(Start_Here_Complete)," ",
IF(D24=0," ",
IF(R24="Pro Go","1 year",
IF(T24="Prime Go","1 Year",
" "))))</f>
        <v xml:space="preserve"> </v>
      </c>
      <c r="K24" s="114" t="str">
        <f>IF(NOT(Start_Here_Complete)," ",
IF(D24=0," ",
IF(AND(EW,U24&lt;&gt;"N/A"),"Extended Warranty",
IF(AND(EW,U24="N/A"),"Ext Wty not available",
IF(AND(AR,V24&lt;&gt;"N/A"),"All Risks Adv Replace",
IF(AND(AR,V24="N/A"),"ARAR not available",
IF(NoHW,"HW Support Declined",
IF(AND(FWB_CCPrime,T24="Prime Go"),"ARAR included",
IF(Ent_CCAdv,"Includes Adv Repl",
"X")))))))))</f>
        <v xml:space="preserve"> </v>
      </c>
      <c r="L24" s="213" t="str">
        <f t="shared" si="2"/>
        <v xml:space="preserve"> </v>
      </c>
      <c r="M24" s="214" t="str">
        <f>IF(NOT(Start_Here_Complete)," ",
IF(D24=0," ",
IF(OR(FWB_CCPrime,Ent_CCAdv)," ",
"3 years")))</f>
        <v xml:space="preserve"> </v>
      </c>
      <c r="N24" s="171" t="str">
        <f>IF(D24=0," ",
IF(AND(EW,U24&lt;&gt;"N/A"),"Choose",
IF(AND(AR,V24&lt;&gt;"N/A"),"Choose",
" ")))</f>
        <v xml:space="preserve"> </v>
      </c>
      <c r="O24" s="128">
        <f t="shared" si="1"/>
        <v>0</v>
      </c>
      <c r="P24" s="194" t="s">
        <v>6246</v>
      </c>
      <c r="Q24" s="288" t="s">
        <v>6250</v>
      </c>
      <c r="R24" s="128" t="str">
        <f>IF(AND(FWB_CCPro,Q24&lt;&gt;"N/R"),"Pro Go",
IF(AND(FWB_CCPro,Q24="N/R"),"Pro N/R",
"Pro No"))</f>
        <v>Pro No</v>
      </c>
      <c r="S24" s="288" t="s">
        <v>6250</v>
      </c>
      <c r="T24" s="128" t="str">
        <f>IF(AND(FWB_CCPrime,AND(S24&lt;&gt;"N/R",S24&lt;&gt;"N/A")),"Prime Go",
IF(AND(FWB_CCPrime,S24="N/R"),"Prime N/R",
IF(AND(FWB_CCPrime,S24="N/A"),"Prime N/A",
"Prime No")))</f>
        <v>Prime No</v>
      </c>
      <c r="U24" s="128">
        <v>2</v>
      </c>
      <c r="V24" s="128" t="s">
        <v>1226</v>
      </c>
      <c r="W24" s="128">
        <f>IF(NOT(Start_Here_Complete),0,
IF(D24=0,0,
IF(AND(Service="Standalone Support",Device_Type="Enterprise &amp; cnWave"),0,
IF(AND(FWB_CCPro,Q24="SC10"),D24,
IF(AND(FWB_CCPrime,S24="SC10"),D24,
0)))))</f>
        <v>0</v>
      </c>
      <c r="X24" s="128">
        <f>IF(NOT(Start_Here_Complete),0,
IF(D24=0,0,
IF(AND(Service="Standalone Support",Device_Type="Enterprise &amp; cnWave"),0,
IF(AND(FWB_CCPrime,S24="SC15"),D24,
0))))</f>
        <v>0</v>
      </c>
      <c r="Y24" s="128">
        <f>IF(NOT(Start_Here_Complete),0,
IF(D24=0,0,
IF(AND(Service="Standalone Support",Device_Type="Enterprise &amp; cnWave"),0,
IF(AND(FWB_CCPro,Q24="SC20"),D24,
IF(AND(FWB_CCPrime,S24="SC20"),D24,
0)))))</f>
        <v>0</v>
      </c>
      <c r="Z24" s="128">
        <f>IF(NOT(Start_Here_Complete),0,
IF(D24=0,0,
IF(AND(Service="Standalone Support",Device_Type="Enterprise &amp; cnWave"),0,
IF(AND(FWB_CCPrime,S24="SC25"),D24,
0))))</f>
        <v>0</v>
      </c>
      <c r="AA24" s="128">
        <f>IF(NOT(Start_Here_Complete),0,
IF(D24=0,0,
IF(AND(Service="Standalone Support",Device_Type="Enterprise &amp; cnWave"),0,
IF(AND(FWB_CCPro,Q24="SC30"),D24,
IF(AND(FWB_CCPrime,S24="SC30"),D24,
0)))))</f>
        <v>0</v>
      </c>
      <c r="AB24" s="128">
        <f>IF(NOT(Start_Here_Complete),0,
IF(D24=0,0,
IF(AND(Service="Standalone Support",Device_Type="Enterprise &amp; cnWave"),0,
IF(AND(FWB_CCPro,Q24="SC40"),D24,
IF(AND(FWB_CCPrime,S24="SC40"),D24,
0)))))</f>
        <v>0</v>
      </c>
      <c r="AC24" s="128">
        <f>IF(NOT(Start_Here_Complete),0,
IF(D24=0,0,
IF(AND(Service="Standalone Support",Device_Type="Enterprise &amp; cnWave"),0,
IF(AND(FWB_CCPro,Q24="SC50"),D24,
IF(AND(FWB_CCPrime,S24="SC50"),D24,
0)))))</f>
        <v>0</v>
      </c>
      <c r="AD24" s="128">
        <f>IF(NOT(Start_Here_Complete),0,
IF(D24=0,0,
IF(AND(Service="Standalone Support",Device_Type="Enterprise &amp; cnWave"),0,
IF(AND(FWB_CCPro,Q24="SC60"),D24,
IF(AND(FWB_CCPrime,S24="SC60"),D24,
0)))))</f>
        <v>0</v>
      </c>
      <c r="AE24" s="16"/>
      <c r="AF24" s="16"/>
      <c r="AG24" s="16"/>
      <c r="AH24" s="16"/>
    </row>
    <row r="25" spans="1:34" ht="16" thickBot="1" x14ac:dyDescent="0.25">
      <c r="A25" s="16"/>
      <c r="B25" s="38"/>
      <c r="C25" s="91" t="s">
        <v>6224</v>
      </c>
      <c r="D25" s="92"/>
      <c r="E25" s="92"/>
      <c r="F25" s="92"/>
      <c r="G25" s="92"/>
      <c r="H25" s="92"/>
      <c r="I25" s="92"/>
      <c r="J25" s="92" t="str">
        <f t="shared" si="12"/>
        <v xml:space="preserve"> </v>
      </c>
      <c r="K25" s="92"/>
      <c r="L25" s="92"/>
      <c r="M25" s="106"/>
      <c r="N25" s="171"/>
      <c r="O25" s="128"/>
      <c r="P25" s="194"/>
      <c r="Q25" s="128"/>
      <c r="R25" s="128"/>
      <c r="S25" s="171"/>
      <c r="T25" s="171"/>
      <c r="U25" s="128"/>
      <c r="V25" s="128"/>
      <c r="W25" s="128"/>
      <c r="X25" s="128"/>
      <c r="Y25" s="128"/>
      <c r="Z25" s="128"/>
      <c r="AA25" s="128"/>
      <c r="AB25" s="128"/>
      <c r="AC25" s="128"/>
      <c r="AD25" s="128"/>
      <c r="AE25" s="16"/>
      <c r="AF25" s="16"/>
      <c r="AG25" s="16"/>
      <c r="AH25" s="16"/>
    </row>
    <row r="26" spans="1:34" ht="16" thickBot="1" x14ac:dyDescent="0.25">
      <c r="A26" s="16"/>
      <c r="B26" s="38"/>
      <c r="C26" s="16" t="s">
        <v>6657</v>
      </c>
      <c r="D26" s="6">
        <v>0</v>
      </c>
      <c r="E26" s="135" t="s">
        <v>5960</v>
      </c>
      <c r="F26" s="224" t="str">
        <f t="shared" ref="F26:F31" si="14">IF(NOT(Start_Here_Complete)," ",
IF(D26=0," ",
IF(AND(Service="cnMaestro X",P26&lt;&gt;"N/A"),P26,
IF(AND(Service="cnMaestro X",P26="N/A"),"Not Available",
" "))))</f>
        <v xml:space="preserve"> </v>
      </c>
      <c r="G26" s="114" t="str">
        <f t="shared" ref="G26:G31" si="15">IF(NOT(Start_Here_Complete)," ",
IF(D26=0," ",
IF(AND(Service="cnMaestro X",P26&lt;&gt;"N/A",P26&lt;&gt;"Free Tier"),cnMX_Term,
IF(AND(Service="cnMaestro X",P26="Free Tier")," ",
IF(AND(Service="cnMaestro X",P26="N/A")," ",
" ")))))</f>
        <v xml:space="preserve"> </v>
      </c>
      <c r="H26" s="214"/>
      <c r="I26" s="151" t="str">
        <f t="shared" ref="I26:I31" si="16">IF(NOT((Start_Here_Complete))," ",
IF(D26=0," ",
IF(R26="Pro Go",CONCATENATE("CC Pro ",Q26),
IF(R26="Pro N/R","CC Pro not req'd *",
IF(T26="Prime Go",CONCATENATE("CC Prime ",S26),
IF(T26="Prime N/R","CC Prime not req'd *",
IF(T26="Prime N/A","Prime not available",
IF(CC_Type="Decline Cambium Care","CC Declined",
" "))))))))</f>
        <v xml:space="preserve"> </v>
      </c>
      <c r="J26" s="114" t="str">
        <f t="shared" si="12"/>
        <v xml:space="preserve"> </v>
      </c>
      <c r="K26" s="114" t="str">
        <f t="shared" ref="K26:K31" si="17">IF(NOT(Start_Here_Complete)," ",
IF(D26=0," ",
IF(AND(EW,U26&lt;&gt;"N/A"),"Extended Warranty",
IF(AND(EW,U26="N/A"),"Ext Wty not available",
IF(AND(AR,V26&lt;&gt;"N/A"),"All Risks Adv Replace",
IF(AND(AR,V26="N/A"),"ARAR not available",
IF(NoHW,"HW Support Declined",
IF(AND(FWB_CCPrime,T26="Prime Go"),"ARAR included",
IF(Ent_CCAdv,"Includes Adv Repl",
"X")))))))))</f>
        <v xml:space="preserve"> </v>
      </c>
      <c r="L26" s="213" t="str">
        <f t="shared" si="2"/>
        <v xml:space="preserve"> </v>
      </c>
      <c r="M26" s="212" t="str">
        <f t="shared" ref="M26:M31" si="18">IF(NOT(Start_Here_Complete)," ",
IF(D26=0," ",
IF(OR(FWB_CCPrime,Ent_CCAdv)," ",
"3 years")))</f>
        <v xml:space="preserve"> </v>
      </c>
      <c r="N26" s="171" t="str">
        <f t="shared" ref="N26:N31" si="19">IF(D26=0," ",
IF(AND(EW,U26&lt;&gt;"N/A"),"Choose",
IF(AND(AR,V26&lt;&gt;"N/A"),"Choose",
" ")))</f>
        <v xml:space="preserve"> </v>
      </c>
      <c r="O26" s="128">
        <f t="shared" si="1"/>
        <v>0</v>
      </c>
      <c r="P26" s="192" t="s">
        <v>6245</v>
      </c>
      <c r="Q26" s="288" t="s">
        <v>6250</v>
      </c>
      <c r="R26" s="128" t="str">
        <f t="shared" ref="R26:R31" si="20">IF(AND(FWB_CCPro,Q26&lt;&gt;"N/R"),"Pro Go",
IF(AND(FWB_CCPro,Q26="N/R"),"Pro N/R",
"Pro No"))</f>
        <v>Pro No</v>
      </c>
      <c r="S26" s="128" t="s">
        <v>1226</v>
      </c>
      <c r="T26" s="128" t="str">
        <f t="shared" ref="T26:T31" si="21">IF(AND(FWB_CCPrime,AND(S26&lt;&gt;"N/R",S26&lt;&gt;"N/A")),"Prime Go",
IF(AND(FWB_CCPrime,S26="N/R"),"Prime N/R",
IF(AND(FWB_CCPrime,S26="N/A"),"Prime N/A",
"Prime No")))</f>
        <v>Prime No</v>
      </c>
      <c r="U26" s="128">
        <v>2</v>
      </c>
      <c r="V26" s="128" t="s">
        <v>1226</v>
      </c>
      <c r="W26" s="128">
        <f t="shared" ref="W26:W31" si="22">IF(NOT(Start_Here_Complete),0,
IF(D26=0,0,
IF(AND(Service="Standalone Support",Device_Type="Enterprise &amp; cnWave"),0,
IF(AND(FWB_CCPro,Q26="SC10"),D26,
IF(AND(FWB_CCPrime,S26="SC10"),D26,
0)))))</f>
        <v>0</v>
      </c>
      <c r="X26" s="128"/>
      <c r="Y26" s="128">
        <f t="shared" ref="Y26:Y31" si="23">IF(NOT(Start_Here_Complete),0,
IF(D26=0,0,
IF(AND(Service="Standalone Support",Device_Type="Enterprise &amp; cnWave"),0,
IF(AND(FWB_CCPro,Q26="SC20"),D26,
IF(AND(FWB_CCPrime,S26="SC20"),D26,
0)))))</f>
        <v>0</v>
      </c>
      <c r="Z26" s="128"/>
      <c r="AA26" s="128">
        <f t="shared" ref="AA26:AA31" si="24">IF(NOT(Start_Here_Complete),0,
IF(D26=0,0,
IF(AND(Service="Standalone Support",Device_Type="Enterprise &amp; cnWave"),0,
IF(AND(FWB_CCPro,Q26="SC30"),D26,
IF(AND(FWB_CCPrime,S26="SC30"),D26,
0)))))</f>
        <v>0</v>
      </c>
      <c r="AB26" s="128">
        <f t="shared" ref="AB26:AB31" si="25">IF(NOT(Start_Here_Complete),0,
IF(D26=0,0,
IF(AND(Service="Standalone Support",Device_Type="Enterprise &amp; cnWave"),0,
IF(AND(FWB_CCPro,Q26="SC40"),D26,
IF(AND(FWB_CCPrime,S26="SC40"),D26,
0)))))</f>
        <v>0</v>
      </c>
      <c r="AC26" s="128">
        <f t="shared" ref="AC26:AC31" si="26">IF(NOT(Start_Here_Complete),0,
IF(D26=0,0,
IF(AND(Service="Standalone Support",Device_Type="Enterprise &amp; cnWave"),0,
IF(AND(FWB_CCPro,Q26="SC50"),D26,
IF(AND(FWB_CCPrime,S26="SC50"),D26,
0)))))</f>
        <v>0</v>
      </c>
      <c r="AD26" s="128">
        <f t="shared" ref="AD26:AD31" si="27">IF(NOT(Start_Here_Complete),0,
IF(D26=0,0,
IF(AND(Service="Standalone Support",Device_Type="Enterprise &amp; cnWave"),0,
IF(AND(FWB_CCPro,Q26="SC60"),D26,
IF(AND(FWB_CCPrime,S26="SC60"),D26,
0)))))</f>
        <v>0</v>
      </c>
      <c r="AE26" s="16"/>
      <c r="AF26" s="16"/>
      <c r="AG26" s="16"/>
      <c r="AH26" s="16"/>
    </row>
    <row r="27" spans="1:34" ht="16" thickBot="1" x14ac:dyDescent="0.25">
      <c r="A27" s="16"/>
      <c r="B27" s="38"/>
      <c r="C27" s="16" t="s">
        <v>6658</v>
      </c>
      <c r="D27" s="56">
        <v>0</v>
      </c>
      <c r="E27" s="135" t="s">
        <v>5960</v>
      </c>
      <c r="F27" s="224" t="str">
        <f t="shared" si="14"/>
        <v xml:space="preserve"> </v>
      </c>
      <c r="G27" s="114" t="str">
        <f t="shared" si="15"/>
        <v xml:space="preserve"> </v>
      </c>
      <c r="H27" s="214"/>
      <c r="I27" s="151" t="str">
        <f t="shared" si="16"/>
        <v xml:space="preserve"> </v>
      </c>
      <c r="J27" s="114" t="str">
        <f t="shared" si="12"/>
        <v xml:space="preserve"> </v>
      </c>
      <c r="K27" s="114" t="str">
        <f t="shared" si="17"/>
        <v xml:space="preserve"> </v>
      </c>
      <c r="L27" s="213" t="str">
        <f>N27</f>
        <v xml:space="preserve"> </v>
      </c>
      <c r="M27" s="212" t="str">
        <f t="shared" si="18"/>
        <v xml:space="preserve"> </v>
      </c>
      <c r="N27" s="171" t="str">
        <f t="shared" si="19"/>
        <v xml:space="preserve"> </v>
      </c>
      <c r="O27" s="128">
        <f t="shared" si="1"/>
        <v>0</v>
      </c>
      <c r="P27" s="192" t="s">
        <v>6245</v>
      </c>
      <c r="Q27" s="288" t="s">
        <v>6250</v>
      </c>
      <c r="R27" s="128" t="str">
        <f t="shared" si="20"/>
        <v>Pro No</v>
      </c>
      <c r="S27" s="128" t="s">
        <v>1226</v>
      </c>
      <c r="T27" s="128" t="str">
        <f t="shared" si="21"/>
        <v>Prime No</v>
      </c>
      <c r="U27" s="128">
        <v>2</v>
      </c>
      <c r="V27" s="128" t="s">
        <v>1226</v>
      </c>
      <c r="W27" s="128">
        <f t="shared" si="22"/>
        <v>0</v>
      </c>
      <c r="X27" s="128"/>
      <c r="Y27" s="128">
        <f t="shared" si="23"/>
        <v>0</v>
      </c>
      <c r="Z27" s="128"/>
      <c r="AA27" s="128">
        <f t="shared" si="24"/>
        <v>0</v>
      </c>
      <c r="AB27" s="128">
        <f t="shared" si="25"/>
        <v>0</v>
      </c>
      <c r="AC27" s="128">
        <f t="shared" si="26"/>
        <v>0</v>
      </c>
      <c r="AD27" s="128">
        <f t="shared" si="27"/>
        <v>0</v>
      </c>
      <c r="AE27" s="16"/>
      <c r="AF27" s="16"/>
      <c r="AG27" s="16"/>
      <c r="AH27" s="16"/>
    </row>
    <row r="28" spans="1:34" ht="16" thickBot="1" x14ac:dyDescent="0.25">
      <c r="A28" s="16"/>
      <c r="B28" s="38"/>
      <c r="C28" s="16" t="s">
        <v>6671</v>
      </c>
      <c r="D28" s="56">
        <v>0</v>
      </c>
      <c r="E28" s="135" t="s">
        <v>5960</v>
      </c>
      <c r="F28" s="224" t="str">
        <f t="shared" si="14"/>
        <v xml:space="preserve"> </v>
      </c>
      <c r="G28" s="114" t="str">
        <f t="shared" si="15"/>
        <v xml:space="preserve"> </v>
      </c>
      <c r="H28" s="214"/>
      <c r="I28" s="151" t="str">
        <f t="shared" si="16"/>
        <v xml:space="preserve"> </v>
      </c>
      <c r="J28" s="114" t="str">
        <f t="shared" si="12"/>
        <v xml:space="preserve"> </v>
      </c>
      <c r="K28" s="114" t="str">
        <f t="shared" si="17"/>
        <v xml:space="preserve"> </v>
      </c>
      <c r="L28" s="213" t="str">
        <f t="shared" si="2"/>
        <v xml:space="preserve"> </v>
      </c>
      <c r="M28" s="212" t="str">
        <f t="shared" si="18"/>
        <v xml:space="preserve"> </v>
      </c>
      <c r="N28" s="171" t="str">
        <f t="shared" si="19"/>
        <v xml:space="preserve"> </v>
      </c>
      <c r="O28" s="128">
        <f t="shared" si="1"/>
        <v>0</v>
      </c>
      <c r="P28" s="192" t="s">
        <v>6245</v>
      </c>
      <c r="Q28" s="288" t="s">
        <v>6250</v>
      </c>
      <c r="R28" s="128" t="str">
        <f t="shared" si="20"/>
        <v>Pro No</v>
      </c>
      <c r="S28" s="128" t="s">
        <v>1226</v>
      </c>
      <c r="T28" s="128" t="str">
        <f t="shared" si="21"/>
        <v>Prime No</v>
      </c>
      <c r="U28" s="128">
        <v>2</v>
      </c>
      <c r="V28" s="128" t="s">
        <v>1226</v>
      </c>
      <c r="W28" s="128">
        <f t="shared" si="22"/>
        <v>0</v>
      </c>
      <c r="X28" s="128"/>
      <c r="Y28" s="128">
        <f t="shared" si="23"/>
        <v>0</v>
      </c>
      <c r="Z28" s="128"/>
      <c r="AA28" s="128">
        <f t="shared" si="24"/>
        <v>0</v>
      </c>
      <c r="AB28" s="128">
        <f t="shared" si="25"/>
        <v>0</v>
      </c>
      <c r="AC28" s="128">
        <f t="shared" si="26"/>
        <v>0</v>
      </c>
      <c r="AD28" s="128">
        <f t="shared" si="27"/>
        <v>0</v>
      </c>
      <c r="AE28" s="16"/>
      <c r="AF28" s="16"/>
      <c r="AG28" s="16"/>
      <c r="AH28" s="16"/>
    </row>
    <row r="29" spans="1:34" ht="16" thickBot="1" x14ac:dyDescent="0.25">
      <c r="A29" s="16"/>
      <c r="B29" s="38"/>
      <c r="C29" s="16" t="s">
        <v>6673</v>
      </c>
      <c r="D29" s="56">
        <v>0</v>
      </c>
      <c r="E29" s="135" t="s">
        <v>5960</v>
      </c>
      <c r="F29" s="224" t="str">
        <f t="shared" si="14"/>
        <v xml:space="preserve"> </v>
      </c>
      <c r="G29" s="114" t="str">
        <f t="shared" si="15"/>
        <v xml:space="preserve"> </v>
      </c>
      <c r="H29" s="214"/>
      <c r="I29" s="151" t="str">
        <f t="shared" si="16"/>
        <v xml:space="preserve"> </v>
      </c>
      <c r="J29" s="114" t="str">
        <f t="shared" ref="J29:J31" si="28">IF(NOT(Start_Here_Complete)," ",
IF(D29=0," ",
IF(R29="Pro Go","1 year",
IF(T29="Prime Go","1 Year",
" "))))</f>
        <v xml:space="preserve"> </v>
      </c>
      <c r="K29" s="114" t="str">
        <f t="shared" si="17"/>
        <v xml:space="preserve"> </v>
      </c>
      <c r="L29" s="213" t="str">
        <f t="shared" si="2"/>
        <v xml:space="preserve"> </v>
      </c>
      <c r="M29" s="212" t="str">
        <f t="shared" si="18"/>
        <v xml:space="preserve"> </v>
      </c>
      <c r="N29" s="171" t="str">
        <f t="shared" si="19"/>
        <v xml:space="preserve"> </v>
      </c>
      <c r="O29" s="128">
        <f t="shared" ref="O29" si="29">IF(AND(D29=0,L29=" "),0,1)</f>
        <v>0</v>
      </c>
      <c r="P29" s="192" t="s">
        <v>6245</v>
      </c>
      <c r="Q29" s="288" t="s">
        <v>6250</v>
      </c>
      <c r="R29" s="128" t="str">
        <f t="shared" si="20"/>
        <v>Pro No</v>
      </c>
      <c r="S29" s="128" t="s">
        <v>1226</v>
      </c>
      <c r="T29" s="128" t="str">
        <f t="shared" si="21"/>
        <v>Prime No</v>
      </c>
      <c r="U29" s="128">
        <v>2</v>
      </c>
      <c r="V29" s="128" t="s">
        <v>1226</v>
      </c>
      <c r="W29" s="128">
        <f t="shared" si="22"/>
        <v>0</v>
      </c>
      <c r="X29" s="128"/>
      <c r="Y29" s="128">
        <f t="shared" si="23"/>
        <v>0</v>
      </c>
      <c r="Z29" s="128"/>
      <c r="AA29" s="128">
        <f t="shared" si="24"/>
        <v>0</v>
      </c>
      <c r="AB29" s="128">
        <f t="shared" si="25"/>
        <v>0</v>
      </c>
      <c r="AC29" s="128">
        <f t="shared" si="26"/>
        <v>0</v>
      </c>
      <c r="AD29" s="128">
        <f t="shared" si="27"/>
        <v>0</v>
      </c>
      <c r="AE29" s="16"/>
      <c r="AF29" s="16"/>
      <c r="AG29" s="16"/>
      <c r="AH29" s="16"/>
    </row>
    <row r="30" spans="1:34" ht="16" thickBot="1" x14ac:dyDescent="0.25">
      <c r="A30" s="16"/>
      <c r="B30" s="38"/>
      <c r="C30" s="16" t="s">
        <v>6659</v>
      </c>
      <c r="D30" s="56">
        <v>0</v>
      </c>
      <c r="E30" s="135" t="s">
        <v>5960</v>
      </c>
      <c r="F30" s="224" t="str">
        <f t="shared" si="14"/>
        <v xml:space="preserve"> </v>
      </c>
      <c r="G30" s="114" t="str">
        <f t="shared" si="15"/>
        <v xml:space="preserve"> </v>
      </c>
      <c r="H30" s="214"/>
      <c r="I30" s="151" t="str">
        <f t="shared" si="16"/>
        <v xml:space="preserve"> </v>
      </c>
      <c r="J30" s="114" t="str">
        <f t="shared" si="28"/>
        <v xml:space="preserve"> </v>
      </c>
      <c r="K30" s="114" t="str">
        <f t="shared" si="17"/>
        <v xml:space="preserve"> </v>
      </c>
      <c r="L30" s="213" t="str">
        <f t="shared" si="2"/>
        <v xml:space="preserve"> </v>
      </c>
      <c r="M30" s="212" t="str">
        <f t="shared" si="18"/>
        <v xml:space="preserve"> </v>
      </c>
      <c r="N30" s="171" t="str">
        <f t="shared" si="19"/>
        <v xml:space="preserve"> </v>
      </c>
      <c r="O30" s="128">
        <f t="shared" si="1"/>
        <v>0</v>
      </c>
      <c r="P30" s="194" t="s">
        <v>6246</v>
      </c>
      <c r="Q30" s="288" t="s">
        <v>6250</v>
      </c>
      <c r="R30" s="128" t="str">
        <f t="shared" si="20"/>
        <v>Pro No</v>
      </c>
      <c r="S30" s="128" t="s">
        <v>1226</v>
      </c>
      <c r="T30" s="128" t="str">
        <f t="shared" si="21"/>
        <v>Prime No</v>
      </c>
      <c r="U30" s="128">
        <v>2</v>
      </c>
      <c r="V30" s="128" t="s">
        <v>1226</v>
      </c>
      <c r="W30" s="128">
        <f t="shared" si="22"/>
        <v>0</v>
      </c>
      <c r="X30" s="128"/>
      <c r="Y30" s="128">
        <f t="shared" si="23"/>
        <v>0</v>
      </c>
      <c r="Z30" s="128"/>
      <c r="AA30" s="128">
        <f t="shared" si="24"/>
        <v>0</v>
      </c>
      <c r="AB30" s="128">
        <f t="shared" si="25"/>
        <v>0</v>
      </c>
      <c r="AC30" s="128">
        <f t="shared" si="26"/>
        <v>0</v>
      </c>
      <c r="AD30" s="128">
        <f t="shared" si="27"/>
        <v>0</v>
      </c>
      <c r="AE30" s="16"/>
      <c r="AF30" s="16"/>
      <c r="AG30" s="16"/>
      <c r="AH30" s="16"/>
    </row>
    <row r="31" spans="1:34" ht="16" thickBot="1" x14ac:dyDescent="0.25">
      <c r="A31" s="16"/>
      <c r="B31" s="39"/>
      <c r="C31" s="100" t="s">
        <v>6661</v>
      </c>
      <c r="D31" s="6">
        <v>0</v>
      </c>
      <c r="E31" s="135" t="s">
        <v>5960</v>
      </c>
      <c r="F31" s="224" t="str">
        <f t="shared" si="14"/>
        <v xml:space="preserve"> </v>
      </c>
      <c r="G31" s="114" t="str">
        <f t="shared" si="15"/>
        <v xml:space="preserve"> </v>
      </c>
      <c r="H31" s="228"/>
      <c r="I31" s="227" t="str">
        <f t="shared" si="16"/>
        <v xml:space="preserve"> </v>
      </c>
      <c r="J31" s="117" t="str">
        <f t="shared" si="28"/>
        <v xml:space="preserve"> </v>
      </c>
      <c r="K31" s="114" t="str">
        <f t="shared" si="17"/>
        <v xml:space="preserve"> </v>
      </c>
      <c r="L31" s="213" t="str">
        <f t="shared" si="2"/>
        <v xml:space="preserve"> </v>
      </c>
      <c r="M31" s="212" t="str">
        <f t="shared" si="18"/>
        <v xml:space="preserve"> </v>
      </c>
      <c r="N31" s="171" t="str">
        <f t="shared" si="19"/>
        <v xml:space="preserve"> </v>
      </c>
      <c r="O31" s="128">
        <f t="shared" si="1"/>
        <v>0</v>
      </c>
      <c r="P31" s="196" t="s">
        <v>6246</v>
      </c>
      <c r="Q31" s="288" t="s">
        <v>6250</v>
      </c>
      <c r="R31" s="128" t="str">
        <f t="shared" si="20"/>
        <v>Pro No</v>
      </c>
      <c r="S31" s="128" t="s">
        <v>1226</v>
      </c>
      <c r="T31" s="128" t="str">
        <f t="shared" si="21"/>
        <v>Prime No</v>
      </c>
      <c r="U31" s="128">
        <v>2</v>
      </c>
      <c r="V31" s="128" t="s">
        <v>1226</v>
      </c>
      <c r="W31" s="128">
        <f t="shared" si="22"/>
        <v>0</v>
      </c>
      <c r="X31" s="128"/>
      <c r="Y31" s="128">
        <f t="shared" si="23"/>
        <v>0</v>
      </c>
      <c r="Z31" s="128"/>
      <c r="AA31" s="128">
        <f t="shared" si="24"/>
        <v>0</v>
      </c>
      <c r="AB31" s="128">
        <f t="shared" si="25"/>
        <v>0</v>
      </c>
      <c r="AC31" s="128">
        <f t="shared" si="26"/>
        <v>0</v>
      </c>
      <c r="AD31" s="128">
        <f t="shared" si="27"/>
        <v>0</v>
      </c>
      <c r="AE31" s="16"/>
      <c r="AF31" s="16"/>
      <c r="AG31" s="16"/>
      <c r="AH31" s="16"/>
    </row>
    <row r="32" spans="1:34" x14ac:dyDescent="0.2">
      <c r="A32" s="16"/>
      <c r="B32" s="16"/>
      <c r="C32" s="16"/>
      <c r="D32" s="16"/>
      <c r="E32" s="16"/>
      <c r="F32" s="118" t="s">
        <v>5908</v>
      </c>
      <c r="G32" s="118"/>
      <c r="H32" s="110" t="str">
        <f>IF(CC_Type="Cambium Care Pro","* CC Pro purchase not required for SMs.  CC Pro SKUs will not be added to",
IF(CC_Type="Cambium Care Prime","* CC Prime purchase not required for SMs.  CC Prime SKUs will not be added to",
" "))</f>
        <v xml:space="preserve"> </v>
      </c>
      <c r="I32" s="110"/>
      <c r="J32" s="109"/>
      <c r="K32" s="210" t="s">
        <v>6674</v>
      </c>
      <c r="L32" s="109">
        <f>N32</f>
        <v>0</v>
      </c>
      <c r="M32" s="109"/>
      <c r="N32" s="196"/>
      <c r="O32" s="196"/>
      <c r="P32" s="128"/>
      <c r="Q32" s="128"/>
      <c r="R32" s="128"/>
      <c r="S32" s="128"/>
      <c r="T32" s="128"/>
      <c r="U32" s="128" t="s">
        <v>6257</v>
      </c>
      <c r="V32" s="128"/>
      <c r="W32" s="128">
        <f>IF(OR(FWB_CCPro,FWB_CCPrime),SC10_Cnt_P1,0)</f>
        <v>0</v>
      </c>
      <c r="X32" s="128">
        <f>SC15_Cnt_P1</f>
        <v>0</v>
      </c>
      <c r="Y32" s="128">
        <f>SC20_Cnt_P1</f>
        <v>0</v>
      </c>
      <c r="Z32" s="128">
        <f>SC25_Cnt_P1</f>
        <v>0</v>
      </c>
      <c r="AA32" s="128">
        <f>SC30_Cnt_P1</f>
        <v>0</v>
      </c>
      <c r="AB32" s="128">
        <f>SC40_Cnt_P1</f>
        <v>0</v>
      </c>
      <c r="AC32" s="128">
        <f>SC50_Cnt_P1</f>
        <v>0</v>
      </c>
      <c r="AD32" s="128">
        <f>SC60_Cnt_P1</f>
        <v>0</v>
      </c>
      <c r="AE32" s="16"/>
      <c r="AF32" s="16"/>
      <c r="AG32" s="16"/>
      <c r="AH32" s="16"/>
    </row>
    <row r="33" spans="1:34" x14ac:dyDescent="0.2">
      <c r="A33" s="16"/>
      <c r="B33" s="16"/>
      <c r="C33" s="16"/>
      <c r="D33" s="16"/>
      <c r="E33" s="16"/>
      <c r="F33" s="118"/>
      <c r="G33" s="118"/>
      <c r="H33" s="110" t="str">
        <f>IF(CC_Type="Cambium Care Pro","   the BOM for these SMs.  However, all infrastructure devices must have",
IF(CC_Type="Cambium Care Prime","   the BOM for these SMs.  However, all infrastructure devices must have",
" "))</f>
        <v xml:space="preserve"> </v>
      </c>
      <c r="I33" s="110"/>
      <c r="J33" s="109"/>
      <c r="K33" s="109"/>
      <c r="L33" s="109"/>
      <c r="M33" s="109"/>
      <c r="N33" s="196"/>
      <c r="O33" s="196"/>
      <c r="P33" s="128"/>
      <c r="Q33" s="128"/>
      <c r="R33" s="128"/>
      <c r="S33" s="128"/>
      <c r="T33" s="128"/>
      <c r="U33" s="128" t="s">
        <v>6258</v>
      </c>
      <c r="V33" s="128"/>
      <c r="W33" s="128">
        <f>SC10_Cnt_P2</f>
        <v>0</v>
      </c>
      <c r="X33" s="128">
        <f>SC15_Cnt_P2</f>
        <v>0</v>
      </c>
      <c r="Y33" s="128">
        <f>SC20_Cnt_P2</f>
        <v>0</v>
      </c>
      <c r="Z33" s="128">
        <f>SC25_Cnt_P2</f>
        <v>0</v>
      </c>
      <c r="AA33" s="128">
        <f>SC30_Cnt_P2</f>
        <v>0</v>
      </c>
      <c r="AB33" s="128">
        <f>SC40_Cnt_P2</f>
        <v>0</v>
      </c>
      <c r="AC33" s="128">
        <f>SC50_Cnt_P2</f>
        <v>0</v>
      </c>
      <c r="AD33" s="128">
        <f>SC60_Cnt_P2</f>
        <v>0</v>
      </c>
      <c r="AE33" s="16"/>
      <c r="AF33" s="16"/>
      <c r="AG33" s="16"/>
      <c r="AH33" s="16"/>
    </row>
    <row r="34" spans="1:34" x14ac:dyDescent="0.2">
      <c r="A34" s="16"/>
      <c r="B34" s="16"/>
      <c r="C34" s="16"/>
      <c r="D34" s="16"/>
      <c r="E34" s="16"/>
      <c r="F34" s="118"/>
      <c r="G34" s="118"/>
      <c r="H34" s="110" t="str">
        <f>IF(CC_Type="Cambium Care Pro","   Cambium Care Pro coverage.  See Cambium Care Program Guide for details.",
IF(CC_Type="Cambium Care Prime","   Cambium Care Prime coverage.  See Cambium Care Program Guide for details.",
" "))</f>
        <v xml:space="preserve"> </v>
      </c>
      <c r="I34" s="110"/>
      <c r="J34" s="110"/>
      <c r="K34" s="109"/>
      <c r="L34" s="109"/>
      <c r="M34" s="109"/>
      <c r="N34" s="128"/>
      <c r="O34" s="128"/>
      <c r="P34" s="128"/>
      <c r="Q34" s="128"/>
      <c r="R34" s="128"/>
      <c r="S34" s="128"/>
      <c r="T34" s="128"/>
      <c r="U34" s="128" t="s">
        <v>6259</v>
      </c>
      <c r="V34" s="128"/>
      <c r="W34" s="128">
        <f t="shared" ref="W34:AD34" si="30">SUM(W6:W31)</f>
        <v>0</v>
      </c>
      <c r="X34" s="128">
        <f t="shared" si="30"/>
        <v>0</v>
      </c>
      <c r="Y34" s="128">
        <f t="shared" si="30"/>
        <v>0</v>
      </c>
      <c r="Z34" s="128">
        <f t="shared" si="30"/>
        <v>0</v>
      </c>
      <c r="AA34" s="128">
        <f t="shared" si="30"/>
        <v>0</v>
      </c>
      <c r="AB34" s="128">
        <f t="shared" si="30"/>
        <v>0</v>
      </c>
      <c r="AC34" s="128">
        <f t="shared" si="30"/>
        <v>0</v>
      </c>
      <c r="AD34" s="128">
        <f t="shared" si="30"/>
        <v>0</v>
      </c>
      <c r="AE34" s="16"/>
      <c r="AF34" s="16"/>
      <c r="AG34" s="16"/>
      <c r="AH34" s="16"/>
    </row>
    <row r="35" spans="1:34" x14ac:dyDescent="0.2">
      <c r="A35" s="16"/>
      <c r="B35" s="16"/>
      <c r="C35" s="16"/>
      <c r="D35" s="16"/>
      <c r="E35" s="16"/>
      <c r="F35" s="118"/>
      <c r="G35" s="118"/>
      <c r="H35" s="109"/>
      <c r="I35" s="109"/>
      <c r="J35" s="110"/>
      <c r="K35" s="109"/>
      <c r="L35" s="109"/>
      <c r="M35" s="109"/>
      <c r="N35" s="128"/>
      <c r="O35" s="128"/>
      <c r="P35" s="128"/>
      <c r="Q35" s="171"/>
      <c r="R35" s="171"/>
      <c r="S35" s="128"/>
      <c r="T35" s="128"/>
      <c r="U35" s="128" t="s">
        <v>6675</v>
      </c>
      <c r="V35" s="128"/>
      <c r="W35" s="128">
        <f t="shared" ref="W35:AD35" si="31">SUM(W32:W34)</f>
        <v>0</v>
      </c>
      <c r="X35" s="128">
        <f t="shared" si="31"/>
        <v>0</v>
      </c>
      <c r="Y35" s="128">
        <f t="shared" si="31"/>
        <v>0</v>
      </c>
      <c r="Z35" s="128">
        <f t="shared" si="31"/>
        <v>0</v>
      </c>
      <c r="AA35" s="128">
        <f t="shared" si="31"/>
        <v>0</v>
      </c>
      <c r="AB35" s="128">
        <f t="shared" si="31"/>
        <v>0</v>
      </c>
      <c r="AC35" s="128">
        <f t="shared" si="31"/>
        <v>0</v>
      </c>
      <c r="AD35" s="128">
        <f t="shared" si="31"/>
        <v>0</v>
      </c>
      <c r="AE35" s="16"/>
      <c r="AF35" s="16"/>
      <c r="AG35" s="16"/>
      <c r="AH35" s="16"/>
    </row>
    <row r="36" spans="1:34" x14ac:dyDescent="0.2">
      <c r="A36" s="16"/>
      <c r="B36" s="16"/>
      <c r="C36" s="171" t="s">
        <v>6347</v>
      </c>
      <c r="D36" s="128"/>
      <c r="E36" s="128"/>
      <c r="F36" s="128">
        <f>SUMIF($F$6:$F$31,"Tier1",$D$6:$D$31)</f>
        <v>0</v>
      </c>
      <c r="G36" s="128"/>
      <c r="H36" s="109"/>
      <c r="I36" s="109"/>
      <c r="J36" s="110"/>
      <c r="K36" s="109"/>
      <c r="L36" s="109"/>
      <c r="M36" s="109"/>
      <c r="N36" s="109"/>
      <c r="O36" s="109"/>
      <c r="P36" s="109"/>
      <c r="Q36" s="16"/>
      <c r="R36" s="16"/>
      <c r="S36" s="109"/>
      <c r="T36" s="109"/>
      <c r="U36" s="128" t="s">
        <v>6330</v>
      </c>
      <c r="V36" s="128"/>
      <c r="W36" s="128" t="str">
        <f>IF(SC10_Cnt_Total&lt;=W37,"T1",
IF(SC10_Cnt_Total&lt;=W38,"T2",
IF(SC10_Cnt_Total&lt;=W39,"T3",
IF(SC10_Cnt_Total&lt;=W40,"T4",
IF(SC10_Cnt_Total&lt;=W41,"T5",
"End")))))</f>
        <v>T1</v>
      </c>
      <c r="X36" s="128"/>
      <c r="Y36" s="128" t="str">
        <f>IF(SC20_Cnt_Total&lt;=Y37,"T1",
IF(SC20_Cnt_Total&lt;=Y38,"T2",
IF(SC20_Cnt_Total&lt;=Y39,"T3",
IF(SC20_Cnt_Total&lt;=Y40,"T4",
IF(SC20_Cnt_Total&lt;=Y41,"T5",
"End")))))</f>
        <v>T1</v>
      </c>
      <c r="Z36" s="128"/>
      <c r="AA36" s="128" t="str">
        <f>IF(SC30_Cnt_Total&lt;=AA37,"T1",
IF(SC30_Cnt_Total&lt;=AA38,"T2",
IF(SC30_Cnt_Total&lt;=AA39,"T3",
IF(SC30_Cnt_Total&lt;=AA40,"T4",
IF(SC30_Cnt_Total&lt;=AA41,"T5",
"End")))))</f>
        <v>T1</v>
      </c>
      <c r="AB36" s="128" t="str">
        <f>IF(SC40_Cnt_Total&lt;=AB37,"T1",
IF(SC40_Cnt_Total&lt;=AB38,"T2",
IF(SC40_Cnt_Total&lt;=AB39,"T3",
IF(SC40_Cnt_Total&lt;=AB40,"T4",
IF(SC40_Cnt_Total&lt;=AB41,"T5",
"End")))))</f>
        <v>T1</v>
      </c>
      <c r="AC36" s="128" t="str">
        <f>IF(SC50_Cnt_Total&lt;=AC37,"T1",
IF(SC50_Cnt_Total&lt;=AC38,"T2",
IF(SC50_Cnt_Total&lt;=AC39,"T3",
IF(SC50_Cnt_Total&lt;=AC40,"T4",
IF(SC50_Cnt_Total&lt;=AC41,"T5",
"End")))))</f>
        <v>T1</v>
      </c>
      <c r="AD36" s="128" t="str">
        <f>IF(SC60_Cnt_Total&lt;=AD37,"T1",
IF(SC60_Cnt_Total&lt;=AD38,"T2",
IF(SC60_Cnt_Total&lt;=AD39,"T3",
IF(SC60_Cnt_Total&lt;=AD40,"T4",
IF(SC60_Cnt_Total&lt;=AD41,"T5",
"End")))))</f>
        <v>T1</v>
      </c>
      <c r="AE36" s="16"/>
      <c r="AF36" s="16"/>
      <c r="AG36" s="16"/>
      <c r="AH36" s="16"/>
    </row>
    <row r="37" spans="1:34" x14ac:dyDescent="0.2">
      <c r="A37" s="16"/>
      <c r="B37" s="16"/>
      <c r="C37" s="171" t="s">
        <v>6348</v>
      </c>
      <c r="D37" s="128"/>
      <c r="E37" s="128"/>
      <c r="F37" s="128">
        <f>SUMIF($F$6:$F$31,"Tier2",$D$6:$D$31)</f>
        <v>0</v>
      </c>
      <c r="G37" s="128"/>
      <c r="H37" s="109"/>
      <c r="I37" s="109"/>
      <c r="J37" s="110"/>
      <c r="K37" s="109"/>
      <c r="L37" s="109"/>
      <c r="M37" s="109"/>
      <c r="N37" s="110"/>
      <c r="O37" s="110"/>
      <c r="P37" s="109"/>
      <c r="Q37" s="16"/>
      <c r="R37" s="16"/>
      <c r="S37" s="109"/>
      <c r="T37" s="109"/>
      <c r="U37" s="109" t="s">
        <v>6325</v>
      </c>
      <c r="V37" s="109"/>
      <c r="W37" s="109">
        <v>200</v>
      </c>
      <c r="X37" s="109">
        <v>200</v>
      </c>
      <c r="Y37" s="109">
        <v>20</v>
      </c>
      <c r="Z37" s="109">
        <v>20</v>
      </c>
      <c r="AA37" s="109">
        <v>20</v>
      </c>
      <c r="AB37" s="109">
        <v>20</v>
      </c>
      <c r="AC37" s="109">
        <v>20</v>
      </c>
      <c r="AD37" s="109">
        <v>20</v>
      </c>
      <c r="AE37" s="16"/>
      <c r="AF37" s="16"/>
      <c r="AG37" s="16"/>
      <c r="AH37" s="16"/>
    </row>
    <row r="38" spans="1:34" x14ac:dyDescent="0.2">
      <c r="A38" s="16"/>
      <c r="B38" s="16"/>
      <c r="C38" s="171" t="s">
        <v>6349</v>
      </c>
      <c r="D38" s="171"/>
      <c r="E38" s="171"/>
      <c r="F38" s="128">
        <f>SUMIF($F$6:$F$31,"Tier3",$D$6:$D$31)</f>
        <v>0</v>
      </c>
      <c r="G38" s="128"/>
      <c r="H38" s="109"/>
      <c r="I38" s="109"/>
      <c r="J38" s="110"/>
      <c r="K38" s="109"/>
      <c r="L38" s="109"/>
      <c r="M38" s="109"/>
      <c r="N38" s="110"/>
      <c r="O38" s="110"/>
      <c r="P38" s="109"/>
      <c r="Q38" s="16"/>
      <c r="R38" s="16"/>
      <c r="S38" s="109"/>
      <c r="T38" s="109"/>
      <c r="U38" s="109" t="s">
        <v>6326</v>
      </c>
      <c r="V38" s="109"/>
      <c r="W38" s="109">
        <v>500</v>
      </c>
      <c r="X38" s="109">
        <v>500</v>
      </c>
      <c r="Y38" s="109">
        <v>50</v>
      </c>
      <c r="Z38" s="109">
        <v>50</v>
      </c>
      <c r="AA38" s="109">
        <v>50</v>
      </c>
      <c r="AB38" s="109">
        <v>50</v>
      </c>
      <c r="AC38" s="109">
        <v>50</v>
      </c>
      <c r="AD38" s="109">
        <v>50</v>
      </c>
      <c r="AE38" s="16"/>
      <c r="AF38" s="16"/>
      <c r="AG38" s="16"/>
      <c r="AH38" s="16"/>
    </row>
    <row r="39" spans="1:34" x14ac:dyDescent="0.2">
      <c r="A39" s="16"/>
      <c r="B39" s="16"/>
      <c r="C39" s="171" t="s">
        <v>6350</v>
      </c>
      <c r="D39" s="171"/>
      <c r="E39" s="171"/>
      <c r="F39" s="128">
        <f>SUMIF($F$6:$F$31,"Tier4",$D$6:$D$31)</f>
        <v>0</v>
      </c>
      <c r="G39" s="128"/>
      <c r="H39" s="109"/>
      <c r="I39" s="109"/>
      <c r="J39" s="110"/>
      <c r="K39" s="109"/>
      <c r="L39" s="109"/>
      <c r="M39" s="109"/>
      <c r="N39" s="110"/>
      <c r="O39" s="110"/>
      <c r="P39" s="109"/>
      <c r="Q39" s="16"/>
      <c r="R39" s="16"/>
      <c r="S39" s="109"/>
      <c r="T39" s="109"/>
      <c r="U39" s="109" t="s">
        <v>6327</v>
      </c>
      <c r="V39" s="109"/>
      <c r="W39" s="109">
        <v>1000</v>
      </c>
      <c r="X39" s="109">
        <v>1000</v>
      </c>
      <c r="Y39" s="109">
        <v>100</v>
      </c>
      <c r="Z39" s="109">
        <v>100</v>
      </c>
      <c r="AA39" s="109">
        <v>100</v>
      </c>
      <c r="AB39" s="109">
        <v>100</v>
      </c>
      <c r="AC39" s="109">
        <v>100</v>
      </c>
      <c r="AD39" s="109">
        <v>100</v>
      </c>
      <c r="AE39" s="16"/>
      <c r="AF39" s="16"/>
      <c r="AG39" s="16"/>
      <c r="AH39" s="16"/>
    </row>
    <row r="40" spans="1:34" x14ac:dyDescent="0.2">
      <c r="A40" s="16"/>
      <c r="B40" s="16"/>
      <c r="C40" s="171" t="s">
        <v>6351</v>
      </c>
      <c r="D40" s="171"/>
      <c r="E40" s="171"/>
      <c r="F40" s="128">
        <f>SUMIF($F$6:$F$31,"Tier5",$D$6:$D$31)</f>
        <v>0</v>
      </c>
      <c r="G40" s="128"/>
      <c r="H40" s="109"/>
      <c r="I40" s="109"/>
      <c r="J40" s="110"/>
      <c r="K40" s="109"/>
      <c r="L40" s="109"/>
      <c r="M40" s="109"/>
      <c r="N40" s="110"/>
      <c r="O40" s="110"/>
      <c r="P40" s="109"/>
      <c r="Q40" s="16"/>
      <c r="R40" s="16"/>
      <c r="S40" s="109"/>
      <c r="T40" s="109"/>
      <c r="U40" s="109" t="s">
        <v>6328</v>
      </c>
      <c r="V40" s="109"/>
      <c r="W40" s="109">
        <v>2500</v>
      </c>
      <c r="X40" s="109">
        <v>2500</v>
      </c>
      <c r="Y40" s="109">
        <v>300</v>
      </c>
      <c r="Z40" s="109">
        <v>300</v>
      </c>
      <c r="AA40" s="109">
        <v>300</v>
      </c>
      <c r="AB40" s="109">
        <v>300</v>
      </c>
      <c r="AC40" s="109">
        <v>300</v>
      </c>
      <c r="AD40" s="109">
        <v>300</v>
      </c>
      <c r="AE40" s="16"/>
      <c r="AF40" s="16"/>
      <c r="AG40" s="16"/>
      <c r="AH40" s="16"/>
    </row>
    <row r="41" spans="1:34" x14ac:dyDescent="0.2">
      <c r="A41" s="16"/>
      <c r="B41" s="16"/>
      <c r="C41" s="16"/>
      <c r="D41" s="16"/>
      <c r="E41" s="16"/>
      <c r="F41" s="109"/>
      <c r="G41" s="109"/>
      <c r="H41" s="109"/>
      <c r="I41" s="109"/>
      <c r="J41" s="110"/>
      <c r="K41" s="109"/>
      <c r="L41" s="109"/>
      <c r="M41" s="109"/>
      <c r="N41" s="110"/>
      <c r="O41" s="110"/>
      <c r="P41" s="109"/>
      <c r="Q41" s="16"/>
      <c r="R41" s="16"/>
      <c r="S41" s="109"/>
      <c r="T41" s="109"/>
      <c r="U41" s="109" t="s">
        <v>6329</v>
      </c>
      <c r="V41" s="109"/>
      <c r="W41" s="109">
        <v>10000</v>
      </c>
      <c r="X41" s="109">
        <v>10000</v>
      </c>
      <c r="Y41" s="109">
        <v>1000</v>
      </c>
      <c r="Z41" s="109">
        <v>1000</v>
      </c>
      <c r="AA41" s="109">
        <v>1000</v>
      </c>
      <c r="AB41" s="109">
        <v>1000</v>
      </c>
      <c r="AC41" s="109">
        <v>1000</v>
      </c>
      <c r="AD41" s="109">
        <v>1000</v>
      </c>
      <c r="AE41" s="16"/>
      <c r="AF41" s="16"/>
      <c r="AG41" s="16"/>
      <c r="AH41" s="16"/>
    </row>
    <row r="42" spans="1:34" x14ac:dyDescent="0.2">
      <c r="A42" s="16"/>
      <c r="B42" s="16"/>
      <c r="C42" s="16"/>
      <c r="D42" s="16"/>
      <c r="E42" s="16"/>
      <c r="F42" s="109"/>
      <c r="G42" s="109"/>
      <c r="H42" s="109"/>
      <c r="I42" s="109"/>
      <c r="J42" s="110"/>
      <c r="K42" s="109"/>
      <c r="L42" s="109"/>
      <c r="M42" s="109"/>
      <c r="N42" s="109"/>
      <c r="O42" s="109"/>
      <c r="P42" s="109"/>
      <c r="Q42" s="16"/>
      <c r="R42" s="16"/>
      <c r="S42" s="109"/>
      <c r="T42" s="109"/>
      <c r="U42" s="128" t="s">
        <v>6331</v>
      </c>
      <c r="V42" s="109"/>
      <c r="W42" s="109" t="str">
        <f>IF(SC10_Cnt_Total&lt;=W37,"T1",
IF(SC10_Cnt_Total&lt;=W38,"T2",
IF(SC10_Cnt_Total&lt;=W39,"T3",
IF(SC10_Cnt_Total&lt;=W40,"T4",
IF(SC10_Cnt_Total&lt;=W41,"T5",
"End")))))</f>
        <v>T1</v>
      </c>
      <c r="X42" s="109" t="str">
        <f>IF(SC15_Cnt_Total&lt;=X37,"T1",
IF(SC15_Cnt_Total&lt;=X38,"T2",
IF(SC15_Cnt_Total&lt;=X39,"T3",
IF(SC15_Cnt_Total&lt;=X40,"T4",
IF(SC15_Cnt_Total&lt;=X41,"T5",
"End")))))</f>
        <v>T1</v>
      </c>
      <c r="Y42" s="109" t="str">
        <f>IF(SC20_Cnt_Total&lt;=Y37,"T1",
IF(SC20_Cnt_Total&lt;=Y38,"T2",
IF(SC20_Cnt_Total&lt;=Y39,"T3",
IF(SC20_Cnt_Total&lt;=Y40,"T4",
IF(SC20_Cnt_Total&lt;=Y41,"T5",
"End")))))</f>
        <v>T1</v>
      </c>
      <c r="Z42" s="109" t="str">
        <f>IF(SC25_Cnt_Total&lt;=Z37,"T1",
IF(SC25_Cnt_Total&lt;=Z38,"T2",
IF(SC25_Cnt_Total&lt;=Z39,"T3",
IF(SC25_Cnt_Total&lt;=Z40,"T4",
IF(SC25_Cnt_Total&lt;=Z41,"T5",
"End")))))</f>
        <v>T1</v>
      </c>
      <c r="AA42" s="109" t="str">
        <f>IF(SC30_Cnt_Total&lt;=AA37,"T1",
IF(SC30_Cnt_Total&lt;=AA38,"T2",
IF(SC30_Cnt_Total&lt;=AA39,"T3",
IF(SC30_Cnt_Total&lt;=AA40,"T4",
IF(SC30_Cnt_Total&lt;=AA41,"T5",
"End")))))</f>
        <v>T1</v>
      </c>
      <c r="AB42" s="109" t="str">
        <f>IF(SC40_Cnt_Total&lt;=AB37,"T1",
IF(SC40_Cnt_Total&lt;=AB38,"T2",
IF(SC40_Cnt_Total&lt;=AB39,"T3",
IF(SC40_Cnt_Total&lt;=AB40,"T4",
IF(SC40_Cnt_Total&lt;=AB41,"T5",
"End")))))</f>
        <v>T1</v>
      </c>
      <c r="AC42" s="109" t="str">
        <f>IF(SC50_Cnt_Total&lt;=AC37,"T1",
IF(SC50_Cnt_Total&lt;=AC38,"T2",
IF(SC50_Cnt_Total&lt;=AC39,"T3",
IF(SC50_Cnt_Total&lt;=AC40,"T4",
IF(SC50_Cnt_Total&lt;=AC41,"T5",
"End")))))</f>
        <v>T1</v>
      </c>
      <c r="AD42" s="109" t="str">
        <f>IF(SC60_Cnt_Total&lt;=AD37,"T1",
IF(SC60_Cnt_Total&lt;=AD38,"T2",
IF(SC60_Cnt_Total&lt;=AD39,"T3",
IF(SC60_Cnt_Total&lt;=AD40,"T4",
IF(SC60_Cnt_Total&lt;=AD41,"T5",
"End")))))</f>
        <v>T1</v>
      </c>
      <c r="AE42" s="16"/>
      <c r="AF42" s="16"/>
      <c r="AG42" s="16"/>
      <c r="AH42" s="16"/>
    </row>
    <row r="43" spans="1:34" x14ac:dyDescent="0.2">
      <c r="A43" s="16"/>
      <c r="B43" s="16"/>
      <c r="C43" s="16"/>
      <c r="D43" s="16"/>
      <c r="E43" s="16"/>
      <c r="F43" s="109"/>
      <c r="G43" s="109"/>
      <c r="H43" s="109"/>
      <c r="I43" s="109"/>
      <c r="J43" s="110"/>
      <c r="K43" s="109"/>
      <c r="L43" s="109"/>
      <c r="M43" s="109"/>
      <c r="N43" s="109"/>
      <c r="O43" s="109"/>
      <c r="P43" s="109"/>
      <c r="Q43" s="16"/>
      <c r="R43" s="16"/>
      <c r="S43" s="109"/>
      <c r="T43" s="109"/>
      <c r="U43" s="109"/>
      <c r="V43" s="109"/>
      <c r="W43" s="109"/>
      <c r="X43" s="109"/>
      <c r="Y43" s="109"/>
      <c r="Z43" s="109"/>
      <c r="AA43" s="109"/>
      <c r="AB43" s="109"/>
      <c r="AC43" s="109"/>
      <c r="AD43" s="109"/>
      <c r="AE43" s="16"/>
      <c r="AF43" s="16"/>
      <c r="AG43" s="16"/>
      <c r="AH43" s="16"/>
    </row>
    <row r="44" spans="1:34" x14ac:dyDescent="0.2">
      <c r="A44" s="16"/>
      <c r="B44" s="16"/>
      <c r="C44" s="16"/>
      <c r="D44" s="16"/>
      <c r="E44" s="16"/>
      <c r="F44" s="109"/>
      <c r="G44" s="109"/>
      <c r="H44" s="109"/>
      <c r="I44" s="109"/>
      <c r="J44" s="110"/>
      <c r="K44" s="109"/>
      <c r="L44" s="109"/>
      <c r="M44" s="109"/>
      <c r="N44" s="109"/>
      <c r="O44" s="109"/>
      <c r="P44" s="109"/>
      <c r="Q44" s="16"/>
      <c r="R44" s="16"/>
      <c r="S44" s="109"/>
      <c r="T44" s="109"/>
      <c r="U44" s="109"/>
      <c r="V44" s="109"/>
      <c r="W44" s="109"/>
      <c r="X44" s="109"/>
      <c r="Y44" s="109"/>
      <c r="Z44" s="109"/>
      <c r="AA44" s="109"/>
      <c r="AB44" s="109"/>
      <c r="AC44" s="109"/>
      <c r="AD44" s="109"/>
      <c r="AE44" s="16"/>
      <c r="AF44" s="16"/>
      <c r="AG44" s="16"/>
      <c r="AH44" s="16"/>
    </row>
    <row r="45" spans="1:34" x14ac:dyDescent="0.2">
      <c r="A45" s="16"/>
      <c r="B45" s="16"/>
      <c r="C45" s="16"/>
      <c r="D45" s="16"/>
      <c r="E45" s="16"/>
      <c r="F45" s="109"/>
      <c r="G45" s="109"/>
      <c r="H45" s="109"/>
      <c r="I45" s="109"/>
      <c r="J45" s="110"/>
      <c r="K45" s="109"/>
      <c r="L45" s="109"/>
      <c r="M45" s="109"/>
      <c r="N45" s="109"/>
      <c r="O45" s="109"/>
      <c r="P45" s="109"/>
      <c r="Q45" s="16"/>
      <c r="R45" s="16"/>
      <c r="S45" s="109"/>
      <c r="T45" s="109"/>
      <c r="U45" s="109"/>
      <c r="V45" s="109"/>
      <c r="W45" s="109"/>
      <c r="X45" s="109"/>
      <c r="Y45" s="109"/>
      <c r="Z45" s="109"/>
      <c r="AA45" s="109"/>
      <c r="AB45" s="109"/>
      <c r="AC45" s="109"/>
      <c r="AD45" s="109"/>
      <c r="AE45" s="16"/>
      <c r="AF45" s="16"/>
      <c r="AG45" s="16"/>
      <c r="AH45" s="16"/>
    </row>
    <row r="46" spans="1:34" x14ac:dyDescent="0.2">
      <c r="A46" s="16"/>
      <c r="B46" s="16"/>
      <c r="C46" s="16"/>
      <c r="D46" s="16"/>
      <c r="E46" s="16"/>
      <c r="F46" s="109"/>
      <c r="G46" s="109"/>
      <c r="H46" s="109"/>
      <c r="I46" s="109"/>
      <c r="J46" s="110"/>
      <c r="K46" s="109"/>
      <c r="L46" s="109"/>
      <c r="M46" s="109"/>
      <c r="N46" s="109"/>
      <c r="O46" s="109"/>
      <c r="P46" s="109"/>
      <c r="Q46" s="16"/>
      <c r="R46" s="16"/>
      <c r="S46" s="109"/>
      <c r="T46" s="109"/>
      <c r="U46" s="109"/>
      <c r="V46" s="109"/>
      <c r="W46" s="109"/>
      <c r="X46" s="109"/>
      <c r="Y46" s="109"/>
      <c r="Z46" s="109"/>
      <c r="AA46" s="109"/>
      <c r="AB46" s="109"/>
      <c r="AC46" s="109"/>
      <c r="AD46" s="109"/>
      <c r="AE46" s="16"/>
      <c r="AF46" s="16"/>
      <c r="AG46" s="16"/>
      <c r="AH46" s="16"/>
    </row>
    <row r="47" spans="1:34" x14ac:dyDescent="0.2">
      <c r="A47" s="16"/>
      <c r="B47" s="16"/>
      <c r="C47" s="16"/>
      <c r="D47" s="16"/>
      <c r="E47" s="16"/>
      <c r="F47" s="109"/>
      <c r="G47" s="109"/>
      <c r="H47" s="109"/>
      <c r="I47" s="109"/>
      <c r="J47" s="110"/>
      <c r="K47" s="109"/>
      <c r="L47" s="109"/>
      <c r="M47" s="109"/>
      <c r="N47" s="109"/>
      <c r="O47" s="109"/>
      <c r="P47" s="109"/>
      <c r="Q47" s="16"/>
      <c r="R47" s="16"/>
      <c r="S47" s="109"/>
      <c r="T47" s="109"/>
      <c r="U47" s="109"/>
      <c r="V47" s="109"/>
      <c r="W47" s="109"/>
      <c r="X47" s="109"/>
      <c r="Y47" s="109"/>
      <c r="Z47" s="109"/>
      <c r="AA47" s="109"/>
      <c r="AB47" s="109"/>
      <c r="AC47" s="109"/>
      <c r="AD47" s="109"/>
      <c r="AE47" s="16"/>
      <c r="AF47" s="16"/>
      <c r="AG47" s="16"/>
      <c r="AH47" s="16"/>
    </row>
    <row r="48" spans="1:34" x14ac:dyDescent="0.2">
      <c r="A48" s="16"/>
      <c r="B48" s="16"/>
      <c r="C48" s="16"/>
      <c r="D48" s="16"/>
      <c r="E48" s="16"/>
      <c r="F48" s="109"/>
      <c r="G48" s="109"/>
      <c r="H48" s="109"/>
      <c r="I48" s="109"/>
      <c r="J48" s="110"/>
      <c r="K48" s="109"/>
      <c r="L48" s="109"/>
      <c r="M48" s="109"/>
      <c r="N48" s="109"/>
      <c r="O48" s="109"/>
      <c r="P48" s="16"/>
      <c r="Q48" s="16"/>
      <c r="R48" s="109"/>
      <c r="S48" s="109"/>
      <c r="T48" s="109"/>
      <c r="U48" s="109"/>
      <c r="V48" s="109"/>
      <c r="W48" s="109"/>
      <c r="X48" s="109"/>
      <c r="Y48" s="109"/>
      <c r="Z48" s="109"/>
      <c r="AA48" s="109"/>
      <c r="AB48" s="109"/>
      <c r="AC48" s="16"/>
      <c r="AD48" s="16"/>
      <c r="AE48" s="16"/>
      <c r="AF48" s="16"/>
      <c r="AG48" s="16"/>
    </row>
    <row r="49" spans="1:33" x14ac:dyDescent="0.2">
      <c r="A49" s="16"/>
      <c r="B49" s="16"/>
      <c r="C49" s="16"/>
      <c r="D49" s="16"/>
      <c r="E49" s="16"/>
      <c r="F49" s="109"/>
      <c r="G49" s="109"/>
      <c r="H49" s="109"/>
      <c r="I49" s="109"/>
      <c r="J49" s="110"/>
      <c r="K49" s="109"/>
      <c r="L49" s="109"/>
      <c r="M49" s="109"/>
      <c r="N49" s="109"/>
      <c r="O49" s="109"/>
      <c r="P49" s="16"/>
      <c r="Q49" s="16"/>
      <c r="R49" s="109"/>
      <c r="S49" s="109"/>
      <c r="T49" s="109"/>
      <c r="U49" s="109"/>
      <c r="V49" s="109"/>
      <c r="W49" s="109"/>
      <c r="X49" s="109"/>
      <c r="Y49" s="109"/>
      <c r="Z49" s="109"/>
      <c r="AA49" s="109"/>
      <c r="AB49" s="109"/>
      <c r="AC49" s="16"/>
      <c r="AD49" s="16"/>
      <c r="AE49" s="16"/>
      <c r="AF49" s="16"/>
      <c r="AG49" s="16"/>
    </row>
    <row r="50" spans="1:33" x14ac:dyDescent="0.2">
      <c r="A50" s="16"/>
      <c r="B50" s="16"/>
      <c r="C50" s="16"/>
      <c r="D50" s="16"/>
      <c r="E50" s="16"/>
      <c r="F50" s="109"/>
      <c r="G50" s="109"/>
      <c r="H50" s="109"/>
      <c r="I50" s="109"/>
      <c r="J50" s="110"/>
      <c r="K50" s="109"/>
      <c r="L50" s="109"/>
      <c r="M50" s="109"/>
      <c r="N50" s="109"/>
      <c r="O50" s="109"/>
      <c r="P50" s="16"/>
      <c r="Q50" s="16"/>
      <c r="R50" s="109"/>
      <c r="S50" s="109"/>
      <c r="T50" s="109"/>
      <c r="U50" s="109"/>
      <c r="V50" s="109"/>
      <c r="W50" s="109"/>
      <c r="X50" s="109"/>
      <c r="Y50" s="109"/>
      <c r="Z50" s="109"/>
      <c r="AA50" s="109"/>
      <c r="AB50" s="109"/>
      <c r="AC50" s="16"/>
      <c r="AD50" s="16"/>
      <c r="AE50" s="16"/>
      <c r="AF50" s="16"/>
      <c r="AG50" s="16"/>
    </row>
    <row r="51" spans="1:33" x14ac:dyDescent="0.2">
      <c r="A51" s="16"/>
      <c r="B51" s="16"/>
      <c r="C51" s="16"/>
      <c r="D51" s="16"/>
      <c r="E51" s="16"/>
      <c r="F51" s="109"/>
      <c r="G51" s="109"/>
      <c r="H51" s="109"/>
      <c r="I51" s="109"/>
      <c r="J51" s="110"/>
      <c r="K51" s="109"/>
      <c r="L51" s="109"/>
      <c r="M51" s="109"/>
      <c r="N51" s="109"/>
      <c r="O51" s="109"/>
      <c r="P51" s="16"/>
      <c r="Q51" s="16"/>
      <c r="R51" s="109"/>
      <c r="S51" s="109"/>
      <c r="T51" s="109"/>
      <c r="U51" s="109"/>
      <c r="V51" s="109"/>
      <c r="W51" s="109"/>
      <c r="X51" s="109"/>
      <c r="Y51" s="109"/>
      <c r="Z51" s="109"/>
      <c r="AA51" s="109"/>
      <c r="AB51" s="109"/>
      <c r="AC51" s="16"/>
      <c r="AD51" s="16"/>
      <c r="AE51" s="16"/>
      <c r="AF51" s="16"/>
      <c r="AG51" s="16"/>
    </row>
    <row r="52" spans="1:33" x14ac:dyDescent="0.2">
      <c r="A52" s="16"/>
      <c r="B52" s="16"/>
      <c r="C52" s="16"/>
      <c r="D52" s="16"/>
      <c r="E52" s="16"/>
      <c r="F52" s="109"/>
      <c r="G52" s="109"/>
      <c r="H52" s="109"/>
      <c r="I52" s="109"/>
      <c r="J52" s="110"/>
      <c r="K52" s="109"/>
      <c r="L52" s="109"/>
      <c r="M52" s="109"/>
      <c r="N52" s="109"/>
      <c r="O52" s="109"/>
      <c r="P52" s="16"/>
      <c r="Q52" s="16"/>
      <c r="R52" s="109"/>
      <c r="S52" s="109"/>
      <c r="T52" s="109"/>
      <c r="U52" s="109"/>
      <c r="V52" s="109"/>
      <c r="W52" s="109"/>
      <c r="X52" s="109"/>
      <c r="Y52" s="109"/>
      <c r="Z52" s="109"/>
      <c r="AA52" s="109"/>
      <c r="AB52" s="109"/>
      <c r="AC52" s="16"/>
      <c r="AD52" s="16"/>
      <c r="AE52" s="16"/>
      <c r="AF52" s="16"/>
      <c r="AG52" s="16"/>
    </row>
    <row r="53" spans="1:33" x14ac:dyDescent="0.2">
      <c r="A53" s="16"/>
      <c r="B53" s="16"/>
      <c r="C53" s="16"/>
      <c r="D53" s="16"/>
      <c r="E53" s="16"/>
      <c r="F53" s="109"/>
      <c r="G53" s="109"/>
      <c r="H53" s="109"/>
      <c r="I53" s="109"/>
      <c r="J53" s="109"/>
      <c r="K53" s="109"/>
      <c r="L53" s="109"/>
      <c r="M53" s="109"/>
      <c r="N53" s="109"/>
      <c r="O53" s="109"/>
      <c r="P53" s="16"/>
      <c r="Q53" s="16"/>
      <c r="R53" s="109"/>
      <c r="S53" s="109"/>
      <c r="T53" s="109"/>
      <c r="U53" s="109"/>
      <c r="V53" s="109"/>
      <c r="W53" s="109"/>
      <c r="X53" s="109"/>
      <c r="Y53" s="109"/>
      <c r="Z53" s="109"/>
      <c r="AA53" s="109"/>
      <c r="AB53" s="109"/>
      <c r="AC53" s="16"/>
      <c r="AD53" s="16"/>
      <c r="AE53" s="16"/>
      <c r="AF53" s="16"/>
      <c r="AG53" s="16"/>
    </row>
    <row r="54" spans="1:33" x14ac:dyDescent="0.2">
      <c r="A54" s="16"/>
      <c r="B54" s="16"/>
      <c r="C54" s="16"/>
      <c r="D54" s="16"/>
      <c r="E54" s="16"/>
      <c r="F54" s="109"/>
      <c r="G54" s="109"/>
      <c r="H54" s="109"/>
      <c r="I54" s="109"/>
      <c r="J54" s="109"/>
      <c r="K54" s="109"/>
      <c r="L54" s="109"/>
      <c r="M54" s="109"/>
      <c r="N54" s="109"/>
      <c r="O54" s="109"/>
      <c r="P54" s="16"/>
      <c r="Q54" s="16"/>
      <c r="R54" s="109"/>
      <c r="S54" s="109"/>
      <c r="T54" s="109"/>
      <c r="U54" s="109"/>
      <c r="V54" s="109"/>
      <c r="W54" s="109"/>
      <c r="X54" s="109"/>
      <c r="Y54" s="109"/>
      <c r="Z54" s="109"/>
      <c r="AA54" s="109"/>
      <c r="AB54" s="109"/>
      <c r="AC54" s="16"/>
      <c r="AD54" s="16"/>
      <c r="AE54" s="16"/>
      <c r="AF54" s="16"/>
      <c r="AG54" s="16"/>
    </row>
    <row r="55" spans="1:33" x14ac:dyDescent="0.2">
      <c r="A55" s="16"/>
      <c r="B55" s="16"/>
      <c r="C55" s="16"/>
      <c r="D55" s="16"/>
      <c r="E55" s="16"/>
      <c r="F55" s="109"/>
      <c r="G55" s="109"/>
      <c r="H55" s="109"/>
      <c r="I55" s="109"/>
      <c r="J55" s="109"/>
      <c r="K55" s="109"/>
      <c r="L55" s="109"/>
      <c r="M55" s="109"/>
      <c r="N55" s="109"/>
      <c r="O55" s="109"/>
      <c r="P55" s="16"/>
      <c r="Q55" s="16"/>
      <c r="R55" s="109"/>
      <c r="S55" s="109"/>
      <c r="T55" s="109"/>
      <c r="U55" s="109"/>
      <c r="V55" s="109"/>
      <c r="W55" s="109"/>
      <c r="X55" s="109"/>
      <c r="Y55" s="109"/>
      <c r="Z55" s="109"/>
      <c r="AA55" s="109"/>
      <c r="AB55" s="109"/>
      <c r="AC55" s="16"/>
      <c r="AD55" s="16"/>
      <c r="AE55" s="16"/>
      <c r="AF55" s="16"/>
      <c r="AG55" s="16"/>
    </row>
    <row r="56" spans="1:33" x14ac:dyDescent="0.2">
      <c r="A56" s="16"/>
      <c r="B56" s="16"/>
      <c r="C56" s="16"/>
      <c r="D56" s="16"/>
      <c r="E56" s="16"/>
      <c r="F56" s="109"/>
      <c r="G56" s="109"/>
      <c r="H56" s="109"/>
      <c r="I56" s="109"/>
      <c r="J56" s="109"/>
      <c r="K56" s="109"/>
      <c r="L56" s="109"/>
      <c r="M56" s="109"/>
      <c r="N56" s="109"/>
      <c r="O56" s="109"/>
      <c r="P56" s="16"/>
      <c r="Q56" s="16"/>
      <c r="R56" s="109"/>
      <c r="S56" s="109"/>
      <c r="T56" s="109"/>
      <c r="U56" s="109"/>
      <c r="V56" s="109"/>
      <c r="W56" s="109"/>
      <c r="X56" s="109"/>
      <c r="Y56" s="109"/>
      <c r="Z56" s="109"/>
      <c r="AA56" s="109"/>
      <c r="AB56" s="109"/>
      <c r="AC56" s="16"/>
      <c r="AD56" s="16"/>
      <c r="AE56" s="16"/>
      <c r="AF56" s="16"/>
      <c r="AG56" s="16"/>
    </row>
    <row r="57" spans="1:33" x14ac:dyDescent="0.2">
      <c r="A57" s="16"/>
      <c r="B57" s="16"/>
      <c r="C57" s="16"/>
      <c r="D57" s="16"/>
      <c r="E57" s="16"/>
      <c r="F57" s="109"/>
      <c r="G57" s="109"/>
      <c r="H57" s="109"/>
      <c r="I57" s="109"/>
      <c r="J57" s="109"/>
      <c r="K57" s="109"/>
      <c r="L57" s="109"/>
      <c r="M57" s="109"/>
      <c r="N57" s="109"/>
      <c r="O57" s="109"/>
      <c r="P57" s="16"/>
      <c r="Q57" s="16"/>
      <c r="R57" s="109"/>
      <c r="S57" s="109"/>
      <c r="T57" s="109"/>
      <c r="U57" s="109"/>
      <c r="V57" s="109"/>
      <c r="W57" s="109"/>
      <c r="X57" s="109"/>
      <c r="Y57" s="109"/>
      <c r="Z57" s="109"/>
      <c r="AA57" s="109"/>
      <c r="AB57" s="109"/>
      <c r="AC57" s="16"/>
      <c r="AD57" s="16"/>
      <c r="AE57" s="16"/>
      <c r="AF57" s="16"/>
      <c r="AG57" s="16"/>
    </row>
    <row r="58" spans="1:33" x14ac:dyDescent="0.2">
      <c r="A58" s="16"/>
      <c r="B58" s="16"/>
      <c r="C58" s="16"/>
      <c r="D58" s="16"/>
      <c r="E58" s="16"/>
      <c r="F58" s="109"/>
      <c r="G58" s="109"/>
      <c r="H58" s="109"/>
      <c r="I58" s="109"/>
      <c r="J58" s="109"/>
      <c r="K58" s="109"/>
      <c r="L58" s="109"/>
      <c r="M58" s="109"/>
      <c r="N58" s="109"/>
      <c r="O58" s="109"/>
      <c r="P58" s="16"/>
      <c r="Q58" s="16"/>
      <c r="R58" s="109"/>
      <c r="S58" s="109"/>
      <c r="T58" s="109"/>
      <c r="U58" s="109"/>
      <c r="V58" s="109"/>
      <c r="W58" s="109"/>
      <c r="X58" s="109"/>
      <c r="Y58" s="109"/>
      <c r="Z58" s="109"/>
      <c r="AA58" s="109"/>
      <c r="AB58" s="109"/>
      <c r="AC58" s="16"/>
      <c r="AD58" s="16"/>
      <c r="AE58" s="16"/>
      <c r="AF58" s="16"/>
      <c r="AG58" s="16"/>
    </row>
    <row r="59" spans="1:33" x14ac:dyDescent="0.2">
      <c r="A59" s="16"/>
      <c r="B59" s="16"/>
      <c r="C59" s="16"/>
      <c r="D59" s="16"/>
      <c r="E59" s="16"/>
      <c r="F59" s="109"/>
      <c r="G59" s="109"/>
      <c r="H59" s="109"/>
      <c r="I59" s="109"/>
      <c r="J59" s="109"/>
      <c r="K59" s="109"/>
      <c r="L59" s="109"/>
      <c r="M59" s="109"/>
      <c r="N59" s="109"/>
      <c r="O59" s="109"/>
      <c r="P59" s="16"/>
      <c r="Q59" s="16"/>
      <c r="R59" s="109"/>
      <c r="S59" s="109"/>
      <c r="T59" s="109"/>
      <c r="U59" s="109"/>
      <c r="V59" s="109"/>
      <c r="W59" s="109"/>
      <c r="X59" s="109"/>
      <c r="Y59" s="109"/>
      <c r="Z59" s="109"/>
      <c r="AA59" s="109"/>
      <c r="AB59" s="109"/>
      <c r="AC59" s="16"/>
      <c r="AD59" s="16"/>
      <c r="AE59" s="16"/>
      <c r="AF59" s="16"/>
      <c r="AG59" s="16"/>
    </row>
    <row r="60" spans="1:33" x14ac:dyDescent="0.2">
      <c r="A60" s="16"/>
      <c r="B60" s="16"/>
      <c r="C60" s="16"/>
      <c r="D60" s="16"/>
      <c r="E60" s="16"/>
      <c r="F60" s="109"/>
      <c r="G60" s="109"/>
      <c r="H60" s="109"/>
      <c r="I60" s="109"/>
      <c r="J60" s="109"/>
      <c r="K60" s="109"/>
      <c r="L60" s="109"/>
      <c r="M60" s="109"/>
      <c r="N60" s="109"/>
      <c r="O60" s="109"/>
      <c r="P60" s="16"/>
      <c r="Q60" s="16"/>
      <c r="R60" s="109"/>
      <c r="S60" s="109"/>
      <c r="T60" s="109"/>
      <c r="U60" s="109"/>
      <c r="V60" s="109"/>
      <c r="W60" s="109"/>
      <c r="X60" s="109"/>
      <c r="Y60" s="109"/>
      <c r="Z60" s="109"/>
      <c r="AA60" s="109"/>
      <c r="AB60" s="109"/>
      <c r="AC60" s="16"/>
      <c r="AD60" s="16"/>
      <c r="AE60" s="16"/>
      <c r="AF60" s="16"/>
      <c r="AG60" s="16"/>
    </row>
    <row r="61" spans="1:33" x14ac:dyDescent="0.2">
      <c r="A61" s="16"/>
      <c r="B61" s="16"/>
      <c r="C61" s="16"/>
      <c r="D61" s="16"/>
      <c r="E61" s="16"/>
      <c r="F61" s="109"/>
      <c r="G61" s="109"/>
      <c r="H61" s="109"/>
      <c r="I61" s="109"/>
      <c r="J61" s="109"/>
      <c r="K61" s="109"/>
      <c r="L61" s="109"/>
      <c r="M61" s="109"/>
      <c r="N61" s="109"/>
      <c r="O61" s="109"/>
      <c r="P61" s="16"/>
      <c r="Q61" s="16"/>
      <c r="R61" s="109"/>
      <c r="S61" s="109"/>
      <c r="T61" s="109"/>
      <c r="U61" s="109"/>
      <c r="V61" s="109"/>
      <c r="W61" s="109"/>
      <c r="X61" s="109"/>
      <c r="Y61" s="109"/>
      <c r="Z61" s="109"/>
      <c r="AA61" s="109"/>
      <c r="AB61" s="109"/>
      <c r="AC61" s="16"/>
      <c r="AD61" s="16"/>
      <c r="AE61" s="16"/>
      <c r="AF61" s="16"/>
      <c r="AG61" s="16"/>
    </row>
    <row r="62" spans="1:33" x14ac:dyDescent="0.2">
      <c r="A62" s="16"/>
      <c r="B62" s="16"/>
      <c r="C62" s="16"/>
      <c r="D62" s="16"/>
      <c r="E62" s="16"/>
      <c r="F62" s="109"/>
      <c r="G62" s="109"/>
      <c r="H62" s="109"/>
      <c r="I62" s="109"/>
      <c r="J62" s="109"/>
      <c r="K62" s="109"/>
      <c r="L62" s="109"/>
      <c r="M62" s="109"/>
      <c r="N62" s="109"/>
      <c r="O62" s="109"/>
      <c r="P62" s="16"/>
      <c r="Q62" s="16"/>
      <c r="R62" s="109"/>
      <c r="S62" s="109"/>
      <c r="T62" s="109"/>
      <c r="U62" s="109"/>
      <c r="V62" s="109"/>
      <c r="W62" s="109"/>
      <c r="X62" s="109"/>
      <c r="Y62" s="109"/>
      <c r="Z62" s="109"/>
      <c r="AA62" s="109"/>
      <c r="AB62" s="109"/>
      <c r="AC62" s="16"/>
      <c r="AD62" s="16"/>
      <c r="AE62" s="16"/>
      <c r="AF62" s="16"/>
      <c r="AG62" s="16"/>
    </row>
    <row r="63" spans="1:33" x14ac:dyDescent="0.2">
      <c r="A63" s="16"/>
      <c r="B63" s="16"/>
      <c r="C63" s="16"/>
      <c r="D63" s="16"/>
      <c r="E63" s="16"/>
      <c r="F63" s="109"/>
      <c r="G63" s="109"/>
      <c r="H63" s="109"/>
      <c r="I63" s="109"/>
      <c r="J63" s="109"/>
      <c r="K63" s="109"/>
      <c r="L63" s="109"/>
      <c r="M63" s="109"/>
      <c r="N63" s="109"/>
      <c r="O63" s="109"/>
      <c r="P63" s="16"/>
      <c r="Q63" s="16"/>
      <c r="R63" s="109"/>
      <c r="S63" s="109"/>
      <c r="T63" s="109"/>
      <c r="U63" s="109"/>
      <c r="V63" s="109"/>
      <c r="W63" s="109"/>
      <c r="X63" s="109"/>
      <c r="Y63" s="109"/>
      <c r="Z63" s="109"/>
      <c r="AA63" s="109"/>
      <c r="AB63" s="109"/>
      <c r="AC63" s="16"/>
      <c r="AD63" s="16"/>
      <c r="AE63" s="16"/>
      <c r="AF63" s="16"/>
      <c r="AG63" s="16"/>
    </row>
    <row r="64" spans="1:33" x14ac:dyDescent="0.2">
      <c r="A64" s="16"/>
      <c r="B64" s="16"/>
      <c r="C64" s="16"/>
      <c r="D64" s="16"/>
      <c r="E64" s="16"/>
      <c r="F64" s="109"/>
      <c r="G64" s="109"/>
      <c r="H64" s="109"/>
      <c r="I64" s="109"/>
      <c r="J64" s="109"/>
      <c r="K64" s="109"/>
      <c r="L64" s="109"/>
      <c r="M64" s="109"/>
      <c r="N64" s="109"/>
      <c r="O64" s="109"/>
      <c r="P64" s="16"/>
      <c r="Q64" s="16"/>
      <c r="R64" s="109"/>
      <c r="S64" s="109"/>
      <c r="T64" s="109"/>
      <c r="U64" s="109"/>
      <c r="V64" s="109"/>
      <c r="W64" s="109"/>
      <c r="X64" s="109"/>
      <c r="Y64" s="109"/>
      <c r="Z64" s="109"/>
      <c r="AA64" s="109"/>
      <c r="AB64" s="109"/>
      <c r="AC64" s="16"/>
      <c r="AD64" s="16"/>
      <c r="AE64" s="16"/>
      <c r="AF64" s="16"/>
      <c r="AG64" s="16"/>
    </row>
    <row r="65" spans="1:33" x14ac:dyDescent="0.2">
      <c r="A65" s="16"/>
      <c r="B65" s="16"/>
      <c r="C65" s="16"/>
      <c r="D65" s="16"/>
      <c r="E65" s="16"/>
      <c r="F65" s="109"/>
      <c r="G65" s="109"/>
      <c r="H65" s="109"/>
      <c r="I65" s="109"/>
      <c r="J65" s="109"/>
      <c r="K65" s="109"/>
      <c r="L65" s="109"/>
      <c r="M65" s="109"/>
      <c r="N65" s="109"/>
      <c r="O65" s="109"/>
      <c r="P65" s="16"/>
      <c r="Q65" s="16"/>
      <c r="R65" s="109"/>
      <c r="S65" s="109"/>
      <c r="T65" s="109"/>
      <c r="U65" s="109"/>
      <c r="V65" s="109"/>
      <c r="W65" s="109"/>
      <c r="X65" s="109"/>
      <c r="Y65" s="109"/>
      <c r="Z65" s="109"/>
      <c r="AA65" s="109"/>
      <c r="AB65" s="109"/>
      <c r="AC65" s="16"/>
      <c r="AD65" s="16"/>
      <c r="AE65" s="16"/>
      <c r="AF65" s="16"/>
      <c r="AG65" s="16"/>
    </row>
    <row r="66" spans="1:33" x14ac:dyDescent="0.2">
      <c r="A66" s="16"/>
      <c r="B66" s="16"/>
      <c r="C66" s="16"/>
      <c r="D66" s="16"/>
      <c r="E66" s="16"/>
      <c r="F66" s="109"/>
      <c r="G66" s="109"/>
      <c r="H66" s="109"/>
      <c r="I66" s="109"/>
      <c r="J66" s="109"/>
      <c r="K66" s="109"/>
      <c r="L66" s="109"/>
      <c r="M66" s="109"/>
      <c r="N66" s="109"/>
      <c r="O66" s="109"/>
      <c r="P66" s="16"/>
      <c r="Q66" s="16"/>
      <c r="R66" s="109"/>
      <c r="S66" s="109"/>
      <c r="T66" s="109"/>
      <c r="U66" s="109"/>
      <c r="V66" s="109"/>
      <c r="W66" s="109"/>
      <c r="X66" s="109"/>
      <c r="Y66" s="109"/>
      <c r="Z66" s="109"/>
      <c r="AA66" s="109"/>
      <c r="AB66" s="109"/>
      <c r="AC66" s="16"/>
      <c r="AD66" s="16"/>
      <c r="AE66" s="16"/>
      <c r="AF66" s="16"/>
      <c r="AG66" s="16"/>
    </row>
    <row r="67" spans="1:33" x14ac:dyDescent="0.2">
      <c r="A67" s="16"/>
      <c r="B67" s="16"/>
      <c r="C67" s="16"/>
      <c r="D67" s="16"/>
      <c r="E67" s="16"/>
      <c r="F67" s="109"/>
      <c r="G67" s="109"/>
      <c r="H67" s="109"/>
      <c r="I67" s="109"/>
      <c r="J67" s="109"/>
      <c r="K67" s="109"/>
      <c r="L67" s="109"/>
      <c r="M67" s="109"/>
      <c r="N67" s="109"/>
      <c r="O67" s="109"/>
      <c r="P67" s="16"/>
      <c r="Q67" s="16"/>
      <c r="R67" s="109"/>
      <c r="S67" s="109"/>
      <c r="T67" s="109"/>
      <c r="U67" s="109"/>
      <c r="V67" s="109"/>
      <c r="W67" s="109"/>
      <c r="X67" s="109"/>
      <c r="Y67" s="109"/>
      <c r="Z67" s="109"/>
      <c r="AA67" s="109"/>
      <c r="AB67" s="109"/>
      <c r="AC67" s="16"/>
      <c r="AD67" s="16"/>
      <c r="AE67" s="16"/>
      <c r="AF67" s="16"/>
      <c r="AG67" s="16"/>
    </row>
    <row r="68" spans="1:33" x14ac:dyDescent="0.2">
      <c r="A68" s="16"/>
      <c r="B68" s="16"/>
      <c r="C68" s="16"/>
      <c r="D68" s="16"/>
      <c r="E68" s="16"/>
      <c r="F68" s="109"/>
      <c r="G68" s="109"/>
      <c r="H68" s="109"/>
      <c r="I68" s="109"/>
      <c r="J68" s="109"/>
      <c r="K68" s="109"/>
      <c r="L68" s="109"/>
      <c r="M68" s="109"/>
      <c r="N68" s="109"/>
      <c r="O68" s="109"/>
      <c r="P68" s="16"/>
      <c r="Q68" s="16"/>
      <c r="R68" s="109"/>
      <c r="S68" s="109"/>
      <c r="T68" s="109"/>
      <c r="U68" s="109"/>
      <c r="V68" s="109"/>
      <c r="W68" s="109"/>
      <c r="X68" s="109"/>
      <c r="Y68" s="109"/>
      <c r="Z68" s="109"/>
      <c r="AA68" s="109"/>
      <c r="AB68" s="109"/>
      <c r="AC68" s="16"/>
      <c r="AD68" s="16"/>
      <c r="AE68" s="16"/>
      <c r="AF68" s="16"/>
      <c r="AG68" s="16"/>
    </row>
    <row r="69" spans="1:33" x14ac:dyDescent="0.2">
      <c r="A69" s="16"/>
      <c r="B69" s="16"/>
      <c r="C69" s="16"/>
      <c r="D69" s="16"/>
      <c r="E69" s="16"/>
      <c r="F69" s="109"/>
      <c r="G69" s="109"/>
      <c r="H69" s="109"/>
      <c r="I69" s="109"/>
      <c r="J69" s="109"/>
      <c r="K69" s="109"/>
      <c r="L69" s="109"/>
      <c r="M69" s="109"/>
      <c r="N69" s="109"/>
      <c r="O69" s="109"/>
      <c r="P69" s="16"/>
      <c r="Q69" s="16"/>
      <c r="R69" s="109"/>
      <c r="S69" s="109"/>
      <c r="T69" s="109"/>
      <c r="U69" s="109"/>
      <c r="V69" s="109"/>
      <c r="W69" s="109"/>
      <c r="X69" s="109"/>
      <c r="Y69" s="109"/>
      <c r="Z69" s="109"/>
      <c r="AA69" s="109"/>
      <c r="AB69" s="109"/>
      <c r="AC69" s="16"/>
      <c r="AD69" s="16"/>
      <c r="AE69" s="16"/>
      <c r="AF69" s="16"/>
      <c r="AG69" s="16"/>
    </row>
    <row r="70" spans="1:33" x14ac:dyDescent="0.2">
      <c r="A70" s="16"/>
      <c r="B70" s="16"/>
      <c r="C70" s="16"/>
      <c r="D70" s="16"/>
      <c r="E70" s="16"/>
      <c r="F70" s="109"/>
      <c r="G70" s="109"/>
      <c r="H70" s="109"/>
      <c r="I70" s="109"/>
      <c r="J70" s="109"/>
      <c r="K70" s="109"/>
      <c r="L70" s="109"/>
      <c r="M70" s="109"/>
      <c r="N70" s="109"/>
      <c r="O70" s="109"/>
      <c r="P70" s="16"/>
      <c r="Q70" s="16"/>
      <c r="R70" s="109"/>
      <c r="S70" s="109"/>
      <c r="T70" s="109"/>
      <c r="U70" s="109"/>
      <c r="V70" s="109"/>
      <c r="W70" s="109"/>
      <c r="X70" s="109"/>
      <c r="Y70" s="109"/>
      <c r="Z70" s="109"/>
      <c r="AA70" s="109"/>
      <c r="AB70" s="109"/>
      <c r="AC70" s="16"/>
      <c r="AD70" s="16"/>
      <c r="AE70" s="16"/>
      <c r="AF70" s="16"/>
      <c r="AG70" s="16"/>
    </row>
    <row r="71" spans="1:33" x14ac:dyDescent="0.2">
      <c r="A71" s="16"/>
      <c r="B71" s="16"/>
      <c r="C71" s="16"/>
      <c r="D71" s="16"/>
      <c r="E71" s="16"/>
      <c r="F71" s="109"/>
      <c r="G71" s="109"/>
      <c r="H71" s="109"/>
      <c r="I71" s="109"/>
      <c r="J71" s="109"/>
      <c r="K71" s="109"/>
      <c r="L71" s="109"/>
      <c r="M71" s="109"/>
      <c r="N71" s="109"/>
      <c r="O71" s="109"/>
      <c r="P71" s="16"/>
      <c r="Q71" s="16"/>
      <c r="R71" s="109"/>
      <c r="S71" s="109"/>
      <c r="T71" s="109"/>
      <c r="U71" s="109"/>
      <c r="V71" s="109"/>
      <c r="W71" s="109"/>
      <c r="X71" s="109"/>
      <c r="Y71" s="109"/>
      <c r="Z71" s="109"/>
      <c r="AA71" s="109"/>
      <c r="AB71" s="109"/>
      <c r="AC71" s="16"/>
      <c r="AD71" s="16"/>
      <c r="AE71" s="16"/>
      <c r="AF71" s="16"/>
      <c r="AG71" s="16"/>
    </row>
    <row r="72" spans="1:33" x14ac:dyDescent="0.2">
      <c r="A72" s="16"/>
      <c r="B72" s="16"/>
      <c r="C72" s="16"/>
      <c r="D72" s="16"/>
      <c r="E72" s="16"/>
      <c r="F72" s="109"/>
      <c r="G72" s="109"/>
      <c r="H72" s="109"/>
      <c r="I72" s="109"/>
      <c r="J72" s="109"/>
      <c r="K72" s="109"/>
      <c r="L72" s="109"/>
      <c r="M72" s="109"/>
      <c r="N72" s="109"/>
      <c r="O72" s="109"/>
      <c r="P72" s="16"/>
      <c r="Q72" s="16"/>
      <c r="R72" s="109"/>
      <c r="S72" s="109"/>
      <c r="T72" s="109"/>
      <c r="U72" s="109"/>
      <c r="V72" s="109"/>
      <c r="W72" s="109"/>
      <c r="X72" s="109"/>
      <c r="Y72" s="109"/>
      <c r="Z72" s="109"/>
      <c r="AA72" s="109"/>
      <c r="AB72" s="109"/>
      <c r="AC72" s="16"/>
      <c r="AD72" s="16"/>
      <c r="AE72" s="16"/>
      <c r="AF72" s="16"/>
      <c r="AG72" s="16"/>
    </row>
    <row r="73" spans="1:33" x14ac:dyDescent="0.2">
      <c r="A73" s="16"/>
      <c r="B73" s="16"/>
      <c r="C73" s="16"/>
      <c r="D73" s="16"/>
      <c r="E73" s="16"/>
      <c r="F73" s="109"/>
      <c r="G73" s="109"/>
      <c r="H73" s="109"/>
      <c r="I73" s="109"/>
      <c r="J73" s="109"/>
      <c r="K73" s="109"/>
      <c r="L73" s="109"/>
      <c r="M73" s="109"/>
      <c r="N73" s="109"/>
      <c r="O73" s="109"/>
      <c r="P73" s="16"/>
      <c r="Q73" s="16"/>
      <c r="R73" s="109"/>
      <c r="S73" s="109"/>
      <c r="T73" s="109"/>
      <c r="U73" s="109"/>
      <c r="V73" s="109"/>
      <c r="W73" s="109"/>
      <c r="X73" s="109"/>
      <c r="Y73" s="109"/>
      <c r="Z73" s="109"/>
      <c r="AA73" s="109"/>
      <c r="AB73" s="109"/>
      <c r="AC73" s="16"/>
      <c r="AD73" s="16"/>
      <c r="AE73" s="16"/>
      <c r="AF73" s="16"/>
      <c r="AG73" s="16"/>
    </row>
    <row r="74" spans="1:33" x14ac:dyDescent="0.2">
      <c r="A74" s="16"/>
      <c r="B74" s="16"/>
      <c r="C74" s="16"/>
      <c r="D74" s="16"/>
      <c r="E74" s="16"/>
      <c r="F74" s="109"/>
      <c r="G74" s="109"/>
      <c r="H74" s="109"/>
      <c r="I74" s="109"/>
      <c r="J74" s="109"/>
      <c r="K74" s="109"/>
      <c r="L74" s="109"/>
      <c r="M74" s="109"/>
      <c r="N74" s="109"/>
      <c r="O74" s="109"/>
      <c r="P74" s="16"/>
      <c r="Q74" s="16"/>
      <c r="R74" s="109"/>
      <c r="S74" s="109"/>
      <c r="T74" s="109"/>
      <c r="U74" s="109"/>
      <c r="V74" s="109"/>
      <c r="W74" s="109"/>
      <c r="X74" s="109"/>
      <c r="Y74" s="109"/>
      <c r="Z74" s="109"/>
      <c r="AA74" s="109"/>
      <c r="AB74" s="109"/>
      <c r="AC74" s="16"/>
      <c r="AD74" s="16"/>
      <c r="AE74" s="16"/>
      <c r="AF74" s="16"/>
      <c r="AG74" s="16"/>
    </row>
    <row r="75" spans="1:33" x14ac:dyDescent="0.2">
      <c r="A75" s="16"/>
      <c r="B75" s="16"/>
      <c r="C75" s="16"/>
      <c r="D75" s="16"/>
      <c r="E75" s="16"/>
      <c r="F75" s="109"/>
      <c r="G75" s="109"/>
      <c r="H75" s="109"/>
      <c r="I75" s="109"/>
      <c r="J75" s="109"/>
      <c r="K75" s="109"/>
      <c r="L75" s="109"/>
      <c r="M75" s="109"/>
      <c r="N75" s="109"/>
      <c r="O75" s="109"/>
      <c r="P75" s="16"/>
      <c r="Q75" s="16"/>
      <c r="R75" s="109"/>
      <c r="S75" s="109"/>
      <c r="T75" s="109"/>
      <c r="U75" s="109"/>
      <c r="V75" s="109"/>
      <c r="W75" s="109"/>
      <c r="X75" s="109"/>
      <c r="Y75" s="109"/>
      <c r="Z75" s="109"/>
      <c r="AA75" s="109"/>
      <c r="AB75" s="109"/>
      <c r="AC75" s="16"/>
      <c r="AD75" s="16"/>
      <c r="AE75" s="16"/>
      <c r="AF75" s="16"/>
      <c r="AG75" s="16"/>
    </row>
    <row r="76" spans="1:33" x14ac:dyDescent="0.2">
      <c r="A76" s="16"/>
      <c r="B76" s="16"/>
      <c r="C76" s="16"/>
      <c r="D76" s="16"/>
      <c r="E76" s="16"/>
      <c r="F76" s="109"/>
      <c r="G76" s="109"/>
      <c r="H76" s="109"/>
      <c r="I76" s="109"/>
      <c r="J76" s="109"/>
      <c r="K76" s="109"/>
      <c r="L76" s="109"/>
      <c r="M76" s="109"/>
      <c r="N76" s="109"/>
      <c r="O76" s="109"/>
      <c r="P76" s="16"/>
      <c r="Q76" s="16"/>
      <c r="R76" s="109"/>
      <c r="S76" s="109"/>
      <c r="T76" s="109"/>
      <c r="U76" s="109"/>
      <c r="V76" s="109"/>
      <c r="W76" s="109"/>
      <c r="X76" s="109"/>
      <c r="Y76" s="109"/>
      <c r="Z76" s="109"/>
      <c r="AA76" s="109"/>
      <c r="AB76" s="109"/>
      <c r="AC76" s="16"/>
      <c r="AD76" s="16"/>
      <c r="AE76" s="16"/>
      <c r="AF76" s="16"/>
      <c r="AG76" s="16"/>
    </row>
    <row r="77" spans="1:33" x14ac:dyDescent="0.2">
      <c r="A77" s="16"/>
      <c r="B77" s="16"/>
      <c r="C77" s="16"/>
      <c r="D77" s="16"/>
      <c r="E77" s="16"/>
      <c r="F77" s="109"/>
      <c r="G77" s="109"/>
      <c r="H77" s="109"/>
      <c r="I77" s="109"/>
      <c r="J77" s="109"/>
      <c r="K77" s="109"/>
      <c r="L77" s="109"/>
      <c r="M77" s="109"/>
      <c r="N77" s="109"/>
      <c r="O77" s="109"/>
      <c r="P77" s="16"/>
      <c r="Q77" s="16"/>
      <c r="R77" s="109"/>
      <c r="S77" s="109"/>
      <c r="T77" s="109"/>
      <c r="U77" s="109"/>
      <c r="V77" s="109"/>
      <c r="W77" s="109"/>
      <c r="X77" s="109"/>
      <c r="Y77" s="109"/>
      <c r="Z77" s="109"/>
      <c r="AA77" s="109"/>
      <c r="AB77" s="109"/>
      <c r="AC77" s="16"/>
      <c r="AD77" s="16"/>
      <c r="AE77" s="16"/>
      <c r="AF77" s="16"/>
      <c r="AG77" s="16"/>
    </row>
    <row r="78" spans="1:33" x14ac:dyDescent="0.2">
      <c r="A78" s="16"/>
      <c r="B78" s="16"/>
      <c r="C78" s="16"/>
      <c r="D78" s="16"/>
      <c r="E78" s="16"/>
      <c r="F78" s="109"/>
      <c r="G78" s="109"/>
      <c r="H78" s="109"/>
      <c r="I78" s="109"/>
      <c r="J78" s="109"/>
      <c r="K78" s="109"/>
      <c r="L78" s="109"/>
      <c r="M78" s="109"/>
      <c r="N78" s="109"/>
      <c r="O78" s="109"/>
      <c r="P78" s="16"/>
      <c r="Q78" s="16"/>
      <c r="R78" s="109"/>
      <c r="S78" s="109"/>
      <c r="T78" s="109"/>
      <c r="U78" s="109"/>
      <c r="V78" s="109"/>
      <c r="W78" s="109"/>
      <c r="X78" s="109"/>
      <c r="Y78" s="109"/>
      <c r="Z78" s="109"/>
      <c r="AA78" s="109"/>
      <c r="AB78" s="109"/>
      <c r="AC78" s="16"/>
      <c r="AD78" s="16"/>
      <c r="AE78" s="16"/>
      <c r="AF78" s="16"/>
      <c r="AG78" s="16"/>
    </row>
    <row r="79" spans="1:33" x14ac:dyDescent="0.2">
      <c r="A79" s="16"/>
      <c r="B79" s="16"/>
      <c r="C79" s="16"/>
      <c r="D79" s="16"/>
      <c r="E79" s="16"/>
      <c r="F79" s="109"/>
      <c r="G79" s="109"/>
      <c r="H79" s="109"/>
      <c r="I79" s="109"/>
      <c r="J79" s="109"/>
      <c r="K79" s="109"/>
      <c r="L79" s="109"/>
      <c r="M79" s="109"/>
      <c r="N79" s="109"/>
      <c r="O79" s="109"/>
      <c r="P79" s="16"/>
      <c r="Q79" s="16"/>
      <c r="R79" s="109"/>
      <c r="S79" s="109"/>
      <c r="T79" s="109"/>
      <c r="U79" s="109"/>
      <c r="V79" s="109"/>
      <c r="W79" s="109"/>
      <c r="X79" s="109"/>
      <c r="Y79" s="109"/>
      <c r="Z79" s="109"/>
      <c r="AA79" s="109"/>
      <c r="AB79" s="109"/>
      <c r="AC79" s="16"/>
      <c r="AD79" s="16"/>
      <c r="AE79" s="16"/>
      <c r="AF79" s="16"/>
      <c r="AG79" s="16"/>
    </row>
    <row r="80" spans="1:33" x14ac:dyDescent="0.2">
      <c r="A80" s="16"/>
      <c r="B80" s="16"/>
      <c r="C80" s="16"/>
      <c r="D80" s="16"/>
      <c r="E80" s="16"/>
      <c r="F80" s="109"/>
      <c r="G80" s="109"/>
      <c r="H80" s="109"/>
      <c r="I80" s="109"/>
      <c r="J80" s="109"/>
      <c r="K80" s="109"/>
      <c r="L80" s="109"/>
      <c r="M80" s="109"/>
      <c r="N80" s="109"/>
      <c r="O80" s="109"/>
      <c r="P80" s="16"/>
      <c r="Q80" s="16"/>
      <c r="R80" s="109"/>
      <c r="S80" s="109"/>
      <c r="T80" s="109"/>
      <c r="U80" s="109"/>
      <c r="V80" s="109"/>
      <c r="W80" s="109"/>
      <c r="X80" s="109"/>
      <c r="Y80" s="109"/>
      <c r="Z80" s="109"/>
      <c r="AA80" s="109"/>
      <c r="AB80" s="109"/>
      <c r="AC80" s="16"/>
      <c r="AD80" s="16"/>
      <c r="AE80" s="16"/>
      <c r="AF80" s="16"/>
      <c r="AG80" s="16"/>
    </row>
    <row r="81" spans="1:33" x14ac:dyDescent="0.2">
      <c r="A81" s="16"/>
      <c r="B81" s="16"/>
      <c r="C81" s="16"/>
      <c r="D81" s="16"/>
      <c r="E81" s="16"/>
      <c r="F81" s="109"/>
      <c r="G81" s="109"/>
      <c r="H81" s="109"/>
      <c r="I81" s="109"/>
      <c r="J81" s="109"/>
      <c r="K81" s="109"/>
      <c r="L81" s="109"/>
      <c r="M81" s="109"/>
      <c r="N81" s="109"/>
      <c r="O81" s="109"/>
      <c r="P81" s="16"/>
      <c r="Q81" s="16"/>
      <c r="R81" s="109"/>
      <c r="S81" s="109"/>
      <c r="T81" s="109"/>
      <c r="U81" s="109"/>
      <c r="V81" s="109"/>
      <c r="W81" s="109"/>
      <c r="X81" s="109"/>
      <c r="Y81" s="109"/>
      <c r="Z81" s="109"/>
      <c r="AA81" s="109"/>
      <c r="AB81" s="109"/>
      <c r="AC81" s="16"/>
      <c r="AD81" s="16"/>
      <c r="AE81" s="16"/>
      <c r="AF81" s="16"/>
      <c r="AG81" s="16"/>
    </row>
    <row r="82" spans="1:33" x14ac:dyDescent="0.2">
      <c r="A82" s="16"/>
      <c r="B82" s="16"/>
      <c r="C82" s="16"/>
      <c r="D82" s="16"/>
      <c r="E82" s="16"/>
      <c r="F82" s="109"/>
      <c r="G82" s="109"/>
      <c r="H82" s="109"/>
      <c r="I82" s="109"/>
      <c r="J82" s="109"/>
      <c r="K82" s="109"/>
      <c r="L82" s="109"/>
      <c r="M82" s="109"/>
      <c r="N82" s="109"/>
      <c r="O82" s="109"/>
      <c r="P82" s="16"/>
      <c r="Q82" s="16"/>
      <c r="R82" s="109"/>
      <c r="S82" s="109"/>
      <c r="T82" s="109"/>
      <c r="U82" s="109"/>
      <c r="V82" s="109"/>
      <c r="W82" s="109"/>
      <c r="X82" s="109"/>
      <c r="Y82" s="109"/>
      <c r="Z82" s="109"/>
      <c r="AA82" s="109"/>
      <c r="AB82" s="109"/>
      <c r="AC82" s="16"/>
      <c r="AD82" s="16"/>
      <c r="AE82" s="16"/>
      <c r="AF82" s="16"/>
      <c r="AG82" s="16"/>
    </row>
    <row r="83" spans="1:33" x14ac:dyDescent="0.2">
      <c r="A83" s="16"/>
      <c r="B83" s="16"/>
      <c r="C83" s="16"/>
      <c r="D83" s="16"/>
      <c r="E83" s="16"/>
      <c r="F83" s="109"/>
      <c r="G83" s="109"/>
      <c r="H83" s="109"/>
      <c r="I83" s="109"/>
      <c r="J83" s="109"/>
      <c r="K83" s="109"/>
      <c r="L83" s="109"/>
      <c r="M83" s="109"/>
      <c r="N83" s="109"/>
      <c r="O83" s="109"/>
      <c r="P83" s="16"/>
      <c r="Q83" s="16"/>
      <c r="R83" s="109"/>
      <c r="S83" s="109"/>
      <c r="T83" s="109"/>
      <c r="U83" s="109"/>
      <c r="V83" s="109"/>
      <c r="W83" s="109"/>
      <c r="X83" s="109"/>
      <c r="Y83" s="109"/>
      <c r="Z83" s="109"/>
      <c r="AA83" s="109"/>
      <c r="AB83" s="109"/>
      <c r="AC83" s="16"/>
      <c r="AD83" s="16"/>
      <c r="AE83" s="16"/>
      <c r="AF83" s="16"/>
      <c r="AG83" s="16"/>
    </row>
    <row r="84" spans="1:33" x14ac:dyDescent="0.2">
      <c r="A84" s="16"/>
      <c r="B84" s="16"/>
      <c r="C84" s="16"/>
      <c r="D84" s="16"/>
      <c r="E84" s="16"/>
      <c r="F84" s="109"/>
      <c r="G84" s="109"/>
      <c r="H84" s="109"/>
      <c r="I84" s="109"/>
      <c r="J84" s="109"/>
      <c r="K84" s="109"/>
      <c r="L84" s="109"/>
      <c r="M84" s="109"/>
      <c r="N84" s="109"/>
      <c r="O84" s="109"/>
      <c r="P84" s="16"/>
      <c r="Q84" s="16"/>
      <c r="R84" s="109"/>
      <c r="S84" s="109"/>
      <c r="T84" s="109"/>
      <c r="U84" s="109"/>
      <c r="V84" s="109"/>
      <c r="W84" s="109"/>
      <c r="X84" s="109"/>
      <c r="Y84" s="109"/>
      <c r="Z84" s="109"/>
      <c r="AA84" s="109"/>
      <c r="AB84" s="109"/>
      <c r="AC84" s="16"/>
      <c r="AD84" s="16"/>
      <c r="AE84" s="16"/>
      <c r="AF84" s="16"/>
      <c r="AG84" s="16"/>
    </row>
    <row r="85" spans="1:33" x14ac:dyDescent="0.2">
      <c r="A85" s="16"/>
      <c r="B85" s="16"/>
      <c r="C85" s="16"/>
      <c r="D85" s="16"/>
      <c r="E85" s="16"/>
      <c r="F85" s="109"/>
      <c r="G85" s="109"/>
      <c r="H85" s="109"/>
      <c r="I85" s="109"/>
      <c r="J85" s="109"/>
      <c r="K85" s="109"/>
      <c r="L85" s="109"/>
      <c r="M85" s="109"/>
      <c r="N85" s="109"/>
      <c r="O85" s="109"/>
      <c r="P85" s="16"/>
      <c r="Q85" s="16"/>
      <c r="R85" s="109"/>
      <c r="S85" s="109"/>
      <c r="T85" s="109"/>
      <c r="U85" s="109"/>
      <c r="V85" s="109"/>
      <c r="W85" s="109"/>
      <c r="X85" s="109"/>
      <c r="Y85" s="109"/>
      <c r="Z85" s="109"/>
      <c r="AA85" s="109"/>
      <c r="AB85" s="109"/>
      <c r="AC85" s="16"/>
      <c r="AD85" s="16"/>
      <c r="AE85" s="16"/>
      <c r="AF85" s="16"/>
      <c r="AG85" s="16"/>
    </row>
    <row r="86" spans="1:33" x14ac:dyDescent="0.2">
      <c r="A86" s="16"/>
      <c r="B86" s="16"/>
      <c r="C86" s="16"/>
      <c r="D86" s="16"/>
      <c r="E86" s="16"/>
      <c r="F86" s="109"/>
      <c r="G86" s="109"/>
      <c r="H86" s="109"/>
      <c r="I86" s="109"/>
      <c r="J86" s="109"/>
      <c r="K86" s="109"/>
      <c r="L86" s="109"/>
      <c r="M86" s="109"/>
      <c r="N86" s="109"/>
      <c r="O86" s="109"/>
      <c r="P86" s="16"/>
      <c r="Q86" s="16"/>
      <c r="R86" s="109"/>
      <c r="S86" s="109"/>
      <c r="T86" s="109"/>
      <c r="U86" s="109"/>
      <c r="V86" s="109"/>
      <c r="W86" s="109"/>
      <c r="X86" s="109"/>
      <c r="Y86" s="109"/>
      <c r="Z86" s="109"/>
      <c r="AA86" s="109"/>
      <c r="AB86" s="109"/>
      <c r="AC86" s="16"/>
      <c r="AD86" s="16"/>
      <c r="AE86" s="16"/>
      <c r="AF86" s="16"/>
      <c r="AG86" s="16"/>
    </row>
    <row r="87" spans="1:33" x14ac:dyDescent="0.2">
      <c r="A87" s="16"/>
      <c r="B87" s="16"/>
      <c r="C87" s="16"/>
      <c r="D87" s="16"/>
      <c r="E87" s="16"/>
      <c r="F87" s="109"/>
      <c r="G87" s="109"/>
      <c r="H87" s="109"/>
      <c r="I87" s="109"/>
      <c r="J87" s="109"/>
      <c r="K87" s="109"/>
      <c r="L87" s="109"/>
      <c r="M87" s="109"/>
      <c r="N87" s="109"/>
      <c r="O87" s="109"/>
      <c r="P87" s="16"/>
      <c r="Q87" s="16"/>
      <c r="R87" s="109"/>
      <c r="S87" s="109"/>
      <c r="T87" s="109"/>
      <c r="U87" s="109"/>
      <c r="V87" s="109"/>
      <c r="W87" s="109"/>
      <c r="X87" s="109"/>
      <c r="Y87" s="109"/>
      <c r="Z87" s="109"/>
      <c r="AA87" s="109"/>
      <c r="AB87" s="109"/>
      <c r="AC87" s="16"/>
      <c r="AD87" s="16"/>
      <c r="AE87" s="16"/>
      <c r="AF87" s="16"/>
      <c r="AG87" s="16"/>
    </row>
    <row r="88" spans="1:33" x14ac:dyDescent="0.2">
      <c r="A88" s="16"/>
      <c r="B88" s="16"/>
      <c r="C88" s="16"/>
      <c r="D88" s="16"/>
      <c r="E88" s="16"/>
      <c r="F88" s="109"/>
      <c r="G88" s="109"/>
      <c r="H88" s="109"/>
      <c r="I88" s="109"/>
      <c r="J88" s="109"/>
      <c r="K88" s="109"/>
      <c r="L88" s="109"/>
      <c r="M88" s="109"/>
      <c r="N88" s="109"/>
      <c r="O88" s="109"/>
      <c r="P88" s="16"/>
      <c r="Q88" s="16"/>
      <c r="R88" s="109"/>
      <c r="S88" s="109"/>
      <c r="T88" s="109"/>
      <c r="U88" s="109"/>
      <c r="V88" s="109"/>
      <c r="W88" s="109"/>
      <c r="X88" s="109"/>
      <c r="Y88" s="109"/>
      <c r="Z88" s="109"/>
      <c r="AA88" s="109"/>
      <c r="AB88" s="109"/>
      <c r="AC88" s="16"/>
      <c r="AD88" s="16"/>
      <c r="AE88" s="16"/>
      <c r="AF88" s="16"/>
      <c r="AG88" s="16"/>
    </row>
    <row r="89" spans="1:33" x14ac:dyDescent="0.2">
      <c r="A89" s="16"/>
      <c r="B89" s="16"/>
      <c r="C89" s="16"/>
      <c r="D89" s="16"/>
      <c r="E89" s="16"/>
      <c r="F89" s="109"/>
      <c r="G89" s="109"/>
      <c r="H89" s="109"/>
      <c r="I89" s="109"/>
      <c r="J89" s="109"/>
      <c r="K89" s="109"/>
      <c r="L89" s="109"/>
      <c r="M89" s="109"/>
      <c r="N89" s="109"/>
      <c r="O89" s="109"/>
      <c r="P89" s="16"/>
      <c r="Q89" s="16"/>
      <c r="R89" s="109"/>
      <c r="S89" s="109"/>
      <c r="T89" s="109"/>
      <c r="U89" s="109"/>
      <c r="V89" s="109"/>
      <c r="W89" s="109"/>
      <c r="X89" s="109"/>
      <c r="Y89" s="109"/>
      <c r="Z89" s="109"/>
      <c r="AA89" s="109"/>
      <c r="AB89" s="109"/>
      <c r="AC89" s="16"/>
      <c r="AD89" s="16"/>
      <c r="AE89" s="16"/>
      <c r="AF89" s="16"/>
      <c r="AG89" s="16"/>
    </row>
    <row r="90" spans="1:33" x14ac:dyDescent="0.2">
      <c r="A90" s="16"/>
      <c r="B90" s="16"/>
      <c r="C90" s="16"/>
      <c r="D90" s="16"/>
      <c r="E90" s="16"/>
      <c r="F90" s="109"/>
      <c r="G90" s="109"/>
      <c r="H90" s="109"/>
      <c r="I90" s="109"/>
      <c r="J90" s="109"/>
      <c r="K90" s="109"/>
      <c r="L90" s="109"/>
      <c r="M90" s="109"/>
      <c r="N90" s="109"/>
      <c r="O90" s="109"/>
      <c r="P90" s="16"/>
      <c r="Q90" s="16"/>
      <c r="R90" s="109"/>
      <c r="S90" s="109"/>
      <c r="T90" s="109"/>
      <c r="U90" s="109"/>
      <c r="V90" s="109"/>
      <c r="W90" s="109"/>
      <c r="X90" s="109"/>
      <c r="Y90" s="109"/>
      <c r="Z90" s="109"/>
      <c r="AA90" s="109"/>
      <c r="AB90" s="109"/>
      <c r="AC90" s="16"/>
      <c r="AD90" s="16"/>
      <c r="AE90" s="16"/>
      <c r="AF90" s="16"/>
      <c r="AG90" s="16"/>
    </row>
    <row r="91" spans="1:33" x14ac:dyDescent="0.2">
      <c r="A91" s="16"/>
      <c r="B91" s="16"/>
      <c r="C91" s="16"/>
      <c r="D91" s="16"/>
      <c r="E91" s="16"/>
      <c r="F91" s="109"/>
      <c r="G91" s="109"/>
      <c r="H91" s="109"/>
      <c r="I91" s="109"/>
      <c r="J91" s="109"/>
      <c r="K91" s="109"/>
      <c r="L91" s="109"/>
      <c r="M91" s="109"/>
      <c r="N91" s="109"/>
      <c r="O91" s="109"/>
      <c r="P91" s="16"/>
      <c r="Q91" s="16"/>
      <c r="R91" s="109"/>
      <c r="S91" s="109"/>
      <c r="T91" s="109"/>
      <c r="U91" s="109"/>
      <c r="V91" s="109"/>
      <c r="W91" s="109"/>
      <c r="X91" s="109"/>
      <c r="Y91" s="109"/>
      <c r="Z91" s="109"/>
      <c r="AA91" s="109"/>
      <c r="AB91" s="109"/>
      <c r="AC91" s="16"/>
      <c r="AD91" s="16"/>
      <c r="AE91" s="16"/>
      <c r="AF91" s="16"/>
      <c r="AG91" s="16"/>
    </row>
    <row r="92" spans="1:33" x14ac:dyDescent="0.2">
      <c r="A92" s="16"/>
      <c r="B92" s="16"/>
      <c r="C92" s="16"/>
      <c r="D92" s="16"/>
      <c r="E92" s="16"/>
      <c r="F92" s="109"/>
      <c r="G92" s="109"/>
      <c r="H92" s="109"/>
      <c r="I92" s="109"/>
      <c r="J92" s="109"/>
      <c r="K92" s="109"/>
      <c r="L92" s="109"/>
      <c r="M92" s="109"/>
      <c r="N92" s="109"/>
      <c r="O92" s="109"/>
      <c r="P92" s="16"/>
      <c r="Q92" s="16"/>
      <c r="R92" s="109"/>
      <c r="S92" s="109"/>
      <c r="T92" s="109"/>
      <c r="U92" s="109"/>
      <c r="V92" s="109"/>
      <c r="W92" s="109"/>
      <c r="X92" s="109"/>
      <c r="Y92" s="109"/>
      <c r="Z92" s="109"/>
      <c r="AA92" s="109"/>
      <c r="AB92" s="109"/>
      <c r="AC92" s="16"/>
      <c r="AD92" s="16"/>
      <c r="AE92" s="16"/>
      <c r="AF92" s="16"/>
      <c r="AG92" s="16"/>
    </row>
    <row r="93" spans="1:33" x14ac:dyDescent="0.2">
      <c r="A93" s="16"/>
      <c r="B93" s="16"/>
      <c r="C93" s="16"/>
      <c r="D93" s="16"/>
      <c r="E93" s="16"/>
      <c r="F93" s="109"/>
      <c r="G93" s="109"/>
      <c r="H93" s="109"/>
      <c r="I93" s="109"/>
      <c r="J93" s="109"/>
      <c r="K93" s="109"/>
      <c r="L93" s="109"/>
      <c r="M93" s="109"/>
      <c r="N93" s="109"/>
      <c r="O93" s="109"/>
      <c r="P93" s="16"/>
      <c r="Q93" s="16"/>
      <c r="R93" s="109"/>
      <c r="S93" s="109"/>
      <c r="T93" s="109"/>
      <c r="U93" s="109"/>
      <c r="V93" s="109"/>
      <c r="W93" s="109"/>
      <c r="X93" s="109"/>
      <c r="Y93" s="109"/>
      <c r="Z93" s="109"/>
      <c r="AA93" s="109"/>
      <c r="AB93" s="109"/>
      <c r="AC93" s="16"/>
      <c r="AD93" s="16"/>
      <c r="AE93" s="16"/>
      <c r="AF93" s="16"/>
      <c r="AG93" s="16"/>
    </row>
    <row r="94" spans="1:33" x14ac:dyDescent="0.2">
      <c r="A94" s="16"/>
      <c r="B94" s="16"/>
      <c r="C94" s="16"/>
      <c r="D94" s="16"/>
      <c r="E94" s="16"/>
      <c r="F94" s="109"/>
      <c r="G94" s="109"/>
      <c r="H94" s="109"/>
      <c r="I94" s="109"/>
      <c r="J94" s="109"/>
      <c r="K94" s="109"/>
      <c r="L94" s="109"/>
      <c r="M94" s="109"/>
      <c r="N94" s="109"/>
      <c r="O94" s="109"/>
      <c r="P94" s="16"/>
      <c r="Q94" s="16"/>
      <c r="R94" s="109"/>
      <c r="S94" s="109"/>
      <c r="T94" s="109"/>
      <c r="U94" s="109"/>
      <c r="V94" s="109"/>
      <c r="W94" s="109"/>
      <c r="X94" s="109"/>
      <c r="Y94" s="109"/>
      <c r="Z94" s="109"/>
      <c r="AA94" s="109"/>
      <c r="AB94" s="109"/>
      <c r="AC94" s="16"/>
      <c r="AD94" s="16"/>
      <c r="AE94" s="16"/>
      <c r="AF94" s="16"/>
      <c r="AG94" s="16"/>
    </row>
    <row r="95" spans="1:33" x14ac:dyDescent="0.2">
      <c r="A95" s="16"/>
      <c r="B95" s="16"/>
      <c r="C95" s="16"/>
      <c r="D95" s="16"/>
      <c r="E95" s="16"/>
      <c r="F95" s="109"/>
      <c r="G95" s="109"/>
      <c r="H95" s="109"/>
      <c r="I95" s="109"/>
      <c r="J95" s="109"/>
      <c r="K95" s="109"/>
      <c r="L95" s="109"/>
      <c r="M95" s="109"/>
      <c r="N95" s="109"/>
      <c r="O95" s="109"/>
      <c r="P95" s="16"/>
      <c r="Q95" s="16"/>
      <c r="R95" s="109"/>
      <c r="S95" s="109"/>
      <c r="T95" s="109"/>
      <c r="U95" s="109"/>
      <c r="V95" s="109"/>
      <c r="W95" s="109"/>
      <c r="X95" s="109"/>
      <c r="Y95" s="109"/>
      <c r="Z95" s="109"/>
      <c r="AA95" s="109"/>
      <c r="AB95" s="109"/>
      <c r="AC95" s="16"/>
      <c r="AD95" s="16"/>
      <c r="AE95" s="16"/>
      <c r="AF95" s="16"/>
      <c r="AG95" s="16"/>
    </row>
    <row r="96" spans="1:33" x14ac:dyDescent="0.2">
      <c r="A96" s="16"/>
      <c r="B96" s="16"/>
      <c r="C96" s="16"/>
      <c r="D96" s="16"/>
      <c r="E96" s="16"/>
      <c r="F96" s="109"/>
      <c r="G96" s="109"/>
      <c r="H96" s="109"/>
      <c r="I96" s="109"/>
      <c r="J96" s="109"/>
      <c r="K96" s="109"/>
      <c r="L96" s="109"/>
      <c r="M96" s="109"/>
      <c r="N96" s="109"/>
      <c r="O96" s="109"/>
      <c r="P96" s="16"/>
      <c r="Q96" s="16"/>
      <c r="R96" s="109"/>
      <c r="S96" s="109"/>
      <c r="T96" s="109"/>
      <c r="U96" s="109"/>
      <c r="V96" s="109"/>
      <c r="W96" s="109"/>
      <c r="X96" s="109"/>
      <c r="Y96" s="109"/>
      <c r="Z96" s="109"/>
      <c r="AA96" s="109"/>
      <c r="AB96" s="109"/>
      <c r="AC96" s="16"/>
      <c r="AD96" s="16"/>
      <c r="AE96" s="16"/>
      <c r="AF96" s="16"/>
      <c r="AG96" s="16"/>
    </row>
    <row r="97" spans="1:33" x14ac:dyDescent="0.2">
      <c r="A97" s="16"/>
      <c r="B97" s="16"/>
      <c r="C97" s="16"/>
      <c r="D97" s="16"/>
      <c r="E97" s="16"/>
      <c r="F97" s="109"/>
      <c r="G97" s="109"/>
      <c r="H97" s="109"/>
      <c r="I97" s="109"/>
      <c r="J97" s="109"/>
      <c r="K97" s="109"/>
      <c r="L97" s="109"/>
      <c r="M97" s="109"/>
      <c r="N97" s="109"/>
      <c r="O97" s="109"/>
      <c r="P97" s="16"/>
      <c r="Q97" s="16"/>
      <c r="R97" s="109"/>
      <c r="S97" s="109"/>
      <c r="T97" s="109"/>
      <c r="U97" s="109"/>
      <c r="V97" s="109"/>
      <c r="W97" s="109"/>
      <c r="X97" s="109"/>
      <c r="Y97" s="109"/>
      <c r="Z97" s="109"/>
      <c r="AA97" s="109"/>
      <c r="AB97" s="109"/>
      <c r="AC97" s="16"/>
      <c r="AD97" s="16"/>
      <c r="AE97" s="16"/>
      <c r="AF97" s="16"/>
      <c r="AG97" s="16"/>
    </row>
    <row r="98" spans="1:33" x14ac:dyDescent="0.2">
      <c r="A98" s="16"/>
      <c r="B98" s="16"/>
      <c r="C98" s="16"/>
      <c r="D98" s="16"/>
      <c r="E98" s="16"/>
      <c r="F98" s="109"/>
      <c r="G98" s="109"/>
      <c r="H98" s="109"/>
      <c r="I98" s="109"/>
      <c r="J98" s="109"/>
      <c r="K98" s="109"/>
      <c r="L98" s="109"/>
      <c r="M98" s="109"/>
      <c r="N98" s="109"/>
      <c r="O98" s="109"/>
      <c r="P98" s="16"/>
      <c r="Q98" s="16"/>
      <c r="R98" s="109"/>
      <c r="S98" s="109"/>
      <c r="T98" s="109"/>
      <c r="U98" s="109"/>
      <c r="V98" s="109"/>
      <c r="W98" s="109"/>
      <c r="X98" s="109"/>
      <c r="Y98" s="109"/>
      <c r="Z98" s="109"/>
      <c r="AA98" s="109"/>
      <c r="AB98" s="109"/>
      <c r="AC98" s="16"/>
      <c r="AD98" s="16"/>
      <c r="AE98" s="16"/>
      <c r="AF98" s="16"/>
      <c r="AG98" s="16"/>
    </row>
    <row r="99" spans="1:33" x14ac:dyDescent="0.2">
      <c r="A99" s="16"/>
      <c r="B99" s="16"/>
      <c r="C99" s="16"/>
      <c r="D99" s="16"/>
      <c r="E99" s="16"/>
      <c r="F99" s="109"/>
      <c r="G99" s="109"/>
      <c r="H99" s="109"/>
      <c r="I99" s="109"/>
      <c r="J99" s="109"/>
      <c r="K99" s="109"/>
      <c r="L99" s="109"/>
      <c r="M99" s="109"/>
      <c r="N99" s="109"/>
      <c r="O99" s="109"/>
      <c r="P99" s="16"/>
      <c r="Q99" s="16"/>
      <c r="R99" s="109"/>
      <c r="S99" s="109"/>
      <c r="T99" s="109"/>
      <c r="U99" s="109"/>
      <c r="V99" s="109"/>
      <c r="W99" s="109"/>
      <c r="X99" s="109"/>
      <c r="Y99" s="109"/>
      <c r="Z99" s="109"/>
      <c r="AA99" s="109"/>
      <c r="AB99" s="109"/>
      <c r="AC99" s="16"/>
      <c r="AD99" s="16"/>
      <c r="AE99" s="16"/>
      <c r="AF99" s="16"/>
      <c r="AG99" s="16"/>
    </row>
    <row r="100" spans="1:33" x14ac:dyDescent="0.2">
      <c r="A100" s="16"/>
      <c r="B100" s="16"/>
      <c r="C100" s="16"/>
      <c r="D100" s="16"/>
      <c r="E100" s="16"/>
      <c r="F100" s="109"/>
      <c r="G100" s="109"/>
      <c r="H100" s="109"/>
      <c r="I100" s="109"/>
      <c r="J100" s="109"/>
      <c r="K100" s="109"/>
      <c r="L100" s="109"/>
      <c r="M100" s="109"/>
      <c r="N100" s="109"/>
      <c r="O100" s="109"/>
      <c r="P100" s="16"/>
      <c r="Q100" s="16"/>
      <c r="R100" s="109"/>
      <c r="S100" s="109"/>
      <c r="T100" s="109"/>
      <c r="U100" s="109"/>
      <c r="V100" s="109"/>
      <c r="W100" s="109"/>
      <c r="X100" s="109"/>
      <c r="Y100" s="109"/>
      <c r="Z100" s="109"/>
      <c r="AA100" s="109"/>
      <c r="AB100" s="109"/>
      <c r="AC100" s="16"/>
      <c r="AD100" s="16"/>
      <c r="AE100" s="16"/>
      <c r="AF100" s="16"/>
      <c r="AG100" s="16"/>
    </row>
    <row r="101" spans="1:33" x14ac:dyDescent="0.2">
      <c r="A101" s="16"/>
      <c r="B101" s="16"/>
      <c r="C101" s="16"/>
      <c r="D101" s="16"/>
      <c r="E101" s="16"/>
      <c r="F101" s="109"/>
      <c r="G101" s="109"/>
      <c r="H101" s="109"/>
      <c r="I101" s="109"/>
      <c r="J101" s="109"/>
      <c r="K101" s="109"/>
      <c r="L101" s="109"/>
      <c r="M101" s="109"/>
      <c r="N101" s="109"/>
      <c r="O101" s="109"/>
      <c r="P101" s="16"/>
      <c r="Q101" s="16"/>
      <c r="R101" s="109"/>
      <c r="S101" s="109"/>
      <c r="T101" s="109"/>
      <c r="U101" s="109"/>
      <c r="V101" s="109"/>
      <c r="W101" s="109"/>
      <c r="X101" s="109"/>
      <c r="Y101" s="109"/>
      <c r="Z101" s="109"/>
      <c r="AA101" s="109"/>
      <c r="AB101" s="109"/>
      <c r="AC101" s="16"/>
      <c r="AD101" s="16"/>
      <c r="AE101" s="16"/>
      <c r="AF101" s="16"/>
      <c r="AG101" s="16"/>
    </row>
    <row r="102" spans="1:33" x14ac:dyDescent="0.2">
      <c r="A102" s="16"/>
      <c r="B102" s="16"/>
      <c r="C102" s="16"/>
      <c r="D102" s="16"/>
      <c r="E102" s="16"/>
      <c r="F102" s="109"/>
      <c r="G102" s="109"/>
      <c r="H102" s="109"/>
      <c r="I102" s="109"/>
      <c r="J102" s="109"/>
      <c r="K102" s="109"/>
      <c r="L102" s="109"/>
      <c r="M102" s="109"/>
      <c r="N102" s="109"/>
      <c r="O102" s="109"/>
      <c r="P102" s="16"/>
      <c r="Q102" s="16"/>
      <c r="R102" s="109"/>
      <c r="S102" s="109"/>
      <c r="T102" s="109"/>
      <c r="U102" s="109"/>
      <c r="V102" s="109"/>
      <c r="W102" s="109"/>
      <c r="X102" s="109"/>
      <c r="Y102" s="109"/>
      <c r="Z102" s="109"/>
      <c r="AA102" s="109"/>
      <c r="AB102" s="109"/>
      <c r="AC102" s="16"/>
      <c r="AD102" s="16"/>
      <c r="AE102" s="16"/>
      <c r="AF102" s="16"/>
      <c r="AG102" s="16"/>
    </row>
    <row r="103" spans="1:33" x14ac:dyDescent="0.2">
      <c r="A103" s="16"/>
      <c r="B103" s="16"/>
      <c r="C103" s="16"/>
      <c r="D103" s="16"/>
      <c r="E103" s="16"/>
      <c r="F103" s="109"/>
      <c r="G103" s="109"/>
      <c r="H103" s="109"/>
      <c r="I103" s="109"/>
      <c r="J103" s="109"/>
      <c r="K103" s="109"/>
      <c r="L103" s="109"/>
      <c r="M103" s="109"/>
      <c r="N103" s="109"/>
      <c r="O103" s="109"/>
      <c r="P103" s="16"/>
      <c r="Q103" s="16"/>
      <c r="R103" s="109"/>
      <c r="S103" s="109"/>
      <c r="T103" s="109"/>
      <c r="U103" s="109"/>
      <c r="V103" s="109"/>
      <c r="W103" s="109"/>
      <c r="X103" s="109"/>
      <c r="Y103" s="109"/>
      <c r="Z103" s="109"/>
      <c r="AA103" s="109"/>
      <c r="AB103" s="109"/>
      <c r="AC103" s="16"/>
      <c r="AD103" s="16"/>
      <c r="AE103" s="16"/>
      <c r="AF103" s="16"/>
      <c r="AG103" s="16"/>
    </row>
    <row r="104" spans="1:33" x14ac:dyDescent="0.2">
      <c r="A104" s="16"/>
      <c r="B104" s="16"/>
      <c r="C104" s="16"/>
      <c r="D104" s="16"/>
      <c r="E104" s="16"/>
      <c r="F104" s="109"/>
      <c r="G104" s="109"/>
      <c r="H104" s="109"/>
      <c r="I104" s="109"/>
      <c r="J104" s="109"/>
      <c r="K104" s="109"/>
      <c r="L104" s="109"/>
      <c r="M104" s="109"/>
      <c r="N104" s="109"/>
      <c r="O104" s="109"/>
      <c r="P104" s="16"/>
      <c r="Q104" s="16"/>
      <c r="R104" s="109"/>
      <c r="S104" s="109"/>
      <c r="T104" s="109"/>
      <c r="U104" s="109"/>
      <c r="V104" s="109"/>
      <c r="W104" s="109"/>
      <c r="X104" s="109"/>
      <c r="Y104" s="109"/>
      <c r="Z104" s="109"/>
      <c r="AA104" s="109"/>
      <c r="AB104" s="109"/>
      <c r="AC104" s="16"/>
      <c r="AD104" s="16"/>
      <c r="AE104" s="16"/>
      <c r="AF104" s="16"/>
      <c r="AG104" s="16"/>
    </row>
    <row r="105" spans="1:33" x14ac:dyDescent="0.2">
      <c r="A105" s="16"/>
      <c r="B105" s="16"/>
      <c r="C105" s="16"/>
      <c r="D105" s="16"/>
      <c r="E105" s="16"/>
      <c r="F105" s="109"/>
      <c r="G105" s="109"/>
      <c r="H105" s="109"/>
      <c r="I105" s="109"/>
      <c r="J105" s="109"/>
      <c r="K105" s="109"/>
      <c r="L105" s="109"/>
      <c r="M105" s="109"/>
      <c r="N105" s="109"/>
      <c r="O105" s="109"/>
      <c r="P105" s="16"/>
      <c r="Q105" s="16"/>
      <c r="R105" s="109"/>
      <c r="S105" s="109"/>
      <c r="T105" s="109"/>
      <c r="U105" s="109"/>
      <c r="V105" s="109"/>
      <c r="W105" s="109"/>
      <c r="X105" s="109"/>
      <c r="Y105" s="109"/>
      <c r="Z105" s="109"/>
      <c r="AA105" s="109"/>
      <c r="AB105" s="109"/>
      <c r="AC105" s="16"/>
      <c r="AD105" s="16"/>
      <c r="AE105" s="16"/>
      <c r="AF105" s="16"/>
      <c r="AG105" s="16"/>
    </row>
    <row r="106" spans="1:33" x14ac:dyDescent="0.2">
      <c r="A106" s="16"/>
      <c r="B106" s="16"/>
      <c r="C106" s="16"/>
      <c r="D106" s="16"/>
      <c r="E106" s="16"/>
      <c r="F106" s="109"/>
      <c r="G106" s="109"/>
      <c r="H106" s="109"/>
      <c r="I106" s="109"/>
      <c r="J106" s="109"/>
      <c r="K106" s="109"/>
      <c r="L106" s="109"/>
      <c r="M106" s="109"/>
      <c r="N106" s="109"/>
      <c r="O106" s="109"/>
      <c r="P106" s="16"/>
      <c r="Q106" s="16"/>
      <c r="R106" s="109"/>
      <c r="S106" s="109"/>
      <c r="T106" s="109"/>
      <c r="U106" s="109"/>
      <c r="V106" s="109"/>
      <c r="W106" s="109"/>
      <c r="X106" s="109"/>
      <c r="Y106" s="109"/>
      <c r="Z106" s="109"/>
      <c r="AA106" s="109"/>
      <c r="AB106" s="109"/>
      <c r="AC106" s="16"/>
      <c r="AD106" s="16"/>
      <c r="AE106" s="16"/>
      <c r="AF106" s="16"/>
      <c r="AG106" s="16"/>
    </row>
    <row r="107" spans="1:33" x14ac:dyDescent="0.2">
      <c r="A107" s="16"/>
      <c r="B107" s="16"/>
      <c r="C107" s="16"/>
      <c r="D107" s="16"/>
      <c r="E107" s="16"/>
      <c r="F107" s="109"/>
      <c r="G107" s="109"/>
      <c r="H107" s="109"/>
      <c r="I107" s="109"/>
      <c r="J107" s="109"/>
      <c r="K107" s="109"/>
      <c r="L107" s="109"/>
      <c r="M107" s="109"/>
      <c r="N107" s="109"/>
      <c r="O107" s="109"/>
      <c r="P107" s="16"/>
      <c r="Q107" s="16"/>
      <c r="R107" s="109"/>
      <c r="S107" s="109"/>
      <c r="T107" s="109"/>
      <c r="U107" s="109"/>
      <c r="V107" s="109"/>
      <c r="W107" s="109"/>
      <c r="X107" s="109"/>
      <c r="Y107" s="109"/>
      <c r="Z107" s="109"/>
      <c r="AA107" s="109"/>
      <c r="AB107" s="109"/>
      <c r="AC107" s="16"/>
      <c r="AD107" s="16"/>
      <c r="AE107" s="16"/>
      <c r="AF107" s="16"/>
      <c r="AG107" s="16"/>
    </row>
    <row r="108" spans="1:33" x14ac:dyDescent="0.2">
      <c r="A108" s="16"/>
      <c r="B108" s="16"/>
      <c r="C108" s="16"/>
      <c r="D108" s="16"/>
      <c r="E108" s="16"/>
      <c r="F108" s="109"/>
      <c r="G108" s="109"/>
      <c r="H108" s="109"/>
      <c r="I108" s="109"/>
      <c r="J108" s="109"/>
      <c r="K108" s="109"/>
      <c r="L108" s="109"/>
      <c r="M108" s="109"/>
      <c r="N108" s="109"/>
      <c r="O108" s="109"/>
      <c r="P108" s="16"/>
      <c r="Q108" s="16"/>
      <c r="R108" s="109"/>
      <c r="S108" s="109"/>
      <c r="T108" s="109"/>
      <c r="U108" s="109"/>
      <c r="V108" s="109"/>
      <c r="W108" s="109"/>
      <c r="X108" s="109"/>
      <c r="Y108" s="109"/>
      <c r="Z108" s="109"/>
      <c r="AA108" s="109"/>
      <c r="AB108" s="109"/>
      <c r="AC108" s="16"/>
      <c r="AD108" s="16"/>
      <c r="AE108" s="16"/>
      <c r="AF108" s="16"/>
      <c r="AG108" s="16"/>
    </row>
    <row r="109" spans="1:33" x14ac:dyDescent="0.2">
      <c r="A109" s="16"/>
      <c r="B109" s="16"/>
      <c r="C109" s="16"/>
      <c r="D109" s="16"/>
      <c r="E109" s="16"/>
      <c r="F109" s="109"/>
      <c r="G109" s="109"/>
      <c r="H109" s="109"/>
      <c r="I109" s="109"/>
      <c r="J109" s="109"/>
      <c r="K109" s="109"/>
      <c r="L109" s="109"/>
      <c r="M109" s="109"/>
      <c r="N109" s="109"/>
      <c r="O109" s="109"/>
      <c r="P109" s="16"/>
      <c r="Q109" s="16"/>
      <c r="R109" s="109"/>
      <c r="S109" s="109"/>
      <c r="T109" s="109"/>
      <c r="U109" s="109"/>
      <c r="V109" s="109"/>
      <c r="W109" s="109"/>
      <c r="X109" s="109"/>
      <c r="Y109" s="109"/>
      <c r="Z109" s="109"/>
      <c r="AA109" s="109"/>
      <c r="AB109" s="109"/>
      <c r="AC109" s="16"/>
      <c r="AD109" s="16"/>
      <c r="AE109" s="16"/>
      <c r="AF109" s="16"/>
      <c r="AG109" s="16"/>
    </row>
    <row r="110" spans="1:33" x14ac:dyDescent="0.2">
      <c r="A110" s="16"/>
      <c r="B110" s="16"/>
      <c r="C110" s="16"/>
      <c r="D110" s="16"/>
      <c r="E110" s="16"/>
      <c r="F110" s="109"/>
      <c r="G110" s="109"/>
      <c r="H110" s="109"/>
      <c r="I110" s="109"/>
      <c r="J110" s="109"/>
      <c r="K110" s="109"/>
      <c r="L110" s="109"/>
      <c r="M110" s="109"/>
      <c r="N110" s="109"/>
      <c r="O110" s="109"/>
      <c r="P110" s="16"/>
      <c r="Q110" s="16"/>
      <c r="R110" s="109"/>
      <c r="S110" s="109"/>
      <c r="T110" s="109"/>
      <c r="U110" s="109"/>
      <c r="V110" s="109"/>
      <c r="W110" s="109"/>
      <c r="X110" s="109"/>
      <c r="Y110" s="109"/>
      <c r="Z110" s="109"/>
      <c r="AA110" s="109"/>
      <c r="AB110" s="109"/>
      <c r="AC110" s="16"/>
      <c r="AD110" s="16"/>
      <c r="AE110" s="16"/>
      <c r="AF110" s="16"/>
      <c r="AG110" s="16"/>
    </row>
    <row r="111" spans="1:33" x14ac:dyDescent="0.2">
      <c r="A111" s="16"/>
      <c r="B111" s="16"/>
      <c r="C111" s="16"/>
      <c r="D111" s="16"/>
      <c r="E111" s="16"/>
      <c r="F111" s="109"/>
      <c r="G111" s="109"/>
      <c r="H111" s="109"/>
      <c r="I111" s="109"/>
      <c r="J111" s="109"/>
      <c r="K111" s="109"/>
      <c r="L111" s="109"/>
      <c r="M111" s="109"/>
      <c r="N111" s="109"/>
      <c r="O111" s="109"/>
      <c r="P111" s="16"/>
      <c r="Q111" s="16"/>
      <c r="R111" s="109"/>
      <c r="S111" s="109"/>
      <c r="T111" s="109"/>
      <c r="U111" s="109"/>
      <c r="V111" s="109"/>
      <c r="W111" s="109"/>
      <c r="X111" s="109"/>
      <c r="Y111" s="109"/>
      <c r="Z111" s="109"/>
      <c r="AA111" s="109"/>
      <c r="AB111" s="109"/>
      <c r="AC111" s="16"/>
      <c r="AD111" s="16"/>
      <c r="AE111" s="16"/>
      <c r="AF111" s="16"/>
      <c r="AG111" s="16"/>
    </row>
    <row r="112" spans="1:33" x14ac:dyDescent="0.2">
      <c r="A112" s="16"/>
      <c r="B112" s="16"/>
      <c r="C112" s="16"/>
      <c r="D112" s="16"/>
      <c r="E112" s="16"/>
      <c r="F112" s="109"/>
      <c r="G112" s="109"/>
      <c r="H112" s="109"/>
      <c r="I112" s="109"/>
      <c r="J112" s="109"/>
      <c r="K112" s="109"/>
      <c r="L112" s="109"/>
      <c r="M112" s="109"/>
      <c r="N112" s="109"/>
      <c r="O112" s="109"/>
      <c r="P112" s="16"/>
      <c r="Q112" s="16"/>
      <c r="R112" s="109"/>
      <c r="S112" s="109"/>
      <c r="T112" s="109"/>
      <c r="U112" s="109"/>
      <c r="V112" s="109"/>
      <c r="W112" s="109"/>
      <c r="X112" s="109"/>
      <c r="Y112" s="109"/>
      <c r="Z112" s="109"/>
      <c r="AA112" s="109"/>
      <c r="AB112" s="109"/>
      <c r="AC112" s="16"/>
      <c r="AD112" s="16"/>
      <c r="AE112" s="16"/>
      <c r="AF112" s="16"/>
      <c r="AG112" s="16"/>
    </row>
    <row r="113" spans="1:33" x14ac:dyDescent="0.2">
      <c r="A113" s="16"/>
      <c r="B113" s="16"/>
      <c r="C113" s="16"/>
      <c r="D113" s="16"/>
      <c r="E113" s="16"/>
      <c r="F113" s="109"/>
      <c r="G113" s="109"/>
      <c r="H113" s="109"/>
      <c r="I113" s="109"/>
      <c r="J113" s="109"/>
      <c r="K113" s="109"/>
      <c r="L113" s="109"/>
      <c r="M113" s="109"/>
      <c r="N113" s="109"/>
      <c r="O113" s="109"/>
      <c r="P113" s="16"/>
      <c r="Q113" s="16"/>
      <c r="R113" s="109"/>
      <c r="S113" s="109"/>
      <c r="T113" s="109"/>
      <c r="U113" s="109"/>
      <c r="V113" s="109"/>
      <c r="W113" s="109"/>
      <c r="X113" s="109"/>
      <c r="Y113" s="109"/>
      <c r="Z113" s="109"/>
      <c r="AA113" s="109"/>
      <c r="AB113" s="109"/>
      <c r="AC113" s="16"/>
      <c r="AD113" s="16"/>
      <c r="AE113" s="16"/>
      <c r="AF113" s="16"/>
      <c r="AG113" s="16"/>
    </row>
    <row r="114" spans="1:33" x14ac:dyDescent="0.2">
      <c r="A114" s="16"/>
      <c r="B114" s="16"/>
      <c r="C114" s="16"/>
      <c r="D114" s="16"/>
      <c r="E114" s="16"/>
      <c r="F114" s="109"/>
      <c r="G114" s="109"/>
      <c r="H114" s="109"/>
      <c r="I114" s="109"/>
      <c r="J114" s="109"/>
      <c r="K114" s="109"/>
      <c r="L114" s="109"/>
      <c r="M114" s="109"/>
      <c r="N114" s="109"/>
      <c r="O114" s="109"/>
      <c r="P114" s="16"/>
      <c r="Q114" s="16"/>
      <c r="R114" s="109"/>
      <c r="S114" s="109"/>
      <c r="T114" s="109"/>
      <c r="U114" s="109"/>
      <c r="V114" s="109"/>
      <c r="W114" s="109"/>
      <c r="X114" s="109"/>
      <c r="Y114" s="109"/>
      <c r="Z114" s="109"/>
      <c r="AA114" s="109"/>
      <c r="AB114" s="109"/>
      <c r="AC114" s="16"/>
      <c r="AD114" s="16"/>
      <c r="AE114" s="16"/>
      <c r="AF114" s="16"/>
      <c r="AG114" s="16"/>
    </row>
    <row r="115" spans="1:33" x14ac:dyDescent="0.2">
      <c r="A115" s="16"/>
      <c r="B115" s="16"/>
      <c r="C115" s="16"/>
      <c r="D115" s="16"/>
      <c r="E115" s="16"/>
      <c r="F115" s="109"/>
      <c r="G115" s="109"/>
      <c r="H115" s="109"/>
      <c r="I115" s="109"/>
      <c r="J115" s="109"/>
      <c r="K115" s="109"/>
      <c r="L115" s="109"/>
      <c r="M115" s="109"/>
      <c r="N115" s="109"/>
      <c r="O115" s="109"/>
      <c r="P115" s="16"/>
      <c r="Q115" s="16"/>
      <c r="R115" s="109"/>
      <c r="S115" s="109"/>
      <c r="T115" s="109"/>
      <c r="U115" s="109"/>
      <c r="V115" s="109"/>
      <c r="W115" s="109"/>
      <c r="X115" s="109"/>
      <c r="Y115" s="109"/>
      <c r="Z115" s="109"/>
      <c r="AA115" s="109"/>
      <c r="AB115" s="109"/>
      <c r="AC115" s="16"/>
      <c r="AD115" s="16"/>
      <c r="AE115" s="16"/>
      <c r="AF115" s="16"/>
      <c r="AG115" s="16"/>
    </row>
    <row r="116" spans="1:33" x14ac:dyDescent="0.2">
      <c r="A116" s="16"/>
      <c r="B116" s="16"/>
      <c r="C116" s="16"/>
      <c r="D116" s="16"/>
      <c r="E116" s="16"/>
      <c r="F116" s="109"/>
      <c r="G116" s="109"/>
      <c r="H116" s="109"/>
      <c r="I116" s="109"/>
      <c r="J116" s="109"/>
      <c r="K116" s="109"/>
      <c r="L116" s="109"/>
      <c r="M116" s="109"/>
      <c r="N116" s="109"/>
      <c r="O116" s="109"/>
      <c r="P116" s="16"/>
      <c r="Q116" s="16"/>
      <c r="R116" s="109"/>
      <c r="S116" s="109"/>
      <c r="T116" s="109"/>
      <c r="U116" s="109"/>
      <c r="V116" s="109"/>
      <c r="W116" s="109"/>
      <c r="X116" s="109"/>
      <c r="Y116" s="109"/>
      <c r="Z116" s="109"/>
      <c r="AA116" s="109"/>
      <c r="AB116" s="109"/>
      <c r="AC116" s="16"/>
      <c r="AD116" s="16"/>
      <c r="AE116" s="16"/>
      <c r="AF116" s="16"/>
      <c r="AG116" s="16"/>
    </row>
    <row r="117" spans="1:33" x14ac:dyDescent="0.2">
      <c r="A117" s="16"/>
      <c r="B117" s="16"/>
      <c r="C117" s="16"/>
      <c r="D117" s="16"/>
      <c r="E117" s="16"/>
      <c r="F117" s="109"/>
      <c r="G117" s="109"/>
      <c r="H117" s="109"/>
      <c r="I117" s="109"/>
      <c r="J117" s="109"/>
      <c r="K117" s="109"/>
      <c r="L117" s="109"/>
      <c r="M117" s="109"/>
      <c r="N117" s="109"/>
      <c r="O117" s="109"/>
      <c r="P117" s="16"/>
      <c r="Q117" s="16"/>
      <c r="R117" s="109"/>
      <c r="S117" s="109"/>
      <c r="T117" s="109"/>
      <c r="U117" s="109"/>
      <c r="V117" s="109"/>
      <c r="W117" s="109"/>
      <c r="X117" s="109"/>
      <c r="Y117" s="109"/>
      <c r="Z117" s="109"/>
      <c r="AA117" s="109"/>
      <c r="AB117" s="109"/>
      <c r="AC117" s="16"/>
      <c r="AD117" s="16"/>
      <c r="AE117" s="16"/>
      <c r="AF117" s="16"/>
      <c r="AG117" s="16"/>
    </row>
    <row r="118" spans="1:33" x14ac:dyDescent="0.2">
      <c r="A118" s="16"/>
      <c r="B118" s="16"/>
      <c r="C118" s="16"/>
      <c r="D118" s="16"/>
      <c r="E118" s="16"/>
      <c r="F118" s="109"/>
      <c r="G118" s="109"/>
      <c r="H118" s="109"/>
      <c r="I118" s="109"/>
      <c r="J118" s="109"/>
      <c r="K118" s="109"/>
      <c r="L118" s="109"/>
      <c r="M118" s="109"/>
      <c r="N118" s="109"/>
      <c r="O118" s="109"/>
      <c r="P118" s="16"/>
      <c r="Q118" s="16"/>
      <c r="R118" s="109"/>
      <c r="S118" s="109"/>
      <c r="T118" s="109"/>
      <c r="U118" s="109"/>
      <c r="V118" s="109"/>
      <c r="W118" s="109"/>
      <c r="X118" s="109"/>
      <c r="Y118" s="109"/>
      <c r="Z118" s="109"/>
      <c r="AA118" s="109"/>
      <c r="AB118" s="109"/>
      <c r="AC118" s="16"/>
      <c r="AD118" s="16"/>
      <c r="AE118" s="16"/>
      <c r="AF118" s="16"/>
      <c r="AG118" s="16"/>
    </row>
    <row r="119" spans="1:33" x14ac:dyDescent="0.2">
      <c r="A119" s="16"/>
      <c r="B119" s="16"/>
      <c r="C119" s="16"/>
      <c r="D119" s="16"/>
      <c r="E119" s="16"/>
      <c r="F119" s="109"/>
      <c r="G119" s="109"/>
      <c r="H119" s="109"/>
      <c r="I119" s="109"/>
      <c r="J119" s="109"/>
      <c r="K119" s="109"/>
      <c r="L119" s="109"/>
      <c r="M119" s="109"/>
      <c r="N119" s="109"/>
      <c r="O119" s="109"/>
      <c r="P119" s="16"/>
      <c r="Q119" s="16"/>
      <c r="R119" s="109"/>
      <c r="S119" s="109"/>
      <c r="T119" s="109"/>
      <c r="U119" s="109"/>
      <c r="V119" s="109"/>
      <c r="W119" s="109"/>
      <c r="X119" s="109"/>
      <c r="Y119" s="109"/>
      <c r="Z119" s="109"/>
      <c r="AA119" s="109"/>
      <c r="AB119" s="109"/>
      <c r="AC119" s="16"/>
      <c r="AD119" s="16"/>
      <c r="AE119" s="16"/>
      <c r="AF119" s="16"/>
      <c r="AG119" s="16"/>
    </row>
    <row r="120" spans="1:33" x14ac:dyDescent="0.2">
      <c r="A120" s="16"/>
      <c r="B120" s="16"/>
      <c r="C120" s="16"/>
      <c r="D120" s="16"/>
      <c r="E120" s="16"/>
      <c r="F120" s="109"/>
      <c r="G120" s="109"/>
      <c r="H120" s="109"/>
      <c r="I120" s="109"/>
      <c r="J120" s="109"/>
      <c r="K120" s="109"/>
      <c r="L120" s="109"/>
      <c r="M120" s="109"/>
      <c r="N120" s="109"/>
      <c r="O120" s="109"/>
      <c r="P120" s="16"/>
      <c r="Q120" s="16"/>
      <c r="R120" s="109"/>
      <c r="S120" s="109"/>
      <c r="T120" s="109"/>
      <c r="U120" s="109"/>
      <c r="V120" s="109"/>
      <c r="W120" s="109"/>
      <c r="X120" s="109"/>
      <c r="Y120" s="109"/>
      <c r="Z120" s="109"/>
      <c r="AA120" s="109"/>
      <c r="AB120" s="109"/>
      <c r="AC120" s="16"/>
      <c r="AD120" s="16"/>
      <c r="AE120" s="16"/>
      <c r="AF120" s="16"/>
      <c r="AG120" s="16"/>
    </row>
    <row r="121" spans="1:33" x14ac:dyDescent="0.2">
      <c r="A121" s="16"/>
      <c r="B121" s="16"/>
      <c r="C121" s="16"/>
      <c r="D121" s="16"/>
      <c r="E121" s="16"/>
      <c r="F121" s="109"/>
      <c r="G121" s="109"/>
      <c r="H121" s="109"/>
      <c r="I121" s="109"/>
      <c r="J121" s="109"/>
      <c r="K121" s="109"/>
      <c r="L121" s="109"/>
      <c r="M121" s="109"/>
      <c r="N121" s="109"/>
      <c r="O121" s="109"/>
      <c r="P121" s="16"/>
      <c r="Q121" s="16"/>
      <c r="R121" s="109"/>
      <c r="S121" s="109"/>
      <c r="T121" s="109"/>
      <c r="U121" s="109"/>
      <c r="V121" s="109"/>
      <c r="W121" s="109"/>
      <c r="X121" s="109"/>
      <c r="Y121" s="109"/>
      <c r="Z121" s="109"/>
      <c r="AA121" s="109"/>
      <c r="AB121" s="109"/>
      <c r="AC121" s="16"/>
      <c r="AD121" s="16"/>
      <c r="AE121" s="16"/>
      <c r="AF121" s="16"/>
      <c r="AG121" s="16"/>
    </row>
    <row r="122" spans="1:33" x14ac:dyDescent="0.2">
      <c r="A122" s="16"/>
      <c r="B122" s="16"/>
      <c r="C122" s="16"/>
      <c r="D122" s="16"/>
      <c r="E122" s="16"/>
      <c r="F122" s="109"/>
      <c r="G122" s="109"/>
      <c r="H122" s="109"/>
      <c r="I122" s="109"/>
      <c r="J122" s="109"/>
      <c r="K122" s="109"/>
      <c r="L122" s="109"/>
      <c r="M122" s="109"/>
      <c r="N122" s="109"/>
      <c r="O122" s="109"/>
      <c r="P122" s="16"/>
      <c r="Q122" s="16"/>
      <c r="R122" s="109"/>
      <c r="S122" s="109"/>
      <c r="T122" s="109"/>
      <c r="U122" s="109"/>
      <c r="V122" s="109"/>
      <c r="W122" s="109"/>
      <c r="X122" s="109"/>
      <c r="Y122" s="109"/>
      <c r="Z122" s="109"/>
      <c r="AA122" s="109"/>
      <c r="AB122" s="109"/>
      <c r="AC122" s="16"/>
      <c r="AD122" s="16"/>
      <c r="AE122" s="16"/>
      <c r="AF122" s="16"/>
      <c r="AG122" s="16"/>
    </row>
    <row r="123" spans="1:33" x14ac:dyDescent="0.2">
      <c r="A123" s="16"/>
      <c r="B123" s="16"/>
      <c r="C123" s="16"/>
      <c r="D123" s="16"/>
      <c r="E123" s="16"/>
      <c r="F123" s="109"/>
      <c r="G123" s="109"/>
      <c r="H123" s="109"/>
      <c r="I123" s="109"/>
      <c r="J123" s="109"/>
      <c r="K123" s="109"/>
      <c r="L123" s="109"/>
      <c r="M123" s="109"/>
      <c r="N123" s="109"/>
      <c r="O123" s="109"/>
      <c r="P123" s="16"/>
      <c r="Q123" s="16"/>
      <c r="R123" s="109"/>
      <c r="S123" s="109"/>
      <c r="T123" s="109"/>
      <c r="U123" s="109"/>
      <c r="V123" s="109"/>
      <c r="W123" s="109"/>
      <c r="X123" s="109"/>
      <c r="Y123" s="109"/>
      <c r="Z123" s="109"/>
      <c r="AA123" s="109"/>
      <c r="AB123" s="109"/>
      <c r="AC123" s="16"/>
      <c r="AD123" s="16"/>
      <c r="AE123" s="16"/>
      <c r="AF123" s="16"/>
      <c r="AG123" s="16"/>
    </row>
    <row r="124" spans="1:33" x14ac:dyDescent="0.2">
      <c r="A124" s="16"/>
      <c r="B124" s="16"/>
      <c r="C124" s="16"/>
      <c r="D124" s="16"/>
      <c r="E124" s="16"/>
      <c r="F124" s="109"/>
      <c r="G124" s="109"/>
      <c r="H124" s="109"/>
      <c r="I124" s="109"/>
      <c r="J124" s="109"/>
      <c r="K124" s="109"/>
      <c r="L124" s="109"/>
      <c r="M124" s="109"/>
      <c r="N124" s="109"/>
      <c r="O124" s="109"/>
      <c r="P124" s="16"/>
      <c r="Q124" s="16"/>
      <c r="R124" s="109"/>
      <c r="S124" s="109"/>
      <c r="T124" s="109"/>
      <c r="U124" s="109"/>
      <c r="V124" s="109"/>
      <c r="W124" s="109"/>
      <c r="X124" s="109"/>
      <c r="Y124" s="109"/>
      <c r="Z124" s="109"/>
      <c r="AA124" s="109"/>
      <c r="AB124" s="109"/>
      <c r="AC124" s="16"/>
      <c r="AD124" s="16"/>
      <c r="AE124" s="16"/>
      <c r="AF124" s="16"/>
      <c r="AG124" s="16"/>
    </row>
    <row r="125" spans="1:33" x14ac:dyDescent="0.2">
      <c r="A125" s="16"/>
      <c r="B125" s="16"/>
      <c r="C125" s="16"/>
      <c r="D125" s="16"/>
      <c r="E125" s="16"/>
      <c r="F125" s="109"/>
      <c r="G125" s="109"/>
      <c r="H125" s="109"/>
      <c r="I125" s="109"/>
      <c r="J125" s="109"/>
      <c r="K125" s="109"/>
      <c r="L125" s="109"/>
      <c r="M125" s="109"/>
      <c r="N125" s="109"/>
      <c r="O125" s="109"/>
      <c r="P125" s="16"/>
      <c r="Q125" s="16"/>
      <c r="R125" s="109"/>
      <c r="S125" s="109"/>
      <c r="T125" s="109"/>
      <c r="U125" s="109"/>
      <c r="V125" s="109"/>
      <c r="W125" s="109"/>
      <c r="X125" s="109"/>
      <c r="Y125" s="109"/>
      <c r="Z125" s="109"/>
      <c r="AA125" s="109"/>
      <c r="AB125" s="109"/>
      <c r="AC125" s="16"/>
      <c r="AD125" s="16"/>
      <c r="AE125" s="16"/>
      <c r="AF125" s="16"/>
      <c r="AG125" s="16"/>
    </row>
    <row r="126" spans="1:33" x14ac:dyDescent="0.2">
      <c r="A126" s="16"/>
      <c r="B126" s="16"/>
      <c r="C126" s="16"/>
      <c r="D126" s="16"/>
      <c r="E126" s="16"/>
      <c r="F126" s="109"/>
      <c r="G126" s="109"/>
      <c r="H126" s="109"/>
      <c r="I126" s="109"/>
      <c r="J126" s="109"/>
      <c r="K126" s="109"/>
      <c r="L126" s="109"/>
      <c r="M126" s="109"/>
      <c r="N126" s="109"/>
      <c r="O126" s="109"/>
      <c r="P126" s="16"/>
      <c r="Q126" s="16"/>
      <c r="R126" s="109"/>
      <c r="S126" s="109"/>
      <c r="T126" s="109"/>
      <c r="U126" s="109"/>
      <c r="V126" s="109"/>
      <c r="W126" s="109"/>
      <c r="X126" s="109"/>
      <c r="Y126" s="109"/>
      <c r="Z126" s="109"/>
      <c r="AA126" s="109"/>
      <c r="AB126" s="109"/>
      <c r="AC126" s="16"/>
      <c r="AD126" s="16"/>
      <c r="AE126" s="16"/>
      <c r="AF126" s="16"/>
      <c r="AG126" s="16"/>
    </row>
    <row r="127" spans="1:33" x14ac:dyDescent="0.2">
      <c r="A127" s="16"/>
      <c r="B127" s="16"/>
      <c r="C127" s="16"/>
      <c r="D127" s="16"/>
      <c r="E127" s="16"/>
      <c r="F127" s="109"/>
      <c r="G127" s="109"/>
      <c r="H127" s="109"/>
      <c r="I127" s="109"/>
      <c r="J127" s="109"/>
      <c r="K127" s="109"/>
      <c r="L127" s="109"/>
      <c r="M127" s="109"/>
      <c r="N127" s="109"/>
      <c r="O127" s="109"/>
      <c r="P127" s="16"/>
      <c r="Q127" s="16"/>
      <c r="R127" s="109"/>
      <c r="S127" s="109"/>
      <c r="T127" s="109"/>
      <c r="U127" s="109"/>
      <c r="V127" s="109"/>
      <c r="W127" s="109"/>
      <c r="X127" s="109"/>
      <c r="Y127" s="109"/>
      <c r="Z127" s="109"/>
      <c r="AA127" s="109"/>
      <c r="AB127" s="109"/>
      <c r="AC127" s="16"/>
      <c r="AD127" s="16"/>
      <c r="AE127" s="16"/>
      <c r="AF127" s="16"/>
      <c r="AG127" s="16"/>
    </row>
    <row r="128" spans="1:33" x14ac:dyDescent="0.2">
      <c r="A128" s="16"/>
      <c r="B128" s="16"/>
      <c r="C128" s="16"/>
      <c r="D128" s="16"/>
      <c r="E128" s="16"/>
      <c r="F128" s="109"/>
      <c r="G128" s="109"/>
      <c r="H128" s="109"/>
      <c r="I128" s="109"/>
      <c r="J128" s="109"/>
      <c r="K128" s="109"/>
      <c r="L128" s="109"/>
      <c r="M128" s="109"/>
      <c r="N128" s="109"/>
      <c r="O128" s="109"/>
      <c r="P128" s="16"/>
      <c r="Q128" s="16"/>
      <c r="R128" s="109"/>
      <c r="S128" s="109"/>
      <c r="T128" s="109"/>
      <c r="U128" s="109"/>
      <c r="V128" s="109"/>
      <c r="W128" s="109"/>
      <c r="X128" s="109"/>
      <c r="Y128" s="109"/>
      <c r="Z128" s="109"/>
      <c r="AA128" s="109"/>
      <c r="AB128" s="109"/>
      <c r="AC128" s="16"/>
      <c r="AD128" s="16"/>
      <c r="AE128" s="16"/>
      <c r="AF128" s="16"/>
      <c r="AG128" s="16"/>
    </row>
    <row r="129" spans="1:33" x14ac:dyDescent="0.2">
      <c r="A129" s="16"/>
      <c r="B129" s="16"/>
      <c r="C129" s="16"/>
      <c r="D129" s="16"/>
      <c r="E129" s="16"/>
      <c r="F129" s="109"/>
      <c r="G129" s="109"/>
      <c r="H129" s="109"/>
      <c r="I129" s="109"/>
      <c r="J129" s="109"/>
      <c r="K129" s="109"/>
      <c r="L129" s="109"/>
      <c r="M129" s="109"/>
      <c r="N129" s="109"/>
      <c r="O129" s="109"/>
      <c r="P129" s="16"/>
      <c r="Q129" s="16"/>
      <c r="R129" s="109"/>
      <c r="S129" s="109"/>
      <c r="T129" s="109"/>
      <c r="U129" s="109"/>
      <c r="V129" s="109"/>
      <c r="W129" s="109"/>
      <c r="X129" s="109"/>
      <c r="Y129" s="109"/>
      <c r="Z129" s="109"/>
      <c r="AA129" s="109"/>
      <c r="AB129" s="109"/>
      <c r="AC129" s="16"/>
      <c r="AD129" s="16"/>
      <c r="AE129" s="16"/>
      <c r="AF129" s="16"/>
      <c r="AG129" s="16"/>
    </row>
    <row r="130" spans="1:33" x14ac:dyDescent="0.2">
      <c r="A130" s="16"/>
      <c r="B130" s="16"/>
      <c r="C130" s="16"/>
      <c r="D130" s="16"/>
      <c r="E130" s="16"/>
      <c r="F130" s="109"/>
      <c r="G130" s="109"/>
      <c r="H130" s="109"/>
      <c r="I130" s="109"/>
      <c r="J130" s="109"/>
      <c r="K130" s="109"/>
      <c r="L130" s="109"/>
      <c r="M130" s="109"/>
      <c r="N130" s="109"/>
      <c r="O130" s="109"/>
      <c r="P130" s="16"/>
      <c r="Q130" s="16"/>
      <c r="R130" s="109"/>
      <c r="S130" s="109"/>
      <c r="T130" s="109"/>
      <c r="U130" s="109"/>
      <c r="V130" s="109"/>
      <c r="W130" s="109"/>
      <c r="X130" s="109"/>
      <c r="Y130" s="109"/>
      <c r="Z130" s="109"/>
      <c r="AA130" s="109"/>
      <c r="AB130" s="109"/>
      <c r="AC130" s="16"/>
      <c r="AD130" s="16"/>
      <c r="AE130" s="16"/>
      <c r="AF130" s="16"/>
      <c r="AG130" s="16"/>
    </row>
    <row r="131" spans="1:33" x14ac:dyDescent="0.2">
      <c r="A131" s="16"/>
      <c r="B131" s="16"/>
      <c r="C131" s="16"/>
      <c r="D131" s="16"/>
      <c r="E131" s="16"/>
      <c r="F131" s="109"/>
      <c r="G131" s="109"/>
      <c r="H131" s="109"/>
      <c r="I131" s="109"/>
      <c r="J131" s="109"/>
      <c r="K131" s="109"/>
      <c r="L131" s="109"/>
      <c r="M131" s="109"/>
      <c r="N131" s="109"/>
      <c r="O131" s="109"/>
      <c r="P131" s="16"/>
      <c r="Q131" s="16"/>
      <c r="R131" s="109"/>
      <c r="S131" s="109"/>
      <c r="T131" s="109"/>
      <c r="U131" s="109"/>
      <c r="V131" s="109"/>
      <c r="W131" s="109"/>
      <c r="X131" s="109"/>
      <c r="Y131" s="109"/>
      <c r="Z131" s="109"/>
      <c r="AA131" s="109"/>
      <c r="AB131" s="109"/>
      <c r="AC131" s="16"/>
      <c r="AD131" s="16"/>
      <c r="AE131" s="16"/>
      <c r="AF131" s="16"/>
      <c r="AG131" s="16"/>
    </row>
    <row r="132" spans="1:33" x14ac:dyDescent="0.2">
      <c r="A132" s="16"/>
      <c r="B132" s="16"/>
      <c r="C132" s="16"/>
      <c r="D132" s="16"/>
      <c r="E132" s="16"/>
      <c r="F132" s="109"/>
      <c r="G132" s="109"/>
      <c r="H132" s="109"/>
      <c r="I132" s="109"/>
      <c r="J132" s="109"/>
      <c r="K132" s="109"/>
      <c r="L132" s="109"/>
      <c r="M132" s="109"/>
      <c r="N132" s="109"/>
      <c r="O132" s="109"/>
      <c r="P132" s="16"/>
      <c r="Q132" s="16"/>
      <c r="R132" s="109"/>
      <c r="S132" s="109"/>
      <c r="T132" s="109"/>
      <c r="U132" s="109"/>
      <c r="V132" s="109"/>
      <c r="W132" s="109"/>
      <c r="X132" s="109"/>
      <c r="Y132" s="109"/>
      <c r="Z132" s="109"/>
      <c r="AA132" s="109"/>
      <c r="AB132" s="109"/>
      <c r="AC132" s="16"/>
      <c r="AD132" s="16"/>
      <c r="AE132" s="16"/>
      <c r="AF132" s="16"/>
      <c r="AG132" s="16"/>
    </row>
    <row r="133" spans="1:33" x14ac:dyDescent="0.2">
      <c r="A133" s="16"/>
      <c r="B133" s="16"/>
      <c r="C133" s="16"/>
      <c r="D133" s="16"/>
      <c r="E133" s="16"/>
      <c r="F133" s="109"/>
      <c r="G133" s="109"/>
      <c r="H133" s="109"/>
      <c r="I133" s="109"/>
      <c r="J133" s="109"/>
      <c r="K133" s="109"/>
      <c r="L133" s="109"/>
      <c r="M133" s="109"/>
      <c r="N133" s="109"/>
      <c r="O133" s="109"/>
      <c r="P133" s="16"/>
      <c r="Q133" s="16"/>
      <c r="R133" s="109"/>
      <c r="S133" s="109"/>
      <c r="T133" s="109"/>
      <c r="U133" s="109"/>
      <c r="V133" s="109"/>
      <c r="W133" s="109"/>
      <c r="X133" s="109"/>
      <c r="Y133" s="109"/>
      <c r="Z133" s="109"/>
      <c r="AA133" s="109"/>
      <c r="AB133" s="109"/>
      <c r="AC133" s="16"/>
      <c r="AD133" s="16"/>
      <c r="AE133" s="16"/>
      <c r="AF133" s="16"/>
      <c r="AG133" s="16"/>
    </row>
    <row r="134" spans="1:33" x14ac:dyDescent="0.2">
      <c r="A134" s="16"/>
      <c r="B134" s="16"/>
      <c r="C134" s="16"/>
      <c r="D134" s="16"/>
      <c r="E134" s="16"/>
      <c r="F134" s="109"/>
      <c r="G134" s="109"/>
      <c r="H134" s="109"/>
      <c r="I134" s="109"/>
      <c r="J134" s="109"/>
      <c r="K134" s="109"/>
      <c r="L134" s="109"/>
      <c r="M134" s="109"/>
      <c r="N134" s="109"/>
      <c r="O134" s="109"/>
      <c r="P134" s="16"/>
      <c r="Q134" s="16"/>
      <c r="R134" s="109"/>
      <c r="S134" s="109"/>
      <c r="T134" s="109"/>
      <c r="U134" s="109"/>
      <c r="V134" s="109"/>
      <c r="W134" s="109"/>
      <c r="X134" s="109"/>
      <c r="Y134" s="109"/>
      <c r="Z134" s="109"/>
      <c r="AA134" s="109"/>
      <c r="AB134" s="109"/>
      <c r="AC134" s="16"/>
      <c r="AD134" s="16"/>
      <c r="AE134" s="16"/>
      <c r="AF134" s="16"/>
      <c r="AG134" s="16"/>
    </row>
    <row r="135" spans="1:33" x14ac:dyDescent="0.2">
      <c r="A135" s="16"/>
      <c r="B135" s="16"/>
      <c r="C135" s="16"/>
      <c r="D135" s="16"/>
      <c r="E135" s="16"/>
      <c r="F135" s="109"/>
      <c r="G135" s="109"/>
      <c r="H135" s="109"/>
      <c r="I135" s="109"/>
      <c r="J135" s="109"/>
      <c r="K135" s="109"/>
      <c r="L135" s="109"/>
      <c r="M135" s="109"/>
      <c r="N135" s="109"/>
      <c r="O135" s="109"/>
      <c r="P135" s="16"/>
      <c r="Q135" s="16"/>
      <c r="R135" s="109"/>
      <c r="S135" s="109"/>
      <c r="T135" s="109"/>
      <c r="U135" s="109"/>
      <c r="V135" s="109"/>
      <c r="W135" s="109"/>
      <c r="X135" s="109"/>
      <c r="Y135" s="109"/>
      <c r="Z135" s="109"/>
      <c r="AA135" s="109"/>
      <c r="AB135" s="109"/>
      <c r="AC135" s="16"/>
      <c r="AD135" s="16"/>
      <c r="AE135" s="16"/>
      <c r="AF135" s="16"/>
      <c r="AG135" s="16"/>
    </row>
    <row r="136" spans="1:33" x14ac:dyDescent="0.2">
      <c r="A136" s="16"/>
      <c r="B136" s="16"/>
      <c r="C136" s="16"/>
      <c r="D136" s="16"/>
      <c r="E136" s="16"/>
      <c r="F136" s="109"/>
      <c r="G136" s="109"/>
      <c r="H136" s="109"/>
      <c r="I136" s="109"/>
      <c r="J136" s="109"/>
      <c r="K136" s="109"/>
      <c r="L136" s="109"/>
      <c r="M136" s="109"/>
      <c r="N136" s="109"/>
      <c r="O136" s="109"/>
      <c r="P136" s="16"/>
      <c r="Q136" s="16"/>
      <c r="R136" s="109"/>
      <c r="S136" s="109"/>
      <c r="T136" s="109"/>
      <c r="U136" s="109"/>
      <c r="V136" s="109"/>
      <c r="W136" s="109"/>
      <c r="X136" s="109"/>
      <c r="Y136" s="109"/>
      <c r="Z136" s="109"/>
      <c r="AA136" s="109"/>
      <c r="AB136" s="109"/>
      <c r="AC136" s="16"/>
      <c r="AD136" s="16"/>
      <c r="AE136" s="16"/>
      <c r="AF136" s="16"/>
      <c r="AG136" s="16"/>
    </row>
    <row r="137" spans="1:33" x14ac:dyDescent="0.2">
      <c r="A137" s="16"/>
      <c r="B137" s="16"/>
      <c r="C137" s="16"/>
      <c r="D137" s="16"/>
      <c r="E137" s="16"/>
      <c r="F137" s="109"/>
      <c r="G137" s="109"/>
      <c r="H137" s="109"/>
      <c r="I137" s="109"/>
      <c r="J137" s="109"/>
      <c r="K137" s="109"/>
      <c r="L137" s="109"/>
      <c r="M137" s="109"/>
      <c r="N137" s="109"/>
      <c r="O137" s="109"/>
      <c r="P137" s="16"/>
      <c r="Q137" s="16"/>
      <c r="R137" s="109"/>
      <c r="S137" s="109"/>
      <c r="T137" s="109"/>
      <c r="U137" s="109"/>
      <c r="V137" s="109"/>
      <c r="W137" s="109"/>
      <c r="X137" s="109"/>
      <c r="Y137" s="109"/>
      <c r="Z137" s="109"/>
      <c r="AA137" s="109"/>
      <c r="AB137" s="109"/>
      <c r="AC137" s="16"/>
      <c r="AD137" s="16"/>
      <c r="AE137" s="16"/>
      <c r="AF137" s="16"/>
      <c r="AG137" s="16"/>
    </row>
    <row r="138" spans="1:33" x14ac:dyDescent="0.2">
      <c r="A138" s="16"/>
      <c r="B138" s="16"/>
      <c r="C138" s="16"/>
      <c r="D138" s="16"/>
      <c r="E138" s="16"/>
      <c r="F138" s="109"/>
      <c r="G138" s="109"/>
      <c r="H138" s="109"/>
      <c r="I138" s="109"/>
      <c r="J138" s="109"/>
      <c r="K138" s="109"/>
      <c r="L138" s="109"/>
      <c r="M138" s="109"/>
      <c r="N138" s="109"/>
      <c r="O138" s="109"/>
      <c r="P138" s="16"/>
      <c r="Q138" s="16"/>
      <c r="R138" s="109"/>
      <c r="S138" s="109"/>
      <c r="T138" s="109"/>
      <c r="U138" s="109"/>
      <c r="V138" s="109"/>
      <c r="W138" s="109"/>
      <c r="X138" s="109"/>
      <c r="Y138" s="109"/>
      <c r="Z138" s="109"/>
      <c r="AA138" s="109"/>
      <c r="AB138" s="109"/>
      <c r="AC138" s="16"/>
      <c r="AD138" s="16"/>
      <c r="AE138" s="16"/>
      <c r="AF138" s="16"/>
      <c r="AG138" s="16"/>
    </row>
    <row r="139" spans="1:33" x14ac:dyDescent="0.2">
      <c r="A139" s="16"/>
      <c r="B139" s="16"/>
      <c r="C139" s="16"/>
      <c r="D139" s="16"/>
      <c r="E139" s="16"/>
      <c r="F139" s="109"/>
      <c r="G139" s="109"/>
      <c r="H139" s="109"/>
      <c r="I139" s="109"/>
      <c r="J139" s="109"/>
      <c r="K139" s="109"/>
      <c r="L139" s="109"/>
      <c r="M139" s="109"/>
      <c r="N139" s="109"/>
      <c r="O139" s="109"/>
      <c r="P139" s="16"/>
      <c r="Q139" s="16"/>
      <c r="R139" s="109"/>
      <c r="S139" s="109"/>
      <c r="T139" s="109"/>
      <c r="U139" s="109"/>
      <c r="V139" s="109"/>
      <c r="W139" s="109"/>
      <c r="X139" s="109"/>
      <c r="Y139" s="109"/>
      <c r="Z139" s="109"/>
      <c r="AA139" s="109"/>
      <c r="AB139" s="109"/>
      <c r="AC139" s="16"/>
      <c r="AD139" s="16"/>
      <c r="AE139" s="16"/>
      <c r="AF139" s="16"/>
      <c r="AG139" s="16"/>
    </row>
    <row r="140" spans="1:33" x14ac:dyDescent="0.2">
      <c r="A140" s="16"/>
      <c r="B140" s="16"/>
      <c r="C140" s="16"/>
      <c r="D140" s="16"/>
      <c r="E140" s="16"/>
      <c r="F140" s="109"/>
      <c r="G140" s="109"/>
      <c r="H140" s="109"/>
      <c r="I140" s="109"/>
      <c r="J140" s="109"/>
      <c r="K140" s="109"/>
      <c r="L140" s="109"/>
      <c r="M140" s="109"/>
      <c r="N140" s="109"/>
      <c r="O140" s="109"/>
      <c r="P140" s="16"/>
      <c r="Q140" s="16"/>
      <c r="R140" s="109"/>
      <c r="S140" s="109"/>
      <c r="T140" s="109"/>
      <c r="U140" s="109"/>
      <c r="V140" s="109"/>
      <c r="W140" s="109"/>
      <c r="X140" s="109"/>
      <c r="Y140" s="109"/>
      <c r="Z140" s="109"/>
      <c r="AA140" s="109"/>
      <c r="AB140" s="109"/>
      <c r="AC140" s="16"/>
      <c r="AD140" s="16"/>
      <c r="AE140" s="16"/>
      <c r="AF140" s="16"/>
      <c r="AG140" s="16"/>
    </row>
    <row r="141" spans="1:33" x14ac:dyDescent="0.2">
      <c r="A141" s="16"/>
      <c r="B141" s="16"/>
      <c r="C141" s="16"/>
      <c r="D141" s="16"/>
      <c r="E141" s="16"/>
      <c r="F141" s="109"/>
      <c r="G141" s="109"/>
      <c r="H141" s="109"/>
      <c r="I141" s="109"/>
      <c r="J141" s="109"/>
      <c r="K141" s="109"/>
      <c r="L141" s="109"/>
      <c r="M141" s="109"/>
      <c r="N141" s="109"/>
      <c r="O141" s="109"/>
      <c r="P141" s="16"/>
      <c r="Q141" s="16"/>
      <c r="R141" s="109"/>
      <c r="S141" s="109"/>
      <c r="T141" s="109"/>
      <c r="U141" s="109"/>
      <c r="V141" s="109"/>
      <c r="W141" s="109"/>
      <c r="X141" s="109"/>
      <c r="Y141" s="109"/>
      <c r="Z141" s="109"/>
      <c r="AA141" s="109"/>
      <c r="AB141" s="109"/>
      <c r="AC141" s="16"/>
      <c r="AD141" s="16"/>
      <c r="AE141" s="16"/>
      <c r="AF141" s="16"/>
      <c r="AG141" s="16"/>
    </row>
    <row r="142" spans="1:33" x14ac:dyDescent="0.2">
      <c r="A142" s="16"/>
      <c r="B142" s="16"/>
      <c r="C142" s="16"/>
      <c r="D142" s="16"/>
      <c r="E142" s="16"/>
      <c r="F142" s="109"/>
      <c r="G142" s="109"/>
      <c r="H142" s="109"/>
      <c r="I142" s="109"/>
      <c r="J142" s="109"/>
      <c r="K142" s="109"/>
      <c r="L142" s="109"/>
      <c r="M142" s="109"/>
      <c r="N142" s="109"/>
      <c r="O142" s="109"/>
      <c r="P142" s="16"/>
      <c r="Q142" s="16"/>
      <c r="R142" s="109"/>
      <c r="S142" s="109"/>
      <c r="T142" s="109"/>
      <c r="U142" s="109"/>
      <c r="V142" s="109"/>
      <c r="W142" s="109"/>
      <c r="X142" s="109"/>
      <c r="Y142" s="109"/>
      <c r="Z142" s="109"/>
      <c r="AA142" s="109"/>
      <c r="AB142" s="109"/>
      <c r="AC142" s="16"/>
      <c r="AD142" s="16"/>
      <c r="AE142" s="16"/>
      <c r="AF142" s="16"/>
      <c r="AG142" s="16"/>
    </row>
    <row r="143" spans="1:33" x14ac:dyDescent="0.2">
      <c r="A143" s="16"/>
      <c r="B143" s="16"/>
      <c r="C143" s="16"/>
      <c r="D143" s="16"/>
      <c r="E143" s="16"/>
      <c r="F143" s="109"/>
      <c r="G143" s="109"/>
      <c r="H143" s="109"/>
      <c r="I143" s="109"/>
      <c r="J143" s="109"/>
      <c r="K143" s="109"/>
      <c r="L143" s="109"/>
      <c r="M143" s="109"/>
      <c r="N143" s="109"/>
      <c r="O143" s="109"/>
      <c r="P143" s="16"/>
      <c r="Q143" s="16"/>
      <c r="R143" s="109"/>
      <c r="S143" s="109"/>
      <c r="T143" s="109"/>
      <c r="U143" s="109"/>
      <c r="V143" s="109"/>
      <c r="W143" s="109"/>
      <c r="X143" s="109"/>
      <c r="Y143" s="109"/>
      <c r="Z143" s="109"/>
      <c r="AA143" s="109"/>
      <c r="AB143" s="109"/>
      <c r="AC143" s="16"/>
      <c r="AD143" s="16"/>
      <c r="AE143" s="16"/>
      <c r="AF143" s="16"/>
      <c r="AG143" s="16"/>
    </row>
    <row r="144" spans="1:33" x14ac:dyDescent="0.2">
      <c r="A144" s="16"/>
      <c r="B144" s="16"/>
      <c r="C144" s="16"/>
      <c r="D144" s="16"/>
      <c r="E144" s="16"/>
      <c r="F144" s="109"/>
      <c r="G144" s="109"/>
      <c r="H144" s="109"/>
      <c r="I144" s="109"/>
      <c r="J144" s="109"/>
      <c r="K144" s="109"/>
      <c r="L144" s="109"/>
      <c r="M144" s="109"/>
      <c r="N144" s="109"/>
      <c r="O144" s="109"/>
      <c r="P144" s="16"/>
      <c r="Q144" s="16"/>
      <c r="R144" s="109"/>
      <c r="S144" s="109"/>
      <c r="T144" s="109"/>
      <c r="U144" s="109"/>
      <c r="V144" s="109"/>
      <c r="W144" s="109"/>
      <c r="X144" s="109"/>
      <c r="Y144" s="109"/>
      <c r="Z144" s="109"/>
      <c r="AA144" s="109"/>
      <c r="AB144" s="109"/>
      <c r="AC144" s="16"/>
      <c r="AD144" s="16"/>
      <c r="AE144" s="16"/>
      <c r="AF144" s="16"/>
      <c r="AG144" s="16"/>
    </row>
    <row r="145" spans="1:33" x14ac:dyDescent="0.2">
      <c r="A145" s="16"/>
      <c r="B145" s="16"/>
      <c r="C145" s="16"/>
      <c r="D145" s="16"/>
      <c r="E145" s="16"/>
      <c r="F145" s="109"/>
      <c r="G145" s="109"/>
      <c r="H145" s="109"/>
      <c r="I145" s="109"/>
      <c r="J145" s="109"/>
      <c r="K145" s="109"/>
      <c r="L145" s="109"/>
      <c r="M145" s="109"/>
      <c r="N145" s="109"/>
      <c r="O145" s="109"/>
      <c r="P145" s="16"/>
      <c r="Q145" s="16"/>
      <c r="R145" s="109"/>
      <c r="S145" s="109"/>
      <c r="T145" s="109"/>
      <c r="U145" s="109"/>
      <c r="V145" s="109"/>
      <c r="W145" s="109"/>
      <c r="X145" s="109"/>
      <c r="Y145" s="109"/>
      <c r="Z145" s="109"/>
      <c r="AA145" s="109"/>
      <c r="AB145" s="109"/>
      <c r="AC145" s="16"/>
      <c r="AD145" s="16"/>
      <c r="AE145" s="16"/>
      <c r="AF145" s="16"/>
      <c r="AG145" s="16"/>
    </row>
    <row r="146" spans="1:33" x14ac:dyDescent="0.2">
      <c r="A146" s="16"/>
      <c r="B146" s="16"/>
      <c r="C146" s="16"/>
      <c r="D146" s="16"/>
      <c r="E146" s="16"/>
      <c r="F146" s="109"/>
      <c r="G146" s="109"/>
      <c r="H146" s="109"/>
      <c r="I146" s="109"/>
      <c r="J146" s="109"/>
      <c r="K146" s="109"/>
      <c r="L146" s="109"/>
      <c r="M146" s="109"/>
      <c r="N146" s="109"/>
      <c r="O146" s="109"/>
      <c r="P146" s="16"/>
      <c r="Q146" s="16"/>
      <c r="R146" s="109"/>
      <c r="S146" s="109"/>
      <c r="T146" s="109"/>
      <c r="U146" s="109"/>
      <c r="V146" s="109"/>
      <c r="W146" s="109"/>
      <c r="X146" s="109"/>
      <c r="Y146" s="109"/>
      <c r="Z146" s="109"/>
      <c r="AA146" s="109"/>
      <c r="AB146" s="109"/>
      <c r="AC146" s="16"/>
      <c r="AD146" s="16"/>
      <c r="AE146" s="16"/>
      <c r="AF146" s="16"/>
      <c r="AG146" s="16"/>
    </row>
    <row r="147" spans="1:33" x14ac:dyDescent="0.2">
      <c r="A147" s="16"/>
      <c r="B147" s="16"/>
      <c r="C147" s="16"/>
      <c r="D147" s="16"/>
      <c r="E147" s="16"/>
      <c r="F147" s="109"/>
      <c r="G147" s="109"/>
      <c r="H147" s="109"/>
      <c r="I147" s="109"/>
      <c r="J147" s="109"/>
      <c r="K147" s="109"/>
      <c r="L147" s="109"/>
      <c r="M147" s="109"/>
      <c r="N147" s="109"/>
      <c r="O147" s="109"/>
      <c r="P147" s="16"/>
      <c r="Q147" s="16"/>
      <c r="R147" s="109"/>
      <c r="S147" s="109"/>
      <c r="T147" s="109"/>
      <c r="U147" s="109"/>
      <c r="V147" s="109"/>
      <c r="W147" s="109"/>
      <c r="X147" s="109"/>
      <c r="Y147" s="109"/>
      <c r="Z147" s="109"/>
      <c r="AA147" s="109"/>
      <c r="AB147" s="109"/>
      <c r="AC147" s="16"/>
      <c r="AD147" s="16"/>
      <c r="AE147" s="16"/>
      <c r="AF147" s="16"/>
      <c r="AG147" s="16"/>
    </row>
    <row r="148" spans="1:33" x14ac:dyDescent="0.2">
      <c r="A148" s="16"/>
      <c r="B148" s="16"/>
      <c r="C148" s="16"/>
      <c r="D148" s="16"/>
      <c r="E148" s="16"/>
      <c r="F148" s="109"/>
      <c r="G148" s="109"/>
      <c r="H148" s="109"/>
      <c r="I148" s="109"/>
      <c r="J148" s="109"/>
      <c r="K148" s="109"/>
      <c r="L148" s="109"/>
      <c r="M148" s="109"/>
      <c r="N148" s="109"/>
      <c r="O148" s="109"/>
      <c r="P148" s="16"/>
      <c r="Q148" s="16"/>
      <c r="R148" s="109"/>
      <c r="S148" s="109"/>
      <c r="T148" s="109"/>
      <c r="U148" s="109"/>
      <c r="V148" s="109"/>
      <c r="W148" s="109"/>
      <c r="X148" s="109"/>
      <c r="Y148" s="109"/>
      <c r="Z148" s="109"/>
      <c r="AA148" s="109"/>
      <c r="AB148" s="109"/>
      <c r="AC148" s="16"/>
      <c r="AD148" s="16"/>
      <c r="AE148" s="16"/>
      <c r="AF148" s="16"/>
      <c r="AG148" s="16"/>
    </row>
    <row r="149" spans="1:33" x14ac:dyDescent="0.2">
      <c r="A149" s="16"/>
      <c r="B149" s="16"/>
      <c r="C149" s="16"/>
      <c r="D149" s="16"/>
      <c r="E149" s="16"/>
      <c r="F149" s="109"/>
      <c r="G149" s="109"/>
      <c r="H149" s="109"/>
      <c r="I149" s="109"/>
      <c r="J149" s="109"/>
      <c r="K149" s="109"/>
      <c r="L149" s="109"/>
      <c r="M149" s="109"/>
      <c r="N149" s="109"/>
      <c r="O149" s="109"/>
      <c r="P149" s="16"/>
      <c r="Q149" s="16"/>
      <c r="R149" s="109"/>
      <c r="S149" s="109"/>
      <c r="T149" s="109"/>
      <c r="U149" s="109"/>
      <c r="V149" s="109"/>
      <c r="W149" s="109"/>
      <c r="X149" s="109"/>
      <c r="Y149" s="109"/>
      <c r="Z149" s="109"/>
      <c r="AA149" s="109"/>
      <c r="AB149" s="109"/>
      <c r="AC149" s="16"/>
      <c r="AD149" s="16"/>
      <c r="AE149" s="16"/>
      <c r="AF149" s="16"/>
      <c r="AG149" s="16"/>
    </row>
    <row r="150" spans="1:33" x14ac:dyDescent="0.2">
      <c r="A150" s="16"/>
      <c r="B150" s="16"/>
      <c r="C150" s="16"/>
      <c r="D150" s="16"/>
      <c r="E150" s="16"/>
      <c r="F150" s="109"/>
      <c r="G150" s="109"/>
      <c r="H150" s="109"/>
      <c r="I150" s="109"/>
      <c r="J150" s="109"/>
      <c r="K150" s="109"/>
      <c r="L150" s="109"/>
      <c r="M150" s="109"/>
      <c r="N150" s="109"/>
      <c r="O150" s="109"/>
      <c r="P150" s="16"/>
      <c r="Q150" s="16"/>
      <c r="R150" s="109"/>
      <c r="S150" s="109"/>
      <c r="T150" s="109"/>
      <c r="U150" s="109"/>
      <c r="V150" s="109"/>
      <c r="W150" s="109"/>
      <c r="X150" s="109"/>
      <c r="Y150" s="109"/>
      <c r="Z150" s="109"/>
      <c r="AA150" s="109"/>
      <c r="AB150" s="109"/>
      <c r="AC150" s="16"/>
      <c r="AD150" s="16"/>
      <c r="AE150" s="16"/>
      <c r="AF150" s="16"/>
      <c r="AG150" s="16"/>
    </row>
    <row r="151" spans="1:33" x14ac:dyDescent="0.2">
      <c r="A151" s="16"/>
      <c r="B151" s="16"/>
      <c r="C151" s="16"/>
      <c r="D151" s="16"/>
      <c r="E151" s="16"/>
      <c r="F151" s="109"/>
      <c r="G151" s="109"/>
      <c r="H151" s="109"/>
      <c r="I151" s="109"/>
      <c r="J151" s="109"/>
      <c r="K151" s="109"/>
      <c r="L151" s="109"/>
      <c r="M151" s="109"/>
      <c r="N151" s="109"/>
      <c r="O151" s="109"/>
      <c r="P151" s="16"/>
      <c r="Q151" s="16"/>
      <c r="R151" s="109"/>
      <c r="S151" s="109"/>
      <c r="T151" s="109"/>
      <c r="U151" s="109"/>
      <c r="V151" s="109"/>
      <c r="W151" s="109"/>
      <c r="X151" s="109"/>
      <c r="Y151" s="109"/>
      <c r="Z151" s="109"/>
      <c r="AA151" s="109"/>
      <c r="AB151" s="109"/>
      <c r="AC151" s="16"/>
      <c r="AD151" s="16"/>
      <c r="AE151" s="16"/>
      <c r="AF151" s="16"/>
      <c r="AG151" s="16"/>
    </row>
    <row r="152" spans="1:33" x14ac:dyDescent="0.2">
      <c r="A152" s="16"/>
      <c r="B152" s="16"/>
      <c r="C152" s="16"/>
      <c r="D152" s="16"/>
      <c r="E152" s="16"/>
      <c r="F152" s="109"/>
      <c r="G152" s="109"/>
      <c r="H152" s="109"/>
      <c r="I152" s="109"/>
      <c r="J152" s="109"/>
      <c r="K152" s="109"/>
      <c r="L152" s="109"/>
      <c r="M152" s="109"/>
      <c r="N152" s="109"/>
      <c r="O152" s="109"/>
      <c r="P152" s="16"/>
      <c r="Q152" s="16"/>
      <c r="R152" s="109"/>
      <c r="S152" s="109"/>
      <c r="T152" s="109"/>
      <c r="U152" s="109"/>
      <c r="V152" s="109"/>
      <c r="W152" s="109"/>
      <c r="X152" s="109"/>
      <c r="Y152" s="109"/>
      <c r="Z152" s="109"/>
      <c r="AA152" s="109"/>
      <c r="AB152" s="109"/>
      <c r="AC152" s="16"/>
      <c r="AD152" s="16"/>
      <c r="AE152" s="16"/>
      <c r="AF152" s="16"/>
      <c r="AG152" s="16"/>
    </row>
    <row r="153" spans="1:33" x14ac:dyDescent="0.2">
      <c r="A153" s="16"/>
      <c r="B153" s="16"/>
      <c r="C153" s="16"/>
      <c r="D153" s="16"/>
      <c r="E153" s="16"/>
      <c r="F153" s="109"/>
      <c r="G153" s="109"/>
      <c r="H153" s="109"/>
      <c r="I153" s="109"/>
      <c r="J153" s="109"/>
      <c r="K153" s="109"/>
      <c r="L153" s="109"/>
      <c r="M153" s="109"/>
      <c r="N153" s="109"/>
      <c r="O153" s="109"/>
      <c r="P153" s="16"/>
      <c r="Q153" s="16"/>
      <c r="R153" s="109"/>
      <c r="S153" s="109"/>
      <c r="T153" s="109"/>
      <c r="U153" s="109"/>
      <c r="V153" s="109"/>
      <c r="W153" s="109"/>
      <c r="X153" s="109"/>
      <c r="Y153" s="109"/>
      <c r="Z153" s="109"/>
      <c r="AA153" s="109"/>
      <c r="AB153" s="109"/>
      <c r="AC153" s="16"/>
      <c r="AD153" s="16"/>
      <c r="AE153" s="16"/>
      <c r="AF153" s="16"/>
      <c r="AG153" s="16"/>
    </row>
    <row r="154" spans="1:33" x14ac:dyDescent="0.2">
      <c r="A154" s="16"/>
      <c r="B154" s="16"/>
      <c r="C154" s="16"/>
      <c r="D154" s="16"/>
      <c r="E154" s="16"/>
      <c r="F154" s="109"/>
      <c r="G154" s="109"/>
      <c r="H154" s="109"/>
      <c r="I154" s="109"/>
      <c r="J154" s="109"/>
      <c r="K154" s="109"/>
      <c r="L154" s="109"/>
      <c r="M154" s="109"/>
      <c r="N154" s="109"/>
      <c r="O154" s="109"/>
      <c r="P154" s="16"/>
      <c r="Q154" s="16"/>
      <c r="R154" s="109"/>
      <c r="S154" s="109"/>
      <c r="T154" s="109"/>
      <c r="U154" s="109"/>
      <c r="V154" s="109"/>
      <c r="W154" s="109"/>
      <c r="X154" s="109"/>
      <c r="Y154" s="109"/>
      <c r="Z154" s="109"/>
      <c r="AA154" s="109"/>
      <c r="AB154" s="109"/>
      <c r="AC154" s="16"/>
      <c r="AD154" s="16"/>
      <c r="AE154" s="16"/>
      <c r="AF154" s="16"/>
      <c r="AG154" s="16"/>
    </row>
    <row r="155" spans="1:33" x14ac:dyDescent="0.2">
      <c r="A155" s="16"/>
      <c r="B155" s="16"/>
      <c r="C155" s="16"/>
      <c r="D155" s="16"/>
      <c r="E155" s="16"/>
      <c r="F155" s="109"/>
      <c r="G155" s="109"/>
      <c r="H155" s="109"/>
      <c r="I155" s="109"/>
      <c r="J155" s="109"/>
      <c r="K155" s="109"/>
      <c r="L155" s="109"/>
      <c r="M155" s="109"/>
      <c r="N155" s="109"/>
      <c r="O155" s="109"/>
      <c r="P155" s="16"/>
      <c r="Q155" s="16"/>
      <c r="R155" s="109"/>
      <c r="S155" s="109"/>
      <c r="T155" s="109"/>
      <c r="U155" s="109"/>
      <c r="V155" s="109"/>
      <c r="W155" s="109"/>
      <c r="X155" s="109"/>
      <c r="Y155" s="109"/>
      <c r="Z155" s="109"/>
      <c r="AA155" s="109"/>
      <c r="AB155" s="109"/>
      <c r="AC155" s="16"/>
      <c r="AD155" s="16"/>
      <c r="AE155" s="16"/>
      <c r="AF155" s="16"/>
      <c r="AG155" s="16"/>
    </row>
    <row r="156" spans="1:33" x14ac:dyDescent="0.2">
      <c r="A156" s="16"/>
      <c r="B156" s="16"/>
      <c r="C156" s="16"/>
      <c r="D156" s="16"/>
      <c r="E156" s="16"/>
      <c r="F156" s="109"/>
      <c r="G156" s="109"/>
      <c r="H156" s="109"/>
      <c r="I156" s="109"/>
      <c r="J156" s="109"/>
      <c r="K156" s="109"/>
      <c r="L156" s="109"/>
      <c r="M156" s="109"/>
      <c r="N156" s="109"/>
      <c r="O156" s="109"/>
      <c r="P156" s="16"/>
      <c r="Q156" s="16"/>
      <c r="R156" s="109"/>
      <c r="S156" s="109"/>
      <c r="T156" s="109"/>
      <c r="U156" s="109"/>
      <c r="V156" s="109"/>
      <c r="W156" s="109"/>
      <c r="X156" s="109"/>
      <c r="Y156" s="109"/>
      <c r="Z156" s="109"/>
      <c r="AA156" s="109"/>
      <c r="AB156" s="109"/>
      <c r="AC156" s="16"/>
      <c r="AD156" s="16"/>
      <c r="AE156" s="16"/>
      <c r="AF156" s="16"/>
      <c r="AG156" s="16"/>
    </row>
    <row r="157" spans="1:33" x14ac:dyDescent="0.2">
      <c r="A157" s="16"/>
      <c r="B157" s="16"/>
      <c r="C157" s="16"/>
      <c r="D157" s="16"/>
      <c r="E157" s="16"/>
      <c r="F157" s="109"/>
      <c r="G157" s="109"/>
      <c r="H157" s="109"/>
      <c r="I157" s="109"/>
      <c r="J157" s="109"/>
      <c r="K157" s="109"/>
      <c r="L157" s="109"/>
      <c r="M157" s="109"/>
      <c r="N157" s="109"/>
      <c r="O157" s="109"/>
      <c r="P157" s="16"/>
      <c r="Q157" s="16"/>
      <c r="R157" s="109"/>
      <c r="S157" s="109"/>
      <c r="T157" s="109"/>
      <c r="U157" s="109"/>
      <c r="V157" s="109"/>
      <c r="W157" s="109"/>
      <c r="X157" s="109"/>
      <c r="Y157" s="109"/>
      <c r="Z157" s="109"/>
      <c r="AA157" s="109"/>
      <c r="AB157" s="109"/>
      <c r="AC157" s="16"/>
      <c r="AD157" s="16"/>
      <c r="AE157" s="16"/>
      <c r="AF157" s="16"/>
      <c r="AG157" s="16"/>
    </row>
    <row r="158" spans="1:33" x14ac:dyDescent="0.2">
      <c r="A158" s="16"/>
      <c r="B158" s="16"/>
      <c r="C158" s="16"/>
      <c r="D158" s="16"/>
      <c r="E158" s="16"/>
      <c r="F158" s="109"/>
      <c r="G158" s="109"/>
      <c r="H158" s="109"/>
      <c r="I158" s="109"/>
      <c r="J158" s="109"/>
      <c r="K158" s="109"/>
      <c r="L158" s="109"/>
      <c r="M158" s="109"/>
      <c r="N158" s="109"/>
      <c r="O158" s="109"/>
      <c r="P158" s="16"/>
      <c r="Q158" s="16"/>
      <c r="R158" s="109"/>
      <c r="S158" s="109"/>
      <c r="T158" s="109"/>
      <c r="U158" s="109"/>
      <c r="V158" s="109"/>
      <c r="W158" s="109"/>
      <c r="X158" s="109"/>
      <c r="Y158" s="109"/>
      <c r="Z158" s="109"/>
      <c r="AA158" s="109"/>
      <c r="AB158" s="109"/>
      <c r="AC158" s="16"/>
      <c r="AD158" s="16"/>
      <c r="AE158" s="16"/>
      <c r="AF158" s="16"/>
      <c r="AG158" s="16"/>
    </row>
    <row r="159" spans="1:33" x14ac:dyDescent="0.2">
      <c r="A159" s="16"/>
      <c r="B159" s="16"/>
      <c r="C159" s="16"/>
      <c r="D159" s="16"/>
      <c r="E159" s="16"/>
      <c r="F159" s="109"/>
      <c r="G159" s="109"/>
      <c r="H159" s="109"/>
      <c r="I159" s="109"/>
      <c r="J159" s="109"/>
      <c r="K159" s="109"/>
      <c r="L159" s="109"/>
      <c r="M159" s="109"/>
      <c r="N159" s="109"/>
      <c r="O159" s="109"/>
      <c r="P159" s="16"/>
      <c r="Q159" s="16"/>
      <c r="R159" s="109"/>
      <c r="S159" s="109"/>
      <c r="T159" s="109"/>
      <c r="U159" s="109"/>
      <c r="V159" s="109"/>
      <c r="W159" s="109"/>
      <c r="X159" s="109"/>
      <c r="Y159" s="109"/>
      <c r="Z159" s="109"/>
      <c r="AA159" s="109"/>
      <c r="AB159" s="109"/>
      <c r="AC159" s="16"/>
      <c r="AD159" s="16"/>
      <c r="AE159" s="16"/>
      <c r="AF159" s="16"/>
      <c r="AG159" s="16"/>
    </row>
    <row r="160" spans="1:33" x14ac:dyDescent="0.2">
      <c r="A160" s="16"/>
      <c r="B160" s="16"/>
      <c r="C160" s="16"/>
      <c r="D160" s="16"/>
      <c r="E160" s="16"/>
      <c r="F160" s="109"/>
      <c r="G160" s="109"/>
      <c r="H160" s="109"/>
      <c r="I160" s="109"/>
      <c r="J160" s="109"/>
      <c r="K160" s="109"/>
      <c r="L160" s="109"/>
      <c r="M160" s="109"/>
      <c r="N160" s="109"/>
      <c r="O160" s="109"/>
      <c r="P160" s="16"/>
      <c r="Q160" s="16"/>
      <c r="R160" s="109"/>
      <c r="S160" s="109"/>
      <c r="T160" s="109"/>
      <c r="U160" s="109"/>
      <c r="V160" s="109"/>
      <c r="W160" s="109"/>
      <c r="X160" s="109"/>
      <c r="Y160" s="109"/>
      <c r="Z160" s="109"/>
      <c r="AA160" s="109"/>
      <c r="AB160" s="109"/>
      <c r="AC160" s="16"/>
      <c r="AD160" s="16"/>
      <c r="AE160" s="16"/>
      <c r="AF160" s="16"/>
      <c r="AG160" s="16"/>
    </row>
    <row r="161" spans="1:33" x14ac:dyDescent="0.2">
      <c r="A161" s="16"/>
      <c r="B161" s="16"/>
      <c r="C161" s="16"/>
      <c r="D161" s="16"/>
      <c r="E161" s="16"/>
      <c r="F161" s="109"/>
      <c r="G161" s="109"/>
      <c r="H161" s="109"/>
      <c r="I161" s="109"/>
      <c r="J161" s="109"/>
      <c r="K161" s="109"/>
      <c r="L161" s="109"/>
      <c r="M161" s="109"/>
      <c r="N161" s="109"/>
      <c r="O161" s="109"/>
      <c r="P161" s="16"/>
      <c r="Q161" s="16"/>
      <c r="R161" s="109"/>
      <c r="S161" s="109"/>
      <c r="T161" s="109"/>
      <c r="U161" s="109"/>
      <c r="V161" s="109"/>
      <c r="W161" s="109"/>
      <c r="X161" s="109"/>
      <c r="Y161" s="109"/>
      <c r="Z161" s="109"/>
      <c r="AA161" s="109"/>
      <c r="AB161" s="109"/>
      <c r="AC161" s="16"/>
      <c r="AD161" s="16"/>
      <c r="AE161" s="16"/>
      <c r="AF161" s="16"/>
      <c r="AG161" s="16"/>
    </row>
    <row r="162" spans="1:33" x14ac:dyDescent="0.2">
      <c r="A162" s="16"/>
      <c r="B162" s="16"/>
      <c r="C162" s="16"/>
      <c r="D162" s="16"/>
      <c r="E162" s="16"/>
      <c r="F162" s="109"/>
      <c r="G162" s="109"/>
      <c r="H162" s="109"/>
      <c r="I162" s="109"/>
      <c r="J162" s="109"/>
      <c r="K162" s="109"/>
      <c r="L162" s="109"/>
      <c r="M162" s="109"/>
      <c r="N162" s="109"/>
      <c r="O162" s="109"/>
      <c r="P162" s="16"/>
      <c r="Q162" s="16"/>
      <c r="R162" s="109"/>
      <c r="S162" s="109"/>
      <c r="T162" s="109"/>
      <c r="U162" s="109"/>
      <c r="V162" s="109"/>
      <c r="W162" s="109"/>
      <c r="X162" s="109"/>
      <c r="Y162" s="109"/>
      <c r="Z162" s="109"/>
      <c r="AA162" s="109"/>
      <c r="AB162" s="109"/>
      <c r="AC162" s="16"/>
      <c r="AD162" s="16"/>
      <c r="AE162" s="16"/>
      <c r="AF162" s="16"/>
      <c r="AG162" s="16"/>
    </row>
    <row r="163" spans="1:33" x14ac:dyDescent="0.2">
      <c r="A163" s="16"/>
      <c r="B163" s="16"/>
      <c r="C163" s="16"/>
      <c r="D163" s="16"/>
      <c r="E163" s="16"/>
      <c r="F163" s="109"/>
      <c r="G163" s="109"/>
      <c r="H163" s="109"/>
      <c r="I163" s="109"/>
      <c r="J163" s="109"/>
      <c r="K163" s="109"/>
      <c r="L163" s="109"/>
      <c r="M163" s="109"/>
      <c r="N163" s="109"/>
      <c r="O163" s="109"/>
      <c r="P163" s="16"/>
      <c r="Q163" s="16"/>
      <c r="R163" s="109"/>
      <c r="S163" s="109"/>
      <c r="T163" s="109"/>
      <c r="U163" s="109"/>
      <c r="V163" s="109"/>
      <c r="W163" s="109"/>
      <c r="X163" s="109"/>
      <c r="Y163" s="109"/>
      <c r="Z163" s="109"/>
      <c r="AA163" s="109"/>
      <c r="AB163" s="109"/>
      <c r="AC163" s="16"/>
      <c r="AD163" s="16"/>
      <c r="AE163" s="16"/>
      <c r="AF163" s="16"/>
      <c r="AG163" s="16"/>
    </row>
    <row r="164" spans="1:33" x14ac:dyDescent="0.2">
      <c r="A164" s="16"/>
      <c r="B164" s="16"/>
      <c r="C164" s="16"/>
      <c r="D164" s="16"/>
      <c r="E164" s="16"/>
      <c r="F164" s="109"/>
      <c r="G164" s="109"/>
      <c r="H164" s="109"/>
      <c r="I164" s="109"/>
      <c r="J164" s="109"/>
      <c r="K164" s="109"/>
      <c r="L164" s="109"/>
      <c r="M164" s="109"/>
      <c r="N164" s="109"/>
      <c r="O164" s="109"/>
      <c r="P164" s="16"/>
      <c r="Q164" s="16"/>
      <c r="R164" s="109"/>
      <c r="S164" s="109"/>
      <c r="T164" s="109"/>
      <c r="U164" s="109"/>
      <c r="V164" s="109"/>
      <c r="W164" s="109"/>
      <c r="X164" s="109"/>
      <c r="Y164" s="109"/>
      <c r="Z164" s="109"/>
      <c r="AA164" s="109"/>
      <c r="AB164" s="109"/>
      <c r="AC164" s="16"/>
      <c r="AD164" s="16"/>
      <c r="AE164" s="16"/>
      <c r="AF164" s="16"/>
      <c r="AG164" s="16"/>
    </row>
    <row r="165" spans="1:33" x14ac:dyDescent="0.2">
      <c r="A165" s="16"/>
      <c r="B165" s="16"/>
      <c r="C165" s="16"/>
      <c r="D165" s="16"/>
      <c r="E165" s="16"/>
      <c r="F165" s="109"/>
      <c r="G165" s="109"/>
      <c r="H165" s="109"/>
      <c r="I165" s="109"/>
      <c r="J165" s="109"/>
      <c r="K165" s="109"/>
      <c r="L165" s="109"/>
      <c r="M165" s="109"/>
      <c r="N165" s="109"/>
      <c r="O165" s="109"/>
      <c r="P165" s="16"/>
      <c r="Q165" s="16"/>
      <c r="R165" s="109"/>
      <c r="S165" s="109"/>
      <c r="T165" s="109"/>
      <c r="U165" s="109"/>
      <c r="V165" s="109"/>
      <c r="W165" s="109"/>
      <c r="X165" s="109"/>
      <c r="Y165" s="109"/>
      <c r="Z165" s="109"/>
      <c r="AA165" s="109"/>
      <c r="AB165" s="109"/>
      <c r="AC165" s="16"/>
      <c r="AD165" s="16"/>
      <c r="AE165" s="16"/>
      <c r="AF165" s="16"/>
      <c r="AG165" s="16"/>
    </row>
    <row r="166" spans="1:33" x14ac:dyDescent="0.2">
      <c r="A166" s="16"/>
      <c r="B166" s="16"/>
      <c r="C166" s="16"/>
      <c r="D166" s="16"/>
      <c r="E166" s="16"/>
      <c r="F166" s="109"/>
      <c r="G166" s="109"/>
      <c r="H166" s="109"/>
      <c r="I166" s="109"/>
      <c r="J166" s="109"/>
      <c r="K166" s="109"/>
      <c r="L166" s="109"/>
      <c r="M166" s="109"/>
      <c r="N166" s="109"/>
      <c r="O166" s="109"/>
      <c r="P166" s="16"/>
      <c r="Q166" s="16"/>
      <c r="R166" s="109"/>
      <c r="S166" s="109"/>
      <c r="T166" s="109"/>
      <c r="U166" s="109"/>
      <c r="V166" s="109"/>
      <c r="W166" s="109"/>
      <c r="X166" s="109"/>
      <c r="Y166" s="109"/>
      <c r="Z166" s="109"/>
      <c r="AA166" s="109"/>
      <c r="AB166" s="109"/>
      <c r="AC166" s="16"/>
      <c r="AD166" s="16"/>
      <c r="AE166" s="16"/>
      <c r="AF166" s="16"/>
      <c r="AG166" s="16"/>
    </row>
    <row r="167" spans="1:33" x14ac:dyDescent="0.2">
      <c r="A167" s="16"/>
      <c r="B167" s="16"/>
      <c r="C167" s="16"/>
      <c r="D167" s="16"/>
      <c r="E167" s="16"/>
      <c r="F167" s="109"/>
      <c r="G167" s="109"/>
      <c r="H167" s="109"/>
      <c r="I167" s="109"/>
      <c r="J167" s="109"/>
      <c r="K167" s="109"/>
      <c r="L167" s="109"/>
      <c r="M167" s="109"/>
      <c r="N167" s="109"/>
      <c r="O167" s="109"/>
      <c r="P167" s="16"/>
      <c r="Q167" s="16"/>
      <c r="R167" s="109"/>
      <c r="S167" s="109"/>
      <c r="T167" s="109"/>
      <c r="U167" s="109"/>
      <c r="V167" s="109"/>
      <c r="W167" s="109"/>
      <c r="X167" s="109"/>
      <c r="Y167" s="109"/>
      <c r="Z167" s="109"/>
      <c r="AA167" s="109"/>
      <c r="AB167" s="109"/>
      <c r="AC167" s="16"/>
      <c r="AD167" s="16"/>
      <c r="AE167" s="16"/>
      <c r="AF167" s="16"/>
      <c r="AG167" s="16"/>
    </row>
    <row r="168" spans="1:33" x14ac:dyDescent="0.2">
      <c r="A168" s="16"/>
      <c r="B168" s="16"/>
      <c r="C168" s="16"/>
      <c r="D168" s="16"/>
      <c r="E168" s="16"/>
      <c r="F168" s="109"/>
      <c r="G168" s="109"/>
      <c r="H168" s="109"/>
      <c r="I168" s="109"/>
      <c r="J168" s="109"/>
      <c r="K168" s="109"/>
      <c r="L168" s="109"/>
      <c r="M168" s="109"/>
      <c r="N168" s="109"/>
      <c r="O168" s="109"/>
      <c r="P168" s="16"/>
      <c r="Q168" s="16"/>
      <c r="R168" s="109"/>
      <c r="S168" s="109"/>
      <c r="T168" s="109"/>
      <c r="U168" s="109"/>
      <c r="V168" s="109"/>
      <c r="W168" s="109"/>
      <c r="X168" s="109"/>
      <c r="Y168" s="109"/>
      <c r="Z168" s="109"/>
      <c r="AA168" s="109"/>
      <c r="AB168" s="109"/>
      <c r="AC168" s="16"/>
      <c r="AD168" s="16"/>
      <c r="AE168" s="16"/>
      <c r="AF168" s="16"/>
      <c r="AG168" s="16"/>
    </row>
    <row r="169" spans="1:33" x14ac:dyDescent="0.2">
      <c r="A169" s="16"/>
      <c r="B169" s="16"/>
      <c r="C169" s="16"/>
      <c r="D169" s="16"/>
      <c r="E169" s="16"/>
      <c r="F169" s="109"/>
      <c r="G169" s="109"/>
      <c r="H169" s="109"/>
      <c r="I169" s="109"/>
      <c r="J169" s="109"/>
      <c r="K169" s="109"/>
      <c r="L169" s="109"/>
      <c r="M169" s="109"/>
      <c r="N169" s="109"/>
      <c r="O169" s="109"/>
      <c r="P169" s="16"/>
      <c r="Q169" s="16"/>
      <c r="R169" s="109"/>
      <c r="S169" s="109"/>
      <c r="T169" s="109"/>
      <c r="U169" s="109"/>
      <c r="V169" s="109"/>
      <c r="W169" s="109"/>
      <c r="X169" s="109"/>
      <c r="Y169" s="109"/>
      <c r="Z169" s="109"/>
      <c r="AA169" s="109"/>
      <c r="AB169" s="109"/>
      <c r="AC169" s="16"/>
      <c r="AD169" s="16"/>
      <c r="AE169" s="16"/>
      <c r="AF169" s="16"/>
      <c r="AG169" s="16"/>
    </row>
    <row r="170" spans="1:33" x14ac:dyDescent="0.2">
      <c r="A170" s="16"/>
      <c r="B170" s="16"/>
      <c r="C170" s="16"/>
      <c r="D170" s="16"/>
      <c r="E170" s="16"/>
      <c r="F170" s="109"/>
      <c r="G170" s="109"/>
      <c r="H170" s="109"/>
      <c r="I170" s="109"/>
      <c r="J170" s="109"/>
      <c r="K170" s="109"/>
      <c r="L170" s="109"/>
      <c r="M170" s="109"/>
      <c r="N170" s="109"/>
      <c r="O170" s="109"/>
      <c r="P170" s="16"/>
      <c r="Q170" s="16"/>
      <c r="R170" s="109"/>
      <c r="S170" s="109"/>
      <c r="T170" s="109"/>
      <c r="U170" s="109"/>
      <c r="V170" s="109"/>
      <c r="W170" s="109"/>
      <c r="X170" s="109"/>
      <c r="Y170" s="109"/>
      <c r="Z170" s="109"/>
      <c r="AA170" s="109"/>
      <c r="AB170" s="109"/>
      <c r="AC170" s="16"/>
      <c r="AD170" s="16"/>
      <c r="AE170" s="16"/>
      <c r="AF170" s="16"/>
      <c r="AG170" s="16"/>
    </row>
    <row r="171" spans="1:33" x14ac:dyDescent="0.2">
      <c r="A171" s="16"/>
      <c r="B171" s="16"/>
      <c r="C171" s="16"/>
      <c r="D171" s="16"/>
      <c r="E171" s="16"/>
      <c r="F171" s="109"/>
      <c r="G171" s="109"/>
      <c r="H171" s="109"/>
      <c r="I171" s="109"/>
      <c r="J171" s="109"/>
      <c r="K171" s="109"/>
      <c r="L171" s="109"/>
      <c r="M171" s="109"/>
      <c r="N171" s="109"/>
      <c r="O171" s="109"/>
      <c r="P171" s="16"/>
      <c r="Q171" s="16"/>
      <c r="R171" s="109"/>
      <c r="S171" s="109"/>
      <c r="T171" s="109"/>
      <c r="U171" s="109"/>
      <c r="V171" s="109"/>
      <c r="W171" s="109"/>
      <c r="X171" s="109"/>
      <c r="Y171" s="109"/>
      <c r="Z171" s="109"/>
      <c r="AA171" s="109"/>
      <c r="AB171" s="109"/>
      <c r="AC171" s="16"/>
      <c r="AD171" s="16"/>
      <c r="AE171" s="16"/>
      <c r="AF171" s="16"/>
      <c r="AG171" s="16"/>
    </row>
    <row r="172" spans="1:33" x14ac:dyDescent="0.2">
      <c r="A172" s="16"/>
      <c r="B172" s="16"/>
      <c r="C172" s="16"/>
      <c r="D172" s="16"/>
      <c r="E172" s="16"/>
      <c r="F172" s="109"/>
      <c r="G172" s="109"/>
      <c r="H172" s="109"/>
      <c r="I172" s="109"/>
      <c r="J172" s="109"/>
      <c r="K172" s="109"/>
      <c r="L172" s="109"/>
      <c r="M172" s="109"/>
      <c r="N172" s="109"/>
      <c r="O172" s="109"/>
      <c r="P172" s="16"/>
      <c r="Q172" s="16"/>
      <c r="R172" s="109"/>
      <c r="S172" s="109"/>
      <c r="T172" s="109"/>
      <c r="U172" s="109"/>
      <c r="V172" s="109"/>
      <c r="W172" s="109"/>
      <c r="X172" s="109"/>
      <c r="Y172" s="109"/>
      <c r="Z172" s="109"/>
      <c r="AA172" s="109"/>
      <c r="AB172" s="109"/>
      <c r="AC172" s="16"/>
      <c r="AD172" s="16"/>
      <c r="AE172" s="16"/>
      <c r="AF172" s="16"/>
      <c r="AG172" s="16"/>
    </row>
    <row r="173" spans="1:33" x14ac:dyDescent="0.2">
      <c r="A173" s="16"/>
      <c r="B173" s="16"/>
      <c r="C173" s="16"/>
      <c r="D173" s="16"/>
      <c r="E173" s="16"/>
      <c r="F173" s="109"/>
      <c r="G173" s="109"/>
      <c r="H173" s="109"/>
      <c r="I173" s="109"/>
      <c r="J173" s="109"/>
      <c r="K173" s="109"/>
      <c r="L173" s="109"/>
      <c r="M173" s="109"/>
      <c r="N173" s="109"/>
      <c r="O173" s="109"/>
      <c r="P173" s="16"/>
      <c r="Q173" s="16"/>
      <c r="R173" s="109"/>
      <c r="S173" s="109"/>
      <c r="T173" s="109"/>
      <c r="U173" s="109"/>
      <c r="V173" s="109"/>
      <c r="W173" s="109"/>
      <c r="X173" s="109"/>
      <c r="Y173" s="109"/>
      <c r="Z173" s="109"/>
      <c r="AA173" s="109"/>
      <c r="AB173" s="109"/>
      <c r="AC173" s="16"/>
      <c r="AD173" s="16"/>
      <c r="AE173" s="16"/>
      <c r="AF173" s="16"/>
      <c r="AG173" s="16"/>
    </row>
    <row r="174" spans="1:33" x14ac:dyDescent="0.2">
      <c r="A174" s="16"/>
      <c r="B174" s="16"/>
      <c r="C174" s="16"/>
      <c r="D174" s="16"/>
      <c r="E174" s="16"/>
      <c r="F174" s="109"/>
      <c r="G174" s="109"/>
      <c r="H174" s="109"/>
      <c r="I174" s="109"/>
      <c r="J174" s="109"/>
      <c r="K174" s="109"/>
      <c r="L174" s="109"/>
      <c r="M174" s="109"/>
      <c r="N174" s="109"/>
      <c r="O174" s="109"/>
      <c r="P174" s="16"/>
      <c r="Q174" s="16"/>
      <c r="R174" s="109"/>
      <c r="S174" s="109"/>
      <c r="T174" s="109"/>
      <c r="U174" s="109"/>
      <c r="V174" s="109"/>
      <c r="W174" s="109"/>
      <c r="X174" s="109"/>
      <c r="Y174" s="109"/>
      <c r="Z174" s="109"/>
      <c r="AA174" s="109"/>
      <c r="AB174" s="109"/>
      <c r="AC174" s="16"/>
      <c r="AD174" s="16"/>
      <c r="AE174" s="16"/>
      <c r="AF174" s="16"/>
      <c r="AG174" s="16"/>
    </row>
    <row r="175" spans="1:33" x14ac:dyDescent="0.2">
      <c r="A175" s="16"/>
      <c r="B175" s="16"/>
      <c r="C175" s="16"/>
      <c r="D175" s="16"/>
      <c r="E175" s="16"/>
      <c r="F175" s="109"/>
      <c r="G175" s="109"/>
      <c r="H175" s="109"/>
      <c r="I175" s="109"/>
      <c r="J175" s="109"/>
      <c r="K175" s="109"/>
      <c r="L175" s="109"/>
      <c r="M175" s="109"/>
      <c r="N175" s="109"/>
      <c r="O175" s="109"/>
      <c r="P175" s="16"/>
      <c r="Q175" s="16"/>
      <c r="R175" s="109"/>
      <c r="S175" s="109"/>
      <c r="T175" s="109"/>
      <c r="U175" s="109"/>
      <c r="V175" s="109"/>
      <c r="W175" s="109"/>
      <c r="X175" s="109"/>
      <c r="Y175" s="109"/>
      <c r="Z175" s="109"/>
      <c r="AA175" s="109"/>
      <c r="AB175" s="109"/>
      <c r="AC175" s="16"/>
      <c r="AD175" s="16"/>
      <c r="AE175" s="16"/>
      <c r="AF175" s="16"/>
      <c r="AG175" s="16"/>
    </row>
    <row r="176" spans="1:33" x14ac:dyDescent="0.2">
      <c r="A176" s="16"/>
      <c r="B176" s="16"/>
      <c r="C176" s="16"/>
      <c r="D176" s="16"/>
      <c r="E176" s="16"/>
      <c r="F176" s="109"/>
      <c r="G176" s="109"/>
      <c r="H176" s="109"/>
      <c r="I176" s="109"/>
      <c r="J176" s="109"/>
      <c r="K176" s="109"/>
      <c r="L176" s="109"/>
      <c r="M176" s="109"/>
      <c r="N176" s="109"/>
      <c r="O176" s="109"/>
      <c r="P176" s="16"/>
      <c r="Q176" s="16"/>
      <c r="R176" s="109"/>
      <c r="S176" s="109"/>
      <c r="T176" s="109"/>
      <c r="U176" s="109"/>
      <c r="V176" s="109"/>
      <c r="W176" s="109"/>
      <c r="X176" s="109"/>
      <c r="Y176" s="109"/>
      <c r="Z176" s="109"/>
      <c r="AA176" s="109"/>
      <c r="AB176" s="109"/>
      <c r="AC176" s="16"/>
      <c r="AD176" s="16"/>
      <c r="AE176" s="16"/>
      <c r="AF176" s="16"/>
      <c r="AG176" s="16"/>
    </row>
    <row r="177" spans="1:33" x14ac:dyDescent="0.2">
      <c r="A177" s="16"/>
      <c r="B177" s="16"/>
      <c r="C177" s="16"/>
      <c r="D177" s="16"/>
      <c r="E177" s="16"/>
      <c r="F177" s="109"/>
      <c r="G177" s="109"/>
      <c r="H177" s="109"/>
      <c r="I177" s="109"/>
      <c r="J177" s="109"/>
      <c r="K177" s="109"/>
      <c r="L177" s="109"/>
      <c r="M177" s="109"/>
      <c r="N177" s="109"/>
      <c r="O177" s="109"/>
      <c r="P177" s="16"/>
      <c r="Q177" s="16"/>
      <c r="R177" s="109"/>
      <c r="S177" s="109"/>
      <c r="T177" s="109"/>
      <c r="U177" s="109"/>
      <c r="V177" s="109"/>
      <c r="W177" s="109"/>
      <c r="X177" s="109"/>
      <c r="Y177" s="109"/>
      <c r="Z177" s="109"/>
      <c r="AA177" s="109"/>
      <c r="AB177" s="109"/>
      <c r="AC177" s="16"/>
      <c r="AD177" s="16"/>
      <c r="AE177" s="16"/>
      <c r="AF177" s="16"/>
      <c r="AG177" s="16"/>
    </row>
    <row r="178" spans="1:33" x14ac:dyDescent="0.2">
      <c r="A178" s="16"/>
      <c r="B178" s="16"/>
      <c r="C178" s="16"/>
      <c r="D178" s="16"/>
      <c r="E178" s="16"/>
      <c r="F178" s="109"/>
      <c r="G178" s="109"/>
      <c r="H178" s="109"/>
      <c r="I178" s="109"/>
      <c r="J178" s="109"/>
      <c r="K178" s="109"/>
      <c r="L178" s="109"/>
      <c r="M178" s="109"/>
      <c r="N178" s="109"/>
      <c r="O178" s="109"/>
      <c r="P178" s="16"/>
      <c r="Q178" s="16"/>
      <c r="R178" s="109"/>
      <c r="S178" s="109"/>
      <c r="T178" s="109"/>
      <c r="U178" s="109"/>
      <c r="V178" s="109"/>
      <c r="W178" s="109"/>
      <c r="X178" s="109"/>
      <c r="Y178" s="109"/>
      <c r="Z178" s="109"/>
      <c r="AA178" s="109"/>
      <c r="AB178" s="109"/>
      <c r="AC178" s="16"/>
      <c r="AD178" s="16"/>
      <c r="AE178" s="16"/>
      <c r="AF178" s="16"/>
      <c r="AG178" s="16"/>
    </row>
    <row r="179" spans="1:33" x14ac:dyDescent="0.2">
      <c r="A179" s="16"/>
      <c r="B179" s="16"/>
      <c r="C179" s="16"/>
      <c r="D179" s="16"/>
      <c r="E179" s="16"/>
      <c r="F179" s="109"/>
      <c r="G179" s="109"/>
      <c r="H179" s="109"/>
      <c r="I179" s="109"/>
      <c r="J179" s="109"/>
      <c r="K179" s="109"/>
      <c r="L179" s="109"/>
      <c r="M179" s="109"/>
      <c r="N179" s="109"/>
      <c r="O179" s="109"/>
      <c r="P179" s="16"/>
      <c r="Q179" s="16"/>
      <c r="R179" s="109"/>
      <c r="S179" s="109"/>
      <c r="T179" s="109"/>
      <c r="U179" s="109"/>
      <c r="V179" s="109"/>
      <c r="W179" s="109"/>
      <c r="X179" s="109"/>
      <c r="Y179" s="109"/>
      <c r="Z179" s="109"/>
      <c r="AA179" s="109"/>
      <c r="AB179" s="109"/>
      <c r="AC179" s="16"/>
      <c r="AD179" s="16"/>
      <c r="AE179" s="16"/>
      <c r="AF179" s="16"/>
      <c r="AG179" s="16"/>
    </row>
    <row r="180" spans="1:33" x14ac:dyDescent="0.2">
      <c r="A180" s="16"/>
      <c r="B180" s="16"/>
      <c r="C180" s="16"/>
      <c r="D180" s="16"/>
      <c r="E180" s="16"/>
      <c r="F180" s="109"/>
      <c r="G180" s="109"/>
      <c r="H180" s="109"/>
      <c r="I180" s="109"/>
      <c r="J180" s="109"/>
      <c r="K180" s="109"/>
      <c r="L180" s="109"/>
      <c r="M180" s="109"/>
      <c r="N180" s="109"/>
      <c r="O180" s="109"/>
      <c r="P180" s="16"/>
      <c r="Q180" s="16"/>
      <c r="R180" s="109"/>
      <c r="S180" s="109"/>
      <c r="T180" s="109"/>
      <c r="U180" s="109"/>
      <c r="V180" s="109"/>
      <c r="W180" s="109"/>
      <c r="X180" s="109"/>
      <c r="Y180" s="109"/>
      <c r="Z180" s="109"/>
      <c r="AA180" s="109"/>
      <c r="AB180" s="109"/>
      <c r="AC180" s="16"/>
      <c r="AD180" s="16"/>
      <c r="AE180" s="16"/>
      <c r="AF180" s="16"/>
      <c r="AG180" s="16"/>
    </row>
    <row r="181" spans="1:33" x14ac:dyDescent="0.2">
      <c r="A181" s="16"/>
      <c r="B181" s="16"/>
      <c r="C181" s="16"/>
      <c r="D181" s="16"/>
      <c r="E181" s="16"/>
      <c r="F181" s="109"/>
      <c r="G181" s="109"/>
      <c r="H181" s="109"/>
      <c r="I181" s="109"/>
      <c r="J181" s="109"/>
      <c r="K181" s="109"/>
      <c r="L181" s="109"/>
      <c r="M181" s="109"/>
      <c r="N181" s="109"/>
      <c r="O181" s="109"/>
      <c r="P181" s="16"/>
      <c r="Q181" s="16"/>
      <c r="R181" s="109"/>
      <c r="S181" s="109"/>
      <c r="T181" s="109"/>
      <c r="U181" s="109"/>
      <c r="V181" s="109"/>
      <c r="W181" s="109"/>
      <c r="X181" s="109"/>
      <c r="Y181" s="109"/>
      <c r="Z181" s="109"/>
      <c r="AA181" s="109"/>
      <c r="AB181" s="109"/>
      <c r="AC181" s="16"/>
      <c r="AD181" s="16"/>
      <c r="AE181" s="16"/>
      <c r="AF181" s="16"/>
      <c r="AG181" s="16"/>
    </row>
    <row r="182" spans="1:33" x14ac:dyDescent="0.2">
      <c r="A182" s="16"/>
      <c r="B182" s="16"/>
      <c r="C182" s="16"/>
      <c r="D182" s="16"/>
      <c r="E182" s="16"/>
      <c r="F182" s="109"/>
      <c r="G182" s="109"/>
      <c r="H182" s="109"/>
      <c r="I182" s="109"/>
      <c r="J182" s="109"/>
      <c r="K182" s="109"/>
      <c r="L182" s="109"/>
      <c r="M182" s="109"/>
      <c r="N182" s="109"/>
      <c r="O182" s="109"/>
      <c r="P182" s="16"/>
      <c r="Q182" s="16"/>
      <c r="R182" s="109"/>
      <c r="S182" s="109"/>
      <c r="T182" s="109"/>
      <c r="U182" s="109"/>
      <c r="V182" s="109"/>
      <c r="W182" s="109"/>
      <c r="X182" s="109"/>
      <c r="Y182" s="109"/>
      <c r="Z182" s="109"/>
      <c r="AA182" s="109"/>
      <c r="AB182" s="109"/>
      <c r="AC182" s="16"/>
      <c r="AD182" s="16"/>
      <c r="AE182" s="16"/>
      <c r="AF182" s="16"/>
      <c r="AG182" s="16"/>
    </row>
    <row r="183" spans="1:33" x14ac:dyDescent="0.2">
      <c r="A183" s="16"/>
      <c r="B183" s="16"/>
      <c r="C183" s="16"/>
      <c r="D183" s="16"/>
      <c r="E183" s="16"/>
      <c r="F183" s="109"/>
      <c r="G183" s="109"/>
      <c r="H183" s="109"/>
      <c r="I183" s="109"/>
      <c r="J183" s="109"/>
      <c r="K183" s="109"/>
      <c r="L183" s="109"/>
      <c r="M183" s="109"/>
      <c r="N183" s="109"/>
      <c r="O183" s="109"/>
      <c r="P183" s="16"/>
      <c r="Q183" s="16"/>
      <c r="R183" s="109"/>
      <c r="S183" s="109"/>
      <c r="T183" s="109"/>
      <c r="U183" s="109"/>
      <c r="V183" s="109"/>
      <c r="W183" s="109"/>
      <c r="X183" s="109"/>
      <c r="Y183" s="109"/>
      <c r="Z183" s="109"/>
      <c r="AA183" s="109"/>
      <c r="AB183" s="109"/>
      <c r="AC183" s="16"/>
      <c r="AD183" s="16"/>
      <c r="AE183" s="16"/>
      <c r="AF183" s="16"/>
      <c r="AG183" s="16"/>
    </row>
    <row r="184" spans="1:33" x14ac:dyDescent="0.2">
      <c r="A184" s="16"/>
      <c r="B184" s="16"/>
      <c r="C184" s="16"/>
      <c r="D184" s="16"/>
      <c r="E184" s="16"/>
      <c r="F184" s="109"/>
      <c r="G184" s="109"/>
      <c r="H184" s="109"/>
      <c r="I184" s="109"/>
      <c r="J184" s="109"/>
      <c r="K184" s="109"/>
      <c r="L184" s="109"/>
      <c r="M184" s="109"/>
      <c r="N184" s="109"/>
      <c r="O184" s="109"/>
      <c r="P184" s="16"/>
      <c r="Q184" s="16"/>
      <c r="R184" s="109"/>
      <c r="S184" s="109"/>
      <c r="T184" s="109"/>
      <c r="U184" s="109"/>
      <c r="V184" s="109"/>
      <c r="W184" s="109"/>
      <c r="X184" s="109"/>
      <c r="Y184" s="109"/>
      <c r="Z184" s="109"/>
      <c r="AA184" s="109"/>
      <c r="AB184" s="109"/>
      <c r="AC184" s="16"/>
      <c r="AD184" s="16"/>
      <c r="AE184" s="16"/>
      <c r="AF184" s="16"/>
      <c r="AG184" s="16"/>
    </row>
    <row r="185" spans="1:33" x14ac:dyDescent="0.2">
      <c r="A185" s="16"/>
      <c r="B185" s="16"/>
      <c r="C185" s="16"/>
      <c r="D185" s="16"/>
      <c r="E185" s="16"/>
      <c r="F185" s="109"/>
      <c r="G185" s="109"/>
      <c r="H185" s="109"/>
      <c r="I185" s="109"/>
      <c r="J185" s="109"/>
      <c r="K185" s="109"/>
      <c r="L185" s="109"/>
      <c r="M185" s="109"/>
      <c r="N185" s="109"/>
      <c r="O185" s="109"/>
      <c r="P185" s="16"/>
      <c r="Q185" s="16"/>
      <c r="R185" s="109"/>
      <c r="S185" s="109"/>
      <c r="T185" s="109"/>
      <c r="U185" s="109"/>
      <c r="V185" s="109"/>
      <c r="W185" s="109"/>
      <c r="X185" s="109"/>
      <c r="Y185" s="109"/>
      <c r="Z185" s="109"/>
      <c r="AA185" s="109"/>
      <c r="AB185" s="109"/>
      <c r="AC185" s="16"/>
      <c r="AD185" s="16"/>
      <c r="AE185" s="16"/>
      <c r="AF185" s="16"/>
      <c r="AG185" s="16"/>
    </row>
    <row r="186" spans="1:33" x14ac:dyDescent="0.2">
      <c r="A186" s="16"/>
      <c r="B186" s="16"/>
      <c r="C186" s="16"/>
      <c r="D186" s="16"/>
      <c r="E186" s="16"/>
      <c r="F186" s="109"/>
      <c r="G186" s="109"/>
      <c r="H186" s="109"/>
      <c r="I186" s="109"/>
      <c r="J186" s="109"/>
      <c r="K186" s="109"/>
      <c r="L186" s="109"/>
      <c r="M186" s="109"/>
      <c r="N186" s="109"/>
      <c r="O186" s="109"/>
      <c r="P186" s="16"/>
      <c r="Q186" s="16"/>
      <c r="R186" s="109"/>
      <c r="S186" s="109"/>
      <c r="T186" s="109"/>
      <c r="U186" s="109"/>
      <c r="V186" s="109"/>
      <c r="W186" s="109"/>
      <c r="X186" s="109"/>
      <c r="Y186" s="109"/>
      <c r="Z186" s="109"/>
      <c r="AA186" s="109"/>
      <c r="AB186" s="109"/>
      <c r="AC186" s="16"/>
      <c r="AD186" s="16"/>
      <c r="AE186" s="16"/>
      <c r="AF186" s="16"/>
      <c r="AG186" s="16"/>
    </row>
    <row r="187" spans="1:33" x14ac:dyDescent="0.2">
      <c r="A187" s="16"/>
      <c r="B187" s="16"/>
      <c r="C187" s="16"/>
      <c r="D187" s="16"/>
      <c r="E187" s="16"/>
      <c r="F187" s="109"/>
      <c r="G187" s="109"/>
      <c r="H187" s="109"/>
      <c r="I187" s="109"/>
      <c r="J187" s="109"/>
      <c r="K187" s="109"/>
      <c r="L187" s="109"/>
      <c r="M187" s="109"/>
      <c r="N187" s="109"/>
      <c r="O187" s="109"/>
      <c r="P187" s="16"/>
      <c r="Q187" s="16"/>
      <c r="R187" s="109"/>
      <c r="S187" s="109"/>
      <c r="T187" s="109"/>
      <c r="U187" s="109"/>
      <c r="V187" s="109"/>
      <c r="W187" s="109"/>
      <c r="X187" s="109"/>
      <c r="Y187" s="109"/>
      <c r="Z187" s="109"/>
      <c r="AA187" s="109"/>
      <c r="AB187" s="109"/>
      <c r="AC187" s="16"/>
      <c r="AD187" s="16"/>
      <c r="AE187" s="16"/>
      <c r="AF187" s="16"/>
      <c r="AG187" s="16"/>
    </row>
    <row r="188" spans="1:33" x14ac:dyDescent="0.2">
      <c r="A188" s="16"/>
      <c r="B188" s="16"/>
      <c r="C188" s="16"/>
      <c r="D188" s="16"/>
      <c r="E188" s="16"/>
      <c r="F188" s="109"/>
      <c r="G188" s="109"/>
      <c r="H188" s="109"/>
      <c r="I188" s="109"/>
      <c r="J188" s="109"/>
      <c r="K188" s="109"/>
      <c r="L188" s="109"/>
      <c r="M188" s="109"/>
      <c r="N188" s="109"/>
      <c r="O188" s="109"/>
      <c r="P188" s="16"/>
      <c r="Q188" s="16"/>
      <c r="R188" s="109"/>
      <c r="S188" s="109"/>
      <c r="T188" s="109"/>
      <c r="U188" s="109"/>
      <c r="V188" s="109"/>
      <c r="W188" s="109"/>
      <c r="X188" s="109"/>
      <c r="Y188" s="109"/>
      <c r="Z188" s="109"/>
      <c r="AA188" s="109"/>
      <c r="AB188" s="109"/>
      <c r="AC188" s="16"/>
      <c r="AD188" s="16"/>
      <c r="AE188" s="16"/>
      <c r="AF188" s="16"/>
      <c r="AG188" s="16"/>
    </row>
    <row r="189" spans="1:33" x14ac:dyDescent="0.2">
      <c r="A189" s="16"/>
      <c r="B189" s="16"/>
      <c r="C189" s="16"/>
      <c r="D189" s="16"/>
      <c r="E189" s="16"/>
      <c r="F189" s="109"/>
      <c r="G189" s="109"/>
      <c r="H189" s="109"/>
      <c r="I189" s="109"/>
      <c r="J189" s="109"/>
      <c r="K189" s="109"/>
      <c r="L189" s="109"/>
      <c r="M189" s="109"/>
      <c r="N189" s="109"/>
      <c r="O189" s="109"/>
      <c r="P189" s="16"/>
      <c r="Q189" s="16"/>
      <c r="R189" s="109"/>
      <c r="S189" s="109"/>
      <c r="T189" s="109"/>
      <c r="U189" s="109"/>
      <c r="V189" s="109"/>
      <c r="W189" s="109"/>
      <c r="X189" s="109"/>
      <c r="Y189" s="109"/>
      <c r="Z189" s="109"/>
      <c r="AA189" s="109"/>
      <c r="AB189" s="109"/>
      <c r="AC189" s="16"/>
      <c r="AD189" s="16"/>
      <c r="AE189" s="16"/>
      <c r="AF189" s="16"/>
      <c r="AG189" s="16"/>
    </row>
    <row r="190" spans="1:33" x14ac:dyDescent="0.2">
      <c r="A190" s="16"/>
      <c r="B190" s="16"/>
      <c r="C190" s="16"/>
      <c r="D190" s="16"/>
      <c r="E190" s="16"/>
      <c r="F190" s="109"/>
      <c r="G190" s="109"/>
      <c r="H190" s="109"/>
      <c r="I190" s="109"/>
      <c r="J190" s="109"/>
      <c r="K190" s="109"/>
      <c r="L190" s="109"/>
      <c r="M190" s="109"/>
      <c r="N190" s="109"/>
      <c r="O190" s="109"/>
      <c r="P190" s="16"/>
      <c r="Q190" s="16"/>
      <c r="R190" s="109"/>
      <c r="S190" s="109"/>
      <c r="T190" s="109"/>
      <c r="U190" s="109"/>
      <c r="V190" s="109"/>
      <c r="W190" s="109"/>
      <c r="X190" s="109"/>
      <c r="Y190" s="109"/>
      <c r="Z190" s="109"/>
      <c r="AA190" s="109"/>
      <c r="AB190" s="109"/>
      <c r="AC190" s="16"/>
      <c r="AD190" s="16"/>
      <c r="AE190" s="16"/>
      <c r="AF190" s="16"/>
      <c r="AG190" s="16"/>
    </row>
    <row r="191" spans="1:33" x14ac:dyDescent="0.2">
      <c r="A191" s="16"/>
      <c r="B191" s="16"/>
      <c r="C191" s="16"/>
      <c r="D191" s="16"/>
      <c r="E191" s="16"/>
      <c r="F191" s="109"/>
      <c r="G191" s="109"/>
      <c r="H191" s="109"/>
      <c r="I191" s="109"/>
      <c r="J191" s="109"/>
      <c r="K191" s="109"/>
      <c r="L191" s="109"/>
      <c r="M191" s="109"/>
      <c r="N191" s="109"/>
      <c r="O191" s="109"/>
      <c r="P191" s="16"/>
      <c r="Q191" s="16"/>
      <c r="R191" s="109"/>
      <c r="S191" s="109"/>
      <c r="T191" s="109"/>
      <c r="U191" s="109"/>
      <c r="V191" s="109"/>
      <c r="W191" s="109"/>
      <c r="X191" s="109"/>
      <c r="Y191" s="109"/>
      <c r="Z191" s="109"/>
      <c r="AA191" s="109"/>
      <c r="AB191" s="109"/>
      <c r="AC191" s="16"/>
      <c r="AD191" s="16"/>
      <c r="AE191" s="16"/>
      <c r="AF191" s="16"/>
      <c r="AG191" s="16"/>
    </row>
    <row r="192" spans="1:33" x14ac:dyDescent="0.2">
      <c r="A192" s="16"/>
      <c r="B192" s="16"/>
      <c r="C192" s="16"/>
      <c r="D192" s="16"/>
      <c r="E192" s="16"/>
      <c r="F192" s="109"/>
      <c r="G192" s="109"/>
      <c r="H192" s="109"/>
      <c r="I192" s="109"/>
      <c r="J192" s="109"/>
      <c r="K192" s="109"/>
      <c r="L192" s="109"/>
      <c r="M192" s="109"/>
      <c r="N192" s="109"/>
      <c r="O192" s="109"/>
      <c r="P192" s="16"/>
      <c r="Q192" s="16"/>
      <c r="R192" s="109"/>
      <c r="S192" s="109"/>
      <c r="T192" s="109"/>
      <c r="U192" s="109"/>
      <c r="V192" s="109"/>
      <c r="W192" s="109"/>
      <c r="X192" s="109"/>
      <c r="Y192" s="109"/>
      <c r="Z192" s="109"/>
      <c r="AA192" s="109"/>
      <c r="AB192" s="109"/>
      <c r="AC192" s="16"/>
      <c r="AD192" s="16"/>
      <c r="AE192" s="16"/>
      <c r="AF192" s="16"/>
      <c r="AG192" s="16"/>
    </row>
    <row r="193" spans="1:33" x14ac:dyDescent="0.2">
      <c r="A193" s="16"/>
      <c r="B193" s="16"/>
      <c r="C193" s="16"/>
      <c r="D193" s="16"/>
      <c r="E193" s="16"/>
      <c r="F193" s="109"/>
      <c r="G193" s="109"/>
      <c r="H193" s="109"/>
      <c r="I193" s="109"/>
      <c r="J193" s="109"/>
      <c r="K193" s="109"/>
      <c r="L193" s="109"/>
      <c r="M193" s="109"/>
      <c r="N193" s="109"/>
      <c r="O193" s="109"/>
      <c r="P193" s="16"/>
      <c r="Q193" s="16"/>
      <c r="R193" s="109"/>
      <c r="S193" s="109"/>
      <c r="T193" s="109"/>
      <c r="U193" s="109"/>
      <c r="V193" s="109"/>
      <c r="W193" s="109"/>
      <c r="X193" s="109"/>
      <c r="Y193" s="109"/>
      <c r="Z193" s="109"/>
      <c r="AA193" s="109"/>
      <c r="AB193" s="109"/>
      <c r="AC193" s="16"/>
      <c r="AD193" s="16"/>
      <c r="AE193" s="16"/>
      <c r="AF193" s="16"/>
      <c r="AG193" s="16"/>
    </row>
    <row r="194" spans="1:33" x14ac:dyDescent="0.2">
      <c r="A194" s="16"/>
      <c r="B194" s="16"/>
      <c r="C194" s="16"/>
      <c r="D194" s="16"/>
      <c r="E194" s="16"/>
      <c r="F194" s="109"/>
      <c r="G194" s="109"/>
      <c r="H194" s="109"/>
      <c r="I194" s="109"/>
      <c r="J194" s="109"/>
      <c r="K194" s="109"/>
      <c r="L194" s="109"/>
      <c r="M194" s="109"/>
      <c r="N194" s="109"/>
      <c r="O194" s="109"/>
      <c r="P194" s="16"/>
      <c r="Q194" s="16"/>
      <c r="R194" s="109"/>
      <c r="S194" s="109"/>
      <c r="T194" s="109"/>
      <c r="U194" s="109"/>
      <c r="V194" s="109"/>
      <c r="W194" s="109"/>
      <c r="X194" s="109"/>
      <c r="Y194" s="109"/>
      <c r="Z194" s="109"/>
      <c r="AA194" s="109"/>
      <c r="AB194" s="109"/>
      <c r="AC194" s="16"/>
      <c r="AD194" s="16"/>
      <c r="AE194" s="16"/>
      <c r="AF194" s="16"/>
      <c r="AG194" s="16"/>
    </row>
    <row r="195" spans="1:33" x14ac:dyDescent="0.2">
      <c r="A195" s="16"/>
      <c r="B195" s="16"/>
      <c r="C195" s="16"/>
      <c r="D195" s="16"/>
      <c r="E195" s="16"/>
      <c r="F195" s="109"/>
      <c r="G195" s="109"/>
      <c r="H195" s="109"/>
      <c r="I195" s="109"/>
      <c r="J195" s="109"/>
      <c r="K195" s="109"/>
      <c r="L195" s="109"/>
      <c r="M195" s="109"/>
      <c r="N195" s="109"/>
      <c r="O195" s="109"/>
      <c r="P195" s="16"/>
      <c r="Q195" s="16"/>
      <c r="R195" s="109"/>
      <c r="S195" s="109"/>
      <c r="T195" s="109"/>
      <c r="U195" s="109"/>
      <c r="V195" s="109"/>
      <c r="W195" s="109"/>
      <c r="X195" s="109"/>
      <c r="Y195" s="109"/>
      <c r="Z195" s="109"/>
      <c r="AA195" s="109"/>
      <c r="AB195" s="109"/>
      <c r="AC195" s="16"/>
      <c r="AD195" s="16"/>
      <c r="AE195" s="16"/>
      <c r="AF195" s="16"/>
      <c r="AG195" s="16"/>
    </row>
    <row r="196" spans="1:33" x14ac:dyDescent="0.2">
      <c r="A196" s="16"/>
      <c r="B196" s="16"/>
      <c r="C196" s="16"/>
      <c r="D196" s="16"/>
      <c r="E196" s="16"/>
      <c r="F196" s="109"/>
      <c r="G196" s="109"/>
      <c r="H196" s="109"/>
      <c r="I196" s="109"/>
      <c r="J196" s="109"/>
      <c r="K196" s="109"/>
      <c r="L196" s="109"/>
      <c r="M196" s="109"/>
      <c r="N196" s="109"/>
      <c r="O196" s="109"/>
      <c r="P196" s="16"/>
      <c r="Q196" s="16"/>
      <c r="R196" s="109"/>
      <c r="S196" s="109"/>
      <c r="T196" s="109"/>
      <c r="U196" s="109"/>
      <c r="V196" s="109"/>
      <c r="W196" s="109"/>
      <c r="X196" s="109"/>
      <c r="Y196" s="109"/>
      <c r="Z196" s="109"/>
      <c r="AA196" s="109"/>
      <c r="AB196" s="109"/>
      <c r="AC196" s="16"/>
      <c r="AD196" s="16"/>
      <c r="AE196" s="16"/>
      <c r="AF196" s="16"/>
      <c r="AG196" s="16"/>
    </row>
    <row r="197" spans="1:33" x14ac:dyDescent="0.2">
      <c r="A197" s="16"/>
      <c r="B197" s="16"/>
      <c r="C197" s="16"/>
      <c r="D197" s="16"/>
      <c r="E197" s="16"/>
      <c r="F197" s="109"/>
      <c r="G197" s="109"/>
      <c r="H197" s="109"/>
      <c r="I197" s="109"/>
      <c r="J197" s="109"/>
      <c r="K197" s="109"/>
      <c r="L197" s="109"/>
      <c r="M197" s="109"/>
      <c r="N197" s="109"/>
      <c r="O197" s="109"/>
      <c r="P197" s="16"/>
      <c r="Q197" s="16"/>
      <c r="R197" s="109"/>
      <c r="S197" s="109"/>
      <c r="T197" s="109"/>
      <c r="U197" s="109"/>
      <c r="V197" s="109"/>
      <c r="W197" s="109"/>
      <c r="X197" s="109"/>
      <c r="Y197" s="109"/>
      <c r="Z197" s="109"/>
      <c r="AA197" s="109"/>
      <c r="AB197" s="109"/>
      <c r="AC197" s="16"/>
      <c r="AD197" s="16"/>
      <c r="AE197" s="16"/>
      <c r="AF197" s="16"/>
      <c r="AG197" s="16"/>
    </row>
    <row r="198" spans="1:33" x14ac:dyDescent="0.2">
      <c r="A198" s="16"/>
      <c r="B198" s="16"/>
      <c r="C198" s="16"/>
      <c r="D198" s="16"/>
      <c r="E198" s="16"/>
      <c r="F198" s="109"/>
      <c r="G198" s="109"/>
      <c r="H198" s="109"/>
      <c r="I198" s="109"/>
      <c r="J198" s="109"/>
      <c r="K198" s="109"/>
      <c r="L198" s="109"/>
      <c r="M198" s="109"/>
      <c r="N198" s="109"/>
      <c r="O198" s="109"/>
      <c r="P198" s="16"/>
      <c r="Q198" s="16"/>
      <c r="R198" s="109"/>
      <c r="S198" s="109"/>
      <c r="T198" s="109"/>
      <c r="U198" s="109"/>
      <c r="V198" s="109"/>
      <c r="W198" s="109"/>
      <c r="X198" s="109"/>
      <c r="Y198" s="109"/>
      <c r="Z198" s="109"/>
      <c r="AA198" s="109"/>
      <c r="AB198" s="109"/>
      <c r="AC198" s="16"/>
      <c r="AD198" s="16"/>
      <c r="AE198" s="16"/>
      <c r="AF198" s="16"/>
      <c r="AG198" s="16"/>
    </row>
    <row r="199" spans="1:33" x14ac:dyDescent="0.2">
      <c r="A199" s="16"/>
      <c r="B199" s="16"/>
      <c r="C199" s="16"/>
      <c r="D199" s="16"/>
      <c r="E199" s="16"/>
      <c r="F199" s="109"/>
      <c r="G199" s="109"/>
      <c r="H199" s="109"/>
      <c r="I199" s="109"/>
      <c r="J199" s="109"/>
      <c r="K199" s="109"/>
      <c r="L199" s="109"/>
      <c r="M199" s="109"/>
      <c r="N199" s="109"/>
      <c r="O199" s="109"/>
      <c r="P199" s="16"/>
      <c r="Q199" s="16"/>
      <c r="R199" s="109"/>
      <c r="S199" s="109"/>
      <c r="T199" s="109"/>
      <c r="U199" s="109"/>
      <c r="V199" s="109"/>
      <c r="W199" s="109"/>
      <c r="X199" s="109"/>
      <c r="Y199" s="109"/>
      <c r="Z199" s="109"/>
      <c r="AA199" s="109"/>
      <c r="AB199" s="109"/>
      <c r="AC199" s="16"/>
      <c r="AD199" s="16"/>
      <c r="AE199" s="16"/>
      <c r="AF199" s="16"/>
      <c r="AG199" s="16"/>
    </row>
    <row r="200" spans="1:33" x14ac:dyDescent="0.2">
      <c r="A200" s="16"/>
      <c r="B200" s="16"/>
      <c r="C200" s="16"/>
      <c r="D200" s="16"/>
      <c r="E200" s="16"/>
      <c r="F200" s="109"/>
      <c r="G200" s="109"/>
      <c r="H200" s="109"/>
      <c r="I200" s="109"/>
      <c r="J200" s="109"/>
      <c r="K200" s="109"/>
      <c r="L200" s="109"/>
      <c r="M200" s="109"/>
      <c r="N200" s="109"/>
      <c r="O200" s="109"/>
      <c r="P200" s="16"/>
      <c r="Q200" s="16"/>
      <c r="R200" s="109"/>
      <c r="S200" s="109"/>
      <c r="T200" s="109"/>
      <c r="U200" s="109"/>
      <c r="V200" s="109"/>
      <c r="W200" s="109"/>
      <c r="X200" s="109"/>
      <c r="Y200" s="109"/>
      <c r="Z200" s="109"/>
      <c r="AA200" s="109"/>
      <c r="AB200" s="109"/>
      <c r="AC200" s="16"/>
      <c r="AD200" s="16"/>
      <c r="AE200" s="16"/>
      <c r="AF200" s="16"/>
      <c r="AG200" s="16"/>
    </row>
    <row r="201" spans="1:33" x14ac:dyDescent="0.2">
      <c r="A201" s="16"/>
      <c r="B201" s="16"/>
      <c r="C201" s="16"/>
      <c r="D201" s="16"/>
      <c r="E201" s="16"/>
      <c r="F201" s="109"/>
      <c r="G201" s="109"/>
      <c r="H201" s="109"/>
      <c r="I201" s="109"/>
      <c r="J201" s="109"/>
      <c r="K201" s="109"/>
      <c r="L201" s="109"/>
      <c r="M201" s="109"/>
      <c r="N201" s="109"/>
      <c r="O201" s="109"/>
      <c r="P201" s="16"/>
      <c r="Q201" s="16"/>
      <c r="R201" s="109"/>
      <c r="S201" s="109"/>
      <c r="T201" s="109"/>
      <c r="U201" s="109"/>
      <c r="V201" s="109"/>
      <c r="W201" s="109"/>
      <c r="X201" s="109"/>
      <c r="Y201" s="109"/>
      <c r="Z201" s="109"/>
      <c r="AA201" s="109"/>
      <c r="AB201" s="109"/>
      <c r="AC201" s="16"/>
      <c r="AD201" s="16"/>
      <c r="AE201" s="16"/>
      <c r="AF201" s="16"/>
      <c r="AG201" s="16"/>
    </row>
    <row r="202" spans="1:33" x14ac:dyDescent="0.2">
      <c r="A202" s="16"/>
      <c r="B202" s="16"/>
      <c r="C202" s="16"/>
      <c r="D202" s="16"/>
      <c r="E202" s="16"/>
      <c r="F202" s="109"/>
      <c r="G202" s="109"/>
      <c r="H202" s="109"/>
      <c r="I202" s="109"/>
      <c r="J202" s="109"/>
      <c r="K202" s="109"/>
      <c r="L202" s="109"/>
      <c r="M202" s="109"/>
      <c r="N202" s="109"/>
      <c r="O202" s="109"/>
      <c r="P202" s="16"/>
      <c r="Q202" s="16"/>
      <c r="R202" s="109"/>
      <c r="S202" s="109"/>
      <c r="T202" s="109"/>
      <c r="U202" s="109"/>
      <c r="V202" s="109"/>
      <c r="W202" s="109"/>
      <c r="X202" s="109"/>
      <c r="Y202" s="109"/>
      <c r="Z202" s="109"/>
      <c r="AA202" s="109"/>
      <c r="AB202" s="109"/>
      <c r="AC202" s="16"/>
      <c r="AD202" s="16"/>
      <c r="AE202" s="16"/>
      <c r="AF202" s="16"/>
      <c r="AG202" s="16"/>
    </row>
    <row r="203" spans="1:33" x14ac:dyDescent="0.2">
      <c r="A203" s="16"/>
      <c r="B203" s="16"/>
      <c r="C203" s="16"/>
      <c r="D203" s="16"/>
      <c r="E203" s="16"/>
      <c r="F203" s="109"/>
      <c r="G203" s="109"/>
      <c r="H203" s="109"/>
      <c r="I203" s="109"/>
      <c r="J203" s="109"/>
      <c r="K203" s="109"/>
      <c r="L203" s="109"/>
      <c r="M203" s="109"/>
      <c r="N203" s="109"/>
      <c r="O203" s="109"/>
      <c r="P203" s="16"/>
      <c r="Q203" s="16"/>
      <c r="R203" s="109"/>
      <c r="S203" s="109"/>
      <c r="T203" s="109"/>
      <c r="U203" s="109"/>
      <c r="V203" s="109"/>
      <c r="W203" s="109"/>
      <c r="X203" s="109"/>
      <c r="Y203" s="109"/>
      <c r="Z203" s="109"/>
      <c r="AA203" s="109"/>
      <c r="AB203" s="109"/>
      <c r="AC203" s="16"/>
      <c r="AD203" s="16"/>
      <c r="AE203" s="16"/>
      <c r="AF203" s="16"/>
      <c r="AG203" s="16"/>
    </row>
    <row r="204" spans="1:33" x14ac:dyDescent="0.2">
      <c r="A204" s="16"/>
      <c r="B204" s="16"/>
      <c r="C204" s="16"/>
      <c r="D204" s="16"/>
      <c r="E204" s="16"/>
      <c r="F204" s="109"/>
      <c r="G204" s="109"/>
      <c r="H204" s="109"/>
      <c r="I204" s="109"/>
      <c r="J204" s="109"/>
      <c r="K204" s="109"/>
      <c r="L204" s="109"/>
      <c r="M204" s="109"/>
      <c r="N204" s="109"/>
      <c r="O204" s="109"/>
      <c r="P204" s="16"/>
      <c r="Q204" s="16"/>
      <c r="R204" s="109"/>
      <c r="S204" s="109"/>
      <c r="T204" s="109"/>
      <c r="U204" s="109"/>
      <c r="V204" s="109"/>
      <c r="W204" s="109"/>
      <c r="X204" s="109"/>
      <c r="Y204" s="109"/>
      <c r="Z204" s="109"/>
      <c r="AA204" s="109"/>
      <c r="AB204" s="109"/>
      <c r="AC204" s="16"/>
      <c r="AD204" s="16"/>
      <c r="AE204" s="16"/>
      <c r="AF204" s="16"/>
      <c r="AG204" s="16"/>
    </row>
    <row r="205" spans="1:33" x14ac:dyDescent="0.2">
      <c r="A205" s="16"/>
      <c r="B205" s="16"/>
      <c r="C205" s="16"/>
      <c r="D205" s="16"/>
      <c r="E205" s="16"/>
      <c r="F205" s="109"/>
      <c r="G205" s="109"/>
      <c r="H205" s="109"/>
      <c r="I205" s="109"/>
      <c r="J205" s="109"/>
      <c r="K205" s="109"/>
      <c r="L205" s="109"/>
      <c r="M205" s="109"/>
      <c r="N205" s="109"/>
      <c r="O205" s="109"/>
      <c r="P205" s="16"/>
      <c r="Q205" s="16"/>
      <c r="R205" s="109"/>
      <c r="S205" s="109"/>
      <c r="T205" s="109"/>
      <c r="U205" s="109"/>
      <c r="V205" s="109"/>
      <c r="W205" s="109"/>
      <c r="X205" s="109"/>
      <c r="Y205" s="109"/>
      <c r="Z205" s="109"/>
      <c r="AA205" s="109"/>
      <c r="AB205" s="109"/>
      <c r="AC205" s="16"/>
      <c r="AD205" s="16"/>
      <c r="AE205" s="16"/>
      <c r="AF205" s="16"/>
      <c r="AG205" s="16"/>
    </row>
    <row r="206" spans="1:33" x14ac:dyDescent="0.2">
      <c r="A206" s="16"/>
      <c r="B206" s="16"/>
      <c r="C206" s="16"/>
      <c r="D206" s="16"/>
      <c r="E206" s="16"/>
      <c r="F206" s="109"/>
      <c r="G206" s="109"/>
      <c r="H206" s="109"/>
      <c r="I206" s="109"/>
      <c r="J206" s="109"/>
      <c r="K206" s="109"/>
      <c r="L206" s="109"/>
      <c r="M206" s="109"/>
      <c r="N206" s="109"/>
      <c r="O206" s="109"/>
      <c r="P206" s="16"/>
      <c r="Q206" s="16"/>
      <c r="R206" s="109"/>
      <c r="S206" s="109"/>
      <c r="T206" s="109"/>
      <c r="U206" s="109"/>
      <c r="V206" s="109"/>
      <c r="W206" s="109"/>
      <c r="X206" s="109"/>
      <c r="Y206" s="109"/>
      <c r="Z206" s="109"/>
      <c r="AA206" s="109"/>
      <c r="AB206" s="109"/>
      <c r="AC206" s="16"/>
      <c r="AD206" s="16"/>
      <c r="AE206" s="16"/>
      <c r="AF206" s="16"/>
      <c r="AG206" s="16"/>
    </row>
    <row r="207" spans="1:33" x14ac:dyDescent="0.2">
      <c r="A207" s="16"/>
      <c r="B207" s="16"/>
      <c r="C207" s="16"/>
      <c r="D207" s="16"/>
      <c r="E207" s="16"/>
      <c r="F207" s="109"/>
      <c r="G207" s="109"/>
      <c r="H207" s="109"/>
      <c r="I207" s="109"/>
      <c r="J207" s="109"/>
      <c r="K207" s="109"/>
      <c r="L207" s="109"/>
      <c r="M207" s="109"/>
      <c r="N207" s="109"/>
      <c r="O207" s="109"/>
      <c r="P207" s="16"/>
      <c r="Q207" s="16"/>
      <c r="R207" s="109"/>
      <c r="S207" s="109"/>
      <c r="T207" s="109"/>
      <c r="U207" s="109"/>
      <c r="V207" s="109"/>
      <c r="W207" s="109"/>
      <c r="X207" s="109"/>
      <c r="Y207" s="109"/>
      <c r="Z207" s="109"/>
      <c r="AA207" s="109"/>
      <c r="AB207" s="109"/>
      <c r="AC207" s="16"/>
      <c r="AD207" s="16"/>
      <c r="AE207" s="16"/>
      <c r="AF207" s="16"/>
      <c r="AG207" s="16"/>
    </row>
    <row r="208" spans="1:33" x14ac:dyDescent="0.2">
      <c r="A208" s="16"/>
      <c r="B208" s="16"/>
      <c r="C208" s="16"/>
      <c r="D208" s="16"/>
      <c r="E208" s="16"/>
      <c r="F208" s="109"/>
      <c r="G208" s="109"/>
      <c r="H208" s="109"/>
      <c r="I208" s="109"/>
      <c r="J208" s="109"/>
      <c r="K208" s="109"/>
      <c r="L208" s="109"/>
      <c r="M208" s="109"/>
      <c r="N208" s="109"/>
      <c r="O208" s="109"/>
      <c r="P208" s="16"/>
      <c r="Q208" s="16"/>
      <c r="R208" s="109"/>
      <c r="S208" s="109"/>
      <c r="T208" s="109"/>
      <c r="U208" s="109"/>
      <c r="V208" s="109"/>
      <c r="W208" s="109"/>
      <c r="X208" s="109"/>
      <c r="Y208" s="109"/>
      <c r="Z208" s="109"/>
      <c r="AA208" s="109"/>
      <c r="AB208" s="109"/>
      <c r="AC208" s="16"/>
      <c r="AD208" s="16"/>
      <c r="AE208" s="16"/>
      <c r="AF208" s="16"/>
      <c r="AG208" s="16"/>
    </row>
    <row r="209" spans="1:33" x14ac:dyDescent="0.2">
      <c r="A209" s="16"/>
      <c r="B209" s="16"/>
      <c r="C209" s="16"/>
      <c r="D209" s="16"/>
      <c r="E209" s="16"/>
      <c r="F209" s="109"/>
      <c r="G209" s="109"/>
      <c r="H209" s="109"/>
      <c r="I209" s="109"/>
      <c r="J209" s="109"/>
      <c r="K209" s="109"/>
      <c r="L209" s="109"/>
      <c r="M209" s="109"/>
      <c r="N209" s="109"/>
      <c r="O209" s="109"/>
      <c r="P209" s="16"/>
      <c r="Q209" s="16"/>
      <c r="R209" s="109"/>
      <c r="S209" s="109"/>
      <c r="T209" s="109"/>
      <c r="U209" s="109"/>
      <c r="V209" s="109"/>
      <c r="W209" s="109"/>
      <c r="X209" s="109"/>
      <c r="Y209" s="109"/>
      <c r="Z209" s="109"/>
      <c r="AA209" s="109"/>
      <c r="AB209" s="109"/>
      <c r="AC209" s="16"/>
      <c r="AD209" s="16"/>
      <c r="AE209" s="16"/>
      <c r="AF209" s="16"/>
      <c r="AG209" s="16"/>
    </row>
    <row r="210" spans="1:33" x14ac:dyDescent="0.2">
      <c r="A210" s="16"/>
      <c r="B210" s="16"/>
      <c r="C210" s="16"/>
      <c r="D210" s="16"/>
      <c r="E210" s="16"/>
      <c r="F210" s="109"/>
      <c r="G210" s="109"/>
      <c r="H210" s="109"/>
      <c r="I210" s="109"/>
      <c r="J210" s="109"/>
      <c r="K210" s="109"/>
      <c r="L210" s="109"/>
      <c r="M210" s="109"/>
      <c r="N210" s="109"/>
      <c r="O210" s="109"/>
      <c r="P210" s="16"/>
      <c r="Q210" s="16"/>
      <c r="R210" s="109"/>
      <c r="S210" s="109"/>
      <c r="T210" s="109"/>
      <c r="U210" s="109"/>
      <c r="V210" s="109"/>
      <c r="W210" s="109"/>
      <c r="X210" s="109"/>
      <c r="Y210" s="109"/>
      <c r="Z210" s="109"/>
      <c r="AA210" s="109"/>
      <c r="AB210" s="109"/>
      <c r="AC210" s="16"/>
      <c r="AD210" s="16"/>
      <c r="AE210" s="16"/>
      <c r="AF210" s="16"/>
      <c r="AG210" s="16"/>
    </row>
    <row r="211" spans="1:33" x14ac:dyDescent="0.2">
      <c r="A211" s="16"/>
      <c r="B211" s="16"/>
      <c r="C211" s="16"/>
      <c r="D211" s="16"/>
      <c r="E211" s="16"/>
      <c r="F211" s="109"/>
      <c r="G211" s="109"/>
      <c r="H211" s="109"/>
      <c r="I211" s="109"/>
      <c r="J211" s="109"/>
      <c r="K211" s="109"/>
      <c r="L211" s="109"/>
      <c r="M211" s="109"/>
      <c r="N211" s="109"/>
      <c r="O211" s="109"/>
      <c r="P211" s="16"/>
      <c r="Q211" s="16"/>
      <c r="R211" s="109"/>
      <c r="S211" s="109"/>
      <c r="T211" s="109"/>
      <c r="U211" s="109"/>
      <c r="V211" s="109"/>
      <c r="W211" s="109"/>
      <c r="X211" s="109"/>
      <c r="Y211" s="109"/>
      <c r="Z211" s="109"/>
      <c r="AA211" s="109"/>
      <c r="AB211" s="109"/>
      <c r="AC211" s="16"/>
      <c r="AD211" s="16"/>
      <c r="AE211" s="16"/>
      <c r="AF211" s="16"/>
      <c r="AG211" s="16"/>
    </row>
    <row r="212" spans="1:33" x14ac:dyDescent="0.2">
      <c r="A212" s="16"/>
      <c r="B212" s="16"/>
      <c r="C212" s="16"/>
      <c r="D212" s="16"/>
      <c r="E212" s="16"/>
      <c r="F212" s="109"/>
      <c r="G212" s="109"/>
      <c r="H212" s="109"/>
      <c r="I212" s="109"/>
      <c r="J212" s="109"/>
      <c r="K212" s="109"/>
      <c r="L212" s="109"/>
      <c r="M212" s="109"/>
      <c r="N212" s="109"/>
      <c r="O212" s="109"/>
      <c r="P212" s="16"/>
      <c r="Q212" s="16"/>
      <c r="R212" s="109"/>
      <c r="S212" s="109"/>
      <c r="T212" s="109"/>
      <c r="U212" s="109"/>
      <c r="V212" s="109"/>
      <c r="W212" s="109"/>
      <c r="X212" s="109"/>
      <c r="Y212" s="109"/>
      <c r="Z212" s="109"/>
      <c r="AA212" s="109"/>
      <c r="AB212" s="109"/>
      <c r="AC212" s="16"/>
      <c r="AD212" s="16"/>
      <c r="AE212" s="16"/>
      <c r="AF212" s="16"/>
      <c r="AG212" s="16"/>
    </row>
    <row r="213" spans="1:33" x14ac:dyDescent="0.2">
      <c r="A213" s="16"/>
      <c r="B213" s="16"/>
      <c r="C213" s="16"/>
      <c r="D213" s="16"/>
      <c r="E213" s="16"/>
      <c r="F213" s="109"/>
      <c r="G213" s="109"/>
      <c r="H213" s="109"/>
      <c r="I213" s="109"/>
      <c r="J213" s="109"/>
      <c r="K213" s="109"/>
      <c r="L213" s="109"/>
      <c r="M213" s="109"/>
      <c r="N213" s="109"/>
      <c r="O213" s="109"/>
      <c r="P213" s="16"/>
      <c r="Q213" s="16"/>
      <c r="R213" s="109"/>
      <c r="S213" s="109"/>
      <c r="T213" s="109"/>
      <c r="U213" s="109"/>
      <c r="V213" s="109"/>
      <c r="W213" s="109"/>
      <c r="X213" s="109"/>
      <c r="Y213" s="109"/>
      <c r="Z213" s="109"/>
      <c r="AA213" s="109"/>
      <c r="AB213" s="109"/>
      <c r="AC213" s="16"/>
      <c r="AD213" s="16"/>
      <c r="AE213" s="16"/>
      <c r="AF213" s="16"/>
      <c r="AG213" s="16"/>
    </row>
    <row r="214" spans="1:33" x14ac:dyDescent="0.2">
      <c r="A214" s="16"/>
      <c r="B214" s="16"/>
      <c r="C214" s="16"/>
      <c r="D214" s="16"/>
      <c r="E214" s="16"/>
      <c r="F214" s="109"/>
      <c r="G214" s="109"/>
      <c r="H214" s="109"/>
      <c r="I214" s="109"/>
      <c r="J214" s="109"/>
      <c r="K214" s="109"/>
      <c r="L214" s="109"/>
      <c r="M214" s="109"/>
      <c r="N214" s="109"/>
      <c r="O214" s="109"/>
      <c r="P214" s="16"/>
      <c r="Q214" s="16"/>
      <c r="R214" s="109"/>
      <c r="S214" s="109"/>
      <c r="T214" s="109"/>
      <c r="U214" s="109"/>
      <c r="V214" s="109"/>
      <c r="W214" s="109"/>
      <c r="X214" s="109"/>
      <c r="Y214" s="109"/>
      <c r="Z214" s="109"/>
      <c r="AA214" s="109"/>
      <c r="AB214" s="109"/>
      <c r="AC214" s="16"/>
      <c r="AD214" s="16"/>
      <c r="AE214" s="16"/>
      <c r="AF214" s="16"/>
      <c r="AG214" s="16"/>
    </row>
    <row r="215" spans="1:33" x14ac:dyDescent="0.2">
      <c r="A215" s="16"/>
      <c r="B215" s="16"/>
      <c r="C215" s="16"/>
      <c r="D215" s="16"/>
      <c r="E215" s="16"/>
      <c r="F215" s="109"/>
      <c r="G215" s="109"/>
      <c r="H215" s="109"/>
      <c r="I215" s="109"/>
      <c r="J215" s="109"/>
      <c r="K215" s="109"/>
      <c r="L215" s="109"/>
      <c r="M215" s="109"/>
      <c r="N215" s="109"/>
      <c r="O215" s="109"/>
      <c r="P215" s="16"/>
      <c r="Q215" s="16"/>
      <c r="R215" s="109"/>
      <c r="S215" s="109"/>
      <c r="T215" s="109"/>
      <c r="U215" s="109"/>
      <c r="V215" s="109"/>
      <c r="W215" s="109"/>
      <c r="X215" s="109"/>
      <c r="Y215" s="109"/>
      <c r="Z215" s="109"/>
      <c r="AA215" s="109"/>
      <c r="AB215" s="109"/>
      <c r="AC215" s="16"/>
      <c r="AD215" s="16"/>
      <c r="AE215" s="16"/>
      <c r="AF215" s="16"/>
      <c r="AG215" s="16"/>
    </row>
    <row r="216" spans="1:33" x14ac:dyDescent="0.2">
      <c r="A216" s="16"/>
      <c r="B216" s="16"/>
      <c r="C216" s="16"/>
      <c r="D216" s="16"/>
      <c r="E216" s="16"/>
      <c r="F216" s="109"/>
      <c r="G216" s="109"/>
      <c r="H216" s="109"/>
      <c r="I216" s="109"/>
      <c r="J216" s="109"/>
      <c r="K216" s="109"/>
      <c r="L216" s="109"/>
      <c r="M216" s="109"/>
      <c r="N216" s="109"/>
      <c r="O216" s="109"/>
      <c r="P216" s="16"/>
      <c r="Q216" s="16"/>
      <c r="R216" s="109"/>
      <c r="S216" s="109"/>
      <c r="T216" s="109"/>
      <c r="U216" s="109"/>
      <c r="V216" s="109"/>
      <c r="W216" s="109"/>
      <c r="X216" s="109"/>
      <c r="Y216" s="109"/>
      <c r="Z216" s="109"/>
      <c r="AA216" s="109"/>
      <c r="AB216" s="109"/>
      <c r="AC216" s="16"/>
      <c r="AD216" s="16"/>
      <c r="AE216" s="16"/>
      <c r="AF216" s="16"/>
      <c r="AG216" s="16"/>
    </row>
    <row r="217" spans="1:33" x14ac:dyDescent="0.2">
      <c r="A217" s="16"/>
      <c r="B217" s="16"/>
      <c r="C217" s="16"/>
      <c r="D217" s="16"/>
      <c r="E217" s="16"/>
      <c r="F217" s="109"/>
      <c r="G217" s="109"/>
      <c r="H217" s="109"/>
      <c r="I217" s="109"/>
      <c r="J217" s="109"/>
      <c r="K217" s="109"/>
      <c r="L217" s="109"/>
      <c r="M217" s="109"/>
      <c r="N217" s="109"/>
      <c r="O217" s="109"/>
      <c r="P217" s="16"/>
      <c r="Q217" s="16"/>
      <c r="R217" s="109"/>
      <c r="S217" s="109"/>
      <c r="T217" s="109"/>
      <c r="U217" s="109"/>
      <c r="V217" s="109"/>
      <c r="W217" s="109"/>
      <c r="X217" s="109"/>
      <c r="Y217" s="109"/>
      <c r="Z217" s="109"/>
      <c r="AA217" s="109"/>
      <c r="AB217" s="109"/>
      <c r="AC217" s="16"/>
      <c r="AD217" s="16"/>
      <c r="AE217" s="16"/>
      <c r="AF217" s="16"/>
      <c r="AG217" s="16"/>
    </row>
    <row r="218" spans="1:33" x14ac:dyDescent="0.2">
      <c r="A218" s="16"/>
      <c r="B218" s="16"/>
      <c r="C218" s="16"/>
      <c r="D218" s="16"/>
      <c r="E218" s="16"/>
      <c r="F218" s="109"/>
      <c r="G218" s="109"/>
      <c r="H218" s="109"/>
      <c r="I218" s="109"/>
      <c r="J218" s="109"/>
      <c r="K218" s="109"/>
      <c r="L218" s="109"/>
      <c r="M218" s="109"/>
      <c r="N218" s="109"/>
      <c r="O218" s="109"/>
      <c r="P218" s="16"/>
      <c r="Q218" s="16"/>
      <c r="R218" s="109"/>
      <c r="S218" s="109"/>
      <c r="T218" s="109"/>
      <c r="U218" s="109"/>
      <c r="V218" s="109"/>
      <c r="W218" s="109"/>
      <c r="X218" s="109"/>
      <c r="Y218" s="109"/>
      <c r="Z218" s="109"/>
      <c r="AA218" s="109"/>
      <c r="AB218" s="109"/>
      <c r="AC218" s="16"/>
      <c r="AD218" s="16"/>
      <c r="AE218" s="16"/>
      <c r="AF218" s="16"/>
      <c r="AG218" s="16"/>
    </row>
    <row r="219" spans="1:33" x14ac:dyDescent="0.2">
      <c r="A219" s="16"/>
      <c r="B219" s="16"/>
      <c r="C219" s="16"/>
      <c r="D219" s="16"/>
      <c r="E219" s="16"/>
      <c r="F219" s="109"/>
      <c r="G219" s="109"/>
      <c r="H219" s="109"/>
      <c r="I219" s="109"/>
      <c r="J219" s="109"/>
      <c r="K219" s="109"/>
      <c r="L219" s="109"/>
      <c r="M219" s="109"/>
      <c r="N219" s="109"/>
      <c r="O219" s="109"/>
      <c r="P219" s="16"/>
      <c r="Q219" s="16"/>
      <c r="R219" s="109"/>
      <c r="S219" s="109"/>
      <c r="T219" s="109"/>
      <c r="U219" s="109"/>
      <c r="V219" s="109"/>
      <c r="W219" s="109"/>
      <c r="X219" s="109"/>
      <c r="Y219" s="109"/>
      <c r="Z219" s="109"/>
      <c r="AA219" s="109"/>
      <c r="AB219" s="109"/>
      <c r="AC219" s="16"/>
      <c r="AD219" s="16"/>
      <c r="AE219" s="16"/>
      <c r="AF219" s="16"/>
      <c r="AG219" s="16"/>
    </row>
    <row r="220" spans="1:33" x14ac:dyDescent="0.2">
      <c r="A220" s="16"/>
      <c r="B220" s="16"/>
      <c r="C220" s="16"/>
      <c r="D220" s="16"/>
      <c r="E220" s="16"/>
      <c r="F220" s="109"/>
      <c r="G220" s="109"/>
      <c r="H220" s="109"/>
      <c r="I220" s="109"/>
      <c r="J220" s="109"/>
      <c r="K220" s="109"/>
      <c r="L220" s="109"/>
      <c r="M220" s="109"/>
      <c r="N220" s="109"/>
      <c r="O220" s="109"/>
      <c r="P220" s="16"/>
      <c r="Q220" s="16"/>
      <c r="R220" s="109"/>
      <c r="S220" s="109"/>
      <c r="T220" s="109"/>
      <c r="U220" s="109"/>
      <c r="V220" s="109"/>
      <c r="W220" s="109"/>
      <c r="X220" s="109"/>
      <c r="Y220" s="109"/>
      <c r="Z220" s="109"/>
      <c r="AA220" s="109"/>
      <c r="AB220" s="109"/>
      <c r="AC220" s="16"/>
      <c r="AD220" s="16"/>
      <c r="AE220" s="16"/>
      <c r="AF220" s="16"/>
      <c r="AG220" s="16"/>
    </row>
    <row r="221" spans="1:33" x14ac:dyDescent="0.2">
      <c r="A221" s="16"/>
      <c r="B221" s="16"/>
      <c r="C221" s="16"/>
      <c r="D221" s="16"/>
      <c r="E221" s="16"/>
      <c r="F221" s="109"/>
      <c r="G221" s="109"/>
      <c r="H221" s="109"/>
      <c r="I221" s="109"/>
      <c r="J221" s="109"/>
      <c r="K221" s="109"/>
      <c r="L221" s="109"/>
      <c r="M221" s="109"/>
      <c r="N221" s="109"/>
      <c r="O221" s="109"/>
      <c r="P221" s="16"/>
      <c r="Q221" s="16"/>
      <c r="R221" s="109"/>
      <c r="S221" s="109"/>
      <c r="T221" s="109"/>
      <c r="U221" s="109"/>
      <c r="V221" s="109"/>
      <c r="W221" s="109"/>
      <c r="X221" s="109"/>
      <c r="Y221" s="109"/>
      <c r="Z221" s="109"/>
      <c r="AA221" s="109"/>
      <c r="AB221" s="109"/>
      <c r="AC221" s="16"/>
      <c r="AD221" s="16"/>
      <c r="AE221" s="16"/>
      <c r="AF221" s="16"/>
      <c r="AG221" s="16"/>
    </row>
    <row r="222" spans="1:33" x14ac:dyDescent="0.2">
      <c r="A222" s="16"/>
      <c r="B222" s="16"/>
      <c r="C222" s="16"/>
      <c r="D222" s="16"/>
      <c r="E222" s="16"/>
      <c r="F222" s="109"/>
      <c r="G222" s="109"/>
      <c r="H222" s="109"/>
      <c r="I222" s="109"/>
      <c r="J222" s="109"/>
      <c r="K222" s="109"/>
      <c r="L222" s="109"/>
      <c r="M222" s="109"/>
      <c r="N222" s="109"/>
      <c r="O222" s="109"/>
      <c r="P222" s="16"/>
      <c r="Q222" s="16"/>
      <c r="R222" s="109"/>
      <c r="S222" s="109"/>
      <c r="T222" s="109"/>
      <c r="U222" s="109"/>
      <c r="V222" s="109"/>
      <c r="W222" s="109"/>
      <c r="X222" s="109"/>
      <c r="Y222" s="109"/>
      <c r="Z222" s="109"/>
      <c r="AA222" s="109"/>
      <c r="AB222" s="109"/>
      <c r="AC222" s="16"/>
      <c r="AD222" s="16"/>
      <c r="AE222" s="16"/>
      <c r="AF222" s="16"/>
      <c r="AG222" s="16"/>
    </row>
    <row r="223" spans="1:33" x14ac:dyDescent="0.2">
      <c r="A223" s="16"/>
      <c r="B223" s="16"/>
      <c r="C223" s="16"/>
      <c r="D223" s="16"/>
      <c r="E223" s="16"/>
      <c r="F223" s="109"/>
      <c r="G223" s="109"/>
      <c r="H223" s="109"/>
      <c r="I223" s="109"/>
      <c r="J223" s="109"/>
      <c r="K223" s="109"/>
      <c r="L223" s="109"/>
      <c r="M223" s="109"/>
      <c r="N223" s="109"/>
      <c r="O223" s="109"/>
      <c r="P223" s="16"/>
      <c r="Q223" s="16"/>
      <c r="R223" s="109"/>
      <c r="S223" s="109"/>
      <c r="T223" s="109"/>
      <c r="U223" s="109"/>
      <c r="V223" s="109"/>
      <c r="W223" s="109"/>
      <c r="X223" s="109"/>
      <c r="Y223" s="109"/>
      <c r="Z223" s="109"/>
      <c r="AA223" s="109"/>
      <c r="AB223" s="109"/>
      <c r="AC223" s="16"/>
      <c r="AD223" s="16"/>
      <c r="AE223" s="16"/>
      <c r="AF223" s="16"/>
      <c r="AG223" s="16"/>
    </row>
    <row r="224" spans="1:33" x14ac:dyDescent="0.2">
      <c r="A224" s="16"/>
      <c r="B224" s="16"/>
      <c r="C224" s="16"/>
      <c r="D224" s="16"/>
      <c r="E224" s="16"/>
      <c r="F224" s="109"/>
      <c r="G224" s="109"/>
      <c r="H224" s="109"/>
      <c r="I224" s="109"/>
      <c r="J224" s="109"/>
      <c r="K224" s="109"/>
      <c r="L224" s="109"/>
      <c r="M224" s="109"/>
      <c r="N224" s="109"/>
      <c r="O224" s="109"/>
      <c r="P224" s="16"/>
      <c r="Q224" s="16"/>
      <c r="R224" s="109"/>
      <c r="S224" s="109"/>
      <c r="T224" s="109"/>
      <c r="U224" s="109"/>
      <c r="V224" s="109"/>
      <c r="W224" s="109"/>
      <c r="X224" s="109"/>
      <c r="Y224" s="109"/>
      <c r="Z224" s="109"/>
      <c r="AA224" s="109"/>
      <c r="AB224" s="109"/>
      <c r="AC224" s="16"/>
      <c r="AD224" s="16"/>
      <c r="AE224" s="16"/>
      <c r="AF224" s="16"/>
      <c r="AG224" s="16"/>
    </row>
    <row r="225" spans="1:33" x14ac:dyDescent="0.2">
      <c r="A225" s="16"/>
      <c r="B225" s="16"/>
      <c r="C225" s="16"/>
      <c r="D225" s="16"/>
      <c r="E225" s="16"/>
      <c r="F225" s="109"/>
      <c r="G225" s="109"/>
      <c r="H225" s="109"/>
      <c r="I225" s="109"/>
      <c r="J225" s="109"/>
      <c r="K225" s="109"/>
      <c r="L225" s="109"/>
      <c r="M225" s="109"/>
      <c r="N225" s="109"/>
      <c r="O225" s="109"/>
      <c r="P225" s="16"/>
      <c r="Q225" s="16"/>
      <c r="R225" s="109"/>
      <c r="S225" s="109"/>
      <c r="T225" s="109"/>
      <c r="U225" s="109"/>
      <c r="V225" s="109"/>
      <c r="W225" s="109"/>
      <c r="X225" s="109"/>
      <c r="Y225" s="109"/>
      <c r="Z225" s="109"/>
      <c r="AA225" s="109"/>
      <c r="AB225" s="109"/>
      <c r="AC225" s="16"/>
      <c r="AD225" s="16"/>
      <c r="AE225" s="16"/>
      <c r="AF225" s="16"/>
      <c r="AG225" s="16"/>
    </row>
    <row r="226" spans="1:33" x14ac:dyDescent="0.2">
      <c r="A226" s="16"/>
      <c r="B226" s="16"/>
      <c r="C226" s="16"/>
      <c r="D226" s="16"/>
      <c r="E226" s="16"/>
      <c r="F226" s="109"/>
      <c r="G226" s="109"/>
      <c r="H226" s="109"/>
      <c r="I226" s="109"/>
      <c r="J226" s="109"/>
      <c r="K226" s="109"/>
      <c r="L226" s="109"/>
      <c r="M226" s="109"/>
      <c r="N226" s="109"/>
      <c r="O226" s="109"/>
      <c r="P226" s="16"/>
      <c r="Q226" s="16"/>
      <c r="R226" s="109"/>
      <c r="S226" s="109"/>
      <c r="T226" s="109"/>
      <c r="U226" s="109"/>
      <c r="V226" s="109"/>
      <c r="W226" s="109"/>
      <c r="X226" s="109"/>
      <c r="Y226" s="109"/>
      <c r="Z226" s="109"/>
      <c r="AA226" s="109"/>
      <c r="AB226" s="109"/>
      <c r="AC226" s="16"/>
      <c r="AD226" s="16"/>
      <c r="AE226" s="16"/>
      <c r="AF226" s="16"/>
      <c r="AG226" s="16"/>
    </row>
    <row r="227" spans="1:33" x14ac:dyDescent="0.2">
      <c r="A227" s="16"/>
      <c r="B227" s="16"/>
      <c r="C227" s="16"/>
      <c r="D227" s="16"/>
      <c r="E227" s="16"/>
      <c r="F227" s="109"/>
      <c r="G227" s="109"/>
      <c r="H227" s="109"/>
      <c r="I227" s="109"/>
      <c r="J227" s="109"/>
      <c r="K227" s="109"/>
      <c r="L227" s="109"/>
      <c r="M227" s="109"/>
      <c r="N227" s="109"/>
      <c r="O227" s="109"/>
      <c r="P227" s="16"/>
      <c r="Q227" s="16"/>
      <c r="R227" s="109"/>
      <c r="S227" s="109"/>
      <c r="T227" s="109"/>
      <c r="U227" s="109"/>
      <c r="V227" s="109"/>
      <c r="W227" s="109"/>
      <c r="X227" s="109"/>
      <c r="Y227" s="109"/>
      <c r="Z227" s="109"/>
      <c r="AA227" s="109"/>
      <c r="AB227" s="109"/>
      <c r="AC227" s="16"/>
      <c r="AD227" s="16"/>
      <c r="AE227" s="16"/>
      <c r="AF227" s="16"/>
      <c r="AG227" s="16"/>
    </row>
    <row r="228" spans="1:33" x14ac:dyDescent="0.2">
      <c r="A228" s="16"/>
      <c r="B228" s="16"/>
      <c r="C228" s="16"/>
      <c r="D228" s="16"/>
      <c r="E228" s="16"/>
      <c r="F228" s="109"/>
      <c r="G228" s="109"/>
      <c r="H228" s="109"/>
      <c r="I228" s="109"/>
      <c r="J228" s="109"/>
      <c r="K228" s="109"/>
      <c r="L228" s="109"/>
      <c r="M228" s="109"/>
      <c r="N228" s="109"/>
      <c r="O228" s="109"/>
      <c r="P228" s="16"/>
      <c r="Q228" s="16"/>
      <c r="R228" s="109"/>
      <c r="S228" s="109"/>
      <c r="T228" s="109"/>
      <c r="U228" s="109"/>
      <c r="V228" s="109"/>
      <c r="W228" s="109"/>
      <c r="X228" s="109"/>
      <c r="Y228" s="109"/>
      <c r="Z228" s="109"/>
      <c r="AA228" s="109"/>
      <c r="AB228" s="109"/>
      <c r="AC228" s="16"/>
      <c r="AD228" s="16"/>
      <c r="AE228" s="16"/>
      <c r="AF228" s="16"/>
      <c r="AG228" s="16"/>
    </row>
    <row r="229" spans="1:33" x14ac:dyDescent="0.2">
      <c r="A229" s="16"/>
      <c r="B229" s="16"/>
      <c r="C229" s="16"/>
      <c r="D229" s="16"/>
      <c r="E229" s="16"/>
      <c r="F229" s="109"/>
      <c r="G229" s="109"/>
      <c r="H229" s="109"/>
      <c r="I229" s="109"/>
      <c r="J229" s="109"/>
      <c r="K229" s="109"/>
      <c r="L229" s="109"/>
      <c r="M229" s="109"/>
      <c r="N229" s="109"/>
      <c r="O229" s="109"/>
      <c r="P229" s="16"/>
      <c r="Q229" s="16"/>
      <c r="R229" s="109"/>
      <c r="S229" s="109"/>
      <c r="T229" s="109"/>
      <c r="U229" s="109"/>
      <c r="V229" s="109"/>
      <c r="W229" s="109"/>
      <c r="X229" s="109"/>
      <c r="Y229" s="109"/>
      <c r="Z229" s="109"/>
      <c r="AA229" s="109"/>
      <c r="AB229" s="109"/>
      <c r="AC229" s="16"/>
      <c r="AD229" s="16"/>
      <c r="AE229" s="16"/>
      <c r="AF229" s="16"/>
      <c r="AG229" s="16"/>
    </row>
    <row r="230" spans="1:33" x14ac:dyDescent="0.2">
      <c r="A230" s="16"/>
      <c r="B230" s="16"/>
      <c r="C230" s="16"/>
      <c r="D230" s="16"/>
      <c r="E230" s="16"/>
      <c r="F230" s="109"/>
      <c r="G230" s="109"/>
      <c r="H230" s="109"/>
      <c r="I230" s="109"/>
      <c r="J230" s="109"/>
      <c r="K230" s="109"/>
      <c r="L230" s="109"/>
      <c r="M230" s="109"/>
      <c r="N230" s="109"/>
      <c r="O230" s="109"/>
      <c r="P230" s="16"/>
      <c r="Q230" s="16"/>
      <c r="R230" s="109"/>
      <c r="S230" s="109"/>
      <c r="T230" s="109"/>
      <c r="U230" s="109"/>
      <c r="V230" s="109"/>
      <c r="W230" s="109"/>
      <c r="X230" s="109"/>
      <c r="Y230" s="109"/>
      <c r="Z230" s="109"/>
      <c r="AA230" s="109"/>
      <c r="AB230" s="109"/>
      <c r="AC230" s="16"/>
      <c r="AD230" s="16"/>
      <c r="AE230" s="16"/>
      <c r="AF230" s="16"/>
      <c r="AG230" s="16"/>
    </row>
    <row r="231" spans="1:33" x14ac:dyDescent="0.2">
      <c r="A231" s="16"/>
      <c r="B231" s="16"/>
      <c r="C231" s="16"/>
      <c r="D231" s="16"/>
      <c r="E231" s="16"/>
      <c r="F231" s="109"/>
      <c r="G231" s="109"/>
      <c r="H231" s="109"/>
      <c r="I231" s="109"/>
      <c r="J231" s="109"/>
      <c r="K231" s="109"/>
      <c r="L231" s="109"/>
      <c r="M231" s="109"/>
      <c r="N231" s="109"/>
      <c r="O231" s="109"/>
      <c r="P231" s="16"/>
      <c r="Q231" s="16"/>
      <c r="R231" s="109"/>
      <c r="S231" s="109"/>
      <c r="T231" s="109"/>
      <c r="U231" s="109"/>
      <c r="V231" s="109"/>
      <c r="W231" s="109"/>
      <c r="X231" s="109"/>
      <c r="Y231" s="109"/>
      <c r="Z231" s="109"/>
      <c r="AA231" s="109"/>
      <c r="AB231" s="109"/>
      <c r="AC231" s="16"/>
      <c r="AD231" s="16"/>
      <c r="AE231" s="16"/>
      <c r="AF231" s="16"/>
      <c r="AG231" s="16"/>
    </row>
    <row r="232" spans="1:33" x14ac:dyDescent="0.2">
      <c r="A232" s="16"/>
      <c r="B232" s="16"/>
      <c r="C232" s="16"/>
      <c r="D232" s="16"/>
      <c r="E232" s="16"/>
      <c r="F232" s="109"/>
      <c r="G232" s="109"/>
      <c r="H232" s="109"/>
      <c r="I232" s="109"/>
      <c r="J232" s="109"/>
      <c r="K232" s="109"/>
      <c r="L232" s="109"/>
      <c r="M232" s="109"/>
      <c r="N232" s="109"/>
      <c r="O232" s="109"/>
      <c r="P232" s="16"/>
      <c r="Q232" s="16"/>
      <c r="R232" s="109"/>
      <c r="S232" s="109"/>
      <c r="T232" s="109"/>
      <c r="U232" s="109"/>
      <c r="V232" s="109"/>
      <c r="W232" s="109"/>
      <c r="X232" s="109"/>
      <c r="Y232" s="109"/>
      <c r="Z232" s="109"/>
      <c r="AA232" s="109"/>
      <c r="AB232" s="109"/>
      <c r="AC232" s="16"/>
      <c r="AD232" s="16"/>
      <c r="AE232" s="16"/>
      <c r="AF232" s="16"/>
      <c r="AG232" s="16"/>
    </row>
    <row r="233" spans="1:33" x14ac:dyDescent="0.2">
      <c r="A233" s="16"/>
      <c r="B233" s="16"/>
      <c r="C233" s="16"/>
      <c r="D233" s="16"/>
      <c r="E233" s="16"/>
      <c r="F233" s="109"/>
      <c r="G233" s="109"/>
      <c r="H233" s="109"/>
      <c r="I233" s="109"/>
      <c r="J233" s="109"/>
      <c r="K233" s="109"/>
      <c r="L233" s="109"/>
      <c r="M233" s="109"/>
      <c r="N233" s="109"/>
      <c r="O233" s="109"/>
      <c r="P233" s="16"/>
      <c r="Q233" s="16"/>
      <c r="R233" s="109"/>
      <c r="S233" s="109"/>
      <c r="T233" s="109"/>
      <c r="U233" s="109"/>
      <c r="V233" s="109"/>
      <c r="W233" s="109"/>
      <c r="X233" s="109"/>
      <c r="Y233" s="109"/>
      <c r="Z233" s="109"/>
      <c r="AA233" s="109"/>
      <c r="AB233" s="109"/>
      <c r="AC233" s="16"/>
      <c r="AD233" s="16"/>
      <c r="AE233" s="16"/>
      <c r="AF233" s="16"/>
      <c r="AG233" s="16"/>
    </row>
    <row r="234" spans="1:33" x14ac:dyDescent="0.2">
      <c r="A234" s="16"/>
      <c r="B234" s="16"/>
      <c r="C234" s="16"/>
      <c r="D234" s="16"/>
      <c r="E234" s="16"/>
      <c r="F234" s="109"/>
      <c r="G234" s="109"/>
      <c r="H234" s="109"/>
      <c r="I234" s="109"/>
      <c r="J234" s="109"/>
      <c r="K234" s="109"/>
      <c r="L234" s="109"/>
      <c r="M234" s="109"/>
      <c r="N234" s="109"/>
      <c r="O234" s="109"/>
      <c r="P234" s="16"/>
      <c r="Q234" s="16"/>
      <c r="R234" s="109"/>
      <c r="S234" s="109"/>
      <c r="T234" s="109"/>
      <c r="U234" s="109"/>
      <c r="V234" s="109"/>
      <c r="W234" s="109"/>
      <c r="X234" s="109"/>
      <c r="Y234" s="109"/>
      <c r="Z234" s="109"/>
      <c r="AA234" s="109"/>
      <c r="AB234" s="109"/>
      <c r="AC234" s="16"/>
      <c r="AD234" s="16"/>
      <c r="AE234" s="16"/>
      <c r="AF234" s="16"/>
      <c r="AG234" s="16"/>
    </row>
    <row r="235" spans="1:33" x14ac:dyDescent="0.2">
      <c r="A235" s="16"/>
      <c r="B235" s="16"/>
      <c r="C235" s="16"/>
      <c r="D235" s="16"/>
      <c r="E235" s="16"/>
      <c r="F235" s="109"/>
      <c r="G235" s="109"/>
      <c r="H235" s="109"/>
      <c r="I235" s="109"/>
      <c r="J235" s="109"/>
      <c r="K235" s="109"/>
      <c r="L235" s="109"/>
      <c r="M235" s="109"/>
      <c r="N235" s="109"/>
      <c r="O235" s="109"/>
      <c r="P235" s="16"/>
      <c r="Q235" s="16"/>
      <c r="R235" s="109"/>
      <c r="S235" s="109"/>
      <c r="T235" s="109"/>
      <c r="U235" s="109"/>
      <c r="V235" s="109"/>
      <c r="W235" s="109"/>
      <c r="X235" s="109"/>
      <c r="Y235" s="109"/>
      <c r="Z235" s="109"/>
      <c r="AA235" s="109"/>
      <c r="AB235" s="109"/>
      <c r="AC235" s="16"/>
      <c r="AD235" s="16"/>
      <c r="AE235" s="16"/>
      <c r="AF235" s="16"/>
      <c r="AG235" s="16"/>
    </row>
    <row r="236" spans="1:33" x14ac:dyDescent="0.2">
      <c r="A236" s="16"/>
      <c r="B236" s="16"/>
      <c r="C236" s="16"/>
      <c r="D236" s="16"/>
      <c r="E236" s="16"/>
      <c r="F236" s="109"/>
      <c r="G236" s="109"/>
      <c r="H236" s="109"/>
      <c r="I236" s="109"/>
      <c r="J236" s="109"/>
      <c r="K236" s="109"/>
      <c r="L236" s="109"/>
      <c r="M236" s="109"/>
      <c r="N236" s="109"/>
      <c r="O236" s="109"/>
      <c r="P236" s="16"/>
      <c r="Q236" s="16"/>
      <c r="R236" s="109"/>
      <c r="S236" s="109"/>
      <c r="T236" s="109"/>
      <c r="U236" s="109"/>
      <c r="V236" s="109"/>
      <c r="W236" s="109"/>
      <c r="X236" s="109"/>
      <c r="Y236" s="109"/>
      <c r="Z236" s="109"/>
      <c r="AA236" s="109"/>
      <c r="AB236" s="109"/>
      <c r="AC236" s="16"/>
      <c r="AD236" s="16"/>
      <c r="AE236" s="16"/>
      <c r="AF236" s="16"/>
      <c r="AG236" s="16"/>
    </row>
    <row r="237" spans="1:33" x14ac:dyDescent="0.2">
      <c r="A237" s="16"/>
      <c r="B237" s="16"/>
      <c r="C237" s="16"/>
      <c r="D237" s="16"/>
      <c r="E237" s="16"/>
      <c r="F237" s="109"/>
      <c r="G237" s="109"/>
      <c r="H237" s="109"/>
      <c r="I237" s="109"/>
      <c r="J237" s="109"/>
      <c r="K237" s="109"/>
      <c r="L237" s="109"/>
      <c r="M237" s="109"/>
      <c r="N237" s="109"/>
      <c r="O237" s="109"/>
      <c r="P237" s="16"/>
      <c r="Q237" s="16"/>
      <c r="R237" s="109"/>
      <c r="S237" s="109"/>
      <c r="T237" s="109"/>
      <c r="U237" s="109"/>
      <c r="V237" s="109"/>
      <c r="W237" s="109"/>
      <c r="X237" s="109"/>
      <c r="Y237" s="109"/>
      <c r="Z237" s="109"/>
      <c r="AA237" s="109"/>
      <c r="AB237" s="109"/>
      <c r="AC237" s="16"/>
      <c r="AD237" s="16"/>
      <c r="AE237" s="16"/>
      <c r="AF237" s="16"/>
      <c r="AG237" s="16"/>
    </row>
    <row r="238" spans="1:33" x14ac:dyDescent="0.2">
      <c r="A238" s="16"/>
      <c r="B238" s="16"/>
      <c r="C238" s="16"/>
      <c r="D238" s="16"/>
      <c r="E238" s="16"/>
      <c r="F238" s="109"/>
      <c r="G238" s="109"/>
      <c r="H238" s="109"/>
      <c r="I238" s="109"/>
      <c r="J238" s="109"/>
      <c r="K238" s="109"/>
      <c r="L238" s="109"/>
      <c r="M238" s="109"/>
      <c r="N238" s="109"/>
      <c r="O238" s="109"/>
      <c r="P238" s="16"/>
      <c r="Q238" s="16"/>
      <c r="R238" s="109"/>
      <c r="S238" s="109"/>
      <c r="T238" s="109"/>
      <c r="U238" s="109"/>
      <c r="V238" s="109"/>
      <c r="W238" s="109"/>
      <c r="X238" s="109"/>
      <c r="Y238" s="109"/>
      <c r="Z238" s="109"/>
      <c r="AA238" s="109"/>
      <c r="AB238" s="109"/>
      <c r="AC238" s="16"/>
      <c r="AD238" s="16"/>
      <c r="AE238" s="16"/>
      <c r="AF238" s="16"/>
      <c r="AG238" s="16"/>
    </row>
    <row r="239" spans="1:33" x14ac:dyDescent="0.2">
      <c r="A239" s="16"/>
      <c r="B239" s="16"/>
      <c r="C239" s="16"/>
      <c r="D239" s="16"/>
      <c r="E239" s="16"/>
      <c r="F239" s="109"/>
      <c r="G239" s="109"/>
      <c r="H239" s="109"/>
      <c r="I239" s="109"/>
      <c r="J239" s="109"/>
      <c r="K239" s="109"/>
      <c r="L239" s="109"/>
      <c r="M239" s="109"/>
      <c r="N239" s="109"/>
      <c r="O239" s="109"/>
      <c r="P239" s="16"/>
      <c r="Q239" s="16"/>
      <c r="R239" s="109"/>
      <c r="S239" s="109"/>
      <c r="T239" s="109"/>
      <c r="U239" s="109"/>
      <c r="V239" s="109"/>
      <c r="W239" s="109"/>
      <c r="X239" s="109"/>
      <c r="Y239" s="109"/>
      <c r="Z239" s="109"/>
      <c r="AA239" s="109"/>
      <c r="AB239" s="109"/>
      <c r="AC239" s="16"/>
      <c r="AD239" s="16"/>
      <c r="AE239" s="16"/>
      <c r="AF239" s="16"/>
      <c r="AG239" s="16"/>
    </row>
    <row r="240" spans="1:33" x14ac:dyDescent="0.2">
      <c r="A240" s="16"/>
      <c r="B240" s="16"/>
      <c r="C240" s="16"/>
      <c r="D240" s="16"/>
      <c r="E240" s="16"/>
      <c r="F240" s="109"/>
      <c r="G240" s="109"/>
      <c r="H240" s="109"/>
      <c r="I240" s="109"/>
      <c r="J240" s="109"/>
      <c r="K240" s="109"/>
      <c r="L240" s="109"/>
      <c r="M240" s="109"/>
      <c r="N240" s="109"/>
      <c r="O240" s="109"/>
      <c r="P240" s="16"/>
      <c r="Q240" s="16"/>
      <c r="R240" s="109"/>
      <c r="S240" s="109"/>
      <c r="T240" s="109"/>
      <c r="U240" s="109"/>
      <c r="V240" s="109"/>
      <c r="W240" s="109"/>
      <c r="X240" s="109"/>
      <c r="Y240" s="109"/>
      <c r="Z240" s="109"/>
      <c r="AA240" s="109"/>
      <c r="AB240" s="109"/>
      <c r="AC240" s="16"/>
      <c r="AD240" s="16"/>
      <c r="AE240" s="16"/>
      <c r="AF240" s="16"/>
      <c r="AG240" s="16"/>
    </row>
    <row r="241" spans="1:33" x14ac:dyDescent="0.2">
      <c r="A241" s="16"/>
      <c r="B241" s="16"/>
      <c r="C241" s="16"/>
      <c r="D241" s="16"/>
      <c r="E241" s="16"/>
      <c r="F241" s="109"/>
      <c r="G241" s="109"/>
      <c r="H241" s="109"/>
      <c r="I241" s="109"/>
      <c r="J241" s="109"/>
      <c r="K241" s="109"/>
      <c r="L241" s="109"/>
      <c r="M241" s="109"/>
      <c r="N241" s="109"/>
      <c r="O241" s="109"/>
      <c r="P241" s="16"/>
      <c r="Q241" s="16"/>
      <c r="R241" s="109"/>
      <c r="S241" s="109"/>
      <c r="T241" s="109"/>
      <c r="U241" s="109"/>
      <c r="V241" s="109"/>
      <c r="W241" s="109"/>
      <c r="X241" s="109"/>
      <c r="Y241" s="109"/>
      <c r="Z241" s="109"/>
      <c r="AA241" s="109"/>
      <c r="AB241" s="109"/>
      <c r="AC241" s="16"/>
      <c r="AD241" s="16"/>
      <c r="AE241" s="16"/>
      <c r="AF241" s="16"/>
      <c r="AG241" s="16"/>
    </row>
    <row r="242" spans="1:33" x14ac:dyDescent="0.2">
      <c r="A242" s="16"/>
      <c r="B242" s="16"/>
      <c r="C242" s="16"/>
      <c r="D242" s="16"/>
      <c r="E242" s="16"/>
      <c r="F242" s="109"/>
      <c r="G242" s="109"/>
      <c r="H242" s="109"/>
      <c r="I242" s="109"/>
      <c r="J242" s="109"/>
      <c r="K242" s="109"/>
      <c r="L242" s="109"/>
      <c r="M242" s="109"/>
      <c r="N242" s="109"/>
      <c r="O242" s="109"/>
      <c r="P242" s="16"/>
      <c r="Q242" s="16"/>
      <c r="R242" s="109"/>
      <c r="S242" s="109"/>
      <c r="T242" s="109"/>
      <c r="U242" s="109"/>
      <c r="V242" s="109"/>
      <c r="W242" s="109"/>
      <c r="X242" s="109"/>
      <c r="Y242" s="109"/>
      <c r="Z242" s="109"/>
      <c r="AA242" s="109"/>
      <c r="AB242" s="109"/>
      <c r="AC242" s="16"/>
      <c r="AD242" s="16"/>
      <c r="AE242" s="16"/>
      <c r="AF242" s="16"/>
      <c r="AG242" s="16"/>
    </row>
    <row r="243" spans="1:33" x14ac:dyDescent="0.2">
      <c r="A243" s="16"/>
      <c r="B243" s="16"/>
      <c r="C243" s="16"/>
      <c r="D243" s="16"/>
      <c r="E243" s="16"/>
      <c r="F243" s="109"/>
      <c r="G243" s="109"/>
      <c r="H243" s="109"/>
      <c r="I243" s="109"/>
      <c r="J243" s="109"/>
      <c r="K243" s="109"/>
      <c r="L243" s="109"/>
      <c r="M243" s="109"/>
      <c r="N243" s="109"/>
      <c r="O243" s="109"/>
      <c r="P243" s="16"/>
      <c r="Q243" s="16"/>
      <c r="R243" s="109"/>
      <c r="S243" s="109"/>
      <c r="T243" s="109"/>
      <c r="U243" s="109"/>
      <c r="V243" s="109"/>
      <c r="W243" s="109"/>
      <c r="X243" s="109"/>
      <c r="Y243" s="109"/>
      <c r="Z243" s="109"/>
      <c r="AA243" s="109"/>
      <c r="AB243" s="109"/>
      <c r="AC243" s="16"/>
      <c r="AD243" s="16"/>
      <c r="AE243" s="16"/>
      <c r="AF243" s="16"/>
      <c r="AG243" s="16"/>
    </row>
    <row r="244" spans="1:33" x14ac:dyDescent="0.2">
      <c r="A244" s="16"/>
      <c r="B244" s="16"/>
      <c r="C244" s="16"/>
      <c r="D244" s="16"/>
      <c r="E244" s="16"/>
      <c r="F244" s="109"/>
      <c r="G244" s="109"/>
      <c r="H244" s="109"/>
      <c r="I244" s="109"/>
      <c r="J244" s="109"/>
      <c r="K244" s="109"/>
      <c r="L244" s="109"/>
      <c r="M244" s="109"/>
      <c r="N244" s="109"/>
      <c r="O244" s="109"/>
      <c r="P244" s="16"/>
      <c r="Q244" s="16"/>
      <c r="R244" s="109"/>
      <c r="S244" s="109"/>
      <c r="T244" s="109"/>
      <c r="U244" s="109"/>
      <c r="V244" s="109"/>
      <c r="W244" s="109"/>
      <c r="X244" s="109"/>
      <c r="Y244" s="109"/>
      <c r="Z244" s="109"/>
      <c r="AA244" s="109"/>
      <c r="AB244" s="109"/>
      <c r="AC244" s="16"/>
      <c r="AD244" s="16"/>
      <c r="AE244" s="16"/>
      <c r="AF244" s="16"/>
      <c r="AG244" s="16"/>
    </row>
    <row r="245" spans="1:33" x14ac:dyDescent="0.2">
      <c r="A245" s="16"/>
      <c r="B245" s="16"/>
      <c r="C245" s="16"/>
      <c r="D245" s="16"/>
      <c r="E245" s="16"/>
      <c r="F245" s="109"/>
      <c r="G245" s="109"/>
      <c r="H245" s="109"/>
      <c r="I245" s="109"/>
      <c r="J245" s="109"/>
      <c r="K245" s="109"/>
      <c r="L245" s="109"/>
      <c r="M245" s="109"/>
      <c r="N245" s="109"/>
      <c r="O245" s="109"/>
      <c r="P245" s="16"/>
      <c r="Q245" s="16"/>
      <c r="R245" s="109"/>
      <c r="S245" s="109"/>
      <c r="T245" s="109"/>
      <c r="U245" s="109"/>
      <c r="V245" s="109"/>
      <c r="W245" s="109"/>
      <c r="X245" s="109"/>
      <c r="Y245" s="109"/>
      <c r="Z245" s="109"/>
      <c r="AA245" s="109"/>
      <c r="AB245" s="109"/>
      <c r="AC245" s="16"/>
      <c r="AD245" s="16"/>
      <c r="AE245" s="16"/>
      <c r="AF245" s="16"/>
      <c r="AG245" s="16"/>
    </row>
    <row r="246" spans="1:33" x14ac:dyDescent="0.2">
      <c r="A246" s="16"/>
      <c r="B246" s="16"/>
      <c r="C246" s="16"/>
      <c r="D246" s="16"/>
      <c r="E246" s="16"/>
      <c r="F246" s="109"/>
      <c r="G246" s="109"/>
      <c r="H246" s="109"/>
      <c r="I246" s="109"/>
      <c r="J246" s="109"/>
      <c r="K246" s="109"/>
      <c r="L246" s="109"/>
      <c r="M246" s="109"/>
      <c r="N246" s="109"/>
      <c r="O246" s="109"/>
      <c r="P246" s="16"/>
      <c r="Q246" s="16"/>
      <c r="R246" s="109"/>
      <c r="S246" s="109"/>
      <c r="T246" s="109"/>
      <c r="U246" s="109"/>
      <c r="V246" s="109"/>
      <c r="W246" s="109"/>
      <c r="X246" s="109"/>
      <c r="Y246" s="109"/>
      <c r="Z246" s="109"/>
      <c r="AA246" s="109"/>
      <c r="AB246" s="109"/>
      <c r="AC246" s="16"/>
      <c r="AD246" s="16"/>
      <c r="AE246" s="16"/>
      <c r="AF246" s="16"/>
      <c r="AG246" s="16"/>
    </row>
    <row r="247" spans="1:33" x14ac:dyDescent="0.2">
      <c r="A247" s="16"/>
      <c r="B247" s="16"/>
      <c r="C247" s="16"/>
      <c r="D247" s="16"/>
      <c r="E247" s="16"/>
      <c r="F247" s="109"/>
      <c r="G247" s="109"/>
      <c r="H247" s="109"/>
      <c r="I247" s="109"/>
      <c r="J247" s="109"/>
      <c r="K247" s="109"/>
      <c r="L247" s="109"/>
      <c r="M247" s="109"/>
      <c r="N247" s="109"/>
      <c r="O247" s="109"/>
      <c r="P247" s="16"/>
      <c r="Q247" s="16"/>
      <c r="R247" s="109"/>
      <c r="S247" s="109"/>
      <c r="T247" s="109"/>
      <c r="U247" s="109"/>
      <c r="V247" s="109"/>
      <c r="W247" s="109"/>
      <c r="X247" s="109"/>
      <c r="Y247" s="109"/>
      <c r="Z247" s="109"/>
      <c r="AA247" s="109"/>
      <c r="AB247" s="109"/>
      <c r="AC247" s="16"/>
      <c r="AD247" s="16"/>
      <c r="AE247" s="16"/>
      <c r="AF247" s="16"/>
      <c r="AG247" s="16"/>
    </row>
    <row r="248" spans="1:33" x14ac:dyDescent="0.2">
      <c r="A248" s="16"/>
      <c r="B248" s="16"/>
      <c r="C248" s="16"/>
      <c r="D248" s="16"/>
      <c r="E248" s="16"/>
      <c r="F248" s="109"/>
      <c r="G248" s="109"/>
      <c r="H248" s="109"/>
      <c r="I248" s="109"/>
      <c r="J248" s="109"/>
      <c r="K248" s="109"/>
      <c r="L248" s="109"/>
      <c r="M248" s="109"/>
      <c r="N248" s="109"/>
      <c r="O248" s="109"/>
      <c r="P248" s="16"/>
      <c r="Q248" s="16"/>
      <c r="R248" s="109"/>
      <c r="S248" s="109"/>
      <c r="T248" s="109"/>
      <c r="U248" s="109"/>
      <c r="V248" s="109"/>
      <c r="W248" s="109"/>
      <c r="X248" s="109"/>
      <c r="Y248" s="109"/>
      <c r="Z248" s="109"/>
      <c r="AA248" s="109"/>
      <c r="AB248" s="109"/>
      <c r="AC248" s="16"/>
      <c r="AD248" s="16"/>
      <c r="AE248" s="16"/>
      <c r="AF248" s="16"/>
      <c r="AG248" s="16"/>
    </row>
    <row r="249" spans="1:33" x14ac:dyDescent="0.2">
      <c r="A249" s="16"/>
      <c r="B249" s="16"/>
      <c r="C249" s="16"/>
      <c r="D249" s="16"/>
      <c r="E249" s="16"/>
      <c r="F249" s="109"/>
      <c r="G249" s="109"/>
      <c r="H249" s="109"/>
      <c r="I249" s="109"/>
      <c r="J249" s="109"/>
      <c r="K249" s="109"/>
      <c r="L249" s="109"/>
      <c r="M249" s="109"/>
      <c r="N249" s="109"/>
      <c r="O249" s="109"/>
      <c r="P249" s="16"/>
      <c r="Q249" s="16"/>
      <c r="R249" s="109"/>
      <c r="S249" s="109"/>
      <c r="T249" s="109"/>
      <c r="U249" s="109"/>
      <c r="V249" s="109"/>
      <c r="W249" s="109"/>
      <c r="X249" s="109"/>
      <c r="Y249" s="109"/>
      <c r="Z249" s="109"/>
      <c r="AA249" s="109"/>
      <c r="AB249" s="109"/>
      <c r="AC249" s="16"/>
      <c r="AD249" s="16"/>
      <c r="AE249" s="16"/>
      <c r="AF249" s="16"/>
      <c r="AG249" s="16"/>
    </row>
    <row r="250" spans="1:33" x14ac:dyDescent="0.2">
      <c r="A250" s="16"/>
      <c r="B250" s="16"/>
      <c r="C250" s="16"/>
      <c r="D250" s="16"/>
      <c r="E250" s="16"/>
      <c r="F250" s="109"/>
      <c r="G250" s="109"/>
      <c r="H250" s="109"/>
      <c r="I250" s="109"/>
      <c r="J250" s="109"/>
      <c r="K250" s="109"/>
      <c r="L250" s="109"/>
      <c r="M250" s="109"/>
      <c r="N250" s="109"/>
      <c r="O250" s="109"/>
      <c r="P250" s="16"/>
      <c r="Q250" s="16"/>
      <c r="R250" s="109"/>
      <c r="S250" s="109"/>
      <c r="T250" s="109"/>
      <c r="U250" s="109"/>
      <c r="V250" s="109"/>
      <c r="W250" s="109"/>
      <c r="X250" s="109"/>
      <c r="Y250" s="109"/>
      <c r="Z250" s="109"/>
      <c r="AA250" s="109"/>
      <c r="AB250" s="109"/>
      <c r="AC250" s="16"/>
      <c r="AD250" s="16"/>
      <c r="AE250" s="16"/>
      <c r="AF250" s="16"/>
      <c r="AG250" s="16"/>
    </row>
    <row r="251" spans="1:33" x14ac:dyDescent="0.2">
      <c r="A251" s="16"/>
      <c r="B251" s="16"/>
      <c r="C251" s="16"/>
      <c r="D251" s="16"/>
      <c r="E251" s="16"/>
      <c r="F251" s="109"/>
      <c r="G251" s="109"/>
      <c r="H251" s="109"/>
      <c r="I251" s="109"/>
      <c r="J251" s="109"/>
      <c r="K251" s="109"/>
      <c r="L251" s="109"/>
      <c r="M251" s="109"/>
      <c r="N251" s="109"/>
      <c r="O251" s="109"/>
      <c r="P251" s="16"/>
      <c r="Q251" s="16"/>
      <c r="R251" s="109"/>
      <c r="S251" s="109"/>
      <c r="T251" s="109"/>
      <c r="U251" s="109"/>
      <c r="V251" s="109"/>
      <c r="W251" s="109"/>
      <c r="X251" s="109"/>
      <c r="Y251" s="109"/>
      <c r="Z251" s="109"/>
      <c r="AA251" s="109"/>
      <c r="AB251" s="109"/>
      <c r="AC251" s="16"/>
      <c r="AD251" s="16"/>
      <c r="AE251" s="16"/>
      <c r="AF251" s="16"/>
      <c r="AG251" s="16"/>
    </row>
    <row r="252" spans="1:33" x14ac:dyDescent="0.2">
      <c r="A252" s="16"/>
      <c r="B252" s="16"/>
      <c r="C252" s="16"/>
      <c r="D252" s="16"/>
      <c r="E252" s="16"/>
      <c r="F252" s="109"/>
      <c r="G252" s="109"/>
      <c r="H252" s="109"/>
      <c r="I252" s="109"/>
      <c r="J252" s="109"/>
      <c r="K252" s="109"/>
      <c r="L252" s="109"/>
      <c r="M252" s="109"/>
      <c r="N252" s="109"/>
      <c r="O252" s="109"/>
      <c r="P252" s="16"/>
      <c r="Q252" s="16"/>
      <c r="R252" s="109"/>
      <c r="S252" s="109"/>
      <c r="T252" s="109"/>
      <c r="U252" s="109"/>
      <c r="V252" s="109"/>
      <c r="W252" s="109"/>
      <c r="X252" s="109"/>
      <c r="Y252" s="109"/>
      <c r="Z252" s="109"/>
      <c r="AA252" s="109"/>
      <c r="AB252" s="109"/>
      <c r="AC252" s="16"/>
      <c r="AD252" s="16"/>
      <c r="AE252" s="16"/>
      <c r="AF252" s="16"/>
      <c r="AG252" s="16"/>
    </row>
    <row r="253" spans="1:33" x14ac:dyDescent="0.2">
      <c r="A253" s="16"/>
      <c r="B253" s="16"/>
      <c r="C253" s="16"/>
      <c r="D253" s="16"/>
      <c r="E253" s="16"/>
      <c r="F253" s="109"/>
      <c r="G253" s="109"/>
      <c r="H253" s="109"/>
      <c r="I253" s="109"/>
      <c r="J253" s="109"/>
      <c r="K253" s="109"/>
      <c r="L253" s="109"/>
      <c r="M253" s="109"/>
      <c r="N253" s="109"/>
      <c r="O253" s="109"/>
      <c r="P253" s="16"/>
      <c r="Q253" s="16"/>
      <c r="R253" s="109"/>
      <c r="S253" s="109"/>
      <c r="T253" s="109"/>
      <c r="U253" s="109"/>
      <c r="V253" s="109"/>
      <c r="W253" s="109"/>
      <c r="X253" s="109"/>
      <c r="Y253" s="109"/>
      <c r="Z253" s="109"/>
      <c r="AA253" s="109"/>
      <c r="AB253" s="109"/>
      <c r="AC253" s="16"/>
      <c r="AD253" s="16"/>
      <c r="AE253" s="16"/>
      <c r="AF253" s="16"/>
      <c r="AG253" s="16"/>
    </row>
    <row r="254" spans="1:33" x14ac:dyDescent="0.2">
      <c r="A254" s="16"/>
      <c r="B254" s="16"/>
      <c r="C254" s="16"/>
      <c r="D254" s="16"/>
      <c r="E254" s="16"/>
      <c r="F254" s="109"/>
      <c r="G254" s="109"/>
      <c r="H254" s="109"/>
      <c r="I254" s="109"/>
      <c r="J254" s="109"/>
      <c r="K254" s="109"/>
      <c r="L254" s="109"/>
      <c r="M254" s="109"/>
      <c r="N254" s="109"/>
      <c r="O254" s="109"/>
      <c r="P254" s="16"/>
      <c r="Q254" s="16"/>
      <c r="R254" s="109"/>
      <c r="S254" s="109"/>
      <c r="T254" s="109"/>
      <c r="U254" s="109"/>
      <c r="V254" s="109"/>
      <c r="W254" s="109"/>
      <c r="X254" s="109"/>
      <c r="Y254" s="109"/>
      <c r="Z254" s="109"/>
      <c r="AA254" s="109"/>
      <c r="AB254" s="109"/>
      <c r="AC254" s="16"/>
      <c r="AD254" s="16"/>
      <c r="AE254" s="16"/>
      <c r="AF254" s="16"/>
      <c r="AG254" s="16"/>
    </row>
    <row r="255" spans="1:33" x14ac:dyDescent="0.2">
      <c r="A255" s="16"/>
      <c r="B255" s="16"/>
      <c r="C255" s="16"/>
      <c r="D255" s="16"/>
      <c r="E255" s="16"/>
      <c r="F255" s="109"/>
      <c r="G255" s="109"/>
      <c r="H255" s="109"/>
      <c r="I255" s="109"/>
      <c r="J255" s="109"/>
      <c r="K255" s="109"/>
      <c r="L255" s="109"/>
      <c r="M255" s="109"/>
      <c r="N255" s="109"/>
      <c r="O255" s="109"/>
      <c r="P255" s="16"/>
      <c r="Q255" s="16"/>
      <c r="R255" s="109"/>
      <c r="S255" s="109"/>
      <c r="T255" s="109"/>
      <c r="U255" s="109"/>
      <c r="V255" s="109"/>
      <c r="W255" s="109"/>
      <c r="X255" s="109"/>
      <c r="Y255" s="109"/>
      <c r="Z255" s="109"/>
      <c r="AA255" s="109"/>
      <c r="AB255" s="109"/>
      <c r="AC255" s="16"/>
      <c r="AD255" s="16"/>
      <c r="AE255" s="16"/>
      <c r="AF255" s="16"/>
      <c r="AG255" s="16"/>
    </row>
    <row r="256" spans="1:33" x14ac:dyDescent="0.2">
      <c r="A256" s="16"/>
      <c r="B256" s="16"/>
      <c r="C256" s="16"/>
      <c r="D256" s="16"/>
      <c r="E256" s="16"/>
      <c r="F256" s="109"/>
      <c r="G256" s="109"/>
      <c r="H256" s="109"/>
      <c r="I256" s="109"/>
      <c r="J256" s="109"/>
      <c r="K256" s="109"/>
      <c r="L256" s="109"/>
      <c r="M256" s="109"/>
      <c r="N256" s="109"/>
      <c r="O256" s="109"/>
      <c r="P256" s="16"/>
      <c r="Q256" s="16"/>
      <c r="R256" s="109"/>
      <c r="S256" s="109"/>
      <c r="T256" s="109"/>
      <c r="U256" s="109"/>
      <c r="V256" s="109"/>
      <c r="W256" s="109"/>
      <c r="X256" s="109"/>
      <c r="Y256" s="109"/>
      <c r="Z256" s="109"/>
      <c r="AA256" s="109"/>
      <c r="AB256" s="109"/>
      <c r="AC256" s="16"/>
      <c r="AD256" s="16"/>
      <c r="AE256" s="16"/>
      <c r="AF256" s="16"/>
      <c r="AG256" s="16"/>
    </row>
    <row r="257" spans="1:33" x14ac:dyDescent="0.2">
      <c r="A257" s="16"/>
      <c r="B257" s="16"/>
      <c r="C257" s="16"/>
      <c r="D257" s="16"/>
      <c r="E257" s="16"/>
      <c r="F257" s="109"/>
      <c r="G257" s="109"/>
      <c r="H257" s="109"/>
      <c r="I257" s="109"/>
      <c r="J257" s="109"/>
      <c r="K257" s="109"/>
      <c r="L257" s="109"/>
      <c r="M257" s="109"/>
      <c r="N257" s="109"/>
      <c r="O257" s="109"/>
      <c r="P257" s="16"/>
      <c r="Q257" s="16"/>
      <c r="R257" s="109"/>
      <c r="S257" s="109"/>
      <c r="T257" s="109"/>
      <c r="U257" s="109"/>
      <c r="V257" s="109"/>
      <c r="W257" s="109"/>
      <c r="X257" s="109"/>
      <c r="Y257" s="109"/>
      <c r="Z257" s="109"/>
      <c r="AA257" s="109"/>
      <c r="AB257" s="109"/>
      <c r="AC257" s="16"/>
      <c r="AD257" s="16"/>
      <c r="AE257" s="16"/>
      <c r="AF257" s="16"/>
      <c r="AG257" s="16"/>
    </row>
    <row r="258" spans="1:33" x14ac:dyDescent="0.2">
      <c r="A258" s="16"/>
      <c r="B258" s="16"/>
      <c r="C258" s="16"/>
      <c r="D258" s="16"/>
      <c r="E258" s="16"/>
      <c r="F258" s="109"/>
      <c r="G258" s="109"/>
      <c r="H258" s="109"/>
      <c r="I258" s="109"/>
      <c r="J258" s="109"/>
      <c r="K258" s="109"/>
      <c r="L258" s="109"/>
      <c r="M258" s="109"/>
      <c r="N258" s="109"/>
      <c r="O258" s="109"/>
      <c r="P258" s="16"/>
      <c r="Q258" s="16"/>
      <c r="R258" s="109"/>
      <c r="S258" s="109"/>
      <c r="T258" s="109"/>
      <c r="U258" s="109"/>
      <c r="V258" s="109"/>
      <c r="W258" s="109"/>
      <c r="X258" s="109"/>
      <c r="Y258" s="109"/>
      <c r="Z258" s="109"/>
      <c r="AA258" s="109"/>
      <c r="AB258" s="109"/>
      <c r="AC258" s="16"/>
      <c r="AD258" s="16"/>
      <c r="AE258" s="16"/>
      <c r="AF258" s="16"/>
      <c r="AG258" s="16"/>
    </row>
    <row r="259" spans="1:33" x14ac:dyDescent="0.2">
      <c r="A259" s="16"/>
      <c r="B259" s="16"/>
      <c r="C259" s="16"/>
      <c r="D259" s="16"/>
      <c r="E259" s="16"/>
      <c r="F259" s="109"/>
      <c r="G259" s="109"/>
      <c r="H259" s="109"/>
      <c r="I259" s="109"/>
      <c r="J259" s="109"/>
      <c r="K259" s="109"/>
      <c r="L259" s="109"/>
      <c r="M259" s="109"/>
      <c r="N259" s="109"/>
      <c r="O259" s="109"/>
      <c r="P259" s="16"/>
      <c r="Q259" s="16"/>
      <c r="R259" s="109"/>
      <c r="S259" s="109"/>
      <c r="T259" s="109"/>
      <c r="U259" s="109"/>
      <c r="V259" s="109"/>
      <c r="W259" s="109"/>
      <c r="X259" s="109"/>
      <c r="Y259" s="109"/>
      <c r="Z259" s="109"/>
      <c r="AA259" s="109"/>
      <c r="AB259" s="109"/>
      <c r="AC259" s="16"/>
      <c r="AD259" s="16"/>
      <c r="AE259" s="16"/>
      <c r="AF259" s="16"/>
      <c r="AG259" s="16"/>
    </row>
    <row r="260" spans="1:33" x14ac:dyDescent="0.2">
      <c r="A260" s="16"/>
      <c r="B260" s="16"/>
      <c r="C260" s="16"/>
      <c r="D260" s="16"/>
      <c r="E260" s="16"/>
      <c r="F260" s="109"/>
      <c r="G260" s="109"/>
      <c r="H260" s="109"/>
      <c r="I260" s="109"/>
      <c r="J260" s="109"/>
      <c r="K260" s="109"/>
      <c r="L260" s="109"/>
      <c r="M260" s="109"/>
      <c r="N260" s="109"/>
      <c r="O260" s="109"/>
      <c r="P260" s="16"/>
      <c r="Q260" s="16"/>
      <c r="R260" s="109"/>
      <c r="S260" s="109"/>
      <c r="T260" s="109"/>
      <c r="U260" s="109"/>
      <c r="V260" s="109"/>
      <c r="W260" s="109"/>
      <c r="X260" s="109"/>
      <c r="Y260" s="109"/>
      <c r="Z260" s="109"/>
      <c r="AA260" s="109"/>
      <c r="AB260" s="109"/>
      <c r="AC260" s="16"/>
      <c r="AD260" s="16"/>
      <c r="AE260" s="16"/>
      <c r="AF260" s="16"/>
      <c r="AG260" s="16"/>
    </row>
    <row r="261" spans="1:33" x14ac:dyDescent="0.2">
      <c r="A261" s="16"/>
      <c r="B261" s="16"/>
      <c r="C261" s="16"/>
      <c r="D261" s="16"/>
      <c r="E261" s="16"/>
      <c r="F261" s="109"/>
      <c r="G261" s="109"/>
      <c r="H261" s="109"/>
      <c r="I261" s="109"/>
      <c r="J261" s="109"/>
      <c r="K261" s="109"/>
      <c r="L261" s="109"/>
      <c r="M261" s="109"/>
      <c r="N261" s="109"/>
      <c r="O261" s="109"/>
      <c r="P261" s="16"/>
      <c r="Q261" s="16"/>
      <c r="R261" s="109"/>
      <c r="S261" s="109"/>
      <c r="T261" s="109"/>
      <c r="U261" s="109"/>
      <c r="V261" s="109"/>
      <c r="W261" s="109"/>
      <c r="X261" s="109"/>
      <c r="Y261" s="109"/>
      <c r="Z261" s="109"/>
      <c r="AA261" s="109"/>
      <c r="AB261" s="109"/>
      <c r="AC261" s="16"/>
      <c r="AD261" s="16"/>
      <c r="AE261" s="16"/>
      <c r="AF261" s="16"/>
      <c r="AG261" s="16"/>
    </row>
    <row r="262" spans="1:33" x14ac:dyDescent="0.2">
      <c r="A262" s="16"/>
      <c r="B262" s="16"/>
      <c r="C262" s="16"/>
      <c r="D262" s="16"/>
      <c r="E262" s="16"/>
      <c r="F262" s="109"/>
      <c r="G262" s="109"/>
      <c r="H262" s="109"/>
      <c r="I262" s="109"/>
      <c r="J262" s="109"/>
      <c r="K262" s="109"/>
      <c r="L262" s="109"/>
      <c r="M262" s="109"/>
      <c r="N262" s="109"/>
      <c r="O262" s="109"/>
      <c r="P262" s="16"/>
      <c r="Q262" s="16"/>
      <c r="R262" s="109"/>
      <c r="S262" s="109"/>
      <c r="T262" s="109"/>
      <c r="U262" s="109"/>
      <c r="V262" s="109"/>
      <c r="W262" s="109"/>
      <c r="X262" s="109"/>
      <c r="Y262" s="109"/>
      <c r="Z262" s="109"/>
      <c r="AA262" s="109"/>
      <c r="AB262" s="109"/>
      <c r="AC262" s="16"/>
      <c r="AD262" s="16"/>
      <c r="AE262" s="16"/>
      <c r="AF262" s="16"/>
      <c r="AG262" s="16"/>
    </row>
    <row r="263" spans="1:33" x14ac:dyDescent="0.2">
      <c r="A263" s="16"/>
      <c r="B263" s="16"/>
      <c r="C263" s="16"/>
      <c r="D263" s="16"/>
      <c r="E263" s="16"/>
      <c r="F263" s="109"/>
      <c r="G263" s="109"/>
      <c r="H263" s="109"/>
      <c r="I263" s="109"/>
      <c r="J263" s="109"/>
      <c r="K263" s="109"/>
      <c r="L263" s="109"/>
      <c r="M263" s="109"/>
      <c r="N263" s="109"/>
      <c r="O263" s="109"/>
      <c r="P263" s="16"/>
      <c r="Q263" s="16"/>
      <c r="R263" s="109"/>
      <c r="S263" s="109"/>
      <c r="T263" s="109"/>
      <c r="U263" s="109"/>
      <c r="V263" s="109"/>
      <c r="W263" s="109"/>
      <c r="X263" s="109"/>
      <c r="Y263" s="109"/>
      <c r="Z263" s="109"/>
      <c r="AA263" s="109"/>
      <c r="AB263" s="109"/>
      <c r="AC263" s="16"/>
      <c r="AD263" s="16"/>
      <c r="AE263" s="16"/>
      <c r="AF263" s="16"/>
      <c r="AG263" s="16"/>
    </row>
    <row r="264" spans="1:33" x14ac:dyDescent="0.2">
      <c r="A264" s="16"/>
      <c r="B264" s="16"/>
      <c r="C264" s="16"/>
      <c r="D264" s="16"/>
      <c r="E264" s="16"/>
      <c r="F264" s="109"/>
      <c r="G264" s="109"/>
      <c r="H264" s="109"/>
      <c r="I264" s="109"/>
      <c r="J264" s="109"/>
      <c r="K264" s="109"/>
      <c r="L264" s="109"/>
      <c r="M264" s="109"/>
      <c r="N264" s="109"/>
      <c r="O264" s="109"/>
      <c r="P264" s="16"/>
      <c r="Q264" s="16"/>
      <c r="R264" s="109"/>
      <c r="S264" s="109"/>
      <c r="T264" s="109"/>
      <c r="U264" s="109"/>
      <c r="V264" s="109"/>
      <c r="W264" s="109"/>
      <c r="X264" s="109"/>
      <c r="Y264" s="109"/>
      <c r="Z264" s="109"/>
      <c r="AA264" s="109"/>
      <c r="AB264" s="109"/>
      <c r="AC264" s="16"/>
      <c r="AD264" s="16"/>
      <c r="AE264" s="16"/>
      <c r="AF264" s="16"/>
      <c r="AG264" s="16"/>
    </row>
    <row r="265" spans="1:33" x14ac:dyDescent="0.2">
      <c r="A265" s="16"/>
      <c r="B265" s="16"/>
      <c r="C265" s="16"/>
      <c r="D265" s="16"/>
      <c r="E265" s="16"/>
      <c r="F265" s="109"/>
      <c r="G265" s="109"/>
      <c r="H265" s="109"/>
      <c r="I265" s="109"/>
      <c r="J265" s="109"/>
      <c r="K265" s="109"/>
      <c r="L265" s="109"/>
      <c r="M265" s="109"/>
      <c r="N265" s="109"/>
      <c r="O265" s="109"/>
      <c r="P265" s="16"/>
      <c r="Q265" s="16"/>
      <c r="R265" s="109"/>
      <c r="S265" s="109"/>
      <c r="T265" s="109"/>
      <c r="U265" s="109"/>
      <c r="V265" s="109"/>
      <c r="W265" s="109"/>
      <c r="X265" s="109"/>
      <c r="Y265" s="109"/>
      <c r="Z265" s="109"/>
      <c r="AA265" s="109"/>
      <c r="AB265" s="109"/>
      <c r="AC265" s="16"/>
      <c r="AD265" s="16"/>
      <c r="AE265" s="16"/>
      <c r="AF265" s="16"/>
      <c r="AG265" s="16"/>
    </row>
    <row r="266" spans="1:33" x14ac:dyDescent="0.2">
      <c r="A266" s="16"/>
      <c r="B266" s="16"/>
      <c r="C266" s="16"/>
      <c r="D266" s="16"/>
      <c r="E266" s="16"/>
      <c r="F266" s="109"/>
      <c r="G266" s="109"/>
      <c r="H266" s="109"/>
      <c r="I266" s="109"/>
      <c r="J266" s="109"/>
      <c r="K266" s="109"/>
      <c r="L266" s="109"/>
      <c r="M266" s="109"/>
      <c r="N266" s="109"/>
      <c r="O266" s="109"/>
      <c r="P266" s="16"/>
      <c r="Q266" s="16"/>
      <c r="R266" s="109"/>
      <c r="S266" s="109"/>
      <c r="T266" s="109"/>
      <c r="U266" s="109"/>
      <c r="V266" s="109"/>
      <c r="W266" s="109"/>
      <c r="X266" s="109"/>
      <c r="Y266" s="109"/>
      <c r="Z266" s="109"/>
      <c r="AA266" s="109"/>
      <c r="AB266" s="109"/>
      <c r="AC266" s="16"/>
      <c r="AD266" s="16"/>
      <c r="AE266" s="16"/>
      <c r="AF266" s="16"/>
      <c r="AG266" s="16"/>
    </row>
    <row r="267" spans="1:33" x14ac:dyDescent="0.2">
      <c r="A267" s="16"/>
      <c r="B267" s="16"/>
      <c r="C267" s="16"/>
      <c r="D267" s="16"/>
      <c r="E267" s="16"/>
      <c r="F267" s="109"/>
      <c r="G267" s="109"/>
      <c r="H267" s="109"/>
      <c r="I267" s="109"/>
      <c r="J267" s="109"/>
      <c r="K267" s="109"/>
      <c r="L267" s="109"/>
      <c r="M267" s="109"/>
      <c r="N267" s="109"/>
      <c r="O267" s="109"/>
      <c r="P267" s="16"/>
      <c r="Q267" s="16"/>
      <c r="R267" s="109"/>
      <c r="S267" s="109"/>
      <c r="T267" s="109"/>
      <c r="U267" s="109"/>
      <c r="V267" s="109"/>
      <c r="W267" s="109"/>
      <c r="X267" s="109"/>
      <c r="Y267" s="109"/>
      <c r="Z267" s="109"/>
      <c r="AA267" s="109"/>
      <c r="AB267" s="109"/>
      <c r="AC267" s="16"/>
      <c r="AD267" s="16"/>
      <c r="AE267" s="16"/>
      <c r="AF267" s="16"/>
      <c r="AG267" s="16"/>
    </row>
    <row r="268" spans="1:33" x14ac:dyDescent="0.2">
      <c r="A268" s="16"/>
      <c r="B268" s="16"/>
      <c r="C268" s="16"/>
      <c r="D268" s="16"/>
      <c r="E268" s="16"/>
      <c r="F268" s="109"/>
      <c r="G268" s="109"/>
      <c r="H268" s="109"/>
      <c r="I268" s="109"/>
      <c r="J268" s="109"/>
      <c r="K268" s="109"/>
      <c r="L268" s="109"/>
      <c r="M268" s="109"/>
      <c r="N268" s="109"/>
      <c r="O268" s="109"/>
      <c r="P268" s="16"/>
      <c r="Q268" s="16"/>
      <c r="R268" s="109"/>
      <c r="S268" s="109"/>
      <c r="T268" s="109"/>
      <c r="U268" s="109"/>
      <c r="V268" s="109"/>
      <c r="W268" s="109"/>
      <c r="X268" s="109"/>
      <c r="Y268" s="109"/>
      <c r="Z268" s="109"/>
      <c r="AA268" s="109"/>
      <c r="AB268" s="109"/>
      <c r="AC268" s="16"/>
      <c r="AD268" s="16"/>
      <c r="AE268" s="16"/>
      <c r="AF268" s="16"/>
      <c r="AG268" s="16"/>
    </row>
    <row r="269" spans="1:33" x14ac:dyDescent="0.2">
      <c r="A269" s="16"/>
      <c r="B269" s="16"/>
      <c r="C269" s="16"/>
      <c r="D269" s="16"/>
      <c r="E269" s="16"/>
      <c r="F269" s="109"/>
      <c r="G269" s="109"/>
      <c r="H269" s="109"/>
      <c r="I269" s="109"/>
      <c r="J269" s="109"/>
      <c r="K269" s="109"/>
      <c r="L269" s="109"/>
      <c r="M269" s="109"/>
      <c r="N269" s="109"/>
      <c r="O269" s="109"/>
      <c r="P269" s="16"/>
      <c r="Q269" s="16"/>
      <c r="R269" s="109"/>
      <c r="S269" s="109"/>
      <c r="T269" s="109"/>
      <c r="U269" s="109"/>
      <c r="V269" s="109"/>
      <c r="W269" s="109"/>
      <c r="X269" s="109"/>
      <c r="Y269" s="109"/>
      <c r="Z269" s="109"/>
      <c r="AA269" s="109"/>
      <c r="AB269" s="109"/>
      <c r="AC269" s="16"/>
      <c r="AD269" s="16"/>
      <c r="AE269" s="16"/>
      <c r="AF269" s="16"/>
      <c r="AG269" s="16"/>
    </row>
    <row r="270" spans="1:33" x14ac:dyDescent="0.2">
      <c r="A270" s="16"/>
      <c r="B270" s="16"/>
      <c r="C270" s="16"/>
      <c r="D270" s="16"/>
      <c r="E270" s="16"/>
      <c r="F270" s="109"/>
      <c r="G270" s="109"/>
      <c r="H270" s="109"/>
      <c r="I270" s="109"/>
      <c r="J270" s="109"/>
      <c r="K270" s="109"/>
      <c r="L270" s="109"/>
      <c r="M270" s="109"/>
      <c r="N270" s="109"/>
      <c r="O270" s="109"/>
      <c r="P270" s="16"/>
      <c r="Q270" s="16"/>
      <c r="R270" s="109"/>
      <c r="S270" s="109"/>
      <c r="T270" s="109"/>
      <c r="U270" s="109"/>
      <c r="V270" s="109"/>
      <c r="W270" s="109"/>
      <c r="X270" s="109"/>
      <c r="Y270" s="109"/>
      <c r="Z270" s="109"/>
      <c r="AA270" s="109"/>
      <c r="AB270" s="109"/>
      <c r="AC270" s="16"/>
      <c r="AD270" s="16"/>
      <c r="AE270" s="16"/>
      <c r="AF270" s="16"/>
      <c r="AG270" s="16"/>
    </row>
    <row r="271" spans="1:33" x14ac:dyDescent="0.2">
      <c r="A271" s="16"/>
      <c r="B271" s="16"/>
      <c r="C271" s="16"/>
      <c r="D271" s="16"/>
      <c r="E271" s="16"/>
      <c r="F271" s="109"/>
      <c r="G271" s="109"/>
      <c r="H271" s="109"/>
      <c r="I271" s="109"/>
      <c r="J271" s="109"/>
      <c r="K271" s="109"/>
      <c r="L271" s="109"/>
      <c r="M271" s="109"/>
      <c r="N271" s="109"/>
      <c r="O271" s="109"/>
      <c r="P271" s="16"/>
      <c r="Q271" s="16"/>
      <c r="R271" s="109"/>
      <c r="S271" s="109"/>
      <c r="T271" s="109"/>
      <c r="U271" s="109"/>
      <c r="V271" s="109"/>
      <c r="W271" s="109"/>
      <c r="X271" s="109"/>
      <c r="Y271" s="109"/>
      <c r="Z271" s="109"/>
      <c r="AA271" s="109"/>
      <c r="AB271" s="109"/>
      <c r="AC271" s="16"/>
      <c r="AD271" s="16"/>
      <c r="AE271" s="16"/>
      <c r="AF271" s="16"/>
      <c r="AG271" s="16"/>
    </row>
    <row r="272" spans="1:33" x14ac:dyDescent="0.2">
      <c r="A272" s="16"/>
      <c r="B272" s="16"/>
      <c r="C272" s="16"/>
      <c r="D272" s="16"/>
      <c r="E272" s="16"/>
      <c r="F272" s="109"/>
      <c r="G272" s="109"/>
      <c r="H272" s="109"/>
      <c r="I272" s="109"/>
      <c r="J272" s="109"/>
      <c r="K272" s="109"/>
      <c r="L272" s="109"/>
      <c r="M272" s="109"/>
      <c r="N272" s="109"/>
      <c r="O272" s="109"/>
      <c r="P272" s="16"/>
      <c r="Q272" s="16"/>
      <c r="R272" s="109"/>
      <c r="S272" s="109"/>
      <c r="T272" s="109"/>
      <c r="U272" s="109"/>
      <c r="V272" s="109"/>
      <c r="W272" s="109"/>
      <c r="X272" s="109"/>
      <c r="Y272" s="109"/>
      <c r="Z272" s="109"/>
      <c r="AA272" s="109"/>
      <c r="AB272" s="109"/>
      <c r="AC272" s="16"/>
      <c r="AD272" s="16"/>
      <c r="AE272" s="16"/>
      <c r="AF272" s="16"/>
      <c r="AG272" s="16"/>
    </row>
    <row r="273" spans="1:33" x14ac:dyDescent="0.2">
      <c r="A273" s="16"/>
      <c r="B273" s="16"/>
      <c r="C273" s="16"/>
      <c r="D273" s="16"/>
      <c r="E273" s="16"/>
      <c r="F273" s="109"/>
      <c r="G273" s="109"/>
      <c r="H273" s="109"/>
      <c r="I273" s="109"/>
      <c r="J273" s="109"/>
      <c r="K273" s="109"/>
      <c r="L273" s="109"/>
      <c r="M273" s="109"/>
      <c r="N273" s="109"/>
      <c r="O273" s="109"/>
      <c r="P273" s="16"/>
      <c r="Q273" s="16"/>
      <c r="R273" s="109"/>
      <c r="S273" s="109"/>
      <c r="T273" s="109"/>
      <c r="U273" s="109"/>
      <c r="V273" s="109"/>
      <c r="W273" s="109"/>
      <c r="X273" s="109"/>
      <c r="Y273" s="109"/>
      <c r="Z273" s="109"/>
      <c r="AA273" s="109"/>
      <c r="AB273" s="109"/>
      <c r="AC273" s="16"/>
      <c r="AD273" s="16"/>
      <c r="AE273" s="16"/>
      <c r="AF273" s="16"/>
      <c r="AG273" s="16"/>
    </row>
    <row r="274" spans="1:33" x14ac:dyDescent="0.2">
      <c r="A274" s="16"/>
      <c r="B274" s="16"/>
      <c r="C274" s="16"/>
      <c r="D274" s="16"/>
      <c r="E274" s="16"/>
      <c r="F274" s="109"/>
      <c r="G274" s="109"/>
      <c r="H274" s="109"/>
      <c r="I274" s="109"/>
      <c r="J274" s="109"/>
      <c r="K274" s="109"/>
      <c r="L274" s="109"/>
      <c r="M274" s="109"/>
      <c r="N274" s="109"/>
      <c r="O274" s="109"/>
      <c r="P274" s="16"/>
      <c r="Q274" s="16"/>
      <c r="R274" s="109"/>
      <c r="S274" s="109"/>
      <c r="T274" s="109"/>
      <c r="U274" s="109"/>
      <c r="V274" s="109"/>
      <c r="W274" s="109"/>
      <c r="X274" s="109"/>
      <c r="Y274" s="109"/>
      <c r="Z274" s="109"/>
      <c r="AA274" s="109"/>
      <c r="AB274" s="109"/>
      <c r="AC274" s="16"/>
      <c r="AD274" s="16"/>
      <c r="AE274" s="16"/>
      <c r="AF274" s="16"/>
      <c r="AG274" s="16"/>
    </row>
    <row r="275" spans="1:33" x14ac:dyDescent="0.2">
      <c r="A275" s="16"/>
      <c r="B275" s="16"/>
      <c r="C275" s="16"/>
      <c r="D275" s="16"/>
      <c r="E275" s="16"/>
      <c r="F275" s="109"/>
      <c r="G275" s="109"/>
      <c r="H275" s="109"/>
      <c r="I275" s="109"/>
      <c r="J275" s="109"/>
      <c r="K275" s="109"/>
      <c r="L275" s="109"/>
      <c r="M275" s="109"/>
      <c r="N275" s="109"/>
      <c r="O275" s="109"/>
      <c r="P275" s="16"/>
      <c r="Q275" s="16"/>
      <c r="R275" s="109"/>
      <c r="S275" s="109"/>
      <c r="T275" s="109"/>
      <c r="U275" s="109"/>
      <c r="V275" s="109"/>
      <c r="W275" s="109"/>
      <c r="X275" s="109"/>
      <c r="Y275" s="109"/>
      <c r="Z275" s="109"/>
      <c r="AA275" s="109"/>
      <c r="AB275" s="109"/>
      <c r="AC275" s="16"/>
      <c r="AD275" s="16"/>
      <c r="AE275" s="16"/>
      <c r="AF275" s="16"/>
      <c r="AG275" s="16"/>
    </row>
    <row r="276" spans="1:33" x14ac:dyDescent="0.2">
      <c r="A276" s="16"/>
      <c r="B276" s="16"/>
      <c r="C276" s="16"/>
      <c r="D276" s="16"/>
      <c r="E276" s="16"/>
      <c r="F276" s="109"/>
      <c r="G276" s="109"/>
      <c r="H276" s="109"/>
      <c r="I276" s="109"/>
      <c r="J276" s="109"/>
      <c r="K276" s="109"/>
      <c r="L276" s="109"/>
      <c r="M276" s="109"/>
      <c r="N276" s="109"/>
      <c r="O276" s="109"/>
      <c r="P276" s="16"/>
      <c r="Q276" s="16"/>
      <c r="R276" s="109"/>
      <c r="S276" s="109"/>
      <c r="T276" s="109"/>
      <c r="U276" s="109"/>
      <c r="V276" s="109"/>
      <c r="W276" s="109"/>
      <c r="X276" s="109"/>
      <c r="Y276" s="109"/>
      <c r="Z276" s="109"/>
      <c r="AA276" s="109"/>
      <c r="AB276" s="109"/>
      <c r="AC276" s="16"/>
      <c r="AD276" s="16"/>
      <c r="AE276" s="16"/>
      <c r="AF276" s="16"/>
      <c r="AG276" s="16"/>
    </row>
    <row r="277" spans="1:33" x14ac:dyDescent="0.2">
      <c r="A277" s="16"/>
      <c r="B277" s="16"/>
      <c r="C277" s="16"/>
      <c r="D277" s="16"/>
      <c r="E277" s="16"/>
      <c r="F277" s="109"/>
      <c r="G277" s="109"/>
      <c r="H277" s="109"/>
      <c r="I277" s="109"/>
      <c r="J277" s="109"/>
      <c r="K277" s="109"/>
      <c r="L277" s="109"/>
      <c r="M277" s="109"/>
      <c r="N277" s="109"/>
      <c r="O277" s="109"/>
      <c r="P277" s="16"/>
      <c r="Q277" s="16"/>
      <c r="R277" s="109"/>
      <c r="S277" s="109"/>
      <c r="T277" s="109"/>
      <c r="U277" s="109"/>
      <c r="V277" s="109"/>
      <c r="W277" s="109"/>
      <c r="X277" s="109"/>
      <c r="Y277" s="109"/>
      <c r="Z277" s="109"/>
      <c r="AA277" s="109"/>
      <c r="AB277" s="109"/>
      <c r="AC277" s="16"/>
      <c r="AD277" s="16"/>
      <c r="AE277" s="16"/>
      <c r="AF277" s="16"/>
      <c r="AG277" s="16"/>
    </row>
    <row r="278" spans="1:33" x14ac:dyDescent="0.2">
      <c r="A278" s="16"/>
      <c r="B278" s="16"/>
      <c r="C278" s="16"/>
      <c r="D278" s="16"/>
      <c r="E278" s="16"/>
      <c r="F278" s="109"/>
      <c r="G278" s="109"/>
      <c r="H278" s="109"/>
      <c r="I278" s="109"/>
      <c r="J278" s="109"/>
      <c r="K278" s="109"/>
      <c r="L278" s="109"/>
      <c r="M278" s="109"/>
      <c r="N278" s="109"/>
      <c r="O278" s="109"/>
      <c r="P278" s="16"/>
      <c r="Q278" s="16"/>
      <c r="R278" s="109"/>
      <c r="S278" s="109"/>
      <c r="T278" s="109"/>
      <c r="U278" s="109"/>
      <c r="V278" s="109"/>
      <c r="W278" s="109"/>
      <c r="X278" s="109"/>
      <c r="Y278" s="109"/>
      <c r="Z278" s="109"/>
      <c r="AA278" s="109"/>
      <c r="AB278" s="109"/>
      <c r="AC278" s="16"/>
      <c r="AD278" s="16"/>
      <c r="AE278" s="16"/>
      <c r="AF278" s="16"/>
      <c r="AG278" s="16"/>
    </row>
    <row r="279" spans="1:33" x14ac:dyDescent="0.2">
      <c r="A279" s="16"/>
      <c r="B279" s="16"/>
      <c r="C279" s="16"/>
      <c r="D279" s="16"/>
      <c r="E279" s="16"/>
      <c r="F279" s="109"/>
      <c r="G279" s="109"/>
      <c r="H279" s="109"/>
      <c r="I279" s="109"/>
      <c r="J279" s="109"/>
      <c r="K279" s="109"/>
      <c r="L279" s="109"/>
      <c r="M279" s="109"/>
      <c r="N279" s="109"/>
      <c r="O279" s="109"/>
      <c r="P279" s="16"/>
      <c r="Q279" s="16"/>
      <c r="R279" s="109"/>
      <c r="S279" s="109"/>
      <c r="T279" s="109"/>
      <c r="U279" s="109"/>
      <c r="V279" s="109"/>
      <c r="W279" s="109"/>
      <c r="X279" s="109"/>
      <c r="Y279" s="109"/>
      <c r="Z279" s="109"/>
      <c r="AA279" s="109"/>
      <c r="AB279" s="109"/>
      <c r="AC279" s="16"/>
      <c r="AD279" s="16"/>
      <c r="AE279" s="16"/>
      <c r="AF279" s="16"/>
      <c r="AG279" s="16"/>
    </row>
    <row r="280" spans="1:33" x14ac:dyDescent="0.2">
      <c r="A280" s="16"/>
      <c r="B280" s="16"/>
      <c r="C280" s="16"/>
      <c r="D280" s="16"/>
      <c r="E280" s="16"/>
      <c r="F280" s="109"/>
      <c r="G280" s="109"/>
      <c r="H280" s="109"/>
      <c r="I280" s="109"/>
      <c r="J280" s="109"/>
      <c r="K280" s="109"/>
      <c r="L280" s="109"/>
      <c r="M280" s="109"/>
      <c r="N280" s="109"/>
      <c r="O280" s="109"/>
      <c r="P280" s="16"/>
      <c r="Q280" s="16"/>
      <c r="R280" s="109"/>
      <c r="S280" s="109"/>
      <c r="T280" s="109"/>
      <c r="U280" s="109"/>
      <c r="V280" s="109"/>
      <c r="W280" s="109"/>
      <c r="X280" s="109"/>
      <c r="Y280" s="109"/>
      <c r="Z280" s="109"/>
      <c r="AA280" s="109"/>
      <c r="AB280" s="109"/>
      <c r="AC280" s="16"/>
      <c r="AD280" s="16"/>
      <c r="AE280" s="16"/>
      <c r="AF280" s="16"/>
      <c r="AG280" s="16"/>
    </row>
    <row r="281" spans="1:33" x14ac:dyDescent="0.2">
      <c r="A281" s="16"/>
      <c r="B281" s="16"/>
      <c r="C281" s="16"/>
      <c r="D281" s="16"/>
      <c r="E281" s="16"/>
      <c r="F281" s="109"/>
      <c r="G281" s="109"/>
      <c r="H281" s="109"/>
      <c r="I281" s="109"/>
      <c r="J281" s="109"/>
      <c r="K281" s="109"/>
      <c r="L281" s="109"/>
      <c r="M281" s="109"/>
      <c r="N281" s="109"/>
      <c r="O281" s="109"/>
      <c r="P281" s="16"/>
      <c r="Q281" s="16"/>
      <c r="R281" s="109"/>
      <c r="S281" s="109"/>
      <c r="T281" s="109"/>
      <c r="U281" s="109"/>
      <c r="V281" s="109"/>
      <c r="W281" s="109"/>
      <c r="X281" s="109"/>
      <c r="Y281" s="109"/>
      <c r="Z281" s="109"/>
      <c r="AA281" s="109"/>
      <c r="AB281" s="109"/>
      <c r="AC281" s="16"/>
      <c r="AD281" s="16"/>
      <c r="AE281" s="16"/>
      <c r="AF281" s="16"/>
      <c r="AG281" s="16"/>
    </row>
    <row r="282" spans="1:33" x14ac:dyDescent="0.2">
      <c r="A282" s="16"/>
      <c r="B282" s="16"/>
      <c r="C282" s="16"/>
      <c r="D282" s="16"/>
      <c r="E282" s="16"/>
      <c r="F282" s="109"/>
      <c r="G282" s="109"/>
      <c r="H282" s="109"/>
      <c r="I282" s="109"/>
      <c r="J282" s="109"/>
      <c r="K282" s="109"/>
      <c r="L282" s="109"/>
      <c r="M282" s="109"/>
      <c r="N282" s="109"/>
      <c r="O282" s="109"/>
      <c r="P282" s="16"/>
      <c r="Q282" s="16"/>
      <c r="R282" s="109"/>
      <c r="S282" s="109"/>
      <c r="T282" s="109"/>
      <c r="U282" s="109"/>
      <c r="V282" s="109"/>
      <c r="W282" s="109"/>
      <c r="X282" s="109"/>
      <c r="Y282" s="109"/>
      <c r="Z282" s="109"/>
      <c r="AA282" s="109"/>
      <c r="AB282" s="109"/>
      <c r="AC282" s="16"/>
      <c r="AD282" s="16"/>
      <c r="AE282" s="16"/>
      <c r="AF282" s="16"/>
      <c r="AG282" s="16"/>
    </row>
    <row r="283" spans="1:33" x14ac:dyDescent="0.2">
      <c r="A283" s="16"/>
      <c r="B283" s="16"/>
      <c r="C283" s="16"/>
      <c r="D283" s="16"/>
      <c r="E283" s="16"/>
      <c r="F283" s="109"/>
      <c r="G283" s="109"/>
      <c r="H283" s="109"/>
      <c r="I283" s="109"/>
      <c r="J283" s="109"/>
      <c r="K283" s="109"/>
      <c r="L283" s="109"/>
      <c r="M283" s="109"/>
      <c r="N283" s="109"/>
      <c r="O283" s="109"/>
      <c r="P283" s="16"/>
      <c r="Q283" s="16"/>
      <c r="R283" s="109"/>
      <c r="S283" s="109"/>
      <c r="T283" s="109"/>
      <c r="U283" s="109"/>
      <c r="V283" s="109"/>
      <c r="W283" s="109"/>
      <c r="X283" s="109"/>
      <c r="Y283" s="109"/>
      <c r="Z283" s="109"/>
      <c r="AA283" s="109"/>
      <c r="AB283" s="109"/>
      <c r="AC283" s="16"/>
      <c r="AD283" s="16"/>
      <c r="AE283" s="16"/>
      <c r="AF283" s="16"/>
      <c r="AG283" s="16"/>
    </row>
    <row r="284" spans="1:33" x14ac:dyDescent="0.2">
      <c r="A284" s="16"/>
      <c r="B284" s="16"/>
      <c r="C284" s="16"/>
      <c r="D284" s="16"/>
      <c r="E284" s="16"/>
      <c r="F284" s="109"/>
      <c r="G284" s="109"/>
      <c r="H284" s="109"/>
      <c r="I284" s="109"/>
      <c r="J284" s="109"/>
      <c r="K284" s="109"/>
      <c r="L284" s="109"/>
      <c r="M284" s="109"/>
      <c r="N284" s="109"/>
      <c r="O284" s="109"/>
      <c r="P284" s="16"/>
      <c r="Q284" s="16"/>
      <c r="R284" s="109"/>
      <c r="S284" s="109"/>
      <c r="T284" s="109"/>
      <c r="U284" s="109"/>
      <c r="V284" s="109"/>
      <c r="W284" s="109"/>
      <c r="X284" s="109"/>
      <c r="Y284" s="109"/>
      <c r="Z284" s="109"/>
      <c r="AA284" s="109"/>
      <c r="AB284" s="109"/>
      <c r="AC284" s="16"/>
      <c r="AD284" s="16"/>
      <c r="AE284" s="16"/>
      <c r="AF284" s="16"/>
      <c r="AG284" s="16"/>
    </row>
    <row r="285" spans="1:33" x14ac:dyDescent="0.2">
      <c r="A285" s="16"/>
      <c r="B285" s="16"/>
      <c r="C285" s="16"/>
      <c r="D285" s="16"/>
      <c r="E285" s="16"/>
      <c r="F285" s="109"/>
      <c r="G285" s="109"/>
      <c r="H285" s="109"/>
      <c r="I285" s="109"/>
      <c r="J285" s="109"/>
      <c r="K285" s="109"/>
      <c r="L285" s="109"/>
      <c r="M285" s="109"/>
      <c r="N285" s="109"/>
      <c r="O285" s="109"/>
      <c r="P285" s="16"/>
      <c r="Q285" s="16"/>
      <c r="R285" s="109"/>
      <c r="S285" s="109"/>
      <c r="T285" s="109"/>
      <c r="U285" s="109"/>
      <c r="V285" s="109"/>
      <c r="W285" s="109"/>
      <c r="X285" s="109"/>
      <c r="Y285" s="109"/>
      <c r="Z285" s="109"/>
      <c r="AA285" s="109"/>
      <c r="AB285" s="109"/>
      <c r="AC285" s="16"/>
      <c r="AD285" s="16"/>
      <c r="AE285" s="16"/>
      <c r="AF285" s="16"/>
      <c r="AG285" s="16"/>
    </row>
    <row r="286" spans="1:33" x14ac:dyDescent="0.2">
      <c r="A286" s="16"/>
      <c r="B286" s="16"/>
      <c r="C286" s="16"/>
      <c r="D286" s="16"/>
      <c r="E286" s="16"/>
      <c r="F286" s="109"/>
      <c r="G286" s="109"/>
      <c r="H286" s="109"/>
      <c r="I286" s="109"/>
      <c r="J286" s="109"/>
      <c r="K286" s="109"/>
      <c r="L286" s="109"/>
      <c r="M286" s="109"/>
      <c r="N286" s="109"/>
      <c r="O286" s="109"/>
      <c r="P286" s="16"/>
      <c r="Q286" s="16"/>
      <c r="R286" s="109"/>
      <c r="S286" s="109"/>
      <c r="T286" s="109"/>
      <c r="U286" s="109"/>
      <c r="V286" s="109"/>
      <c r="W286" s="109"/>
      <c r="X286" s="109"/>
      <c r="Y286" s="109"/>
      <c r="Z286" s="109"/>
      <c r="AA286" s="109"/>
      <c r="AB286" s="109"/>
      <c r="AC286" s="16"/>
      <c r="AD286" s="16"/>
      <c r="AE286" s="16"/>
      <c r="AF286" s="16"/>
      <c r="AG286" s="16"/>
    </row>
    <row r="287" spans="1:33" x14ac:dyDescent="0.2">
      <c r="A287" s="16"/>
      <c r="B287" s="16"/>
      <c r="C287" s="16"/>
      <c r="D287" s="16"/>
      <c r="E287" s="16"/>
      <c r="F287" s="109"/>
      <c r="G287" s="109"/>
      <c r="H287" s="109"/>
      <c r="I287" s="109"/>
      <c r="J287" s="109"/>
      <c r="K287" s="109"/>
      <c r="L287" s="109"/>
      <c r="M287" s="109"/>
      <c r="N287" s="109"/>
      <c r="O287" s="109"/>
      <c r="P287" s="16"/>
      <c r="Q287" s="16"/>
      <c r="R287" s="109"/>
      <c r="S287" s="109"/>
      <c r="T287" s="109"/>
      <c r="U287" s="109"/>
      <c r="V287" s="109"/>
      <c r="W287" s="109"/>
      <c r="X287" s="109"/>
      <c r="Y287" s="109"/>
      <c r="Z287" s="109"/>
      <c r="AA287" s="109"/>
      <c r="AB287" s="109"/>
      <c r="AC287" s="16"/>
      <c r="AD287" s="16"/>
      <c r="AE287" s="16"/>
      <c r="AF287" s="16"/>
      <c r="AG287" s="16"/>
    </row>
    <row r="288" spans="1:33" x14ac:dyDescent="0.2">
      <c r="A288" s="16"/>
      <c r="B288" s="16"/>
      <c r="C288" s="16"/>
      <c r="D288" s="16"/>
      <c r="E288" s="16"/>
      <c r="F288" s="109"/>
      <c r="G288" s="109"/>
      <c r="H288" s="109"/>
      <c r="I288" s="109"/>
      <c r="J288" s="109"/>
      <c r="K288" s="109"/>
      <c r="L288" s="109"/>
      <c r="M288" s="109"/>
      <c r="N288" s="109"/>
      <c r="O288" s="109"/>
      <c r="P288" s="16"/>
      <c r="Q288" s="16"/>
      <c r="R288" s="109"/>
      <c r="S288" s="109"/>
      <c r="T288" s="109"/>
      <c r="U288" s="109"/>
      <c r="V288" s="109"/>
      <c r="W288" s="109"/>
      <c r="X288" s="109"/>
      <c r="Y288" s="109"/>
      <c r="Z288" s="109"/>
      <c r="AA288" s="109"/>
      <c r="AB288" s="109"/>
      <c r="AC288" s="16"/>
      <c r="AD288" s="16"/>
      <c r="AE288" s="16"/>
      <c r="AF288" s="16"/>
      <c r="AG288" s="16"/>
    </row>
    <row r="289" spans="1:33" x14ac:dyDescent="0.2">
      <c r="A289" s="16"/>
      <c r="B289" s="16"/>
      <c r="C289" s="16"/>
      <c r="D289" s="16"/>
      <c r="E289" s="16"/>
      <c r="F289" s="109"/>
      <c r="G289" s="109"/>
      <c r="H289" s="109"/>
      <c r="I289" s="109"/>
      <c r="J289" s="109"/>
      <c r="K289" s="109"/>
      <c r="L289" s="109"/>
      <c r="M289" s="109"/>
      <c r="N289" s="109"/>
      <c r="O289" s="109"/>
      <c r="P289" s="16"/>
      <c r="Q289" s="16"/>
      <c r="R289" s="109"/>
      <c r="S289" s="109"/>
      <c r="T289" s="109"/>
      <c r="U289" s="109"/>
      <c r="V289" s="109"/>
      <c r="W289" s="109"/>
      <c r="X289" s="109"/>
      <c r="Y289" s="109"/>
      <c r="Z289" s="109"/>
      <c r="AA289" s="109"/>
      <c r="AB289" s="109"/>
      <c r="AC289" s="16"/>
      <c r="AD289" s="16"/>
      <c r="AE289" s="16"/>
      <c r="AF289" s="16"/>
      <c r="AG289" s="16"/>
    </row>
    <row r="290" spans="1:33" x14ac:dyDescent="0.2">
      <c r="A290" s="16"/>
      <c r="B290" s="16"/>
      <c r="C290" s="16"/>
      <c r="D290" s="16"/>
      <c r="E290" s="16"/>
      <c r="F290" s="109"/>
      <c r="G290" s="109"/>
      <c r="H290" s="109"/>
      <c r="I290" s="109"/>
      <c r="J290" s="109"/>
      <c r="K290" s="109"/>
      <c r="L290" s="109"/>
      <c r="M290" s="109"/>
      <c r="N290" s="109"/>
      <c r="O290" s="109"/>
      <c r="P290" s="16"/>
      <c r="Q290" s="16"/>
      <c r="R290" s="109"/>
      <c r="S290" s="109"/>
      <c r="T290" s="109"/>
      <c r="U290" s="109"/>
      <c r="V290" s="109"/>
      <c r="W290" s="109"/>
      <c r="X290" s="109"/>
      <c r="Y290" s="109"/>
      <c r="Z290" s="109"/>
      <c r="AA290" s="109"/>
      <c r="AB290" s="109"/>
      <c r="AC290" s="16"/>
      <c r="AD290" s="16"/>
      <c r="AE290" s="16"/>
      <c r="AF290" s="16"/>
      <c r="AG290" s="16"/>
    </row>
    <row r="291" spans="1:33" x14ac:dyDescent="0.2">
      <c r="A291" s="16"/>
      <c r="B291" s="16"/>
      <c r="C291" s="16"/>
      <c r="D291" s="16"/>
      <c r="E291" s="16"/>
      <c r="F291" s="109"/>
      <c r="G291" s="109"/>
      <c r="H291" s="109"/>
      <c r="I291" s="109"/>
      <c r="J291" s="109"/>
      <c r="K291" s="109"/>
      <c r="L291" s="109"/>
      <c r="M291" s="109"/>
      <c r="N291" s="109"/>
      <c r="O291" s="109"/>
      <c r="P291" s="16"/>
      <c r="Q291" s="16"/>
      <c r="R291" s="109"/>
      <c r="S291" s="109"/>
      <c r="T291" s="109"/>
      <c r="U291" s="109"/>
      <c r="V291" s="109"/>
      <c r="W291" s="109"/>
      <c r="X291" s="109"/>
      <c r="Y291" s="109"/>
      <c r="Z291" s="109"/>
      <c r="AA291" s="109"/>
      <c r="AB291" s="109"/>
      <c r="AC291" s="16"/>
      <c r="AD291" s="16"/>
      <c r="AE291" s="16"/>
      <c r="AF291" s="16"/>
      <c r="AG291" s="16"/>
    </row>
    <row r="292" spans="1:33" x14ac:dyDescent="0.2">
      <c r="A292" s="16"/>
      <c r="B292" s="16"/>
      <c r="C292" s="16"/>
      <c r="D292" s="16"/>
      <c r="E292" s="16"/>
      <c r="F292" s="109"/>
      <c r="G292" s="109"/>
      <c r="H292" s="109"/>
      <c r="I292" s="109"/>
      <c r="J292" s="109"/>
      <c r="K292" s="109"/>
      <c r="L292" s="109"/>
      <c r="M292" s="109"/>
      <c r="N292" s="109"/>
      <c r="O292" s="109"/>
      <c r="P292" s="16"/>
      <c r="Q292" s="16"/>
      <c r="R292" s="109"/>
      <c r="S292" s="109"/>
      <c r="T292" s="109"/>
      <c r="U292" s="109"/>
      <c r="V292" s="109"/>
      <c r="W292" s="109"/>
      <c r="X292" s="109"/>
      <c r="Y292" s="109"/>
      <c r="Z292" s="109"/>
      <c r="AA292" s="109"/>
      <c r="AB292" s="109"/>
      <c r="AC292" s="16"/>
      <c r="AD292" s="16"/>
      <c r="AE292" s="16"/>
      <c r="AF292" s="16"/>
      <c r="AG292" s="16"/>
    </row>
    <row r="293" spans="1:33" x14ac:dyDescent="0.2">
      <c r="A293" s="16"/>
      <c r="B293" s="16"/>
      <c r="C293" s="16"/>
      <c r="D293" s="16"/>
      <c r="E293" s="16"/>
      <c r="F293" s="109"/>
      <c r="G293" s="109"/>
      <c r="H293" s="109"/>
      <c r="I293" s="109"/>
      <c r="J293" s="109"/>
      <c r="K293" s="109"/>
      <c r="L293" s="109"/>
      <c r="M293" s="109"/>
      <c r="N293" s="109"/>
      <c r="O293" s="109"/>
      <c r="P293" s="16"/>
      <c r="Q293" s="16"/>
      <c r="R293" s="109"/>
      <c r="S293" s="109"/>
      <c r="T293" s="109"/>
      <c r="U293" s="109"/>
      <c r="V293" s="109"/>
      <c r="W293" s="109"/>
      <c r="X293" s="109"/>
      <c r="Y293" s="109"/>
      <c r="Z293" s="109"/>
      <c r="AA293" s="109"/>
      <c r="AB293" s="109"/>
      <c r="AC293" s="16"/>
      <c r="AD293" s="16"/>
      <c r="AE293" s="16"/>
      <c r="AF293" s="16"/>
      <c r="AG293" s="16"/>
    </row>
    <row r="294" spans="1:33" x14ac:dyDescent="0.2">
      <c r="A294" s="16"/>
      <c r="B294" s="16"/>
      <c r="C294" s="16"/>
      <c r="D294" s="16"/>
      <c r="E294" s="16"/>
      <c r="F294" s="109"/>
      <c r="G294" s="109"/>
      <c r="H294" s="109"/>
      <c r="I294" s="109"/>
      <c r="J294" s="109"/>
      <c r="K294" s="109"/>
      <c r="L294" s="109"/>
      <c r="M294" s="109"/>
      <c r="N294" s="109"/>
      <c r="O294" s="109"/>
      <c r="P294" s="16"/>
      <c r="Q294" s="16"/>
      <c r="R294" s="109"/>
      <c r="S294" s="109"/>
      <c r="T294" s="109"/>
      <c r="U294" s="109"/>
      <c r="V294" s="109"/>
      <c r="W294" s="109"/>
      <c r="X294" s="109"/>
      <c r="Y294" s="109"/>
      <c r="Z294" s="109"/>
      <c r="AA294" s="109"/>
      <c r="AB294" s="109"/>
      <c r="AC294" s="16"/>
      <c r="AD294" s="16"/>
      <c r="AE294" s="16"/>
      <c r="AF294" s="16"/>
      <c r="AG294" s="16"/>
    </row>
    <row r="295" spans="1:33" x14ac:dyDescent="0.2">
      <c r="A295" s="16"/>
      <c r="B295" s="16"/>
      <c r="C295" s="16"/>
      <c r="D295" s="16"/>
      <c r="E295" s="16"/>
      <c r="F295" s="109"/>
      <c r="G295" s="109"/>
      <c r="H295" s="109"/>
      <c r="I295" s="109"/>
      <c r="J295" s="109"/>
      <c r="K295" s="109"/>
      <c r="L295" s="109"/>
      <c r="M295" s="109"/>
      <c r="N295" s="109"/>
      <c r="O295" s="109"/>
      <c r="P295" s="16"/>
      <c r="Q295" s="16"/>
      <c r="R295" s="109"/>
      <c r="S295" s="109"/>
      <c r="T295" s="109"/>
      <c r="U295" s="109"/>
      <c r="V295" s="109"/>
      <c r="W295" s="109"/>
      <c r="X295" s="109"/>
      <c r="Y295" s="109"/>
      <c r="Z295" s="109"/>
      <c r="AA295" s="109"/>
      <c r="AB295" s="109"/>
      <c r="AC295" s="16"/>
      <c r="AD295" s="16"/>
      <c r="AE295" s="16"/>
      <c r="AF295" s="16"/>
      <c r="AG295" s="16"/>
    </row>
    <row r="296" spans="1:33" x14ac:dyDescent="0.2">
      <c r="A296" s="16"/>
      <c r="B296" s="16"/>
      <c r="C296" s="16"/>
      <c r="D296" s="16"/>
      <c r="E296" s="16"/>
      <c r="F296" s="109"/>
      <c r="G296" s="109"/>
      <c r="H296" s="109"/>
      <c r="I296" s="109"/>
      <c r="J296" s="109"/>
      <c r="K296" s="109"/>
      <c r="L296" s="109"/>
      <c r="M296" s="109"/>
      <c r="N296" s="109"/>
      <c r="O296" s="109"/>
      <c r="P296" s="16"/>
      <c r="Q296" s="16"/>
      <c r="R296" s="109"/>
      <c r="S296" s="109"/>
      <c r="T296" s="109"/>
      <c r="U296" s="109"/>
      <c r="V296" s="109"/>
      <c r="W296" s="109"/>
      <c r="X296" s="109"/>
      <c r="Y296" s="109"/>
      <c r="Z296" s="109"/>
      <c r="AA296" s="109"/>
      <c r="AB296" s="109"/>
      <c r="AC296" s="16"/>
      <c r="AD296" s="16"/>
      <c r="AE296" s="16"/>
      <c r="AF296" s="16"/>
      <c r="AG296" s="16"/>
    </row>
    <row r="297" spans="1:33" x14ac:dyDescent="0.2">
      <c r="A297" s="16"/>
      <c r="B297" s="16"/>
      <c r="C297" s="16"/>
      <c r="D297" s="16"/>
      <c r="E297" s="16"/>
      <c r="F297" s="109"/>
      <c r="G297" s="109"/>
      <c r="H297" s="109"/>
      <c r="I297" s="109"/>
      <c r="J297" s="109"/>
      <c r="K297" s="109"/>
      <c r="L297" s="109"/>
      <c r="M297" s="109"/>
      <c r="N297" s="109"/>
      <c r="O297" s="109"/>
      <c r="P297" s="16"/>
      <c r="Q297" s="16"/>
      <c r="R297" s="109"/>
      <c r="S297" s="109"/>
      <c r="T297" s="109"/>
      <c r="U297" s="109"/>
      <c r="V297" s="109"/>
      <c r="W297" s="109"/>
      <c r="X297" s="109"/>
      <c r="Y297" s="109"/>
      <c r="Z297" s="109"/>
      <c r="AA297" s="109"/>
      <c r="AB297" s="109"/>
      <c r="AC297" s="16"/>
      <c r="AD297" s="16"/>
      <c r="AE297" s="16"/>
      <c r="AF297" s="16"/>
      <c r="AG297" s="16"/>
    </row>
    <row r="298" spans="1:33" x14ac:dyDescent="0.2">
      <c r="A298" s="16"/>
      <c r="B298" s="16"/>
      <c r="C298" s="16"/>
      <c r="D298" s="16"/>
      <c r="E298" s="16"/>
      <c r="F298" s="109"/>
      <c r="G298" s="109"/>
      <c r="H298" s="109"/>
      <c r="I298" s="109"/>
      <c r="J298" s="109"/>
      <c r="K298" s="109"/>
      <c r="L298" s="109"/>
      <c r="M298" s="109"/>
      <c r="N298" s="109"/>
      <c r="O298" s="109"/>
      <c r="P298" s="16"/>
      <c r="Q298" s="16"/>
      <c r="R298" s="109"/>
      <c r="S298" s="109"/>
      <c r="T298" s="109"/>
      <c r="U298" s="109"/>
      <c r="V298" s="109"/>
      <c r="W298" s="109"/>
      <c r="X298" s="109"/>
      <c r="Y298" s="109"/>
      <c r="Z298" s="109"/>
      <c r="AA298" s="109"/>
      <c r="AB298" s="109"/>
      <c r="AC298" s="16"/>
      <c r="AD298" s="16"/>
      <c r="AE298" s="16"/>
      <c r="AF298" s="16"/>
      <c r="AG298" s="16"/>
    </row>
    <row r="299" spans="1:33" x14ac:dyDescent="0.2">
      <c r="A299" s="16"/>
      <c r="B299" s="16"/>
      <c r="C299" s="16"/>
      <c r="D299" s="16"/>
      <c r="E299" s="16"/>
      <c r="F299" s="109"/>
      <c r="G299" s="109"/>
      <c r="H299" s="109"/>
      <c r="I299" s="109"/>
      <c r="J299" s="109"/>
      <c r="K299" s="109"/>
      <c r="L299" s="109"/>
      <c r="M299" s="109"/>
      <c r="N299" s="109"/>
      <c r="O299" s="109"/>
      <c r="P299" s="16"/>
      <c r="Q299" s="16"/>
      <c r="R299" s="109"/>
      <c r="S299" s="109"/>
      <c r="T299" s="109"/>
      <c r="U299" s="109"/>
      <c r="V299" s="109"/>
      <c r="W299" s="109"/>
      <c r="X299" s="109"/>
      <c r="Y299" s="109"/>
      <c r="Z299" s="109"/>
      <c r="AA299" s="109"/>
      <c r="AB299" s="109"/>
      <c r="AC299" s="16"/>
      <c r="AD299" s="16"/>
      <c r="AE299" s="16"/>
      <c r="AF299" s="16"/>
      <c r="AG299" s="16"/>
    </row>
    <row r="300" spans="1:33" x14ac:dyDescent="0.2">
      <c r="A300" s="16"/>
      <c r="B300" s="16"/>
      <c r="C300" s="16"/>
      <c r="D300" s="16"/>
      <c r="E300" s="16"/>
      <c r="F300" s="109"/>
      <c r="G300" s="109"/>
      <c r="H300" s="109"/>
      <c r="I300" s="109"/>
      <c r="J300" s="109"/>
      <c r="K300" s="109"/>
      <c r="L300" s="109"/>
      <c r="M300" s="109"/>
      <c r="N300" s="109"/>
      <c r="O300" s="109"/>
      <c r="P300" s="16"/>
      <c r="Q300" s="16"/>
      <c r="R300" s="109"/>
      <c r="S300" s="109"/>
      <c r="T300" s="109"/>
      <c r="U300" s="109"/>
      <c r="V300" s="109"/>
      <c r="W300" s="109"/>
      <c r="X300" s="109"/>
      <c r="Y300" s="109"/>
      <c r="Z300" s="109"/>
      <c r="AA300" s="109"/>
      <c r="AB300" s="109"/>
      <c r="AC300" s="16"/>
      <c r="AD300" s="16"/>
      <c r="AE300" s="16"/>
      <c r="AF300" s="16"/>
      <c r="AG300" s="16"/>
    </row>
    <row r="301" spans="1:33" x14ac:dyDescent="0.2">
      <c r="A301" s="16"/>
      <c r="B301" s="16"/>
      <c r="C301" s="16"/>
      <c r="D301" s="16"/>
      <c r="E301" s="16"/>
      <c r="F301" s="109"/>
      <c r="G301" s="109"/>
      <c r="H301" s="109"/>
      <c r="I301" s="109"/>
      <c r="J301" s="109"/>
      <c r="K301" s="109"/>
      <c r="L301" s="109"/>
      <c r="M301" s="109"/>
      <c r="N301" s="109"/>
      <c r="O301" s="109"/>
      <c r="P301" s="16"/>
      <c r="Q301" s="16"/>
      <c r="R301" s="109"/>
      <c r="S301" s="109"/>
      <c r="T301" s="109"/>
      <c r="U301" s="109"/>
      <c r="V301" s="109"/>
      <c r="W301" s="109"/>
      <c r="X301" s="109"/>
      <c r="Y301" s="109"/>
      <c r="Z301" s="109"/>
      <c r="AA301" s="109"/>
      <c r="AB301" s="109"/>
      <c r="AC301" s="16"/>
      <c r="AD301" s="16"/>
      <c r="AE301" s="16"/>
      <c r="AF301" s="16"/>
      <c r="AG301" s="16"/>
    </row>
    <row r="302" spans="1:33" x14ac:dyDescent="0.2">
      <c r="A302" s="16"/>
      <c r="B302" s="16"/>
      <c r="C302" s="16"/>
      <c r="D302" s="16"/>
      <c r="E302" s="16"/>
      <c r="F302" s="109"/>
      <c r="G302" s="109"/>
      <c r="H302" s="109"/>
      <c r="I302" s="109"/>
      <c r="J302" s="109"/>
      <c r="K302" s="109"/>
      <c r="L302" s="109"/>
      <c r="M302" s="109"/>
      <c r="N302" s="109"/>
      <c r="O302" s="109"/>
      <c r="P302" s="16"/>
      <c r="Q302" s="16"/>
      <c r="R302" s="109"/>
      <c r="S302" s="109"/>
      <c r="T302" s="109"/>
      <c r="U302" s="109"/>
      <c r="V302" s="109"/>
      <c r="W302" s="109"/>
      <c r="X302" s="109"/>
      <c r="Y302" s="109"/>
      <c r="Z302" s="109"/>
      <c r="AA302" s="109"/>
      <c r="AB302" s="109"/>
      <c r="AC302" s="16"/>
      <c r="AD302" s="16"/>
      <c r="AE302" s="16"/>
      <c r="AF302" s="16"/>
      <c r="AG302" s="16"/>
    </row>
    <row r="303" spans="1:33" x14ac:dyDescent="0.2">
      <c r="A303" s="16"/>
      <c r="B303" s="16"/>
      <c r="C303" s="16"/>
      <c r="D303" s="16"/>
      <c r="E303" s="16"/>
      <c r="F303" s="109"/>
      <c r="G303" s="109"/>
      <c r="H303" s="109"/>
      <c r="I303" s="109"/>
      <c r="J303" s="109"/>
      <c r="K303" s="109"/>
      <c r="L303" s="109"/>
      <c r="M303" s="109"/>
      <c r="N303" s="109"/>
      <c r="O303" s="109"/>
      <c r="P303" s="16"/>
      <c r="Q303" s="16"/>
      <c r="R303" s="109"/>
      <c r="S303" s="109"/>
      <c r="T303" s="109"/>
      <c r="U303" s="109"/>
      <c r="V303" s="109"/>
      <c r="W303" s="109"/>
      <c r="X303" s="109"/>
      <c r="Y303" s="109"/>
      <c r="Z303" s="109"/>
      <c r="AA303" s="109"/>
      <c r="AB303" s="109"/>
      <c r="AC303" s="16"/>
      <c r="AD303" s="16"/>
      <c r="AE303" s="16"/>
      <c r="AF303" s="16"/>
      <c r="AG303" s="16"/>
    </row>
    <row r="304" spans="1:33" x14ac:dyDescent="0.2">
      <c r="A304" s="16"/>
      <c r="B304" s="16"/>
      <c r="C304" s="16"/>
      <c r="D304" s="16"/>
      <c r="E304" s="16"/>
      <c r="F304" s="109"/>
      <c r="G304" s="109"/>
      <c r="H304" s="109"/>
      <c r="I304" s="109"/>
      <c r="J304" s="109"/>
      <c r="K304" s="109"/>
      <c r="L304" s="109"/>
      <c r="M304" s="109"/>
      <c r="N304" s="109"/>
      <c r="O304" s="109"/>
      <c r="P304" s="16"/>
      <c r="Q304" s="16"/>
      <c r="R304" s="109"/>
      <c r="S304" s="109"/>
      <c r="T304" s="109"/>
      <c r="U304" s="109"/>
      <c r="V304" s="109"/>
      <c r="W304" s="109"/>
      <c r="X304" s="109"/>
      <c r="Y304" s="109"/>
      <c r="Z304" s="109"/>
      <c r="AA304" s="109"/>
      <c r="AB304" s="109"/>
      <c r="AC304" s="16"/>
      <c r="AD304" s="16"/>
      <c r="AE304" s="16"/>
      <c r="AF304" s="16"/>
      <c r="AG304" s="16"/>
    </row>
    <row r="305" spans="1:33" x14ac:dyDescent="0.2">
      <c r="A305" s="16"/>
      <c r="B305" s="16"/>
      <c r="C305" s="16"/>
      <c r="D305" s="16"/>
      <c r="E305" s="16"/>
      <c r="F305" s="109"/>
      <c r="G305" s="109"/>
      <c r="H305" s="109"/>
      <c r="I305" s="109"/>
      <c r="J305" s="109"/>
      <c r="K305" s="109"/>
      <c r="L305" s="109"/>
      <c r="M305" s="109"/>
      <c r="N305" s="109"/>
      <c r="O305" s="109"/>
      <c r="P305" s="16"/>
      <c r="Q305" s="16"/>
      <c r="R305" s="109"/>
      <c r="S305" s="109"/>
      <c r="T305" s="109"/>
      <c r="U305" s="109"/>
      <c r="V305" s="109"/>
      <c r="W305" s="109"/>
      <c r="X305" s="109"/>
      <c r="Y305" s="109"/>
      <c r="Z305" s="109"/>
      <c r="AA305" s="109"/>
      <c r="AB305" s="109"/>
      <c r="AC305" s="16"/>
      <c r="AD305" s="16"/>
      <c r="AE305" s="16"/>
      <c r="AF305" s="16"/>
      <c r="AG305" s="16"/>
    </row>
    <row r="306" spans="1:33" x14ac:dyDescent="0.2">
      <c r="A306" s="16"/>
      <c r="B306" s="16"/>
      <c r="C306" s="16"/>
      <c r="D306" s="16"/>
      <c r="E306" s="16"/>
      <c r="F306" s="109"/>
      <c r="G306" s="109"/>
      <c r="H306" s="109"/>
      <c r="I306" s="109"/>
      <c r="J306" s="109"/>
      <c r="K306" s="109"/>
      <c r="L306" s="109"/>
      <c r="M306" s="109"/>
      <c r="N306" s="109"/>
      <c r="O306" s="109"/>
      <c r="P306" s="16"/>
      <c r="Q306" s="16"/>
      <c r="R306" s="109"/>
      <c r="S306" s="109"/>
      <c r="T306" s="109"/>
      <c r="U306" s="109"/>
      <c r="V306" s="109"/>
      <c r="W306" s="109"/>
      <c r="X306" s="109"/>
      <c r="Y306" s="109"/>
      <c r="Z306" s="109"/>
      <c r="AA306" s="109"/>
      <c r="AB306" s="109"/>
      <c r="AC306" s="16"/>
      <c r="AD306" s="16"/>
      <c r="AE306" s="16"/>
      <c r="AF306" s="16"/>
      <c r="AG306" s="16"/>
    </row>
    <row r="307" spans="1:33" x14ac:dyDescent="0.2">
      <c r="A307" s="16"/>
      <c r="B307" s="16"/>
      <c r="C307" s="16"/>
      <c r="D307" s="16"/>
      <c r="E307" s="16"/>
      <c r="F307" s="109"/>
      <c r="G307" s="109"/>
      <c r="H307" s="109"/>
      <c r="I307" s="109"/>
      <c r="J307" s="109"/>
      <c r="K307" s="109"/>
      <c r="L307" s="109"/>
      <c r="M307" s="109"/>
      <c r="N307" s="109"/>
      <c r="O307" s="109"/>
      <c r="P307" s="16"/>
      <c r="Q307" s="16"/>
      <c r="R307" s="109"/>
      <c r="S307" s="109"/>
      <c r="T307" s="109"/>
      <c r="U307" s="109"/>
      <c r="V307" s="109"/>
      <c r="W307" s="109"/>
      <c r="X307" s="109"/>
      <c r="Y307" s="109"/>
      <c r="Z307" s="109"/>
      <c r="AA307" s="109"/>
      <c r="AB307" s="109"/>
      <c r="AC307" s="16"/>
      <c r="AD307" s="16"/>
      <c r="AE307" s="16"/>
      <c r="AF307" s="16"/>
      <c r="AG307" s="16"/>
    </row>
    <row r="308" spans="1:33" x14ac:dyDescent="0.2">
      <c r="A308" s="16"/>
      <c r="B308" s="16"/>
      <c r="C308" s="16"/>
      <c r="D308" s="16"/>
      <c r="E308" s="16"/>
      <c r="F308" s="109"/>
      <c r="G308" s="109"/>
      <c r="H308" s="109"/>
      <c r="I308" s="109"/>
      <c r="J308" s="109"/>
      <c r="K308" s="109"/>
      <c r="L308" s="109"/>
      <c r="M308" s="109"/>
      <c r="N308" s="109"/>
      <c r="O308" s="109"/>
      <c r="P308" s="16"/>
      <c r="Q308" s="16"/>
      <c r="R308" s="109"/>
      <c r="S308" s="109"/>
      <c r="T308" s="109"/>
      <c r="U308" s="109"/>
      <c r="V308" s="109"/>
      <c r="W308" s="109"/>
      <c r="X308" s="109"/>
      <c r="Y308" s="109"/>
      <c r="Z308" s="109"/>
      <c r="AA308" s="109"/>
      <c r="AB308" s="109"/>
      <c r="AC308" s="16"/>
      <c r="AD308" s="16"/>
      <c r="AE308" s="16"/>
      <c r="AF308" s="16"/>
      <c r="AG308" s="16"/>
    </row>
    <row r="309" spans="1:33" x14ac:dyDescent="0.2">
      <c r="A309" s="16"/>
      <c r="B309" s="16"/>
      <c r="C309" s="16"/>
      <c r="D309" s="16"/>
      <c r="E309" s="16"/>
      <c r="F309" s="109"/>
      <c r="G309" s="109"/>
      <c r="H309" s="109"/>
      <c r="I309" s="109"/>
      <c r="J309" s="109"/>
      <c r="K309" s="109"/>
      <c r="L309" s="109"/>
      <c r="M309" s="109"/>
      <c r="N309" s="109"/>
      <c r="O309" s="109"/>
      <c r="P309" s="16"/>
      <c r="Q309" s="16"/>
      <c r="R309" s="109"/>
      <c r="S309" s="109"/>
      <c r="T309" s="109"/>
      <c r="U309" s="109"/>
      <c r="V309" s="109"/>
      <c r="W309" s="109"/>
      <c r="X309" s="109"/>
      <c r="Y309" s="109"/>
      <c r="Z309" s="109"/>
      <c r="AA309" s="109"/>
      <c r="AB309" s="109"/>
      <c r="AC309" s="16"/>
      <c r="AD309" s="16"/>
      <c r="AE309" s="16"/>
      <c r="AF309" s="16"/>
      <c r="AG309" s="16"/>
    </row>
    <row r="310" spans="1:33" x14ac:dyDescent="0.2">
      <c r="A310" s="16"/>
      <c r="B310" s="16"/>
      <c r="C310" s="16"/>
      <c r="D310" s="16"/>
      <c r="E310" s="16"/>
      <c r="F310" s="109"/>
      <c r="G310" s="109"/>
      <c r="H310" s="109"/>
      <c r="I310" s="109"/>
      <c r="J310" s="109"/>
      <c r="K310" s="109"/>
      <c r="L310" s="109"/>
      <c r="M310" s="109"/>
      <c r="N310" s="109"/>
      <c r="O310" s="109"/>
      <c r="P310" s="16"/>
      <c r="Q310" s="16"/>
      <c r="R310" s="109"/>
      <c r="S310" s="109"/>
      <c r="T310" s="109"/>
      <c r="U310" s="109"/>
      <c r="V310" s="109"/>
      <c r="W310" s="109"/>
      <c r="X310" s="109"/>
      <c r="Y310" s="109"/>
      <c r="Z310" s="109"/>
      <c r="AA310" s="109"/>
      <c r="AB310" s="109"/>
      <c r="AC310" s="16"/>
      <c r="AD310" s="16"/>
      <c r="AE310" s="16"/>
      <c r="AF310" s="16"/>
      <c r="AG310" s="16"/>
    </row>
    <row r="311" spans="1:33" x14ac:dyDescent="0.2">
      <c r="A311" s="16"/>
      <c r="B311" s="16"/>
      <c r="C311" s="16"/>
      <c r="D311" s="16"/>
      <c r="E311" s="16"/>
      <c r="F311" s="109"/>
      <c r="G311" s="109"/>
      <c r="H311" s="109"/>
      <c r="I311" s="109"/>
      <c r="J311" s="109"/>
      <c r="K311" s="109"/>
      <c r="L311" s="109"/>
      <c r="M311" s="109"/>
      <c r="N311" s="109"/>
      <c r="O311" s="109"/>
      <c r="P311" s="16"/>
      <c r="Q311" s="16"/>
      <c r="R311" s="109"/>
      <c r="S311" s="109"/>
      <c r="T311" s="109"/>
      <c r="U311" s="109"/>
      <c r="V311" s="109"/>
      <c r="W311" s="109"/>
      <c r="X311" s="109"/>
      <c r="Y311" s="109"/>
      <c r="Z311" s="109"/>
      <c r="AA311" s="109"/>
      <c r="AB311" s="109"/>
      <c r="AC311" s="16"/>
      <c r="AD311" s="16"/>
      <c r="AE311" s="16"/>
      <c r="AF311" s="16"/>
      <c r="AG311" s="16"/>
    </row>
    <row r="312" spans="1:33" x14ac:dyDescent="0.2">
      <c r="A312" s="16"/>
      <c r="B312" s="16"/>
      <c r="C312" s="16"/>
      <c r="D312" s="16"/>
      <c r="E312" s="16"/>
      <c r="F312" s="109"/>
      <c r="G312" s="109"/>
      <c r="H312" s="109"/>
      <c r="I312" s="109"/>
      <c r="J312" s="109"/>
      <c r="K312" s="109"/>
      <c r="L312" s="109"/>
      <c r="M312" s="109"/>
      <c r="N312" s="109"/>
      <c r="O312" s="109"/>
      <c r="P312" s="16"/>
      <c r="Q312" s="16"/>
      <c r="R312" s="109"/>
      <c r="S312" s="109"/>
      <c r="T312" s="109"/>
      <c r="U312" s="109"/>
      <c r="V312" s="109"/>
      <c r="W312" s="109"/>
      <c r="X312" s="109"/>
      <c r="Y312" s="109"/>
      <c r="Z312" s="109"/>
      <c r="AA312" s="109"/>
      <c r="AB312" s="109"/>
      <c r="AC312" s="16"/>
      <c r="AD312" s="16"/>
      <c r="AE312" s="16"/>
      <c r="AF312" s="16"/>
      <c r="AG312" s="16"/>
    </row>
    <row r="313" spans="1:33" x14ac:dyDescent="0.2">
      <c r="A313" s="16"/>
      <c r="B313" s="16"/>
      <c r="C313" s="16"/>
      <c r="D313" s="16"/>
      <c r="E313" s="16"/>
      <c r="F313" s="109"/>
      <c r="G313" s="109"/>
      <c r="H313" s="109"/>
      <c r="I313" s="109"/>
      <c r="J313" s="109"/>
      <c r="K313" s="109"/>
      <c r="L313" s="109"/>
      <c r="M313" s="109"/>
      <c r="N313" s="109"/>
      <c r="O313" s="109"/>
      <c r="P313" s="16"/>
      <c r="Q313" s="16"/>
      <c r="R313" s="109"/>
      <c r="S313" s="109"/>
      <c r="T313" s="109"/>
      <c r="U313" s="109"/>
      <c r="V313" s="109"/>
      <c r="W313" s="109"/>
      <c r="X313" s="109"/>
      <c r="Y313" s="109"/>
      <c r="Z313" s="109"/>
      <c r="AA313" s="109"/>
      <c r="AB313" s="109"/>
      <c r="AC313" s="16"/>
      <c r="AD313" s="16"/>
      <c r="AE313" s="16"/>
      <c r="AF313" s="16"/>
      <c r="AG313" s="16"/>
    </row>
    <row r="314" spans="1:33" x14ac:dyDescent="0.2">
      <c r="A314" s="16"/>
      <c r="B314" s="16"/>
      <c r="C314" s="16"/>
      <c r="D314" s="16"/>
      <c r="E314" s="16"/>
      <c r="F314" s="109"/>
      <c r="G314" s="109"/>
      <c r="H314" s="109"/>
      <c r="I314" s="109"/>
      <c r="J314" s="109"/>
      <c r="K314" s="109"/>
      <c r="L314" s="109"/>
      <c r="M314" s="109"/>
      <c r="N314" s="109"/>
      <c r="O314" s="109"/>
      <c r="P314" s="16"/>
      <c r="Q314" s="16"/>
      <c r="R314" s="109"/>
      <c r="S314" s="109"/>
      <c r="T314" s="109"/>
      <c r="U314" s="109"/>
      <c r="V314" s="109"/>
      <c r="W314" s="109"/>
      <c r="X314" s="109"/>
      <c r="Y314" s="109"/>
      <c r="Z314" s="109"/>
      <c r="AA314" s="109"/>
      <c r="AB314" s="109"/>
      <c r="AC314" s="16"/>
      <c r="AD314" s="16"/>
      <c r="AE314" s="16"/>
      <c r="AF314" s="16"/>
      <c r="AG314" s="16"/>
    </row>
    <row r="315" spans="1:33" x14ac:dyDescent="0.2">
      <c r="A315" s="16"/>
      <c r="B315" s="16"/>
      <c r="C315" s="16"/>
      <c r="D315" s="16"/>
      <c r="E315" s="16"/>
      <c r="F315" s="109"/>
      <c r="G315" s="109"/>
      <c r="H315" s="109"/>
      <c r="I315" s="109"/>
      <c r="J315" s="109"/>
      <c r="K315" s="109"/>
      <c r="L315" s="109"/>
      <c r="M315" s="109"/>
      <c r="N315" s="109"/>
      <c r="O315" s="109"/>
      <c r="P315" s="16"/>
      <c r="Q315" s="16"/>
      <c r="R315" s="109"/>
      <c r="S315" s="109"/>
      <c r="T315" s="109"/>
      <c r="U315" s="109"/>
      <c r="V315" s="109"/>
      <c r="W315" s="109"/>
      <c r="X315" s="109"/>
      <c r="Y315" s="109"/>
      <c r="Z315" s="109"/>
      <c r="AA315" s="109"/>
      <c r="AB315" s="109"/>
      <c r="AC315" s="16"/>
      <c r="AD315" s="16"/>
      <c r="AE315" s="16"/>
      <c r="AF315" s="16"/>
      <c r="AG315" s="16"/>
    </row>
    <row r="316" spans="1:33" x14ac:dyDescent="0.2">
      <c r="A316" s="16"/>
      <c r="B316" s="16"/>
      <c r="C316" s="16"/>
      <c r="D316" s="16"/>
      <c r="E316" s="16"/>
      <c r="F316" s="109"/>
      <c r="G316" s="109"/>
      <c r="H316" s="109"/>
      <c r="I316" s="109"/>
      <c r="J316" s="109"/>
      <c r="K316" s="109"/>
      <c r="L316" s="109"/>
      <c r="M316" s="109"/>
      <c r="N316" s="109"/>
      <c r="O316" s="109"/>
      <c r="P316" s="16"/>
      <c r="Q316" s="16"/>
      <c r="R316" s="109"/>
      <c r="S316" s="109"/>
      <c r="T316" s="109"/>
      <c r="U316" s="109"/>
      <c r="V316" s="109"/>
      <c r="W316" s="109"/>
      <c r="X316" s="109"/>
      <c r="Y316" s="109"/>
      <c r="Z316" s="109"/>
      <c r="AA316" s="109"/>
      <c r="AB316" s="109"/>
      <c r="AC316" s="16"/>
      <c r="AD316" s="16"/>
      <c r="AE316" s="16"/>
      <c r="AF316" s="16"/>
      <c r="AG316" s="16"/>
    </row>
    <row r="317" spans="1:33" x14ac:dyDescent="0.2">
      <c r="A317" s="16"/>
      <c r="B317" s="16"/>
      <c r="C317" s="16"/>
      <c r="D317" s="16"/>
      <c r="E317" s="16"/>
      <c r="F317" s="109"/>
      <c r="G317" s="109"/>
      <c r="H317" s="109"/>
      <c r="I317" s="109"/>
      <c r="J317" s="109"/>
      <c r="K317" s="109"/>
      <c r="L317" s="109"/>
      <c r="M317" s="109"/>
      <c r="N317" s="109"/>
      <c r="O317" s="109"/>
      <c r="P317" s="16"/>
      <c r="Q317" s="16"/>
      <c r="R317" s="109"/>
      <c r="S317" s="109"/>
      <c r="T317" s="109"/>
      <c r="U317" s="109"/>
      <c r="V317" s="109"/>
      <c r="W317" s="109"/>
      <c r="X317" s="109"/>
      <c r="Y317" s="109"/>
      <c r="Z317" s="109"/>
      <c r="AA317" s="109"/>
      <c r="AB317" s="109"/>
      <c r="AC317" s="16"/>
      <c r="AD317" s="16"/>
      <c r="AE317" s="16"/>
      <c r="AF317" s="16"/>
      <c r="AG317" s="16"/>
    </row>
    <row r="318" spans="1:33" x14ac:dyDescent="0.2">
      <c r="A318" s="16"/>
      <c r="B318" s="16"/>
      <c r="C318" s="16"/>
      <c r="D318" s="16"/>
      <c r="E318" s="16"/>
      <c r="F318" s="109"/>
      <c r="G318" s="109"/>
      <c r="H318" s="109"/>
      <c r="I318" s="109"/>
      <c r="J318" s="109"/>
      <c r="K318" s="109"/>
      <c r="L318" s="109"/>
      <c r="M318" s="109"/>
      <c r="N318" s="109"/>
      <c r="O318" s="109"/>
      <c r="P318" s="16"/>
      <c r="Q318" s="16"/>
      <c r="R318" s="109"/>
      <c r="S318" s="109"/>
      <c r="T318" s="109"/>
      <c r="U318" s="109"/>
      <c r="V318" s="109"/>
      <c r="W318" s="109"/>
      <c r="X318" s="109"/>
      <c r="Y318" s="109"/>
      <c r="Z318" s="109"/>
      <c r="AA318" s="109"/>
      <c r="AB318" s="109"/>
      <c r="AC318" s="16"/>
      <c r="AD318" s="16"/>
      <c r="AE318" s="16"/>
      <c r="AF318" s="16"/>
      <c r="AG318" s="16"/>
    </row>
    <row r="319" spans="1:33" x14ac:dyDescent="0.2">
      <c r="A319" s="16"/>
      <c r="B319" s="16"/>
      <c r="C319" s="16"/>
      <c r="D319" s="16"/>
      <c r="E319" s="16"/>
      <c r="F319" s="109"/>
      <c r="G319" s="109"/>
      <c r="H319" s="109"/>
      <c r="I319" s="109"/>
      <c r="J319" s="109"/>
      <c r="K319" s="109"/>
      <c r="L319" s="109"/>
      <c r="M319" s="109"/>
      <c r="N319" s="109"/>
      <c r="O319" s="109"/>
      <c r="P319" s="16"/>
      <c r="Q319" s="16"/>
      <c r="R319" s="109"/>
      <c r="S319" s="109"/>
      <c r="T319" s="109"/>
      <c r="U319" s="109"/>
      <c r="V319" s="109"/>
      <c r="W319" s="109"/>
      <c r="X319" s="109"/>
      <c r="Y319" s="109"/>
      <c r="Z319" s="109"/>
      <c r="AA319" s="109"/>
      <c r="AB319" s="109"/>
      <c r="AC319" s="16"/>
      <c r="AD319" s="16"/>
      <c r="AE319" s="16"/>
      <c r="AF319" s="16"/>
      <c r="AG319" s="16"/>
    </row>
    <row r="320" spans="1:33" x14ac:dyDescent="0.2">
      <c r="A320" s="16"/>
      <c r="B320" s="16"/>
      <c r="C320" s="16"/>
      <c r="D320" s="16"/>
      <c r="E320" s="16"/>
      <c r="F320" s="109"/>
      <c r="G320" s="109"/>
      <c r="H320" s="109"/>
      <c r="I320" s="109"/>
      <c r="J320" s="109"/>
      <c r="K320" s="109"/>
      <c r="L320" s="109"/>
      <c r="M320" s="109"/>
      <c r="N320" s="109"/>
      <c r="O320" s="109"/>
      <c r="P320" s="16"/>
      <c r="Q320" s="16"/>
      <c r="R320" s="109"/>
      <c r="S320" s="109"/>
      <c r="T320" s="109"/>
      <c r="U320" s="109"/>
      <c r="V320" s="109"/>
      <c r="W320" s="109"/>
      <c r="X320" s="109"/>
      <c r="Y320" s="109"/>
      <c r="Z320" s="109"/>
      <c r="AA320" s="109"/>
      <c r="AB320" s="109"/>
      <c r="AC320" s="16"/>
      <c r="AD320" s="16"/>
      <c r="AE320" s="16"/>
      <c r="AF320" s="16"/>
      <c r="AG320" s="16"/>
    </row>
    <row r="321" spans="1:33" x14ac:dyDescent="0.2">
      <c r="A321" s="16"/>
      <c r="B321" s="16"/>
      <c r="C321" s="16"/>
      <c r="D321" s="16"/>
      <c r="E321" s="16"/>
      <c r="F321" s="109"/>
      <c r="G321" s="109"/>
      <c r="H321" s="109"/>
      <c r="I321" s="109"/>
      <c r="J321" s="109"/>
      <c r="K321" s="109"/>
      <c r="L321" s="109"/>
      <c r="M321" s="109"/>
      <c r="N321" s="109"/>
      <c r="O321" s="109"/>
      <c r="P321" s="16"/>
      <c r="Q321" s="16"/>
      <c r="R321" s="109"/>
      <c r="S321" s="109"/>
      <c r="T321" s="109"/>
      <c r="U321" s="109"/>
      <c r="V321" s="109"/>
      <c r="W321" s="109"/>
      <c r="X321" s="109"/>
      <c r="Y321" s="109"/>
      <c r="Z321" s="109"/>
      <c r="AA321" s="109"/>
      <c r="AB321" s="109"/>
      <c r="AC321" s="16"/>
      <c r="AD321" s="16"/>
      <c r="AE321" s="16"/>
      <c r="AF321" s="16"/>
      <c r="AG321" s="16"/>
    </row>
    <row r="322" spans="1:33" x14ac:dyDescent="0.2">
      <c r="A322" s="16"/>
      <c r="B322" s="16"/>
      <c r="C322" s="16"/>
      <c r="D322" s="16"/>
      <c r="E322" s="16"/>
      <c r="F322" s="109"/>
      <c r="G322" s="109"/>
      <c r="H322" s="109"/>
      <c r="I322" s="109"/>
      <c r="J322" s="109"/>
      <c r="K322" s="109"/>
      <c r="L322" s="109"/>
      <c r="M322" s="109"/>
      <c r="N322" s="109"/>
      <c r="O322" s="109"/>
      <c r="P322" s="16"/>
      <c r="Q322" s="16"/>
      <c r="R322" s="109"/>
      <c r="S322" s="109"/>
      <c r="T322" s="109"/>
      <c r="U322" s="109"/>
      <c r="V322" s="109"/>
      <c r="W322" s="109"/>
      <c r="X322" s="109"/>
      <c r="Y322" s="109"/>
      <c r="Z322" s="109"/>
      <c r="AA322" s="109"/>
      <c r="AB322" s="109"/>
      <c r="AC322" s="16"/>
      <c r="AD322" s="16"/>
      <c r="AE322" s="16"/>
      <c r="AF322" s="16"/>
      <c r="AG322" s="16"/>
    </row>
    <row r="323" spans="1:33" x14ac:dyDescent="0.2">
      <c r="A323" s="16"/>
      <c r="B323" s="16"/>
      <c r="C323" s="16"/>
      <c r="D323" s="16"/>
      <c r="E323" s="16"/>
      <c r="F323" s="109"/>
      <c r="G323" s="109"/>
      <c r="H323" s="109"/>
      <c r="I323" s="109"/>
      <c r="J323" s="109"/>
      <c r="K323" s="109"/>
      <c r="L323" s="109"/>
      <c r="M323" s="109"/>
      <c r="N323" s="109"/>
      <c r="O323" s="109"/>
      <c r="P323" s="16"/>
      <c r="Q323" s="16"/>
      <c r="R323" s="109"/>
      <c r="S323" s="109"/>
      <c r="T323" s="109"/>
      <c r="U323" s="109"/>
      <c r="V323" s="109"/>
      <c r="W323" s="109"/>
      <c r="X323" s="109"/>
      <c r="Y323" s="109"/>
      <c r="Z323" s="109"/>
      <c r="AA323" s="109"/>
      <c r="AB323" s="109"/>
      <c r="AC323" s="16"/>
      <c r="AD323" s="16"/>
      <c r="AE323" s="16"/>
      <c r="AF323" s="16"/>
      <c r="AG323" s="16"/>
    </row>
    <row r="324" spans="1:33" x14ac:dyDescent="0.2">
      <c r="A324" s="16"/>
      <c r="B324" s="16"/>
      <c r="C324" s="16"/>
      <c r="D324" s="16"/>
      <c r="E324" s="16"/>
      <c r="F324" s="109"/>
      <c r="G324" s="109"/>
      <c r="H324" s="109"/>
      <c r="I324" s="109"/>
      <c r="J324" s="109"/>
      <c r="K324" s="109"/>
      <c r="L324" s="109"/>
      <c r="M324" s="109"/>
      <c r="N324" s="109"/>
      <c r="O324" s="109"/>
      <c r="P324" s="16"/>
      <c r="Q324" s="16"/>
      <c r="R324" s="109"/>
      <c r="S324" s="109"/>
      <c r="T324" s="109"/>
      <c r="U324" s="109"/>
      <c r="V324" s="109"/>
      <c r="W324" s="109"/>
      <c r="X324" s="109"/>
      <c r="Y324" s="109"/>
      <c r="Z324" s="109"/>
      <c r="AA324" s="109"/>
      <c r="AB324" s="109"/>
      <c r="AC324" s="16"/>
      <c r="AD324" s="16"/>
      <c r="AE324" s="16"/>
      <c r="AF324" s="16"/>
      <c r="AG324" s="16"/>
    </row>
    <row r="325" spans="1:33" x14ac:dyDescent="0.2">
      <c r="A325" s="16"/>
      <c r="B325" s="16"/>
      <c r="C325" s="16"/>
      <c r="D325" s="16"/>
      <c r="E325" s="16"/>
      <c r="F325" s="109"/>
      <c r="G325" s="109"/>
      <c r="H325" s="109"/>
      <c r="I325" s="109"/>
      <c r="J325" s="109"/>
      <c r="K325" s="109"/>
      <c r="L325" s="109"/>
      <c r="M325" s="109"/>
      <c r="N325" s="109"/>
      <c r="O325" s="109"/>
      <c r="P325" s="16"/>
      <c r="Q325" s="16"/>
      <c r="R325" s="109"/>
      <c r="S325" s="109"/>
      <c r="T325" s="109"/>
      <c r="U325" s="109"/>
      <c r="V325" s="109"/>
      <c r="W325" s="109"/>
      <c r="X325" s="109"/>
      <c r="Y325" s="109"/>
      <c r="Z325" s="109"/>
      <c r="AA325" s="109"/>
      <c r="AB325" s="109"/>
      <c r="AC325" s="16"/>
      <c r="AD325" s="16"/>
      <c r="AE325" s="16"/>
      <c r="AF325" s="16"/>
      <c r="AG325" s="16"/>
    </row>
    <row r="326" spans="1:33" x14ac:dyDescent="0.2">
      <c r="A326" s="16"/>
      <c r="B326" s="16"/>
      <c r="C326" s="16"/>
      <c r="D326" s="16"/>
      <c r="E326" s="16"/>
      <c r="F326" s="109"/>
      <c r="G326" s="109"/>
      <c r="H326" s="109"/>
      <c r="I326" s="109"/>
      <c r="J326" s="109"/>
      <c r="K326" s="109"/>
      <c r="L326" s="109"/>
      <c r="M326" s="109"/>
      <c r="N326" s="109"/>
      <c r="O326" s="109"/>
      <c r="P326" s="16"/>
      <c r="Q326" s="16"/>
      <c r="R326" s="109"/>
      <c r="S326" s="109"/>
      <c r="T326" s="109"/>
      <c r="U326" s="109"/>
      <c r="V326" s="109"/>
      <c r="W326" s="109"/>
      <c r="X326" s="109"/>
      <c r="Y326" s="109"/>
      <c r="Z326" s="109"/>
      <c r="AA326" s="109"/>
      <c r="AB326" s="109"/>
      <c r="AC326" s="16"/>
      <c r="AD326" s="16"/>
      <c r="AE326" s="16"/>
      <c r="AF326" s="16"/>
      <c r="AG326" s="16"/>
    </row>
    <row r="327" spans="1:33" x14ac:dyDescent="0.2">
      <c r="A327" s="16"/>
      <c r="B327" s="16"/>
      <c r="C327" s="16"/>
      <c r="D327" s="16"/>
      <c r="E327" s="16"/>
      <c r="F327" s="109"/>
      <c r="G327" s="109"/>
      <c r="H327" s="109"/>
      <c r="I327" s="109"/>
      <c r="J327" s="109"/>
      <c r="K327" s="109"/>
      <c r="L327" s="109"/>
      <c r="M327" s="109"/>
      <c r="N327" s="109"/>
      <c r="O327" s="109"/>
      <c r="P327" s="16"/>
      <c r="Q327" s="16"/>
      <c r="R327" s="109"/>
      <c r="S327" s="109"/>
      <c r="T327" s="109"/>
      <c r="U327" s="109"/>
      <c r="V327" s="109"/>
      <c r="W327" s="109"/>
      <c r="X327" s="109"/>
      <c r="Y327" s="109"/>
      <c r="Z327" s="109"/>
      <c r="AA327" s="109"/>
      <c r="AB327" s="109"/>
      <c r="AC327" s="16"/>
      <c r="AD327" s="16"/>
      <c r="AE327" s="16"/>
      <c r="AF327" s="16"/>
      <c r="AG327" s="16"/>
    </row>
    <row r="328" spans="1:33" x14ac:dyDescent="0.2">
      <c r="A328" s="16"/>
      <c r="B328" s="16"/>
      <c r="C328" s="16"/>
      <c r="D328" s="16"/>
      <c r="E328" s="16"/>
      <c r="F328" s="109"/>
      <c r="G328" s="109"/>
      <c r="H328" s="109"/>
      <c r="I328" s="109"/>
      <c r="J328" s="109"/>
      <c r="K328" s="109"/>
      <c r="L328" s="109"/>
      <c r="M328" s="109"/>
      <c r="N328" s="109"/>
      <c r="O328" s="109"/>
      <c r="P328" s="16"/>
      <c r="Q328" s="16"/>
      <c r="R328" s="109"/>
      <c r="S328" s="109"/>
      <c r="T328" s="109"/>
      <c r="U328" s="109"/>
      <c r="V328" s="109"/>
      <c r="W328" s="109"/>
      <c r="X328" s="109"/>
      <c r="Y328" s="109"/>
      <c r="Z328" s="109"/>
      <c r="AA328" s="109"/>
      <c r="AB328" s="109"/>
      <c r="AC328" s="16"/>
      <c r="AD328" s="16"/>
      <c r="AE328" s="16"/>
      <c r="AF328" s="16"/>
      <c r="AG328" s="16"/>
    </row>
    <row r="329" spans="1:33" x14ac:dyDescent="0.2">
      <c r="A329" s="16"/>
      <c r="B329" s="16"/>
      <c r="C329" s="16"/>
      <c r="D329" s="16"/>
      <c r="E329" s="16"/>
      <c r="F329" s="109"/>
      <c r="G329" s="109"/>
      <c r="H329" s="109"/>
      <c r="I329" s="109"/>
      <c r="J329" s="109"/>
      <c r="K329" s="109"/>
      <c r="L329" s="109"/>
      <c r="M329" s="109"/>
      <c r="N329" s="109"/>
      <c r="O329" s="109"/>
      <c r="P329" s="16"/>
      <c r="Q329" s="16"/>
      <c r="R329" s="109"/>
      <c r="S329" s="109"/>
      <c r="T329" s="109"/>
      <c r="U329" s="109"/>
      <c r="V329" s="109"/>
      <c r="W329" s="109"/>
      <c r="X329" s="109"/>
      <c r="Y329" s="109"/>
      <c r="Z329" s="109"/>
      <c r="AA329" s="109"/>
      <c r="AB329" s="109"/>
      <c r="AC329" s="16"/>
      <c r="AD329" s="16"/>
      <c r="AE329" s="16"/>
      <c r="AF329" s="16"/>
      <c r="AG329" s="16"/>
    </row>
    <row r="330" spans="1:33" x14ac:dyDescent="0.2">
      <c r="A330" s="16"/>
      <c r="B330" s="16"/>
      <c r="C330" s="16"/>
      <c r="D330" s="16"/>
      <c r="E330" s="16"/>
      <c r="F330" s="109"/>
      <c r="G330" s="109"/>
      <c r="H330" s="109"/>
      <c r="I330" s="109"/>
      <c r="J330" s="109"/>
      <c r="K330" s="109"/>
      <c r="L330" s="109"/>
      <c r="M330" s="109"/>
      <c r="N330" s="109"/>
      <c r="O330" s="109"/>
      <c r="P330" s="16"/>
      <c r="Q330" s="16"/>
      <c r="R330" s="109"/>
      <c r="S330" s="109"/>
      <c r="T330" s="109"/>
      <c r="U330" s="109"/>
      <c r="V330" s="109"/>
      <c r="W330" s="109"/>
      <c r="X330" s="109"/>
      <c r="Y330" s="109"/>
      <c r="Z330" s="109"/>
      <c r="AA330" s="109"/>
      <c r="AB330" s="109"/>
      <c r="AC330" s="16"/>
      <c r="AD330" s="16"/>
      <c r="AE330" s="16"/>
      <c r="AF330" s="16"/>
      <c r="AG330" s="16"/>
    </row>
    <row r="331" spans="1:33" x14ac:dyDescent="0.2">
      <c r="A331" s="16"/>
      <c r="B331" s="16"/>
      <c r="C331" s="16"/>
      <c r="D331" s="16"/>
      <c r="E331" s="16"/>
      <c r="F331" s="109"/>
      <c r="G331" s="109"/>
      <c r="H331" s="109"/>
      <c r="I331" s="109"/>
      <c r="J331" s="109"/>
      <c r="K331" s="109"/>
      <c r="L331" s="109"/>
      <c r="M331" s="109"/>
      <c r="N331" s="109"/>
      <c r="O331" s="109"/>
      <c r="P331" s="16"/>
      <c r="Q331" s="16"/>
      <c r="R331" s="109"/>
      <c r="S331" s="109"/>
      <c r="T331" s="109"/>
      <c r="U331" s="109"/>
      <c r="V331" s="109"/>
      <c r="W331" s="109"/>
      <c r="X331" s="109"/>
      <c r="Y331" s="109"/>
      <c r="Z331" s="109"/>
      <c r="AA331" s="109"/>
      <c r="AB331" s="109"/>
      <c r="AC331" s="16"/>
      <c r="AD331" s="16"/>
      <c r="AE331" s="16"/>
      <c r="AF331" s="16"/>
      <c r="AG331" s="16"/>
    </row>
    <row r="332" spans="1:33" x14ac:dyDescent="0.2">
      <c r="A332" s="16"/>
      <c r="B332" s="16"/>
      <c r="C332" s="16"/>
      <c r="D332" s="16"/>
      <c r="E332" s="16"/>
      <c r="F332" s="109"/>
      <c r="G332" s="109"/>
      <c r="H332" s="109"/>
      <c r="I332" s="109"/>
      <c r="J332" s="109"/>
      <c r="K332" s="109"/>
      <c r="L332" s="109"/>
      <c r="M332" s="109"/>
      <c r="N332" s="109"/>
      <c r="O332" s="109"/>
      <c r="P332" s="16"/>
      <c r="Q332" s="16"/>
      <c r="R332" s="109"/>
      <c r="S332" s="109"/>
      <c r="T332" s="109"/>
      <c r="U332" s="109"/>
      <c r="V332" s="109"/>
      <c r="W332" s="109"/>
      <c r="X332" s="109"/>
      <c r="Y332" s="109"/>
      <c r="Z332" s="109"/>
      <c r="AA332" s="109"/>
      <c r="AB332" s="109"/>
      <c r="AC332" s="16"/>
      <c r="AD332" s="16"/>
      <c r="AE332" s="16"/>
      <c r="AF332" s="16"/>
      <c r="AG332" s="16"/>
    </row>
    <row r="333" spans="1:33" x14ac:dyDescent="0.2">
      <c r="A333" s="16"/>
      <c r="B333" s="16"/>
      <c r="C333" s="16"/>
      <c r="D333" s="16"/>
      <c r="E333" s="16"/>
      <c r="F333" s="109"/>
      <c r="G333" s="109"/>
      <c r="H333" s="109"/>
      <c r="I333" s="109"/>
      <c r="J333" s="109"/>
      <c r="K333" s="109"/>
      <c r="L333" s="109"/>
      <c r="M333" s="109"/>
      <c r="N333" s="109"/>
      <c r="O333" s="109"/>
      <c r="P333" s="16"/>
      <c r="Q333" s="16"/>
      <c r="R333" s="109"/>
      <c r="S333" s="109"/>
      <c r="T333" s="109"/>
      <c r="U333" s="109"/>
      <c r="V333" s="109"/>
      <c r="W333" s="109"/>
      <c r="X333" s="109"/>
      <c r="Y333" s="109"/>
      <c r="Z333" s="109"/>
      <c r="AA333" s="109"/>
      <c r="AB333" s="109"/>
      <c r="AC333" s="16"/>
      <c r="AD333" s="16"/>
      <c r="AE333" s="16"/>
      <c r="AF333" s="16"/>
      <c r="AG333" s="16"/>
    </row>
    <row r="334" spans="1:33" x14ac:dyDescent="0.2">
      <c r="A334" s="16"/>
      <c r="B334" s="16"/>
      <c r="C334" s="16"/>
      <c r="D334" s="16"/>
      <c r="E334" s="16"/>
      <c r="F334" s="109"/>
      <c r="G334" s="109"/>
      <c r="H334" s="109"/>
      <c r="I334" s="109"/>
      <c r="J334" s="109"/>
      <c r="K334" s="109"/>
      <c r="L334" s="109"/>
      <c r="M334" s="109"/>
      <c r="N334" s="109"/>
      <c r="O334" s="109"/>
      <c r="P334" s="16"/>
      <c r="Q334" s="16"/>
      <c r="R334" s="109"/>
      <c r="S334" s="109"/>
      <c r="T334" s="109"/>
      <c r="U334" s="109"/>
      <c r="V334" s="109"/>
      <c r="W334" s="109"/>
      <c r="X334" s="109"/>
      <c r="Y334" s="109"/>
      <c r="Z334" s="109"/>
      <c r="AA334" s="109"/>
      <c r="AB334" s="109"/>
      <c r="AC334" s="16"/>
      <c r="AD334" s="16"/>
      <c r="AE334" s="16"/>
      <c r="AF334" s="16"/>
      <c r="AG334" s="16"/>
    </row>
    <row r="335" spans="1:33" x14ac:dyDescent="0.2">
      <c r="A335" s="16"/>
      <c r="B335" s="16"/>
      <c r="C335" s="16"/>
      <c r="D335" s="16"/>
      <c r="E335" s="16"/>
      <c r="F335" s="109"/>
      <c r="G335" s="109"/>
      <c r="H335" s="109"/>
      <c r="I335" s="109"/>
      <c r="J335" s="109"/>
      <c r="K335" s="109"/>
      <c r="L335" s="109"/>
      <c r="M335" s="109"/>
      <c r="N335" s="109"/>
      <c r="O335" s="109"/>
      <c r="P335" s="16"/>
      <c r="Q335" s="16"/>
      <c r="R335" s="109"/>
      <c r="S335" s="109"/>
      <c r="T335" s="109"/>
      <c r="U335" s="109"/>
      <c r="V335" s="109"/>
      <c r="W335" s="109"/>
      <c r="X335" s="109"/>
      <c r="Y335" s="109"/>
      <c r="Z335" s="109"/>
      <c r="AA335" s="109"/>
      <c r="AB335" s="109"/>
      <c r="AC335" s="16"/>
      <c r="AD335" s="16"/>
      <c r="AE335" s="16"/>
      <c r="AF335" s="16"/>
      <c r="AG335" s="16"/>
    </row>
    <row r="336" spans="1:33" x14ac:dyDescent="0.2">
      <c r="A336" s="16"/>
      <c r="B336" s="16"/>
      <c r="C336" s="16"/>
      <c r="D336" s="16"/>
      <c r="E336" s="16"/>
      <c r="F336" s="109"/>
      <c r="G336" s="109"/>
      <c r="H336" s="109"/>
      <c r="I336" s="109"/>
      <c r="J336" s="109"/>
      <c r="K336" s="109"/>
      <c r="L336" s="109"/>
      <c r="M336" s="109"/>
      <c r="N336" s="109"/>
      <c r="O336" s="109"/>
      <c r="P336" s="16"/>
      <c r="Q336" s="16"/>
      <c r="R336" s="109"/>
      <c r="S336" s="109"/>
      <c r="T336" s="109"/>
      <c r="U336" s="109"/>
      <c r="V336" s="109"/>
      <c r="W336" s="109"/>
      <c r="X336" s="109"/>
      <c r="Y336" s="109"/>
      <c r="Z336" s="109"/>
      <c r="AA336" s="109"/>
      <c r="AB336" s="109"/>
      <c r="AC336" s="16"/>
      <c r="AD336" s="16"/>
      <c r="AE336" s="16"/>
      <c r="AF336" s="16"/>
      <c r="AG336" s="16"/>
    </row>
    <row r="337" spans="1:33" x14ac:dyDescent="0.2">
      <c r="A337" s="16"/>
      <c r="B337" s="16"/>
      <c r="C337" s="16"/>
      <c r="D337" s="16"/>
      <c r="E337" s="16"/>
      <c r="F337" s="109"/>
      <c r="G337" s="109"/>
      <c r="H337" s="109"/>
      <c r="I337" s="109"/>
      <c r="J337" s="109"/>
      <c r="K337" s="109"/>
      <c r="L337" s="109"/>
      <c r="M337" s="109"/>
      <c r="N337" s="109"/>
      <c r="O337" s="109"/>
      <c r="P337" s="16"/>
      <c r="Q337" s="16"/>
      <c r="R337" s="109"/>
      <c r="S337" s="109"/>
      <c r="T337" s="109"/>
      <c r="U337" s="109"/>
      <c r="V337" s="109"/>
      <c r="W337" s="109"/>
      <c r="X337" s="109"/>
      <c r="Y337" s="109"/>
      <c r="Z337" s="109"/>
      <c r="AA337" s="109"/>
      <c r="AB337" s="109"/>
      <c r="AC337" s="16"/>
      <c r="AD337" s="16"/>
      <c r="AE337" s="16"/>
      <c r="AF337" s="16"/>
      <c r="AG337" s="16"/>
    </row>
    <row r="338" spans="1:33" x14ac:dyDescent="0.2">
      <c r="A338" s="16"/>
      <c r="B338" s="16"/>
      <c r="C338" s="16"/>
      <c r="D338" s="16"/>
      <c r="E338" s="16"/>
      <c r="F338" s="109"/>
      <c r="G338" s="109"/>
      <c r="H338" s="109"/>
      <c r="I338" s="109"/>
      <c r="J338" s="109"/>
      <c r="K338" s="109"/>
      <c r="L338" s="109"/>
      <c r="M338" s="109"/>
      <c r="N338" s="109"/>
      <c r="O338" s="109"/>
      <c r="P338" s="16"/>
      <c r="Q338" s="16"/>
      <c r="R338" s="109"/>
      <c r="S338" s="109"/>
      <c r="T338" s="109"/>
      <c r="U338" s="109"/>
      <c r="V338" s="109"/>
      <c r="W338" s="109"/>
      <c r="X338" s="109"/>
      <c r="Y338" s="109"/>
      <c r="Z338" s="109"/>
      <c r="AA338" s="109"/>
      <c r="AB338" s="109"/>
      <c r="AC338" s="16"/>
      <c r="AD338" s="16"/>
      <c r="AE338" s="16"/>
      <c r="AF338" s="16"/>
      <c r="AG338" s="16"/>
    </row>
    <row r="339" spans="1:33" x14ac:dyDescent="0.2">
      <c r="A339" s="16"/>
      <c r="B339" s="16"/>
      <c r="C339" s="16"/>
      <c r="D339" s="16"/>
      <c r="E339" s="16"/>
      <c r="F339" s="109"/>
      <c r="G339" s="109"/>
      <c r="H339" s="109"/>
      <c r="I339" s="109"/>
      <c r="J339" s="109"/>
      <c r="K339" s="109"/>
      <c r="L339" s="109"/>
      <c r="M339" s="109"/>
      <c r="N339" s="109"/>
      <c r="O339" s="109"/>
      <c r="P339" s="16"/>
      <c r="Q339" s="16"/>
      <c r="R339" s="109"/>
      <c r="S339" s="109"/>
      <c r="T339" s="109"/>
      <c r="U339" s="109"/>
      <c r="V339" s="109"/>
      <c r="W339" s="109"/>
      <c r="X339" s="109"/>
      <c r="Y339" s="109"/>
      <c r="Z339" s="109"/>
      <c r="AA339" s="109"/>
      <c r="AB339" s="109"/>
      <c r="AC339" s="16"/>
      <c r="AD339" s="16"/>
      <c r="AE339" s="16"/>
      <c r="AF339" s="16"/>
      <c r="AG339" s="16"/>
    </row>
    <row r="340" spans="1:33" x14ac:dyDescent="0.2">
      <c r="A340" s="16"/>
      <c r="B340" s="16"/>
      <c r="C340" s="16"/>
      <c r="D340" s="16"/>
      <c r="E340" s="16"/>
      <c r="F340" s="109"/>
      <c r="G340" s="109"/>
      <c r="H340" s="109"/>
      <c r="I340" s="109"/>
      <c r="J340" s="109"/>
      <c r="K340" s="109"/>
      <c r="L340" s="109"/>
      <c r="M340" s="109"/>
      <c r="N340" s="109"/>
      <c r="O340" s="109"/>
      <c r="P340" s="16"/>
      <c r="Q340" s="16"/>
      <c r="R340" s="109"/>
      <c r="S340" s="109"/>
      <c r="T340" s="109"/>
      <c r="U340" s="109"/>
      <c r="V340" s="109"/>
      <c r="W340" s="109"/>
      <c r="X340" s="109"/>
      <c r="Y340" s="109"/>
      <c r="Z340" s="109"/>
      <c r="AA340" s="109"/>
      <c r="AB340" s="109"/>
      <c r="AC340" s="16"/>
      <c r="AD340" s="16"/>
      <c r="AE340" s="16"/>
      <c r="AF340" s="16"/>
      <c r="AG340" s="16"/>
    </row>
    <row r="341" spans="1:33" x14ac:dyDescent="0.2">
      <c r="A341" s="16"/>
      <c r="B341" s="16"/>
      <c r="C341" s="16"/>
      <c r="D341" s="16"/>
      <c r="E341" s="16"/>
      <c r="F341" s="109"/>
      <c r="G341" s="109"/>
      <c r="H341" s="109"/>
      <c r="I341" s="109"/>
      <c r="J341" s="109"/>
      <c r="K341" s="109"/>
      <c r="L341" s="109"/>
      <c r="M341" s="109"/>
      <c r="N341" s="109"/>
      <c r="O341" s="109"/>
      <c r="P341" s="16"/>
      <c r="Q341" s="16"/>
      <c r="R341" s="109"/>
      <c r="S341" s="109"/>
      <c r="T341" s="109"/>
      <c r="U341" s="109"/>
      <c r="V341" s="109"/>
      <c r="W341" s="109"/>
      <c r="X341" s="109"/>
      <c r="Y341" s="109"/>
      <c r="Z341" s="109"/>
      <c r="AA341" s="109"/>
      <c r="AB341" s="109"/>
      <c r="AC341" s="16"/>
      <c r="AD341" s="16"/>
      <c r="AE341" s="16"/>
      <c r="AF341" s="16"/>
      <c r="AG341" s="16"/>
    </row>
    <row r="342" spans="1:33" x14ac:dyDescent="0.2">
      <c r="A342" s="16"/>
      <c r="B342" s="16"/>
      <c r="C342" s="16"/>
      <c r="D342" s="16"/>
      <c r="E342" s="16"/>
      <c r="F342" s="109"/>
      <c r="G342" s="109"/>
      <c r="H342" s="109"/>
      <c r="I342" s="109"/>
      <c r="J342" s="109"/>
      <c r="K342" s="109"/>
      <c r="L342" s="109"/>
      <c r="M342" s="109"/>
      <c r="N342" s="109"/>
      <c r="O342" s="109"/>
      <c r="P342" s="16"/>
      <c r="Q342" s="16"/>
      <c r="R342" s="109"/>
      <c r="S342" s="109"/>
      <c r="T342" s="109"/>
      <c r="U342" s="109"/>
      <c r="V342" s="109"/>
      <c r="W342" s="109"/>
      <c r="X342" s="109"/>
      <c r="Y342" s="109"/>
      <c r="Z342" s="109"/>
      <c r="AA342" s="109"/>
      <c r="AB342" s="109"/>
      <c r="AC342" s="16"/>
      <c r="AD342" s="16"/>
      <c r="AE342" s="16"/>
      <c r="AF342" s="16"/>
      <c r="AG342" s="16"/>
    </row>
    <row r="343" spans="1:33" x14ac:dyDescent="0.2">
      <c r="A343" s="16"/>
      <c r="B343" s="16"/>
      <c r="C343" s="16"/>
      <c r="D343" s="16"/>
      <c r="E343" s="16"/>
      <c r="F343" s="109"/>
      <c r="G343" s="109"/>
      <c r="H343" s="109"/>
      <c r="I343" s="109"/>
      <c r="J343" s="109"/>
      <c r="K343" s="109"/>
      <c r="L343" s="109"/>
      <c r="M343" s="109"/>
      <c r="N343" s="109"/>
      <c r="O343" s="109"/>
      <c r="P343" s="16"/>
      <c r="Q343" s="16"/>
      <c r="R343" s="109"/>
      <c r="S343" s="109"/>
      <c r="T343" s="109"/>
      <c r="U343" s="109"/>
      <c r="V343" s="109"/>
      <c r="W343" s="109"/>
      <c r="X343" s="109"/>
      <c r="Y343" s="109"/>
      <c r="Z343" s="109"/>
      <c r="AA343" s="109"/>
      <c r="AB343" s="109"/>
      <c r="AC343" s="16"/>
      <c r="AD343" s="16"/>
      <c r="AE343" s="16"/>
      <c r="AF343" s="16"/>
      <c r="AG343" s="16"/>
    </row>
    <row r="344" spans="1:33" x14ac:dyDescent="0.2">
      <c r="A344" s="16"/>
      <c r="B344" s="16"/>
      <c r="C344" s="16"/>
      <c r="D344" s="16"/>
      <c r="E344" s="16"/>
      <c r="F344" s="109"/>
      <c r="G344" s="109"/>
      <c r="H344" s="109"/>
      <c r="I344" s="109"/>
      <c r="J344" s="109"/>
      <c r="K344" s="109"/>
      <c r="L344" s="109"/>
      <c r="M344" s="109"/>
      <c r="N344" s="109"/>
      <c r="O344" s="109"/>
      <c r="P344" s="16"/>
      <c r="Q344" s="16"/>
      <c r="R344" s="109"/>
      <c r="S344" s="109"/>
      <c r="T344" s="109"/>
      <c r="U344" s="109"/>
      <c r="V344" s="109"/>
      <c r="W344" s="109"/>
      <c r="X344" s="109"/>
      <c r="Y344" s="109"/>
      <c r="Z344" s="109"/>
      <c r="AA344" s="109"/>
      <c r="AB344" s="109"/>
      <c r="AC344" s="16"/>
      <c r="AD344" s="16"/>
      <c r="AE344" s="16"/>
      <c r="AF344" s="16"/>
      <c r="AG344" s="16"/>
    </row>
    <row r="345" spans="1:33" x14ac:dyDescent="0.2">
      <c r="A345" s="16"/>
      <c r="B345" s="16"/>
      <c r="C345" s="16"/>
      <c r="D345" s="16"/>
      <c r="E345" s="16"/>
      <c r="F345" s="109"/>
      <c r="G345" s="109"/>
      <c r="H345" s="109"/>
      <c r="I345" s="109"/>
      <c r="J345" s="109"/>
      <c r="K345" s="109"/>
      <c r="L345" s="109"/>
      <c r="M345" s="109"/>
      <c r="N345" s="109"/>
      <c r="O345" s="109"/>
      <c r="P345" s="16"/>
      <c r="Q345" s="16"/>
      <c r="R345" s="109"/>
      <c r="S345" s="109"/>
      <c r="T345" s="109"/>
      <c r="U345" s="109"/>
      <c r="V345" s="109"/>
      <c r="W345" s="109"/>
      <c r="X345" s="109"/>
      <c r="Y345" s="109"/>
      <c r="Z345" s="109"/>
      <c r="AA345" s="109"/>
      <c r="AB345" s="109"/>
      <c r="AC345" s="16"/>
      <c r="AD345" s="16"/>
      <c r="AE345" s="16"/>
      <c r="AF345" s="16"/>
      <c r="AG345" s="16"/>
    </row>
    <row r="346" spans="1:33" x14ac:dyDescent="0.2">
      <c r="A346" s="16"/>
      <c r="B346" s="16"/>
      <c r="C346" s="16"/>
      <c r="D346" s="16"/>
      <c r="E346" s="16"/>
      <c r="F346" s="109"/>
      <c r="G346" s="109"/>
      <c r="H346" s="109"/>
      <c r="I346" s="109"/>
      <c r="J346" s="109"/>
      <c r="K346" s="109"/>
      <c r="L346" s="109"/>
      <c r="M346" s="109"/>
      <c r="N346" s="109"/>
      <c r="O346" s="109"/>
      <c r="P346" s="16"/>
      <c r="Q346" s="16"/>
      <c r="R346" s="109"/>
      <c r="S346" s="109"/>
      <c r="T346" s="109"/>
      <c r="U346" s="109"/>
      <c r="V346" s="109"/>
      <c r="W346" s="109"/>
      <c r="X346" s="109"/>
      <c r="Y346" s="109"/>
      <c r="Z346" s="109"/>
      <c r="AA346" s="109"/>
      <c r="AB346" s="109"/>
      <c r="AC346" s="16"/>
      <c r="AD346" s="16"/>
      <c r="AE346" s="16"/>
      <c r="AF346" s="16"/>
      <c r="AG346" s="16"/>
    </row>
    <row r="347" spans="1:33" x14ac:dyDescent="0.2">
      <c r="A347" s="16"/>
      <c r="B347" s="16"/>
      <c r="C347" s="16"/>
      <c r="D347" s="16"/>
      <c r="E347" s="16"/>
      <c r="F347" s="109"/>
      <c r="G347" s="109"/>
      <c r="H347" s="109"/>
      <c r="I347" s="109"/>
      <c r="J347" s="109"/>
      <c r="K347" s="109"/>
      <c r="L347" s="109"/>
      <c r="M347" s="109"/>
      <c r="N347" s="109"/>
      <c r="O347" s="109"/>
      <c r="P347" s="16"/>
      <c r="Q347" s="16"/>
      <c r="R347" s="109"/>
      <c r="S347" s="109"/>
      <c r="T347" s="109"/>
      <c r="U347" s="109"/>
      <c r="V347" s="109"/>
      <c r="W347" s="109"/>
      <c r="X347" s="109"/>
      <c r="Y347" s="109"/>
      <c r="Z347" s="109"/>
      <c r="AA347" s="109"/>
      <c r="AB347" s="109"/>
      <c r="AC347" s="16"/>
      <c r="AD347" s="16"/>
      <c r="AE347" s="16"/>
      <c r="AF347" s="16"/>
      <c r="AG347" s="16"/>
    </row>
    <row r="348" spans="1:33" x14ac:dyDescent="0.2">
      <c r="A348" s="16"/>
      <c r="B348" s="16"/>
      <c r="C348" s="16"/>
      <c r="D348" s="16"/>
      <c r="E348" s="16"/>
      <c r="F348" s="109"/>
      <c r="G348" s="109"/>
      <c r="H348" s="109"/>
      <c r="I348" s="109"/>
      <c r="J348" s="109"/>
      <c r="K348" s="109"/>
      <c r="L348" s="109"/>
      <c r="M348" s="109"/>
      <c r="N348" s="109"/>
      <c r="O348" s="109"/>
      <c r="P348" s="16"/>
      <c r="Q348" s="16"/>
      <c r="R348" s="109"/>
      <c r="S348" s="109"/>
      <c r="T348" s="109"/>
      <c r="U348" s="109"/>
      <c r="V348" s="109"/>
      <c r="W348" s="109"/>
      <c r="X348" s="109"/>
      <c r="Y348" s="109"/>
      <c r="Z348" s="109"/>
      <c r="AA348" s="109"/>
      <c r="AB348" s="109"/>
      <c r="AC348" s="16"/>
      <c r="AD348" s="16"/>
      <c r="AE348" s="16"/>
      <c r="AF348" s="16"/>
      <c r="AG348" s="16"/>
    </row>
    <row r="349" spans="1:33" x14ac:dyDescent="0.2">
      <c r="A349" s="16"/>
      <c r="B349" s="16"/>
      <c r="C349" s="16"/>
      <c r="D349" s="16"/>
      <c r="E349" s="16"/>
      <c r="F349" s="109"/>
      <c r="G349" s="109"/>
      <c r="H349" s="109"/>
      <c r="I349" s="109"/>
      <c r="J349" s="109"/>
      <c r="K349" s="109"/>
      <c r="L349" s="109"/>
      <c r="M349" s="109"/>
      <c r="N349" s="109"/>
      <c r="O349" s="109"/>
      <c r="P349" s="16"/>
      <c r="Q349" s="16"/>
      <c r="R349" s="109"/>
      <c r="S349" s="109"/>
      <c r="T349" s="109"/>
      <c r="U349" s="109"/>
      <c r="V349" s="109"/>
      <c r="W349" s="109"/>
      <c r="X349" s="109"/>
      <c r="Y349" s="109"/>
      <c r="Z349" s="109"/>
      <c r="AA349" s="109"/>
      <c r="AB349" s="109"/>
      <c r="AC349" s="16"/>
      <c r="AD349" s="16"/>
      <c r="AE349" s="16"/>
      <c r="AF349" s="16"/>
      <c r="AG349" s="16"/>
    </row>
    <row r="350" spans="1:33" x14ac:dyDescent="0.2">
      <c r="A350" s="16"/>
      <c r="B350" s="16"/>
      <c r="C350" s="16"/>
      <c r="D350" s="16"/>
      <c r="E350" s="16"/>
      <c r="F350" s="109"/>
      <c r="G350" s="109"/>
      <c r="H350" s="109"/>
      <c r="I350" s="109"/>
      <c r="J350" s="109"/>
      <c r="K350" s="109"/>
      <c r="L350" s="109"/>
      <c r="M350" s="109"/>
      <c r="N350" s="109"/>
      <c r="O350" s="109"/>
      <c r="P350" s="16"/>
      <c r="Q350" s="16"/>
      <c r="R350" s="109"/>
      <c r="S350" s="109"/>
      <c r="T350" s="109"/>
      <c r="U350" s="109"/>
      <c r="V350" s="109"/>
      <c r="W350" s="109"/>
      <c r="X350" s="109"/>
      <c r="Y350" s="109"/>
      <c r="Z350" s="109"/>
      <c r="AA350" s="109"/>
      <c r="AB350" s="109"/>
      <c r="AC350" s="16"/>
      <c r="AD350" s="16"/>
      <c r="AE350" s="16"/>
      <c r="AF350" s="16"/>
      <c r="AG350" s="16"/>
    </row>
    <row r="351" spans="1:33" x14ac:dyDescent="0.2">
      <c r="A351" s="16"/>
      <c r="B351" s="16"/>
      <c r="C351" s="16"/>
      <c r="D351" s="16"/>
      <c r="E351" s="16"/>
      <c r="F351" s="109"/>
      <c r="G351" s="109"/>
      <c r="H351" s="109"/>
      <c r="I351" s="109"/>
      <c r="J351" s="109"/>
      <c r="K351" s="109"/>
      <c r="L351" s="109"/>
      <c r="M351" s="109"/>
      <c r="N351" s="109"/>
      <c r="O351" s="109"/>
      <c r="P351" s="16"/>
      <c r="Q351" s="16"/>
      <c r="R351" s="109"/>
      <c r="S351" s="109"/>
      <c r="T351" s="109"/>
      <c r="U351" s="109"/>
      <c r="V351" s="109"/>
      <c r="W351" s="109"/>
      <c r="X351" s="109"/>
      <c r="Y351" s="109"/>
      <c r="Z351" s="109"/>
      <c r="AA351" s="109"/>
      <c r="AB351" s="109"/>
      <c r="AC351" s="16"/>
      <c r="AD351" s="16"/>
      <c r="AE351" s="16"/>
      <c r="AF351" s="16"/>
      <c r="AG351" s="16"/>
    </row>
    <row r="352" spans="1:33" x14ac:dyDescent="0.2">
      <c r="A352" s="16"/>
      <c r="B352" s="16"/>
      <c r="C352" s="16"/>
      <c r="D352" s="16"/>
      <c r="E352" s="16"/>
      <c r="F352" s="109"/>
      <c r="G352" s="109"/>
      <c r="H352" s="109"/>
      <c r="I352" s="109"/>
      <c r="J352" s="109"/>
      <c r="K352" s="109"/>
      <c r="L352" s="109"/>
      <c r="M352" s="109"/>
      <c r="N352" s="109"/>
      <c r="O352" s="109"/>
      <c r="P352" s="16"/>
      <c r="Q352" s="16"/>
      <c r="R352" s="109"/>
      <c r="S352" s="109"/>
      <c r="T352" s="109"/>
      <c r="U352" s="109"/>
      <c r="V352" s="109"/>
      <c r="W352" s="109"/>
      <c r="X352" s="109"/>
      <c r="Y352" s="109"/>
      <c r="Z352" s="109"/>
      <c r="AA352" s="109"/>
      <c r="AB352" s="109"/>
      <c r="AC352" s="16"/>
      <c r="AD352" s="16"/>
      <c r="AE352" s="16"/>
      <c r="AF352" s="16"/>
      <c r="AG352" s="16"/>
    </row>
    <row r="353" spans="1:33" x14ac:dyDescent="0.2">
      <c r="A353" s="16"/>
      <c r="B353" s="16"/>
      <c r="C353" s="16"/>
      <c r="D353" s="16"/>
      <c r="E353" s="16"/>
      <c r="F353" s="109"/>
      <c r="G353" s="109"/>
      <c r="H353" s="109"/>
      <c r="I353" s="109"/>
      <c r="J353" s="109"/>
      <c r="K353" s="109"/>
      <c r="L353" s="109"/>
      <c r="M353" s="109"/>
      <c r="N353" s="109"/>
      <c r="O353" s="109"/>
      <c r="P353" s="16"/>
      <c r="Q353" s="16"/>
      <c r="R353" s="109"/>
      <c r="S353" s="109"/>
      <c r="T353" s="109"/>
      <c r="U353" s="109"/>
      <c r="V353" s="109"/>
      <c r="W353" s="109"/>
      <c r="X353" s="109"/>
      <c r="Y353" s="109"/>
      <c r="Z353" s="109"/>
      <c r="AA353" s="109"/>
      <c r="AB353" s="109"/>
      <c r="AC353" s="16"/>
      <c r="AD353" s="16"/>
      <c r="AE353" s="16"/>
      <c r="AF353" s="16"/>
      <c r="AG353" s="16"/>
    </row>
    <row r="354" spans="1:33" x14ac:dyDescent="0.2">
      <c r="A354" s="16"/>
      <c r="B354" s="16"/>
      <c r="C354" s="16"/>
      <c r="D354" s="16"/>
      <c r="E354" s="16"/>
      <c r="F354" s="109"/>
      <c r="G354" s="109"/>
      <c r="H354" s="109"/>
      <c r="I354" s="109"/>
      <c r="J354" s="109"/>
      <c r="K354" s="109"/>
      <c r="L354" s="109"/>
      <c r="M354" s="109"/>
      <c r="N354" s="109"/>
      <c r="O354" s="109"/>
      <c r="P354" s="16"/>
      <c r="Q354" s="16"/>
      <c r="R354" s="109"/>
      <c r="S354" s="109"/>
      <c r="T354" s="109"/>
      <c r="U354" s="109"/>
      <c r="V354" s="109"/>
      <c r="W354" s="109"/>
      <c r="X354" s="109"/>
      <c r="Y354" s="109"/>
      <c r="Z354" s="109"/>
      <c r="AA354" s="109"/>
      <c r="AB354" s="109"/>
      <c r="AC354" s="16"/>
      <c r="AD354" s="16"/>
      <c r="AE354" s="16"/>
      <c r="AF354" s="16"/>
      <c r="AG354" s="16"/>
    </row>
    <row r="355" spans="1:33" x14ac:dyDescent="0.2">
      <c r="A355" s="16"/>
      <c r="B355" s="16"/>
      <c r="C355" s="16"/>
      <c r="D355" s="16"/>
      <c r="E355" s="16"/>
      <c r="F355" s="109"/>
      <c r="G355" s="109"/>
      <c r="H355" s="109"/>
      <c r="I355" s="109"/>
      <c r="J355" s="109"/>
      <c r="K355" s="109"/>
      <c r="L355" s="109"/>
      <c r="M355" s="109"/>
      <c r="N355" s="109"/>
      <c r="O355" s="109"/>
      <c r="P355" s="16"/>
      <c r="Q355" s="16"/>
      <c r="R355" s="109"/>
      <c r="S355" s="109"/>
      <c r="T355" s="109"/>
      <c r="U355" s="109"/>
      <c r="V355" s="109"/>
      <c r="W355" s="109"/>
      <c r="X355" s="109"/>
      <c r="Y355" s="109"/>
      <c r="Z355" s="109"/>
      <c r="AA355" s="109"/>
      <c r="AB355" s="109"/>
      <c r="AC355" s="16"/>
      <c r="AD355" s="16"/>
      <c r="AE355" s="16"/>
      <c r="AF355" s="16"/>
      <c r="AG355" s="16"/>
    </row>
    <row r="356" spans="1:33" x14ac:dyDescent="0.2">
      <c r="A356" s="16"/>
      <c r="B356" s="16"/>
      <c r="C356" s="16"/>
      <c r="D356" s="16"/>
      <c r="E356" s="16"/>
      <c r="F356" s="109"/>
      <c r="G356" s="109"/>
      <c r="H356" s="109"/>
      <c r="I356" s="109"/>
      <c r="J356" s="109"/>
      <c r="K356" s="109"/>
      <c r="L356" s="109"/>
      <c r="M356" s="109"/>
      <c r="N356" s="109"/>
      <c r="O356" s="109"/>
      <c r="P356" s="16"/>
      <c r="Q356" s="16"/>
      <c r="R356" s="109"/>
      <c r="S356" s="109"/>
      <c r="T356" s="109"/>
      <c r="U356" s="109"/>
      <c r="V356" s="109"/>
      <c r="W356" s="109"/>
      <c r="X356" s="109"/>
      <c r="Y356" s="109"/>
      <c r="Z356" s="109"/>
      <c r="AA356" s="109"/>
      <c r="AB356" s="109"/>
      <c r="AC356" s="16"/>
      <c r="AD356" s="16"/>
      <c r="AE356" s="16"/>
      <c r="AF356" s="16"/>
      <c r="AG356" s="16"/>
    </row>
    <row r="357" spans="1:33" x14ac:dyDescent="0.2">
      <c r="A357" s="16"/>
      <c r="B357" s="16"/>
      <c r="C357" s="16"/>
      <c r="D357" s="16"/>
      <c r="E357" s="16"/>
      <c r="F357" s="109"/>
      <c r="G357" s="109"/>
      <c r="H357" s="109"/>
      <c r="I357" s="109"/>
      <c r="J357" s="109"/>
      <c r="K357" s="109"/>
      <c r="L357" s="109"/>
      <c r="M357" s="109"/>
      <c r="N357" s="109"/>
      <c r="O357" s="109"/>
      <c r="P357" s="16"/>
      <c r="Q357" s="16"/>
      <c r="R357" s="109"/>
      <c r="S357" s="109"/>
      <c r="T357" s="109"/>
      <c r="U357" s="109"/>
      <c r="V357" s="109"/>
      <c r="W357" s="109"/>
      <c r="X357" s="109"/>
      <c r="Y357" s="109"/>
      <c r="Z357" s="109"/>
      <c r="AA357" s="109"/>
      <c r="AB357" s="109"/>
      <c r="AC357" s="16"/>
      <c r="AD357" s="16"/>
      <c r="AE357" s="16"/>
      <c r="AF357" s="16"/>
      <c r="AG357" s="16"/>
    </row>
    <row r="358" spans="1:33" x14ac:dyDescent="0.2">
      <c r="A358" s="16"/>
      <c r="B358" s="16"/>
      <c r="C358" s="16"/>
      <c r="D358" s="16"/>
      <c r="E358" s="16"/>
      <c r="F358" s="109"/>
      <c r="G358" s="109"/>
      <c r="H358" s="109"/>
      <c r="I358" s="109"/>
      <c r="J358" s="109"/>
      <c r="K358" s="109"/>
      <c r="L358" s="109"/>
      <c r="M358" s="109"/>
      <c r="N358" s="109"/>
      <c r="O358" s="109"/>
      <c r="P358" s="16"/>
      <c r="Q358" s="16"/>
      <c r="R358" s="109"/>
      <c r="S358" s="109"/>
      <c r="T358" s="109"/>
      <c r="U358" s="109"/>
      <c r="V358" s="109"/>
      <c r="W358" s="109"/>
      <c r="X358" s="109"/>
      <c r="Y358" s="109"/>
      <c r="Z358" s="109"/>
      <c r="AA358" s="109"/>
      <c r="AB358" s="109"/>
      <c r="AC358" s="16"/>
      <c r="AD358" s="16"/>
      <c r="AE358" s="16"/>
      <c r="AF358" s="16"/>
      <c r="AG358" s="16"/>
    </row>
    <row r="359" spans="1:33" x14ac:dyDescent="0.2">
      <c r="A359" s="16"/>
      <c r="B359" s="16"/>
      <c r="C359" s="16"/>
      <c r="D359" s="16"/>
      <c r="E359" s="16"/>
      <c r="F359" s="109"/>
      <c r="G359" s="109"/>
      <c r="H359" s="109"/>
      <c r="I359" s="109"/>
      <c r="J359" s="109"/>
      <c r="K359" s="109"/>
      <c r="L359" s="109"/>
      <c r="M359" s="109"/>
      <c r="N359" s="109"/>
      <c r="O359" s="109"/>
      <c r="P359" s="16"/>
      <c r="Q359" s="16"/>
      <c r="R359" s="109"/>
      <c r="S359" s="109"/>
      <c r="T359" s="109"/>
      <c r="U359" s="109"/>
      <c r="V359" s="109"/>
      <c r="W359" s="109"/>
      <c r="X359" s="109"/>
      <c r="Y359" s="109"/>
      <c r="Z359" s="109"/>
      <c r="AA359" s="109"/>
      <c r="AB359" s="109"/>
      <c r="AC359" s="16"/>
      <c r="AD359" s="16"/>
      <c r="AE359" s="16"/>
      <c r="AF359" s="16"/>
      <c r="AG359" s="16"/>
    </row>
    <row r="360" spans="1:33" x14ac:dyDescent="0.2">
      <c r="A360" s="16"/>
      <c r="B360" s="16"/>
      <c r="C360" s="16"/>
      <c r="D360" s="16"/>
      <c r="E360" s="16"/>
      <c r="F360" s="109"/>
      <c r="G360" s="109"/>
      <c r="H360" s="109"/>
      <c r="I360" s="109"/>
      <c r="J360" s="109"/>
      <c r="K360" s="109"/>
      <c r="L360" s="109"/>
      <c r="M360" s="109"/>
      <c r="N360" s="109"/>
      <c r="O360" s="109"/>
      <c r="P360" s="16"/>
      <c r="Q360" s="16"/>
      <c r="R360" s="109"/>
      <c r="S360" s="109"/>
      <c r="T360" s="109"/>
      <c r="U360" s="109"/>
      <c r="V360" s="109"/>
      <c r="W360" s="109"/>
      <c r="X360" s="109"/>
      <c r="Y360" s="109"/>
      <c r="Z360" s="109"/>
      <c r="AA360" s="109"/>
      <c r="AB360" s="109"/>
      <c r="AC360" s="16"/>
      <c r="AD360" s="16"/>
      <c r="AE360" s="16"/>
      <c r="AF360" s="16"/>
      <c r="AG360" s="16"/>
    </row>
    <row r="361" spans="1:33" x14ac:dyDescent="0.2">
      <c r="A361" s="16"/>
      <c r="B361" s="16"/>
      <c r="C361" s="16"/>
      <c r="D361" s="16"/>
      <c r="E361" s="16"/>
      <c r="F361" s="109"/>
      <c r="G361" s="109"/>
      <c r="H361" s="109"/>
      <c r="I361" s="109"/>
      <c r="J361" s="109"/>
      <c r="K361" s="109"/>
      <c r="L361" s="109"/>
      <c r="M361" s="109"/>
      <c r="N361" s="109"/>
      <c r="O361" s="109"/>
      <c r="P361" s="16"/>
      <c r="Q361" s="16"/>
      <c r="R361" s="109"/>
      <c r="S361" s="109"/>
      <c r="T361" s="109"/>
      <c r="U361" s="109"/>
      <c r="V361" s="109"/>
      <c r="W361" s="109"/>
      <c r="X361" s="109"/>
      <c r="Y361" s="109"/>
      <c r="Z361" s="109"/>
      <c r="AA361" s="109"/>
      <c r="AB361" s="109"/>
      <c r="AC361" s="16"/>
      <c r="AD361" s="16"/>
      <c r="AE361" s="16"/>
      <c r="AF361" s="16"/>
      <c r="AG361" s="16"/>
    </row>
    <row r="362" spans="1:33" x14ac:dyDescent="0.2">
      <c r="A362" s="16"/>
      <c r="B362" s="16"/>
      <c r="C362" s="16"/>
      <c r="D362" s="16"/>
      <c r="E362" s="16"/>
      <c r="F362" s="109"/>
      <c r="G362" s="109"/>
      <c r="H362" s="109"/>
      <c r="I362" s="109"/>
      <c r="J362" s="109"/>
      <c r="K362" s="109"/>
      <c r="L362" s="109"/>
      <c r="M362" s="109"/>
      <c r="N362" s="109"/>
      <c r="O362" s="109"/>
      <c r="P362" s="16"/>
      <c r="Q362" s="16"/>
      <c r="R362" s="109"/>
      <c r="S362" s="109"/>
      <c r="T362" s="109"/>
      <c r="U362" s="109"/>
      <c r="V362" s="109"/>
      <c r="W362" s="109"/>
      <c r="X362" s="109"/>
      <c r="Y362" s="109"/>
      <c r="Z362" s="109"/>
      <c r="AA362" s="109"/>
      <c r="AB362" s="109"/>
      <c r="AC362" s="16"/>
      <c r="AD362" s="16"/>
      <c r="AE362" s="16"/>
      <c r="AF362" s="16"/>
      <c r="AG362" s="16"/>
    </row>
    <row r="363" spans="1:33" x14ac:dyDescent="0.2">
      <c r="A363" s="16"/>
      <c r="B363" s="16"/>
      <c r="C363" s="16"/>
      <c r="D363" s="16"/>
      <c r="E363" s="16"/>
      <c r="F363" s="109"/>
      <c r="G363" s="109"/>
      <c r="H363" s="109"/>
      <c r="I363" s="109"/>
      <c r="J363" s="109"/>
      <c r="K363" s="109"/>
      <c r="L363" s="109"/>
      <c r="M363" s="109"/>
      <c r="N363" s="109"/>
      <c r="O363" s="109"/>
      <c r="P363" s="16"/>
      <c r="Q363" s="16"/>
      <c r="R363" s="109"/>
      <c r="S363" s="109"/>
      <c r="T363" s="109"/>
      <c r="U363" s="109"/>
      <c r="V363" s="109"/>
      <c r="W363" s="109"/>
      <c r="X363" s="109"/>
      <c r="Y363" s="109"/>
      <c r="Z363" s="109"/>
      <c r="AA363" s="109"/>
      <c r="AB363" s="109"/>
      <c r="AC363" s="16"/>
      <c r="AD363" s="16"/>
      <c r="AE363" s="16"/>
      <c r="AF363" s="16"/>
      <c r="AG363" s="16"/>
    </row>
    <row r="364" spans="1:33" x14ac:dyDescent="0.2">
      <c r="A364" s="16"/>
      <c r="B364" s="16"/>
      <c r="C364" s="16"/>
      <c r="D364" s="16"/>
      <c r="E364" s="16"/>
      <c r="F364" s="109"/>
      <c r="G364" s="109"/>
      <c r="H364" s="109"/>
      <c r="I364" s="109"/>
      <c r="J364" s="109"/>
      <c r="K364" s="109"/>
      <c r="L364" s="109"/>
      <c r="M364" s="109"/>
      <c r="N364" s="109"/>
      <c r="O364" s="109"/>
      <c r="P364" s="16"/>
      <c r="Q364" s="16"/>
      <c r="R364" s="109"/>
      <c r="S364" s="109"/>
      <c r="T364" s="109"/>
      <c r="U364" s="109"/>
      <c r="V364" s="109"/>
      <c r="W364" s="109"/>
      <c r="X364" s="109"/>
      <c r="Y364" s="109"/>
      <c r="Z364" s="109"/>
      <c r="AA364" s="109"/>
      <c r="AB364" s="109"/>
      <c r="AC364" s="16"/>
      <c r="AD364" s="16"/>
      <c r="AE364" s="16"/>
      <c r="AF364" s="16"/>
      <c r="AG364" s="16"/>
    </row>
    <row r="365" spans="1:33" x14ac:dyDescent="0.2">
      <c r="A365" s="16"/>
      <c r="B365" s="16"/>
      <c r="C365" s="16"/>
      <c r="D365" s="16"/>
      <c r="E365" s="16"/>
      <c r="F365" s="109"/>
      <c r="G365" s="109"/>
      <c r="H365" s="109"/>
      <c r="I365" s="109"/>
      <c r="J365" s="109"/>
      <c r="K365" s="109"/>
      <c r="L365" s="109"/>
      <c r="M365" s="109"/>
      <c r="N365" s="109"/>
      <c r="O365" s="109"/>
      <c r="P365" s="16"/>
      <c r="Q365" s="16"/>
      <c r="R365" s="109"/>
      <c r="S365" s="109"/>
      <c r="T365" s="109"/>
      <c r="U365" s="109"/>
      <c r="V365" s="109"/>
      <c r="W365" s="109"/>
      <c r="X365" s="109"/>
      <c r="Y365" s="109"/>
      <c r="Z365" s="109"/>
      <c r="AA365" s="109"/>
      <c r="AB365" s="109"/>
      <c r="AC365" s="16"/>
      <c r="AD365" s="16"/>
      <c r="AE365" s="16"/>
      <c r="AF365" s="16"/>
      <c r="AG365" s="16"/>
    </row>
    <row r="366" spans="1:33" x14ac:dyDescent="0.2">
      <c r="A366" s="16"/>
      <c r="B366" s="16"/>
      <c r="C366" s="16"/>
      <c r="D366" s="16"/>
      <c r="E366" s="16"/>
      <c r="F366" s="109"/>
      <c r="G366" s="109"/>
      <c r="H366" s="109"/>
      <c r="I366" s="109"/>
      <c r="J366" s="109"/>
      <c r="K366" s="109"/>
      <c r="L366" s="109"/>
      <c r="M366" s="109"/>
      <c r="N366" s="109"/>
      <c r="O366" s="109"/>
      <c r="P366" s="16"/>
      <c r="Q366" s="16"/>
      <c r="R366" s="109"/>
      <c r="S366" s="109"/>
      <c r="T366" s="109"/>
      <c r="U366" s="109"/>
      <c r="V366" s="109"/>
      <c r="W366" s="109"/>
      <c r="X366" s="109"/>
      <c r="Y366" s="109"/>
      <c r="Z366" s="109"/>
      <c r="AA366" s="109"/>
      <c r="AB366" s="109"/>
      <c r="AC366" s="16"/>
      <c r="AD366" s="16"/>
      <c r="AE366" s="16"/>
      <c r="AF366" s="16"/>
      <c r="AG366" s="16"/>
    </row>
    <row r="367" spans="1:33" x14ac:dyDescent="0.2">
      <c r="A367" s="16"/>
      <c r="B367" s="16"/>
      <c r="C367" s="16"/>
      <c r="D367" s="16"/>
      <c r="E367" s="16"/>
      <c r="F367" s="109"/>
      <c r="G367" s="109"/>
      <c r="H367" s="109"/>
      <c r="I367" s="109"/>
      <c r="J367" s="109"/>
      <c r="K367" s="109"/>
      <c r="L367" s="109"/>
      <c r="M367" s="109"/>
      <c r="N367" s="109"/>
      <c r="O367" s="109"/>
      <c r="P367" s="16"/>
      <c r="Q367" s="16"/>
      <c r="R367" s="109"/>
      <c r="S367" s="109"/>
      <c r="T367" s="109"/>
      <c r="U367" s="109"/>
      <c r="V367" s="109"/>
      <c r="W367" s="109"/>
      <c r="X367" s="109"/>
      <c r="Y367" s="109"/>
      <c r="Z367" s="109"/>
      <c r="AA367" s="109"/>
      <c r="AB367" s="109"/>
      <c r="AC367" s="16"/>
      <c r="AD367" s="16"/>
      <c r="AE367" s="16"/>
      <c r="AF367" s="16"/>
      <c r="AG367" s="16"/>
    </row>
    <row r="368" spans="1:33" x14ac:dyDescent="0.2">
      <c r="A368" s="16"/>
      <c r="B368" s="16"/>
      <c r="C368" s="16"/>
      <c r="D368" s="16"/>
      <c r="E368" s="16"/>
      <c r="F368" s="109"/>
      <c r="G368" s="109"/>
      <c r="H368" s="109"/>
      <c r="I368" s="109"/>
      <c r="J368" s="109"/>
      <c r="K368" s="109"/>
      <c r="L368" s="109"/>
      <c r="M368" s="109"/>
      <c r="N368" s="109"/>
      <c r="O368" s="109"/>
      <c r="P368" s="16"/>
      <c r="Q368" s="16"/>
      <c r="R368" s="109"/>
      <c r="S368" s="109"/>
      <c r="T368" s="109"/>
      <c r="U368" s="109"/>
      <c r="V368" s="109"/>
      <c r="W368" s="109"/>
      <c r="X368" s="109"/>
      <c r="Y368" s="109"/>
      <c r="Z368" s="109"/>
      <c r="AA368" s="109"/>
      <c r="AB368" s="109"/>
      <c r="AC368" s="16"/>
      <c r="AD368" s="16"/>
      <c r="AE368" s="16"/>
      <c r="AF368" s="16"/>
      <c r="AG368" s="16"/>
    </row>
    <row r="369" spans="1:33" x14ac:dyDescent="0.2">
      <c r="A369" s="16"/>
      <c r="B369" s="16"/>
      <c r="C369" s="16"/>
      <c r="D369" s="16"/>
      <c r="E369" s="16"/>
      <c r="F369" s="109"/>
      <c r="G369" s="109"/>
      <c r="H369" s="109"/>
      <c r="I369" s="109"/>
      <c r="J369" s="109"/>
      <c r="K369" s="109"/>
      <c r="L369" s="109"/>
      <c r="M369" s="109"/>
      <c r="N369" s="109"/>
      <c r="O369" s="109"/>
      <c r="P369" s="16"/>
      <c r="Q369" s="16"/>
      <c r="R369" s="109"/>
      <c r="S369" s="109"/>
      <c r="T369" s="109"/>
      <c r="U369" s="109"/>
      <c r="V369" s="109"/>
      <c r="W369" s="109"/>
      <c r="X369" s="109"/>
      <c r="Y369" s="109"/>
      <c r="Z369" s="109"/>
      <c r="AA369" s="109"/>
      <c r="AB369" s="109"/>
      <c r="AC369" s="16"/>
      <c r="AD369" s="16"/>
      <c r="AE369" s="16"/>
      <c r="AF369" s="16"/>
      <c r="AG369" s="16"/>
    </row>
    <row r="370" spans="1:33" x14ac:dyDescent="0.2">
      <c r="A370" s="16"/>
      <c r="B370" s="16"/>
      <c r="C370" s="16"/>
      <c r="D370" s="16"/>
      <c r="E370" s="16"/>
      <c r="F370" s="109"/>
      <c r="G370" s="109"/>
      <c r="H370" s="109"/>
      <c r="I370" s="109"/>
      <c r="J370" s="109"/>
      <c r="K370" s="109"/>
      <c r="L370" s="109"/>
      <c r="M370" s="109"/>
      <c r="N370" s="109"/>
      <c r="O370" s="109"/>
      <c r="P370" s="16"/>
      <c r="Q370" s="16"/>
      <c r="R370" s="109"/>
      <c r="S370" s="109"/>
      <c r="T370" s="109"/>
      <c r="U370" s="109"/>
      <c r="V370" s="109"/>
      <c r="W370" s="109"/>
      <c r="X370" s="109"/>
      <c r="Y370" s="109"/>
      <c r="Z370" s="109"/>
      <c r="AA370" s="109"/>
      <c r="AB370" s="109"/>
      <c r="AC370" s="16"/>
      <c r="AD370" s="16"/>
      <c r="AE370" s="16"/>
      <c r="AF370" s="16"/>
      <c r="AG370" s="16"/>
    </row>
    <row r="371" spans="1:33" x14ac:dyDescent="0.2">
      <c r="A371" s="16"/>
      <c r="B371" s="16"/>
      <c r="C371" s="16"/>
      <c r="D371" s="16"/>
      <c r="E371" s="16"/>
      <c r="F371" s="109"/>
      <c r="G371" s="109"/>
      <c r="H371" s="109"/>
      <c r="I371" s="109"/>
      <c r="J371" s="109"/>
      <c r="K371" s="109"/>
      <c r="L371" s="109"/>
      <c r="M371" s="109"/>
      <c r="N371" s="109"/>
      <c r="O371" s="109"/>
      <c r="P371" s="16"/>
      <c r="Q371" s="16"/>
      <c r="R371" s="109"/>
      <c r="S371" s="109"/>
      <c r="T371" s="109"/>
      <c r="U371" s="109"/>
      <c r="V371" s="109"/>
      <c r="W371" s="109"/>
      <c r="X371" s="109"/>
      <c r="Y371" s="109"/>
      <c r="Z371" s="109"/>
      <c r="AA371" s="109"/>
      <c r="AB371" s="109"/>
      <c r="AC371" s="16"/>
      <c r="AD371" s="16"/>
      <c r="AE371" s="16"/>
      <c r="AF371" s="16"/>
      <c r="AG371" s="16"/>
    </row>
    <row r="372" spans="1:33" x14ac:dyDescent="0.2">
      <c r="A372" s="16"/>
      <c r="B372" s="16"/>
      <c r="C372" s="16"/>
      <c r="D372" s="16"/>
      <c r="E372" s="16"/>
      <c r="F372" s="109"/>
      <c r="G372" s="109"/>
      <c r="H372" s="109"/>
      <c r="I372" s="109"/>
      <c r="J372" s="109"/>
      <c r="K372" s="109"/>
      <c r="L372" s="109"/>
      <c r="M372" s="109"/>
      <c r="N372" s="109"/>
      <c r="O372" s="109"/>
      <c r="P372" s="16"/>
      <c r="Q372" s="16"/>
      <c r="R372" s="109"/>
      <c r="S372" s="109"/>
      <c r="T372" s="109"/>
      <c r="U372" s="109"/>
      <c r="V372" s="109"/>
      <c r="W372" s="109"/>
      <c r="X372" s="109"/>
      <c r="Y372" s="109"/>
      <c r="Z372" s="109"/>
      <c r="AA372" s="109"/>
      <c r="AB372" s="109"/>
      <c r="AC372" s="16"/>
      <c r="AD372" s="16"/>
      <c r="AE372" s="16"/>
      <c r="AF372" s="16"/>
      <c r="AG372" s="16"/>
    </row>
    <row r="373" spans="1:33" x14ac:dyDescent="0.2">
      <c r="A373" s="16"/>
      <c r="B373" s="16"/>
      <c r="C373" s="16"/>
      <c r="D373" s="16"/>
      <c r="E373" s="16"/>
      <c r="F373" s="109"/>
      <c r="G373" s="109"/>
      <c r="H373" s="109"/>
      <c r="I373" s="109"/>
      <c r="J373" s="109"/>
      <c r="K373" s="109"/>
      <c r="L373" s="109"/>
      <c r="M373" s="109"/>
      <c r="N373" s="109"/>
      <c r="O373" s="109"/>
      <c r="P373" s="16"/>
      <c r="Q373" s="16"/>
      <c r="R373" s="109"/>
      <c r="S373" s="109"/>
      <c r="T373" s="109"/>
      <c r="U373" s="109"/>
      <c r="V373" s="109"/>
      <c r="W373" s="109"/>
      <c r="X373" s="109"/>
      <c r="Y373" s="109"/>
      <c r="Z373" s="109"/>
      <c r="AA373" s="109"/>
      <c r="AB373" s="109"/>
      <c r="AC373" s="16"/>
      <c r="AD373" s="16"/>
      <c r="AE373" s="16"/>
      <c r="AF373" s="16"/>
      <c r="AG373" s="16"/>
    </row>
    <row r="374" spans="1:33" x14ac:dyDescent="0.2">
      <c r="A374" s="16"/>
      <c r="B374" s="16"/>
      <c r="C374" s="16"/>
      <c r="D374" s="16"/>
      <c r="E374" s="16"/>
      <c r="F374" s="109"/>
      <c r="G374" s="109"/>
      <c r="H374" s="109"/>
      <c r="I374" s="109"/>
      <c r="J374" s="109"/>
      <c r="K374" s="109"/>
      <c r="L374" s="109"/>
      <c r="M374" s="109"/>
      <c r="N374" s="109"/>
      <c r="O374" s="109"/>
      <c r="P374" s="16"/>
      <c r="Q374" s="16"/>
      <c r="R374" s="109"/>
      <c r="S374" s="109"/>
      <c r="T374" s="109"/>
      <c r="U374" s="109"/>
      <c r="V374" s="109"/>
      <c r="W374" s="109"/>
      <c r="X374" s="109"/>
      <c r="Y374" s="109"/>
      <c r="Z374" s="109"/>
      <c r="AA374" s="109"/>
      <c r="AB374" s="109"/>
      <c r="AC374" s="16"/>
      <c r="AD374" s="16"/>
      <c r="AE374" s="16"/>
      <c r="AF374" s="16"/>
      <c r="AG374" s="16"/>
    </row>
    <row r="375" spans="1:33" x14ac:dyDescent="0.2">
      <c r="A375" s="16"/>
      <c r="B375" s="16"/>
      <c r="C375" s="16"/>
      <c r="D375" s="16"/>
      <c r="E375" s="16"/>
      <c r="F375" s="109"/>
      <c r="G375" s="109"/>
      <c r="H375" s="109"/>
      <c r="I375" s="109"/>
      <c r="J375" s="109"/>
      <c r="K375" s="109"/>
      <c r="L375" s="109"/>
      <c r="M375" s="109"/>
      <c r="N375" s="109"/>
      <c r="O375" s="109"/>
      <c r="P375" s="16"/>
      <c r="Q375" s="16"/>
      <c r="R375" s="109"/>
      <c r="S375" s="109"/>
      <c r="T375" s="109"/>
      <c r="U375" s="109"/>
      <c r="V375" s="109"/>
      <c r="W375" s="109"/>
      <c r="X375" s="109"/>
      <c r="Y375" s="109"/>
      <c r="Z375" s="109"/>
      <c r="AA375" s="109"/>
      <c r="AB375" s="109"/>
      <c r="AC375" s="16"/>
      <c r="AD375" s="16"/>
      <c r="AE375" s="16"/>
      <c r="AF375" s="16"/>
      <c r="AG375" s="16"/>
    </row>
    <row r="376" spans="1:33" x14ac:dyDescent="0.2">
      <c r="A376" s="16"/>
      <c r="B376" s="16"/>
      <c r="C376" s="16"/>
      <c r="D376" s="16"/>
      <c r="E376" s="16"/>
      <c r="F376" s="109"/>
      <c r="G376" s="109"/>
      <c r="H376" s="109"/>
      <c r="I376" s="109"/>
      <c r="J376" s="109"/>
      <c r="K376" s="109"/>
      <c r="L376" s="109"/>
      <c r="M376" s="109"/>
      <c r="N376" s="109"/>
      <c r="O376" s="109"/>
      <c r="P376" s="16"/>
      <c r="Q376" s="16"/>
      <c r="R376" s="109"/>
      <c r="S376" s="109"/>
      <c r="T376" s="109"/>
      <c r="U376" s="109"/>
      <c r="V376" s="109"/>
      <c r="W376" s="109"/>
      <c r="X376" s="109"/>
      <c r="Y376" s="109"/>
      <c r="Z376" s="109"/>
      <c r="AA376" s="109"/>
      <c r="AB376" s="109"/>
      <c r="AC376" s="16"/>
      <c r="AD376" s="16"/>
      <c r="AE376" s="16"/>
      <c r="AF376" s="16"/>
      <c r="AG376" s="16"/>
    </row>
    <row r="377" spans="1:33" x14ac:dyDescent="0.2">
      <c r="A377" s="16"/>
      <c r="B377" s="16"/>
      <c r="C377" s="16"/>
      <c r="D377" s="16"/>
      <c r="E377" s="16"/>
      <c r="F377" s="109"/>
      <c r="G377" s="109"/>
      <c r="H377" s="109"/>
      <c r="I377" s="109"/>
      <c r="J377" s="109"/>
      <c r="K377" s="109"/>
      <c r="L377" s="109"/>
      <c r="M377" s="109"/>
      <c r="N377" s="109"/>
      <c r="O377" s="109"/>
      <c r="P377" s="16"/>
      <c r="Q377" s="16"/>
      <c r="R377" s="109"/>
      <c r="S377" s="109"/>
      <c r="T377" s="109"/>
      <c r="U377" s="109"/>
      <c r="V377" s="109"/>
      <c r="W377" s="109"/>
      <c r="X377" s="109"/>
      <c r="Y377" s="109"/>
      <c r="Z377" s="109"/>
      <c r="AA377" s="109"/>
      <c r="AB377" s="109"/>
      <c r="AC377" s="16"/>
      <c r="AD377" s="16"/>
      <c r="AE377" s="16"/>
      <c r="AF377" s="16"/>
      <c r="AG377" s="16"/>
    </row>
    <row r="378" spans="1:33" x14ac:dyDescent="0.2">
      <c r="A378" s="16"/>
      <c r="B378" s="16"/>
      <c r="C378" s="16"/>
      <c r="D378" s="16"/>
      <c r="E378" s="16"/>
      <c r="F378" s="109"/>
      <c r="G378" s="109"/>
      <c r="H378" s="109"/>
      <c r="I378" s="109"/>
      <c r="J378" s="109"/>
      <c r="K378" s="109"/>
      <c r="L378" s="109"/>
      <c r="M378" s="109"/>
      <c r="N378" s="109"/>
      <c r="O378" s="109"/>
      <c r="P378" s="16"/>
      <c r="Q378" s="16"/>
      <c r="R378" s="109"/>
      <c r="S378" s="109"/>
      <c r="T378" s="109"/>
      <c r="U378" s="109"/>
      <c r="V378" s="109"/>
      <c r="W378" s="109"/>
      <c r="X378" s="109"/>
      <c r="Y378" s="109"/>
      <c r="Z378" s="109"/>
      <c r="AA378" s="109"/>
      <c r="AB378" s="109"/>
      <c r="AC378" s="16"/>
      <c r="AD378" s="16"/>
      <c r="AE378" s="16"/>
      <c r="AF378" s="16"/>
      <c r="AG378" s="16"/>
    </row>
    <row r="379" spans="1:33" x14ac:dyDescent="0.2">
      <c r="A379" s="16"/>
      <c r="B379" s="16"/>
      <c r="C379" s="16"/>
      <c r="D379" s="16"/>
      <c r="E379" s="16"/>
      <c r="F379" s="109"/>
      <c r="G379" s="109"/>
      <c r="H379" s="109"/>
      <c r="I379" s="109"/>
      <c r="J379" s="109"/>
      <c r="K379" s="109"/>
      <c r="L379" s="109"/>
      <c r="M379" s="109"/>
      <c r="N379" s="109"/>
      <c r="O379" s="109"/>
      <c r="P379" s="16"/>
      <c r="Q379" s="16"/>
      <c r="R379" s="109"/>
      <c r="S379" s="109"/>
      <c r="T379" s="109"/>
      <c r="U379" s="109"/>
      <c r="V379" s="109"/>
      <c r="W379" s="109"/>
      <c r="X379" s="109"/>
      <c r="Y379" s="109"/>
      <c r="Z379" s="109"/>
      <c r="AA379" s="109"/>
      <c r="AB379" s="109"/>
      <c r="AC379" s="16"/>
      <c r="AD379" s="16"/>
      <c r="AE379" s="16"/>
      <c r="AF379" s="16"/>
      <c r="AG379" s="16"/>
    </row>
    <row r="380" spans="1:33" x14ac:dyDescent="0.2">
      <c r="A380" s="16"/>
      <c r="B380" s="16"/>
      <c r="C380" s="16"/>
      <c r="D380" s="16"/>
      <c r="E380" s="16"/>
      <c r="F380" s="109"/>
      <c r="G380" s="109"/>
      <c r="H380" s="109"/>
      <c r="I380" s="109"/>
      <c r="J380" s="109"/>
      <c r="K380" s="109"/>
      <c r="L380" s="109"/>
      <c r="M380" s="109"/>
      <c r="N380" s="109"/>
      <c r="O380" s="109"/>
      <c r="P380" s="16"/>
      <c r="Q380" s="16"/>
      <c r="R380" s="109"/>
      <c r="S380" s="109"/>
      <c r="T380" s="109"/>
      <c r="U380" s="109"/>
      <c r="V380" s="109"/>
      <c r="W380" s="109"/>
      <c r="X380" s="109"/>
      <c r="Y380" s="109"/>
      <c r="Z380" s="109"/>
      <c r="AA380" s="109"/>
      <c r="AB380" s="109"/>
      <c r="AC380" s="16"/>
      <c r="AD380" s="16"/>
      <c r="AE380" s="16"/>
      <c r="AF380" s="16"/>
      <c r="AG380" s="16"/>
    </row>
    <row r="381" spans="1:33" x14ac:dyDescent="0.2">
      <c r="A381" s="16"/>
      <c r="B381" s="16"/>
      <c r="C381" s="16"/>
      <c r="D381" s="16"/>
      <c r="E381" s="16"/>
      <c r="F381" s="109"/>
      <c r="G381" s="109"/>
      <c r="H381" s="109"/>
      <c r="I381" s="109"/>
      <c r="J381" s="109"/>
      <c r="K381" s="109"/>
      <c r="L381" s="109"/>
      <c r="M381" s="109"/>
      <c r="N381" s="109"/>
      <c r="O381" s="109"/>
      <c r="P381" s="16"/>
      <c r="Q381" s="16"/>
      <c r="R381" s="109"/>
      <c r="S381" s="109"/>
      <c r="T381" s="109"/>
      <c r="U381" s="109"/>
      <c r="V381" s="109"/>
      <c r="W381" s="109"/>
      <c r="X381" s="109"/>
      <c r="Y381" s="109"/>
      <c r="Z381" s="109"/>
      <c r="AA381" s="109"/>
      <c r="AB381" s="109"/>
      <c r="AC381" s="16"/>
      <c r="AD381" s="16"/>
      <c r="AE381" s="16"/>
      <c r="AF381" s="16"/>
      <c r="AG381" s="16"/>
    </row>
    <row r="382" spans="1:33" x14ac:dyDescent="0.2">
      <c r="A382" s="16"/>
      <c r="B382" s="16"/>
      <c r="C382" s="16"/>
      <c r="D382" s="16"/>
      <c r="E382" s="16"/>
      <c r="F382" s="109"/>
      <c r="G382" s="109"/>
      <c r="H382" s="109"/>
      <c r="I382" s="109"/>
      <c r="J382" s="109"/>
      <c r="K382" s="109"/>
      <c r="L382" s="109"/>
      <c r="M382" s="109"/>
      <c r="N382" s="109"/>
      <c r="O382" s="109"/>
      <c r="P382" s="16"/>
      <c r="Q382" s="16"/>
      <c r="R382" s="109"/>
      <c r="S382" s="109"/>
      <c r="T382" s="109"/>
      <c r="U382" s="109"/>
      <c r="V382" s="109"/>
      <c r="W382" s="109"/>
      <c r="X382" s="109"/>
      <c r="Y382" s="109"/>
      <c r="Z382" s="109"/>
      <c r="AA382" s="109"/>
      <c r="AB382" s="109"/>
      <c r="AC382" s="16"/>
      <c r="AD382" s="16"/>
      <c r="AE382" s="16"/>
      <c r="AF382" s="16"/>
      <c r="AG382" s="16"/>
    </row>
    <row r="383" spans="1:33" x14ac:dyDescent="0.2">
      <c r="A383" s="16"/>
      <c r="B383" s="16"/>
      <c r="C383" s="16"/>
      <c r="D383" s="16"/>
      <c r="E383" s="16"/>
      <c r="F383" s="109"/>
      <c r="G383" s="109"/>
      <c r="H383" s="109"/>
      <c r="I383" s="109"/>
      <c r="J383" s="109"/>
      <c r="K383" s="109"/>
      <c r="L383" s="109"/>
      <c r="M383" s="109"/>
      <c r="N383" s="109"/>
      <c r="O383" s="109"/>
      <c r="P383" s="16"/>
      <c r="Q383" s="16"/>
      <c r="R383" s="109"/>
      <c r="S383" s="109"/>
      <c r="T383" s="109"/>
      <c r="U383" s="109"/>
      <c r="V383" s="109"/>
      <c r="W383" s="109"/>
      <c r="X383" s="109"/>
      <c r="Y383" s="109"/>
      <c r="Z383" s="109"/>
      <c r="AA383" s="109"/>
      <c r="AB383" s="109"/>
      <c r="AC383" s="16"/>
      <c r="AD383" s="16"/>
      <c r="AE383" s="16"/>
      <c r="AF383" s="16"/>
      <c r="AG383" s="16"/>
    </row>
    <row r="384" spans="1:33" x14ac:dyDescent="0.2">
      <c r="A384" s="16"/>
      <c r="B384" s="16"/>
      <c r="C384" s="16"/>
      <c r="D384" s="16"/>
      <c r="E384" s="16"/>
      <c r="F384" s="109"/>
      <c r="G384" s="109"/>
      <c r="H384" s="109"/>
      <c r="I384" s="109"/>
      <c r="J384" s="109"/>
      <c r="K384" s="109"/>
      <c r="L384" s="109"/>
      <c r="M384" s="109"/>
      <c r="N384" s="109"/>
      <c r="O384" s="109"/>
      <c r="P384" s="16"/>
      <c r="Q384" s="16"/>
      <c r="R384" s="109"/>
      <c r="S384" s="109"/>
      <c r="T384" s="109"/>
      <c r="U384" s="109"/>
      <c r="V384" s="109"/>
      <c r="W384" s="109"/>
      <c r="X384" s="109"/>
      <c r="Y384" s="109"/>
      <c r="Z384" s="109"/>
      <c r="AA384" s="109"/>
      <c r="AB384" s="109"/>
      <c r="AC384" s="16"/>
      <c r="AD384" s="16"/>
      <c r="AE384" s="16"/>
      <c r="AF384" s="16"/>
      <c r="AG384" s="16"/>
    </row>
    <row r="385" spans="1:33" x14ac:dyDescent="0.2">
      <c r="A385" s="16"/>
      <c r="B385" s="16"/>
      <c r="C385" s="16"/>
      <c r="D385" s="16"/>
      <c r="E385" s="16"/>
      <c r="F385" s="109"/>
      <c r="G385" s="109"/>
      <c r="H385" s="109"/>
      <c r="I385" s="109"/>
      <c r="J385" s="109"/>
      <c r="K385" s="109"/>
      <c r="L385" s="109"/>
      <c r="M385" s="109"/>
      <c r="N385" s="109"/>
      <c r="O385" s="109"/>
      <c r="P385" s="16"/>
      <c r="Q385" s="16"/>
      <c r="R385" s="109"/>
      <c r="S385" s="109"/>
      <c r="T385" s="109"/>
      <c r="U385" s="109"/>
      <c r="V385" s="109"/>
      <c r="W385" s="109"/>
      <c r="X385" s="109"/>
      <c r="Y385" s="109"/>
      <c r="Z385" s="109"/>
      <c r="AA385" s="109"/>
      <c r="AB385" s="109"/>
      <c r="AC385" s="16"/>
      <c r="AD385" s="16"/>
      <c r="AE385" s="16"/>
      <c r="AF385" s="16"/>
      <c r="AG385" s="16"/>
    </row>
    <row r="386" spans="1:33" x14ac:dyDescent="0.2">
      <c r="A386" s="16"/>
      <c r="B386" s="16"/>
      <c r="C386" s="16"/>
      <c r="D386" s="16"/>
      <c r="E386" s="16"/>
      <c r="F386" s="109"/>
      <c r="G386" s="109"/>
      <c r="H386" s="109"/>
      <c r="I386" s="109"/>
      <c r="J386" s="109"/>
      <c r="K386" s="109"/>
      <c r="L386" s="109"/>
      <c r="M386" s="109"/>
      <c r="N386" s="109"/>
      <c r="O386" s="109"/>
      <c r="P386" s="16"/>
      <c r="Q386" s="16"/>
      <c r="R386" s="109"/>
      <c r="S386" s="109"/>
      <c r="T386" s="109"/>
      <c r="U386" s="109"/>
      <c r="V386" s="109"/>
      <c r="W386" s="109"/>
      <c r="X386" s="109"/>
      <c r="Y386" s="109"/>
      <c r="Z386" s="109"/>
      <c r="AA386" s="109"/>
      <c r="AB386" s="109"/>
      <c r="AC386" s="16"/>
      <c r="AD386" s="16"/>
      <c r="AE386" s="16"/>
      <c r="AF386" s="16"/>
      <c r="AG386" s="16"/>
    </row>
    <row r="387" spans="1:33" x14ac:dyDescent="0.2">
      <c r="A387" s="16"/>
      <c r="B387" s="16"/>
      <c r="C387" s="16"/>
      <c r="D387" s="16"/>
      <c r="E387" s="16"/>
      <c r="F387" s="109"/>
      <c r="G387" s="109"/>
      <c r="H387" s="109"/>
      <c r="I387" s="109"/>
      <c r="J387" s="109"/>
      <c r="K387" s="109"/>
      <c r="L387" s="109"/>
      <c r="M387" s="109"/>
      <c r="N387" s="109"/>
      <c r="O387" s="109"/>
      <c r="P387" s="16"/>
      <c r="Q387" s="16"/>
      <c r="R387" s="109"/>
      <c r="S387" s="109"/>
      <c r="T387" s="109"/>
      <c r="U387" s="109"/>
      <c r="V387" s="109"/>
      <c r="W387" s="109"/>
      <c r="X387" s="109"/>
      <c r="Y387" s="109"/>
      <c r="Z387" s="109"/>
      <c r="AA387" s="109"/>
      <c r="AB387" s="109"/>
      <c r="AC387" s="16"/>
      <c r="AD387" s="16"/>
      <c r="AE387" s="16"/>
      <c r="AF387" s="16"/>
      <c r="AG387" s="16"/>
    </row>
    <row r="388" spans="1:33" x14ac:dyDescent="0.2">
      <c r="A388" s="16"/>
      <c r="B388" s="16"/>
      <c r="C388" s="16"/>
      <c r="D388" s="16"/>
      <c r="E388" s="16"/>
      <c r="F388" s="109"/>
      <c r="G388" s="109"/>
      <c r="H388" s="109"/>
      <c r="I388" s="109"/>
      <c r="J388" s="109"/>
      <c r="K388" s="109"/>
      <c r="L388" s="109"/>
      <c r="M388" s="109"/>
      <c r="N388" s="109"/>
      <c r="O388" s="109"/>
      <c r="P388" s="16"/>
      <c r="Q388" s="16"/>
      <c r="R388" s="109"/>
      <c r="S388" s="109"/>
      <c r="T388" s="109"/>
      <c r="U388" s="109"/>
      <c r="V388" s="109"/>
      <c r="W388" s="109"/>
      <c r="X388" s="109"/>
      <c r="Y388" s="109"/>
      <c r="Z388" s="109"/>
      <c r="AA388" s="109"/>
      <c r="AB388" s="109"/>
      <c r="AC388" s="16"/>
      <c r="AD388" s="16"/>
      <c r="AE388" s="16"/>
      <c r="AF388" s="16"/>
      <c r="AG388" s="16"/>
    </row>
    <row r="389" spans="1:33" x14ac:dyDescent="0.2">
      <c r="A389" s="16"/>
      <c r="B389" s="16"/>
      <c r="C389" s="16"/>
      <c r="D389" s="16"/>
      <c r="E389" s="16"/>
      <c r="F389" s="109"/>
      <c r="G389" s="109"/>
      <c r="H389" s="109"/>
      <c r="I389" s="109"/>
      <c r="J389" s="109"/>
      <c r="K389" s="109"/>
      <c r="L389" s="109"/>
      <c r="M389" s="109"/>
      <c r="N389" s="109"/>
      <c r="O389" s="109"/>
      <c r="P389" s="16"/>
      <c r="Q389" s="16"/>
      <c r="R389" s="109"/>
      <c r="S389" s="109"/>
      <c r="T389" s="109"/>
      <c r="U389" s="109"/>
      <c r="V389" s="109"/>
      <c r="W389" s="109"/>
      <c r="X389" s="109"/>
      <c r="Y389" s="109"/>
      <c r="Z389" s="109"/>
      <c r="AA389" s="109"/>
      <c r="AB389" s="109"/>
      <c r="AC389" s="16"/>
      <c r="AD389" s="16"/>
      <c r="AE389" s="16"/>
      <c r="AF389" s="16"/>
      <c r="AG389" s="16"/>
    </row>
    <row r="390" spans="1:33" x14ac:dyDescent="0.2">
      <c r="A390" s="16"/>
      <c r="B390" s="16"/>
      <c r="C390" s="16"/>
      <c r="D390" s="16"/>
      <c r="E390" s="16"/>
      <c r="F390" s="109"/>
      <c r="G390" s="109"/>
      <c r="H390" s="109"/>
      <c r="I390" s="109"/>
      <c r="J390" s="109"/>
      <c r="K390" s="109"/>
      <c r="L390" s="109"/>
      <c r="M390" s="109"/>
      <c r="N390" s="109"/>
      <c r="O390" s="109"/>
      <c r="P390" s="16"/>
      <c r="Q390" s="16"/>
      <c r="R390" s="109"/>
      <c r="S390" s="109"/>
      <c r="T390" s="109"/>
      <c r="U390" s="109"/>
      <c r="V390" s="109"/>
      <c r="W390" s="109"/>
      <c r="X390" s="109"/>
      <c r="Y390" s="109"/>
      <c r="Z390" s="109"/>
      <c r="AA390" s="109"/>
      <c r="AB390" s="109"/>
      <c r="AC390" s="16"/>
      <c r="AD390" s="16"/>
      <c r="AE390" s="16"/>
      <c r="AF390" s="16"/>
      <c r="AG390" s="16"/>
    </row>
    <row r="391" spans="1:33" x14ac:dyDescent="0.2">
      <c r="A391" s="16"/>
      <c r="B391" s="16"/>
      <c r="C391" s="16"/>
      <c r="D391" s="16"/>
      <c r="E391" s="16"/>
      <c r="F391" s="109"/>
      <c r="G391" s="109"/>
      <c r="H391" s="109"/>
      <c r="I391" s="109"/>
      <c r="J391" s="109"/>
      <c r="K391" s="109"/>
      <c r="L391" s="109"/>
      <c r="M391" s="109"/>
      <c r="N391" s="109"/>
      <c r="O391" s="109"/>
      <c r="P391" s="16"/>
      <c r="Q391" s="16"/>
      <c r="R391" s="109"/>
      <c r="S391" s="109"/>
      <c r="T391" s="109"/>
      <c r="U391" s="109"/>
      <c r="V391" s="109"/>
      <c r="W391" s="109"/>
      <c r="X391" s="109"/>
      <c r="Y391" s="109"/>
      <c r="Z391" s="109"/>
      <c r="AA391" s="109"/>
      <c r="AB391" s="109"/>
      <c r="AC391" s="16"/>
      <c r="AD391" s="16"/>
      <c r="AE391" s="16"/>
      <c r="AF391" s="16"/>
      <c r="AG391" s="16"/>
    </row>
    <row r="392" spans="1:33" x14ac:dyDescent="0.2">
      <c r="A392" s="16"/>
      <c r="B392" s="16"/>
      <c r="C392" s="16"/>
      <c r="D392" s="16"/>
      <c r="E392" s="16"/>
      <c r="F392" s="109"/>
      <c r="G392" s="109"/>
      <c r="H392" s="109"/>
      <c r="I392" s="109"/>
      <c r="J392" s="109"/>
      <c r="K392" s="109"/>
      <c r="L392" s="109"/>
      <c r="M392" s="109"/>
      <c r="N392" s="109"/>
      <c r="O392" s="109"/>
      <c r="P392" s="16"/>
      <c r="Q392" s="16"/>
      <c r="R392" s="109"/>
      <c r="S392" s="109"/>
      <c r="T392" s="109"/>
      <c r="U392" s="109"/>
      <c r="V392" s="109"/>
      <c r="W392" s="109"/>
      <c r="X392" s="109"/>
      <c r="Y392" s="109"/>
      <c r="Z392" s="109"/>
      <c r="AA392" s="109"/>
      <c r="AB392" s="109"/>
      <c r="AC392" s="16"/>
      <c r="AD392" s="16"/>
      <c r="AE392" s="16"/>
      <c r="AF392" s="16"/>
      <c r="AG392" s="16"/>
    </row>
    <row r="393" spans="1:33" x14ac:dyDescent="0.2">
      <c r="A393" s="16"/>
      <c r="B393" s="16"/>
      <c r="C393" s="16"/>
      <c r="D393" s="16"/>
      <c r="E393" s="16"/>
      <c r="F393" s="109"/>
      <c r="G393" s="109"/>
      <c r="H393" s="109"/>
      <c r="I393" s="109"/>
      <c r="J393" s="109"/>
      <c r="K393" s="109"/>
      <c r="L393" s="109"/>
      <c r="M393" s="109"/>
      <c r="N393" s="109"/>
      <c r="O393" s="109"/>
      <c r="P393" s="16"/>
      <c r="Q393" s="16"/>
      <c r="R393" s="109"/>
      <c r="S393" s="109"/>
      <c r="T393" s="109"/>
      <c r="U393" s="109"/>
      <c r="V393" s="109"/>
      <c r="W393" s="109"/>
      <c r="X393" s="109"/>
      <c r="Y393" s="109"/>
      <c r="Z393" s="109"/>
      <c r="AA393" s="109"/>
      <c r="AB393" s="109"/>
      <c r="AC393" s="16"/>
      <c r="AD393" s="16"/>
      <c r="AE393" s="16"/>
      <c r="AF393" s="16"/>
      <c r="AG393" s="16"/>
    </row>
    <row r="394" spans="1:33" x14ac:dyDescent="0.2">
      <c r="A394" s="16"/>
      <c r="B394" s="16"/>
      <c r="C394" s="16"/>
      <c r="D394" s="16"/>
      <c r="E394" s="16"/>
      <c r="F394" s="109"/>
      <c r="G394" s="109"/>
      <c r="H394" s="109"/>
      <c r="I394" s="109"/>
      <c r="J394" s="109"/>
      <c r="K394" s="109"/>
      <c r="L394" s="109"/>
      <c r="M394" s="109"/>
      <c r="N394" s="109"/>
      <c r="O394" s="109"/>
      <c r="P394" s="16"/>
      <c r="Q394" s="16"/>
      <c r="R394" s="109"/>
      <c r="S394" s="109"/>
      <c r="T394" s="109"/>
      <c r="U394" s="109"/>
      <c r="V394" s="109"/>
      <c r="W394" s="109"/>
      <c r="X394" s="109"/>
      <c r="Y394" s="109"/>
      <c r="Z394" s="109"/>
      <c r="AA394" s="109"/>
      <c r="AB394" s="109"/>
      <c r="AC394" s="16"/>
      <c r="AD394" s="16"/>
      <c r="AE394" s="16"/>
      <c r="AF394" s="16"/>
      <c r="AG394" s="16"/>
    </row>
    <row r="395" spans="1:33" x14ac:dyDescent="0.2">
      <c r="A395" s="16"/>
      <c r="B395" s="16"/>
      <c r="C395" s="16"/>
      <c r="D395" s="16"/>
      <c r="E395" s="16"/>
      <c r="F395" s="109"/>
      <c r="G395" s="109"/>
      <c r="H395" s="109"/>
      <c r="I395" s="109"/>
      <c r="J395" s="109"/>
      <c r="K395" s="109"/>
      <c r="L395" s="109"/>
      <c r="M395" s="109"/>
      <c r="N395" s="109"/>
      <c r="O395" s="109"/>
      <c r="P395" s="16"/>
      <c r="Q395" s="16"/>
      <c r="R395" s="109"/>
      <c r="S395" s="109"/>
      <c r="T395" s="109"/>
      <c r="U395" s="109"/>
      <c r="V395" s="109"/>
      <c r="W395" s="109"/>
      <c r="X395" s="109"/>
      <c r="Y395" s="109"/>
      <c r="Z395" s="109"/>
      <c r="AA395" s="109"/>
      <c r="AB395" s="109"/>
      <c r="AC395" s="16"/>
      <c r="AD395" s="16"/>
      <c r="AE395" s="16"/>
      <c r="AF395" s="16"/>
      <c r="AG395" s="16"/>
    </row>
    <row r="396" spans="1:33" x14ac:dyDescent="0.2">
      <c r="A396" s="16"/>
      <c r="B396" s="16"/>
      <c r="C396" s="16"/>
      <c r="D396" s="16"/>
      <c r="E396" s="16"/>
      <c r="F396" s="109"/>
      <c r="G396" s="109"/>
      <c r="H396" s="109"/>
      <c r="I396" s="109"/>
      <c r="J396" s="109"/>
      <c r="K396" s="109"/>
      <c r="L396" s="109"/>
      <c r="M396" s="109"/>
      <c r="N396" s="109"/>
      <c r="O396" s="109"/>
      <c r="P396" s="16"/>
      <c r="Q396" s="16"/>
      <c r="R396" s="109"/>
      <c r="S396" s="109"/>
      <c r="T396" s="109"/>
      <c r="U396" s="109"/>
      <c r="V396" s="109"/>
      <c r="W396" s="109"/>
      <c r="X396" s="109"/>
      <c r="Y396" s="109"/>
      <c r="Z396" s="109"/>
      <c r="AA396" s="109"/>
      <c r="AB396" s="109"/>
      <c r="AC396" s="16"/>
      <c r="AD396" s="16"/>
      <c r="AE396" s="16"/>
      <c r="AF396" s="16"/>
      <c r="AG396" s="16"/>
    </row>
    <row r="397" spans="1:33" x14ac:dyDescent="0.2">
      <c r="A397" s="16"/>
      <c r="B397" s="16"/>
      <c r="C397" s="16"/>
      <c r="D397" s="16"/>
      <c r="E397" s="16"/>
      <c r="F397" s="109"/>
      <c r="G397" s="109"/>
      <c r="H397" s="109"/>
      <c r="I397" s="109"/>
      <c r="J397" s="109"/>
      <c r="K397" s="109"/>
      <c r="L397" s="109"/>
      <c r="M397" s="109"/>
      <c r="N397" s="109"/>
      <c r="O397" s="109"/>
      <c r="P397" s="16"/>
      <c r="Q397" s="16"/>
      <c r="R397" s="109"/>
      <c r="S397" s="109"/>
      <c r="T397" s="109"/>
      <c r="U397" s="109"/>
      <c r="V397" s="109"/>
      <c r="W397" s="109"/>
      <c r="X397" s="109"/>
      <c r="Y397" s="109"/>
      <c r="Z397" s="109"/>
      <c r="AA397" s="109"/>
      <c r="AB397" s="109"/>
      <c r="AC397" s="16"/>
      <c r="AD397" s="16"/>
      <c r="AE397" s="16"/>
      <c r="AF397" s="16"/>
      <c r="AG397" s="16"/>
    </row>
    <row r="398" spans="1:33" x14ac:dyDescent="0.2">
      <c r="A398" s="16"/>
      <c r="B398" s="16"/>
      <c r="C398" s="16"/>
      <c r="D398" s="16"/>
      <c r="E398" s="16"/>
      <c r="F398" s="109"/>
      <c r="G398" s="109"/>
      <c r="H398" s="109"/>
      <c r="I398" s="109"/>
      <c r="J398" s="109"/>
      <c r="K398" s="109"/>
      <c r="L398" s="109"/>
      <c r="M398" s="109"/>
      <c r="N398" s="109"/>
      <c r="O398" s="109"/>
      <c r="P398" s="16"/>
      <c r="Q398" s="16"/>
      <c r="R398" s="109"/>
      <c r="S398" s="109"/>
      <c r="T398" s="109"/>
      <c r="U398" s="109"/>
      <c r="V398" s="109"/>
      <c r="W398" s="109"/>
      <c r="X398" s="109"/>
      <c r="Y398" s="109"/>
      <c r="Z398" s="109"/>
      <c r="AA398" s="109"/>
      <c r="AB398" s="109"/>
      <c r="AC398" s="16"/>
      <c r="AD398" s="16"/>
      <c r="AE398" s="16"/>
      <c r="AF398" s="16"/>
      <c r="AG398" s="16"/>
    </row>
    <row r="399" spans="1:33" x14ac:dyDescent="0.2">
      <c r="A399" s="16"/>
      <c r="B399" s="16"/>
      <c r="C399" s="16"/>
      <c r="D399" s="16"/>
      <c r="E399" s="16"/>
      <c r="F399" s="109"/>
      <c r="G399" s="109"/>
      <c r="H399" s="109"/>
      <c r="I399" s="109"/>
      <c r="J399" s="109"/>
      <c r="K399" s="109"/>
      <c r="L399" s="109"/>
      <c r="M399" s="109"/>
      <c r="N399" s="109"/>
      <c r="O399" s="109"/>
      <c r="P399" s="16"/>
      <c r="Q399" s="16"/>
      <c r="R399" s="109"/>
      <c r="S399" s="109"/>
      <c r="T399" s="109"/>
      <c r="U399" s="109"/>
      <c r="V399" s="109"/>
      <c r="W399" s="109"/>
      <c r="X399" s="109"/>
      <c r="Y399" s="109"/>
      <c r="Z399" s="109"/>
      <c r="AA399" s="109"/>
      <c r="AB399" s="109"/>
      <c r="AC399" s="16"/>
      <c r="AD399" s="16"/>
      <c r="AE399" s="16"/>
      <c r="AF399" s="16"/>
      <c r="AG399" s="16"/>
    </row>
    <row r="400" spans="1:33" x14ac:dyDescent="0.2">
      <c r="A400" s="16"/>
      <c r="B400" s="16"/>
      <c r="C400" s="16"/>
      <c r="D400" s="16"/>
      <c r="E400" s="16"/>
      <c r="F400" s="109"/>
      <c r="G400" s="109"/>
      <c r="H400" s="109"/>
      <c r="I400" s="109"/>
      <c r="J400" s="109"/>
      <c r="K400" s="109"/>
      <c r="L400" s="109"/>
      <c r="M400" s="109"/>
      <c r="N400" s="109"/>
      <c r="O400" s="109"/>
      <c r="P400" s="16"/>
      <c r="Q400" s="16"/>
      <c r="R400" s="109"/>
      <c r="S400" s="109"/>
      <c r="T400" s="109"/>
      <c r="U400" s="109"/>
      <c r="V400" s="109"/>
      <c r="W400" s="109"/>
      <c r="X400" s="109"/>
      <c r="Y400" s="109"/>
      <c r="Z400" s="109"/>
      <c r="AA400" s="109"/>
      <c r="AB400" s="109"/>
      <c r="AC400" s="16"/>
      <c r="AD400" s="16"/>
      <c r="AE400" s="16"/>
      <c r="AF400" s="16"/>
      <c r="AG400" s="16"/>
    </row>
    <row r="401" spans="1:33" x14ac:dyDescent="0.2">
      <c r="A401" s="16"/>
      <c r="B401" s="16"/>
      <c r="C401" s="16"/>
      <c r="D401" s="16"/>
      <c r="E401" s="16"/>
      <c r="F401" s="109"/>
      <c r="G401" s="109"/>
      <c r="H401" s="109"/>
      <c r="I401" s="109"/>
      <c r="J401" s="109"/>
      <c r="K401" s="109"/>
      <c r="L401" s="109"/>
      <c r="M401" s="109"/>
      <c r="N401" s="109"/>
      <c r="O401" s="109"/>
      <c r="P401" s="16"/>
      <c r="Q401" s="16"/>
      <c r="R401" s="109"/>
      <c r="S401" s="109"/>
      <c r="T401" s="109"/>
      <c r="U401" s="109"/>
      <c r="V401" s="109"/>
      <c r="W401" s="109"/>
      <c r="X401" s="109"/>
      <c r="Y401" s="109"/>
      <c r="Z401" s="109"/>
      <c r="AA401" s="109"/>
      <c r="AB401" s="109"/>
      <c r="AC401" s="16"/>
      <c r="AD401" s="16"/>
      <c r="AE401" s="16"/>
      <c r="AF401" s="16"/>
      <c r="AG401" s="16"/>
    </row>
    <row r="402" spans="1:33" x14ac:dyDescent="0.2">
      <c r="A402" s="16"/>
      <c r="B402" s="16"/>
      <c r="C402" s="16"/>
      <c r="D402" s="16"/>
      <c r="E402" s="16"/>
      <c r="F402" s="109"/>
      <c r="G402" s="109"/>
      <c r="H402" s="109"/>
      <c r="I402" s="109"/>
      <c r="J402" s="109"/>
      <c r="K402" s="109"/>
      <c r="L402" s="109"/>
      <c r="M402" s="109"/>
      <c r="N402" s="109"/>
      <c r="O402" s="109"/>
      <c r="P402" s="16"/>
      <c r="Q402" s="16"/>
      <c r="R402" s="109"/>
      <c r="S402" s="109"/>
      <c r="T402" s="109"/>
      <c r="U402" s="109"/>
      <c r="V402" s="109"/>
      <c r="W402" s="109"/>
      <c r="X402" s="109"/>
      <c r="Y402" s="109"/>
      <c r="Z402" s="109"/>
      <c r="AA402" s="109"/>
      <c r="AB402" s="109"/>
      <c r="AC402" s="16"/>
      <c r="AD402" s="16"/>
      <c r="AE402" s="16"/>
      <c r="AF402" s="16"/>
      <c r="AG402" s="16"/>
    </row>
    <row r="403" spans="1:33" x14ac:dyDescent="0.2">
      <c r="A403" s="16"/>
      <c r="B403" s="16"/>
      <c r="C403" s="16"/>
      <c r="D403" s="16"/>
      <c r="E403" s="16"/>
      <c r="F403" s="109"/>
      <c r="G403" s="109"/>
      <c r="H403" s="109"/>
      <c r="I403" s="109"/>
      <c r="J403" s="109"/>
      <c r="K403" s="109"/>
      <c r="L403" s="109"/>
      <c r="M403" s="109"/>
      <c r="N403" s="109"/>
      <c r="O403" s="109"/>
      <c r="P403" s="16"/>
      <c r="Q403" s="16"/>
      <c r="R403" s="109"/>
      <c r="S403" s="109"/>
      <c r="T403" s="109"/>
      <c r="U403" s="109"/>
      <c r="V403" s="109"/>
      <c r="W403" s="109"/>
      <c r="X403" s="109"/>
      <c r="Y403" s="109"/>
      <c r="Z403" s="109"/>
      <c r="AA403" s="109"/>
      <c r="AB403" s="109"/>
      <c r="AC403" s="16"/>
      <c r="AD403" s="16"/>
      <c r="AE403" s="16"/>
      <c r="AF403" s="16"/>
      <c r="AG403" s="16"/>
    </row>
    <row r="404" spans="1:33" x14ac:dyDescent="0.2">
      <c r="A404" s="16"/>
      <c r="B404" s="16"/>
      <c r="C404" s="16"/>
      <c r="D404" s="16"/>
      <c r="E404" s="16"/>
      <c r="F404" s="109"/>
      <c r="G404" s="109"/>
      <c r="H404" s="109"/>
      <c r="I404" s="109"/>
      <c r="J404" s="109"/>
      <c r="K404" s="109"/>
      <c r="L404" s="109"/>
      <c r="M404" s="109"/>
      <c r="N404" s="109"/>
      <c r="O404" s="109"/>
      <c r="P404" s="16"/>
      <c r="Q404" s="16"/>
      <c r="R404" s="109"/>
      <c r="S404" s="109"/>
      <c r="T404" s="109"/>
      <c r="U404" s="109"/>
      <c r="V404" s="109"/>
      <c r="W404" s="109"/>
      <c r="X404" s="109"/>
      <c r="Y404" s="109"/>
      <c r="Z404" s="109"/>
      <c r="AA404" s="109"/>
      <c r="AB404" s="109"/>
      <c r="AC404" s="16"/>
      <c r="AD404" s="16"/>
      <c r="AE404" s="16"/>
      <c r="AF404" s="16"/>
      <c r="AG404" s="16"/>
    </row>
    <row r="405" spans="1:33" x14ac:dyDescent="0.2">
      <c r="A405" s="16"/>
      <c r="B405" s="16"/>
      <c r="C405" s="16"/>
      <c r="D405" s="16"/>
      <c r="E405" s="16"/>
      <c r="F405" s="109"/>
      <c r="G405" s="109"/>
      <c r="H405" s="109"/>
      <c r="I405" s="109"/>
      <c r="J405" s="109"/>
      <c r="K405" s="109"/>
      <c r="L405" s="109"/>
      <c r="M405" s="109"/>
      <c r="N405" s="109"/>
      <c r="O405" s="109"/>
      <c r="P405" s="16"/>
      <c r="Q405" s="16"/>
      <c r="R405" s="109"/>
      <c r="S405" s="109"/>
      <c r="T405" s="109"/>
      <c r="U405" s="109"/>
      <c r="V405" s="109"/>
      <c r="W405" s="109"/>
      <c r="X405" s="109"/>
      <c r="Y405" s="109"/>
      <c r="Z405" s="109"/>
      <c r="AA405" s="109"/>
      <c r="AB405" s="109"/>
      <c r="AC405" s="16"/>
      <c r="AD405" s="16"/>
      <c r="AE405" s="16"/>
      <c r="AF405" s="16"/>
      <c r="AG405" s="16"/>
    </row>
    <row r="406" spans="1:33" x14ac:dyDescent="0.2">
      <c r="A406" s="16"/>
      <c r="B406" s="16"/>
      <c r="C406" s="16"/>
      <c r="D406" s="16"/>
      <c r="E406" s="16"/>
      <c r="F406" s="109"/>
      <c r="G406" s="109"/>
      <c r="H406" s="109"/>
      <c r="I406" s="109"/>
      <c r="J406" s="109"/>
      <c r="K406" s="109"/>
      <c r="L406" s="109"/>
      <c r="M406" s="109"/>
      <c r="N406" s="109"/>
      <c r="O406" s="109"/>
      <c r="P406" s="16"/>
      <c r="Q406" s="16"/>
      <c r="R406" s="109"/>
      <c r="S406" s="109"/>
      <c r="T406" s="109"/>
      <c r="U406" s="109"/>
      <c r="V406" s="109"/>
      <c r="W406" s="109"/>
      <c r="X406" s="109"/>
      <c r="Y406" s="109"/>
      <c r="Z406" s="109"/>
      <c r="AA406" s="109"/>
      <c r="AB406" s="109"/>
      <c r="AC406" s="16"/>
      <c r="AD406" s="16"/>
      <c r="AE406" s="16"/>
      <c r="AF406" s="16"/>
      <c r="AG406" s="16"/>
    </row>
    <row r="407" spans="1:33" x14ac:dyDescent="0.2">
      <c r="A407" s="16"/>
      <c r="B407" s="16"/>
      <c r="C407" s="16"/>
      <c r="D407" s="16"/>
      <c r="E407" s="16"/>
      <c r="F407" s="109"/>
      <c r="G407" s="109"/>
      <c r="H407" s="109"/>
      <c r="I407" s="109"/>
      <c r="J407" s="109"/>
      <c r="K407" s="109"/>
      <c r="L407" s="109"/>
      <c r="M407" s="109"/>
      <c r="N407" s="109"/>
      <c r="O407" s="109"/>
      <c r="P407" s="16"/>
      <c r="Q407" s="16"/>
      <c r="R407" s="109"/>
      <c r="S407" s="109"/>
      <c r="T407" s="109"/>
      <c r="U407" s="109"/>
      <c r="V407" s="109"/>
      <c r="W407" s="109"/>
      <c r="X407" s="109"/>
      <c r="Y407" s="109"/>
      <c r="Z407" s="109"/>
      <c r="AA407" s="109"/>
      <c r="AB407" s="109"/>
      <c r="AC407" s="16"/>
      <c r="AD407" s="16"/>
      <c r="AE407" s="16"/>
      <c r="AF407" s="16"/>
      <c r="AG407" s="16"/>
    </row>
    <row r="408" spans="1:33" x14ac:dyDescent="0.2">
      <c r="A408" s="16"/>
      <c r="B408" s="16"/>
      <c r="C408" s="16"/>
      <c r="D408" s="16"/>
      <c r="E408" s="16"/>
      <c r="F408" s="109"/>
      <c r="G408" s="109"/>
      <c r="H408" s="109"/>
      <c r="I408" s="109"/>
      <c r="J408" s="109"/>
      <c r="K408" s="109"/>
      <c r="L408" s="109"/>
      <c r="M408" s="109"/>
      <c r="N408" s="109"/>
      <c r="O408" s="109"/>
      <c r="P408" s="16"/>
      <c r="Q408" s="16"/>
      <c r="R408" s="109"/>
      <c r="S408" s="109"/>
      <c r="T408" s="109"/>
      <c r="U408" s="109"/>
      <c r="V408" s="109"/>
      <c r="W408" s="109"/>
      <c r="X408" s="109"/>
      <c r="Y408" s="109"/>
      <c r="Z408" s="109"/>
      <c r="AA408" s="109"/>
      <c r="AB408" s="109"/>
      <c r="AC408" s="16"/>
      <c r="AD408" s="16"/>
      <c r="AE408" s="16"/>
      <c r="AF408" s="16"/>
      <c r="AG408" s="16"/>
    </row>
    <row r="409" spans="1:33" x14ac:dyDescent="0.2">
      <c r="A409" s="16"/>
      <c r="B409" s="16"/>
      <c r="C409" s="16"/>
      <c r="D409" s="16"/>
      <c r="E409" s="16"/>
      <c r="F409" s="109"/>
      <c r="G409" s="109"/>
      <c r="H409" s="109"/>
      <c r="I409" s="109"/>
      <c r="J409" s="109"/>
      <c r="K409" s="109"/>
      <c r="L409" s="109"/>
      <c r="M409" s="109"/>
      <c r="N409" s="109"/>
      <c r="O409" s="109"/>
      <c r="P409" s="16"/>
      <c r="Q409" s="16"/>
      <c r="R409" s="109"/>
      <c r="S409" s="109"/>
      <c r="T409" s="109"/>
      <c r="U409" s="109"/>
      <c r="V409" s="109"/>
      <c r="W409" s="109"/>
      <c r="X409" s="109"/>
      <c r="Y409" s="109"/>
      <c r="Z409" s="109"/>
      <c r="AA409" s="109"/>
      <c r="AB409" s="109"/>
      <c r="AC409" s="16"/>
      <c r="AD409" s="16"/>
      <c r="AE409" s="16"/>
      <c r="AF409" s="16"/>
      <c r="AG409" s="16"/>
    </row>
    <row r="410" spans="1:33" x14ac:dyDescent="0.2">
      <c r="A410" s="16"/>
      <c r="B410" s="16"/>
      <c r="C410" s="16"/>
      <c r="D410" s="16"/>
      <c r="E410" s="16"/>
      <c r="F410" s="109"/>
      <c r="G410" s="109"/>
      <c r="H410" s="109"/>
      <c r="I410" s="109"/>
      <c r="J410" s="109"/>
      <c r="K410" s="109"/>
      <c r="L410" s="109"/>
      <c r="M410" s="109"/>
      <c r="N410" s="109"/>
      <c r="O410" s="109"/>
      <c r="P410" s="16"/>
      <c r="Q410" s="16"/>
      <c r="R410" s="109"/>
      <c r="S410" s="109"/>
      <c r="T410" s="109"/>
      <c r="U410" s="109"/>
      <c r="V410" s="109"/>
      <c r="W410" s="109"/>
      <c r="X410" s="109"/>
      <c r="Y410" s="109"/>
      <c r="Z410" s="109"/>
      <c r="AA410" s="109"/>
      <c r="AB410" s="109"/>
      <c r="AC410" s="16"/>
      <c r="AD410" s="16"/>
      <c r="AE410" s="16"/>
      <c r="AF410" s="16"/>
      <c r="AG410" s="16"/>
    </row>
    <row r="411" spans="1:33" x14ac:dyDescent="0.2">
      <c r="A411" s="16"/>
      <c r="B411" s="16"/>
      <c r="C411" s="16"/>
      <c r="D411" s="16"/>
      <c r="E411" s="16"/>
      <c r="F411" s="109"/>
      <c r="G411" s="109"/>
      <c r="H411" s="109"/>
      <c r="I411" s="109"/>
      <c r="J411" s="109"/>
      <c r="K411" s="109"/>
      <c r="L411" s="109"/>
      <c r="M411" s="109"/>
      <c r="N411" s="109"/>
      <c r="O411" s="109"/>
      <c r="P411" s="16"/>
      <c r="Q411" s="16"/>
      <c r="R411" s="109"/>
      <c r="S411" s="109"/>
      <c r="T411" s="109"/>
      <c r="U411" s="109"/>
      <c r="V411" s="109"/>
      <c r="W411" s="109"/>
      <c r="X411" s="109"/>
      <c r="Y411" s="109"/>
      <c r="Z411" s="109"/>
      <c r="AA411" s="109"/>
      <c r="AB411" s="109"/>
      <c r="AC411" s="16"/>
      <c r="AD411" s="16"/>
      <c r="AE411" s="16"/>
      <c r="AF411" s="16"/>
      <c r="AG411" s="16"/>
    </row>
    <row r="412" spans="1:33" x14ac:dyDescent="0.2">
      <c r="A412" s="16"/>
      <c r="B412" s="16"/>
      <c r="C412" s="16"/>
      <c r="D412" s="16"/>
      <c r="E412" s="16"/>
      <c r="F412" s="109"/>
      <c r="G412" s="109"/>
      <c r="H412" s="109"/>
      <c r="I412" s="109"/>
      <c r="J412" s="109"/>
      <c r="K412" s="109"/>
      <c r="L412" s="109"/>
      <c r="M412" s="109"/>
      <c r="N412" s="109"/>
      <c r="O412" s="109"/>
      <c r="P412" s="16"/>
      <c r="Q412" s="16"/>
      <c r="R412" s="109"/>
      <c r="S412" s="109"/>
      <c r="T412" s="109"/>
      <c r="U412" s="109"/>
      <c r="V412" s="109"/>
      <c r="W412" s="109"/>
      <c r="X412" s="109"/>
      <c r="Y412" s="109"/>
      <c r="Z412" s="109"/>
      <c r="AA412" s="109"/>
      <c r="AB412" s="109"/>
      <c r="AC412" s="16"/>
      <c r="AD412" s="16"/>
      <c r="AE412" s="16"/>
      <c r="AF412" s="16"/>
      <c r="AG412" s="16"/>
    </row>
    <row r="413" spans="1:33" x14ac:dyDescent="0.2">
      <c r="A413" s="16"/>
      <c r="B413" s="16"/>
      <c r="C413" s="16"/>
      <c r="D413" s="16"/>
      <c r="E413" s="16"/>
      <c r="F413" s="109"/>
      <c r="G413" s="109"/>
      <c r="H413" s="109"/>
      <c r="I413" s="109"/>
      <c r="J413" s="109"/>
      <c r="K413" s="109"/>
      <c r="L413" s="109"/>
      <c r="M413" s="109"/>
      <c r="N413" s="109"/>
      <c r="O413" s="109"/>
      <c r="P413" s="16"/>
      <c r="Q413" s="16"/>
      <c r="R413" s="109"/>
      <c r="S413" s="109"/>
      <c r="T413" s="109"/>
      <c r="U413" s="109"/>
      <c r="V413" s="109"/>
      <c r="W413" s="109"/>
      <c r="X413" s="109"/>
      <c r="Y413" s="109"/>
      <c r="Z413" s="109"/>
      <c r="AA413" s="109"/>
      <c r="AB413" s="109"/>
      <c r="AC413" s="16"/>
      <c r="AD413" s="16"/>
      <c r="AE413" s="16"/>
      <c r="AF413" s="16"/>
      <c r="AG413" s="16"/>
    </row>
    <row r="414" spans="1:33" x14ac:dyDescent="0.2">
      <c r="A414" s="16"/>
      <c r="B414" s="16"/>
      <c r="C414" s="16"/>
      <c r="D414" s="16"/>
      <c r="E414" s="16"/>
      <c r="F414" s="109"/>
      <c r="G414" s="109"/>
      <c r="H414" s="109"/>
      <c r="I414" s="109"/>
      <c r="J414" s="109"/>
      <c r="K414" s="109"/>
      <c r="L414" s="109"/>
      <c r="M414" s="109"/>
      <c r="N414" s="109"/>
      <c r="O414" s="109"/>
      <c r="P414" s="16"/>
      <c r="Q414" s="16"/>
      <c r="R414" s="109"/>
      <c r="S414" s="109"/>
      <c r="T414" s="109"/>
      <c r="U414" s="109"/>
      <c r="V414" s="109"/>
      <c r="W414" s="109"/>
      <c r="X414" s="109"/>
      <c r="Y414" s="109"/>
      <c r="Z414" s="109"/>
      <c r="AA414" s="109"/>
      <c r="AB414" s="109"/>
      <c r="AC414" s="16"/>
      <c r="AD414" s="16"/>
      <c r="AE414" s="16"/>
      <c r="AF414" s="16"/>
      <c r="AG414" s="16"/>
    </row>
    <row r="415" spans="1:33" x14ac:dyDescent="0.2">
      <c r="A415" s="16"/>
      <c r="B415" s="16"/>
      <c r="C415" s="16"/>
      <c r="D415" s="16"/>
      <c r="E415" s="16"/>
      <c r="F415" s="109"/>
      <c r="G415" s="109"/>
      <c r="H415" s="109"/>
      <c r="I415" s="109"/>
      <c r="J415" s="109"/>
      <c r="K415" s="109"/>
      <c r="L415" s="109"/>
      <c r="M415" s="109"/>
      <c r="N415" s="109"/>
      <c r="O415" s="109"/>
      <c r="P415" s="16"/>
      <c r="Q415" s="16"/>
      <c r="R415" s="109"/>
      <c r="S415" s="109"/>
      <c r="T415" s="109"/>
      <c r="U415" s="109"/>
      <c r="V415" s="109"/>
      <c r="W415" s="109"/>
      <c r="X415" s="109"/>
      <c r="Y415" s="109"/>
      <c r="Z415" s="109"/>
      <c r="AA415" s="109"/>
      <c r="AB415" s="109"/>
      <c r="AC415" s="16"/>
      <c r="AD415" s="16"/>
      <c r="AE415" s="16"/>
      <c r="AF415" s="16"/>
      <c r="AG415" s="16"/>
    </row>
    <row r="416" spans="1:33" x14ac:dyDescent="0.2">
      <c r="A416" s="16"/>
      <c r="B416" s="16"/>
      <c r="C416" s="16"/>
      <c r="D416" s="16"/>
      <c r="E416" s="16"/>
      <c r="F416" s="109"/>
      <c r="G416" s="109"/>
      <c r="H416" s="109"/>
      <c r="I416" s="109"/>
      <c r="J416" s="109"/>
      <c r="K416" s="109"/>
      <c r="L416" s="109"/>
      <c r="M416" s="109"/>
      <c r="N416" s="109"/>
      <c r="O416" s="109"/>
      <c r="P416" s="16"/>
      <c r="Q416" s="16"/>
      <c r="R416" s="109"/>
      <c r="S416" s="109"/>
      <c r="T416" s="109"/>
      <c r="U416" s="109"/>
      <c r="V416" s="109"/>
      <c r="W416" s="109"/>
      <c r="X416" s="109"/>
      <c r="Y416" s="109"/>
      <c r="Z416" s="109"/>
      <c r="AA416" s="109"/>
      <c r="AB416" s="109"/>
      <c r="AC416" s="16"/>
      <c r="AD416" s="16"/>
      <c r="AE416" s="16"/>
      <c r="AF416" s="16"/>
      <c r="AG416" s="16"/>
    </row>
    <row r="417" spans="1:33" x14ac:dyDescent="0.2">
      <c r="A417" s="16"/>
      <c r="B417" s="16"/>
      <c r="C417" s="16"/>
      <c r="D417" s="16"/>
      <c r="E417" s="16"/>
      <c r="F417" s="109"/>
      <c r="G417" s="109"/>
      <c r="H417" s="109"/>
      <c r="I417" s="109"/>
      <c r="J417" s="109"/>
      <c r="K417" s="109"/>
      <c r="L417" s="109"/>
      <c r="M417" s="109"/>
      <c r="N417" s="109"/>
      <c r="O417" s="109"/>
      <c r="P417" s="16"/>
      <c r="Q417" s="16"/>
      <c r="R417" s="109"/>
      <c r="S417" s="109"/>
      <c r="T417" s="109"/>
      <c r="U417" s="109"/>
      <c r="V417" s="109"/>
      <c r="W417" s="109"/>
      <c r="X417" s="109"/>
      <c r="Y417" s="109"/>
      <c r="Z417" s="109"/>
      <c r="AA417" s="109"/>
      <c r="AB417" s="109"/>
      <c r="AC417" s="16"/>
      <c r="AD417" s="16"/>
      <c r="AE417" s="16"/>
      <c r="AF417" s="16"/>
      <c r="AG417" s="16"/>
    </row>
    <row r="418" spans="1:33" x14ac:dyDescent="0.2">
      <c r="A418" s="16"/>
      <c r="B418" s="16"/>
      <c r="C418" s="16"/>
      <c r="D418" s="16"/>
      <c r="E418" s="16"/>
      <c r="F418" s="109"/>
      <c r="G418" s="109"/>
      <c r="H418" s="109"/>
      <c r="I418" s="109"/>
      <c r="J418" s="109"/>
      <c r="K418" s="109"/>
      <c r="L418" s="109"/>
      <c r="M418" s="109"/>
      <c r="N418" s="109"/>
      <c r="O418" s="109"/>
      <c r="P418" s="16"/>
      <c r="Q418" s="16"/>
      <c r="R418" s="109"/>
      <c r="S418" s="109"/>
      <c r="T418" s="109"/>
      <c r="U418" s="109"/>
      <c r="V418" s="109"/>
      <c r="W418" s="109"/>
      <c r="X418" s="109"/>
      <c r="Y418" s="109"/>
      <c r="Z418" s="109"/>
      <c r="AA418" s="109"/>
      <c r="AB418" s="109"/>
      <c r="AC418" s="16"/>
      <c r="AD418" s="16"/>
      <c r="AE418" s="16"/>
      <c r="AF418" s="16"/>
      <c r="AG418" s="16"/>
    </row>
    <row r="419" spans="1:33" x14ac:dyDescent="0.2">
      <c r="A419" s="16"/>
      <c r="B419" s="16"/>
      <c r="C419" s="16"/>
      <c r="D419" s="16"/>
      <c r="E419" s="16"/>
      <c r="F419" s="109"/>
      <c r="G419" s="109"/>
      <c r="H419" s="109"/>
      <c r="I419" s="109"/>
      <c r="J419" s="109"/>
      <c r="K419" s="109"/>
      <c r="L419" s="109"/>
      <c r="M419" s="109"/>
      <c r="N419" s="109"/>
      <c r="O419" s="109"/>
      <c r="P419" s="16"/>
      <c r="Q419" s="16"/>
      <c r="R419" s="109"/>
      <c r="S419" s="109"/>
      <c r="T419" s="109"/>
      <c r="U419" s="109"/>
      <c r="V419" s="109"/>
      <c r="W419" s="109"/>
      <c r="X419" s="109"/>
      <c r="Y419" s="109"/>
      <c r="Z419" s="109"/>
      <c r="AA419" s="109"/>
      <c r="AB419" s="109"/>
      <c r="AC419" s="16"/>
      <c r="AD419" s="16"/>
      <c r="AE419" s="16"/>
      <c r="AF419" s="16"/>
      <c r="AG419" s="16"/>
    </row>
    <row r="420" spans="1:33" x14ac:dyDescent="0.2">
      <c r="A420" s="16"/>
      <c r="B420" s="16"/>
      <c r="C420" s="16"/>
      <c r="D420" s="16"/>
      <c r="E420" s="16"/>
      <c r="F420" s="109"/>
      <c r="G420" s="109"/>
      <c r="H420" s="109"/>
      <c r="I420" s="109"/>
      <c r="J420" s="109"/>
      <c r="K420" s="109"/>
      <c r="L420" s="109"/>
      <c r="M420" s="109"/>
      <c r="N420" s="109"/>
      <c r="O420" s="109"/>
      <c r="P420" s="16"/>
      <c r="Q420" s="16"/>
      <c r="R420" s="109"/>
      <c r="S420" s="109"/>
      <c r="T420" s="109"/>
      <c r="U420" s="109"/>
      <c r="V420" s="109"/>
      <c r="W420" s="109"/>
      <c r="X420" s="109"/>
      <c r="Y420" s="109"/>
      <c r="Z420" s="109"/>
      <c r="AA420" s="109"/>
      <c r="AB420" s="109"/>
      <c r="AC420" s="16"/>
      <c r="AD420" s="16"/>
      <c r="AE420" s="16"/>
      <c r="AF420" s="16"/>
      <c r="AG420" s="16"/>
    </row>
    <row r="421" spans="1:33" x14ac:dyDescent="0.2">
      <c r="A421" s="16"/>
      <c r="B421" s="16"/>
      <c r="C421" s="16"/>
      <c r="D421" s="16"/>
      <c r="E421" s="16"/>
      <c r="F421" s="109"/>
      <c r="G421" s="109"/>
      <c r="H421" s="109"/>
      <c r="I421" s="109"/>
      <c r="J421" s="109"/>
      <c r="K421" s="109"/>
      <c r="L421" s="109"/>
      <c r="M421" s="109"/>
      <c r="N421" s="109"/>
      <c r="O421" s="109"/>
      <c r="P421" s="16"/>
      <c r="Q421" s="16"/>
      <c r="R421" s="109"/>
      <c r="S421" s="109"/>
      <c r="T421" s="109"/>
      <c r="U421" s="109"/>
      <c r="V421" s="109"/>
      <c r="W421" s="109"/>
      <c r="X421" s="109"/>
      <c r="Y421" s="109"/>
      <c r="Z421" s="109"/>
      <c r="AA421" s="109"/>
      <c r="AB421" s="109"/>
      <c r="AC421" s="16"/>
      <c r="AD421" s="16"/>
      <c r="AE421" s="16"/>
      <c r="AF421" s="16"/>
      <c r="AG421" s="16"/>
    </row>
    <row r="422" spans="1:33" x14ac:dyDescent="0.2">
      <c r="A422" s="16"/>
      <c r="B422" s="16"/>
      <c r="C422" s="16"/>
      <c r="D422" s="16"/>
      <c r="E422" s="16"/>
      <c r="F422" s="109"/>
      <c r="G422" s="109"/>
      <c r="H422" s="109"/>
      <c r="I422" s="109"/>
      <c r="J422" s="109"/>
      <c r="K422" s="109"/>
      <c r="L422" s="109"/>
      <c r="M422" s="109"/>
      <c r="N422" s="109"/>
      <c r="O422" s="109"/>
      <c r="P422" s="16"/>
      <c r="Q422" s="16"/>
      <c r="R422" s="109"/>
      <c r="S422" s="109"/>
      <c r="T422" s="109"/>
      <c r="U422" s="109"/>
      <c r="V422" s="109"/>
      <c r="W422" s="109"/>
      <c r="X422" s="109"/>
      <c r="Y422" s="109"/>
      <c r="Z422" s="109"/>
      <c r="AA422" s="109"/>
      <c r="AB422" s="109"/>
      <c r="AC422" s="16"/>
      <c r="AD422" s="16"/>
      <c r="AE422" s="16"/>
      <c r="AF422" s="16"/>
      <c r="AG422" s="16"/>
    </row>
    <row r="423" spans="1:33" x14ac:dyDescent="0.2">
      <c r="A423" s="16"/>
      <c r="B423" s="16"/>
      <c r="C423" s="16"/>
      <c r="D423" s="16"/>
      <c r="E423" s="16"/>
      <c r="F423" s="109"/>
      <c r="G423" s="109"/>
      <c r="H423" s="109"/>
      <c r="I423" s="109"/>
      <c r="J423" s="109"/>
      <c r="K423" s="109"/>
      <c r="L423" s="109"/>
      <c r="M423" s="109"/>
      <c r="N423" s="109"/>
      <c r="O423" s="109"/>
      <c r="P423" s="16"/>
      <c r="Q423" s="16"/>
      <c r="R423" s="109"/>
      <c r="S423" s="109"/>
      <c r="T423" s="109"/>
      <c r="U423" s="109"/>
      <c r="V423" s="109"/>
      <c r="W423" s="109"/>
      <c r="X423" s="109"/>
      <c r="Y423" s="109"/>
      <c r="Z423" s="109"/>
      <c r="AA423" s="109"/>
      <c r="AB423" s="109"/>
      <c r="AC423" s="16"/>
      <c r="AD423" s="16"/>
      <c r="AE423" s="16"/>
      <c r="AF423" s="16"/>
      <c r="AG423" s="16"/>
    </row>
    <row r="424" spans="1:33" x14ac:dyDescent="0.2">
      <c r="A424" s="16"/>
      <c r="B424" s="16"/>
      <c r="C424" s="16"/>
      <c r="D424" s="16"/>
      <c r="E424" s="16"/>
      <c r="F424" s="109"/>
      <c r="G424" s="109"/>
      <c r="H424" s="109"/>
      <c r="I424" s="109"/>
      <c r="J424" s="109"/>
      <c r="K424" s="109"/>
      <c r="L424" s="109"/>
      <c r="M424" s="109"/>
      <c r="N424" s="109"/>
      <c r="O424" s="109"/>
      <c r="P424" s="16"/>
      <c r="Q424" s="16"/>
      <c r="R424" s="109"/>
      <c r="S424" s="109"/>
      <c r="T424" s="109"/>
      <c r="U424" s="109"/>
      <c r="V424" s="109"/>
      <c r="W424" s="109"/>
      <c r="X424" s="109"/>
      <c r="Y424" s="109"/>
      <c r="Z424" s="109"/>
      <c r="AA424" s="109"/>
      <c r="AB424" s="109"/>
      <c r="AC424" s="16"/>
      <c r="AD424" s="16"/>
      <c r="AE424" s="16"/>
      <c r="AF424" s="16"/>
      <c r="AG424" s="16"/>
    </row>
    <row r="425" spans="1:33" x14ac:dyDescent="0.2">
      <c r="A425" s="16"/>
      <c r="B425" s="16"/>
      <c r="C425" s="16"/>
      <c r="D425" s="16"/>
      <c r="E425" s="16"/>
      <c r="F425" s="109"/>
      <c r="G425" s="109"/>
      <c r="H425" s="109"/>
      <c r="I425" s="109"/>
      <c r="J425" s="109"/>
      <c r="K425" s="109"/>
      <c r="L425" s="109"/>
      <c r="M425" s="109"/>
      <c r="N425" s="109"/>
      <c r="O425" s="109"/>
      <c r="P425" s="16"/>
      <c r="Q425" s="16"/>
      <c r="R425" s="109"/>
      <c r="S425" s="109"/>
      <c r="T425" s="109"/>
      <c r="U425" s="109"/>
      <c r="V425" s="109"/>
      <c r="W425" s="109"/>
      <c r="X425" s="109"/>
      <c r="Y425" s="109"/>
      <c r="Z425" s="109"/>
      <c r="AA425" s="109"/>
      <c r="AB425" s="109"/>
      <c r="AC425" s="16"/>
      <c r="AD425" s="16"/>
      <c r="AE425" s="16"/>
      <c r="AF425" s="16"/>
      <c r="AG425" s="16"/>
    </row>
    <row r="426" spans="1:33" x14ac:dyDescent="0.2">
      <c r="A426" s="16"/>
      <c r="B426" s="16"/>
      <c r="C426" s="16"/>
      <c r="D426" s="16"/>
      <c r="E426" s="16"/>
      <c r="F426" s="109"/>
      <c r="G426" s="109"/>
      <c r="H426" s="109"/>
      <c r="I426" s="109"/>
      <c r="J426" s="109"/>
      <c r="K426" s="109"/>
      <c r="L426" s="109"/>
      <c r="M426" s="109"/>
      <c r="N426" s="109"/>
      <c r="O426" s="109"/>
      <c r="P426" s="16"/>
      <c r="Q426" s="16"/>
      <c r="R426" s="109"/>
      <c r="S426" s="109"/>
      <c r="T426" s="109"/>
      <c r="U426" s="109"/>
      <c r="V426" s="109"/>
      <c r="W426" s="109"/>
      <c r="X426" s="109"/>
      <c r="Y426" s="109"/>
      <c r="Z426" s="109"/>
      <c r="AA426" s="109"/>
      <c r="AB426" s="109"/>
      <c r="AC426" s="16"/>
      <c r="AD426" s="16"/>
      <c r="AE426" s="16"/>
      <c r="AF426" s="16"/>
      <c r="AG426" s="16"/>
    </row>
    <row r="427" spans="1:33" x14ac:dyDescent="0.2">
      <c r="A427" s="16"/>
      <c r="B427" s="16"/>
      <c r="C427" s="16"/>
      <c r="D427" s="16"/>
      <c r="E427" s="16"/>
      <c r="F427" s="109"/>
      <c r="G427" s="109"/>
      <c r="H427" s="109"/>
      <c r="I427" s="109"/>
      <c r="J427" s="109"/>
      <c r="K427" s="109"/>
      <c r="L427" s="109"/>
      <c r="M427" s="109"/>
      <c r="N427" s="109"/>
      <c r="O427" s="109"/>
      <c r="P427" s="16"/>
      <c r="Q427" s="16"/>
      <c r="R427" s="109"/>
      <c r="S427" s="109"/>
      <c r="T427" s="109"/>
      <c r="U427" s="109"/>
      <c r="V427" s="109"/>
      <c r="W427" s="109"/>
      <c r="X427" s="109"/>
      <c r="Y427" s="109"/>
      <c r="Z427" s="109"/>
      <c r="AA427" s="109"/>
      <c r="AB427" s="109"/>
      <c r="AC427" s="16"/>
      <c r="AD427" s="16"/>
      <c r="AE427" s="16"/>
      <c r="AF427" s="16"/>
      <c r="AG427" s="16"/>
    </row>
    <row r="428" spans="1:33" x14ac:dyDescent="0.2">
      <c r="A428" s="16"/>
      <c r="B428" s="16"/>
      <c r="C428" s="16"/>
      <c r="D428" s="16"/>
      <c r="E428" s="16"/>
      <c r="F428" s="109"/>
      <c r="G428" s="109"/>
      <c r="H428" s="109"/>
      <c r="I428" s="109"/>
      <c r="J428" s="109"/>
      <c r="K428" s="109"/>
      <c r="L428" s="109"/>
      <c r="M428" s="109"/>
      <c r="N428" s="109"/>
      <c r="O428" s="109"/>
      <c r="P428" s="16"/>
      <c r="Q428" s="16"/>
      <c r="R428" s="109"/>
      <c r="S428" s="109"/>
      <c r="T428" s="109"/>
      <c r="U428" s="109"/>
      <c r="V428" s="109"/>
      <c r="W428" s="109"/>
      <c r="X428" s="109"/>
      <c r="Y428" s="109"/>
      <c r="Z428" s="109"/>
      <c r="AA428" s="109"/>
      <c r="AB428" s="109"/>
      <c r="AC428" s="16"/>
      <c r="AD428" s="16"/>
      <c r="AE428" s="16"/>
      <c r="AF428" s="16"/>
      <c r="AG428" s="16"/>
    </row>
    <row r="429" spans="1:33" x14ac:dyDescent="0.2">
      <c r="A429" s="16"/>
      <c r="B429" s="16"/>
      <c r="C429" s="16"/>
      <c r="D429" s="16"/>
      <c r="E429" s="16"/>
      <c r="F429" s="109"/>
      <c r="G429" s="109"/>
      <c r="H429" s="109"/>
      <c r="I429" s="109"/>
      <c r="J429" s="109"/>
      <c r="K429" s="109"/>
      <c r="L429" s="109"/>
      <c r="M429" s="109"/>
      <c r="N429" s="109"/>
      <c r="O429" s="109"/>
      <c r="P429" s="16"/>
      <c r="Q429" s="16"/>
      <c r="R429" s="109"/>
      <c r="S429" s="109"/>
      <c r="T429" s="109"/>
      <c r="U429" s="109"/>
      <c r="V429" s="109"/>
      <c r="W429" s="109"/>
      <c r="X429" s="109"/>
      <c r="Y429" s="109"/>
      <c r="Z429" s="109"/>
      <c r="AA429" s="109"/>
      <c r="AB429" s="109"/>
      <c r="AC429" s="16"/>
      <c r="AD429" s="16"/>
      <c r="AE429" s="16"/>
      <c r="AF429" s="16"/>
      <c r="AG429" s="16"/>
    </row>
    <row r="430" spans="1:33" x14ac:dyDescent="0.2">
      <c r="A430" s="16"/>
      <c r="B430" s="16"/>
      <c r="C430" s="16"/>
      <c r="D430" s="16"/>
      <c r="E430" s="16"/>
      <c r="F430" s="109"/>
      <c r="G430" s="109"/>
      <c r="H430" s="109"/>
      <c r="I430" s="109"/>
      <c r="J430" s="109"/>
      <c r="K430" s="109"/>
      <c r="L430" s="109"/>
      <c r="M430" s="109"/>
      <c r="N430" s="109"/>
      <c r="O430" s="109"/>
      <c r="P430" s="16"/>
      <c r="Q430" s="16"/>
      <c r="R430" s="109"/>
      <c r="S430" s="109"/>
      <c r="T430" s="109"/>
      <c r="U430" s="109"/>
      <c r="V430" s="109"/>
      <c r="W430" s="109"/>
      <c r="X430" s="109"/>
      <c r="Y430" s="109"/>
      <c r="Z430" s="109"/>
      <c r="AA430" s="109"/>
      <c r="AB430" s="109"/>
      <c r="AC430" s="16"/>
      <c r="AD430" s="16"/>
      <c r="AE430" s="16"/>
      <c r="AF430" s="16"/>
      <c r="AG430" s="16"/>
    </row>
    <row r="431" spans="1:33" x14ac:dyDescent="0.2">
      <c r="A431" s="16"/>
      <c r="B431" s="16"/>
      <c r="C431" s="16"/>
      <c r="D431" s="16"/>
      <c r="E431" s="16"/>
      <c r="F431" s="109"/>
      <c r="G431" s="109"/>
      <c r="H431" s="109"/>
      <c r="I431" s="109"/>
      <c r="J431" s="109"/>
      <c r="K431" s="109"/>
      <c r="L431" s="109"/>
      <c r="M431" s="109"/>
      <c r="N431" s="109"/>
      <c r="O431" s="109"/>
      <c r="P431" s="16"/>
      <c r="Q431" s="16"/>
      <c r="R431" s="109"/>
      <c r="S431" s="109"/>
      <c r="T431" s="109"/>
      <c r="U431" s="109"/>
      <c r="V431" s="109"/>
      <c r="W431" s="109"/>
      <c r="X431" s="109"/>
      <c r="Y431" s="109"/>
      <c r="Z431" s="109"/>
      <c r="AA431" s="109"/>
      <c r="AB431" s="109"/>
      <c r="AC431" s="16"/>
      <c r="AD431" s="16"/>
      <c r="AE431" s="16"/>
      <c r="AF431" s="16"/>
      <c r="AG431" s="16"/>
    </row>
    <row r="432" spans="1:33" x14ac:dyDescent="0.2">
      <c r="A432" s="16"/>
      <c r="B432" s="16"/>
      <c r="C432" s="16"/>
      <c r="D432" s="16"/>
      <c r="E432" s="16"/>
      <c r="F432" s="109"/>
      <c r="G432" s="109"/>
      <c r="H432" s="109"/>
      <c r="I432" s="109"/>
      <c r="J432" s="109"/>
      <c r="K432" s="109"/>
      <c r="L432" s="109"/>
      <c r="M432" s="109"/>
      <c r="N432" s="109"/>
      <c r="O432" s="109"/>
      <c r="P432" s="16"/>
      <c r="Q432" s="16"/>
      <c r="R432" s="109"/>
      <c r="S432" s="109"/>
      <c r="T432" s="109"/>
      <c r="U432" s="109"/>
      <c r="V432" s="109"/>
      <c r="W432" s="109"/>
      <c r="X432" s="109"/>
      <c r="Y432" s="109"/>
      <c r="Z432" s="109"/>
      <c r="AA432" s="109"/>
      <c r="AB432" s="109"/>
      <c r="AC432" s="16"/>
      <c r="AD432" s="16"/>
      <c r="AE432" s="16"/>
      <c r="AF432" s="16"/>
      <c r="AG432" s="16"/>
    </row>
    <row r="433" spans="1:33" x14ac:dyDescent="0.2">
      <c r="A433" s="16"/>
      <c r="B433" s="16"/>
      <c r="C433" s="16"/>
      <c r="D433" s="16"/>
      <c r="E433" s="16"/>
      <c r="F433" s="109"/>
      <c r="G433" s="109"/>
      <c r="H433" s="109"/>
      <c r="I433" s="109"/>
      <c r="J433" s="109"/>
      <c r="K433" s="109"/>
      <c r="L433" s="109"/>
      <c r="M433" s="109"/>
      <c r="N433" s="109"/>
      <c r="O433" s="109"/>
      <c r="P433" s="16"/>
      <c r="Q433" s="16"/>
      <c r="R433" s="109"/>
      <c r="S433" s="109"/>
      <c r="T433" s="109"/>
      <c r="U433" s="109"/>
      <c r="V433" s="109"/>
      <c r="W433" s="109"/>
      <c r="X433" s="109"/>
      <c r="Y433" s="109"/>
      <c r="Z433" s="109"/>
      <c r="AA433" s="109"/>
      <c r="AB433" s="109"/>
      <c r="AC433" s="16"/>
      <c r="AD433" s="16"/>
      <c r="AE433" s="16"/>
      <c r="AF433" s="16"/>
      <c r="AG433" s="16"/>
    </row>
    <row r="434" spans="1:33" x14ac:dyDescent="0.2">
      <c r="A434" s="16"/>
      <c r="B434" s="16"/>
      <c r="C434" s="16"/>
      <c r="D434" s="16"/>
      <c r="E434" s="16"/>
      <c r="F434" s="109"/>
      <c r="G434" s="109"/>
      <c r="H434" s="109"/>
      <c r="I434" s="109"/>
      <c r="J434" s="109"/>
      <c r="K434" s="109"/>
      <c r="L434" s="109"/>
      <c r="M434" s="109"/>
      <c r="N434" s="109"/>
      <c r="O434" s="109"/>
      <c r="P434" s="16"/>
      <c r="Q434" s="16"/>
      <c r="R434" s="109"/>
      <c r="S434" s="109"/>
      <c r="T434" s="109"/>
      <c r="U434" s="109"/>
      <c r="V434" s="109"/>
      <c r="W434" s="109"/>
      <c r="X434" s="109"/>
      <c r="Y434" s="109"/>
      <c r="Z434" s="109"/>
      <c r="AA434" s="109"/>
      <c r="AB434" s="109"/>
      <c r="AC434" s="16"/>
      <c r="AD434" s="16"/>
      <c r="AE434" s="16"/>
      <c r="AF434" s="16"/>
      <c r="AG434" s="16"/>
    </row>
    <row r="435" spans="1:33" x14ac:dyDescent="0.2">
      <c r="A435" s="16"/>
      <c r="B435" s="16"/>
      <c r="C435" s="16"/>
      <c r="D435" s="16"/>
      <c r="E435" s="16"/>
      <c r="F435" s="109"/>
      <c r="G435" s="109"/>
      <c r="H435" s="109"/>
      <c r="I435" s="109"/>
      <c r="J435" s="109"/>
      <c r="K435" s="109"/>
      <c r="L435" s="109"/>
      <c r="M435" s="109"/>
      <c r="N435" s="109"/>
      <c r="O435" s="109"/>
      <c r="P435" s="16"/>
      <c r="Q435" s="16"/>
      <c r="R435" s="109"/>
      <c r="S435" s="109"/>
      <c r="T435" s="109"/>
      <c r="U435" s="109"/>
      <c r="V435" s="109"/>
      <c r="W435" s="109"/>
      <c r="X435" s="109"/>
      <c r="Y435" s="109"/>
      <c r="Z435" s="109"/>
      <c r="AA435" s="109"/>
      <c r="AB435" s="109"/>
      <c r="AC435" s="16"/>
      <c r="AD435" s="16"/>
      <c r="AE435" s="16"/>
      <c r="AF435" s="16"/>
      <c r="AG435" s="16"/>
    </row>
    <row r="436" spans="1:33" x14ac:dyDescent="0.2">
      <c r="A436" s="16"/>
      <c r="B436" s="16"/>
      <c r="C436" s="16"/>
      <c r="D436" s="16"/>
      <c r="E436" s="16"/>
      <c r="F436" s="109"/>
      <c r="G436" s="109"/>
      <c r="H436" s="109"/>
      <c r="I436" s="109"/>
      <c r="J436" s="109"/>
      <c r="K436" s="109"/>
      <c r="L436" s="109"/>
      <c r="M436" s="109"/>
      <c r="N436" s="109"/>
      <c r="O436" s="109"/>
      <c r="P436" s="16"/>
      <c r="Q436" s="16"/>
      <c r="R436" s="109"/>
      <c r="S436" s="109"/>
      <c r="T436" s="109"/>
      <c r="U436" s="109"/>
      <c r="V436" s="109"/>
      <c r="W436" s="109"/>
      <c r="X436" s="109"/>
      <c r="Y436" s="109"/>
      <c r="Z436" s="109"/>
      <c r="AA436" s="109"/>
      <c r="AB436" s="109"/>
      <c r="AC436" s="16"/>
      <c r="AD436" s="16"/>
      <c r="AE436" s="16"/>
      <c r="AF436" s="16"/>
      <c r="AG436" s="16"/>
    </row>
    <row r="437" spans="1:33" x14ac:dyDescent="0.2">
      <c r="A437" s="16"/>
      <c r="B437" s="16"/>
      <c r="C437" s="16"/>
      <c r="D437" s="16"/>
      <c r="E437" s="16"/>
      <c r="F437" s="109"/>
      <c r="G437" s="109"/>
      <c r="H437" s="109"/>
      <c r="I437" s="109"/>
      <c r="J437" s="109"/>
      <c r="K437" s="109"/>
      <c r="L437" s="109"/>
      <c r="M437" s="109"/>
      <c r="N437" s="109"/>
      <c r="O437" s="109"/>
      <c r="P437" s="16"/>
      <c r="Q437" s="16"/>
      <c r="R437" s="109"/>
      <c r="S437" s="109"/>
      <c r="T437" s="109"/>
      <c r="U437" s="109"/>
      <c r="V437" s="109"/>
      <c r="W437" s="109"/>
      <c r="X437" s="109"/>
      <c r="Y437" s="109"/>
      <c r="Z437" s="109"/>
      <c r="AA437" s="109"/>
      <c r="AB437" s="109"/>
      <c r="AC437" s="16"/>
      <c r="AD437" s="16"/>
      <c r="AE437" s="16"/>
      <c r="AF437" s="16"/>
      <c r="AG437" s="16"/>
    </row>
    <row r="438" spans="1:33" x14ac:dyDescent="0.2">
      <c r="A438" s="16"/>
      <c r="B438" s="16"/>
      <c r="C438" s="16"/>
      <c r="D438" s="16"/>
      <c r="E438" s="16"/>
      <c r="F438" s="109"/>
      <c r="G438" s="109"/>
      <c r="H438" s="109"/>
      <c r="I438" s="109"/>
      <c r="J438" s="109"/>
      <c r="K438" s="109"/>
      <c r="L438" s="109"/>
      <c r="M438" s="109"/>
      <c r="N438" s="109"/>
      <c r="O438" s="109"/>
      <c r="P438" s="16"/>
      <c r="Q438" s="16"/>
      <c r="R438" s="109"/>
      <c r="S438" s="109"/>
      <c r="T438" s="109"/>
      <c r="U438" s="109"/>
      <c r="V438" s="109"/>
      <c r="W438" s="109"/>
      <c r="X438" s="109"/>
      <c r="Y438" s="109"/>
      <c r="Z438" s="109"/>
      <c r="AA438" s="109"/>
      <c r="AB438" s="109"/>
      <c r="AC438" s="16"/>
      <c r="AD438" s="16"/>
      <c r="AE438" s="16"/>
      <c r="AF438" s="16"/>
      <c r="AG438" s="16"/>
    </row>
    <row r="439" spans="1:33" x14ac:dyDescent="0.2">
      <c r="A439" s="16"/>
      <c r="B439" s="16"/>
      <c r="C439" s="16"/>
      <c r="D439" s="16"/>
      <c r="E439" s="16"/>
      <c r="F439" s="109"/>
      <c r="G439" s="109"/>
      <c r="H439" s="109"/>
      <c r="I439" s="109"/>
      <c r="J439" s="109"/>
      <c r="K439" s="109"/>
      <c r="L439" s="109"/>
      <c r="M439" s="109"/>
      <c r="N439" s="109"/>
      <c r="O439" s="109"/>
      <c r="P439" s="16"/>
      <c r="Q439" s="16"/>
      <c r="R439" s="109"/>
      <c r="S439" s="109"/>
      <c r="T439" s="109"/>
      <c r="U439" s="109"/>
      <c r="V439" s="109"/>
      <c r="W439" s="109"/>
      <c r="X439" s="109"/>
      <c r="Y439" s="109"/>
      <c r="Z439" s="109"/>
      <c r="AA439" s="109"/>
      <c r="AB439" s="109"/>
      <c r="AC439" s="16"/>
      <c r="AD439" s="16"/>
      <c r="AE439" s="16"/>
      <c r="AF439" s="16"/>
      <c r="AG439" s="16"/>
    </row>
    <row r="440" spans="1:33" x14ac:dyDescent="0.2">
      <c r="A440" s="16"/>
      <c r="B440" s="16"/>
      <c r="C440" s="16"/>
      <c r="D440" s="16"/>
      <c r="E440" s="16"/>
      <c r="F440" s="109"/>
      <c r="G440" s="109"/>
      <c r="H440" s="109"/>
      <c r="I440" s="109"/>
      <c r="J440" s="109"/>
      <c r="K440" s="109"/>
      <c r="L440" s="109"/>
      <c r="M440" s="109"/>
      <c r="N440" s="109"/>
      <c r="O440" s="109"/>
      <c r="P440" s="16"/>
      <c r="Q440" s="16"/>
      <c r="R440" s="109"/>
      <c r="S440" s="109"/>
      <c r="T440" s="109"/>
      <c r="U440" s="109"/>
      <c r="V440" s="109"/>
      <c r="W440" s="109"/>
      <c r="X440" s="109"/>
      <c r="Y440" s="109"/>
      <c r="Z440" s="109"/>
      <c r="AA440" s="109"/>
      <c r="AB440" s="109"/>
      <c r="AC440" s="16"/>
      <c r="AD440" s="16"/>
      <c r="AE440" s="16"/>
      <c r="AF440" s="16"/>
      <c r="AG440" s="16"/>
    </row>
    <row r="441" spans="1:33" x14ac:dyDescent="0.2">
      <c r="A441" s="16"/>
      <c r="B441" s="16"/>
      <c r="C441" s="16"/>
      <c r="D441" s="16"/>
      <c r="E441" s="16"/>
      <c r="F441" s="109"/>
      <c r="G441" s="109"/>
      <c r="H441" s="109"/>
      <c r="I441" s="109"/>
      <c r="J441" s="109"/>
      <c r="K441" s="109"/>
      <c r="L441" s="109"/>
      <c r="M441" s="109"/>
      <c r="N441" s="109"/>
      <c r="O441" s="109"/>
      <c r="P441" s="16"/>
      <c r="Q441" s="16"/>
      <c r="R441" s="109"/>
      <c r="S441" s="109"/>
      <c r="T441" s="109"/>
      <c r="U441" s="109"/>
      <c r="V441" s="109"/>
      <c r="W441" s="109"/>
      <c r="X441" s="109"/>
      <c r="Y441" s="109"/>
      <c r="Z441" s="109"/>
      <c r="AA441" s="109"/>
      <c r="AB441" s="109"/>
      <c r="AC441" s="16"/>
      <c r="AD441" s="16"/>
      <c r="AE441" s="16"/>
      <c r="AF441" s="16"/>
      <c r="AG441" s="16"/>
    </row>
    <row r="442" spans="1:33" x14ac:dyDescent="0.2">
      <c r="A442" s="16"/>
      <c r="B442" s="16"/>
      <c r="C442" s="16"/>
      <c r="D442" s="16"/>
      <c r="E442" s="16"/>
      <c r="F442" s="109"/>
      <c r="G442" s="109"/>
      <c r="H442" s="109"/>
      <c r="I442" s="109"/>
      <c r="J442" s="109"/>
      <c r="K442" s="109"/>
      <c r="L442" s="109"/>
      <c r="M442" s="109"/>
      <c r="N442" s="109"/>
      <c r="O442" s="109"/>
      <c r="P442" s="16"/>
      <c r="Q442" s="16"/>
      <c r="R442" s="109"/>
      <c r="S442" s="109"/>
      <c r="T442" s="109"/>
      <c r="U442" s="109"/>
      <c r="V442" s="109"/>
      <c r="W442" s="109"/>
      <c r="X442" s="109"/>
      <c r="Y442" s="109"/>
      <c r="Z442" s="109"/>
      <c r="AA442" s="109"/>
      <c r="AB442" s="109"/>
      <c r="AC442" s="16"/>
      <c r="AD442" s="16"/>
      <c r="AE442" s="16"/>
      <c r="AF442" s="16"/>
      <c r="AG442" s="16"/>
    </row>
    <row r="443" spans="1:33" x14ac:dyDescent="0.2">
      <c r="A443" s="16"/>
      <c r="B443" s="16"/>
      <c r="C443" s="16"/>
      <c r="D443" s="16"/>
      <c r="E443" s="16"/>
      <c r="F443" s="109"/>
      <c r="G443" s="109"/>
      <c r="H443" s="109"/>
      <c r="I443" s="109"/>
      <c r="J443" s="109"/>
      <c r="K443" s="109"/>
      <c r="L443" s="109"/>
      <c r="M443" s="109"/>
      <c r="N443" s="109"/>
      <c r="O443" s="109"/>
      <c r="P443" s="16"/>
      <c r="Q443" s="16"/>
      <c r="R443" s="109"/>
      <c r="S443" s="109"/>
      <c r="T443" s="109"/>
      <c r="U443" s="109"/>
      <c r="V443" s="109"/>
      <c r="W443" s="109"/>
      <c r="X443" s="109"/>
      <c r="Y443" s="109"/>
      <c r="Z443" s="109"/>
      <c r="AA443" s="109"/>
      <c r="AB443" s="109"/>
      <c r="AC443" s="16"/>
      <c r="AD443" s="16"/>
      <c r="AE443" s="16"/>
      <c r="AF443" s="16"/>
      <c r="AG443" s="16"/>
    </row>
    <row r="444" spans="1:33" x14ac:dyDescent="0.2">
      <c r="A444" s="16"/>
      <c r="B444" s="16"/>
      <c r="C444" s="16"/>
      <c r="D444" s="16"/>
      <c r="E444" s="16"/>
      <c r="F444" s="109"/>
      <c r="G444" s="109"/>
      <c r="H444" s="109"/>
      <c r="I444" s="109"/>
      <c r="J444" s="109"/>
      <c r="K444" s="109"/>
      <c r="L444" s="109"/>
      <c r="M444" s="109"/>
      <c r="N444" s="109"/>
      <c r="O444" s="109"/>
      <c r="P444" s="16"/>
      <c r="Q444" s="16"/>
      <c r="R444" s="109"/>
      <c r="S444" s="109"/>
      <c r="T444" s="109"/>
      <c r="U444" s="109"/>
      <c r="V444" s="109"/>
      <c r="W444" s="109"/>
      <c r="X444" s="109"/>
      <c r="Y444" s="109"/>
      <c r="Z444" s="109"/>
      <c r="AA444" s="109"/>
      <c r="AB444" s="109"/>
      <c r="AC444" s="16"/>
      <c r="AD444" s="16"/>
      <c r="AE444" s="16"/>
      <c r="AF444" s="16"/>
      <c r="AG444" s="16"/>
    </row>
    <row r="445" spans="1:33" x14ac:dyDescent="0.2">
      <c r="A445" s="16"/>
      <c r="B445" s="16"/>
      <c r="C445" s="16"/>
      <c r="D445" s="16"/>
      <c r="E445" s="16"/>
      <c r="F445" s="109"/>
      <c r="G445" s="109"/>
      <c r="H445" s="109"/>
      <c r="I445" s="109"/>
      <c r="J445" s="109"/>
      <c r="K445" s="109"/>
      <c r="L445" s="109"/>
      <c r="M445" s="109"/>
      <c r="N445" s="109"/>
      <c r="O445" s="109"/>
      <c r="P445" s="16"/>
      <c r="Q445" s="16"/>
      <c r="R445" s="109"/>
      <c r="S445" s="109"/>
      <c r="T445" s="109"/>
      <c r="U445" s="109"/>
      <c r="V445" s="109"/>
      <c r="W445" s="109"/>
      <c r="X445" s="109"/>
      <c r="Y445" s="109"/>
      <c r="Z445" s="109"/>
      <c r="AA445" s="109"/>
      <c r="AB445" s="109"/>
      <c r="AC445" s="16"/>
      <c r="AD445" s="16"/>
      <c r="AE445" s="16"/>
      <c r="AF445" s="16"/>
      <c r="AG445" s="16"/>
    </row>
    <row r="446" spans="1:33" x14ac:dyDescent="0.2">
      <c r="A446" s="16"/>
      <c r="B446" s="16"/>
      <c r="C446" s="16"/>
      <c r="D446" s="16"/>
      <c r="E446" s="16"/>
      <c r="F446" s="109"/>
      <c r="G446" s="109"/>
      <c r="H446" s="109"/>
      <c r="I446" s="109"/>
      <c r="J446" s="109"/>
      <c r="K446" s="109"/>
      <c r="L446" s="109"/>
      <c r="M446" s="109"/>
      <c r="N446" s="109"/>
      <c r="O446" s="109"/>
      <c r="P446" s="16"/>
      <c r="Q446" s="16"/>
      <c r="R446" s="109"/>
      <c r="S446" s="109"/>
      <c r="T446" s="109"/>
      <c r="U446" s="109"/>
      <c r="V446" s="109"/>
      <c r="W446" s="109"/>
      <c r="X446" s="109"/>
      <c r="Y446" s="109"/>
      <c r="Z446" s="109"/>
      <c r="AA446" s="109"/>
      <c r="AB446" s="109"/>
      <c r="AC446" s="16"/>
      <c r="AD446" s="16"/>
      <c r="AE446" s="16"/>
      <c r="AF446" s="16"/>
      <c r="AG446" s="16"/>
    </row>
    <row r="447" spans="1:33" x14ac:dyDescent="0.2">
      <c r="A447" s="16"/>
      <c r="B447" s="16"/>
      <c r="C447" s="16"/>
      <c r="D447" s="16"/>
      <c r="E447" s="16"/>
      <c r="F447" s="109"/>
      <c r="G447" s="109"/>
      <c r="H447" s="109"/>
      <c r="I447" s="109"/>
      <c r="J447" s="109"/>
      <c r="K447" s="109"/>
      <c r="L447" s="109"/>
      <c r="M447" s="109"/>
      <c r="N447" s="109"/>
      <c r="O447" s="109"/>
      <c r="P447" s="16"/>
      <c r="Q447" s="16"/>
      <c r="R447" s="109"/>
      <c r="S447" s="109"/>
      <c r="T447" s="109"/>
      <c r="U447" s="109"/>
      <c r="V447" s="109"/>
      <c r="W447" s="109"/>
      <c r="X447" s="109"/>
      <c r="Y447" s="109"/>
      <c r="Z447" s="109"/>
      <c r="AA447" s="109"/>
      <c r="AB447" s="109"/>
      <c r="AC447" s="16"/>
      <c r="AD447" s="16"/>
      <c r="AE447" s="16"/>
      <c r="AF447" s="16"/>
      <c r="AG447" s="16"/>
    </row>
    <row r="448" spans="1:33" x14ac:dyDescent="0.2">
      <c r="A448" s="16"/>
      <c r="B448" s="16"/>
      <c r="C448" s="16"/>
      <c r="D448" s="16"/>
      <c r="E448" s="16"/>
      <c r="F448" s="109"/>
      <c r="G448" s="109"/>
      <c r="H448" s="109"/>
      <c r="I448" s="109"/>
      <c r="J448" s="109"/>
      <c r="K448" s="109"/>
      <c r="L448" s="109"/>
      <c r="M448" s="109"/>
      <c r="N448" s="109"/>
      <c r="O448" s="109"/>
      <c r="P448" s="16"/>
      <c r="Q448" s="16"/>
      <c r="R448" s="109"/>
      <c r="S448" s="109"/>
      <c r="T448" s="109"/>
      <c r="U448" s="109"/>
      <c r="V448" s="109"/>
      <c r="W448" s="109"/>
      <c r="X448" s="109"/>
      <c r="Y448" s="109"/>
      <c r="Z448" s="109"/>
      <c r="AA448" s="109"/>
      <c r="AB448" s="109"/>
      <c r="AC448" s="16"/>
      <c r="AD448" s="16"/>
      <c r="AE448" s="16"/>
      <c r="AF448" s="16"/>
      <c r="AG448" s="16"/>
    </row>
    <row r="449" spans="1:33" x14ac:dyDescent="0.2">
      <c r="A449" s="16"/>
      <c r="B449" s="16"/>
      <c r="C449" s="16"/>
      <c r="D449" s="16"/>
      <c r="E449" s="16"/>
      <c r="F449" s="109"/>
      <c r="G449" s="109"/>
      <c r="H449" s="109"/>
      <c r="I449" s="109"/>
      <c r="J449" s="109"/>
      <c r="K449" s="109"/>
      <c r="L449" s="109"/>
      <c r="M449" s="109"/>
      <c r="N449" s="109"/>
      <c r="O449" s="109"/>
      <c r="P449" s="16"/>
      <c r="Q449" s="16"/>
      <c r="R449" s="109"/>
      <c r="S449" s="109"/>
      <c r="T449" s="109"/>
      <c r="U449" s="109"/>
      <c r="V449" s="109"/>
      <c r="W449" s="109"/>
      <c r="X449" s="109"/>
      <c r="Y449" s="109"/>
      <c r="Z449" s="109"/>
      <c r="AA449" s="109"/>
      <c r="AB449" s="109"/>
      <c r="AC449" s="16"/>
      <c r="AD449" s="16"/>
      <c r="AE449" s="16"/>
      <c r="AF449" s="16"/>
      <c r="AG449" s="16"/>
    </row>
    <row r="450" spans="1:33" x14ac:dyDescent="0.2">
      <c r="A450" s="16"/>
      <c r="B450" s="16"/>
      <c r="C450" s="16"/>
      <c r="D450" s="16"/>
      <c r="E450" s="16"/>
      <c r="F450" s="109"/>
      <c r="G450" s="109"/>
      <c r="H450" s="109"/>
      <c r="I450" s="109"/>
      <c r="J450" s="109"/>
      <c r="K450" s="109"/>
      <c r="L450" s="109"/>
      <c r="M450" s="109"/>
      <c r="N450" s="109"/>
      <c r="O450" s="109"/>
      <c r="P450" s="16"/>
      <c r="Q450" s="16"/>
      <c r="R450" s="109"/>
      <c r="S450" s="109"/>
      <c r="T450" s="109"/>
      <c r="U450" s="109"/>
      <c r="V450" s="109"/>
      <c r="W450" s="109"/>
      <c r="X450" s="109"/>
      <c r="Y450" s="109"/>
      <c r="Z450" s="109"/>
      <c r="AA450" s="109"/>
      <c r="AB450" s="109"/>
      <c r="AC450" s="16"/>
      <c r="AD450" s="16"/>
      <c r="AE450" s="16"/>
      <c r="AF450" s="16"/>
      <c r="AG450" s="16"/>
    </row>
    <row r="451" spans="1:33" x14ac:dyDescent="0.2">
      <c r="A451" s="16"/>
      <c r="B451" s="16"/>
      <c r="C451" s="16"/>
      <c r="D451" s="16"/>
      <c r="E451" s="16"/>
      <c r="F451" s="109"/>
      <c r="G451" s="109"/>
      <c r="H451" s="109"/>
      <c r="I451" s="109"/>
      <c r="J451" s="109"/>
      <c r="K451" s="109"/>
      <c r="L451" s="109"/>
      <c r="M451" s="109"/>
      <c r="N451" s="109"/>
      <c r="O451" s="109"/>
      <c r="P451" s="16"/>
      <c r="Q451" s="16"/>
      <c r="R451" s="109"/>
      <c r="S451" s="109"/>
      <c r="T451" s="109"/>
      <c r="U451" s="109"/>
      <c r="V451" s="109"/>
      <c r="W451" s="109"/>
      <c r="X451" s="109"/>
      <c r="Y451" s="109"/>
      <c r="Z451" s="109"/>
      <c r="AA451" s="109"/>
      <c r="AB451" s="109"/>
      <c r="AC451" s="16"/>
      <c r="AD451" s="16"/>
      <c r="AE451" s="16"/>
      <c r="AF451" s="16"/>
      <c r="AG451" s="16"/>
    </row>
    <row r="452" spans="1:33" x14ac:dyDescent="0.2">
      <c r="A452" s="16"/>
      <c r="B452" s="16"/>
      <c r="C452" s="16"/>
      <c r="D452" s="16"/>
      <c r="E452" s="16"/>
      <c r="F452" s="109"/>
      <c r="G452" s="109"/>
      <c r="H452" s="109"/>
      <c r="I452" s="109"/>
      <c r="J452" s="109"/>
      <c r="K452" s="109"/>
      <c r="L452" s="109"/>
      <c r="M452" s="109"/>
      <c r="N452" s="109"/>
      <c r="O452" s="109"/>
      <c r="P452" s="16"/>
      <c r="Q452" s="16"/>
      <c r="R452" s="109"/>
      <c r="S452" s="109"/>
      <c r="T452" s="109"/>
      <c r="U452" s="109"/>
      <c r="V452" s="109"/>
      <c r="W452" s="109"/>
      <c r="X452" s="109"/>
      <c r="Y452" s="109"/>
      <c r="Z452" s="109"/>
      <c r="AA452" s="109"/>
      <c r="AB452" s="109"/>
      <c r="AC452" s="16"/>
      <c r="AD452" s="16"/>
      <c r="AE452" s="16"/>
      <c r="AF452" s="16"/>
      <c r="AG452" s="16"/>
    </row>
    <row r="453" spans="1:33" x14ac:dyDescent="0.2">
      <c r="A453" s="16"/>
      <c r="B453" s="16"/>
      <c r="C453" s="16"/>
      <c r="D453" s="16"/>
      <c r="E453" s="16"/>
      <c r="F453" s="109"/>
      <c r="G453" s="109"/>
      <c r="H453" s="109"/>
      <c r="I453" s="109"/>
      <c r="J453" s="109"/>
      <c r="K453" s="109"/>
      <c r="L453" s="109"/>
      <c r="M453" s="109"/>
      <c r="N453" s="109"/>
      <c r="O453" s="109"/>
      <c r="P453" s="16"/>
      <c r="Q453" s="16"/>
      <c r="R453" s="109"/>
      <c r="S453" s="109"/>
      <c r="T453" s="109"/>
      <c r="U453" s="109"/>
      <c r="V453" s="109"/>
      <c r="W453" s="109"/>
      <c r="X453" s="109"/>
      <c r="Y453" s="109"/>
      <c r="Z453" s="109"/>
      <c r="AA453" s="109"/>
      <c r="AB453" s="109"/>
      <c r="AC453" s="16"/>
      <c r="AD453" s="16"/>
      <c r="AE453" s="16"/>
      <c r="AF453" s="16"/>
      <c r="AG453" s="16"/>
    </row>
    <row r="454" spans="1:33" x14ac:dyDescent="0.2">
      <c r="A454" s="16"/>
      <c r="B454" s="16"/>
      <c r="C454" s="16"/>
      <c r="D454" s="16"/>
      <c r="E454" s="16"/>
      <c r="F454" s="109"/>
      <c r="G454" s="109"/>
      <c r="H454" s="109"/>
      <c r="I454" s="109"/>
      <c r="J454" s="109"/>
      <c r="K454" s="109"/>
      <c r="L454" s="109"/>
      <c r="M454" s="109"/>
      <c r="N454" s="109"/>
      <c r="O454" s="109"/>
      <c r="P454" s="16"/>
      <c r="Q454" s="16"/>
      <c r="R454" s="109"/>
      <c r="S454" s="109"/>
      <c r="T454" s="109"/>
      <c r="U454" s="109"/>
      <c r="V454" s="109"/>
      <c r="W454" s="109"/>
      <c r="X454" s="109"/>
      <c r="Y454" s="109"/>
      <c r="Z454" s="109"/>
      <c r="AA454" s="109"/>
      <c r="AB454" s="109"/>
      <c r="AC454" s="16"/>
      <c r="AD454" s="16"/>
      <c r="AE454" s="16"/>
      <c r="AF454" s="16"/>
      <c r="AG454" s="16"/>
    </row>
    <row r="455" spans="1:33" x14ac:dyDescent="0.2">
      <c r="A455" s="16"/>
      <c r="B455" s="16"/>
      <c r="C455" s="16"/>
      <c r="D455" s="16"/>
      <c r="E455" s="16"/>
      <c r="F455" s="109"/>
      <c r="G455" s="109"/>
      <c r="H455" s="109"/>
      <c r="I455" s="109"/>
      <c r="J455" s="109"/>
      <c r="K455" s="109"/>
      <c r="L455" s="109"/>
      <c r="M455" s="109"/>
      <c r="N455" s="109"/>
      <c r="O455" s="109"/>
      <c r="P455" s="16"/>
      <c r="Q455" s="16"/>
      <c r="R455" s="109"/>
      <c r="S455" s="109"/>
      <c r="T455" s="109"/>
      <c r="U455" s="109"/>
      <c r="V455" s="109"/>
      <c r="W455" s="109"/>
      <c r="X455" s="109"/>
      <c r="Y455" s="109"/>
      <c r="Z455" s="109"/>
      <c r="AA455" s="109"/>
      <c r="AB455" s="109"/>
      <c r="AC455" s="16"/>
      <c r="AD455" s="16"/>
      <c r="AE455" s="16"/>
      <c r="AF455" s="16"/>
      <c r="AG455" s="16"/>
    </row>
    <row r="456" spans="1:33" x14ac:dyDescent="0.2">
      <c r="A456" s="16"/>
      <c r="B456" s="16"/>
      <c r="C456" s="16"/>
      <c r="D456" s="16"/>
      <c r="E456" s="16"/>
      <c r="F456" s="109"/>
      <c r="G456" s="109"/>
      <c r="H456" s="109"/>
      <c r="I456" s="109"/>
      <c r="J456" s="109"/>
      <c r="K456" s="109"/>
      <c r="L456" s="109"/>
      <c r="M456" s="109"/>
      <c r="N456" s="109"/>
      <c r="O456" s="109"/>
      <c r="P456" s="16"/>
      <c r="Q456" s="16"/>
      <c r="R456" s="109"/>
      <c r="S456" s="109"/>
      <c r="T456" s="109"/>
      <c r="U456" s="109"/>
      <c r="V456" s="109"/>
      <c r="W456" s="109"/>
      <c r="X456" s="109"/>
      <c r="Y456" s="109"/>
      <c r="Z456" s="109"/>
      <c r="AA456" s="109"/>
      <c r="AB456" s="109"/>
      <c r="AC456" s="16"/>
      <c r="AD456" s="16"/>
      <c r="AE456" s="16"/>
      <c r="AF456" s="16"/>
      <c r="AG456" s="16"/>
    </row>
    <row r="457" spans="1:33" x14ac:dyDescent="0.2">
      <c r="A457" s="16"/>
      <c r="B457" s="16"/>
      <c r="C457" s="16"/>
      <c r="D457" s="16"/>
      <c r="E457" s="16"/>
      <c r="F457" s="109"/>
      <c r="G457" s="109"/>
      <c r="H457" s="109"/>
      <c r="I457" s="109"/>
      <c r="J457" s="109"/>
      <c r="K457" s="109"/>
      <c r="L457" s="109"/>
      <c r="M457" s="109"/>
      <c r="N457" s="109"/>
      <c r="O457" s="109"/>
      <c r="P457" s="16"/>
      <c r="Q457" s="16"/>
      <c r="R457" s="109"/>
      <c r="S457" s="109"/>
      <c r="T457" s="109"/>
      <c r="U457" s="109"/>
      <c r="V457" s="109"/>
      <c r="W457" s="109"/>
      <c r="X457" s="109"/>
      <c r="Y457" s="109"/>
      <c r="Z457" s="109"/>
      <c r="AA457" s="109"/>
      <c r="AB457" s="109"/>
      <c r="AC457" s="16"/>
      <c r="AD457" s="16"/>
      <c r="AE457" s="16"/>
      <c r="AF457" s="16"/>
      <c r="AG457" s="16"/>
    </row>
    <row r="458" spans="1:33" x14ac:dyDescent="0.2">
      <c r="A458" s="16"/>
      <c r="B458" s="16"/>
      <c r="C458" s="16"/>
      <c r="D458" s="16"/>
      <c r="E458" s="16"/>
      <c r="F458" s="109"/>
      <c r="G458" s="109"/>
      <c r="H458" s="109"/>
      <c r="I458" s="109"/>
      <c r="J458" s="109"/>
      <c r="K458" s="109"/>
      <c r="L458" s="109"/>
      <c r="M458" s="109"/>
      <c r="N458" s="109"/>
      <c r="O458" s="109"/>
      <c r="P458" s="16"/>
      <c r="Q458" s="16"/>
      <c r="R458" s="109"/>
      <c r="S458" s="109"/>
      <c r="T458" s="109"/>
      <c r="U458" s="109"/>
      <c r="V458" s="109"/>
      <c r="W458" s="109"/>
      <c r="X458" s="109"/>
      <c r="Y458" s="109"/>
      <c r="Z458" s="109"/>
      <c r="AA458" s="109"/>
      <c r="AB458" s="109"/>
      <c r="AC458" s="16"/>
      <c r="AD458" s="16"/>
      <c r="AE458" s="16"/>
      <c r="AF458" s="16"/>
      <c r="AG458" s="16"/>
    </row>
    <row r="459" spans="1:33" x14ac:dyDescent="0.2">
      <c r="A459" s="16"/>
      <c r="B459" s="16"/>
      <c r="C459" s="16"/>
      <c r="D459" s="16"/>
      <c r="E459" s="16"/>
      <c r="F459" s="109"/>
      <c r="G459" s="109"/>
      <c r="H459" s="109"/>
      <c r="I459" s="109"/>
      <c r="J459" s="109"/>
      <c r="K459" s="109"/>
      <c r="L459" s="109"/>
      <c r="M459" s="109"/>
      <c r="N459" s="109"/>
      <c r="O459" s="109"/>
      <c r="P459" s="16"/>
      <c r="Q459" s="16"/>
      <c r="R459" s="109"/>
      <c r="S459" s="109"/>
      <c r="T459" s="109"/>
      <c r="U459" s="109"/>
      <c r="V459" s="109"/>
      <c r="W459" s="109"/>
      <c r="X459" s="109"/>
      <c r="Y459" s="109"/>
      <c r="Z459" s="109"/>
      <c r="AA459" s="109"/>
      <c r="AB459" s="109"/>
      <c r="AC459" s="16"/>
      <c r="AD459" s="16"/>
      <c r="AE459" s="16"/>
      <c r="AF459" s="16"/>
      <c r="AG459" s="16"/>
    </row>
    <row r="460" spans="1:33" x14ac:dyDescent="0.2">
      <c r="A460" s="16"/>
      <c r="B460" s="16"/>
      <c r="C460" s="16"/>
      <c r="D460" s="16"/>
      <c r="E460" s="16"/>
      <c r="F460" s="109"/>
      <c r="G460" s="109"/>
      <c r="H460" s="109"/>
      <c r="I460" s="109"/>
      <c r="J460" s="109"/>
      <c r="K460" s="109"/>
      <c r="L460" s="109"/>
      <c r="M460" s="109"/>
      <c r="N460" s="109"/>
      <c r="O460" s="109"/>
      <c r="P460" s="16"/>
      <c r="Q460" s="16"/>
      <c r="R460" s="109"/>
      <c r="S460" s="109"/>
      <c r="T460" s="109"/>
      <c r="U460" s="109"/>
      <c r="V460" s="109"/>
      <c r="W460" s="109"/>
      <c r="X460" s="109"/>
      <c r="Y460" s="109"/>
      <c r="Z460" s="109"/>
      <c r="AA460" s="109"/>
      <c r="AB460" s="109"/>
      <c r="AC460" s="16"/>
      <c r="AD460" s="16"/>
      <c r="AE460" s="16"/>
      <c r="AF460" s="16"/>
      <c r="AG460" s="16"/>
    </row>
    <row r="461" spans="1:33" x14ac:dyDescent="0.2">
      <c r="A461" s="16"/>
      <c r="B461" s="16"/>
      <c r="C461" s="16"/>
      <c r="D461" s="16"/>
      <c r="E461" s="16"/>
      <c r="F461" s="109"/>
      <c r="G461" s="109"/>
      <c r="H461" s="109"/>
      <c r="I461" s="109"/>
      <c r="J461" s="109"/>
      <c r="K461" s="109"/>
      <c r="L461" s="109"/>
      <c r="M461" s="109"/>
      <c r="N461" s="109"/>
      <c r="O461" s="109"/>
      <c r="P461" s="16"/>
      <c r="Q461" s="16"/>
      <c r="R461" s="109"/>
      <c r="S461" s="109"/>
      <c r="T461" s="109"/>
      <c r="U461" s="109"/>
      <c r="V461" s="109"/>
      <c r="W461" s="109"/>
      <c r="X461" s="109"/>
      <c r="Y461" s="109"/>
      <c r="Z461" s="109"/>
      <c r="AA461" s="109"/>
      <c r="AB461" s="109"/>
      <c r="AC461" s="16"/>
      <c r="AD461" s="16"/>
      <c r="AE461" s="16"/>
      <c r="AF461" s="16"/>
      <c r="AG461" s="16"/>
    </row>
    <row r="462" spans="1:33" x14ac:dyDescent="0.2">
      <c r="A462" s="16"/>
      <c r="B462" s="16"/>
      <c r="C462" s="16"/>
      <c r="D462" s="16"/>
      <c r="E462" s="16"/>
      <c r="F462" s="109"/>
      <c r="G462" s="109"/>
      <c r="H462" s="109"/>
      <c r="I462" s="109"/>
      <c r="J462" s="109"/>
      <c r="K462" s="109"/>
      <c r="L462" s="109"/>
      <c r="M462" s="109"/>
      <c r="N462" s="109"/>
      <c r="O462" s="109"/>
      <c r="P462" s="16"/>
      <c r="Q462" s="16"/>
      <c r="R462" s="109"/>
      <c r="S462" s="109"/>
      <c r="T462" s="109"/>
      <c r="U462" s="109"/>
      <c r="V462" s="109"/>
      <c r="W462" s="109"/>
      <c r="X462" s="109"/>
      <c r="Y462" s="109"/>
      <c r="Z462" s="109"/>
      <c r="AA462" s="109"/>
      <c r="AB462" s="109"/>
      <c r="AC462" s="16"/>
      <c r="AD462" s="16"/>
      <c r="AE462" s="16"/>
      <c r="AF462" s="16"/>
      <c r="AG462" s="16"/>
    </row>
    <row r="463" spans="1:33" x14ac:dyDescent="0.2">
      <c r="A463" s="16"/>
      <c r="B463" s="16"/>
      <c r="C463" s="16"/>
      <c r="D463" s="16"/>
      <c r="E463" s="16"/>
      <c r="F463" s="109"/>
      <c r="G463" s="109"/>
      <c r="H463" s="109"/>
      <c r="I463" s="109"/>
      <c r="J463" s="109"/>
      <c r="K463" s="109"/>
      <c r="L463" s="109"/>
      <c r="M463" s="109"/>
      <c r="N463" s="109"/>
      <c r="O463" s="109"/>
      <c r="P463" s="16"/>
      <c r="Q463" s="16"/>
      <c r="R463" s="109"/>
      <c r="S463" s="109"/>
      <c r="T463" s="109"/>
      <c r="U463" s="109"/>
      <c r="V463" s="109"/>
      <c r="W463" s="109"/>
      <c r="X463" s="109"/>
      <c r="Y463" s="109"/>
      <c r="Z463" s="109"/>
      <c r="AA463" s="109"/>
      <c r="AB463" s="109"/>
      <c r="AC463" s="16"/>
      <c r="AD463" s="16"/>
      <c r="AE463" s="16"/>
      <c r="AF463" s="16"/>
      <c r="AG463" s="16"/>
    </row>
    <row r="464" spans="1:33" x14ac:dyDescent="0.2">
      <c r="A464" s="16"/>
      <c r="B464" s="16"/>
      <c r="C464" s="16"/>
      <c r="D464" s="16"/>
      <c r="E464" s="16"/>
      <c r="F464" s="109"/>
      <c r="G464" s="109"/>
      <c r="H464" s="109"/>
      <c r="I464" s="109"/>
      <c r="J464" s="109"/>
      <c r="K464" s="109"/>
      <c r="L464" s="109"/>
      <c r="M464" s="109"/>
      <c r="N464" s="109"/>
      <c r="O464" s="109"/>
      <c r="P464" s="16"/>
      <c r="Q464" s="16"/>
      <c r="R464" s="109"/>
      <c r="S464" s="109"/>
      <c r="T464" s="109"/>
      <c r="U464" s="109"/>
      <c r="V464" s="109"/>
      <c r="W464" s="109"/>
      <c r="X464" s="109"/>
      <c r="Y464" s="109"/>
      <c r="Z464" s="109"/>
      <c r="AA464" s="109"/>
      <c r="AB464" s="109"/>
      <c r="AC464" s="16"/>
      <c r="AD464" s="16"/>
      <c r="AE464" s="16"/>
      <c r="AF464" s="16"/>
      <c r="AG464" s="16"/>
    </row>
    <row r="465" spans="1:33" x14ac:dyDescent="0.2">
      <c r="A465" s="16"/>
      <c r="B465" s="16"/>
      <c r="C465" s="16"/>
      <c r="D465" s="16"/>
      <c r="E465" s="16"/>
      <c r="F465" s="109"/>
      <c r="G465" s="109"/>
      <c r="H465" s="109"/>
      <c r="I465" s="109"/>
      <c r="J465" s="109"/>
      <c r="K465" s="109"/>
      <c r="L465" s="109"/>
      <c r="M465" s="109"/>
      <c r="N465" s="109"/>
      <c r="O465" s="109"/>
      <c r="P465" s="16"/>
      <c r="Q465" s="16"/>
      <c r="R465" s="109"/>
      <c r="S465" s="109"/>
      <c r="T465" s="109"/>
      <c r="U465" s="109"/>
      <c r="V465" s="109"/>
      <c r="W465" s="109"/>
      <c r="X465" s="109"/>
      <c r="Y465" s="109"/>
      <c r="Z465" s="109"/>
      <c r="AA465" s="109"/>
      <c r="AB465" s="109"/>
      <c r="AC465" s="16"/>
      <c r="AD465" s="16"/>
      <c r="AE465" s="16"/>
      <c r="AF465" s="16"/>
      <c r="AG465" s="16"/>
    </row>
    <row r="466" spans="1:33" x14ac:dyDescent="0.2">
      <c r="A466" s="16"/>
      <c r="B466" s="16"/>
      <c r="C466" s="16"/>
      <c r="D466" s="16"/>
      <c r="E466" s="16"/>
      <c r="F466" s="109"/>
      <c r="G466" s="109"/>
      <c r="H466" s="109"/>
      <c r="I466" s="109"/>
      <c r="J466" s="109"/>
      <c r="K466" s="109"/>
      <c r="L466" s="109"/>
      <c r="M466" s="109"/>
      <c r="N466" s="109"/>
      <c r="O466" s="109"/>
      <c r="P466" s="16"/>
      <c r="Q466" s="16"/>
      <c r="R466" s="109"/>
      <c r="S466" s="109"/>
      <c r="T466" s="109"/>
      <c r="U466" s="109"/>
      <c r="V466" s="109"/>
      <c r="W466" s="109"/>
      <c r="X466" s="109"/>
      <c r="Y466" s="109"/>
      <c r="Z466" s="109"/>
      <c r="AA466" s="109"/>
      <c r="AB466" s="109"/>
      <c r="AC466" s="16"/>
      <c r="AD466" s="16"/>
      <c r="AE466" s="16"/>
      <c r="AF466" s="16"/>
      <c r="AG466" s="16"/>
    </row>
    <row r="467" spans="1:33" x14ac:dyDescent="0.2">
      <c r="A467" s="16"/>
      <c r="B467" s="16"/>
      <c r="C467" s="16"/>
      <c r="D467" s="16"/>
      <c r="E467" s="16"/>
      <c r="F467" s="109"/>
      <c r="G467" s="109"/>
      <c r="H467" s="109"/>
      <c r="I467" s="109"/>
      <c r="J467" s="109"/>
      <c r="K467" s="109"/>
      <c r="L467" s="109"/>
      <c r="M467" s="109"/>
      <c r="N467" s="109"/>
      <c r="O467" s="109"/>
      <c r="P467" s="16"/>
      <c r="Q467" s="16"/>
      <c r="R467" s="109"/>
      <c r="S467" s="109"/>
      <c r="T467" s="109"/>
      <c r="U467" s="109"/>
      <c r="V467" s="109"/>
      <c r="W467" s="109"/>
      <c r="X467" s="109"/>
      <c r="Y467" s="109"/>
      <c r="Z467" s="109"/>
      <c r="AA467" s="109"/>
      <c r="AB467" s="109"/>
      <c r="AC467" s="16"/>
      <c r="AD467" s="16"/>
      <c r="AE467" s="16"/>
      <c r="AF467" s="16"/>
      <c r="AG467" s="16"/>
    </row>
    <row r="468" spans="1:33" x14ac:dyDescent="0.2">
      <c r="A468" s="16"/>
      <c r="B468" s="16"/>
      <c r="C468" s="16"/>
      <c r="D468" s="16"/>
      <c r="E468" s="16"/>
      <c r="F468" s="109"/>
      <c r="G468" s="109"/>
      <c r="H468" s="109"/>
      <c r="I468" s="109"/>
      <c r="J468" s="109"/>
      <c r="K468" s="109"/>
      <c r="L468" s="109"/>
      <c r="M468" s="109"/>
      <c r="N468" s="109"/>
      <c r="O468" s="109"/>
      <c r="P468" s="16"/>
      <c r="Q468" s="16"/>
      <c r="R468" s="109"/>
      <c r="S468" s="109"/>
      <c r="T468" s="109"/>
      <c r="U468" s="109"/>
      <c r="V468" s="109"/>
      <c r="W468" s="109"/>
      <c r="X468" s="109"/>
      <c r="Y468" s="109"/>
      <c r="Z468" s="109"/>
      <c r="AA468" s="109"/>
      <c r="AB468" s="109"/>
      <c r="AC468" s="16"/>
      <c r="AD468" s="16"/>
      <c r="AE468" s="16"/>
      <c r="AF468" s="16"/>
      <c r="AG468" s="16"/>
    </row>
    <row r="469" spans="1:33" x14ac:dyDescent="0.2">
      <c r="A469" s="16"/>
      <c r="B469" s="16"/>
      <c r="C469" s="16"/>
      <c r="D469" s="16"/>
      <c r="E469" s="16"/>
      <c r="F469" s="109"/>
      <c r="G469" s="109"/>
      <c r="H469" s="109"/>
      <c r="I469" s="109"/>
      <c r="J469" s="109"/>
      <c r="K469" s="109"/>
      <c r="L469" s="109"/>
      <c r="M469" s="109"/>
      <c r="N469" s="109"/>
      <c r="O469" s="109"/>
      <c r="P469" s="16"/>
      <c r="Q469" s="16"/>
      <c r="R469" s="109"/>
      <c r="S469" s="109"/>
      <c r="T469" s="109"/>
      <c r="U469" s="109"/>
      <c r="V469" s="109"/>
      <c r="W469" s="109"/>
      <c r="X469" s="109"/>
      <c r="Y469" s="109"/>
      <c r="Z469" s="109"/>
      <c r="AA469" s="109"/>
      <c r="AB469" s="109"/>
      <c r="AC469" s="16"/>
      <c r="AD469" s="16"/>
      <c r="AE469" s="16"/>
      <c r="AF469" s="16"/>
      <c r="AG469" s="16"/>
    </row>
    <row r="470" spans="1:33" x14ac:dyDescent="0.2">
      <c r="A470" s="16"/>
      <c r="B470" s="16"/>
      <c r="C470" s="16"/>
      <c r="D470" s="16"/>
      <c r="E470" s="16"/>
      <c r="F470" s="109"/>
      <c r="G470" s="109"/>
      <c r="H470" s="109"/>
      <c r="I470" s="109"/>
      <c r="J470" s="109"/>
      <c r="K470" s="109"/>
      <c r="L470" s="109"/>
      <c r="M470" s="109"/>
      <c r="N470" s="109"/>
      <c r="O470" s="109"/>
      <c r="P470" s="16"/>
      <c r="Q470" s="16"/>
      <c r="R470" s="109"/>
      <c r="S470" s="109"/>
      <c r="T470" s="109"/>
      <c r="U470" s="109"/>
      <c r="V470" s="109"/>
      <c r="W470" s="109"/>
      <c r="X470" s="109"/>
      <c r="Y470" s="109"/>
      <c r="Z470" s="109"/>
      <c r="AA470" s="109"/>
      <c r="AB470" s="109"/>
      <c r="AC470" s="16"/>
      <c r="AD470" s="16"/>
      <c r="AE470" s="16"/>
      <c r="AF470" s="16"/>
      <c r="AG470" s="16"/>
    </row>
    <row r="471" spans="1:33" x14ac:dyDescent="0.2">
      <c r="A471" s="16"/>
      <c r="B471" s="16"/>
      <c r="C471" s="16"/>
      <c r="D471" s="16"/>
      <c r="E471" s="16"/>
      <c r="F471" s="109"/>
      <c r="G471" s="109"/>
      <c r="H471" s="109"/>
      <c r="I471" s="109"/>
      <c r="J471" s="109"/>
      <c r="K471" s="109"/>
      <c r="L471" s="109"/>
      <c r="M471" s="109"/>
      <c r="N471" s="109"/>
      <c r="O471" s="109"/>
      <c r="P471" s="16"/>
      <c r="Q471" s="16"/>
      <c r="R471" s="109"/>
      <c r="S471" s="109"/>
      <c r="T471" s="109"/>
      <c r="U471" s="109"/>
      <c r="V471" s="109"/>
      <c r="W471" s="109"/>
      <c r="X471" s="109"/>
      <c r="Y471" s="109"/>
      <c r="Z471" s="109"/>
      <c r="AA471" s="109"/>
      <c r="AB471" s="109"/>
      <c r="AC471" s="16"/>
      <c r="AD471" s="16"/>
      <c r="AE471" s="16"/>
      <c r="AF471" s="16"/>
      <c r="AG471" s="16"/>
    </row>
    <row r="472" spans="1:33" x14ac:dyDescent="0.2">
      <c r="A472" s="16"/>
      <c r="B472" s="16"/>
      <c r="C472" s="16"/>
      <c r="D472" s="16"/>
      <c r="E472" s="16"/>
      <c r="F472" s="109"/>
      <c r="G472" s="109"/>
      <c r="H472" s="109"/>
      <c r="I472" s="109"/>
      <c r="J472" s="109"/>
      <c r="K472" s="109"/>
      <c r="L472" s="109"/>
      <c r="M472" s="109"/>
      <c r="N472" s="109"/>
      <c r="O472" s="109"/>
      <c r="P472" s="16"/>
      <c r="Q472" s="16"/>
      <c r="R472" s="109"/>
      <c r="S472" s="109"/>
      <c r="T472" s="109"/>
      <c r="U472" s="109"/>
      <c r="V472" s="109"/>
      <c r="W472" s="109"/>
      <c r="X472" s="109"/>
      <c r="Y472" s="109"/>
      <c r="Z472" s="109"/>
      <c r="AA472" s="109"/>
      <c r="AB472" s="109"/>
      <c r="AC472" s="16"/>
      <c r="AD472" s="16"/>
      <c r="AE472" s="16"/>
      <c r="AF472" s="16"/>
      <c r="AG472" s="16"/>
    </row>
    <row r="473" spans="1:33" x14ac:dyDescent="0.2">
      <c r="A473" s="16"/>
      <c r="B473" s="16"/>
      <c r="C473" s="16"/>
      <c r="D473" s="16"/>
      <c r="E473" s="16"/>
      <c r="F473" s="109"/>
      <c r="G473" s="109"/>
      <c r="H473" s="109"/>
      <c r="I473" s="109"/>
      <c r="J473" s="109"/>
      <c r="K473" s="109"/>
      <c r="L473" s="109"/>
      <c r="M473" s="109"/>
      <c r="N473" s="109"/>
      <c r="O473" s="109"/>
      <c r="P473" s="16"/>
      <c r="Q473" s="16"/>
      <c r="R473" s="109"/>
      <c r="S473" s="109"/>
      <c r="T473" s="109"/>
      <c r="U473" s="109"/>
      <c r="V473" s="109"/>
      <c r="W473" s="109"/>
      <c r="X473" s="109"/>
      <c r="Y473" s="109"/>
      <c r="Z473" s="109"/>
      <c r="AA473" s="109"/>
      <c r="AB473" s="109"/>
      <c r="AC473" s="16"/>
      <c r="AD473" s="16"/>
      <c r="AE473" s="16"/>
      <c r="AF473" s="16"/>
      <c r="AG473" s="16"/>
    </row>
    <row r="474" spans="1:33" x14ac:dyDescent="0.2">
      <c r="A474" s="16"/>
      <c r="B474" s="16"/>
      <c r="C474" s="16"/>
      <c r="D474" s="16"/>
      <c r="E474" s="16"/>
      <c r="F474" s="109"/>
      <c r="G474" s="109"/>
      <c r="H474" s="109"/>
      <c r="I474" s="109"/>
      <c r="J474" s="109"/>
      <c r="K474" s="109"/>
      <c r="L474" s="109"/>
      <c r="M474" s="109"/>
      <c r="N474" s="109"/>
      <c r="O474" s="109"/>
      <c r="P474" s="16"/>
      <c r="Q474" s="16"/>
      <c r="R474" s="109"/>
      <c r="S474" s="109"/>
      <c r="T474" s="109"/>
      <c r="U474" s="109"/>
      <c r="V474" s="109"/>
      <c r="W474" s="109"/>
      <c r="X474" s="109"/>
      <c r="Y474" s="109"/>
      <c r="Z474" s="109"/>
      <c r="AA474" s="109"/>
      <c r="AB474" s="109"/>
      <c r="AC474" s="16"/>
      <c r="AD474" s="16"/>
      <c r="AE474" s="16"/>
      <c r="AF474" s="16"/>
      <c r="AG474" s="16"/>
    </row>
    <row r="475" spans="1:33" x14ac:dyDescent="0.2">
      <c r="A475" s="16"/>
      <c r="B475" s="16"/>
      <c r="C475" s="16"/>
      <c r="D475" s="16"/>
      <c r="E475" s="16"/>
      <c r="F475" s="109"/>
      <c r="G475" s="109"/>
      <c r="H475" s="109"/>
      <c r="I475" s="109"/>
      <c r="J475" s="109"/>
      <c r="K475" s="109"/>
      <c r="L475" s="109"/>
      <c r="M475" s="109"/>
      <c r="N475" s="109"/>
      <c r="O475" s="109"/>
      <c r="P475" s="16"/>
      <c r="Q475" s="16"/>
      <c r="R475" s="109"/>
      <c r="S475" s="109"/>
      <c r="T475" s="109"/>
      <c r="U475" s="109"/>
      <c r="V475" s="109"/>
      <c r="W475" s="109"/>
      <c r="X475" s="109"/>
      <c r="Y475" s="109"/>
      <c r="Z475" s="109"/>
      <c r="AA475" s="109"/>
      <c r="AB475" s="109"/>
      <c r="AC475" s="16"/>
      <c r="AD475" s="16"/>
      <c r="AE475" s="16"/>
      <c r="AF475" s="16"/>
      <c r="AG475" s="16"/>
    </row>
    <row r="476" spans="1:33" x14ac:dyDescent="0.2">
      <c r="A476" s="16"/>
      <c r="B476" s="16"/>
      <c r="C476" s="16"/>
      <c r="D476" s="16"/>
      <c r="E476" s="16"/>
      <c r="F476" s="109"/>
      <c r="G476" s="109"/>
      <c r="H476" s="109"/>
      <c r="I476" s="109"/>
      <c r="J476" s="109"/>
      <c r="K476" s="109"/>
      <c r="L476" s="109"/>
      <c r="M476" s="109"/>
      <c r="N476" s="109"/>
      <c r="O476" s="109"/>
      <c r="P476" s="16"/>
      <c r="Q476" s="16"/>
      <c r="R476" s="109"/>
      <c r="S476" s="109"/>
      <c r="T476" s="109"/>
      <c r="U476" s="109"/>
      <c r="V476" s="109"/>
      <c r="W476" s="109"/>
      <c r="X476" s="109"/>
      <c r="Y476" s="109"/>
      <c r="Z476" s="109"/>
      <c r="AA476" s="109"/>
      <c r="AB476" s="109"/>
      <c r="AC476" s="16"/>
      <c r="AD476" s="16"/>
      <c r="AE476" s="16"/>
      <c r="AF476" s="16"/>
      <c r="AG476" s="16"/>
    </row>
    <row r="477" spans="1:33" x14ac:dyDescent="0.2">
      <c r="A477" s="16"/>
      <c r="B477" s="16"/>
      <c r="C477" s="16"/>
      <c r="D477" s="16"/>
      <c r="E477" s="16"/>
      <c r="F477" s="109"/>
      <c r="G477" s="109"/>
      <c r="H477" s="109"/>
      <c r="I477" s="109"/>
      <c r="J477" s="109"/>
      <c r="K477" s="109"/>
      <c r="L477" s="109"/>
      <c r="M477" s="109"/>
      <c r="N477" s="109"/>
      <c r="O477" s="109"/>
      <c r="P477" s="16"/>
      <c r="Q477" s="16"/>
      <c r="R477" s="109"/>
      <c r="S477" s="109"/>
      <c r="T477" s="109"/>
      <c r="U477" s="109"/>
      <c r="V477" s="109"/>
      <c r="W477" s="109"/>
      <c r="X477" s="109"/>
      <c r="Y477" s="109"/>
      <c r="Z477" s="109"/>
      <c r="AA477" s="109"/>
      <c r="AB477" s="109"/>
      <c r="AC477" s="16"/>
      <c r="AD477" s="16"/>
      <c r="AE477" s="16"/>
      <c r="AF477" s="16"/>
      <c r="AG477" s="16"/>
    </row>
    <row r="478" spans="1:33" x14ac:dyDescent="0.2">
      <c r="A478" s="16"/>
      <c r="B478" s="16"/>
      <c r="C478" s="16"/>
      <c r="D478" s="16"/>
      <c r="E478" s="16"/>
      <c r="F478" s="109"/>
      <c r="G478" s="109"/>
      <c r="H478" s="109"/>
      <c r="I478" s="109"/>
      <c r="J478" s="109"/>
      <c r="K478" s="109"/>
      <c r="L478" s="109"/>
      <c r="M478" s="109"/>
      <c r="N478" s="109"/>
      <c r="O478" s="109"/>
      <c r="P478" s="16"/>
      <c r="Q478" s="16"/>
      <c r="R478" s="109"/>
      <c r="S478" s="109"/>
      <c r="T478" s="109"/>
      <c r="U478" s="109"/>
      <c r="V478" s="109"/>
      <c r="W478" s="109"/>
      <c r="X478" s="109"/>
      <c r="Y478" s="109"/>
      <c r="Z478" s="109"/>
      <c r="AA478" s="109"/>
      <c r="AB478" s="109"/>
      <c r="AC478" s="16"/>
      <c r="AD478" s="16"/>
      <c r="AE478" s="16"/>
      <c r="AF478" s="16"/>
      <c r="AG478" s="16"/>
    </row>
    <row r="479" spans="1:33" x14ac:dyDescent="0.2">
      <c r="A479" s="16"/>
      <c r="B479" s="16"/>
      <c r="C479" s="16"/>
      <c r="D479" s="16"/>
      <c r="E479" s="16"/>
      <c r="F479" s="109"/>
      <c r="G479" s="109"/>
      <c r="H479" s="109"/>
      <c r="I479" s="109"/>
      <c r="J479" s="109"/>
      <c r="K479" s="109"/>
      <c r="L479" s="109"/>
      <c r="M479" s="109"/>
      <c r="N479" s="109"/>
      <c r="O479" s="109"/>
      <c r="P479" s="16"/>
      <c r="Q479" s="16"/>
      <c r="R479" s="109"/>
      <c r="S479" s="109"/>
      <c r="T479" s="109"/>
      <c r="U479" s="109"/>
      <c r="V479" s="109"/>
      <c r="W479" s="109"/>
      <c r="X479" s="109"/>
      <c r="Y479" s="109"/>
      <c r="Z479" s="109"/>
      <c r="AA479" s="109"/>
      <c r="AB479" s="109"/>
      <c r="AC479" s="16"/>
      <c r="AD479" s="16"/>
      <c r="AE479" s="16"/>
      <c r="AF479" s="16"/>
      <c r="AG479" s="16"/>
    </row>
    <row r="480" spans="1:33" x14ac:dyDescent="0.2">
      <c r="A480" s="16"/>
      <c r="B480" s="16"/>
      <c r="C480" s="16"/>
      <c r="D480" s="16"/>
      <c r="E480" s="16"/>
      <c r="F480" s="109"/>
      <c r="G480" s="109"/>
      <c r="H480" s="109"/>
      <c r="I480" s="109"/>
      <c r="J480" s="109"/>
      <c r="K480" s="109"/>
      <c r="L480" s="109"/>
      <c r="M480" s="109"/>
      <c r="N480" s="109"/>
      <c r="O480" s="109"/>
      <c r="P480" s="16"/>
      <c r="Q480" s="16"/>
      <c r="R480" s="109"/>
      <c r="S480" s="109"/>
      <c r="T480" s="109"/>
      <c r="U480" s="109"/>
      <c r="V480" s="109"/>
      <c r="W480" s="109"/>
      <c r="X480" s="109"/>
      <c r="Y480" s="109"/>
      <c r="Z480" s="109"/>
      <c r="AA480" s="109"/>
      <c r="AB480" s="109"/>
      <c r="AC480" s="16"/>
      <c r="AD480" s="16"/>
      <c r="AE480" s="16"/>
      <c r="AF480" s="16"/>
      <c r="AG480" s="16"/>
    </row>
    <row r="481" spans="1:33" x14ac:dyDescent="0.2">
      <c r="A481" s="16"/>
      <c r="B481" s="16"/>
      <c r="C481" s="16"/>
      <c r="D481" s="16"/>
      <c r="E481" s="16"/>
      <c r="F481" s="109"/>
      <c r="G481" s="109"/>
      <c r="H481" s="109"/>
      <c r="I481" s="109"/>
      <c r="J481" s="109"/>
      <c r="K481" s="109"/>
      <c r="L481" s="109"/>
      <c r="M481" s="109"/>
      <c r="N481" s="109"/>
      <c r="O481" s="109"/>
      <c r="P481" s="16"/>
      <c r="Q481" s="16"/>
      <c r="R481" s="109"/>
      <c r="S481" s="109"/>
      <c r="T481" s="109"/>
      <c r="U481" s="109"/>
      <c r="V481" s="109"/>
      <c r="W481" s="109"/>
      <c r="X481" s="109"/>
      <c r="Y481" s="109"/>
      <c r="Z481" s="109"/>
      <c r="AA481" s="109"/>
      <c r="AB481" s="109"/>
      <c r="AC481" s="16"/>
      <c r="AD481" s="16"/>
      <c r="AE481" s="16"/>
      <c r="AF481" s="16"/>
      <c r="AG481" s="16"/>
    </row>
    <row r="482" spans="1:33" x14ac:dyDescent="0.2">
      <c r="A482" s="16"/>
      <c r="B482" s="16"/>
      <c r="C482" s="16"/>
      <c r="D482" s="16"/>
      <c r="E482" s="16"/>
      <c r="F482" s="109"/>
      <c r="G482" s="109"/>
      <c r="H482" s="109"/>
      <c r="I482" s="109"/>
      <c r="J482" s="109"/>
      <c r="K482" s="109"/>
      <c r="L482" s="109"/>
      <c r="M482" s="109"/>
      <c r="N482" s="109"/>
      <c r="O482" s="109"/>
      <c r="P482" s="16"/>
      <c r="Q482" s="16"/>
      <c r="R482" s="109"/>
      <c r="S482" s="109"/>
      <c r="T482" s="109"/>
      <c r="U482" s="109"/>
      <c r="V482" s="109"/>
      <c r="W482" s="109"/>
      <c r="X482" s="109"/>
      <c r="Y482" s="109"/>
      <c r="Z482" s="109"/>
      <c r="AA482" s="109"/>
      <c r="AB482" s="109"/>
      <c r="AC482" s="16"/>
      <c r="AD482" s="16"/>
      <c r="AE482" s="16"/>
      <c r="AF482" s="16"/>
      <c r="AG482" s="16"/>
    </row>
    <row r="483" spans="1:33" x14ac:dyDescent="0.2">
      <c r="A483" s="16"/>
      <c r="B483" s="16"/>
      <c r="C483" s="16"/>
      <c r="D483" s="16"/>
      <c r="E483" s="16"/>
      <c r="F483" s="109"/>
      <c r="G483" s="109"/>
      <c r="H483" s="109"/>
      <c r="I483" s="109"/>
      <c r="J483" s="109"/>
      <c r="K483" s="109"/>
      <c r="L483" s="109"/>
      <c r="M483" s="109"/>
      <c r="N483" s="109"/>
      <c r="O483" s="109"/>
      <c r="P483" s="16"/>
      <c r="Q483" s="16"/>
      <c r="R483" s="109"/>
      <c r="S483" s="109"/>
      <c r="T483" s="109"/>
      <c r="U483" s="109"/>
      <c r="V483" s="109"/>
      <c r="W483" s="109"/>
      <c r="X483" s="109"/>
      <c r="Y483" s="109"/>
      <c r="Z483" s="109"/>
      <c r="AA483" s="109"/>
      <c r="AB483" s="109"/>
      <c r="AC483" s="16"/>
      <c r="AD483" s="16"/>
      <c r="AE483" s="16"/>
      <c r="AF483" s="16"/>
      <c r="AG483" s="16"/>
    </row>
    <row r="484" spans="1:33" x14ac:dyDescent="0.2">
      <c r="A484" s="16"/>
      <c r="B484" s="16"/>
      <c r="C484" s="16"/>
      <c r="D484" s="16"/>
      <c r="E484" s="16"/>
      <c r="F484" s="109"/>
      <c r="G484" s="109"/>
      <c r="H484" s="109"/>
      <c r="I484" s="109"/>
      <c r="J484" s="109"/>
      <c r="K484" s="109"/>
      <c r="L484" s="109"/>
      <c r="M484" s="109"/>
      <c r="N484" s="109"/>
      <c r="O484" s="109"/>
      <c r="P484" s="16"/>
      <c r="Q484" s="16"/>
      <c r="R484" s="109"/>
      <c r="S484" s="109"/>
      <c r="T484" s="109"/>
      <c r="U484" s="109"/>
      <c r="V484" s="109"/>
      <c r="W484" s="109"/>
      <c r="X484" s="109"/>
      <c r="Y484" s="109"/>
      <c r="Z484" s="109"/>
      <c r="AA484" s="109"/>
      <c r="AB484" s="109"/>
      <c r="AC484" s="16"/>
      <c r="AD484" s="16"/>
      <c r="AE484" s="16"/>
      <c r="AF484" s="16"/>
      <c r="AG484" s="16"/>
    </row>
    <row r="485" spans="1:33" x14ac:dyDescent="0.2">
      <c r="A485" s="16"/>
      <c r="B485" s="16"/>
      <c r="C485" s="16"/>
      <c r="D485" s="16"/>
      <c r="E485" s="16"/>
      <c r="F485" s="109"/>
      <c r="G485" s="109"/>
      <c r="H485" s="109"/>
      <c r="I485" s="109"/>
      <c r="J485" s="109"/>
      <c r="K485" s="109"/>
      <c r="L485" s="109"/>
      <c r="M485" s="109"/>
      <c r="N485" s="109"/>
      <c r="O485" s="109"/>
      <c r="P485" s="16"/>
      <c r="Q485" s="16"/>
      <c r="R485" s="109"/>
      <c r="S485" s="109"/>
      <c r="T485" s="109"/>
      <c r="U485" s="109"/>
      <c r="V485" s="109"/>
      <c r="W485" s="109"/>
      <c r="X485" s="109"/>
      <c r="Y485" s="109"/>
      <c r="Z485" s="109"/>
      <c r="AA485" s="109"/>
      <c r="AB485" s="109"/>
      <c r="AC485" s="16"/>
      <c r="AD485" s="16"/>
      <c r="AE485" s="16"/>
      <c r="AF485" s="16"/>
      <c r="AG485" s="16"/>
    </row>
    <row r="486" spans="1:33" x14ac:dyDescent="0.2">
      <c r="A486" s="16"/>
      <c r="B486" s="16"/>
      <c r="C486" s="16"/>
      <c r="D486" s="16"/>
      <c r="E486" s="16"/>
      <c r="F486" s="109"/>
      <c r="G486" s="109"/>
      <c r="H486" s="109"/>
      <c r="I486" s="109"/>
      <c r="J486" s="109"/>
      <c r="K486" s="109"/>
      <c r="L486" s="109"/>
      <c r="M486" s="109"/>
      <c r="N486" s="109"/>
      <c r="O486" s="109"/>
      <c r="P486" s="16"/>
      <c r="Q486" s="16"/>
      <c r="R486" s="109"/>
      <c r="S486" s="109"/>
      <c r="T486" s="109"/>
      <c r="U486" s="109"/>
      <c r="V486" s="109"/>
      <c r="W486" s="109"/>
      <c r="X486" s="109"/>
      <c r="Y486" s="109"/>
      <c r="Z486" s="109"/>
      <c r="AA486" s="109"/>
      <c r="AB486" s="109"/>
      <c r="AC486" s="16"/>
      <c r="AD486" s="16"/>
      <c r="AE486" s="16"/>
      <c r="AF486" s="16"/>
      <c r="AG486" s="16"/>
    </row>
    <row r="487" spans="1:33" x14ac:dyDescent="0.2">
      <c r="A487" s="16"/>
      <c r="B487" s="16"/>
      <c r="C487" s="16"/>
      <c r="D487" s="16"/>
      <c r="E487" s="16"/>
      <c r="F487" s="109"/>
      <c r="G487" s="109"/>
      <c r="H487" s="109"/>
      <c r="I487" s="109"/>
      <c r="J487" s="109"/>
      <c r="K487" s="109"/>
      <c r="L487" s="109"/>
      <c r="M487" s="109"/>
      <c r="N487" s="109"/>
      <c r="O487" s="109"/>
      <c r="P487" s="16"/>
      <c r="Q487" s="16"/>
      <c r="R487" s="109"/>
      <c r="S487" s="109"/>
      <c r="T487" s="109"/>
      <c r="U487" s="109"/>
      <c r="V487" s="109"/>
      <c r="W487" s="109"/>
      <c r="X487" s="109"/>
      <c r="Y487" s="109"/>
      <c r="Z487" s="109"/>
      <c r="AA487" s="109"/>
      <c r="AB487" s="109"/>
      <c r="AC487" s="16"/>
      <c r="AD487" s="16"/>
      <c r="AE487" s="16"/>
      <c r="AF487" s="16"/>
      <c r="AG487" s="16"/>
    </row>
    <row r="488" spans="1:33" x14ac:dyDescent="0.2">
      <c r="A488" s="16"/>
      <c r="B488" s="16"/>
      <c r="C488" s="16"/>
      <c r="D488" s="16"/>
      <c r="E488" s="16"/>
      <c r="F488" s="109"/>
      <c r="G488" s="109"/>
      <c r="H488" s="109"/>
      <c r="I488" s="109"/>
      <c r="J488" s="109"/>
      <c r="K488" s="109"/>
      <c r="L488" s="109"/>
      <c r="M488" s="109"/>
      <c r="N488" s="109"/>
      <c r="O488" s="109"/>
      <c r="P488" s="16"/>
      <c r="Q488" s="16"/>
      <c r="R488" s="109"/>
      <c r="S488" s="109"/>
      <c r="T488" s="109"/>
      <c r="U488" s="109"/>
      <c r="V488" s="109"/>
      <c r="W488" s="109"/>
      <c r="X488" s="109"/>
      <c r="Y488" s="109"/>
      <c r="Z488" s="109"/>
      <c r="AA488" s="109"/>
      <c r="AB488" s="109"/>
      <c r="AC488" s="16"/>
      <c r="AD488" s="16"/>
      <c r="AE488" s="16"/>
      <c r="AF488" s="16"/>
      <c r="AG488" s="16"/>
    </row>
    <row r="489" spans="1:33" x14ac:dyDescent="0.2">
      <c r="A489" s="16"/>
      <c r="B489" s="16"/>
      <c r="C489" s="16"/>
      <c r="D489" s="16"/>
      <c r="E489" s="16"/>
      <c r="F489" s="109"/>
      <c r="G489" s="109"/>
      <c r="H489" s="109"/>
      <c r="I489" s="109"/>
      <c r="J489" s="109"/>
      <c r="K489" s="109"/>
      <c r="L489" s="109"/>
      <c r="M489" s="109"/>
      <c r="N489" s="109"/>
      <c r="O489" s="109"/>
      <c r="P489" s="16"/>
      <c r="Q489" s="16"/>
      <c r="R489" s="109"/>
      <c r="S489" s="109"/>
      <c r="T489" s="109"/>
      <c r="U489" s="109"/>
      <c r="V489" s="109"/>
      <c r="W489" s="109"/>
      <c r="X489" s="109"/>
      <c r="Y489" s="109"/>
      <c r="Z489" s="109"/>
      <c r="AA489" s="109"/>
      <c r="AB489" s="109"/>
      <c r="AC489" s="16"/>
      <c r="AD489" s="16"/>
      <c r="AE489" s="16"/>
      <c r="AF489" s="16"/>
      <c r="AG489" s="16"/>
    </row>
    <row r="490" spans="1:33" x14ac:dyDescent="0.2">
      <c r="A490" s="16"/>
      <c r="B490" s="16"/>
      <c r="C490" s="16"/>
      <c r="D490" s="16"/>
      <c r="E490" s="16"/>
      <c r="F490" s="109"/>
      <c r="G490" s="109"/>
      <c r="H490" s="109"/>
      <c r="I490" s="109"/>
      <c r="J490" s="109"/>
      <c r="K490" s="109"/>
      <c r="L490" s="109"/>
      <c r="M490" s="109"/>
      <c r="N490" s="109"/>
      <c r="O490" s="109"/>
      <c r="P490" s="16"/>
      <c r="Q490" s="16"/>
      <c r="R490" s="109"/>
      <c r="S490" s="109"/>
      <c r="T490" s="109"/>
      <c r="U490" s="109"/>
      <c r="V490" s="109"/>
      <c r="W490" s="109"/>
      <c r="X490" s="109"/>
      <c r="Y490" s="109"/>
      <c r="Z490" s="109"/>
      <c r="AA490" s="109"/>
      <c r="AB490" s="109"/>
      <c r="AC490" s="16"/>
      <c r="AD490" s="16"/>
      <c r="AE490" s="16"/>
      <c r="AF490" s="16"/>
      <c r="AG490" s="16"/>
    </row>
    <row r="491" spans="1:33" x14ac:dyDescent="0.2">
      <c r="A491" s="16"/>
      <c r="B491" s="16"/>
      <c r="C491" s="16"/>
      <c r="D491" s="16"/>
      <c r="E491" s="16"/>
      <c r="F491" s="109"/>
      <c r="G491" s="109"/>
      <c r="H491" s="109"/>
      <c r="I491" s="109"/>
      <c r="J491" s="109"/>
      <c r="K491" s="109"/>
      <c r="L491" s="109"/>
      <c r="M491" s="109"/>
      <c r="N491" s="109"/>
      <c r="O491" s="109"/>
      <c r="P491" s="16"/>
      <c r="Q491" s="16"/>
      <c r="R491" s="109"/>
      <c r="S491" s="109"/>
      <c r="T491" s="109"/>
      <c r="U491" s="109"/>
      <c r="V491" s="109"/>
      <c r="W491" s="109"/>
      <c r="X491" s="109"/>
      <c r="Y491" s="109"/>
      <c r="Z491" s="109"/>
      <c r="AA491" s="109"/>
      <c r="AB491" s="109"/>
      <c r="AC491" s="16"/>
      <c r="AD491" s="16"/>
      <c r="AE491" s="16"/>
      <c r="AF491" s="16"/>
      <c r="AG491" s="16"/>
    </row>
    <row r="492" spans="1:33" x14ac:dyDescent="0.2">
      <c r="A492" s="16"/>
      <c r="B492" s="16"/>
      <c r="C492" s="16"/>
      <c r="D492" s="16"/>
      <c r="E492" s="16"/>
      <c r="F492" s="109"/>
      <c r="G492" s="109"/>
      <c r="H492" s="109"/>
      <c r="I492" s="109"/>
      <c r="J492" s="109"/>
      <c r="K492" s="109"/>
      <c r="L492" s="109"/>
      <c r="M492" s="109"/>
      <c r="N492" s="109"/>
      <c r="O492" s="109"/>
      <c r="P492" s="16"/>
      <c r="Q492" s="16"/>
      <c r="R492" s="109"/>
      <c r="S492" s="109"/>
      <c r="T492" s="109"/>
      <c r="U492" s="109"/>
      <c r="V492" s="109"/>
      <c r="W492" s="109"/>
      <c r="X492" s="109"/>
      <c r="Y492" s="109"/>
      <c r="Z492" s="109"/>
      <c r="AA492" s="109"/>
      <c r="AB492" s="109"/>
      <c r="AC492" s="16"/>
      <c r="AD492" s="16"/>
      <c r="AE492" s="16"/>
      <c r="AF492" s="16"/>
      <c r="AG492" s="16"/>
    </row>
    <row r="493" spans="1:33" x14ac:dyDescent="0.2">
      <c r="A493" s="16"/>
      <c r="B493" s="16"/>
      <c r="C493" s="16"/>
      <c r="D493" s="16"/>
      <c r="E493" s="16"/>
      <c r="F493" s="109"/>
      <c r="G493" s="109"/>
      <c r="H493" s="109"/>
      <c r="I493" s="109"/>
      <c r="J493" s="109"/>
      <c r="K493" s="109"/>
      <c r="L493" s="109"/>
      <c r="M493" s="109"/>
      <c r="N493" s="109"/>
      <c r="O493" s="109"/>
      <c r="P493" s="16"/>
      <c r="Q493" s="16"/>
      <c r="R493" s="109"/>
      <c r="S493" s="109"/>
      <c r="T493" s="109"/>
      <c r="U493" s="109"/>
      <c r="V493" s="109"/>
      <c r="W493" s="109"/>
      <c r="X493" s="109"/>
      <c r="Y493" s="109"/>
      <c r="Z493" s="109"/>
      <c r="AA493" s="109"/>
      <c r="AB493" s="109"/>
      <c r="AC493" s="16"/>
      <c r="AD493" s="16"/>
      <c r="AE493" s="16"/>
      <c r="AF493" s="16"/>
      <c r="AG493" s="16"/>
    </row>
    <row r="494" spans="1:33" x14ac:dyDescent="0.2">
      <c r="A494" s="16"/>
      <c r="B494" s="16"/>
      <c r="C494" s="16"/>
      <c r="D494" s="16"/>
      <c r="E494" s="16"/>
      <c r="F494" s="109"/>
      <c r="G494" s="109"/>
      <c r="H494" s="109"/>
      <c r="I494" s="109"/>
      <c r="J494" s="109"/>
      <c r="K494" s="109"/>
      <c r="L494" s="109"/>
      <c r="M494" s="109"/>
      <c r="N494" s="109"/>
      <c r="O494" s="109"/>
      <c r="P494" s="16"/>
      <c r="Q494" s="16"/>
      <c r="R494" s="109"/>
      <c r="S494" s="109"/>
      <c r="T494" s="109"/>
      <c r="U494" s="109"/>
      <c r="V494" s="109"/>
      <c r="W494" s="109"/>
      <c r="X494" s="109"/>
      <c r="Y494" s="109"/>
      <c r="Z494" s="109"/>
      <c r="AA494" s="109"/>
      <c r="AB494" s="109"/>
      <c r="AC494" s="16"/>
      <c r="AD494" s="16"/>
      <c r="AE494" s="16"/>
      <c r="AF494" s="16"/>
      <c r="AG494" s="16"/>
    </row>
    <row r="495" spans="1:33" x14ac:dyDescent="0.2">
      <c r="A495" s="16"/>
      <c r="B495" s="16"/>
      <c r="C495" s="16"/>
      <c r="D495" s="16"/>
      <c r="E495" s="16"/>
      <c r="F495" s="109"/>
      <c r="G495" s="109"/>
      <c r="H495" s="109"/>
      <c r="I495" s="109"/>
      <c r="J495" s="109"/>
      <c r="K495" s="109"/>
      <c r="L495" s="109"/>
      <c r="M495" s="109"/>
      <c r="N495" s="109"/>
      <c r="O495" s="109"/>
      <c r="P495" s="16"/>
      <c r="Q495" s="16"/>
      <c r="R495" s="109"/>
      <c r="S495" s="109"/>
      <c r="T495" s="109"/>
      <c r="U495" s="109"/>
      <c r="V495" s="109"/>
      <c r="W495" s="109"/>
      <c r="X495" s="109"/>
      <c r="Y495" s="109"/>
      <c r="Z495" s="109"/>
      <c r="AA495" s="109"/>
      <c r="AB495" s="109"/>
      <c r="AC495" s="16"/>
      <c r="AD495" s="16"/>
      <c r="AE495" s="16"/>
      <c r="AF495" s="16"/>
      <c r="AG495" s="16"/>
    </row>
    <row r="496" spans="1:33" x14ac:dyDescent="0.2">
      <c r="A496" s="16"/>
      <c r="B496" s="16"/>
      <c r="C496" s="16"/>
      <c r="D496" s="16"/>
      <c r="E496" s="16"/>
      <c r="F496" s="109"/>
      <c r="G496" s="109"/>
      <c r="H496" s="109"/>
      <c r="I496" s="109"/>
      <c r="J496" s="109"/>
      <c r="K496" s="109"/>
      <c r="L496" s="109"/>
      <c r="M496" s="109"/>
      <c r="N496" s="109"/>
      <c r="O496" s="109"/>
      <c r="P496" s="16"/>
      <c r="Q496" s="16"/>
      <c r="R496" s="109"/>
      <c r="S496" s="109"/>
      <c r="T496" s="109"/>
      <c r="U496" s="109"/>
      <c r="V496" s="109"/>
      <c r="W496" s="109"/>
      <c r="X496" s="109"/>
      <c r="Y496" s="109"/>
      <c r="Z496" s="109"/>
      <c r="AA496" s="109"/>
      <c r="AB496" s="109"/>
      <c r="AC496" s="16"/>
      <c r="AD496" s="16"/>
      <c r="AE496" s="16"/>
      <c r="AF496" s="16"/>
      <c r="AG496" s="16"/>
    </row>
    <row r="497" spans="1:33" x14ac:dyDescent="0.2">
      <c r="A497" s="16"/>
      <c r="B497" s="16"/>
      <c r="C497" s="16"/>
      <c r="D497" s="16"/>
      <c r="E497" s="16"/>
      <c r="F497" s="109"/>
      <c r="G497" s="109"/>
      <c r="H497" s="109"/>
      <c r="I497" s="109"/>
      <c r="J497" s="109"/>
      <c r="K497" s="109"/>
      <c r="L497" s="109"/>
      <c r="M497" s="109"/>
      <c r="N497" s="109"/>
      <c r="O497" s="109"/>
      <c r="P497" s="16"/>
      <c r="Q497" s="16"/>
      <c r="R497" s="109"/>
      <c r="S497" s="109"/>
      <c r="T497" s="109"/>
      <c r="U497" s="109"/>
      <c r="V497" s="109"/>
      <c r="W497" s="109"/>
      <c r="X497" s="109"/>
      <c r="Y497" s="109"/>
      <c r="Z497" s="109"/>
      <c r="AA497" s="109"/>
      <c r="AB497" s="109"/>
      <c r="AC497" s="16"/>
      <c r="AD497" s="16"/>
      <c r="AE497" s="16"/>
      <c r="AF497" s="16"/>
      <c r="AG497" s="16"/>
    </row>
    <row r="498" spans="1:33" x14ac:dyDescent="0.2">
      <c r="A498" s="16"/>
      <c r="B498" s="16"/>
      <c r="C498" s="16"/>
      <c r="D498" s="16"/>
      <c r="E498" s="16"/>
      <c r="F498" s="109"/>
      <c r="G498" s="109"/>
      <c r="H498" s="109"/>
      <c r="I498" s="109"/>
      <c r="J498" s="109"/>
      <c r="K498" s="109"/>
      <c r="L498" s="109"/>
      <c r="M498" s="109"/>
      <c r="N498" s="109"/>
      <c r="O498" s="109"/>
      <c r="P498" s="16"/>
      <c r="Q498" s="16"/>
      <c r="R498" s="109"/>
      <c r="S498" s="109"/>
      <c r="T498" s="109"/>
      <c r="U498" s="109"/>
      <c r="V498" s="109"/>
      <c r="W498" s="109"/>
      <c r="X498" s="109"/>
      <c r="Y498" s="109"/>
      <c r="Z498" s="109"/>
      <c r="AA498" s="109"/>
      <c r="AB498" s="109"/>
      <c r="AC498" s="16"/>
      <c r="AD498" s="16"/>
      <c r="AE498" s="16"/>
      <c r="AF498" s="16"/>
      <c r="AG498" s="16"/>
    </row>
    <row r="499" spans="1:33" x14ac:dyDescent="0.2">
      <c r="A499" s="16"/>
      <c r="B499" s="16"/>
      <c r="C499" s="16"/>
      <c r="D499" s="16"/>
      <c r="E499" s="16"/>
      <c r="F499" s="109"/>
      <c r="G499" s="109"/>
      <c r="H499" s="109"/>
      <c r="I499" s="109"/>
      <c r="J499" s="109"/>
      <c r="K499" s="109"/>
      <c r="L499" s="109"/>
      <c r="M499" s="109"/>
      <c r="N499" s="109"/>
      <c r="O499" s="109"/>
      <c r="P499" s="16"/>
      <c r="Q499" s="16"/>
      <c r="R499" s="109"/>
      <c r="S499" s="109"/>
      <c r="T499" s="109"/>
      <c r="U499" s="109"/>
      <c r="V499" s="109"/>
      <c r="W499" s="109"/>
      <c r="X499" s="109"/>
      <c r="Y499" s="109"/>
      <c r="Z499" s="109"/>
      <c r="AA499" s="109"/>
      <c r="AB499" s="109"/>
      <c r="AC499" s="16"/>
      <c r="AD499" s="16"/>
      <c r="AE499" s="16"/>
      <c r="AF499" s="16"/>
      <c r="AG499" s="16"/>
    </row>
    <row r="500" spans="1:33" x14ac:dyDescent="0.2">
      <c r="A500" s="16"/>
      <c r="B500" s="16"/>
      <c r="C500" s="16"/>
      <c r="D500" s="16"/>
      <c r="E500" s="16"/>
      <c r="F500" s="109"/>
      <c r="G500" s="109"/>
      <c r="H500" s="109"/>
      <c r="I500" s="109"/>
      <c r="J500" s="109"/>
      <c r="K500" s="109"/>
      <c r="L500" s="109"/>
      <c r="M500" s="109"/>
      <c r="N500" s="109"/>
      <c r="O500" s="109"/>
      <c r="P500" s="16"/>
      <c r="Q500" s="16"/>
      <c r="R500" s="109"/>
      <c r="S500" s="109"/>
      <c r="T500" s="109"/>
      <c r="U500" s="109"/>
      <c r="V500" s="109"/>
      <c r="W500" s="109"/>
      <c r="X500" s="109"/>
      <c r="Y500" s="109"/>
      <c r="Z500" s="109"/>
      <c r="AA500" s="109"/>
      <c r="AB500" s="109"/>
      <c r="AC500" s="16"/>
      <c r="AD500" s="16"/>
      <c r="AE500" s="16"/>
      <c r="AF500" s="16"/>
      <c r="AG500" s="16"/>
    </row>
    <row r="501" spans="1:33" x14ac:dyDescent="0.2">
      <c r="A501" s="16"/>
      <c r="B501" s="16"/>
      <c r="C501" s="16"/>
      <c r="D501" s="16"/>
      <c r="E501" s="16"/>
      <c r="F501" s="109"/>
      <c r="G501" s="109"/>
      <c r="H501" s="109"/>
      <c r="I501" s="109"/>
      <c r="J501" s="109"/>
      <c r="K501" s="109"/>
      <c r="L501" s="109"/>
      <c r="M501" s="109"/>
      <c r="N501" s="109"/>
      <c r="O501" s="109"/>
      <c r="P501" s="16"/>
      <c r="Q501" s="16"/>
      <c r="R501" s="109"/>
      <c r="S501" s="109"/>
      <c r="T501" s="109"/>
      <c r="U501" s="109"/>
      <c r="V501" s="109"/>
      <c r="W501" s="109"/>
      <c r="X501" s="109"/>
      <c r="Y501" s="109"/>
      <c r="Z501" s="109"/>
      <c r="AA501" s="109"/>
      <c r="AB501" s="109"/>
      <c r="AC501" s="16"/>
      <c r="AD501" s="16"/>
      <c r="AE501" s="16"/>
      <c r="AF501" s="16"/>
      <c r="AG501" s="16"/>
    </row>
    <row r="502" spans="1:33" x14ac:dyDescent="0.2">
      <c r="A502" s="16"/>
      <c r="B502" s="16"/>
      <c r="C502" s="16"/>
      <c r="D502" s="16"/>
      <c r="E502" s="16"/>
      <c r="F502" s="109"/>
      <c r="G502" s="109"/>
      <c r="H502" s="109"/>
      <c r="I502" s="109"/>
      <c r="J502" s="109"/>
      <c r="K502" s="109"/>
      <c r="L502" s="109"/>
      <c r="M502" s="109"/>
      <c r="N502" s="109"/>
      <c r="O502" s="109"/>
      <c r="P502" s="16"/>
      <c r="Q502" s="16"/>
      <c r="R502" s="109"/>
      <c r="S502" s="109"/>
      <c r="T502" s="109"/>
      <c r="U502" s="109"/>
      <c r="V502" s="109"/>
      <c r="W502" s="109"/>
      <c r="X502" s="109"/>
      <c r="Y502" s="109"/>
      <c r="Z502" s="109"/>
      <c r="AA502" s="109"/>
      <c r="AB502" s="109"/>
      <c r="AC502" s="16"/>
      <c r="AD502" s="16"/>
      <c r="AE502" s="16"/>
      <c r="AF502" s="16"/>
      <c r="AG502" s="16"/>
    </row>
    <row r="503" spans="1:33" x14ac:dyDescent="0.2">
      <c r="A503" s="16"/>
      <c r="B503" s="16"/>
      <c r="C503" s="16"/>
      <c r="D503" s="16"/>
      <c r="E503" s="16"/>
      <c r="F503" s="109"/>
      <c r="G503" s="109"/>
      <c r="H503" s="109"/>
      <c r="I503" s="109"/>
      <c r="J503" s="109"/>
      <c r="K503" s="109"/>
      <c r="L503" s="109"/>
      <c r="M503" s="109"/>
      <c r="N503" s="109"/>
      <c r="O503" s="109"/>
      <c r="P503" s="16"/>
      <c r="Q503" s="16"/>
      <c r="R503" s="109"/>
      <c r="S503" s="109"/>
      <c r="T503" s="109"/>
      <c r="U503" s="109"/>
      <c r="V503" s="109"/>
      <c r="W503" s="109"/>
      <c r="X503" s="109"/>
      <c r="Y503" s="109"/>
      <c r="Z503" s="109"/>
      <c r="AA503" s="109"/>
      <c r="AB503" s="109"/>
      <c r="AC503" s="16"/>
      <c r="AD503" s="16"/>
      <c r="AE503" s="16"/>
      <c r="AF503" s="16"/>
      <c r="AG503" s="16"/>
    </row>
    <row r="504" spans="1:33" x14ac:dyDescent="0.2">
      <c r="A504" s="16"/>
      <c r="B504" s="16"/>
      <c r="C504" s="16"/>
      <c r="D504" s="16"/>
      <c r="E504" s="16"/>
      <c r="F504" s="109"/>
      <c r="G504" s="109"/>
      <c r="H504" s="109"/>
      <c r="I504" s="109"/>
      <c r="J504" s="109"/>
      <c r="K504" s="109"/>
      <c r="L504" s="109"/>
      <c r="M504" s="109"/>
      <c r="N504" s="109"/>
      <c r="O504" s="109"/>
      <c r="P504" s="16"/>
      <c r="Q504" s="16"/>
      <c r="R504" s="109"/>
      <c r="S504" s="109"/>
      <c r="T504" s="109"/>
      <c r="U504" s="109"/>
      <c r="V504" s="109"/>
      <c r="W504" s="109"/>
      <c r="X504" s="109"/>
      <c r="Y504" s="109"/>
      <c r="Z504" s="109"/>
      <c r="AA504" s="109"/>
      <c r="AB504" s="109"/>
      <c r="AC504" s="16"/>
      <c r="AD504" s="16"/>
      <c r="AE504" s="16"/>
      <c r="AF504" s="16"/>
      <c r="AG504" s="16"/>
    </row>
    <row r="505" spans="1:33" x14ac:dyDescent="0.2">
      <c r="A505" s="16"/>
      <c r="B505" s="16"/>
      <c r="C505" s="16"/>
      <c r="D505" s="16"/>
      <c r="E505" s="16"/>
      <c r="F505" s="109"/>
      <c r="G505" s="109"/>
      <c r="H505" s="109"/>
      <c r="I505" s="109"/>
      <c r="J505" s="109"/>
      <c r="K505" s="109"/>
      <c r="L505" s="109"/>
      <c r="M505" s="109"/>
      <c r="N505" s="109"/>
      <c r="O505" s="109"/>
      <c r="P505" s="16"/>
      <c r="Q505" s="16"/>
      <c r="R505" s="109"/>
      <c r="S505" s="109"/>
      <c r="T505" s="109"/>
      <c r="U505" s="109"/>
      <c r="V505" s="109"/>
      <c r="W505" s="109"/>
      <c r="X505" s="109"/>
      <c r="Y505" s="109"/>
      <c r="Z505" s="109"/>
      <c r="AA505" s="109"/>
      <c r="AB505" s="109"/>
      <c r="AC505" s="16"/>
      <c r="AD505" s="16"/>
      <c r="AE505" s="16"/>
      <c r="AF505" s="16"/>
      <c r="AG505" s="16"/>
    </row>
    <row r="506" spans="1:33" x14ac:dyDescent="0.2">
      <c r="A506" s="16"/>
      <c r="B506" s="16"/>
      <c r="C506" s="16"/>
      <c r="D506" s="16"/>
      <c r="E506" s="16"/>
      <c r="F506" s="109"/>
      <c r="G506" s="109"/>
      <c r="H506" s="109"/>
      <c r="I506" s="109"/>
      <c r="J506" s="109"/>
      <c r="K506" s="109"/>
      <c r="L506" s="109"/>
      <c r="M506" s="109"/>
      <c r="N506" s="109"/>
      <c r="O506" s="109"/>
      <c r="P506" s="16"/>
      <c r="Q506" s="16"/>
      <c r="R506" s="109"/>
      <c r="S506" s="109"/>
      <c r="T506" s="109"/>
      <c r="U506" s="109"/>
      <c r="V506" s="109"/>
      <c r="W506" s="109"/>
      <c r="X506" s="109"/>
      <c r="Y506" s="109"/>
      <c r="Z506" s="109"/>
      <c r="AA506" s="109"/>
      <c r="AB506" s="109"/>
      <c r="AC506" s="16"/>
      <c r="AD506" s="16"/>
      <c r="AE506" s="16"/>
      <c r="AF506" s="16"/>
      <c r="AG506" s="16"/>
    </row>
    <row r="507" spans="1:33" x14ac:dyDescent="0.2">
      <c r="A507" s="16"/>
      <c r="B507" s="16"/>
      <c r="C507" s="16"/>
      <c r="D507" s="16"/>
      <c r="E507" s="16"/>
      <c r="F507" s="109"/>
      <c r="G507" s="109"/>
      <c r="H507" s="109"/>
      <c r="I507" s="109"/>
      <c r="J507" s="109"/>
      <c r="K507" s="109"/>
      <c r="L507" s="109"/>
      <c r="M507" s="109"/>
      <c r="N507" s="109"/>
      <c r="O507" s="109"/>
      <c r="P507" s="16"/>
      <c r="Q507" s="16"/>
      <c r="R507" s="109"/>
      <c r="S507" s="109"/>
      <c r="T507" s="109"/>
      <c r="U507" s="109"/>
      <c r="V507" s="109"/>
      <c r="W507" s="109"/>
      <c r="X507" s="109"/>
      <c r="Y507" s="109"/>
      <c r="Z507" s="109"/>
      <c r="AA507" s="109"/>
      <c r="AB507" s="109"/>
      <c r="AC507" s="16"/>
      <c r="AD507" s="16"/>
      <c r="AE507" s="16"/>
      <c r="AF507" s="16"/>
      <c r="AG507" s="16"/>
    </row>
    <row r="508" spans="1:33" x14ac:dyDescent="0.2">
      <c r="A508" s="16"/>
      <c r="B508" s="16"/>
      <c r="C508" s="16"/>
      <c r="D508" s="16"/>
      <c r="E508" s="16"/>
      <c r="F508" s="109"/>
      <c r="G508" s="109"/>
      <c r="H508" s="109"/>
      <c r="I508" s="109"/>
      <c r="J508" s="109"/>
      <c r="K508" s="109"/>
      <c r="L508" s="109"/>
      <c r="M508" s="109"/>
      <c r="N508" s="109"/>
      <c r="O508" s="109"/>
      <c r="P508" s="16"/>
      <c r="Q508" s="16"/>
      <c r="R508" s="109"/>
      <c r="S508" s="109"/>
      <c r="T508" s="109"/>
      <c r="U508" s="109"/>
      <c r="V508" s="109"/>
      <c r="W508" s="109"/>
      <c r="X508" s="109"/>
      <c r="Y508" s="109"/>
      <c r="Z508" s="109"/>
      <c r="AA508" s="109"/>
      <c r="AB508" s="109"/>
      <c r="AC508" s="16"/>
      <c r="AD508" s="16"/>
      <c r="AE508" s="16"/>
      <c r="AF508" s="16"/>
      <c r="AG508" s="16"/>
    </row>
    <row r="509" spans="1:33" x14ac:dyDescent="0.2">
      <c r="A509" s="16"/>
      <c r="B509" s="16"/>
      <c r="C509" s="16"/>
      <c r="D509" s="16"/>
      <c r="E509" s="16"/>
      <c r="F509" s="109"/>
      <c r="G509" s="109"/>
      <c r="H509" s="109"/>
      <c r="I509" s="109"/>
      <c r="J509" s="109"/>
      <c r="K509" s="109"/>
      <c r="L509" s="109"/>
      <c r="M509" s="109"/>
      <c r="N509" s="109"/>
      <c r="O509" s="109"/>
      <c r="P509" s="16"/>
      <c r="Q509" s="16"/>
      <c r="R509" s="109"/>
      <c r="S509" s="109"/>
      <c r="T509" s="109"/>
      <c r="U509" s="109"/>
      <c r="V509" s="109"/>
      <c r="W509" s="109"/>
      <c r="X509" s="109"/>
      <c r="Y509" s="109"/>
      <c r="Z509" s="109"/>
      <c r="AA509" s="109"/>
      <c r="AB509" s="109"/>
      <c r="AC509" s="16"/>
      <c r="AD509" s="16"/>
      <c r="AE509" s="16"/>
      <c r="AF509" s="16"/>
      <c r="AG509" s="16"/>
    </row>
    <row r="510" spans="1:33" x14ac:dyDescent="0.2">
      <c r="A510" s="16"/>
      <c r="B510" s="16"/>
      <c r="C510" s="16"/>
      <c r="D510" s="16"/>
      <c r="E510" s="16"/>
      <c r="F510" s="109"/>
      <c r="G510" s="109"/>
      <c r="H510" s="109"/>
      <c r="I510" s="109"/>
      <c r="J510" s="109"/>
      <c r="K510" s="109"/>
      <c r="L510" s="109"/>
      <c r="M510" s="109"/>
      <c r="N510" s="109"/>
      <c r="O510" s="109"/>
      <c r="P510" s="16"/>
      <c r="Q510" s="16"/>
      <c r="R510" s="109"/>
      <c r="S510" s="109"/>
      <c r="T510" s="109"/>
      <c r="U510" s="109"/>
      <c r="V510" s="109"/>
      <c r="W510" s="109"/>
      <c r="X510" s="109"/>
      <c r="Y510" s="109"/>
      <c r="Z510" s="109"/>
      <c r="AA510" s="109"/>
      <c r="AB510" s="109"/>
      <c r="AC510" s="16"/>
      <c r="AD510" s="16"/>
      <c r="AE510" s="16"/>
      <c r="AF510" s="16"/>
      <c r="AG510" s="16"/>
    </row>
    <row r="511" spans="1:33" x14ac:dyDescent="0.2">
      <c r="A511" s="16"/>
      <c r="B511" s="16"/>
      <c r="C511" s="16"/>
      <c r="D511" s="16"/>
      <c r="E511" s="16"/>
      <c r="F511" s="109"/>
      <c r="G511" s="109"/>
      <c r="H511" s="109"/>
      <c r="I511" s="109"/>
      <c r="J511" s="109"/>
      <c r="K511" s="109"/>
      <c r="L511" s="109"/>
      <c r="M511" s="109"/>
      <c r="N511" s="109"/>
      <c r="O511" s="109"/>
      <c r="P511" s="16"/>
      <c r="Q511" s="16"/>
      <c r="R511" s="109"/>
      <c r="S511" s="109"/>
      <c r="T511" s="109"/>
      <c r="U511" s="109"/>
      <c r="V511" s="109"/>
      <c r="W511" s="109"/>
      <c r="X511" s="109"/>
      <c r="Y511" s="109"/>
      <c r="Z511" s="109"/>
      <c r="AA511" s="109"/>
      <c r="AB511" s="109"/>
      <c r="AC511" s="16"/>
      <c r="AD511" s="16"/>
      <c r="AE511" s="16"/>
      <c r="AF511" s="16"/>
      <c r="AG511" s="16"/>
    </row>
    <row r="512" spans="1:33" x14ac:dyDescent="0.2">
      <c r="A512" s="16"/>
      <c r="B512" s="16"/>
      <c r="C512" s="16"/>
      <c r="D512" s="16"/>
      <c r="E512" s="16"/>
      <c r="F512" s="109"/>
      <c r="G512" s="109"/>
      <c r="H512" s="109"/>
      <c r="I512" s="109"/>
      <c r="J512" s="109"/>
      <c r="K512" s="109"/>
      <c r="L512" s="109"/>
      <c r="M512" s="109"/>
      <c r="N512" s="109"/>
      <c r="O512" s="109"/>
      <c r="P512" s="16"/>
      <c r="Q512" s="16"/>
      <c r="R512" s="109"/>
      <c r="S512" s="109"/>
      <c r="T512" s="109"/>
      <c r="U512" s="109"/>
      <c r="V512" s="109"/>
      <c r="W512" s="109"/>
      <c r="X512" s="109"/>
      <c r="Y512" s="109"/>
      <c r="Z512" s="109"/>
      <c r="AA512" s="109"/>
      <c r="AB512" s="109"/>
      <c r="AC512" s="16"/>
      <c r="AD512" s="16"/>
      <c r="AE512" s="16"/>
      <c r="AF512" s="16"/>
      <c r="AG512" s="16"/>
    </row>
  </sheetData>
  <sheetProtection algorithmName="SHA-512" hashValue="CyPzyMcH9rqhgV2kxMaMr982E7yQ4eLHweo3SXOywRtwpI3y/h8LMwd1HMC34SCUkEsfbjK8CnTKSRUcDqpnuA==" saltValue="wfBDFnJnBgblmrJplSjM/w==" spinCount="100000" sheet="1" objects="1" scenarios="1"/>
  <protectedRanges>
    <protectedRange sqref="L6:L31" name="ePMP Addl Years"/>
    <protectedRange sqref="D6:D31" name="ePMP Qty"/>
  </protectedRanges>
  <phoneticPr fontId="21" type="noConversion"/>
  <conditionalFormatting sqref="F32:G35">
    <cfRule type="expression" dxfId="139" priority="416">
      <formula>CCAdv_Upgrade="Yes"</formula>
    </cfRule>
  </conditionalFormatting>
  <conditionalFormatting sqref="H32:H34">
    <cfRule type="expression" dxfId="138" priority="63">
      <formula>SUM($D$13:$D$23)=0</formula>
    </cfRule>
  </conditionalFormatting>
  <conditionalFormatting sqref="D6:M9">
    <cfRule type="expression" dxfId="137" priority="31" stopIfTrue="1">
      <formula>_Dev="Ent"</formula>
    </cfRule>
  </conditionalFormatting>
  <conditionalFormatting sqref="F6:H9">
    <cfRule type="expression" dxfId="136" priority="37" stopIfTrue="1">
      <formula>_Dev="FWB"</formula>
    </cfRule>
  </conditionalFormatting>
  <conditionalFormatting sqref="F11:H12">
    <cfRule type="expression" dxfId="135" priority="46">
      <formula>_Dev="FWB"</formula>
    </cfRule>
  </conditionalFormatting>
  <conditionalFormatting sqref="F14:H20">
    <cfRule type="expression" dxfId="134" priority="45" stopIfTrue="1">
      <formula>_Dev="FWB"</formula>
    </cfRule>
  </conditionalFormatting>
  <conditionalFormatting sqref="F22:H24">
    <cfRule type="expression" dxfId="133" priority="44" stopIfTrue="1">
      <formula>_Dev="FWB"</formula>
    </cfRule>
  </conditionalFormatting>
  <conditionalFormatting sqref="F26:H31">
    <cfRule type="expression" dxfId="132" priority="43" stopIfTrue="1">
      <formula>_Dev="FWB"</formula>
    </cfRule>
  </conditionalFormatting>
  <conditionalFormatting sqref="H6:J9">
    <cfRule type="expression" dxfId="131" priority="47" stopIfTrue="1">
      <formula>Service="cnMaestro X"</formula>
    </cfRule>
  </conditionalFormatting>
  <conditionalFormatting sqref="H11:J12">
    <cfRule type="expression" dxfId="130" priority="41" stopIfTrue="1">
      <formula>Service="cnMaestro X"</formula>
    </cfRule>
  </conditionalFormatting>
  <conditionalFormatting sqref="H14:J20">
    <cfRule type="expression" dxfId="129" priority="40" stopIfTrue="1">
      <formula>Service="cnMaestro X"</formula>
    </cfRule>
  </conditionalFormatting>
  <conditionalFormatting sqref="H22:J24">
    <cfRule type="expression" dxfId="128" priority="39" stopIfTrue="1">
      <formula>Service="cnMaestro X"</formula>
    </cfRule>
  </conditionalFormatting>
  <conditionalFormatting sqref="H26:J31">
    <cfRule type="expression" dxfId="127" priority="38" stopIfTrue="1">
      <formula>Service="cnMaestro X"</formula>
    </cfRule>
  </conditionalFormatting>
  <conditionalFormatting sqref="L6:M9">
    <cfRule type="expression" dxfId="126" priority="42" stopIfTrue="1">
      <formula>FWB_CCPrime</formula>
    </cfRule>
  </conditionalFormatting>
  <conditionalFormatting sqref="L11:M12">
    <cfRule type="expression" dxfId="125" priority="36" stopIfTrue="1">
      <formula>FWB_CCPrime</formula>
    </cfRule>
  </conditionalFormatting>
  <conditionalFormatting sqref="L14:M20">
    <cfRule type="expression" dxfId="124" priority="26" stopIfTrue="1">
      <formula>FWB_CCPrime</formula>
    </cfRule>
  </conditionalFormatting>
  <conditionalFormatting sqref="L6:L9">
    <cfRule type="cellIs" dxfId="123" priority="52" operator="equal">
      <formula>"Choose"</formula>
    </cfRule>
  </conditionalFormatting>
  <conditionalFormatting sqref="L11:L12">
    <cfRule type="cellIs" dxfId="122" priority="51" operator="equal">
      <formula>"Choose"</formula>
    </cfRule>
  </conditionalFormatting>
  <conditionalFormatting sqref="L14:L20">
    <cfRule type="cellIs" dxfId="121" priority="50" operator="equal">
      <formula>"Choose"</formula>
    </cfRule>
  </conditionalFormatting>
  <conditionalFormatting sqref="L22:M24">
    <cfRule type="expression" dxfId="120" priority="19" stopIfTrue="1">
      <formula>FWB_CCPrime</formula>
    </cfRule>
  </conditionalFormatting>
  <conditionalFormatting sqref="L22:L24">
    <cfRule type="cellIs" dxfId="119" priority="49" operator="equal">
      <formula>"Choose"</formula>
    </cfRule>
  </conditionalFormatting>
  <conditionalFormatting sqref="L26:M31">
    <cfRule type="expression" dxfId="118" priority="15" stopIfTrue="1">
      <formula>FWB_CCPrime</formula>
    </cfRule>
  </conditionalFormatting>
  <conditionalFormatting sqref="L26:L31">
    <cfRule type="cellIs" dxfId="117" priority="48" operator="equal">
      <formula>"Choose"</formula>
    </cfRule>
  </conditionalFormatting>
  <conditionalFormatting sqref="D11:M12">
    <cfRule type="expression" dxfId="116" priority="14" stopIfTrue="1">
      <formula>_Dev="Ent"</formula>
    </cfRule>
  </conditionalFormatting>
  <conditionalFormatting sqref="D14:M20">
    <cfRule type="expression" dxfId="115" priority="13" stopIfTrue="1">
      <formula>_Dev="Ent"</formula>
    </cfRule>
  </conditionalFormatting>
  <conditionalFormatting sqref="D22:M24">
    <cfRule type="expression" dxfId="114" priority="12" stopIfTrue="1">
      <formula>_Dev="Ent"</formula>
    </cfRule>
  </conditionalFormatting>
  <conditionalFormatting sqref="D26:M31">
    <cfRule type="expression" dxfId="113" priority="11" stopIfTrue="1">
      <formula>_Dev="Ent"</formula>
    </cfRule>
  </conditionalFormatting>
  <conditionalFormatting sqref="N1:AD42">
    <cfRule type="expression" dxfId="112" priority="10">
      <formula>Hide_Calc="Yes"</formula>
    </cfRule>
  </conditionalFormatting>
  <conditionalFormatting sqref="C36:F40">
    <cfRule type="expression" dxfId="111" priority="9">
      <formula>Hide_Calc="Yes"</formula>
    </cfRule>
  </conditionalFormatting>
  <conditionalFormatting sqref="F3">
    <cfRule type="containsText" dxfId="110" priority="8" operator="containsText" text="Go to">
      <formula>NOT(ISERROR(SEARCH("Go to",F3)))</formula>
    </cfRule>
  </conditionalFormatting>
  <conditionalFormatting sqref="G3:I3">
    <cfRule type="expression" dxfId="109" priority="7">
      <formula>$F$3="Go to the START HERE worksheet and make the required choices"</formula>
    </cfRule>
  </conditionalFormatting>
  <conditionalFormatting sqref="K32:L32">
    <cfRule type="expression" dxfId="108" priority="6">
      <formula>Hide_Calc="Yes"</formula>
    </cfRule>
  </conditionalFormatting>
  <conditionalFormatting sqref="D6:D9">
    <cfRule type="cellIs" dxfId="107" priority="5" operator="greaterThan">
      <formula>0</formula>
    </cfRule>
  </conditionalFormatting>
  <conditionalFormatting sqref="D11:D12">
    <cfRule type="cellIs" dxfId="106" priority="4" operator="greaterThan">
      <formula>0</formula>
    </cfRule>
  </conditionalFormatting>
  <conditionalFormatting sqref="D14:D20">
    <cfRule type="cellIs" dxfId="105" priority="3" operator="greaterThan">
      <formula>0</formula>
    </cfRule>
  </conditionalFormatting>
  <conditionalFormatting sqref="D22:D24">
    <cfRule type="cellIs" dxfId="104" priority="2" operator="greaterThan">
      <formula>0</formula>
    </cfRule>
  </conditionalFormatting>
  <conditionalFormatting sqref="D26:D31">
    <cfRule type="cellIs" dxfId="103" priority="1" operator="greaterThan">
      <formula>0</formula>
    </cfRule>
  </conditionalFormatting>
  <dataValidations count="1">
    <dataValidation type="list" allowBlank="1" showInputMessage="1" sqref="L6:L9 L22:L24 L11:L12 L14:L20 L26:L31" xr:uid="{6ABA635D-E3CE-4B64-BBFE-7C4BEC1E1180}">
      <formula1>IF(NOT(Start_Here_Complete),_Y0,IF(AND(EW,U6=2),_Y2EW,IF(AND(EW,U6=4),_Y4AR,IF(AND(EW,U6="N/A"),_NA,IF(AND(AR,V6=2),_Y2AR,IF(AND(AR,V6=4),_Y4AR,IF(AND(AR,V6="N/A"),_NA,_NA)))))))</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8046-6777-4104-979A-4AEF647EF748}">
  <sheetPr>
    <tabColor theme="4" tint="0.79998168889431442"/>
  </sheetPr>
  <dimension ref="A1:AE505"/>
  <sheetViews>
    <sheetView zoomScaleNormal="100" workbookViewId="0">
      <pane ySplit="5" topLeftCell="A6" activePane="bottomLeft" state="frozen"/>
      <selection pane="bottomLeft" activeCell="C11" sqref="C11"/>
    </sheetView>
  </sheetViews>
  <sheetFormatPr baseColWidth="10" defaultColWidth="8.83203125" defaultRowHeight="15" x14ac:dyDescent="0.2"/>
  <cols>
    <col min="1" max="2" width="1.83203125" customWidth="1"/>
    <col min="3" max="3" width="33.1640625" customWidth="1"/>
    <col min="4" max="5" width="11.6640625" customWidth="1"/>
    <col min="6" max="6" width="12.6640625" style="7" customWidth="1"/>
    <col min="7" max="7" width="10.6640625" style="7" customWidth="1"/>
    <col min="8" max="8" width="12.6640625" style="7" customWidth="1"/>
    <col min="9" max="9" width="18.6640625" style="7" customWidth="1"/>
    <col min="10" max="10" width="13.1640625" style="7" customWidth="1"/>
    <col min="11" max="11" width="18.6640625" style="7" customWidth="1"/>
    <col min="12" max="12" width="13.6640625" style="7" customWidth="1"/>
    <col min="13" max="14" width="10.6640625" style="7" customWidth="1"/>
    <col min="15" max="30" width="10.6640625" customWidth="1"/>
  </cols>
  <sheetData>
    <row r="1" spans="1:30" ht="14.5" customHeight="1" x14ac:dyDescent="0.2">
      <c r="A1" s="16"/>
      <c r="B1" s="16"/>
      <c r="C1" s="16"/>
      <c r="D1" s="16"/>
      <c r="E1" s="16"/>
      <c r="F1" s="109"/>
      <c r="G1" s="109"/>
      <c r="H1" s="109"/>
      <c r="I1" s="109"/>
      <c r="J1" s="109"/>
      <c r="K1" s="109"/>
      <c r="L1" s="210"/>
      <c r="M1" s="109"/>
      <c r="N1" s="109"/>
      <c r="O1" s="16"/>
      <c r="P1" s="16"/>
      <c r="Q1" s="16"/>
      <c r="R1" s="16"/>
      <c r="S1" s="16"/>
      <c r="T1" s="16"/>
      <c r="U1" s="16"/>
      <c r="V1" s="16"/>
      <c r="W1" s="16"/>
      <c r="X1" s="16"/>
      <c r="Y1" s="16"/>
      <c r="Z1" s="16"/>
      <c r="AA1" s="16"/>
      <c r="AB1" s="16"/>
      <c r="AC1" s="16"/>
      <c r="AD1" s="16"/>
    </row>
    <row r="2" spans="1:30" ht="24" customHeight="1" x14ac:dyDescent="0.3">
      <c r="A2" s="16"/>
      <c r="B2" s="32" t="s">
        <v>6386</v>
      </c>
      <c r="C2" s="23"/>
      <c r="D2" s="23"/>
      <c r="E2" s="23"/>
      <c r="F2" s="23"/>
      <c r="G2" s="23"/>
      <c r="H2" s="23"/>
      <c r="I2" s="23"/>
      <c r="J2" s="23"/>
      <c r="K2" s="23"/>
      <c r="L2" s="23"/>
      <c r="M2" s="23"/>
      <c r="N2" s="109" t="s">
        <v>6266</v>
      </c>
      <c r="O2" s="16"/>
      <c r="P2" s="16"/>
      <c r="Q2" s="16"/>
      <c r="R2" s="16"/>
      <c r="S2" s="16"/>
      <c r="T2" s="16"/>
      <c r="U2" s="16"/>
      <c r="V2" s="16"/>
      <c r="W2" s="16"/>
      <c r="X2" s="16"/>
      <c r="Y2" s="16"/>
      <c r="Z2" s="16"/>
      <c r="AA2" s="16"/>
      <c r="AB2" s="16"/>
      <c r="AC2" s="16"/>
      <c r="AD2" s="16"/>
    </row>
    <row r="3" spans="1:30" ht="18" customHeight="1" thickBot="1" x14ac:dyDescent="0.25">
      <c r="A3" s="16"/>
      <c r="B3" s="16"/>
      <c r="C3" s="16"/>
      <c r="D3" s="16"/>
      <c r="E3" s="16"/>
      <c r="F3" s="220" t="str">
        <f>IF(NOT(Start_Here_Complete),"Go to the START HERE worksheet and make the required choices"," ")</f>
        <v>Go to the START HERE worksheet and make the required choices</v>
      </c>
      <c r="G3" s="109"/>
      <c r="H3" s="109"/>
      <c r="I3" s="109"/>
      <c r="J3" s="109"/>
      <c r="K3" s="109"/>
      <c r="L3" s="109"/>
      <c r="M3" s="210"/>
      <c r="N3" s="210" t="str">
        <f>Scenario</f>
        <v>Selections are incomplete</v>
      </c>
      <c r="O3" s="16"/>
      <c r="P3" s="16"/>
      <c r="Q3" s="16"/>
      <c r="R3" s="16"/>
      <c r="S3" s="16"/>
      <c r="T3" s="16"/>
      <c r="U3" s="16"/>
      <c r="V3" s="16"/>
      <c r="W3" s="16"/>
      <c r="X3" s="16"/>
      <c r="Y3" s="16"/>
      <c r="Z3" s="16"/>
      <c r="AA3" s="16"/>
      <c r="AB3" s="16"/>
      <c r="AC3" s="16"/>
      <c r="AD3" s="16"/>
    </row>
    <row r="4" spans="1:30" ht="30" customHeight="1" thickBot="1" x14ac:dyDescent="0.25">
      <c r="A4" s="16"/>
      <c r="B4" s="33"/>
      <c r="C4" s="111" t="s">
        <v>1137</v>
      </c>
      <c r="D4" s="112" t="s">
        <v>3</v>
      </c>
      <c r="E4" s="113" t="s">
        <v>6239</v>
      </c>
      <c r="F4" s="113" t="s">
        <v>6271</v>
      </c>
      <c r="G4" s="113" t="s">
        <v>5909</v>
      </c>
      <c r="H4" s="113" t="s">
        <v>5907</v>
      </c>
      <c r="I4" s="113" t="str">
        <f>IF(AND(Service="Standalone Support",Device_Type="Fixed Wireless Broadband"),"Cambium Care Program/Service Cat",
"Cambium Care Program")</f>
        <v>Cambium Care Program</v>
      </c>
      <c r="J4" s="113" t="s">
        <v>6270</v>
      </c>
      <c r="K4" s="113" t="s">
        <v>6380</v>
      </c>
      <c r="L4" s="113" t="s">
        <v>5906</v>
      </c>
      <c r="M4" s="116" t="s">
        <v>6261</v>
      </c>
      <c r="N4" s="538" t="s">
        <v>6420</v>
      </c>
      <c r="O4" s="539"/>
      <c r="P4" s="539"/>
      <c r="Q4" s="539"/>
      <c r="R4" s="539"/>
      <c r="S4" s="539"/>
      <c r="T4" s="173"/>
      <c r="U4" s="173"/>
      <c r="V4" s="173"/>
      <c r="W4" s="173"/>
      <c r="X4" s="173"/>
      <c r="Y4" s="173"/>
      <c r="Z4" s="173"/>
      <c r="AA4" s="173"/>
      <c r="AB4" s="16"/>
      <c r="AC4" s="16"/>
      <c r="AD4" s="16"/>
    </row>
    <row r="5" spans="1:30" ht="16" thickBot="1" x14ac:dyDescent="0.25">
      <c r="A5" s="16"/>
      <c r="B5" s="36"/>
      <c r="C5" s="91" t="s">
        <v>7064</v>
      </c>
      <c r="D5" s="92"/>
      <c r="E5" s="92"/>
      <c r="F5" s="92"/>
      <c r="G5" s="92"/>
      <c r="H5" s="92"/>
      <c r="I5" s="92"/>
      <c r="J5" s="92"/>
      <c r="K5" s="92"/>
      <c r="L5" s="92"/>
      <c r="M5" s="106"/>
      <c r="N5" s="152" t="s">
        <v>6268</v>
      </c>
      <c r="O5" s="152" t="s">
        <v>6403</v>
      </c>
      <c r="P5" s="129" t="s">
        <v>6390</v>
      </c>
      <c r="Q5" s="129" t="s">
        <v>5972</v>
      </c>
      <c r="R5" s="129" t="s">
        <v>5973</v>
      </c>
      <c r="S5" s="131"/>
      <c r="T5" s="131"/>
      <c r="U5" s="172"/>
      <c r="V5" s="131"/>
      <c r="W5" s="131"/>
      <c r="X5" s="131"/>
      <c r="Y5" s="131"/>
      <c r="Z5" s="131"/>
      <c r="AA5" s="16"/>
      <c r="AB5" s="16"/>
      <c r="AC5" s="16"/>
      <c r="AD5" s="16"/>
    </row>
    <row r="6" spans="1:30" ht="16" thickBot="1" x14ac:dyDescent="0.25">
      <c r="A6" s="16"/>
      <c r="B6" s="40"/>
      <c r="C6" s="393" t="s">
        <v>7062</v>
      </c>
      <c r="D6" s="56">
        <v>0</v>
      </c>
      <c r="E6" s="135" t="s">
        <v>70</v>
      </c>
      <c r="F6" s="224" t="str">
        <f>IF(NOT(Start_Here_Complete)," ",
IF(D6=0," ",
IF(AND(Service="cnMaestro X",P6&lt;&gt;"N/A"),P6,
IF(AND(Service="cnMaestro X",P6="N/A"),"Not Available",
" "))))</f>
        <v xml:space="preserve"> </v>
      </c>
      <c r="G6" s="114" t="str">
        <f>IF(NOT(Start_Here_Complete)," ",
IF(D6=0," ",
IF(AND(Service="cnMaestro X",P6&lt;&gt;"N/A",P6&lt;&gt;"Free Tier"),cnMX_Term,
IF(AND(Service="cnMaestro X",P6="Free Tier")," ",
IF(AND(Service="cnMaestro X",P6="N/A")," ",
" ")))))</f>
        <v xml:space="preserve"> </v>
      </c>
      <c r="H6" s="214" t="str">
        <f>IF(NOT(Start_Here_Complete)," ",
IF(D6=0," ",
IF(CCAdv_Upgrade="Yes","Yes",
IF(CCAdv_Upgrade="Decline CC Advanced","Declined",
" "))))</f>
        <v xml:space="preserve"> </v>
      </c>
      <c r="I6" s="151" t="str">
        <f>IF(NOT(Start_Here_Complete)," ",
IF(D6=0," ",
IF(Ent_CCPro,"CC Pro",
IF(Ent_CCAdv,"CC Advanced",
IF(Ent_NoCC,"CC Declined",
" ")))))</f>
        <v xml:space="preserve"> </v>
      </c>
      <c r="J6" s="114" t="str">
        <f>IF(NOT(Start_Here_Complete)," ",
IF(D6=0," ",
IF(OR(Ent_CCPro,Ent_CCAdv),CC_Term,
IF(Ent_NoCC," ",
" "))))</f>
        <v xml:space="preserve"> </v>
      </c>
      <c r="K6" s="114" t="str">
        <f>IF(NOT(Start_Here_Complete)," ",
IF(D6=0," ",
IF(AND(EW,Q6&lt;&gt;"N/A"),"Extended Warranty",
IF(AND(EW,Q6="N/A"),"Ext Wty not available",
IF(AND(AR,R6&lt;&gt;"N/A"),"All Risks Adv Replace",
IF(AND(AR,R6="N/A"),"ARAR not available",
IF(NoHW,"HW Support Declined",
IF(AND(FWB_CCPrime,T6="Prime Go"),"ARAR included",
IF(Ent_CCAdv,"Includes Adv Repl",
"X")))))))))</f>
        <v xml:space="preserve"> </v>
      </c>
      <c r="L6" s="213" t="str">
        <f>N6</f>
        <v xml:space="preserve"> </v>
      </c>
      <c r="M6" s="212" t="str">
        <f>IF(NOT(Start_Here_Complete)," ",
IF(D6=0," ",
IF(OR(FWB_CCPrime,Ent_CCAdv)," ",
"5 years")))</f>
        <v xml:space="preserve"> </v>
      </c>
      <c r="N6" s="171" t="str">
        <f>IF(D6=0," ",
IF(AND(EW,Q6&lt;&gt;"N/A"),"Choose",
IF(AND(AR,R6&lt;&gt;"N/A"),"Choose",
" ")))</f>
        <v xml:space="preserve"> </v>
      </c>
      <c r="O6" s="128">
        <f>IF(AND(D6=0,L6=" "),0,1)</f>
        <v>0</v>
      </c>
      <c r="P6" s="192" t="s">
        <v>6244</v>
      </c>
      <c r="Q6" s="128" t="s">
        <v>1226</v>
      </c>
      <c r="R6" s="128" t="s">
        <v>1226</v>
      </c>
      <c r="S6" s="173"/>
      <c r="T6" s="173"/>
      <c r="U6" s="173"/>
      <c r="V6" s="173"/>
      <c r="W6" s="173"/>
      <c r="X6" s="173"/>
      <c r="Y6" s="173"/>
      <c r="Z6" s="173"/>
      <c r="AA6" s="16"/>
      <c r="AB6" s="16"/>
      <c r="AC6" s="16"/>
      <c r="AD6" s="16"/>
    </row>
    <row r="7" spans="1:30" ht="16" thickBot="1" x14ac:dyDescent="0.25">
      <c r="A7" s="16"/>
      <c r="B7" s="36"/>
      <c r="C7" s="394" t="s">
        <v>7063</v>
      </c>
      <c r="D7" s="56">
        <v>0</v>
      </c>
      <c r="E7" s="135" t="s">
        <v>70</v>
      </c>
      <c r="F7" s="224" t="str">
        <f>IF(NOT(Start_Here_Complete)," ",
IF(D7=0," ",
IF(AND(Service="cnMaestro X",P7&lt;&gt;"N/A"),P7,
IF(AND(Service="cnMaestro X",P7="N/A"),"Not Available",
" "))))</f>
        <v xml:space="preserve"> </v>
      </c>
      <c r="G7" s="114" t="str">
        <f>IF(NOT(Start_Here_Complete)," ",
IF(D7=0," ",
IF(AND(Service="cnMaestro X",P7&lt;&gt;"N/A",P7&lt;&gt;"Free Tier"),cnMX_Term,
IF(AND(Service="cnMaestro X",P7="Free Tier")," ",
IF(AND(Service="cnMaestro X",P7="N/A")," ",
" ")))))</f>
        <v xml:space="preserve"> </v>
      </c>
      <c r="H7" s="214" t="str">
        <f>IF(NOT(Start_Here_Complete)," ",
IF(D7=0," ",
IF(CCAdv_Upgrade="Yes","Yes",
IF(CCAdv_Upgrade="Decline CC Advanced","Declined",
" "))))</f>
        <v xml:space="preserve"> </v>
      </c>
      <c r="I7" s="151" t="str">
        <f t="shared" ref="I7:I36" si="0">IF(NOT(Start_Here_Complete)," ",
IF(D7=0," ",
IF(Ent_CCPro,"CC Pro",
IF(Ent_CCAdv,"CC Advanced",
IF(Ent_NoCC,"CC Declined",
" ")))))</f>
        <v xml:space="preserve"> </v>
      </c>
      <c r="J7" s="114" t="str">
        <f>IF(NOT(Start_Here_Complete)," ",
IF(D7=0," ",
IF(OR(Ent_CCPro,Ent_CCAdv),CC_Term,
IF(Ent_NoCC," ",
" "))))</f>
        <v xml:space="preserve"> </v>
      </c>
      <c r="K7" s="114" t="str">
        <f>IF(NOT(Start_Here_Complete)," ",
IF(D7=0," ",
IF(AND(EW,Q7&lt;&gt;"N/A"),"Extended Warranty",
IF(AND(EW,Q7="N/A"),"Ext Wty not available",
IF(AND(AR,R7&lt;&gt;"N/A"),"All Risks Adv Replace",
IF(AND(AR,R7="N/A"),"ARAR not available",
IF(NoHW,"HW Support Declined",
IF(AND(FWB_CCPrime,T7="Prime Go"),"ARAR included",
IF(Ent_CCAdv,"Includes Adv Repl",
"X")))))))))</f>
        <v xml:space="preserve"> </v>
      </c>
      <c r="L7" s="213" t="str">
        <f>N7</f>
        <v xml:space="preserve"> </v>
      </c>
      <c r="M7" s="212" t="str">
        <f>IF(NOT(Start_Here_Complete)," ",
IF(D7=0," ",
IF(OR(FWB_CCPrime,Ent_CCAdv)," ",
"5 years")))</f>
        <v xml:space="preserve"> </v>
      </c>
      <c r="N7" s="171" t="str">
        <f>IF(D7=0," ",
IF(AND(EW,Q7&lt;&gt;"N/A"),"Choose",
IF(AND(AR,R7&lt;&gt;"N/A"),"Choose",
" ")))</f>
        <v xml:space="preserve"> </v>
      </c>
      <c r="O7" s="128">
        <f t="shared" ref="O7:O36" si="1">IF(AND(D7=0,L7=" "),0,1)</f>
        <v>0</v>
      </c>
      <c r="P7" s="192" t="s">
        <v>6244</v>
      </c>
      <c r="Q7" s="128" t="s">
        <v>1226</v>
      </c>
      <c r="R7" s="128" t="s">
        <v>1226</v>
      </c>
      <c r="S7" s="173"/>
      <c r="T7" s="173"/>
      <c r="U7" s="173"/>
      <c r="V7" s="173"/>
      <c r="W7" s="173"/>
      <c r="X7" s="173"/>
      <c r="Y7" s="173"/>
      <c r="Z7" s="173"/>
      <c r="AA7" s="16"/>
      <c r="AB7" s="16"/>
      <c r="AC7" s="16"/>
      <c r="AD7" s="16"/>
    </row>
    <row r="8" spans="1:30" ht="16" thickBot="1" x14ac:dyDescent="0.25">
      <c r="A8" s="16"/>
      <c r="B8" s="36"/>
      <c r="C8" s="394" t="s">
        <v>8997</v>
      </c>
      <c r="D8" s="56">
        <v>0</v>
      </c>
      <c r="E8" s="135" t="s">
        <v>70</v>
      </c>
      <c r="F8" s="224" t="str">
        <f>IF(NOT(Start_Here_Complete)," ",
IF(D8=0," ",
IF(AND(Service="cnMaestro X",P8&lt;&gt;"N/A"),P8,
IF(AND(Service="cnMaestro X",P8="N/A"),"Not Available",
" "))))</f>
        <v xml:space="preserve"> </v>
      </c>
      <c r="G8" s="114" t="str">
        <f>IF(NOT(Start_Here_Complete)," ",
IF(D8=0," ",
IF(AND(Service="cnMaestro X",P8&lt;&gt;"N/A",P8&lt;&gt;"Free Tier"),cnMX_Term,
IF(AND(Service="cnMaestro X",P8="Free Tier")," ",
IF(AND(Service="cnMaestro X",P8="N/A")," ",
" ")))))</f>
        <v xml:space="preserve"> </v>
      </c>
      <c r="H8" s="214" t="str">
        <f>IF(NOT(Start_Here_Complete)," ",
IF(D8=0," ",
IF(CCAdv_Upgrade="Yes","Yes",
IF(CCAdv_Upgrade="Decline CC Advanced","Declined",
" "))))</f>
        <v xml:space="preserve"> </v>
      </c>
      <c r="I8" s="224" t="str">
        <f t="shared" si="0"/>
        <v xml:space="preserve"> </v>
      </c>
      <c r="J8" s="114" t="str">
        <f>IF(NOT(Start_Here_Complete)," ",
IF(D8=0," ",
IF(OR(Ent_CCPro,Ent_CCAdv),CC_Term,
IF(Ent_NoCC," ",
" "))))</f>
        <v xml:space="preserve"> </v>
      </c>
      <c r="K8" s="214" t="str">
        <f>IF(NOT(Start_Here_Complete)," ",
IF(D8=0," ",
IF(AND(EW,Q8&lt;&gt;"N/A"),"Extended Warranty",
IF(AND(EW,Q8="N/A"),"Ext Wty not available",
IF(AND(AR,R8&lt;&gt;"N/A"),"All Risks Adv Replace",
IF(AND(AR,R8="N/A"),"ARAR not available",
IF(NoHW,"HW Support Declined",
IF(AND(FWB_CCPrime,T8="Prime Go"),"ARAR included",
IF(Ent_CCAdv,"Includes Adv Repl",
"X")))))))))</f>
        <v xml:space="preserve"> </v>
      </c>
      <c r="L8" s="396" t="str">
        <f t="shared" ref="L8:L9" si="2">N8</f>
        <v xml:space="preserve"> </v>
      </c>
      <c r="M8" s="214" t="str">
        <f>IF(NOT(Start_Here_Complete)," ",
IF(D8=0," ",
IF(OR(FWB_CCPrime,Ent_CCAdv)," ",
"5 years")))</f>
        <v xml:space="preserve"> </v>
      </c>
      <c r="N8" s="171" t="str">
        <f>IF(D8=0," ",
IF(AND(EW,Q8&lt;&gt;"N/A"),"Choose",
IF(AND(AR,R8&lt;&gt;"N/A"),"Choose",
" ")))</f>
        <v xml:space="preserve"> </v>
      </c>
      <c r="O8" s="128">
        <f t="shared" si="1"/>
        <v>0</v>
      </c>
      <c r="P8" s="192" t="s">
        <v>6244</v>
      </c>
      <c r="Q8" s="128" t="s">
        <v>1226</v>
      </c>
      <c r="R8" s="128" t="s">
        <v>1226</v>
      </c>
      <c r="S8" s="173"/>
      <c r="T8" s="173"/>
      <c r="U8" s="173"/>
      <c r="V8" s="173"/>
      <c r="W8" s="173"/>
      <c r="X8" s="173"/>
      <c r="Y8" s="173"/>
      <c r="Z8" s="173"/>
      <c r="AA8" s="16"/>
      <c r="AB8" s="16"/>
      <c r="AC8" s="16"/>
      <c r="AD8" s="16"/>
    </row>
    <row r="9" spans="1:30" ht="16" thickBot="1" x14ac:dyDescent="0.25">
      <c r="A9" s="16"/>
      <c r="B9" s="36"/>
      <c r="C9" s="394" t="s">
        <v>8998</v>
      </c>
      <c r="D9" s="56">
        <v>0</v>
      </c>
      <c r="E9" s="135" t="s">
        <v>70</v>
      </c>
      <c r="F9" s="224" t="str">
        <f>IF(NOT(Start_Here_Complete)," ",
IF(D9=0," ",
IF(AND(Service="cnMaestro X",P9&lt;&gt;"N/A"),P9,
IF(AND(Service="cnMaestro X",P9="N/A"),"Not Available",
" "))))</f>
        <v xml:space="preserve"> </v>
      </c>
      <c r="G9" s="114" t="str">
        <f>IF(NOT(Start_Here_Complete)," ",
IF(D9=0," ",
IF(AND(Service="cnMaestro X",P9&lt;&gt;"N/A",P9&lt;&gt;"Free Tier"),cnMX_Term,
IF(AND(Service="cnMaestro X",P9="Free Tier")," ",
IF(AND(Service="cnMaestro X",P9="N/A")," ",
" ")))))</f>
        <v xml:space="preserve"> </v>
      </c>
      <c r="H9" s="214" t="str">
        <f>IF(NOT(Start_Here_Complete)," ",
IF(D9=0," ",
IF(CCAdv_Upgrade="Yes","Yes",
IF(CCAdv_Upgrade="Decline CC Advanced","Declined",
" "))))</f>
        <v xml:space="preserve"> </v>
      </c>
      <c r="I9" s="224" t="str">
        <f t="shared" si="0"/>
        <v xml:space="preserve"> </v>
      </c>
      <c r="J9" s="114" t="str">
        <f>IF(NOT(Start_Here_Complete)," ",
IF(D9=0," ",
IF(OR(Ent_CCPro,Ent_CCAdv),CC_Term,
IF(Ent_NoCC," ",
" "))))</f>
        <v xml:space="preserve"> </v>
      </c>
      <c r="K9" s="214" t="str">
        <f>IF(NOT(Start_Here_Complete)," ",
IF(D9=0," ",
IF(AND(EW,Q9&lt;&gt;"N/A"),"Extended Warranty",
IF(AND(EW,Q9="N/A"),"Ext Wty not available",
IF(AND(AR,R9&lt;&gt;"N/A"),"All Risks Adv Replace",
IF(AND(AR,R9="N/A"),"ARAR not available",
IF(NoHW,"HW Support Declined",
IF(AND(FWB_CCPrime,T9="Prime Go"),"ARAR included",
IF(Ent_CCAdv,"Includes Adv Repl",
"X")))))))))</f>
        <v xml:space="preserve"> </v>
      </c>
      <c r="L9" s="396" t="str">
        <f t="shared" si="2"/>
        <v xml:space="preserve"> </v>
      </c>
      <c r="M9" s="214" t="str">
        <f>IF(NOT(Start_Here_Complete)," ",
IF(D9=0," ",
IF(OR(FWB_CCPrime,Ent_CCAdv)," ",
"5 years")))</f>
        <v xml:space="preserve"> </v>
      </c>
      <c r="N9" s="171" t="str">
        <f>IF(D9=0," ",
IF(AND(EW,Q9&lt;&gt;"N/A"),"Choose",
IF(AND(AR,R9&lt;&gt;"N/A"),"Choose",
" ")))</f>
        <v xml:space="preserve"> </v>
      </c>
      <c r="O9" s="128">
        <f t="shared" si="1"/>
        <v>0</v>
      </c>
      <c r="P9" s="192" t="s">
        <v>6244</v>
      </c>
      <c r="Q9" s="128" t="s">
        <v>1226</v>
      </c>
      <c r="R9" s="128" t="s">
        <v>1226</v>
      </c>
      <c r="S9" s="173"/>
      <c r="T9" s="173"/>
      <c r="U9" s="173"/>
      <c r="V9" s="173"/>
      <c r="W9" s="173"/>
      <c r="X9" s="173"/>
      <c r="Y9" s="173"/>
      <c r="Z9" s="173"/>
      <c r="AA9" s="16"/>
      <c r="AB9" s="16"/>
      <c r="AC9" s="16"/>
      <c r="AD9" s="16"/>
    </row>
    <row r="10" spans="1:30" ht="16" thickBot="1" x14ac:dyDescent="0.25">
      <c r="A10" s="16"/>
      <c r="B10" s="36"/>
      <c r="C10" s="91" t="s">
        <v>7065</v>
      </c>
      <c r="D10" s="92"/>
      <c r="E10" s="92"/>
      <c r="F10" s="92"/>
      <c r="G10" s="92"/>
      <c r="H10" s="92"/>
      <c r="I10" s="92"/>
      <c r="J10" s="92"/>
      <c r="K10" s="92"/>
      <c r="L10" s="92"/>
      <c r="M10" s="106"/>
      <c r="N10" s="171"/>
      <c r="O10" s="128"/>
      <c r="P10" s="192"/>
      <c r="Q10" s="128"/>
      <c r="R10" s="128"/>
      <c r="S10" s="173"/>
      <c r="T10" s="173"/>
      <c r="U10" s="173"/>
      <c r="V10" s="173"/>
      <c r="W10" s="173"/>
      <c r="X10" s="173"/>
      <c r="Y10" s="173"/>
      <c r="Z10" s="173"/>
      <c r="AA10" s="16"/>
      <c r="AB10" s="16"/>
      <c r="AC10" s="16"/>
      <c r="AD10" s="16"/>
    </row>
    <row r="11" spans="1:30" ht="16" thickBot="1" x14ac:dyDescent="0.25">
      <c r="A11" s="16"/>
      <c r="B11" s="36"/>
      <c r="C11" s="394" t="s">
        <v>10632</v>
      </c>
      <c r="D11" s="56">
        <v>0</v>
      </c>
      <c r="E11" s="135" t="s">
        <v>70</v>
      </c>
      <c r="F11" s="224" t="str">
        <f>IF(NOT(Start_Here_Complete)," ",
IF(D11=0," ",
IF(AND(Service="cnMaestro X",P11&lt;&gt;"N/A"),P11,
IF(AND(Service="cnMaestro X",P11="N/A"),"Not Available",
" "))))</f>
        <v xml:space="preserve"> </v>
      </c>
      <c r="G11" s="114" t="str">
        <f>IF(NOT(Start_Here_Complete)," ",
IF(D11=0," ",
IF(AND(Service="cnMaestro X",P11&lt;&gt;"N/A",P11&lt;&gt;"Free Tier"),cnMX_Term,
IF(AND(Service="cnMaestro X",P11="Free Tier")," ",
IF(AND(Service="cnMaestro X",P11="N/A")," ",
" ")))))</f>
        <v xml:space="preserve"> </v>
      </c>
      <c r="H11" s="214" t="str">
        <f>IF(NOT(Start_Here_Complete)," ",
IF(D11=0," ",
IF(CCAdv_Upgrade="Yes","Yes",
IF(CCAdv_Upgrade="Decline CC Advanced","Declined",
" "))))</f>
        <v xml:space="preserve"> </v>
      </c>
      <c r="I11" s="151" t="str">
        <f t="shared" si="0"/>
        <v xml:space="preserve"> </v>
      </c>
      <c r="J11" s="114" t="str">
        <f>IF(NOT(Start_Here_Complete)," ",
IF(D11=0," ",
IF(OR(Ent_CCPro,Ent_CCAdv),CC_Term,
IF(Ent_NoCC," ",
" "))))</f>
        <v xml:space="preserve"> </v>
      </c>
      <c r="K11" s="114" t="str">
        <f>IF(NOT(Start_Here_Complete)," ",
IF(D11=0," ",
IF(AND(EW,Q11&lt;&gt;"N/A"),"Extended Warranty",
IF(AND(EW,Q11="N/A"),"Ext Wty not available",
IF(AND(AR,R11&lt;&gt;"N/A"),"All Risks Adv Replace",
IF(AND(AR,R11="N/A"),"ARAR not available",
IF(NoHW,"HW Support Declined",
IF(AND(FWB_CCPrime,T11="Prime Go"),"ARAR included",
IF(Ent_CCAdv,"Includes Adv Repl",
"X")))))))))</f>
        <v xml:space="preserve"> </v>
      </c>
      <c r="L11" s="213" t="str">
        <f>N11</f>
        <v xml:space="preserve"> </v>
      </c>
      <c r="M11" s="214" t="str">
        <f>IF(NOT(Start_Here_Complete)," ",
IF(D11=0," ",
IF(OR(FWB_CCPrime,Ent_CCAdv)," ",
"3 years")))</f>
        <v xml:space="preserve"> </v>
      </c>
      <c r="N11" s="171" t="str">
        <f>IF(D11=0," ",
IF(AND(EW,Q11&lt;&gt;"N/A"),"Choose",
IF(AND(AR,R11&lt;&gt;"N/A"),"Choose",
" ")))</f>
        <v xml:space="preserve"> </v>
      </c>
      <c r="O11" s="128">
        <f t="shared" si="1"/>
        <v>0</v>
      </c>
      <c r="P11" s="192" t="s">
        <v>6244</v>
      </c>
      <c r="Q11" s="128" t="s">
        <v>1226</v>
      </c>
      <c r="R11" s="128" t="s">
        <v>1226</v>
      </c>
      <c r="S11" s="173"/>
      <c r="T11" s="173"/>
      <c r="U11" s="173"/>
      <c r="V11" s="173"/>
      <c r="W11" s="173"/>
      <c r="X11" s="173"/>
      <c r="Y11" s="173"/>
      <c r="Z11" s="173"/>
      <c r="AA11" s="16"/>
      <c r="AB11" s="16"/>
      <c r="AC11" s="16"/>
      <c r="AD11" s="16"/>
    </row>
    <row r="12" spans="1:30" ht="16" thickBot="1" x14ac:dyDescent="0.25">
      <c r="A12" s="16"/>
      <c r="B12" s="38"/>
      <c r="C12" s="91" t="s">
        <v>5921</v>
      </c>
      <c r="D12" s="92"/>
      <c r="E12" s="92"/>
      <c r="F12" s="92"/>
      <c r="G12" s="92"/>
      <c r="H12" s="92"/>
      <c r="I12" s="92" t="str">
        <f t="shared" si="0"/>
        <v xml:space="preserve"> </v>
      </c>
      <c r="J12" s="92"/>
      <c r="K12" s="92"/>
      <c r="L12" s="92"/>
      <c r="M12" s="106"/>
      <c r="N12" s="171"/>
      <c r="O12" s="128"/>
      <c r="P12" s="194"/>
      <c r="Q12" s="128"/>
      <c r="R12" s="128"/>
      <c r="S12" s="173"/>
      <c r="T12" s="173"/>
      <c r="U12" s="173"/>
      <c r="V12" s="173"/>
      <c r="W12" s="173"/>
      <c r="X12" s="173"/>
      <c r="Y12" s="173"/>
      <c r="Z12" s="173"/>
      <c r="AA12" s="16"/>
      <c r="AB12" s="16"/>
      <c r="AC12" s="16"/>
      <c r="AD12" s="16"/>
    </row>
    <row r="13" spans="1:30" ht="16" thickBot="1" x14ac:dyDescent="0.25">
      <c r="A13" s="16"/>
      <c r="B13" s="38"/>
      <c r="C13" s="16" t="s">
        <v>5923</v>
      </c>
      <c r="D13" s="6">
        <v>0</v>
      </c>
      <c r="E13" s="135" t="s">
        <v>70</v>
      </c>
      <c r="F13" s="224" t="str">
        <f>IF(NOT(Start_Here_Complete)," ",
IF(D13=0," ",
IF(AND(Service="cnMaestro X",P13&lt;&gt;"N/A"),P13,
IF(AND(Service="cnMaestro X",P13="N/A"),"Not Available",
" "))))</f>
        <v xml:space="preserve"> </v>
      </c>
      <c r="G13" s="114" t="str">
        <f>IF(NOT(Start_Here_Complete)," ",
IF(D13=0," ",
IF(AND(Service="cnMaestro X",P13&lt;&gt;"N/A",P13&lt;&gt;"Free Tier"),cnMX_Term,
IF(AND(Service="cnMaestro X",P13="Free Tier")," ",
IF(AND(Service="cnMaestro X",P13="N/A")," ",
" ")))))</f>
        <v xml:space="preserve"> </v>
      </c>
      <c r="H13" s="214" t="str">
        <f>IF(NOT(Start_Here_Complete)," ",
IF(D13=0," ",
IF(CCAdv_Upgrade="Yes","Yes",
IF(CCAdv_Upgrade="Decline CC Advanced","Declined",
" "))))</f>
        <v xml:space="preserve"> </v>
      </c>
      <c r="I13" s="151" t="str">
        <f t="shared" si="0"/>
        <v xml:space="preserve"> </v>
      </c>
      <c r="J13" s="114" t="str">
        <f>IF(NOT(Start_Here_Complete)," ",
IF(D13=0," ",
IF(OR(Ent_CCPro,Ent_CCAdv),CC_Term,
IF(Ent_NoCC," ",
" "))))</f>
        <v xml:space="preserve"> </v>
      </c>
      <c r="K13" s="114" t="str">
        <f>IF(NOT(Start_Here_Complete)," ",
IF(D13=0," ",
IF(AND(EW,Q13&lt;&gt;"N/A"),"Extended Warranty",
IF(AND(EW,Q13="N/A"),"Ext Wty not available",
IF(AND(AR,R13&lt;&gt;"N/A"),"All Risks Adv Replace",
IF(AND(AR,R13="N/A"),"ARAR not available",
IF(NoHW,"HW Support Declined",
IF(AND(FWB_CCPrime,T13="Prime Go"),"ARAR included",
IF(Ent_CCAdv,"Includes Adv Repl",
"X")))))))))</f>
        <v xml:space="preserve"> </v>
      </c>
      <c r="L13" s="213" t="str">
        <f t="shared" ref="L13:L37" si="3">N13</f>
        <v xml:space="preserve"> </v>
      </c>
      <c r="M13" s="212" t="str">
        <f>IF(NOT(Start_Here_Complete)," ",
IF(D13=0," ",
IF(OR(FWB_CCPrime,Ent_CCAdv)," ",
"3 years")))</f>
        <v xml:space="preserve"> </v>
      </c>
      <c r="N13" s="171" t="str">
        <f>IF(D13=0," ",
IF(AND(EW,Q13&lt;&gt;"N/A"),"Choose",
IF(AND(AR,R13&lt;&gt;"N/A"),"Choose",
" ")))</f>
        <v xml:space="preserve"> </v>
      </c>
      <c r="O13" s="128">
        <f t="shared" si="1"/>
        <v>0</v>
      </c>
      <c r="P13" s="194" t="s">
        <v>6244</v>
      </c>
      <c r="Q13" s="128" t="s">
        <v>1226</v>
      </c>
      <c r="R13" s="128" t="s">
        <v>1226</v>
      </c>
      <c r="S13" s="173"/>
      <c r="T13" s="173"/>
      <c r="U13" s="173"/>
      <c r="V13" s="173"/>
      <c r="W13" s="173"/>
      <c r="X13" s="173"/>
      <c r="Y13" s="173"/>
      <c r="Z13" s="173"/>
      <c r="AA13" s="16"/>
      <c r="AB13" s="16"/>
      <c r="AC13" s="16"/>
      <c r="AD13" s="16"/>
    </row>
    <row r="14" spans="1:30" ht="16" thickBot="1" x14ac:dyDescent="0.25">
      <c r="A14" s="16"/>
      <c r="B14" s="38"/>
      <c r="C14" s="16" t="s">
        <v>5924</v>
      </c>
      <c r="D14" s="6">
        <v>0</v>
      </c>
      <c r="E14" s="135" t="s">
        <v>70</v>
      </c>
      <c r="F14" s="224" t="str">
        <f>IF(NOT(Start_Here_Complete)," ",
IF(D14=0," ",
IF(AND(Service="cnMaestro X",P14&lt;&gt;"N/A"),P14,
IF(AND(Service="cnMaestro X",P14="N/A"),"Not Available",
" "))))</f>
        <v xml:space="preserve"> </v>
      </c>
      <c r="G14" s="114" t="str">
        <f>IF(NOT(Start_Here_Complete)," ",
IF(D14=0," ",
IF(AND(Service="cnMaestro X",P14&lt;&gt;"N/A",P14&lt;&gt;"Free Tier"),cnMX_Term,
IF(AND(Service="cnMaestro X",P14="Free Tier")," ",
IF(AND(Service="cnMaestro X",P14="N/A")," ",
" ")))))</f>
        <v xml:space="preserve"> </v>
      </c>
      <c r="H14" s="214" t="str">
        <f>IF(NOT(Start_Here_Complete)," ",
IF(D14=0," ",
IF(CCAdv_Upgrade="Yes","Yes",
IF(CCAdv_Upgrade="Decline CC Advanced","Declined",
" "))))</f>
        <v xml:space="preserve"> </v>
      </c>
      <c r="I14" s="151" t="str">
        <f t="shared" si="0"/>
        <v xml:space="preserve"> </v>
      </c>
      <c r="J14" s="114" t="str">
        <f>IF(NOT(Start_Here_Complete)," ",
IF(D14=0," ",
IF(OR(Ent_CCPro,Ent_CCAdv),CC_Term,
IF(Ent_NoCC," ",
" "))))</f>
        <v xml:space="preserve"> </v>
      </c>
      <c r="K14" s="114" t="str">
        <f>IF(NOT(Start_Here_Complete)," ",
IF(D14=0," ",
IF(AND(EW,Q14&lt;&gt;"N/A"),"Extended Warranty",
IF(AND(EW,Q14="N/A"),"Ext Wty not available",
IF(AND(AR,R14&lt;&gt;"N/A"),"All Risks Adv Replace",
IF(AND(AR,R14="N/A"),"ARAR not available",
IF(NoHW,"HW Support Declined",
IF(AND(FWB_CCPrime,T14="Prime Go"),"ARAR included",
IF(Ent_CCAdv,"Includes Adv Repl",
"X")))))))))</f>
        <v xml:space="preserve"> </v>
      </c>
      <c r="L14" s="213" t="str">
        <f t="shared" si="3"/>
        <v xml:space="preserve"> </v>
      </c>
      <c r="M14" s="212" t="str">
        <f>IF(NOT(Start_Here_Complete)," ",
IF(D14=0," ",
IF(OR(FWB_CCPrime,Ent_CCAdv)," ",
"3 years")))</f>
        <v xml:space="preserve"> </v>
      </c>
      <c r="N14" s="171" t="str">
        <f>IF(D14=0," ",
IF(AND(EW,Q14&lt;&gt;"N/A"),"Choose",
IF(AND(AR,R14&lt;&gt;"N/A"),"Choose",
" ")))</f>
        <v xml:space="preserve"> </v>
      </c>
      <c r="O14" s="128">
        <f t="shared" si="1"/>
        <v>0</v>
      </c>
      <c r="P14" s="194" t="s">
        <v>6244</v>
      </c>
      <c r="Q14" s="128" t="s">
        <v>1226</v>
      </c>
      <c r="R14" s="128" t="s">
        <v>1226</v>
      </c>
      <c r="S14" s="173"/>
      <c r="T14" s="173"/>
      <c r="U14" s="173"/>
      <c r="V14" s="173"/>
      <c r="W14" s="173"/>
      <c r="X14" s="173"/>
      <c r="Y14" s="173"/>
      <c r="Z14" s="173"/>
      <c r="AA14" s="16"/>
      <c r="AB14" s="16"/>
      <c r="AC14" s="16"/>
      <c r="AD14" s="16"/>
    </row>
    <row r="15" spans="1:30" ht="16" thickBot="1" x14ac:dyDescent="0.25">
      <c r="A15" s="16"/>
      <c r="B15" s="38"/>
      <c r="C15" s="16" t="s">
        <v>5925</v>
      </c>
      <c r="D15" s="6">
        <v>0</v>
      </c>
      <c r="E15" s="135" t="s">
        <v>70</v>
      </c>
      <c r="F15" s="224" t="str">
        <f>IF(NOT(Start_Here_Complete)," ",
IF(D15=0," ",
IF(AND(Service="cnMaestro X",P15&lt;&gt;"N/A"),P15,
IF(AND(Service="cnMaestro X",P15="N/A"),"Not Available",
" "))))</f>
        <v xml:space="preserve"> </v>
      </c>
      <c r="G15" s="114" t="str">
        <f>IF(NOT(Start_Here_Complete)," ",
IF(D15=0," ",
IF(AND(Service="cnMaestro X",P15&lt;&gt;"N/A",P15&lt;&gt;"Free Tier"),cnMX_Term,
IF(AND(Service="cnMaestro X",P15="Free Tier")," ",
IF(AND(Service="cnMaestro X",P15="N/A")," ",
" ")))))</f>
        <v xml:space="preserve"> </v>
      </c>
      <c r="H15" s="214" t="str">
        <f>IF(NOT(Start_Here_Complete)," ",
IF(D15=0," ",
IF(CCAdv_Upgrade="Yes","Yes",
IF(CCAdv_Upgrade="Decline CC Advanced","Declined",
" "))))</f>
        <v xml:space="preserve"> </v>
      </c>
      <c r="I15" s="151" t="str">
        <f t="shared" si="0"/>
        <v xml:space="preserve"> </v>
      </c>
      <c r="J15" s="114" t="str">
        <f>IF(NOT(Start_Here_Complete)," ",
IF(D15=0," ",
IF(OR(Ent_CCPro,Ent_CCAdv),CC_Term,
IF(Ent_NoCC," ",
" "))))</f>
        <v xml:space="preserve"> </v>
      </c>
      <c r="K15" s="114" t="str">
        <f>IF(NOT(Start_Here_Complete)," ",
IF(D15=0," ",
IF(AND(EW,Q15&lt;&gt;"N/A"),"Extended Warranty",
IF(AND(EW,Q15="N/A"),"Ext Wty not available",
IF(AND(AR,R15&lt;&gt;"N/A"),"All Risks Adv Replace",
IF(AND(AR,R15="N/A"),"ARAR not available",
IF(NoHW,"HW Support Declined",
IF(AND(FWB_CCPrime,T15="Prime Go"),"ARAR included",
IF(Ent_CCAdv,"Includes Adv Repl",
"X")))))))))</f>
        <v xml:space="preserve"> </v>
      </c>
      <c r="L15" s="213" t="str">
        <f t="shared" si="3"/>
        <v xml:space="preserve"> </v>
      </c>
      <c r="M15" s="212" t="str">
        <f>IF(NOT(Start_Here_Complete)," ",
IF(D15=0," ",
IF(OR(FWB_CCPrime,Ent_CCAdv)," ",
"3 years")))</f>
        <v xml:space="preserve"> </v>
      </c>
      <c r="N15" s="171" t="str">
        <f>IF(D15=0," ",
IF(AND(EW,Q15&lt;&gt;"N/A"),"Choose",
IF(AND(AR,R15&lt;&gt;"N/A"),"Choose",
" ")))</f>
        <v xml:space="preserve"> </v>
      </c>
      <c r="O15" s="128">
        <f t="shared" si="1"/>
        <v>0</v>
      </c>
      <c r="P15" s="194" t="s">
        <v>6244</v>
      </c>
      <c r="Q15" s="128" t="s">
        <v>1226</v>
      </c>
      <c r="R15" s="128" t="s">
        <v>1226</v>
      </c>
      <c r="S15" s="173"/>
      <c r="T15" s="173"/>
      <c r="U15" s="173"/>
      <c r="V15" s="173"/>
      <c r="W15" s="173"/>
      <c r="X15" s="173"/>
      <c r="Y15" s="173"/>
      <c r="Z15" s="173"/>
      <c r="AA15" s="16"/>
      <c r="AB15" s="16"/>
      <c r="AC15" s="16"/>
      <c r="AD15" s="16"/>
    </row>
    <row r="16" spans="1:30" ht="16" thickBot="1" x14ac:dyDescent="0.25">
      <c r="A16" s="16"/>
      <c r="B16" s="38"/>
      <c r="C16" s="16" t="s">
        <v>5926</v>
      </c>
      <c r="D16" s="6">
        <v>0</v>
      </c>
      <c r="E16" s="135" t="s">
        <v>70</v>
      </c>
      <c r="F16" s="224" t="str">
        <f>IF(NOT(Start_Here_Complete)," ",
IF(D16=0," ",
IF(AND(Service="cnMaestro X",P16&lt;&gt;"N/A"),P16,
IF(AND(Service="cnMaestro X",P16="N/A"),"Not Available",
" "))))</f>
        <v xml:space="preserve"> </v>
      </c>
      <c r="G16" s="114" t="str">
        <f>IF(NOT(Start_Here_Complete)," ",
IF(D16=0," ",
IF(AND(Service="cnMaestro X",P16&lt;&gt;"N/A",P16&lt;&gt;"Free Tier"),cnMX_Term,
IF(AND(Service="cnMaestro X",P16="Free Tier")," ",
IF(AND(Service="cnMaestro X",P16="N/A")," ",
" ")))))</f>
        <v xml:space="preserve"> </v>
      </c>
      <c r="H16" s="214" t="str">
        <f>IF(NOT(Start_Here_Complete)," ",
IF(D16=0," ",
IF(CCAdv_Upgrade="Yes","Yes",
IF(CCAdv_Upgrade="Decline CC Advanced","Declined",
" "))))</f>
        <v xml:space="preserve"> </v>
      </c>
      <c r="I16" s="151" t="str">
        <f t="shared" si="0"/>
        <v xml:space="preserve"> </v>
      </c>
      <c r="J16" s="114" t="str">
        <f>IF(NOT(Start_Here_Complete)," ",
IF(D16=0," ",
IF(OR(Ent_CCPro,Ent_CCAdv),CC_Term,
IF(Ent_NoCC," ",
" "))))</f>
        <v xml:space="preserve"> </v>
      </c>
      <c r="K16" s="114" t="str">
        <f>IF(NOT(Start_Here_Complete)," ",
IF(D16=0," ",
IF(AND(EW,Q16&lt;&gt;"N/A"),"Extended Warranty",
IF(AND(EW,Q16="N/A"),"Ext Wty not available",
IF(AND(AR,R16&lt;&gt;"N/A"),"All Risks Adv Replace",
IF(AND(AR,R16="N/A"),"ARAR not available",
IF(NoHW,"HW Support Declined",
IF(AND(FWB_CCPrime,T16="Prime Go"),"ARAR included",
IF(Ent_CCAdv,"Includes Adv Repl",
"X")))))))))</f>
        <v xml:space="preserve"> </v>
      </c>
      <c r="L16" s="213" t="str">
        <f t="shared" si="3"/>
        <v xml:space="preserve"> </v>
      </c>
      <c r="M16" s="212" t="str">
        <f>IF(NOT(Start_Here_Complete)," ",
IF(D16=0," ",
IF(OR(FWB_CCPrime,Ent_CCAdv)," ",
"3 years")))</f>
        <v xml:space="preserve"> </v>
      </c>
      <c r="N16" s="171" t="str">
        <f>IF(D16=0," ",
IF(AND(EW,Q16&lt;&gt;"N/A"),"Choose",
IF(AND(AR,R16&lt;&gt;"N/A"),"Choose",
" ")))</f>
        <v xml:space="preserve"> </v>
      </c>
      <c r="O16" s="128">
        <f t="shared" si="1"/>
        <v>0</v>
      </c>
      <c r="P16" s="194" t="s">
        <v>6244</v>
      </c>
      <c r="Q16" s="128" t="s">
        <v>1226</v>
      </c>
      <c r="R16" s="128" t="s">
        <v>1226</v>
      </c>
      <c r="S16" s="173"/>
      <c r="T16" s="173"/>
      <c r="U16" s="173"/>
      <c r="V16" s="173"/>
      <c r="W16" s="173"/>
      <c r="X16" s="173"/>
      <c r="Y16" s="173"/>
      <c r="Z16" s="173"/>
      <c r="AA16" s="16"/>
      <c r="AB16" s="16"/>
      <c r="AC16" s="16"/>
      <c r="AD16" s="16"/>
    </row>
    <row r="17" spans="1:30" ht="16" thickBot="1" x14ac:dyDescent="0.25">
      <c r="A17" s="16"/>
      <c r="B17" s="38"/>
      <c r="C17" s="91" t="s">
        <v>5922</v>
      </c>
      <c r="D17" s="92"/>
      <c r="E17" s="92"/>
      <c r="F17" s="92"/>
      <c r="G17" s="92"/>
      <c r="H17" s="92"/>
      <c r="I17" s="92" t="str">
        <f t="shared" si="0"/>
        <v xml:space="preserve"> </v>
      </c>
      <c r="J17" s="92"/>
      <c r="K17" s="92"/>
      <c r="L17" s="92"/>
      <c r="M17" s="106"/>
      <c r="N17" s="171"/>
      <c r="O17" s="128"/>
      <c r="P17" s="194"/>
      <c r="Q17" s="171"/>
      <c r="R17" s="171"/>
      <c r="S17" s="173"/>
      <c r="T17" s="173"/>
      <c r="U17" s="173"/>
      <c r="V17" s="173"/>
      <c r="W17" s="173"/>
      <c r="X17" s="173"/>
      <c r="Y17" s="173"/>
      <c r="Z17" s="173"/>
      <c r="AA17" s="16"/>
      <c r="AB17" s="16"/>
      <c r="AC17" s="16"/>
      <c r="AD17" s="16"/>
    </row>
    <row r="18" spans="1:30" ht="16" thickBot="1" x14ac:dyDescent="0.25">
      <c r="A18" s="16"/>
      <c r="B18" s="38"/>
      <c r="C18" s="16" t="s">
        <v>5927</v>
      </c>
      <c r="D18" s="6">
        <v>0</v>
      </c>
      <c r="E18" s="135" t="s">
        <v>70</v>
      </c>
      <c r="F18" s="224" t="str">
        <f t="shared" ref="F18:F23" si="4">IF(NOT(Start_Here_Complete)," ",
IF(D18=0," ",
IF(AND(Service="cnMaestro X",P18&lt;&gt;"N/A"),P18,
IF(AND(Service="cnMaestro X",P18="N/A"),"Not Available",
" "))))</f>
        <v xml:space="preserve"> </v>
      </c>
      <c r="G18" s="114" t="str">
        <f t="shared" ref="G18:G23" si="5">IF(NOT(Start_Here_Complete)," ",
IF(D18=0," ",
IF(AND(Service="cnMaestro X",P18&lt;&gt;"N/A",P18&lt;&gt;"Free Tier"),cnMX_Term,
IF(AND(Service="cnMaestro X",P18="Free Tier")," ",
IF(AND(Service="cnMaestro X",P18="N/A")," ",
" ")))))</f>
        <v xml:space="preserve"> </v>
      </c>
      <c r="H18" s="214" t="str">
        <f t="shared" ref="H18:H23" si="6">IF(NOT(Start_Here_Complete)," ",
IF(D18=0," ",
IF(CCAdv_Upgrade="Yes","Yes",
IF(CCAdv_Upgrade="Decline CC Advanced","Declined",
" "))))</f>
        <v xml:space="preserve"> </v>
      </c>
      <c r="I18" s="151" t="str">
        <f t="shared" si="0"/>
        <v xml:space="preserve"> </v>
      </c>
      <c r="J18" s="114" t="str">
        <f t="shared" ref="J18:J23" si="7">IF(NOT(Start_Here_Complete)," ",
IF(D18=0," ",
IF(OR(Ent_CCPro,Ent_CCAdv),CC_Term,
IF(Ent_NoCC," ",
" "))))</f>
        <v xml:space="preserve"> </v>
      </c>
      <c r="K18" s="114" t="str">
        <f t="shared" ref="K18:K23" si="8">IF(NOT(Start_Here_Complete)," ",
IF(D18=0," ",
IF(AND(EW,Q18&lt;&gt;"N/A"),"Extended Warranty",
IF(AND(EW,Q18="N/A"),"Ext Wty not available",
IF(AND(AR,R18&lt;&gt;"N/A"),"All Risks Adv Replace",
IF(AND(AR,R18="N/A"),"ARAR not available",
IF(NoHW,"HW Support Declined",
IF(AND(FWB_CCPrime,T18="Prime Go"),"ARAR included",
IF(Ent_CCAdv,"Includes Adv Repl",
"X")))))))))</f>
        <v xml:space="preserve"> </v>
      </c>
      <c r="L18" s="213" t="str">
        <f t="shared" si="3"/>
        <v xml:space="preserve"> </v>
      </c>
      <c r="M18" s="212" t="str">
        <f t="shared" ref="M18:M23" si="9">IF(NOT(Start_Here_Complete)," ",
IF(D18=0," ",
IF(OR(FWB_CCPrime,Ent_CCAdv)," ",
"3 years")))</f>
        <v xml:space="preserve"> </v>
      </c>
      <c r="N18" s="171" t="str">
        <f t="shared" ref="N18:N23" si="10">IF(D18=0," ",
IF(AND(EW,Q18&lt;&gt;"N/A"),"Choose",
IF(AND(AR,R18&lt;&gt;"N/A"),"Choose",
" ")))</f>
        <v xml:space="preserve"> </v>
      </c>
      <c r="O18" s="128">
        <f t="shared" si="1"/>
        <v>0</v>
      </c>
      <c r="P18" s="194" t="s">
        <v>6244</v>
      </c>
      <c r="Q18" s="128">
        <v>2</v>
      </c>
      <c r="R18" s="128" t="s">
        <v>1226</v>
      </c>
      <c r="S18" s="173"/>
      <c r="T18" s="173"/>
      <c r="U18" s="173"/>
      <c r="V18" s="173"/>
      <c r="W18" s="173"/>
      <c r="X18" s="173"/>
      <c r="Y18" s="173"/>
      <c r="Z18" s="173"/>
      <c r="AA18" s="16"/>
      <c r="AB18" s="16"/>
      <c r="AC18" s="16"/>
      <c r="AD18" s="16"/>
    </row>
    <row r="19" spans="1:30" ht="16" thickBot="1" x14ac:dyDescent="0.25">
      <c r="A19" s="16"/>
      <c r="B19" s="38"/>
      <c r="C19" s="16" t="s">
        <v>5928</v>
      </c>
      <c r="D19" s="6">
        <v>0</v>
      </c>
      <c r="E19" s="135" t="s">
        <v>70</v>
      </c>
      <c r="F19" s="224" t="str">
        <f t="shared" si="4"/>
        <v xml:space="preserve"> </v>
      </c>
      <c r="G19" s="114" t="str">
        <f t="shared" si="5"/>
        <v xml:space="preserve"> </v>
      </c>
      <c r="H19" s="214" t="str">
        <f t="shared" si="6"/>
        <v xml:space="preserve"> </v>
      </c>
      <c r="I19" s="151" t="str">
        <f t="shared" si="0"/>
        <v xml:space="preserve"> </v>
      </c>
      <c r="J19" s="114" t="str">
        <f t="shared" si="7"/>
        <v xml:space="preserve"> </v>
      </c>
      <c r="K19" s="114" t="str">
        <f t="shared" si="8"/>
        <v xml:space="preserve"> </v>
      </c>
      <c r="L19" s="213" t="str">
        <f t="shared" si="3"/>
        <v xml:space="preserve"> </v>
      </c>
      <c r="M19" s="212" t="str">
        <f t="shared" si="9"/>
        <v xml:space="preserve"> </v>
      </c>
      <c r="N19" s="171" t="str">
        <f t="shared" si="10"/>
        <v xml:space="preserve"> </v>
      </c>
      <c r="O19" s="128">
        <f t="shared" si="1"/>
        <v>0</v>
      </c>
      <c r="P19" s="194" t="s">
        <v>6244</v>
      </c>
      <c r="Q19" s="128">
        <v>2</v>
      </c>
      <c r="R19" s="128" t="s">
        <v>1226</v>
      </c>
      <c r="S19" s="173"/>
      <c r="T19" s="173"/>
      <c r="U19" s="173"/>
      <c r="V19" s="173"/>
      <c r="W19" s="173"/>
      <c r="X19" s="173"/>
      <c r="Y19" s="173"/>
      <c r="Z19" s="173"/>
      <c r="AA19" s="16"/>
      <c r="AB19" s="16"/>
      <c r="AC19" s="16"/>
      <c r="AD19" s="16"/>
    </row>
    <row r="20" spans="1:30" ht="16" thickBot="1" x14ac:dyDescent="0.25">
      <c r="A20" s="16"/>
      <c r="B20" s="38"/>
      <c r="C20" s="16" t="s">
        <v>5929</v>
      </c>
      <c r="D20" s="6">
        <v>0</v>
      </c>
      <c r="E20" s="135" t="s">
        <v>70</v>
      </c>
      <c r="F20" s="224" t="str">
        <f t="shared" si="4"/>
        <v xml:space="preserve"> </v>
      </c>
      <c r="G20" s="114" t="str">
        <f t="shared" si="5"/>
        <v xml:space="preserve"> </v>
      </c>
      <c r="H20" s="214" t="str">
        <f t="shared" si="6"/>
        <v xml:space="preserve"> </v>
      </c>
      <c r="I20" s="151" t="str">
        <f t="shared" si="0"/>
        <v xml:space="preserve"> </v>
      </c>
      <c r="J20" s="114" t="str">
        <f t="shared" si="7"/>
        <v xml:space="preserve"> </v>
      </c>
      <c r="K20" s="114" t="str">
        <f t="shared" si="8"/>
        <v xml:space="preserve"> </v>
      </c>
      <c r="L20" s="213" t="str">
        <f t="shared" si="3"/>
        <v xml:space="preserve"> </v>
      </c>
      <c r="M20" s="212" t="str">
        <f t="shared" si="9"/>
        <v xml:space="preserve"> </v>
      </c>
      <c r="N20" s="171" t="str">
        <f t="shared" si="10"/>
        <v xml:space="preserve"> </v>
      </c>
      <c r="O20" s="128">
        <f t="shared" si="1"/>
        <v>0</v>
      </c>
      <c r="P20" s="194" t="s">
        <v>6244</v>
      </c>
      <c r="Q20" s="128">
        <v>2</v>
      </c>
      <c r="R20" s="128" t="s">
        <v>1226</v>
      </c>
      <c r="S20" s="173"/>
      <c r="T20" s="173"/>
      <c r="U20" s="173"/>
      <c r="V20" s="173"/>
      <c r="W20" s="173"/>
      <c r="X20" s="173"/>
      <c r="Y20" s="173"/>
      <c r="Z20" s="173"/>
      <c r="AA20" s="16"/>
      <c r="AB20" s="16"/>
      <c r="AC20" s="16"/>
      <c r="AD20" s="16"/>
    </row>
    <row r="21" spans="1:30" ht="16" thickBot="1" x14ac:dyDescent="0.25">
      <c r="A21" s="16"/>
      <c r="B21" s="38"/>
      <c r="C21" s="16" t="s">
        <v>5930</v>
      </c>
      <c r="D21" s="6">
        <v>0</v>
      </c>
      <c r="E21" s="135" t="s">
        <v>70</v>
      </c>
      <c r="F21" s="224" t="str">
        <f t="shared" si="4"/>
        <v xml:space="preserve"> </v>
      </c>
      <c r="G21" s="114" t="str">
        <f t="shared" si="5"/>
        <v xml:space="preserve"> </v>
      </c>
      <c r="H21" s="214" t="str">
        <f t="shared" si="6"/>
        <v xml:space="preserve"> </v>
      </c>
      <c r="I21" s="151" t="str">
        <f t="shared" si="0"/>
        <v xml:space="preserve"> </v>
      </c>
      <c r="J21" s="114" t="str">
        <f t="shared" si="7"/>
        <v xml:space="preserve"> </v>
      </c>
      <c r="K21" s="114" t="str">
        <f t="shared" si="8"/>
        <v xml:space="preserve"> </v>
      </c>
      <c r="L21" s="213" t="str">
        <f t="shared" si="3"/>
        <v xml:space="preserve"> </v>
      </c>
      <c r="M21" s="212" t="str">
        <f t="shared" si="9"/>
        <v xml:space="preserve"> </v>
      </c>
      <c r="N21" s="171" t="str">
        <f t="shared" si="10"/>
        <v xml:space="preserve"> </v>
      </c>
      <c r="O21" s="128">
        <f t="shared" si="1"/>
        <v>0</v>
      </c>
      <c r="P21" s="194" t="s">
        <v>6244</v>
      </c>
      <c r="Q21" s="128">
        <v>2</v>
      </c>
      <c r="R21" s="128" t="s">
        <v>1226</v>
      </c>
      <c r="S21" s="173"/>
      <c r="T21" s="173"/>
      <c r="U21" s="173"/>
      <c r="V21" s="173"/>
      <c r="W21" s="173"/>
      <c r="X21" s="173"/>
      <c r="Y21" s="173"/>
      <c r="Z21" s="173"/>
      <c r="AA21" s="16"/>
      <c r="AB21" s="16"/>
      <c r="AC21" s="16"/>
      <c r="AD21" s="16"/>
    </row>
    <row r="22" spans="1:30" ht="16" thickBot="1" x14ac:dyDescent="0.25">
      <c r="A22" s="16"/>
      <c r="B22" s="38"/>
      <c r="C22" s="16" t="s">
        <v>5931</v>
      </c>
      <c r="D22" s="6">
        <v>0</v>
      </c>
      <c r="E22" s="135" t="s">
        <v>70</v>
      </c>
      <c r="F22" s="224" t="str">
        <f t="shared" si="4"/>
        <v xml:space="preserve"> </v>
      </c>
      <c r="G22" s="114" t="str">
        <f t="shared" si="5"/>
        <v xml:space="preserve"> </v>
      </c>
      <c r="H22" s="214" t="str">
        <f t="shared" si="6"/>
        <v xml:space="preserve"> </v>
      </c>
      <c r="I22" s="151" t="str">
        <f t="shared" si="0"/>
        <v xml:space="preserve"> </v>
      </c>
      <c r="J22" s="114" t="str">
        <f t="shared" si="7"/>
        <v xml:space="preserve"> </v>
      </c>
      <c r="K22" s="114" t="str">
        <f t="shared" si="8"/>
        <v xml:space="preserve"> </v>
      </c>
      <c r="L22" s="213" t="str">
        <f t="shared" si="3"/>
        <v xml:space="preserve"> </v>
      </c>
      <c r="M22" s="212" t="str">
        <f t="shared" si="9"/>
        <v xml:space="preserve"> </v>
      </c>
      <c r="N22" s="171" t="str">
        <f t="shared" si="10"/>
        <v xml:space="preserve"> </v>
      </c>
      <c r="O22" s="128">
        <f t="shared" si="1"/>
        <v>0</v>
      </c>
      <c r="P22" s="194" t="s">
        <v>6244</v>
      </c>
      <c r="Q22" s="128">
        <v>2</v>
      </c>
      <c r="R22" s="128" t="s">
        <v>1226</v>
      </c>
      <c r="S22" s="173"/>
      <c r="T22" s="173"/>
      <c r="U22" s="173"/>
      <c r="V22" s="173"/>
      <c r="W22" s="173"/>
      <c r="X22" s="173"/>
      <c r="Y22" s="173"/>
      <c r="Z22" s="173"/>
      <c r="AA22" s="16"/>
      <c r="AB22" s="16"/>
      <c r="AC22" s="16"/>
      <c r="AD22" s="16"/>
    </row>
    <row r="23" spans="1:30" ht="16" thickBot="1" x14ac:dyDescent="0.25">
      <c r="A23" s="16"/>
      <c r="B23" s="38"/>
      <c r="C23" s="16" t="s">
        <v>5932</v>
      </c>
      <c r="D23" s="6">
        <v>0</v>
      </c>
      <c r="E23" s="135" t="s">
        <v>70</v>
      </c>
      <c r="F23" s="224" t="str">
        <f t="shared" si="4"/>
        <v xml:space="preserve"> </v>
      </c>
      <c r="G23" s="114" t="str">
        <f t="shared" si="5"/>
        <v xml:space="preserve"> </v>
      </c>
      <c r="H23" s="214" t="str">
        <f t="shared" si="6"/>
        <v xml:space="preserve"> </v>
      </c>
      <c r="I23" s="151" t="str">
        <f t="shared" si="0"/>
        <v xml:space="preserve"> </v>
      </c>
      <c r="J23" s="114" t="str">
        <f t="shared" si="7"/>
        <v xml:space="preserve"> </v>
      </c>
      <c r="K23" s="114" t="str">
        <f t="shared" si="8"/>
        <v xml:space="preserve"> </v>
      </c>
      <c r="L23" s="213" t="str">
        <f t="shared" si="3"/>
        <v xml:space="preserve"> </v>
      </c>
      <c r="M23" s="212" t="str">
        <f t="shared" si="9"/>
        <v xml:space="preserve"> </v>
      </c>
      <c r="N23" s="171" t="str">
        <f t="shared" si="10"/>
        <v xml:space="preserve"> </v>
      </c>
      <c r="O23" s="128">
        <f t="shared" si="1"/>
        <v>0</v>
      </c>
      <c r="P23" s="194" t="s">
        <v>6244</v>
      </c>
      <c r="Q23" s="128">
        <v>2</v>
      </c>
      <c r="R23" s="128" t="s">
        <v>1226</v>
      </c>
      <c r="S23" s="173"/>
      <c r="T23" s="173"/>
      <c r="U23" s="173"/>
      <c r="V23" s="173"/>
      <c r="W23" s="173"/>
      <c r="X23" s="173"/>
      <c r="Y23" s="173"/>
      <c r="Z23" s="173"/>
      <c r="AA23" s="16"/>
      <c r="AB23" s="16"/>
      <c r="AC23" s="16"/>
      <c r="AD23" s="16"/>
    </row>
    <row r="24" spans="1:30" ht="16" thickBot="1" x14ac:dyDescent="0.25">
      <c r="A24" s="16"/>
      <c r="B24" s="38"/>
      <c r="C24" s="91" t="s">
        <v>50</v>
      </c>
      <c r="D24" s="92"/>
      <c r="E24" s="92"/>
      <c r="F24" s="92"/>
      <c r="G24" s="92"/>
      <c r="H24" s="92"/>
      <c r="I24" s="92" t="str">
        <f t="shared" si="0"/>
        <v xml:space="preserve"> </v>
      </c>
      <c r="J24" s="92"/>
      <c r="K24" s="92"/>
      <c r="L24" s="92"/>
      <c r="M24" s="106"/>
      <c r="N24" s="171"/>
      <c r="O24" s="128"/>
      <c r="P24" s="194"/>
      <c r="Q24" s="171"/>
      <c r="R24" s="171"/>
      <c r="S24" s="173"/>
      <c r="T24" s="173"/>
      <c r="U24" s="173"/>
      <c r="V24" s="173"/>
      <c r="W24" s="173"/>
      <c r="X24" s="173"/>
      <c r="Y24" s="173"/>
      <c r="Z24" s="173"/>
      <c r="AA24" s="16"/>
      <c r="AB24" s="16"/>
      <c r="AC24" s="16"/>
      <c r="AD24" s="16"/>
    </row>
    <row r="25" spans="1:30" ht="16" thickBot="1" x14ac:dyDescent="0.25">
      <c r="A25" s="16"/>
      <c r="B25" s="38"/>
      <c r="C25" s="16" t="s">
        <v>44</v>
      </c>
      <c r="D25" s="6">
        <v>0</v>
      </c>
      <c r="E25" s="135" t="s">
        <v>70</v>
      </c>
      <c r="F25" s="224" t="str">
        <f t="shared" ref="F25:F36" si="11">IF(NOT(Start_Here_Complete)," ",
IF(D25=0," ",
IF(AND(Service="cnMaestro X",P25&lt;&gt;"N/A"),P25,
IF(AND(Service="cnMaestro X",P25="N/A"),"Not Available",
" "))))</f>
        <v xml:space="preserve"> </v>
      </c>
      <c r="G25" s="114" t="str">
        <f t="shared" ref="G25:G36" si="12">IF(NOT(Start_Here_Complete)," ",
IF(D25=0," ",
IF(AND(Service="cnMaestro X",P25&lt;&gt;"N/A",P25&lt;&gt;"Free Tier"),cnMX_Term,
IF(AND(Service="cnMaestro X",P25="Free Tier")," ",
IF(AND(Service="cnMaestro X",P25="N/A")," ",
" ")))))</f>
        <v xml:space="preserve"> </v>
      </c>
      <c r="H25" s="214" t="str">
        <f t="shared" ref="H25:H36" si="13">IF(NOT(Start_Here_Complete)," ",
IF(D25=0," ",
IF(CCAdv_Upgrade="Yes","Not Available",
IF(CCAdv_Upgrade="Decline CC Advanced","Declined",
" "))))</f>
        <v xml:space="preserve"> </v>
      </c>
      <c r="I25" s="151" t="str">
        <f t="shared" si="0"/>
        <v xml:space="preserve"> </v>
      </c>
      <c r="J25" s="114" t="str">
        <f t="shared" ref="J25:J36" si="14">IF(NOT(Start_Here_Complete)," ",
IF(D25=0," ",
IF(OR(Ent_CCPro,Ent_CCAdv),CC_Term,
IF(Ent_NoCC," ",
" "))))</f>
        <v xml:space="preserve"> </v>
      </c>
      <c r="K25" s="114" t="str">
        <f t="shared" ref="K25:K36" si="15">IF(NOT(Start_Here_Complete)," ",
IF(D25=0," ",
IF(AND(EW,Q25&lt;&gt;"N/A"),"Extended Warranty",
IF(AND(EW,Q25="N/A"),"Ext Wty not available",
IF(AND(AR,R25&lt;&gt;"N/A"),"All Risks Adv Replace",
IF(AND(AR,R25="N/A"),"ARAR not available",
IF(NoHW,"HW Support Declined",
IF(AND(FWB_CCPrime,T25="Prime Go"),"ARAR included",
IF(Ent_CCAdv,"Includes Adv Repl",
"X")))))))))</f>
        <v xml:space="preserve"> </v>
      </c>
      <c r="L25" s="213" t="str">
        <f t="shared" si="3"/>
        <v xml:space="preserve"> </v>
      </c>
      <c r="M25" s="212" t="str">
        <f t="shared" ref="M25:M36" si="16">IF(NOT(Start_Here_Complete)," ",
IF(D25=0," ",
IF(OR(FWB_CCPrime,Ent_CCAdv)," ",
"3 years")))</f>
        <v xml:space="preserve"> </v>
      </c>
      <c r="N25" s="171" t="str">
        <f t="shared" ref="N25:N36" si="17">IF(D25=0," ",
IF(AND(EW,Q25&lt;&gt;"N/A"),"Choose",
IF(AND(AR,R25&lt;&gt;"N/A"),"Choose",
" ")))</f>
        <v xml:space="preserve"> </v>
      </c>
      <c r="O25" s="128">
        <f t="shared" si="1"/>
        <v>0</v>
      </c>
      <c r="P25" s="194" t="s">
        <v>6421</v>
      </c>
      <c r="Q25" s="128" t="s">
        <v>1226</v>
      </c>
      <c r="R25" s="128" t="s">
        <v>1226</v>
      </c>
      <c r="S25" s="173"/>
      <c r="T25" s="173"/>
      <c r="U25" s="173"/>
      <c r="V25" s="173"/>
      <c r="W25" s="173"/>
      <c r="X25" s="173"/>
      <c r="Y25" s="173"/>
      <c r="Z25" s="173"/>
      <c r="AA25" s="16"/>
      <c r="AB25" s="16"/>
      <c r="AC25" s="16"/>
      <c r="AD25" s="16"/>
    </row>
    <row r="26" spans="1:30" ht="16" thickBot="1" x14ac:dyDescent="0.25">
      <c r="A26" s="16"/>
      <c r="B26" s="38"/>
      <c r="C26" s="16" t="s">
        <v>45</v>
      </c>
      <c r="D26" s="6">
        <v>0</v>
      </c>
      <c r="E26" s="135" t="s">
        <v>70</v>
      </c>
      <c r="F26" s="224" t="str">
        <f t="shared" si="11"/>
        <v xml:space="preserve"> </v>
      </c>
      <c r="G26" s="114" t="str">
        <f t="shared" si="12"/>
        <v xml:space="preserve"> </v>
      </c>
      <c r="H26" s="214" t="str">
        <f t="shared" si="13"/>
        <v xml:space="preserve"> </v>
      </c>
      <c r="I26" s="151" t="str">
        <f t="shared" si="0"/>
        <v xml:space="preserve"> </v>
      </c>
      <c r="J26" s="114" t="str">
        <f t="shared" si="14"/>
        <v xml:space="preserve"> </v>
      </c>
      <c r="K26" s="114" t="str">
        <f t="shared" si="15"/>
        <v xml:space="preserve"> </v>
      </c>
      <c r="L26" s="213" t="str">
        <f t="shared" si="3"/>
        <v xml:space="preserve"> </v>
      </c>
      <c r="M26" s="212" t="str">
        <f t="shared" si="16"/>
        <v xml:space="preserve"> </v>
      </c>
      <c r="N26" s="171" t="str">
        <f t="shared" si="17"/>
        <v xml:space="preserve"> </v>
      </c>
      <c r="O26" s="128">
        <f t="shared" si="1"/>
        <v>0</v>
      </c>
      <c r="P26" s="194" t="s">
        <v>6421</v>
      </c>
      <c r="Q26" s="128" t="s">
        <v>1226</v>
      </c>
      <c r="R26" s="128" t="s">
        <v>1226</v>
      </c>
      <c r="S26" s="173"/>
      <c r="T26" s="173"/>
      <c r="U26" s="173"/>
      <c r="V26" s="173"/>
      <c r="W26" s="173"/>
      <c r="X26" s="173"/>
      <c r="Y26" s="173"/>
      <c r="Z26" s="173"/>
      <c r="AA26" s="16"/>
      <c r="AB26" s="16"/>
      <c r="AC26" s="16"/>
      <c r="AD26" s="16"/>
    </row>
    <row r="27" spans="1:30" ht="16" thickBot="1" x14ac:dyDescent="0.25">
      <c r="A27" s="16"/>
      <c r="B27" s="38"/>
      <c r="C27" s="16" t="s">
        <v>46</v>
      </c>
      <c r="D27" s="6">
        <v>0</v>
      </c>
      <c r="E27" s="135" t="s">
        <v>70</v>
      </c>
      <c r="F27" s="224" t="str">
        <f t="shared" si="11"/>
        <v xml:space="preserve"> </v>
      </c>
      <c r="G27" s="114" t="str">
        <f t="shared" si="12"/>
        <v xml:space="preserve"> </v>
      </c>
      <c r="H27" s="214" t="str">
        <f t="shared" si="13"/>
        <v xml:space="preserve"> </v>
      </c>
      <c r="I27" s="151" t="str">
        <f t="shared" si="0"/>
        <v xml:space="preserve"> </v>
      </c>
      <c r="J27" s="114" t="str">
        <f t="shared" si="14"/>
        <v xml:space="preserve"> </v>
      </c>
      <c r="K27" s="114" t="str">
        <f t="shared" si="15"/>
        <v xml:space="preserve"> </v>
      </c>
      <c r="L27" s="213" t="str">
        <f t="shared" si="3"/>
        <v xml:space="preserve"> </v>
      </c>
      <c r="M27" s="212" t="str">
        <f t="shared" si="16"/>
        <v xml:space="preserve"> </v>
      </c>
      <c r="N27" s="171" t="str">
        <f t="shared" si="17"/>
        <v xml:space="preserve"> </v>
      </c>
      <c r="O27" s="128">
        <f t="shared" si="1"/>
        <v>0</v>
      </c>
      <c r="P27" s="194" t="s">
        <v>6421</v>
      </c>
      <c r="Q27" s="128" t="s">
        <v>1226</v>
      </c>
      <c r="R27" s="128" t="s">
        <v>1226</v>
      </c>
      <c r="S27" s="173"/>
      <c r="T27" s="173"/>
      <c r="U27" s="173"/>
      <c r="V27" s="173"/>
      <c r="W27" s="173"/>
      <c r="X27" s="173"/>
      <c r="Y27" s="173"/>
      <c r="Z27" s="173"/>
      <c r="AA27" s="16"/>
      <c r="AB27" s="16"/>
      <c r="AC27" s="16"/>
      <c r="AD27" s="16"/>
    </row>
    <row r="28" spans="1:30" ht="16" thickBot="1" x14ac:dyDescent="0.25">
      <c r="A28" s="16"/>
      <c r="B28" s="38"/>
      <c r="C28" s="16" t="s">
        <v>67</v>
      </c>
      <c r="D28" s="6">
        <v>0</v>
      </c>
      <c r="E28" s="135" t="s">
        <v>70</v>
      </c>
      <c r="F28" s="224" t="str">
        <f t="shared" si="11"/>
        <v xml:space="preserve"> </v>
      </c>
      <c r="G28" s="114" t="str">
        <f t="shared" si="12"/>
        <v xml:space="preserve"> </v>
      </c>
      <c r="H28" s="214" t="str">
        <f t="shared" si="13"/>
        <v xml:space="preserve"> </v>
      </c>
      <c r="I28" s="151" t="str">
        <f t="shared" si="0"/>
        <v xml:space="preserve"> </v>
      </c>
      <c r="J28" s="114" t="str">
        <f t="shared" si="14"/>
        <v xml:space="preserve"> </v>
      </c>
      <c r="K28" s="114" t="str">
        <f t="shared" si="15"/>
        <v xml:space="preserve"> </v>
      </c>
      <c r="L28" s="213" t="str">
        <f t="shared" si="3"/>
        <v xml:space="preserve"> </v>
      </c>
      <c r="M28" s="212" t="str">
        <f t="shared" si="16"/>
        <v xml:space="preserve"> </v>
      </c>
      <c r="N28" s="171" t="str">
        <f t="shared" si="17"/>
        <v xml:space="preserve"> </v>
      </c>
      <c r="O28" s="128">
        <f t="shared" si="1"/>
        <v>0</v>
      </c>
      <c r="P28" s="194" t="s">
        <v>6421</v>
      </c>
      <c r="Q28" s="128" t="s">
        <v>1226</v>
      </c>
      <c r="R28" s="128" t="s">
        <v>1226</v>
      </c>
      <c r="S28" s="173"/>
      <c r="T28" s="173"/>
      <c r="U28" s="173"/>
      <c r="V28" s="173"/>
      <c r="W28" s="173"/>
      <c r="X28" s="173"/>
      <c r="Y28" s="173"/>
      <c r="Z28" s="173"/>
      <c r="AA28" s="16"/>
      <c r="AB28" s="16"/>
      <c r="AC28" s="16"/>
      <c r="AD28" s="16"/>
    </row>
    <row r="29" spans="1:30" ht="16" thickBot="1" x14ac:dyDescent="0.25">
      <c r="A29" s="16"/>
      <c r="B29" s="38"/>
      <c r="C29" s="16" t="s">
        <v>68</v>
      </c>
      <c r="D29" s="6">
        <v>0</v>
      </c>
      <c r="E29" s="135" t="s">
        <v>70</v>
      </c>
      <c r="F29" s="224" t="str">
        <f t="shared" si="11"/>
        <v xml:space="preserve"> </v>
      </c>
      <c r="G29" s="114" t="str">
        <f t="shared" si="12"/>
        <v xml:space="preserve"> </v>
      </c>
      <c r="H29" s="214" t="str">
        <f t="shared" si="13"/>
        <v xml:space="preserve"> </v>
      </c>
      <c r="I29" s="151" t="str">
        <f t="shared" si="0"/>
        <v xml:space="preserve"> </v>
      </c>
      <c r="J29" s="114" t="str">
        <f t="shared" si="14"/>
        <v xml:space="preserve"> </v>
      </c>
      <c r="K29" s="114" t="str">
        <f t="shared" si="15"/>
        <v xml:space="preserve"> </v>
      </c>
      <c r="L29" s="213" t="str">
        <f t="shared" si="3"/>
        <v xml:space="preserve"> </v>
      </c>
      <c r="M29" s="212" t="str">
        <f t="shared" si="16"/>
        <v xml:space="preserve"> </v>
      </c>
      <c r="N29" s="171" t="str">
        <f t="shared" si="17"/>
        <v xml:space="preserve"> </v>
      </c>
      <c r="O29" s="128">
        <f t="shared" si="1"/>
        <v>0</v>
      </c>
      <c r="P29" s="194" t="s">
        <v>6421</v>
      </c>
      <c r="Q29" s="128" t="s">
        <v>1226</v>
      </c>
      <c r="R29" s="128" t="s">
        <v>1226</v>
      </c>
      <c r="S29" s="173"/>
      <c r="T29" s="173"/>
      <c r="U29" s="173"/>
      <c r="V29" s="173"/>
      <c r="W29" s="173"/>
      <c r="X29" s="173"/>
      <c r="Y29" s="173"/>
      <c r="Z29" s="173"/>
      <c r="AA29" s="16"/>
      <c r="AB29" s="16"/>
      <c r="AC29" s="16"/>
      <c r="AD29" s="16"/>
    </row>
    <row r="30" spans="1:30" ht="16" thickBot="1" x14ac:dyDescent="0.25">
      <c r="A30" s="16"/>
      <c r="B30" s="38"/>
      <c r="C30" s="16" t="s">
        <v>65</v>
      </c>
      <c r="D30" s="6">
        <v>0</v>
      </c>
      <c r="E30" s="135" t="s">
        <v>70</v>
      </c>
      <c r="F30" s="224" t="str">
        <f t="shared" si="11"/>
        <v xml:space="preserve"> </v>
      </c>
      <c r="G30" s="114" t="str">
        <f t="shared" si="12"/>
        <v xml:space="preserve"> </v>
      </c>
      <c r="H30" s="214" t="str">
        <f t="shared" si="13"/>
        <v xml:space="preserve"> </v>
      </c>
      <c r="I30" s="151" t="str">
        <f t="shared" si="0"/>
        <v xml:space="preserve"> </v>
      </c>
      <c r="J30" s="114" t="str">
        <f t="shared" si="14"/>
        <v xml:space="preserve"> </v>
      </c>
      <c r="K30" s="114" t="str">
        <f t="shared" si="15"/>
        <v xml:space="preserve"> </v>
      </c>
      <c r="L30" s="213" t="str">
        <f t="shared" si="3"/>
        <v xml:space="preserve"> </v>
      </c>
      <c r="M30" s="212" t="str">
        <f t="shared" si="16"/>
        <v xml:space="preserve"> </v>
      </c>
      <c r="N30" s="171" t="str">
        <f t="shared" si="17"/>
        <v xml:space="preserve"> </v>
      </c>
      <c r="O30" s="128">
        <f t="shared" si="1"/>
        <v>0</v>
      </c>
      <c r="P30" s="194" t="s">
        <v>6421</v>
      </c>
      <c r="Q30" s="128" t="s">
        <v>1226</v>
      </c>
      <c r="R30" s="128" t="s">
        <v>1226</v>
      </c>
      <c r="S30" s="173"/>
      <c r="T30" s="173"/>
      <c r="U30" s="173"/>
      <c r="V30" s="173"/>
      <c r="W30" s="173"/>
      <c r="X30" s="173"/>
      <c r="Y30" s="173"/>
      <c r="Z30" s="173"/>
      <c r="AA30" s="16"/>
      <c r="AB30" s="16"/>
      <c r="AC30" s="16"/>
      <c r="AD30" s="16"/>
    </row>
    <row r="31" spans="1:30" ht="16" thickBot="1" x14ac:dyDescent="0.25">
      <c r="A31" s="16"/>
      <c r="B31" s="38"/>
      <c r="C31" s="16" t="s">
        <v>66</v>
      </c>
      <c r="D31" s="6">
        <v>0</v>
      </c>
      <c r="E31" s="135" t="s">
        <v>70</v>
      </c>
      <c r="F31" s="224" t="str">
        <f t="shared" si="11"/>
        <v xml:space="preserve"> </v>
      </c>
      <c r="G31" s="114" t="str">
        <f t="shared" si="12"/>
        <v xml:space="preserve"> </v>
      </c>
      <c r="H31" s="214" t="str">
        <f t="shared" si="13"/>
        <v xml:space="preserve"> </v>
      </c>
      <c r="I31" s="151" t="str">
        <f t="shared" si="0"/>
        <v xml:space="preserve"> </v>
      </c>
      <c r="J31" s="114" t="str">
        <f t="shared" si="14"/>
        <v xml:space="preserve"> </v>
      </c>
      <c r="K31" s="114" t="str">
        <f t="shared" si="15"/>
        <v xml:space="preserve"> </v>
      </c>
      <c r="L31" s="213" t="str">
        <f t="shared" si="3"/>
        <v xml:space="preserve"> </v>
      </c>
      <c r="M31" s="212" t="str">
        <f t="shared" si="16"/>
        <v xml:space="preserve"> </v>
      </c>
      <c r="N31" s="171" t="str">
        <f t="shared" si="17"/>
        <v xml:space="preserve"> </v>
      </c>
      <c r="O31" s="128">
        <f t="shared" si="1"/>
        <v>0</v>
      </c>
      <c r="P31" s="194" t="s">
        <v>6421</v>
      </c>
      <c r="Q31" s="128" t="s">
        <v>1226</v>
      </c>
      <c r="R31" s="128" t="s">
        <v>1226</v>
      </c>
      <c r="S31" s="173"/>
      <c r="T31" s="173"/>
      <c r="U31" s="173"/>
      <c r="V31" s="173"/>
      <c r="W31" s="173"/>
      <c r="X31" s="173"/>
      <c r="Y31" s="173"/>
      <c r="Z31" s="173"/>
      <c r="AA31" s="16"/>
      <c r="AB31" s="16"/>
      <c r="AC31" s="16"/>
      <c r="AD31" s="16"/>
    </row>
    <row r="32" spans="1:30" ht="16" thickBot="1" x14ac:dyDescent="0.25">
      <c r="A32" s="16"/>
      <c r="B32" s="38"/>
      <c r="C32" s="16" t="s">
        <v>47</v>
      </c>
      <c r="D32" s="6">
        <v>0</v>
      </c>
      <c r="E32" s="135" t="s">
        <v>70</v>
      </c>
      <c r="F32" s="224" t="str">
        <f t="shared" si="11"/>
        <v xml:space="preserve"> </v>
      </c>
      <c r="G32" s="114" t="str">
        <f t="shared" si="12"/>
        <v xml:space="preserve"> </v>
      </c>
      <c r="H32" s="214" t="str">
        <f t="shared" si="13"/>
        <v xml:space="preserve"> </v>
      </c>
      <c r="I32" s="151" t="str">
        <f t="shared" si="0"/>
        <v xml:space="preserve"> </v>
      </c>
      <c r="J32" s="114" t="str">
        <f t="shared" si="14"/>
        <v xml:space="preserve"> </v>
      </c>
      <c r="K32" s="114" t="str">
        <f t="shared" si="15"/>
        <v xml:space="preserve"> </v>
      </c>
      <c r="L32" s="213" t="str">
        <f t="shared" si="3"/>
        <v xml:space="preserve"> </v>
      </c>
      <c r="M32" s="212" t="str">
        <f t="shared" si="16"/>
        <v xml:space="preserve"> </v>
      </c>
      <c r="N32" s="171" t="str">
        <f t="shared" si="17"/>
        <v xml:space="preserve"> </v>
      </c>
      <c r="O32" s="128">
        <f t="shared" si="1"/>
        <v>0</v>
      </c>
      <c r="P32" s="194" t="s">
        <v>6421</v>
      </c>
      <c r="Q32" s="128" t="s">
        <v>1226</v>
      </c>
      <c r="R32" s="128" t="s">
        <v>1226</v>
      </c>
      <c r="S32" s="173"/>
      <c r="T32" s="173"/>
      <c r="U32" s="173"/>
      <c r="V32" s="173"/>
      <c r="W32" s="173"/>
      <c r="X32" s="173"/>
      <c r="Y32" s="173"/>
      <c r="Z32" s="173"/>
      <c r="AA32" s="16"/>
      <c r="AB32" s="16"/>
      <c r="AC32" s="16"/>
      <c r="AD32" s="16"/>
    </row>
    <row r="33" spans="1:31" ht="16" thickBot="1" x14ac:dyDescent="0.25">
      <c r="A33" s="16"/>
      <c r="B33" s="38"/>
      <c r="C33" s="16" t="s">
        <v>48</v>
      </c>
      <c r="D33" s="6">
        <v>0</v>
      </c>
      <c r="E33" s="135" t="s">
        <v>70</v>
      </c>
      <c r="F33" s="224" t="str">
        <f t="shared" si="11"/>
        <v xml:space="preserve"> </v>
      </c>
      <c r="G33" s="114" t="str">
        <f t="shared" si="12"/>
        <v xml:space="preserve"> </v>
      </c>
      <c r="H33" s="214" t="str">
        <f t="shared" si="13"/>
        <v xml:space="preserve"> </v>
      </c>
      <c r="I33" s="151" t="str">
        <f t="shared" si="0"/>
        <v xml:space="preserve"> </v>
      </c>
      <c r="J33" s="114" t="str">
        <f t="shared" si="14"/>
        <v xml:space="preserve"> </v>
      </c>
      <c r="K33" s="114" t="str">
        <f t="shared" si="15"/>
        <v xml:space="preserve"> </v>
      </c>
      <c r="L33" s="213" t="str">
        <f t="shared" si="3"/>
        <v xml:space="preserve"> </v>
      </c>
      <c r="M33" s="212" t="str">
        <f t="shared" si="16"/>
        <v xml:space="preserve"> </v>
      </c>
      <c r="N33" s="171" t="str">
        <f t="shared" si="17"/>
        <v xml:space="preserve"> </v>
      </c>
      <c r="O33" s="128">
        <f t="shared" si="1"/>
        <v>0</v>
      </c>
      <c r="P33" s="194" t="s">
        <v>6421</v>
      </c>
      <c r="Q33" s="128" t="s">
        <v>1226</v>
      </c>
      <c r="R33" s="128" t="s">
        <v>1226</v>
      </c>
      <c r="S33" s="173"/>
      <c r="T33" s="173"/>
      <c r="U33" s="173"/>
      <c r="V33" s="173"/>
      <c r="W33" s="173"/>
      <c r="X33" s="173"/>
      <c r="Y33" s="173"/>
      <c r="Z33" s="173"/>
      <c r="AA33" s="16"/>
      <c r="AB33" s="16"/>
      <c r="AC33" s="16"/>
      <c r="AD33" s="16"/>
    </row>
    <row r="34" spans="1:31" ht="16" thickBot="1" x14ac:dyDescent="0.25">
      <c r="A34" s="16"/>
      <c r="B34" s="38"/>
      <c r="C34" s="99" t="s">
        <v>42</v>
      </c>
      <c r="D34" s="6">
        <v>0</v>
      </c>
      <c r="E34" s="135" t="s">
        <v>70</v>
      </c>
      <c r="F34" s="224" t="str">
        <f t="shared" si="11"/>
        <v xml:space="preserve"> </v>
      </c>
      <c r="G34" s="114" t="str">
        <f t="shared" si="12"/>
        <v xml:space="preserve"> </v>
      </c>
      <c r="H34" s="214" t="str">
        <f t="shared" si="13"/>
        <v xml:space="preserve"> </v>
      </c>
      <c r="I34" s="151" t="str">
        <f t="shared" si="0"/>
        <v xml:space="preserve"> </v>
      </c>
      <c r="J34" s="114" t="str">
        <f t="shared" si="14"/>
        <v xml:space="preserve"> </v>
      </c>
      <c r="K34" s="114" t="str">
        <f t="shared" si="15"/>
        <v xml:space="preserve"> </v>
      </c>
      <c r="L34" s="213" t="str">
        <f t="shared" si="3"/>
        <v xml:space="preserve"> </v>
      </c>
      <c r="M34" s="212" t="str">
        <f t="shared" si="16"/>
        <v xml:space="preserve"> </v>
      </c>
      <c r="N34" s="171" t="str">
        <f t="shared" si="17"/>
        <v xml:space="preserve"> </v>
      </c>
      <c r="O34" s="128">
        <f t="shared" si="1"/>
        <v>0</v>
      </c>
      <c r="P34" s="194" t="s">
        <v>6421</v>
      </c>
      <c r="Q34" s="128" t="s">
        <v>1226</v>
      </c>
      <c r="R34" s="128" t="s">
        <v>1226</v>
      </c>
      <c r="S34" s="173"/>
      <c r="T34" s="173"/>
      <c r="U34" s="173"/>
      <c r="V34" s="173"/>
      <c r="W34" s="173"/>
      <c r="X34" s="173"/>
      <c r="Y34" s="173"/>
      <c r="Z34" s="173"/>
      <c r="AA34" s="16"/>
      <c r="AB34" s="16"/>
      <c r="AC34" s="16"/>
      <c r="AD34" s="16"/>
    </row>
    <row r="35" spans="1:31" ht="16" thickBot="1" x14ac:dyDescent="0.25">
      <c r="A35" s="16"/>
      <c r="B35" s="38"/>
      <c r="C35" s="99" t="s">
        <v>43</v>
      </c>
      <c r="D35" s="6">
        <v>0</v>
      </c>
      <c r="E35" s="135" t="s">
        <v>70</v>
      </c>
      <c r="F35" s="224" t="str">
        <f t="shared" si="11"/>
        <v xml:space="preserve"> </v>
      </c>
      <c r="G35" s="114" t="str">
        <f t="shared" si="12"/>
        <v xml:space="preserve"> </v>
      </c>
      <c r="H35" s="214" t="str">
        <f t="shared" si="13"/>
        <v xml:space="preserve"> </v>
      </c>
      <c r="I35" s="151" t="str">
        <f t="shared" si="0"/>
        <v xml:space="preserve"> </v>
      </c>
      <c r="J35" s="114" t="str">
        <f t="shared" si="14"/>
        <v xml:space="preserve"> </v>
      </c>
      <c r="K35" s="114" t="str">
        <f t="shared" si="15"/>
        <v xml:space="preserve"> </v>
      </c>
      <c r="L35" s="213" t="str">
        <f t="shared" si="3"/>
        <v xml:space="preserve"> </v>
      </c>
      <c r="M35" s="212" t="str">
        <f t="shared" si="16"/>
        <v xml:space="preserve"> </v>
      </c>
      <c r="N35" s="171" t="str">
        <f t="shared" si="17"/>
        <v xml:space="preserve"> </v>
      </c>
      <c r="O35" s="128">
        <f t="shared" si="1"/>
        <v>0</v>
      </c>
      <c r="P35" s="194" t="s">
        <v>6421</v>
      </c>
      <c r="Q35" s="128" t="s">
        <v>1226</v>
      </c>
      <c r="R35" s="128" t="s">
        <v>1226</v>
      </c>
      <c r="S35" s="173"/>
      <c r="T35" s="173"/>
      <c r="U35" s="173"/>
      <c r="V35" s="173"/>
      <c r="W35" s="173"/>
      <c r="X35" s="173"/>
      <c r="Y35" s="173"/>
      <c r="Z35" s="173"/>
      <c r="AA35" s="16"/>
      <c r="AB35" s="16"/>
      <c r="AC35" s="16"/>
      <c r="AD35" s="16"/>
    </row>
    <row r="36" spans="1:31" ht="16" thickBot="1" x14ac:dyDescent="0.25">
      <c r="A36" s="16"/>
      <c r="B36" s="39"/>
      <c r="C36" s="100" t="s">
        <v>49</v>
      </c>
      <c r="D36" s="6">
        <v>0</v>
      </c>
      <c r="E36" s="135" t="s">
        <v>70</v>
      </c>
      <c r="F36" s="224" t="str">
        <f t="shared" si="11"/>
        <v xml:space="preserve"> </v>
      </c>
      <c r="G36" s="114" t="str">
        <f t="shared" si="12"/>
        <v xml:space="preserve"> </v>
      </c>
      <c r="H36" s="214" t="str">
        <f t="shared" si="13"/>
        <v xml:space="preserve"> </v>
      </c>
      <c r="I36" s="227" t="str">
        <f t="shared" si="0"/>
        <v xml:space="preserve"> </v>
      </c>
      <c r="J36" s="117" t="str">
        <f t="shared" si="14"/>
        <v xml:space="preserve"> </v>
      </c>
      <c r="K36" s="117" t="str">
        <f t="shared" si="15"/>
        <v xml:space="preserve"> </v>
      </c>
      <c r="L36" s="213" t="str">
        <f t="shared" si="3"/>
        <v xml:space="preserve"> </v>
      </c>
      <c r="M36" s="212" t="str">
        <f t="shared" si="16"/>
        <v xml:space="preserve"> </v>
      </c>
      <c r="N36" s="171" t="str">
        <f t="shared" si="17"/>
        <v xml:space="preserve"> </v>
      </c>
      <c r="O36" s="128">
        <f t="shared" si="1"/>
        <v>0</v>
      </c>
      <c r="P36" s="194" t="s">
        <v>6421</v>
      </c>
      <c r="Q36" s="128" t="s">
        <v>1226</v>
      </c>
      <c r="R36" s="128" t="s">
        <v>1226</v>
      </c>
      <c r="S36" s="173"/>
      <c r="T36" s="173"/>
      <c r="U36" s="173"/>
      <c r="V36" s="173"/>
      <c r="W36" s="173"/>
      <c r="X36" s="173"/>
      <c r="Y36" s="173"/>
      <c r="Z36" s="173"/>
      <c r="AA36" s="16"/>
      <c r="AB36" s="16"/>
      <c r="AC36" s="16"/>
      <c r="AD36" s="16"/>
    </row>
    <row r="37" spans="1:31" x14ac:dyDescent="0.2">
      <c r="A37" s="16"/>
      <c r="B37" s="16"/>
      <c r="C37" s="16"/>
      <c r="D37" s="16"/>
      <c r="E37" s="205"/>
      <c r="F37" s="205" t="str">
        <f>IF(SUM(D25:D36)&gt;0,"* Free Tier devices do not require a subscription."," ")</f>
        <v xml:space="preserve"> </v>
      </c>
      <c r="G37" s="118"/>
      <c r="H37" s="110"/>
      <c r="I37" s="110"/>
      <c r="J37" s="109"/>
      <c r="K37" s="210" t="s">
        <v>6674</v>
      </c>
      <c r="L37" s="109">
        <f t="shared" si="3"/>
        <v>0</v>
      </c>
      <c r="M37" s="109"/>
      <c r="N37" s="110"/>
      <c r="O37" s="110"/>
      <c r="P37" s="16"/>
      <c r="Q37" s="16"/>
      <c r="R37" s="16"/>
      <c r="S37" s="16"/>
      <c r="T37" s="16"/>
      <c r="U37" s="16"/>
      <c r="V37" s="16"/>
      <c r="W37" s="16"/>
      <c r="X37" s="16"/>
      <c r="Y37" s="16"/>
      <c r="Z37" s="16"/>
      <c r="AA37" s="16"/>
      <c r="AB37" s="16"/>
      <c r="AC37" s="16"/>
      <c r="AD37" s="16"/>
      <c r="AE37" s="16"/>
    </row>
    <row r="38" spans="1:31" x14ac:dyDescent="0.2">
      <c r="A38" s="16"/>
      <c r="B38" s="16"/>
      <c r="C38" s="16"/>
      <c r="D38" s="16"/>
      <c r="E38" s="205"/>
      <c r="F38" s="205" t="str">
        <f>IF(SUM(D25:D36)&gt;0,"   Subscription SKUs will not be added to the"," ")</f>
        <v xml:space="preserve"> </v>
      </c>
      <c r="G38" s="118"/>
      <c r="H38" s="110"/>
      <c r="I38" s="110"/>
      <c r="J38" s="109"/>
      <c r="K38" s="109"/>
      <c r="L38" s="109"/>
      <c r="M38" s="109"/>
      <c r="N38" s="110"/>
      <c r="O38" s="110"/>
      <c r="P38" s="16"/>
      <c r="Q38" s="16"/>
      <c r="R38" s="16"/>
      <c r="S38" s="16"/>
      <c r="T38" s="16"/>
      <c r="U38" s="16"/>
      <c r="V38" s="16"/>
      <c r="W38" s="16"/>
      <c r="X38" s="16"/>
      <c r="Y38" s="16"/>
      <c r="Z38" s="16"/>
      <c r="AA38" s="16"/>
      <c r="AB38" s="16"/>
      <c r="AC38" s="16"/>
      <c r="AD38" s="16"/>
      <c r="AE38" s="16"/>
    </row>
    <row r="39" spans="1:31" x14ac:dyDescent="0.2">
      <c r="A39" s="16"/>
      <c r="B39" s="16"/>
      <c r="C39" s="16"/>
      <c r="D39" s="16"/>
      <c r="E39" s="16"/>
      <c r="F39" s="16" t="str">
        <f>IF(SUM(D25:D36)&gt;0,"   BOM for these devices."," ")</f>
        <v xml:space="preserve"> </v>
      </c>
      <c r="G39" s="118"/>
      <c r="H39" s="110"/>
      <c r="I39" s="110"/>
      <c r="J39" s="109"/>
      <c r="K39" s="109"/>
      <c r="L39" s="109"/>
      <c r="M39" s="109"/>
      <c r="N39" s="109"/>
      <c r="O39" s="109"/>
      <c r="P39" s="16"/>
      <c r="Q39" s="16"/>
      <c r="R39" s="16"/>
      <c r="S39" s="16"/>
      <c r="T39" s="16"/>
      <c r="U39" s="16"/>
      <c r="V39" s="16"/>
      <c r="W39" s="16"/>
      <c r="X39" s="16"/>
      <c r="Y39" s="16"/>
      <c r="Z39" s="16"/>
      <c r="AA39" s="16"/>
      <c r="AB39" s="16"/>
      <c r="AC39" s="16"/>
      <c r="AD39" s="16"/>
      <c r="AE39" s="16"/>
    </row>
    <row r="40" spans="1:31" x14ac:dyDescent="0.2">
      <c r="A40" s="16"/>
      <c r="B40" s="16"/>
      <c r="C40" s="16"/>
      <c r="D40" s="16"/>
      <c r="E40" s="16"/>
      <c r="F40" s="128"/>
      <c r="G40" s="118"/>
      <c r="H40" s="110"/>
      <c r="I40" s="109"/>
      <c r="J40" s="109"/>
      <c r="K40" s="109"/>
      <c r="L40" s="109"/>
      <c r="M40" s="109"/>
      <c r="N40" s="109"/>
      <c r="O40" s="109"/>
      <c r="P40" s="16"/>
      <c r="Q40" s="16"/>
      <c r="R40" s="16"/>
      <c r="S40" s="16"/>
      <c r="T40" s="16"/>
      <c r="U40" s="16"/>
      <c r="V40" s="16"/>
      <c r="W40" s="16"/>
      <c r="X40" s="16"/>
      <c r="Y40" s="16"/>
      <c r="Z40" s="16"/>
      <c r="AA40" s="16"/>
      <c r="AB40" s="16"/>
      <c r="AC40" s="16"/>
      <c r="AD40" s="16"/>
      <c r="AE40" s="16"/>
    </row>
    <row r="41" spans="1:31" x14ac:dyDescent="0.2">
      <c r="A41" s="16"/>
      <c r="B41" s="16"/>
      <c r="C41" s="16"/>
      <c r="D41" s="16"/>
      <c r="E41" s="16"/>
      <c r="F41" s="152" t="s">
        <v>6357</v>
      </c>
      <c r="G41" s="230"/>
      <c r="H41" s="231"/>
      <c r="I41" s="152" t="s">
        <v>6358</v>
      </c>
      <c r="J41" s="152" t="s">
        <v>6359</v>
      </c>
      <c r="K41" s="152" t="s">
        <v>6360</v>
      </c>
      <c r="L41" s="152" t="s">
        <v>6361</v>
      </c>
      <c r="M41" s="109"/>
      <c r="N41" s="109"/>
      <c r="O41" s="109"/>
      <c r="P41" s="16"/>
      <c r="Q41" s="16"/>
      <c r="R41" s="16"/>
      <c r="S41" s="16"/>
      <c r="T41" s="16"/>
      <c r="U41" s="16"/>
      <c r="V41" s="16"/>
      <c r="W41" s="16"/>
      <c r="X41" s="16"/>
      <c r="Y41" s="16"/>
      <c r="Z41" s="16"/>
      <c r="AA41" s="16"/>
      <c r="AB41" s="16"/>
      <c r="AC41" s="16"/>
      <c r="AD41" s="16"/>
      <c r="AE41" s="16"/>
    </row>
    <row r="42" spans="1:31" x14ac:dyDescent="0.2">
      <c r="A42" s="16"/>
      <c r="B42" s="16"/>
      <c r="C42" s="203" t="s">
        <v>6352</v>
      </c>
      <c r="D42" s="204"/>
      <c r="E42" s="204"/>
      <c r="F42" s="204">
        <f>SUMIF($F$6:$F$36,"Tier1",$D$6:$D$36)</f>
        <v>0</v>
      </c>
      <c r="G42" s="128"/>
      <c r="H42" s="109"/>
      <c r="I42" s="109" cm="1">
        <f t="array" ref="I42">cnMX_T1_P1_Total</f>
        <v>0</v>
      </c>
      <c r="J42" s="109" cm="1">
        <f t="array" ref="J42">cnMX_T1_P2_Total</f>
        <v>0</v>
      </c>
      <c r="K42" s="109" cm="1">
        <f t="array" ref="K42">cnMX_T1_P3_Total</f>
        <v>0</v>
      </c>
      <c r="L42" s="109">
        <f>SUM(F42:K42)</f>
        <v>0</v>
      </c>
      <c r="M42" s="109"/>
      <c r="N42" s="109"/>
      <c r="O42" s="109"/>
      <c r="P42" s="16"/>
      <c r="Q42" s="16"/>
      <c r="R42" s="16"/>
      <c r="S42" s="16"/>
      <c r="T42" s="16"/>
      <c r="U42" s="16"/>
      <c r="V42" s="16"/>
      <c r="W42" s="16"/>
      <c r="X42" s="16"/>
      <c r="Y42" s="16"/>
      <c r="Z42" s="16"/>
      <c r="AA42" s="16"/>
      <c r="AB42" s="16"/>
      <c r="AC42" s="16"/>
      <c r="AD42" s="16"/>
      <c r="AE42" s="16"/>
    </row>
    <row r="43" spans="1:31" x14ac:dyDescent="0.2">
      <c r="A43" s="16"/>
      <c r="B43" s="16"/>
      <c r="C43" s="203" t="s">
        <v>6353</v>
      </c>
      <c r="D43" s="204"/>
      <c r="E43" s="204"/>
      <c r="F43" s="204">
        <f>SUMIF($F$6:$F$36,"Tier2",$D$6:$D$36)</f>
        <v>0</v>
      </c>
      <c r="G43" s="128"/>
      <c r="H43" s="109"/>
      <c r="I43" s="109" cm="1">
        <f t="array" ref="I43">cnMX_T2_P1_Total</f>
        <v>0</v>
      </c>
      <c r="J43" s="109">
        <f>cnMX_T2_P2_Total</f>
        <v>0</v>
      </c>
      <c r="K43" s="109">
        <f>cnMX_T2_P3_Total</f>
        <v>0</v>
      </c>
      <c r="L43" s="109">
        <f>SUM(F43:K43)</f>
        <v>0</v>
      </c>
      <c r="M43" s="109"/>
      <c r="N43" s="109"/>
      <c r="O43" s="16"/>
      <c r="P43" s="16"/>
      <c r="Q43" s="16"/>
      <c r="R43" s="16"/>
      <c r="S43" s="16"/>
      <c r="T43" s="16"/>
      <c r="U43" s="16"/>
      <c r="V43" s="16"/>
      <c r="W43" s="16"/>
      <c r="X43" s="16"/>
      <c r="Y43" s="16"/>
      <c r="Z43" s="16"/>
      <c r="AA43" s="16"/>
      <c r="AB43" s="16"/>
      <c r="AC43" s="16"/>
      <c r="AD43" s="16"/>
    </row>
    <row r="44" spans="1:31" x14ac:dyDescent="0.2">
      <c r="A44" s="16"/>
      <c r="B44" s="16"/>
      <c r="C44" s="203" t="s">
        <v>6354</v>
      </c>
      <c r="D44" s="203"/>
      <c r="E44" s="203"/>
      <c r="F44" s="204">
        <f>SUMIF($F$6:$F$36,"Tier3",$D$6:$D$36)</f>
        <v>0</v>
      </c>
      <c r="G44" s="128"/>
      <c r="H44" s="109"/>
      <c r="I44" s="109" cm="1">
        <f t="array" ref="I44">cnMX_T3_P1_Total</f>
        <v>0</v>
      </c>
      <c r="J44" s="109">
        <f>cnMX_T3_P2_Total</f>
        <v>0</v>
      </c>
      <c r="K44" s="109">
        <f>cnMX_T3_P3_Total</f>
        <v>0</v>
      </c>
      <c r="L44" s="109">
        <f>SUM(F44:K44)</f>
        <v>0</v>
      </c>
      <c r="M44" s="109"/>
      <c r="N44" s="109"/>
      <c r="O44" s="16"/>
      <c r="P44" s="16"/>
      <c r="Q44" s="16"/>
      <c r="R44" s="16"/>
      <c r="S44" s="16"/>
      <c r="T44" s="16"/>
      <c r="U44" s="16"/>
      <c r="V44" s="16"/>
      <c r="W44" s="16"/>
      <c r="X44" s="16"/>
      <c r="Y44" s="16"/>
      <c r="Z44" s="16"/>
      <c r="AA44" s="16"/>
      <c r="AB44" s="16"/>
      <c r="AC44" s="16"/>
      <c r="AD44" s="16"/>
    </row>
    <row r="45" spans="1:31" x14ac:dyDescent="0.2">
      <c r="A45" s="16"/>
      <c r="B45" s="16"/>
      <c r="C45" s="203" t="s">
        <v>6355</v>
      </c>
      <c r="D45" s="203"/>
      <c r="E45" s="203"/>
      <c r="F45" s="204">
        <f>SUMIF($F$6:$F$36,"Tier4",$D$6:$D$36)</f>
        <v>0</v>
      </c>
      <c r="G45" s="128"/>
      <c r="H45" s="109"/>
      <c r="I45" s="109" cm="1">
        <f t="array" ref="I45">cnMX_T4_P1_Total</f>
        <v>0</v>
      </c>
      <c r="J45" s="109">
        <f>cnMX_T4_P2_Total</f>
        <v>0</v>
      </c>
      <c r="K45" s="109">
        <f>cnMX_T4_P3_Total</f>
        <v>0</v>
      </c>
      <c r="L45" s="109">
        <f>SUM(F45:K45)</f>
        <v>0</v>
      </c>
      <c r="M45" s="109"/>
      <c r="N45" s="109"/>
      <c r="O45" s="16"/>
      <c r="P45" s="16"/>
      <c r="Q45" s="16"/>
      <c r="R45" s="16"/>
      <c r="S45" s="16"/>
      <c r="T45" s="16"/>
      <c r="U45" s="16"/>
      <c r="V45" s="16"/>
      <c r="W45" s="16"/>
      <c r="X45" s="16"/>
      <c r="Y45" s="16"/>
      <c r="Z45" s="16"/>
      <c r="AA45" s="16"/>
      <c r="AB45" s="16"/>
      <c r="AC45" s="16"/>
      <c r="AD45" s="16"/>
    </row>
    <row r="46" spans="1:31" x14ac:dyDescent="0.2">
      <c r="A46" s="16"/>
      <c r="B46" s="16"/>
      <c r="C46" s="203" t="s">
        <v>6356</v>
      </c>
      <c r="D46" s="203"/>
      <c r="E46" s="203"/>
      <c r="F46" s="204">
        <f>SUMIF($F$6:$F$36,"Tier5",$D$6:$D$36)</f>
        <v>0</v>
      </c>
      <c r="G46" s="128"/>
      <c r="H46" s="109"/>
      <c r="I46" s="109" cm="1">
        <f t="array" ref="I46">cnMX_T5_P1_Total</f>
        <v>0</v>
      </c>
      <c r="J46" s="109">
        <f>cnMX_T5_P2_Total</f>
        <v>0</v>
      </c>
      <c r="K46" s="109">
        <f>cnMX_T5_P3_Total</f>
        <v>0</v>
      </c>
      <c r="L46" s="109">
        <f>SUM(F46:K46)</f>
        <v>0</v>
      </c>
      <c r="M46" s="109"/>
      <c r="N46" s="109"/>
      <c r="O46" s="16"/>
      <c r="P46" s="16"/>
      <c r="Q46" s="16"/>
      <c r="R46" s="16"/>
      <c r="S46" s="16"/>
      <c r="T46" s="16"/>
      <c r="U46" s="16"/>
      <c r="V46" s="16"/>
      <c r="W46" s="16"/>
      <c r="X46" s="16"/>
      <c r="Y46" s="16"/>
      <c r="Z46" s="16"/>
      <c r="AA46" s="16"/>
      <c r="AB46" s="16"/>
      <c r="AC46" s="16"/>
      <c r="AD46" s="16"/>
    </row>
    <row r="47" spans="1:31" x14ac:dyDescent="0.2">
      <c r="A47" s="16"/>
      <c r="B47" s="16"/>
      <c r="C47" s="16"/>
      <c r="D47" s="16"/>
      <c r="E47" s="16"/>
      <c r="F47" s="109"/>
      <c r="G47" s="109"/>
      <c r="H47" s="109"/>
      <c r="I47" s="109"/>
      <c r="J47" s="109"/>
      <c r="K47" s="109"/>
      <c r="L47" s="109"/>
      <c r="M47" s="109"/>
      <c r="N47" s="109"/>
      <c r="O47" s="16"/>
      <c r="P47" s="16"/>
      <c r="Q47" s="16"/>
      <c r="R47" s="16"/>
      <c r="S47" s="16"/>
      <c r="T47" s="16"/>
      <c r="U47" s="16"/>
      <c r="V47" s="16"/>
      <c r="W47" s="16"/>
      <c r="X47" s="16"/>
      <c r="Y47" s="16"/>
      <c r="Z47" s="16"/>
      <c r="AA47" s="16"/>
      <c r="AB47" s="16"/>
      <c r="AC47" s="16"/>
      <c r="AD47" s="16"/>
    </row>
    <row r="48" spans="1:31" x14ac:dyDescent="0.2">
      <c r="A48" s="16"/>
      <c r="B48" s="16"/>
      <c r="C48" s="16"/>
      <c r="D48" s="16"/>
      <c r="E48" s="16"/>
      <c r="F48" s="109"/>
      <c r="G48" s="109"/>
      <c r="H48" s="109"/>
      <c r="I48" s="109"/>
      <c r="J48" s="109"/>
      <c r="K48" s="109"/>
      <c r="L48" s="109"/>
      <c r="M48" s="109"/>
      <c r="N48" s="109"/>
      <c r="O48" s="16"/>
      <c r="P48" s="16"/>
      <c r="Q48" s="16"/>
      <c r="R48" s="16"/>
      <c r="S48" s="16"/>
      <c r="T48" s="16"/>
      <c r="U48" s="16"/>
      <c r="V48" s="16"/>
      <c r="W48" s="16"/>
      <c r="X48" s="16"/>
      <c r="Y48" s="16"/>
      <c r="Z48" s="16"/>
      <c r="AA48" s="16"/>
      <c r="AB48" s="16"/>
      <c r="AC48" s="16"/>
      <c r="AD48" s="16"/>
    </row>
    <row r="49" spans="1:30" x14ac:dyDescent="0.2">
      <c r="A49" s="16"/>
      <c r="B49" s="16"/>
      <c r="C49" s="16"/>
      <c r="D49" s="16"/>
      <c r="E49" s="16"/>
      <c r="F49" s="109"/>
      <c r="G49" s="109"/>
      <c r="H49" s="109"/>
      <c r="I49" s="109"/>
      <c r="J49" s="109"/>
      <c r="K49" s="109"/>
      <c r="L49" s="109"/>
      <c r="M49" s="109"/>
      <c r="N49" s="109"/>
      <c r="O49" s="16"/>
      <c r="P49" s="16"/>
      <c r="Q49" s="16"/>
      <c r="R49" s="16"/>
      <c r="S49" s="16"/>
      <c r="T49" s="16"/>
      <c r="U49" s="16"/>
      <c r="V49" s="16"/>
      <c r="W49" s="16"/>
      <c r="X49" s="16"/>
      <c r="Y49" s="16"/>
      <c r="Z49" s="16"/>
      <c r="AA49" s="16"/>
      <c r="AB49" s="16"/>
      <c r="AC49" s="16"/>
      <c r="AD49" s="16"/>
    </row>
    <row r="50" spans="1:30" x14ac:dyDescent="0.2">
      <c r="A50" s="16"/>
      <c r="B50" s="16"/>
      <c r="C50" s="16"/>
      <c r="D50" s="16"/>
      <c r="E50" s="16"/>
      <c r="F50" s="109"/>
      <c r="G50" s="109"/>
      <c r="H50" s="109"/>
      <c r="I50" s="109"/>
      <c r="J50" s="109"/>
      <c r="K50" s="109"/>
      <c r="L50" s="109"/>
      <c r="M50" s="109"/>
      <c r="N50" s="109"/>
      <c r="O50" s="16"/>
      <c r="P50" s="16"/>
      <c r="Q50" s="16"/>
      <c r="R50" s="16"/>
      <c r="S50" s="16"/>
      <c r="T50" s="16"/>
      <c r="U50" s="16"/>
      <c r="V50" s="16"/>
      <c r="W50" s="16"/>
      <c r="X50" s="16"/>
      <c r="Y50" s="16"/>
      <c r="Z50" s="16"/>
      <c r="AA50" s="16"/>
      <c r="AB50" s="16"/>
      <c r="AC50" s="16"/>
      <c r="AD50" s="16"/>
    </row>
    <row r="51" spans="1:30" x14ac:dyDescent="0.2">
      <c r="A51" s="16"/>
      <c r="B51" s="16"/>
      <c r="C51" s="16"/>
      <c r="D51" s="16"/>
      <c r="E51" s="16"/>
      <c r="F51" s="109"/>
      <c r="G51" s="109"/>
      <c r="H51" s="109"/>
      <c r="I51" s="109"/>
      <c r="J51" s="109"/>
      <c r="K51" s="109"/>
      <c r="L51" s="109"/>
      <c r="M51" s="109"/>
      <c r="N51" s="109"/>
      <c r="O51" s="16"/>
      <c r="P51" s="16"/>
      <c r="Q51" s="16"/>
      <c r="R51" s="16"/>
      <c r="S51" s="16"/>
      <c r="T51" s="16"/>
      <c r="U51" s="16"/>
      <c r="V51" s="16"/>
      <c r="W51" s="16"/>
      <c r="X51" s="16"/>
      <c r="Y51" s="16"/>
      <c r="Z51" s="16"/>
      <c r="AA51" s="16"/>
      <c r="AB51" s="16"/>
      <c r="AC51" s="16"/>
      <c r="AD51" s="16"/>
    </row>
    <row r="52" spans="1:30" x14ac:dyDescent="0.2">
      <c r="A52" s="16"/>
      <c r="B52" s="16"/>
      <c r="C52" s="16"/>
      <c r="D52" s="16"/>
      <c r="E52" s="16"/>
      <c r="F52" s="109"/>
      <c r="G52" s="109"/>
      <c r="H52" s="109"/>
      <c r="I52" s="109"/>
      <c r="J52" s="109"/>
      <c r="K52" s="109"/>
      <c r="L52" s="109"/>
      <c r="M52" s="109"/>
      <c r="N52" s="109"/>
      <c r="O52" s="16"/>
      <c r="P52" s="16"/>
      <c r="Q52" s="16"/>
      <c r="R52" s="16"/>
      <c r="S52" s="16"/>
      <c r="T52" s="16"/>
      <c r="U52" s="16"/>
      <c r="V52" s="16"/>
      <c r="W52" s="16"/>
      <c r="X52" s="16"/>
      <c r="Y52" s="16"/>
      <c r="Z52" s="16"/>
      <c r="AA52" s="16"/>
      <c r="AB52" s="16"/>
      <c r="AC52" s="16"/>
      <c r="AD52" s="16"/>
    </row>
    <row r="53" spans="1:30" x14ac:dyDescent="0.2">
      <c r="A53" s="16"/>
      <c r="B53" s="16"/>
      <c r="C53" s="16"/>
      <c r="D53" s="16"/>
      <c r="E53" s="16"/>
      <c r="F53" s="109"/>
      <c r="G53" s="109"/>
      <c r="H53" s="109"/>
      <c r="I53" s="109"/>
      <c r="J53" s="109"/>
      <c r="K53" s="109"/>
      <c r="L53" s="109"/>
      <c r="M53" s="109"/>
      <c r="N53" s="109"/>
      <c r="O53" s="16"/>
      <c r="P53" s="16"/>
      <c r="Q53" s="16"/>
      <c r="R53" s="16"/>
      <c r="S53" s="16"/>
      <c r="T53" s="16"/>
      <c r="U53" s="16"/>
      <c r="V53" s="16"/>
      <c r="W53" s="16"/>
      <c r="X53" s="16"/>
      <c r="Y53" s="16"/>
      <c r="Z53" s="16"/>
      <c r="AA53" s="16"/>
      <c r="AB53" s="16"/>
      <c r="AC53" s="16"/>
      <c r="AD53" s="16"/>
    </row>
    <row r="54" spans="1:30" x14ac:dyDescent="0.2">
      <c r="A54" s="16"/>
      <c r="B54" s="16"/>
      <c r="C54" s="16"/>
      <c r="D54" s="16"/>
      <c r="E54" s="16"/>
      <c r="F54" s="109"/>
      <c r="G54" s="109"/>
      <c r="H54" s="109"/>
      <c r="I54" s="109"/>
      <c r="J54" s="109"/>
      <c r="K54" s="109"/>
      <c r="L54" s="109"/>
      <c r="M54" s="109"/>
      <c r="N54" s="109"/>
      <c r="O54" s="16"/>
      <c r="P54" s="16"/>
      <c r="Q54" s="16"/>
      <c r="R54" s="16"/>
      <c r="S54" s="16"/>
      <c r="T54" s="16"/>
      <c r="U54" s="16"/>
      <c r="V54" s="16"/>
      <c r="W54" s="16"/>
      <c r="X54" s="16"/>
      <c r="Y54" s="16"/>
      <c r="Z54" s="16"/>
      <c r="AA54" s="16"/>
      <c r="AB54" s="16"/>
      <c r="AC54" s="16"/>
      <c r="AD54" s="16"/>
    </row>
    <row r="55" spans="1:30" x14ac:dyDescent="0.2">
      <c r="A55" s="16"/>
      <c r="B55" s="16"/>
      <c r="C55" s="16"/>
      <c r="D55" s="16"/>
      <c r="E55" s="16"/>
      <c r="F55" s="109"/>
      <c r="G55" s="109"/>
      <c r="H55" s="109"/>
      <c r="I55" s="109"/>
      <c r="J55" s="109"/>
      <c r="K55" s="109"/>
      <c r="L55" s="109"/>
      <c r="M55" s="109"/>
      <c r="N55" s="109"/>
      <c r="O55" s="16"/>
      <c r="P55" s="16"/>
      <c r="Q55" s="16"/>
      <c r="R55" s="16"/>
      <c r="S55" s="16"/>
      <c r="T55" s="16"/>
      <c r="U55" s="16"/>
      <c r="V55" s="16"/>
      <c r="W55" s="16"/>
      <c r="X55" s="16"/>
      <c r="Y55" s="16"/>
      <c r="Z55" s="16"/>
      <c r="AA55" s="16"/>
      <c r="AB55" s="16"/>
      <c r="AC55" s="16"/>
      <c r="AD55" s="16"/>
    </row>
    <row r="56" spans="1:30" x14ac:dyDescent="0.2">
      <c r="A56" s="16"/>
      <c r="B56" s="16"/>
      <c r="C56" s="16"/>
      <c r="D56" s="16"/>
      <c r="E56" s="16"/>
      <c r="F56" s="109"/>
      <c r="G56" s="109"/>
      <c r="H56" s="109"/>
      <c r="I56" s="109"/>
      <c r="J56" s="109"/>
      <c r="K56" s="109"/>
      <c r="L56" s="109"/>
      <c r="M56" s="109"/>
      <c r="N56" s="109"/>
      <c r="O56" s="16"/>
      <c r="P56" s="16"/>
      <c r="Q56" s="16"/>
      <c r="R56" s="16"/>
      <c r="S56" s="16"/>
      <c r="T56" s="16"/>
      <c r="U56" s="16"/>
      <c r="V56" s="16"/>
      <c r="W56" s="16"/>
      <c r="X56" s="16"/>
      <c r="Y56" s="16"/>
      <c r="Z56" s="16"/>
      <c r="AA56" s="16"/>
      <c r="AB56" s="16"/>
      <c r="AC56" s="16"/>
      <c r="AD56" s="16"/>
    </row>
    <row r="57" spans="1:30" x14ac:dyDescent="0.2">
      <c r="A57" s="16"/>
      <c r="B57" s="16"/>
      <c r="C57" s="16"/>
      <c r="D57" s="16"/>
      <c r="E57" s="16"/>
      <c r="F57" s="109"/>
      <c r="G57" s="109"/>
      <c r="H57" s="109"/>
      <c r="I57" s="109"/>
      <c r="J57" s="109"/>
      <c r="K57" s="109"/>
      <c r="L57" s="109"/>
      <c r="M57" s="109"/>
      <c r="N57" s="109"/>
      <c r="O57" s="16"/>
      <c r="P57" s="16"/>
      <c r="Q57" s="16"/>
      <c r="R57" s="16"/>
      <c r="S57" s="16"/>
      <c r="T57" s="16"/>
      <c r="U57" s="16"/>
      <c r="V57" s="16"/>
      <c r="W57" s="16"/>
      <c r="X57" s="16"/>
      <c r="Y57" s="16"/>
      <c r="Z57" s="16"/>
      <c r="AA57" s="16"/>
      <c r="AB57" s="16"/>
      <c r="AC57" s="16"/>
      <c r="AD57" s="16"/>
    </row>
    <row r="58" spans="1:30" x14ac:dyDescent="0.2">
      <c r="A58" s="16"/>
      <c r="B58" s="16"/>
      <c r="C58" s="16"/>
      <c r="D58" s="16"/>
      <c r="E58" s="16"/>
      <c r="F58" s="109"/>
      <c r="G58" s="109"/>
      <c r="H58" s="109"/>
      <c r="I58" s="109"/>
      <c r="J58" s="109"/>
      <c r="K58" s="109"/>
      <c r="L58" s="109"/>
      <c r="M58" s="109"/>
      <c r="N58" s="109"/>
      <c r="O58" s="16"/>
      <c r="P58" s="16"/>
      <c r="Q58" s="16"/>
      <c r="R58" s="16"/>
      <c r="S58" s="16"/>
      <c r="T58" s="16"/>
      <c r="U58" s="16"/>
      <c r="V58" s="16"/>
      <c r="W58" s="16"/>
      <c r="X58" s="16"/>
      <c r="Y58" s="16"/>
      <c r="Z58" s="16"/>
      <c r="AA58" s="16"/>
      <c r="AB58" s="16"/>
      <c r="AC58" s="16"/>
      <c r="AD58" s="16"/>
    </row>
    <row r="59" spans="1:30" x14ac:dyDescent="0.2">
      <c r="A59" s="16"/>
      <c r="B59" s="16"/>
      <c r="C59" s="16"/>
      <c r="D59" s="16"/>
      <c r="E59" s="16"/>
      <c r="F59" s="109"/>
      <c r="G59" s="109"/>
      <c r="H59" s="109"/>
      <c r="I59" s="109"/>
      <c r="J59" s="109"/>
      <c r="K59" s="109"/>
      <c r="L59" s="109"/>
      <c r="M59" s="109"/>
      <c r="N59" s="109"/>
      <c r="O59" s="16"/>
      <c r="P59" s="16"/>
      <c r="Q59" s="16"/>
      <c r="R59" s="16"/>
      <c r="S59" s="16"/>
      <c r="T59" s="16"/>
      <c r="U59" s="16"/>
      <c r="V59" s="16"/>
      <c r="W59" s="16"/>
      <c r="X59" s="16"/>
      <c r="Y59" s="16"/>
      <c r="Z59" s="16"/>
      <c r="AA59" s="16"/>
      <c r="AB59" s="16"/>
      <c r="AC59" s="16"/>
      <c r="AD59" s="16"/>
    </row>
    <row r="60" spans="1:30" x14ac:dyDescent="0.2">
      <c r="A60" s="16"/>
      <c r="B60" s="16"/>
      <c r="C60" s="16"/>
      <c r="D60" s="16"/>
      <c r="E60" s="16"/>
      <c r="F60" s="109"/>
      <c r="G60" s="109"/>
      <c r="H60" s="109"/>
      <c r="I60" s="109"/>
      <c r="J60" s="109"/>
      <c r="K60" s="109"/>
      <c r="L60" s="109"/>
      <c r="M60" s="109"/>
      <c r="N60" s="109"/>
      <c r="O60" s="16"/>
      <c r="P60" s="16"/>
      <c r="Q60" s="16"/>
      <c r="R60" s="16"/>
      <c r="S60" s="16"/>
      <c r="T60" s="16"/>
      <c r="U60" s="16"/>
      <c r="V60" s="16"/>
      <c r="W60" s="16"/>
      <c r="X60" s="16"/>
      <c r="Y60" s="16"/>
      <c r="Z60" s="16"/>
      <c r="AA60" s="16"/>
      <c r="AB60" s="16"/>
      <c r="AC60" s="16"/>
      <c r="AD60" s="16"/>
    </row>
    <row r="61" spans="1:30" x14ac:dyDescent="0.2">
      <c r="A61" s="16"/>
      <c r="B61" s="16"/>
      <c r="C61" s="16"/>
      <c r="D61" s="16"/>
      <c r="E61" s="16"/>
      <c r="F61" s="109"/>
      <c r="G61" s="109"/>
      <c r="H61" s="109"/>
      <c r="I61" s="109"/>
      <c r="J61" s="109"/>
      <c r="K61" s="109"/>
      <c r="L61" s="109"/>
      <c r="M61" s="109"/>
      <c r="N61" s="109"/>
      <c r="O61" s="16"/>
      <c r="P61" s="16"/>
      <c r="Q61" s="16"/>
      <c r="R61" s="16"/>
      <c r="S61" s="16"/>
      <c r="T61" s="16"/>
      <c r="U61" s="16"/>
      <c r="V61" s="16"/>
      <c r="W61" s="16"/>
      <c r="X61" s="16"/>
      <c r="Y61" s="16"/>
      <c r="Z61" s="16"/>
      <c r="AA61" s="16"/>
      <c r="AB61" s="16"/>
      <c r="AC61" s="16"/>
      <c r="AD61" s="16"/>
    </row>
    <row r="62" spans="1:30" x14ac:dyDescent="0.2">
      <c r="A62" s="16"/>
      <c r="B62" s="16"/>
      <c r="C62" s="16"/>
      <c r="D62" s="16"/>
      <c r="E62" s="16"/>
      <c r="F62" s="109"/>
      <c r="G62" s="109"/>
      <c r="H62" s="109"/>
      <c r="I62" s="109"/>
      <c r="J62" s="109"/>
      <c r="K62" s="109"/>
      <c r="L62" s="109"/>
      <c r="M62" s="109"/>
      <c r="N62" s="109"/>
      <c r="O62" s="16"/>
      <c r="P62" s="16"/>
      <c r="Q62" s="16"/>
      <c r="R62" s="16"/>
      <c r="S62" s="16"/>
      <c r="T62" s="16"/>
      <c r="U62" s="16"/>
      <c r="V62" s="16"/>
      <c r="W62" s="16"/>
      <c r="X62" s="16"/>
      <c r="Y62" s="16"/>
      <c r="Z62" s="16"/>
      <c r="AA62" s="16"/>
      <c r="AB62" s="16"/>
      <c r="AC62" s="16"/>
      <c r="AD62" s="16"/>
    </row>
    <row r="63" spans="1:30" x14ac:dyDescent="0.2">
      <c r="A63" s="16"/>
      <c r="B63" s="16"/>
      <c r="C63" s="16"/>
      <c r="D63" s="16"/>
      <c r="E63" s="16"/>
      <c r="F63" s="109"/>
      <c r="G63" s="109"/>
      <c r="H63" s="109"/>
      <c r="I63" s="109"/>
      <c r="J63" s="109"/>
      <c r="K63" s="109"/>
      <c r="L63" s="109"/>
      <c r="M63" s="109"/>
      <c r="N63" s="109"/>
      <c r="O63" s="16"/>
      <c r="P63" s="16"/>
      <c r="Q63" s="16"/>
      <c r="R63" s="16"/>
      <c r="S63" s="16"/>
      <c r="T63" s="16"/>
      <c r="U63" s="16"/>
      <c r="V63" s="16"/>
      <c r="W63" s="16"/>
      <c r="X63" s="16"/>
      <c r="Y63" s="16"/>
      <c r="Z63" s="16"/>
      <c r="AA63" s="16"/>
      <c r="AB63" s="16"/>
      <c r="AC63" s="16"/>
      <c r="AD63" s="16"/>
    </row>
    <row r="64" spans="1:30" x14ac:dyDescent="0.2">
      <c r="A64" s="16"/>
      <c r="B64" s="16"/>
      <c r="C64" s="16"/>
      <c r="D64" s="16"/>
      <c r="E64" s="16"/>
      <c r="F64" s="109"/>
      <c r="G64" s="109"/>
      <c r="H64" s="109"/>
      <c r="I64" s="109"/>
      <c r="J64" s="109"/>
      <c r="K64" s="109"/>
      <c r="L64" s="109"/>
      <c r="M64" s="109"/>
      <c r="N64" s="109"/>
      <c r="O64" s="16"/>
      <c r="P64" s="16"/>
      <c r="Q64" s="16"/>
      <c r="R64" s="16"/>
      <c r="S64" s="16"/>
      <c r="T64" s="16"/>
      <c r="U64" s="16"/>
      <c r="V64" s="16"/>
      <c r="W64" s="16"/>
      <c r="X64" s="16"/>
      <c r="Y64" s="16"/>
      <c r="Z64" s="16"/>
      <c r="AA64" s="16"/>
      <c r="AB64" s="16"/>
      <c r="AC64" s="16"/>
      <c r="AD64" s="16"/>
    </row>
    <row r="65" spans="1:30" x14ac:dyDescent="0.2">
      <c r="A65" s="16"/>
      <c r="B65" s="16"/>
      <c r="C65" s="16"/>
      <c r="D65" s="16"/>
      <c r="E65" s="16"/>
      <c r="F65" s="109"/>
      <c r="G65" s="109"/>
      <c r="H65" s="109"/>
      <c r="I65" s="109"/>
      <c r="J65" s="109"/>
      <c r="K65" s="109"/>
      <c r="L65" s="109"/>
      <c r="M65" s="109"/>
      <c r="N65" s="109"/>
      <c r="O65" s="16"/>
      <c r="P65" s="16"/>
      <c r="Q65" s="16"/>
      <c r="R65" s="16"/>
      <c r="S65" s="16"/>
      <c r="T65" s="16"/>
      <c r="U65" s="16"/>
      <c r="V65" s="16"/>
      <c r="W65" s="16"/>
      <c r="X65" s="16"/>
      <c r="Y65" s="16"/>
      <c r="Z65" s="16"/>
      <c r="AA65" s="16"/>
      <c r="AB65" s="16"/>
      <c r="AC65" s="16"/>
      <c r="AD65" s="16"/>
    </row>
    <row r="66" spans="1:30" x14ac:dyDescent="0.2">
      <c r="A66" s="16"/>
      <c r="B66" s="16"/>
      <c r="C66" s="16"/>
      <c r="D66" s="16"/>
      <c r="E66" s="16"/>
      <c r="F66" s="109"/>
      <c r="G66" s="109"/>
      <c r="H66" s="109"/>
      <c r="I66" s="109"/>
      <c r="J66" s="109"/>
      <c r="K66" s="109"/>
      <c r="L66" s="109"/>
      <c r="M66" s="109"/>
      <c r="N66" s="109"/>
      <c r="O66" s="16"/>
      <c r="P66" s="16"/>
      <c r="Q66" s="16"/>
      <c r="R66" s="16"/>
      <c r="S66" s="16"/>
      <c r="T66" s="16"/>
      <c r="U66" s="16"/>
      <c r="V66" s="16"/>
      <c r="W66" s="16"/>
      <c r="X66" s="16"/>
      <c r="Y66" s="16"/>
      <c r="Z66" s="16"/>
      <c r="AA66" s="16"/>
      <c r="AB66" s="16"/>
      <c r="AC66" s="16"/>
      <c r="AD66" s="16"/>
    </row>
    <row r="67" spans="1:30" x14ac:dyDescent="0.2">
      <c r="A67" s="16"/>
      <c r="B67" s="16"/>
      <c r="C67" s="16"/>
      <c r="D67" s="16"/>
      <c r="E67" s="16"/>
      <c r="F67" s="109"/>
      <c r="G67" s="109"/>
      <c r="H67" s="109"/>
      <c r="I67" s="109"/>
      <c r="J67" s="109"/>
      <c r="K67" s="109"/>
      <c r="L67" s="109"/>
      <c r="M67" s="109"/>
      <c r="N67" s="109"/>
      <c r="O67" s="16"/>
      <c r="P67" s="16"/>
      <c r="Q67" s="16"/>
      <c r="R67" s="16"/>
      <c r="S67" s="16"/>
      <c r="T67" s="16"/>
      <c r="U67" s="16"/>
      <c r="V67" s="16"/>
      <c r="W67" s="16"/>
      <c r="X67" s="16"/>
      <c r="Y67" s="16"/>
      <c r="Z67" s="16"/>
      <c r="AA67" s="16"/>
      <c r="AB67" s="16"/>
      <c r="AC67" s="16"/>
      <c r="AD67" s="16"/>
    </row>
    <row r="68" spans="1:30" x14ac:dyDescent="0.2">
      <c r="A68" s="16"/>
      <c r="B68" s="16"/>
      <c r="C68" s="16"/>
      <c r="D68" s="16"/>
      <c r="E68" s="16"/>
      <c r="F68" s="109"/>
      <c r="G68" s="109"/>
      <c r="H68" s="109"/>
      <c r="I68" s="109"/>
      <c r="J68" s="109"/>
      <c r="K68" s="109"/>
      <c r="L68" s="109"/>
      <c r="M68" s="109"/>
      <c r="N68" s="109"/>
      <c r="O68" s="16"/>
      <c r="P68" s="16"/>
      <c r="Q68" s="16"/>
      <c r="R68" s="16"/>
      <c r="S68" s="16"/>
      <c r="T68" s="16"/>
      <c r="U68" s="16"/>
      <c r="V68" s="16"/>
      <c r="W68" s="16"/>
      <c r="X68" s="16"/>
      <c r="Y68" s="16"/>
      <c r="Z68" s="16"/>
      <c r="AA68" s="16"/>
      <c r="AB68" s="16"/>
      <c r="AC68" s="16"/>
      <c r="AD68" s="16"/>
    </row>
    <row r="69" spans="1:30" x14ac:dyDescent="0.2">
      <c r="A69" s="16"/>
      <c r="B69" s="16"/>
      <c r="C69" s="16"/>
      <c r="D69" s="16"/>
      <c r="E69" s="16"/>
      <c r="F69" s="109"/>
      <c r="G69" s="109"/>
      <c r="H69" s="109"/>
      <c r="I69" s="109"/>
      <c r="J69" s="109"/>
      <c r="K69" s="109"/>
      <c r="L69" s="109"/>
      <c r="M69" s="109"/>
      <c r="N69" s="109"/>
      <c r="O69" s="16"/>
      <c r="P69" s="16"/>
      <c r="Q69" s="16"/>
      <c r="R69" s="16"/>
      <c r="S69" s="16"/>
      <c r="T69" s="16"/>
      <c r="U69" s="16"/>
      <c r="V69" s="16"/>
      <c r="W69" s="16"/>
      <c r="X69" s="16"/>
      <c r="Y69" s="16"/>
      <c r="Z69" s="16"/>
      <c r="AA69" s="16"/>
      <c r="AB69" s="16"/>
      <c r="AC69" s="16"/>
      <c r="AD69" s="16"/>
    </row>
    <row r="70" spans="1:30" x14ac:dyDescent="0.2">
      <c r="A70" s="16"/>
      <c r="B70" s="16"/>
      <c r="C70" s="16"/>
      <c r="D70" s="16"/>
      <c r="E70" s="16"/>
      <c r="F70" s="109"/>
      <c r="G70" s="109"/>
      <c r="H70" s="109"/>
      <c r="I70" s="109"/>
      <c r="J70" s="109"/>
      <c r="K70" s="109"/>
      <c r="L70" s="109"/>
      <c r="M70" s="109"/>
      <c r="N70" s="109"/>
      <c r="O70" s="16"/>
      <c r="P70" s="16"/>
      <c r="Q70" s="16"/>
      <c r="R70" s="16"/>
      <c r="S70" s="16"/>
      <c r="T70" s="16"/>
      <c r="U70" s="16"/>
      <c r="V70" s="16"/>
      <c r="W70" s="16"/>
      <c r="X70" s="16"/>
      <c r="Y70" s="16"/>
      <c r="Z70" s="16"/>
      <c r="AA70" s="16"/>
      <c r="AB70" s="16"/>
      <c r="AC70" s="16"/>
      <c r="AD70" s="16"/>
    </row>
    <row r="71" spans="1:30" x14ac:dyDescent="0.2">
      <c r="A71" s="16"/>
      <c r="B71" s="16"/>
      <c r="C71" s="16"/>
      <c r="D71" s="16"/>
      <c r="E71" s="16"/>
      <c r="F71" s="109"/>
      <c r="G71" s="109"/>
      <c r="H71" s="109"/>
      <c r="I71" s="109"/>
      <c r="J71" s="109"/>
      <c r="K71" s="109"/>
      <c r="L71" s="109"/>
      <c r="M71" s="109"/>
      <c r="N71" s="109"/>
      <c r="O71" s="16"/>
      <c r="P71" s="16"/>
      <c r="Q71" s="16"/>
      <c r="R71" s="16"/>
      <c r="S71" s="16"/>
      <c r="T71" s="16"/>
      <c r="U71" s="16"/>
      <c r="V71" s="16"/>
      <c r="W71" s="16"/>
      <c r="X71" s="16"/>
      <c r="Y71" s="16"/>
      <c r="Z71" s="16"/>
      <c r="AA71" s="16"/>
      <c r="AB71" s="16"/>
      <c r="AC71" s="16"/>
      <c r="AD71" s="16"/>
    </row>
    <row r="72" spans="1:30" x14ac:dyDescent="0.2">
      <c r="A72" s="16"/>
      <c r="B72" s="16"/>
      <c r="C72" s="16"/>
      <c r="D72" s="16"/>
      <c r="E72" s="16"/>
      <c r="F72" s="109"/>
      <c r="G72" s="109"/>
      <c r="H72" s="109"/>
      <c r="I72" s="109"/>
      <c r="J72" s="109"/>
      <c r="K72" s="109"/>
      <c r="L72" s="109"/>
      <c r="M72" s="109"/>
      <c r="N72" s="109"/>
      <c r="O72" s="16"/>
      <c r="P72" s="16"/>
      <c r="Q72" s="16"/>
      <c r="R72" s="16"/>
      <c r="S72" s="16"/>
      <c r="T72" s="16"/>
      <c r="U72" s="16"/>
      <c r="V72" s="16"/>
      <c r="W72" s="16"/>
      <c r="X72" s="16"/>
      <c r="Y72" s="16"/>
      <c r="Z72" s="16"/>
      <c r="AA72" s="16"/>
      <c r="AB72" s="16"/>
      <c r="AC72" s="16"/>
      <c r="AD72" s="16"/>
    </row>
    <row r="73" spans="1:30" x14ac:dyDescent="0.2">
      <c r="A73" s="16"/>
      <c r="B73" s="16"/>
      <c r="C73" s="16"/>
      <c r="D73" s="16"/>
      <c r="E73" s="16"/>
      <c r="F73" s="109"/>
      <c r="G73" s="109"/>
      <c r="H73" s="109"/>
      <c r="I73" s="109"/>
      <c r="J73" s="109"/>
      <c r="K73" s="109"/>
      <c r="L73" s="109"/>
      <c r="M73" s="109"/>
      <c r="N73" s="109"/>
      <c r="O73" s="16"/>
      <c r="P73" s="16"/>
      <c r="Q73" s="16"/>
      <c r="R73" s="16"/>
      <c r="S73" s="16"/>
      <c r="T73" s="16"/>
      <c r="U73" s="16"/>
      <c r="V73" s="16"/>
      <c r="W73" s="16"/>
      <c r="X73" s="16"/>
      <c r="Y73" s="16"/>
      <c r="Z73" s="16"/>
      <c r="AA73" s="16"/>
      <c r="AB73" s="16"/>
      <c r="AC73" s="16"/>
      <c r="AD73" s="16"/>
    </row>
    <row r="74" spans="1:30" x14ac:dyDescent="0.2">
      <c r="A74" s="16"/>
      <c r="B74" s="16"/>
      <c r="C74" s="16"/>
      <c r="D74" s="16"/>
      <c r="E74" s="16"/>
      <c r="F74" s="109"/>
      <c r="G74" s="109"/>
      <c r="H74" s="109"/>
      <c r="I74" s="109"/>
      <c r="J74" s="109"/>
      <c r="K74" s="109"/>
      <c r="L74" s="109"/>
      <c r="M74" s="109"/>
      <c r="N74" s="109"/>
      <c r="O74" s="16"/>
      <c r="P74" s="16"/>
      <c r="Q74" s="16"/>
      <c r="R74" s="16"/>
      <c r="S74" s="16"/>
      <c r="T74" s="16"/>
      <c r="U74" s="16"/>
      <c r="V74" s="16"/>
      <c r="W74" s="16"/>
      <c r="X74" s="16"/>
      <c r="Y74" s="16"/>
      <c r="Z74" s="16"/>
      <c r="AA74" s="16"/>
      <c r="AB74" s="16"/>
      <c r="AC74" s="16"/>
      <c r="AD74" s="16"/>
    </row>
    <row r="75" spans="1:30" x14ac:dyDescent="0.2">
      <c r="A75" s="16"/>
      <c r="B75" s="16"/>
      <c r="C75" s="16"/>
      <c r="D75" s="16"/>
      <c r="E75" s="16"/>
      <c r="F75" s="109"/>
      <c r="G75" s="109"/>
      <c r="H75" s="109"/>
      <c r="I75" s="109"/>
      <c r="J75" s="109"/>
      <c r="K75" s="109"/>
      <c r="L75" s="109"/>
      <c r="M75" s="109"/>
      <c r="N75" s="109"/>
      <c r="O75" s="16"/>
      <c r="P75" s="16"/>
      <c r="Q75" s="16"/>
      <c r="R75" s="16"/>
      <c r="S75" s="16"/>
      <c r="T75" s="16"/>
      <c r="U75" s="16"/>
      <c r="V75" s="16"/>
      <c r="W75" s="16"/>
      <c r="X75" s="16"/>
      <c r="Y75" s="16"/>
      <c r="Z75" s="16"/>
      <c r="AA75" s="16"/>
      <c r="AB75" s="16"/>
      <c r="AC75" s="16"/>
      <c r="AD75" s="16"/>
    </row>
    <row r="76" spans="1:30" x14ac:dyDescent="0.2">
      <c r="A76" s="16"/>
      <c r="B76" s="16"/>
      <c r="C76" s="16"/>
      <c r="D76" s="16"/>
      <c r="E76" s="16"/>
      <c r="F76" s="109"/>
      <c r="G76" s="109"/>
      <c r="H76" s="109"/>
      <c r="I76" s="109"/>
      <c r="J76" s="109"/>
      <c r="K76" s="109"/>
      <c r="L76" s="109"/>
      <c r="M76" s="109"/>
      <c r="N76" s="109"/>
      <c r="O76" s="16"/>
      <c r="P76" s="16"/>
      <c r="Q76" s="16"/>
      <c r="R76" s="16"/>
      <c r="S76" s="16"/>
      <c r="T76" s="16"/>
      <c r="U76" s="16"/>
      <c r="V76" s="16"/>
      <c r="W76" s="16"/>
      <c r="X76" s="16"/>
      <c r="Y76" s="16"/>
      <c r="Z76" s="16"/>
      <c r="AA76" s="16"/>
      <c r="AB76" s="16"/>
      <c r="AC76" s="16"/>
      <c r="AD76" s="16"/>
    </row>
    <row r="77" spans="1:30" x14ac:dyDescent="0.2">
      <c r="A77" s="16"/>
      <c r="B77" s="16"/>
      <c r="C77" s="16"/>
      <c r="D77" s="16"/>
      <c r="E77" s="16"/>
      <c r="F77" s="109"/>
      <c r="G77" s="109"/>
      <c r="H77" s="109"/>
      <c r="I77" s="109"/>
      <c r="J77" s="109"/>
      <c r="K77" s="109"/>
      <c r="L77" s="109"/>
      <c r="M77" s="109"/>
      <c r="N77" s="109"/>
      <c r="O77" s="16"/>
      <c r="P77" s="16"/>
      <c r="Q77" s="16"/>
      <c r="R77" s="16"/>
      <c r="S77" s="16"/>
      <c r="T77" s="16"/>
      <c r="U77" s="16"/>
      <c r="V77" s="16"/>
      <c r="W77" s="16"/>
      <c r="X77" s="16"/>
      <c r="Y77" s="16"/>
      <c r="Z77" s="16"/>
      <c r="AA77" s="16"/>
      <c r="AB77" s="16"/>
      <c r="AC77" s="16"/>
      <c r="AD77" s="16"/>
    </row>
    <row r="78" spans="1:30" x14ac:dyDescent="0.2">
      <c r="A78" s="16"/>
      <c r="B78" s="16"/>
      <c r="C78" s="16"/>
      <c r="D78" s="16"/>
      <c r="E78" s="16"/>
      <c r="F78" s="109"/>
      <c r="G78" s="109"/>
      <c r="H78" s="109"/>
      <c r="I78" s="109"/>
      <c r="J78" s="109"/>
      <c r="K78" s="109"/>
      <c r="L78" s="109"/>
      <c r="M78" s="109"/>
      <c r="N78" s="109"/>
      <c r="O78" s="16"/>
      <c r="P78" s="16"/>
      <c r="Q78" s="16"/>
      <c r="R78" s="16"/>
      <c r="S78" s="16"/>
      <c r="T78" s="16"/>
      <c r="U78" s="16"/>
      <c r="V78" s="16"/>
      <c r="W78" s="16"/>
      <c r="X78" s="16"/>
      <c r="Y78" s="16"/>
      <c r="Z78" s="16"/>
      <c r="AA78" s="16"/>
      <c r="AB78" s="16"/>
      <c r="AC78" s="16"/>
      <c r="AD78" s="16"/>
    </row>
    <row r="79" spans="1:30" x14ac:dyDescent="0.2">
      <c r="A79" s="16"/>
      <c r="B79" s="16"/>
      <c r="C79" s="16"/>
      <c r="D79" s="16"/>
      <c r="E79" s="16"/>
      <c r="F79" s="109"/>
      <c r="G79" s="109"/>
      <c r="H79" s="109"/>
      <c r="I79" s="109"/>
      <c r="J79" s="109"/>
      <c r="K79" s="109"/>
      <c r="L79" s="109"/>
      <c r="M79" s="109"/>
      <c r="N79" s="109"/>
      <c r="O79" s="16"/>
      <c r="P79" s="16"/>
      <c r="Q79" s="16"/>
      <c r="R79" s="16"/>
      <c r="S79" s="16"/>
      <c r="T79" s="16"/>
      <c r="U79" s="16"/>
      <c r="V79" s="16"/>
      <c r="W79" s="16"/>
      <c r="X79" s="16"/>
      <c r="Y79" s="16"/>
      <c r="Z79" s="16"/>
      <c r="AA79" s="16"/>
      <c r="AB79" s="16"/>
      <c r="AC79" s="16"/>
      <c r="AD79" s="16"/>
    </row>
    <row r="80" spans="1:30" x14ac:dyDescent="0.2">
      <c r="A80" s="16"/>
      <c r="B80" s="16"/>
      <c r="C80" s="16"/>
      <c r="D80" s="16"/>
      <c r="E80" s="16"/>
      <c r="F80" s="109"/>
      <c r="G80" s="109"/>
      <c r="H80" s="109"/>
      <c r="I80" s="109"/>
      <c r="J80" s="109"/>
      <c r="K80" s="109"/>
      <c r="L80" s="109"/>
      <c r="M80" s="109"/>
      <c r="N80" s="109"/>
      <c r="O80" s="16"/>
      <c r="P80" s="16"/>
      <c r="Q80" s="16"/>
      <c r="R80" s="16"/>
      <c r="S80" s="16"/>
      <c r="T80" s="16"/>
      <c r="U80" s="16"/>
      <c r="V80" s="16"/>
      <c r="W80" s="16"/>
      <c r="X80" s="16"/>
      <c r="Y80" s="16"/>
      <c r="Z80" s="16"/>
      <c r="AA80" s="16"/>
      <c r="AB80" s="16"/>
      <c r="AC80" s="16"/>
      <c r="AD80" s="16"/>
    </row>
    <row r="81" spans="1:30" x14ac:dyDescent="0.2">
      <c r="A81" s="16"/>
      <c r="B81" s="16"/>
      <c r="C81" s="16"/>
      <c r="D81" s="16"/>
      <c r="E81" s="16"/>
      <c r="F81" s="109"/>
      <c r="G81" s="109"/>
      <c r="H81" s="109"/>
      <c r="I81" s="109"/>
      <c r="J81" s="109"/>
      <c r="K81" s="109"/>
      <c r="L81" s="109"/>
      <c r="M81" s="109"/>
      <c r="N81" s="109"/>
      <c r="O81" s="16"/>
      <c r="P81" s="16"/>
      <c r="Q81" s="16"/>
      <c r="R81" s="16"/>
      <c r="S81" s="16"/>
      <c r="T81" s="16"/>
      <c r="U81" s="16"/>
      <c r="V81" s="16"/>
      <c r="W81" s="16"/>
      <c r="X81" s="16"/>
      <c r="Y81" s="16"/>
      <c r="Z81" s="16"/>
      <c r="AA81" s="16"/>
      <c r="AB81" s="16"/>
      <c r="AC81" s="16"/>
      <c r="AD81" s="16"/>
    </row>
    <row r="82" spans="1:30" x14ac:dyDescent="0.2">
      <c r="A82" s="16"/>
      <c r="B82" s="16"/>
      <c r="C82" s="16"/>
      <c r="D82" s="16"/>
      <c r="E82" s="16"/>
      <c r="F82" s="109"/>
      <c r="G82" s="109"/>
      <c r="H82" s="109"/>
      <c r="I82" s="109"/>
      <c r="J82" s="109"/>
      <c r="K82" s="109"/>
      <c r="L82" s="109"/>
      <c r="M82" s="109"/>
      <c r="N82" s="109"/>
      <c r="O82" s="16"/>
      <c r="P82" s="16"/>
      <c r="Q82" s="16"/>
      <c r="R82" s="16"/>
      <c r="S82" s="16"/>
      <c r="T82" s="16"/>
      <c r="U82" s="16"/>
      <c r="V82" s="16"/>
      <c r="W82" s="16"/>
      <c r="X82" s="16"/>
      <c r="Y82" s="16"/>
      <c r="Z82" s="16"/>
      <c r="AA82" s="16"/>
      <c r="AB82" s="16"/>
      <c r="AC82" s="16"/>
      <c r="AD82" s="16"/>
    </row>
    <row r="83" spans="1:30" x14ac:dyDescent="0.2">
      <c r="A83" s="16"/>
      <c r="B83" s="16"/>
      <c r="C83" s="16"/>
      <c r="D83" s="16"/>
      <c r="E83" s="16"/>
      <c r="F83" s="109"/>
      <c r="G83" s="109"/>
      <c r="H83" s="109"/>
      <c r="I83" s="109"/>
      <c r="J83" s="109"/>
      <c r="K83" s="109"/>
      <c r="L83" s="109"/>
      <c r="M83" s="109"/>
      <c r="N83" s="109"/>
      <c r="O83" s="16"/>
      <c r="P83" s="16"/>
      <c r="Q83" s="16"/>
      <c r="R83" s="16"/>
      <c r="S83" s="16"/>
      <c r="T83" s="16"/>
      <c r="U83" s="16"/>
      <c r="V83" s="16"/>
      <c r="W83" s="16"/>
      <c r="X83" s="16"/>
      <c r="Y83" s="16"/>
      <c r="Z83" s="16"/>
      <c r="AA83" s="16"/>
      <c r="AB83" s="16"/>
      <c r="AC83" s="16"/>
      <c r="AD83" s="16"/>
    </row>
    <row r="84" spans="1:30" x14ac:dyDescent="0.2">
      <c r="A84" s="16"/>
      <c r="B84" s="16"/>
      <c r="C84" s="16"/>
      <c r="D84" s="16"/>
      <c r="E84" s="16"/>
      <c r="F84" s="109"/>
      <c r="G84" s="109"/>
      <c r="H84" s="109"/>
      <c r="I84" s="109"/>
      <c r="J84" s="109"/>
      <c r="K84" s="109"/>
      <c r="L84" s="109"/>
      <c r="M84" s="109"/>
      <c r="N84" s="109"/>
      <c r="O84" s="16"/>
      <c r="P84" s="16"/>
      <c r="Q84" s="16"/>
      <c r="R84" s="16"/>
      <c r="S84" s="16"/>
      <c r="T84" s="16"/>
      <c r="U84" s="16"/>
      <c r="V84" s="16"/>
      <c r="W84" s="16"/>
      <c r="X84" s="16"/>
      <c r="Y84" s="16"/>
      <c r="Z84" s="16"/>
      <c r="AA84" s="16"/>
      <c r="AB84" s="16"/>
      <c r="AC84" s="16"/>
      <c r="AD84" s="16"/>
    </row>
    <row r="85" spans="1:30" x14ac:dyDescent="0.2">
      <c r="A85" s="16"/>
      <c r="B85" s="16"/>
      <c r="C85" s="16"/>
      <c r="D85" s="16"/>
      <c r="E85" s="16"/>
      <c r="F85" s="109"/>
      <c r="G85" s="109"/>
      <c r="H85" s="109"/>
      <c r="I85" s="109"/>
      <c r="J85" s="109"/>
      <c r="K85" s="109"/>
      <c r="L85" s="109"/>
      <c r="M85" s="109"/>
      <c r="N85" s="109"/>
      <c r="O85" s="16"/>
      <c r="P85" s="16"/>
      <c r="Q85" s="16"/>
      <c r="R85" s="16"/>
      <c r="S85" s="16"/>
      <c r="T85" s="16"/>
      <c r="U85" s="16"/>
      <c r="V85" s="16"/>
      <c r="W85" s="16"/>
      <c r="X85" s="16"/>
      <c r="Y85" s="16"/>
      <c r="Z85" s="16"/>
      <c r="AA85" s="16"/>
      <c r="AB85" s="16"/>
      <c r="AC85" s="16"/>
      <c r="AD85" s="16"/>
    </row>
    <row r="86" spans="1:30" x14ac:dyDescent="0.2">
      <c r="A86" s="16"/>
      <c r="B86" s="16"/>
      <c r="C86" s="16"/>
      <c r="D86" s="16"/>
      <c r="E86" s="16"/>
      <c r="F86" s="109"/>
      <c r="G86" s="109"/>
      <c r="H86" s="109"/>
      <c r="I86" s="109"/>
      <c r="J86" s="109"/>
      <c r="K86" s="109"/>
      <c r="L86" s="109"/>
      <c r="M86" s="109"/>
      <c r="N86" s="109"/>
      <c r="O86" s="16"/>
      <c r="P86" s="16"/>
      <c r="Q86" s="16"/>
      <c r="R86" s="16"/>
      <c r="S86" s="16"/>
      <c r="T86" s="16"/>
      <c r="U86" s="16"/>
      <c r="V86" s="16"/>
      <c r="W86" s="16"/>
      <c r="X86" s="16"/>
      <c r="Y86" s="16"/>
      <c r="Z86" s="16"/>
      <c r="AA86" s="16"/>
      <c r="AB86" s="16"/>
      <c r="AC86" s="16"/>
      <c r="AD86" s="16"/>
    </row>
    <row r="87" spans="1:30" x14ac:dyDescent="0.2">
      <c r="A87" s="16"/>
      <c r="B87" s="16"/>
      <c r="C87" s="16"/>
      <c r="D87" s="16"/>
      <c r="E87" s="16"/>
      <c r="F87" s="109"/>
      <c r="G87" s="109"/>
      <c r="H87" s="109"/>
      <c r="I87" s="109"/>
      <c r="J87" s="109"/>
      <c r="K87" s="109"/>
      <c r="L87" s="109"/>
      <c r="M87" s="109"/>
      <c r="N87" s="109"/>
      <c r="O87" s="16"/>
      <c r="P87" s="16"/>
      <c r="Q87" s="16"/>
      <c r="R87" s="16"/>
      <c r="S87" s="16"/>
      <c r="T87" s="16"/>
      <c r="U87" s="16"/>
      <c r="V87" s="16"/>
      <c r="W87" s="16"/>
      <c r="X87" s="16"/>
      <c r="Y87" s="16"/>
      <c r="Z87" s="16"/>
      <c r="AA87" s="16"/>
      <c r="AB87" s="16"/>
      <c r="AC87" s="16"/>
      <c r="AD87" s="16"/>
    </row>
    <row r="88" spans="1:30" x14ac:dyDescent="0.2">
      <c r="A88" s="16"/>
      <c r="B88" s="16"/>
      <c r="C88" s="16"/>
      <c r="D88" s="16"/>
      <c r="E88" s="16"/>
      <c r="F88" s="109"/>
      <c r="G88" s="109"/>
      <c r="H88" s="109"/>
      <c r="I88" s="109"/>
      <c r="J88" s="109"/>
      <c r="K88" s="109"/>
      <c r="L88" s="109"/>
      <c r="M88" s="109"/>
      <c r="N88" s="109"/>
      <c r="O88" s="16"/>
      <c r="P88" s="16"/>
      <c r="Q88" s="16"/>
      <c r="R88" s="16"/>
      <c r="S88" s="16"/>
      <c r="T88" s="16"/>
      <c r="U88" s="16"/>
      <c r="V88" s="16"/>
      <c r="W88" s="16"/>
      <c r="X88" s="16"/>
      <c r="Y88" s="16"/>
      <c r="Z88" s="16"/>
      <c r="AA88" s="16"/>
      <c r="AB88" s="16"/>
      <c r="AC88" s="16"/>
      <c r="AD88" s="16"/>
    </row>
    <row r="89" spans="1:30" x14ac:dyDescent="0.2">
      <c r="A89" s="16"/>
      <c r="B89" s="16"/>
      <c r="C89" s="16"/>
      <c r="D89" s="16"/>
      <c r="E89" s="16"/>
      <c r="F89" s="109"/>
      <c r="G89" s="109"/>
      <c r="H89" s="109"/>
      <c r="I89" s="109"/>
      <c r="J89" s="109"/>
      <c r="K89" s="109"/>
      <c r="L89" s="109"/>
      <c r="M89" s="109"/>
      <c r="N89" s="109"/>
      <c r="O89" s="16"/>
      <c r="P89" s="16"/>
      <c r="Q89" s="16"/>
      <c r="R89" s="16"/>
      <c r="S89" s="16"/>
      <c r="T89" s="16"/>
      <c r="U89" s="16"/>
      <c r="V89" s="16"/>
      <c r="W89" s="16"/>
      <c r="X89" s="16"/>
      <c r="Y89" s="16"/>
      <c r="Z89" s="16"/>
      <c r="AA89" s="16"/>
      <c r="AB89" s="16"/>
      <c r="AC89" s="16"/>
      <c r="AD89" s="16"/>
    </row>
    <row r="90" spans="1:30" x14ac:dyDescent="0.2">
      <c r="A90" s="16"/>
      <c r="B90" s="16"/>
      <c r="C90" s="16"/>
      <c r="D90" s="16"/>
      <c r="E90" s="16"/>
      <c r="F90" s="109"/>
      <c r="G90" s="109"/>
      <c r="H90" s="109"/>
      <c r="I90" s="109"/>
      <c r="J90" s="109"/>
      <c r="K90" s="109"/>
      <c r="L90" s="109"/>
      <c r="M90" s="109"/>
      <c r="N90" s="109"/>
      <c r="O90" s="16"/>
      <c r="P90" s="16"/>
      <c r="Q90" s="16"/>
      <c r="R90" s="16"/>
      <c r="S90" s="16"/>
      <c r="T90" s="16"/>
      <c r="U90" s="16"/>
      <c r="V90" s="16"/>
      <c r="W90" s="16"/>
      <c r="X90" s="16"/>
      <c r="Y90" s="16"/>
      <c r="Z90" s="16"/>
      <c r="AA90" s="16"/>
      <c r="AB90" s="16"/>
      <c r="AC90" s="16"/>
      <c r="AD90" s="16"/>
    </row>
    <row r="91" spans="1:30" x14ac:dyDescent="0.2">
      <c r="A91" s="16"/>
      <c r="B91" s="16"/>
      <c r="C91" s="16"/>
      <c r="D91" s="16"/>
      <c r="E91" s="16"/>
      <c r="F91" s="109"/>
      <c r="G91" s="109"/>
      <c r="H91" s="109"/>
      <c r="I91" s="109"/>
      <c r="J91" s="109"/>
      <c r="K91" s="109"/>
      <c r="L91" s="109"/>
      <c r="M91" s="109"/>
      <c r="N91" s="109"/>
      <c r="O91" s="16"/>
      <c r="P91" s="16"/>
      <c r="Q91" s="16"/>
      <c r="R91" s="16"/>
      <c r="S91" s="16"/>
      <c r="T91" s="16"/>
      <c r="U91" s="16"/>
      <c r="V91" s="16"/>
      <c r="W91" s="16"/>
      <c r="X91" s="16"/>
      <c r="Y91" s="16"/>
      <c r="Z91" s="16"/>
      <c r="AA91" s="16"/>
      <c r="AB91" s="16"/>
      <c r="AC91" s="16"/>
      <c r="AD91" s="16"/>
    </row>
    <row r="92" spans="1:30" x14ac:dyDescent="0.2">
      <c r="A92" s="16"/>
      <c r="B92" s="16"/>
      <c r="C92" s="16"/>
      <c r="D92" s="16"/>
      <c r="E92" s="16"/>
      <c r="F92" s="109"/>
      <c r="G92" s="109"/>
      <c r="H92" s="109"/>
      <c r="I92" s="109"/>
      <c r="J92" s="109"/>
      <c r="K92" s="109"/>
      <c r="L92" s="109"/>
      <c r="M92" s="109"/>
      <c r="N92" s="109"/>
      <c r="O92" s="16"/>
      <c r="P92" s="16"/>
      <c r="Q92" s="16"/>
      <c r="R92" s="16"/>
      <c r="S92" s="16"/>
      <c r="T92" s="16"/>
      <c r="U92" s="16"/>
      <c r="V92" s="16"/>
      <c r="W92" s="16"/>
      <c r="X92" s="16"/>
      <c r="Y92" s="16"/>
      <c r="Z92" s="16"/>
      <c r="AA92" s="16"/>
      <c r="AB92" s="16"/>
      <c r="AC92" s="16"/>
      <c r="AD92" s="16"/>
    </row>
    <row r="93" spans="1:30" x14ac:dyDescent="0.2">
      <c r="A93" s="16"/>
      <c r="B93" s="16"/>
      <c r="C93" s="16"/>
      <c r="D93" s="16"/>
      <c r="E93" s="16"/>
      <c r="F93" s="109"/>
      <c r="G93" s="109"/>
      <c r="H93" s="109"/>
      <c r="I93" s="109"/>
      <c r="J93" s="109"/>
      <c r="K93" s="109"/>
      <c r="L93" s="109"/>
      <c r="M93" s="109"/>
      <c r="N93" s="109"/>
      <c r="O93" s="16"/>
      <c r="P93" s="16"/>
      <c r="Q93" s="16"/>
      <c r="R93" s="16"/>
      <c r="S93" s="16"/>
      <c r="T93" s="16"/>
      <c r="U93" s="16"/>
      <c r="V93" s="16"/>
      <c r="W93" s="16"/>
      <c r="X93" s="16"/>
      <c r="Y93" s="16"/>
      <c r="Z93" s="16"/>
      <c r="AA93" s="16"/>
      <c r="AB93" s="16"/>
      <c r="AC93" s="16"/>
      <c r="AD93" s="16"/>
    </row>
    <row r="94" spans="1:30" x14ac:dyDescent="0.2">
      <c r="A94" s="16"/>
      <c r="B94" s="16"/>
      <c r="C94" s="16"/>
      <c r="D94" s="16"/>
      <c r="E94" s="16"/>
      <c r="F94" s="109"/>
      <c r="G94" s="109"/>
      <c r="H94" s="109"/>
      <c r="I94" s="109"/>
      <c r="J94" s="109"/>
      <c r="K94" s="109"/>
      <c r="L94" s="109"/>
      <c r="M94" s="109"/>
      <c r="N94" s="109"/>
      <c r="O94" s="16"/>
      <c r="P94" s="16"/>
      <c r="Q94" s="16"/>
      <c r="R94" s="16"/>
      <c r="S94" s="16"/>
      <c r="T94" s="16"/>
      <c r="U94" s="16"/>
      <c r="V94" s="16"/>
      <c r="W94" s="16"/>
      <c r="X94" s="16"/>
      <c r="Y94" s="16"/>
      <c r="Z94" s="16"/>
      <c r="AA94" s="16"/>
      <c r="AB94" s="16"/>
      <c r="AC94" s="16"/>
      <c r="AD94" s="16"/>
    </row>
    <row r="95" spans="1:30" x14ac:dyDescent="0.2">
      <c r="A95" s="16"/>
      <c r="B95" s="16"/>
      <c r="C95" s="16"/>
      <c r="D95" s="16"/>
      <c r="E95" s="16"/>
      <c r="F95" s="109"/>
      <c r="G95" s="109"/>
      <c r="H95" s="109"/>
      <c r="I95" s="109"/>
      <c r="J95" s="109"/>
      <c r="K95" s="109"/>
      <c r="L95" s="109"/>
      <c r="M95" s="109"/>
      <c r="N95" s="109"/>
      <c r="O95" s="16"/>
      <c r="P95" s="16"/>
      <c r="Q95" s="16"/>
      <c r="R95" s="16"/>
      <c r="S95" s="16"/>
      <c r="T95" s="16"/>
      <c r="U95" s="16"/>
      <c r="V95" s="16"/>
      <c r="W95" s="16"/>
      <c r="X95" s="16"/>
      <c r="Y95" s="16"/>
      <c r="Z95" s="16"/>
      <c r="AA95" s="16"/>
      <c r="AB95" s="16"/>
      <c r="AC95" s="16"/>
      <c r="AD95" s="16"/>
    </row>
    <row r="96" spans="1:30" x14ac:dyDescent="0.2">
      <c r="A96" s="16"/>
      <c r="B96" s="16"/>
      <c r="C96" s="16"/>
      <c r="D96" s="16"/>
      <c r="E96" s="16"/>
      <c r="F96" s="109"/>
      <c r="G96" s="109"/>
      <c r="H96" s="109"/>
      <c r="I96" s="109"/>
      <c r="J96" s="109"/>
      <c r="K96" s="109"/>
      <c r="L96" s="109"/>
      <c r="M96" s="109"/>
      <c r="N96" s="109"/>
      <c r="O96" s="16"/>
      <c r="P96" s="16"/>
      <c r="Q96" s="16"/>
      <c r="R96" s="16"/>
      <c r="S96" s="16"/>
      <c r="T96" s="16"/>
      <c r="U96" s="16"/>
      <c r="V96" s="16"/>
      <c r="W96" s="16"/>
      <c r="X96" s="16"/>
      <c r="Y96" s="16"/>
      <c r="Z96" s="16"/>
      <c r="AA96" s="16"/>
      <c r="AB96" s="16"/>
      <c r="AC96" s="16"/>
      <c r="AD96" s="16"/>
    </row>
    <row r="97" spans="1:30" x14ac:dyDescent="0.2">
      <c r="A97" s="16"/>
      <c r="B97" s="16"/>
      <c r="C97" s="16"/>
      <c r="D97" s="16"/>
      <c r="E97" s="16"/>
      <c r="F97" s="109"/>
      <c r="G97" s="109"/>
      <c r="H97" s="109"/>
      <c r="I97" s="109"/>
      <c r="J97" s="109"/>
      <c r="K97" s="109"/>
      <c r="L97" s="109"/>
      <c r="M97" s="109"/>
      <c r="N97" s="109"/>
      <c r="O97" s="16"/>
      <c r="P97" s="16"/>
      <c r="Q97" s="16"/>
      <c r="R97" s="16"/>
      <c r="S97" s="16"/>
      <c r="T97" s="16"/>
      <c r="U97" s="16"/>
      <c r="V97" s="16"/>
      <c r="W97" s="16"/>
      <c r="X97" s="16"/>
      <c r="Y97" s="16"/>
      <c r="Z97" s="16"/>
      <c r="AA97" s="16"/>
      <c r="AB97" s="16"/>
      <c r="AC97" s="16"/>
      <c r="AD97" s="16"/>
    </row>
    <row r="98" spans="1:30" x14ac:dyDescent="0.2">
      <c r="A98" s="16"/>
      <c r="B98" s="16"/>
      <c r="C98" s="16"/>
      <c r="D98" s="16"/>
      <c r="E98" s="16"/>
      <c r="F98" s="109"/>
      <c r="G98" s="109"/>
      <c r="H98" s="109"/>
      <c r="I98" s="109"/>
      <c r="J98" s="109"/>
      <c r="K98" s="109"/>
      <c r="L98" s="109"/>
      <c r="M98" s="109"/>
      <c r="N98" s="109"/>
      <c r="O98" s="16"/>
      <c r="P98" s="16"/>
      <c r="Q98" s="16"/>
      <c r="R98" s="16"/>
      <c r="S98" s="16"/>
      <c r="T98" s="16"/>
      <c r="U98" s="16"/>
      <c r="V98" s="16"/>
      <c r="W98" s="16"/>
      <c r="X98" s="16"/>
      <c r="Y98" s="16"/>
      <c r="Z98" s="16"/>
      <c r="AA98" s="16"/>
      <c r="AB98" s="16"/>
      <c r="AC98" s="16"/>
      <c r="AD98" s="16"/>
    </row>
    <row r="99" spans="1:30" x14ac:dyDescent="0.2">
      <c r="A99" s="16"/>
      <c r="B99" s="16"/>
      <c r="C99" s="16"/>
      <c r="D99" s="16"/>
      <c r="E99" s="16"/>
      <c r="F99" s="109"/>
      <c r="G99" s="109"/>
      <c r="H99" s="109"/>
      <c r="I99" s="109"/>
      <c r="J99" s="109"/>
      <c r="K99" s="109"/>
      <c r="L99" s="109"/>
      <c r="M99" s="109"/>
      <c r="N99" s="109"/>
      <c r="O99" s="16"/>
      <c r="P99" s="16"/>
      <c r="Q99" s="16"/>
      <c r="R99" s="16"/>
      <c r="S99" s="16"/>
      <c r="T99" s="16"/>
      <c r="U99" s="16"/>
      <c r="V99" s="16"/>
      <c r="W99" s="16"/>
      <c r="X99" s="16"/>
      <c r="Y99" s="16"/>
      <c r="Z99" s="16"/>
      <c r="AA99" s="16"/>
      <c r="AB99" s="16"/>
      <c r="AC99" s="16"/>
      <c r="AD99" s="16"/>
    </row>
    <row r="100" spans="1:30" x14ac:dyDescent="0.2">
      <c r="A100" s="16"/>
      <c r="B100" s="16"/>
      <c r="C100" s="16"/>
      <c r="D100" s="16"/>
      <c r="E100" s="16"/>
      <c r="F100" s="109"/>
      <c r="G100" s="109"/>
      <c r="H100" s="109"/>
      <c r="I100" s="109"/>
      <c r="J100" s="109"/>
      <c r="K100" s="109"/>
      <c r="L100" s="109"/>
      <c r="M100" s="109"/>
      <c r="N100" s="109"/>
      <c r="O100" s="16"/>
      <c r="P100" s="16"/>
      <c r="Q100" s="16"/>
      <c r="R100" s="16"/>
      <c r="S100" s="16"/>
      <c r="T100" s="16"/>
      <c r="U100" s="16"/>
      <c r="V100" s="16"/>
      <c r="W100" s="16"/>
      <c r="X100" s="16"/>
      <c r="Y100" s="16"/>
      <c r="Z100" s="16"/>
      <c r="AA100" s="16"/>
      <c r="AB100" s="16"/>
      <c r="AC100" s="16"/>
      <c r="AD100" s="16"/>
    </row>
    <row r="101" spans="1:30" x14ac:dyDescent="0.2">
      <c r="A101" s="16"/>
      <c r="B101" s="16"/>
      <c r="C101" s="16"/>
      <c r="D101" s="16"/>
      <c r="E101" s="16"/>
      <c r="F101" s="109"/>
      <c r="G101" s="109"/>
      <c r="H101" s="109"/>
      <c r="I101" s="109"/>
      <c r="J101" s="109"/>
      <c r="K101" s="109"/>
      <c r="L101" s="109"/>
      <c r="M101" s="109"/>
      <c r="N101" s="109"/>
      <c r="O101" s="16"/>
      <c r="P101" s="16"/>
      <c r="Q101" s="16"/>
      <c r="R101" s="16"/>
      <c r="S101" s="16"/>
      <c r="T101" s="16"/>
      <c r="U101" s="16"/>
      <c r="V101" s="16"/>
      <c r="W101" s="16"/>
      <c r="X101" s="16"/>
      <c r="Y101" s="16"/>
      <c r="Z101" s="16"/>
      <c r="AA101" s="16"/>
      <c r="AB101" s="16"/>
      <c r="AC101" s="16"/>
      <c r="AD101" s="16"/>
    </row>
    <row r="102" spans="1:30" x14ac:dyDescent="0.2">
      <c r="A102" s="16"/>
      <c r="B102" s="16"/>
      <c r="C102" s="16"/>
      <c r="D102" s="16"/>
      <c r="E102" s="16"/>
      <c r="F102" s="109"/>
      <c r="G102" s="109"/>
      <c r="H102" s="109"/>
      <c r="I102" s="109"/>
      <c r="J102" s="109"/>
      <c r="K102" s="109"/>
      <c r="L102" s="109"/>
      <c r="M102" s="109"/>
      <c r="N102" s="109"/>
      <c r="O102" s="16"/>
      <c r="P102" s="16"/>
      <c r="Q102" s="16"/>
      <c r="R102" s="16"/>
      <c r="S102" s="16"/>
      <c r="T102" s="16"/>
      <c r="U102" s="16"/>
      <c r="V102" s="16"/>
      <c r="W102" s="16"/>
      <c r="X102" s="16"/>
      <c r="Y102" s="16"/>
      <c r="Z102" s="16"/>
      <c r="AA102" s="16"/>
      <c r="AB102" s="16"/>
      <c r="AC102" s="16"/>
      <c r="AD102" s="16"/>
    </row>
    <row r="103" spans="1:30" x14ac:dyDescent="0.2">
      <c r="A103" s="16"/>
      <c r="B103" s="16"/>
      <c r="C103" s="16"/>
      <c r="D103" s="16"/>
      <c r="E103" s="16"/>
      <c r="F103" s="109"/>
      <c r="G103" s="109"/>
      <c r="H103" s="109"/>
      <c r="I103" s="109"/>
      <c r="J103" s="109"/>
      <c r="K103" s="109"/>
      <c r="L103" s="109"/>
      <c r="M103" s="109"/>
      <c r="N103" s="109"/>
      <c r="O103" s="16"/>
      <c r="P103" s="16"/>
      <c r="Q103" s="16"/>
      <c r="R103" s="16"/>
      <c r="S103" s="16"/>
      <c r="T103" s="16"/>
      <c r="U103" s="16"/>
      <c r="V103" s="16"/>
      <c r="W103" s="16"/>
      <c r="X103" s="16"/>
      <c r="Y103" s="16"/>
      <c r="Z103" s="16"/>
      <c r="AA103" s="16"/>
      <c r="AB103" s="16"/>
      <c r="AC103" s="16"/>
      <c r="AD103" s="16"/>
    </row>
    <row r="104" spans="1:30" x14ac:dyDescent="0.2">
      <c r="A104" s="16"/>
      <c r="B104" s="16"/>
      <c r="C104" s="16"/>
      <c r="D104" s="16"/>
      <c r="E104" s="16"/>
      <c r="F104" s="109"/>
      <c r="G104" s="109"/>
      <c r="H104" s="109"/>
      <c r="I104" s="109"/>
      <c r="J104" s="109"/>
      <c r="K104" s="109"/>
      <c r="L104" s="109"/>
      <c r="M104" s="109"/>
      <c r="N104" s="109"/>
      <c r="O104" s="16"/>
      <c r="P104" s="16"/>
      <c r="Q104" s="16"/>
      <c r="R104" s="16"/>
      <c r="S104" s="16"/>
      <c r="T104" s="16"/>
      <c r="U104" s="16"/>
      <c r="V104" s="16"/>
      <c r="W104" s="16"/>
      <c r="X104" s="16"/>
      <c r="Y104" s="16"/>
      <c r="Z104" s="16"/>
      <c r="AA104" s="16"/>
      <c r="AB104" s="16"/>
      <c r="AC104" s="16"/>
      <c r="AD104" s="16"/>
    </row>
    <row r="105" spans="1:30" x14ac:dyDescent="0.2">
      <c r="A105" s="16"/>
      <c r="B105" s="16"/>
      <c r="C105" s="16"/>
      <c r="D105" s="16"/>
      <c r="E105" s="16"/>
      <c r="F105" s="109"/>
      <c r="G105" s="109"/>
      <c r="H105" s="109"/>
      <c r="I105" s="109"/>
      <c r="J105" s="109"/>
      <c r="K105" s="109"/>
      <c r="L105" s="109"/>
      <c r="M105" s="109"/>
      <c r="N105" s="109"/>
      <c r="O105" s="16"/>
      <c r="P105" s="16"/>
      <c r="Q105" s="16"/>
      <c r="R105" s="16"/>
      <c r="S105" s="16"/>
      <c r="T105" s="16"/>
      <c r="U105" s="16"/>
      <c r="V105" s="16"/>
      <c r="W105" s="16"/>
      <c r="X105" s="16"/>
      <c r="Y105" s="16"/>
      <c r="Z105" s="16"/>
      <c r="AA105" s="16"/>
      <c r="AB105" s="16"/>
      <c r="AC105" s="16"/>
      <c r="AD105" s="16"/>
    </row>
    <row r="106" spans="1:30" x14ac:dyDescent="0.2">
      <c r="A106" s="16"/>
      <c r="B106" s="16"/>
      <c r="C106" s="16"/>
      <c r="D106" s="16"/>
      <c r="E106" s="16"/>
      <c r="F106" s="109"/>
      <c r="G106" s="109"/>
      <c r="H106" s="109"/>
      <c r="I106" s="109"/>
      <c r="J106" s="109"/>
      <c r="K106" s="109"/>
      <c r="L106" s="109"/>
      <c r="M106" s="109"/>
      <c r="N106" s="109"/>
      <c r="O106" s="16"/>
      <c r="P106" s="16"/>
      <c r="Q106" s="16"/>
      <c r="R106" s="16"/>
      <c r="S106" s="16"/>
      <c r="T106" s="16"/>
      <c r="U106" s="16"/>
      <c r="V106" s="16"/>
      <c r="W106" s="16"/>
      <c r="X106" s="16"/>
      <c r="Y106" s="16"/>
      <c r="Z106" s="16"/>
      <c r="AA106" s="16"/>
      <c r="AB106" s="16"/>
      <c r="AC106" s="16"/>
      <c r="AD106" s="16"/>
    </row>
    <row r="107" spans="1:30" x14ac:dyDescent="0.2">
      <c r="A107" s="16"/>
      <c r="B107" s="16"/>
      <c r="C107" s="16"/>
      <c r="D107" s="16"/>
      <c r="E107" s="16"/>
      <c r="F107" s="109"/>
      <c r="G107" s="109"/>
      <c r="H107" s="109"/>
      <c r="I107" s="109"/>
      <c r="J107" s="109"/>
      <c r="K107" s="109"/>
      <c r="L107" s="109"/>
      <c r="M107" s="109"/>
      <c r="N107" s="109"/>
      <c r="O107" s="16"/>
      <c r="P107" s="16"/>
      <c r="Q107" s="16"/>
      <c r="R107" s="16"/>
      <c r="S107" s="16"/>
      <c r="T107" s="16"/>
      <c r="U107" s="16"/>
      <c r="V107" s="16"/>
      <c r="W107" s="16"/>
      <c r="X107" s="16"/>
      <c r="Y107" s="16"/>
      <c r="Z107" s="16"/>
      <c r="AA107" s="16"/>
      <c r="AB107" s="16"/>
      <c r="AC107" s="16"/>
      <c r="AD107" s="16"/>
    </row>
    <row r="108" spans="1:30" x14ac:dyDescent="0.2">
      <c r="A108" s="16"/>
      <c r="B108" s="16"/>
      <c r="C108" s="16"/>
      <c r="D108" s="16"/>
      <c r="E108" s="16"/>
      <c r="F108" s="109"/>
      <c r="G108" s="109"/>
      <c r="H108" s="109"/>
      <c r="I108" s="109"/>
      <c r="J108" s="109"/>
      <c r="K108" s="109"/>
      <c r="L108" s="109"/>
      <c r="M108" s="109"/>
      <c r="N108" s="109"/>
      <c r="O108" s="16"/>
      <c r="P108" s="16"/>
      <c r="Q108" s="16"/>
      <c r="R108" s="16"/>
      <c r="S108" s="16"/>
      <c r="T108" s="16"/>
      <c r="U108" s="16"/>
      <c r="V108" s="16"/>
      <c r="W108" s="16"/>
      <c r="X108" s="16"/>
      <c r="Y108" s="16"/>
      <c r="Z108" s="16"/>
      <c r="AA108" s="16"/>
      <c r="AB108" s="16"/>
      <c r="AC108" s="16"/>
      <c r="AD108" s="16"/>
    </row>
    <row r="109" spans="1:30" x14ac:dyDescent="0.2">
      <c r="A109" s="16"/>
      <c r="B109" s="16"/>
      <c r="C109" s="16"/>
      <c r="D109" s="16"/>
      <c r="E109" s="16"/>
      <c r="F109" s="109"/>
      <c r="G109" s="109"/>
      <c r="H109" s="109"/>
      <c r="I109" s="109"/>
      <c r="J109" s="109"/>
      <c r="K109" s="109"/>
      <c r="L109" s="109"/>
      <c r="M109" s="109"/>
      <c r="N109" s="109"/>
      <c r="O109" s="16"/>
      <c r="P109" s="16"/>
      <c r="Q109" s="16"/>
      <c r="R109" s="16"/>
      <c r="S109" s="16"/>
      <c r="T109" s="16"/>
      <c r="U109" s="16"/>
      <c r="V109" s="16"/>
      <c r="W109" s="16"/>
      <c r="X109" s="16"/>
      <c r="Y109" s="16"/>
      <c r="Z109" s="16"/>
      <c r="AA109" s="16"/>
      <c r="AB109" s="16"/>
      <c r="AC109" s="16"/>
      <c r="AD109" s="16"/>
    </row>
    <row r="110" spans="1:30" x14ac:dyDescent="0.2">
      <c r="A110" s="16"/>
      <c r="B110" s="16"/>
      <c r="C110" s="16"/>
      <c r="D110" s="16"/>
      <c r="E110" s="16"/>
      <c r="F110" s="109"/>
      <c r="G110" s="109"/>
      <c r="H110" s="109"/>
      <c r="I110" s="109"/>
      <c r="J110" s="109"/>
      <c r="K110" s="109"/>
      <c r="L110" s="109"/>
      <c r="M110" s="109"/>
      <c r="N110" s="109"/>
      <c r="O110" s="16"/>
      <c r="P110" s="16"/>
      <c r="Q110" s="16"/>
      <c r="R110" s="16"/>
      <c r="S110" s="16"/>
      <c r="T110" s="16"/>
      <c r="U110" s="16"/>
      <c r="V110" s="16"/>
      <c r="W110" s="16"/>
      <c r="X110" s="16"/>
      <c r="Y110" s="16"/>
      <c r="Z110" s="16"/>
      <c r="AA110" s="16"/>
      <c r="AB110" s="16"/>
      <c r="AC110" s="16"/>
      <c r="AD110" s="16"/>
    </row>
    <row r="111" spans="1:30" x14ac:dyDescent="0.2">
      <c r="A111" s="16"/>
      <c r="B111" s="16"/>
      <c r="C111" s="16"/>
      <c r="D111" s="16"/>
      <c r="E111" s="16"/>
      <c r="F111" s="109"/>
      <c r="G111" s="109"/>
      <c r="H111" s="109"/>
      <c r="I111" s="109"/>
      <c r="J111" s="109"/>
      <c r="K111" s="109"/>
      <c r="L111" s="109"/>
      <c r="M111" s="109"/>
      <c r="N111" s="109"/>
      <c r="O111" s="16"/>
      <c r="P111" s="16"/>
      <c r="Q111" s="16"/>
      <c r="R111" s="16"/>
      <c r="S111" s="16"/>
      <c r="T111" s="16"/>
      <c r="U111" s="16"/>
      <c r="V111" s="16"/>
      <c r="W111" s="16"/>
      <c r="X111" s="16"/>
      <c r="Y111" s="16"/>
      <c r="Z111" s="16"/>
      <c r="AA111" s="16"/>
      <c r="AB111" s="16"/>
      <c r="AC111" s="16"/>
      <c r="AD111" s="16"/>
    </row>
    <row r="112" spans="1:30" x14ac:dyDescent="0.2">
      <c r="A112" s="16"/>
      <c r="B112" s="16"/>
      <c r="C112" s="16"/>
      <c r="D112" s="16"/>
      <c r="E112" s="16"/>
      <c r="F112" s="109"/>
      <c r="G112" s="109"/>
      <c r="H112" s="109"/>
      <c r="I112" s="109"/>
      <c r="J112" s="109"/>
      <c r="K112" s="109"/>
      <c r="L112" s="109"/>
      <c r="M112" s="109"/>
      <c r="N112" s="109"/>
      <c r="O112" s="16"/>
      <c r="P112" s="16"/>
      <c r="Q112" s="16"/>
      <c r="R112" s="16"/>
      <c r="S112" s="16"/>
      <c r="T112" s="16"/>
      <c r="U112" s="16"/>
      <c r="V112" s="16"/>
      <c r="W112" s="16"/>
      <c r="X112" s="16"/>
      <c r="Y112" s="16"/>
      <c r="Z112" s="16"/>
      <c r="AA112" s="16"/>
      <c r="AB112" s="16"/>
      <c r="AC112" s="16"/>
      <c r="AD112" s="16"/>
    </row>
    <row r="113" spans="1:30" x14ac:dyDescent="0.2">
      <c r="A113" s="16"/>
      <c r="B113" s="16"/>
      <c r="C113" s="16"/>
      <c r="D113" s="16"/>
      <c r="E113" s="16"/>
      <c r="F113" s="109"/>
      <c r="G113" s="109"/>
      <c r="H113" s="109"/>
      <c r="I113" s="109"/>
      <c r="J113" s="109"/>
      <c r="K113" s="109"/>
      <c r="L113" s="109"/>
      <c r="M113" s="109"/>
      <c r="N113" s="109"/>
      <c r="O113" s="16"/>
      <c r="P113" s="16"/>
      <c r="Q113" s="16"/>
      <c r="R113" s="16"/>
      <c r="S113" s="16"/>
      <c r="T113" s="16"/>
      <c r="U113" s="16"/>
      <c r="V113" s="16"/>
      <c r="W113" s="16"/>
      <c r="X113" s="16"/>
      <c r="Y113" s="16"/>
      <c r="Z113" s="16"/>
      <c r="AA113" s="16"/>
      <c r="AB113" s="16"/>
      <c r="AC113" s="16"/>
      <c r="AD113" s="16"/>
    </row>
    <row r="114" spans="1:30" x14ac:dyDescent="0.2">
      <c r="A114" s="16"/>
      <c r="B114" s="16"/>
      <c r="C114" s="16"/>
      <c r="D114" s="16"/>
      <c r="E114" s="16"/>
      <c r="F114" s="109"/>
      <c r="G114" s="109"/>
      <c r="H114" s="109"/>
      <c r="I114" s="109"/>
      <c r="J114" s="109"/>
      <c r="K114" s="109"/>
      <c r="L114" s="109"/>
      <c r="M114" s="109"/>
      <c r="N114" s="109"/>
      <c r="O114" s="16"/>
      <c r="P114" s="16"/>
      <c r="Q114" s="16"/>
      <c r="R114" s="16"/>
      <c r="S114" s="16"/>
      <c r="T114" s="16"/>
      <c r="U114" s="16"/>
      <c r="V114" s="16"/>
      <c r="W114" s="16"/>
      <c r="X114" s="16"/>
      <c r="Y114" s="16"/>
      <c r="Z114" s="16"/>
      <c r="AA114" s="16"/>
      <c r="AB114" s="16"/>
      <c r="AC114" s="16"/>
      <c r="AD114" s="16"/>
    </row>
    <row r="115" spans="1:30" x14ac:dyDescent="0.2">
      <c r="A115" s="16"/>
      <c r="B115" s="16"/>
      <c r="C115" s="16"/>
      <c r="D115" s="16"/>
      <c r="E115" s="16"/>
      <c r="F115" s="109"/>
      <c r="G115" s="109"/>
      <c r="H115" s="109"/>
      <c r="I115" s="109"/>
      <c r="J115" s="109"/>
      <c r="K115" s="109"/>
      <c r="L115" s="109"/>
      <c r="M115" s="109"/>
      <c r="N115" s="109"/>
      <c r="O115" s="16"/>
      <c r="P115" s="16"/>
      <c r="Q115" s="16"/>
      <c r="R115" s="16"/>
      <c r="S115" s="16"/>
      <c r="T115" s="16"/>
      <c r="U115" s="16"/>
      <c r="V115" s="16"/>
      <c r="W115" s="16"/>
      <c r="X115" s="16"/>
      <c r="Y115" s="16"/>
      <c r="Z115" s="16"/>
      <c r="AA115" s="16"/>
      <c r="AB115" s="16"/>
      <c r="AC115" s="16"/>
      <c r="AD115" s="16"/>
    </row>
    <row r="116" spans="1:30" x14ac:dyDescent="0.2">
      <c r="A116" s="16"/>
      <c r="B116" s="16"/>
      <c r="C116" s="16"/>
      <c r="D116" s="16"/>
      <c r="E116" s="16"/>
      <c r="F116" s="109"/>
      <c r="G116" s="109"/>
      <c r="H116" s="109"/>
      <c r="I116" s="109"/>
      <c r="J116" s="109"/>
      <c r="K116" s="109"/>
      <c r="L116" s="109"/>
      <c r="M116" s="109"/>
      <c r="N116" s="109"/>
      <c r="O116" s="16"/>
      <c r="P116" s="16"/>
      <c r="Q116" s="16"/>
      <c r="R116" s="16"/>
      <c r="S116" s="16"/>
      <c r="T116" s="16"/>
      <c r="U116" s="16"/>
      <c r="V116" s="16"/>
      <c r="W116" s="16"/>
      <c r="X116" s="16"/>
      <c r="Y116" s="16"/>
      <c r="Z116" s="16"/>
      <c r="AA116" s="16"/>
      <c r="AB116" s="16"/>
      <c r="AC116" s="16"/>
      <c r="AD116" s="16"/>
    </row>
    <row r="117" spans="1:30" x14ac:dyDescent="0.2">
      <c r="A117" s="16"/>
      <c r="B117" s="16"/>
      <c r="C117" s="16"/>
      <c r="D117" s="16"/>
      <c r="E117" s="16"/>
      <c r="F117" s="109"/>
      <c r="G117" s="109"/>
      <c r="H117" s="109"/>
      <c r="I117" s="109"/>
      <c r="J117" s="109"/>
      <c r="K117" s="109"/>
      <c r="L117" s="109"/>
      <c r="M117" s="109"/>
      <c r="N117" s="109"/>
      <c r="O117" s="16"/>
      <c r="P117" s="16"/>
      <c r="Q117" s="16"/>
      <c r="R117" s="16"/>
      <c r="S117" s="16"/>
      <c r="T117" s="16"/>
      <c r="U117" s="16"/>
      <c r="V117" s="16"/>
      <c r="W117" s="16"/>
      <c r="X117" s="16"/>
      <c r="Y117" s="16"/>
      <c r="Z117" s="16"/>
      <c r="AA117" s="16"/>
      <c r="AB117" s="16"/>
      <c r="AC117" s="16"/>
      <c r="AD117" s="16"/>
    </row>
    <row r="118" spans="1:30" x14ac:dyDescent="0.2">
      <c r="A118" s="16"/>
      <c r="B118" s="16"/>
      <c r="C118" s="16"/>
      <c r="D118" s="16"/>
      <c r="E118" s="16"/>
      <c r="F118" s="109"/>
      <c r="G118" s="109"/>
      <c r="H118" s="109"/>
      <c r="I118" s="109"/>
      <c r="J118" s="109"/>
      <c r="K118" s="109"/>
      <c r="L118" s="109"/>
      <c r="M118" s="109"/>
      <c r="N118" s="109"/>
      <c r="O118" s="16"/>
      <c r="P118" s="16"/>
      <c r="Q118" s="16"/>
      <c r="R118" s="16"/>
      <c r="S118" s="16"/>
      <c r="T118" s="16"/>
      <c r="U118" s="16"/>
      <c r="V118" s="16"/>
      <c r="W118" s="16"/>
      <c r="X118" s="16"/>
      <c r="Y118" s="16"/>
      <c r="Z118" s="16"/>
      <c r="AA118" s="16"/>
      <c r="AB118" s="16"/>
      <c r="AC118" s="16"/>
      <c r="AD118" s="16"/>
    </row>
    <row r="119" spans="1:30" x14ac:dyDescent="0.2">
      <c r="A119" s="16"/>
      <c r="B119" s="16"/>
      <c r="C119" s="16"/>
      <c r="D119" s="16"/>
      <c r="E119" s="16"/>
      <c r="F119" s="109"/>
      <c r="G119" s="109"/>
      <c r="H119" s="109"/>
      <c r="I119" s="109"/>
      <c r="J119" s="109"/>
      <c r="K119" s="109"/>
      <c r="L119" s="109"/>
      <c r="M119" s="109"/>
      <c r="N119" s="109"/>
      <c r="O119" s="16"/>
      <c r="P119" s="16"/>
      <c r="Q119" s="16"/>
      <c r="R119" s="16"/>
      <c r="S119" s="16"/>
      <c r="T119" s="16"/>
      <c r="U119" s="16"/>
      <c r="V119" s="16"/>
      <c r="W119" s="16"/>
      <c r="X119" s="16"/>
      <c r="Y119" s="16"/>
      <c r="Z119" s="16"/>
      <c r="AA119" s="16"/>
      <c r="AB119" s="16"/>
      <c r="AC119" s="16"/>
      <c r="AD119" s="16"/>
    </row>
    <row r="120" spans="1:30" x14ac:dyDescent="0.2">
      <c r="A120" s="16"/>
      <c r="B120" s="16"/>
      <c r="C120" s="16"/>
      <c r="D120" s="16"/>
      <c r="E120" s="16"/>
      <c r="F120" s="109"/>
      <c r="G120" s="109"/>
      <c r="H120" s="109"/>
      <c r="I120" s="109"/>
      <c r="J120" s="109"/>
      <c r="K120" s="109"/>
      <c r="L120" s="109"/>
      <c r="M120" s="109"/>
      <c r="N120" s="109"/>
      <c r="O120" s="16"/>
      <c r="P120" s="16"/>
      <c r="Q120" s="16"/>
      <c r="R120" s="16"/>
      <c r="S120" s="16"/>
      <c r="T120" s="16"/>
      <c r="U120" s="16"/>
      <c r="V120" s="16"/>
      <c r="W120" s="16"/>
      <c r="X120" s="16"/>
      <c r="Y120" s="16"/>
      <c r="Z120" s="16"/>
      <c r="AA120" s="16"/>
      <c r="AB120" s="16"/>
      <c r="AC120" s="16"/>
      <c r="AD120" s="16"/>
    </row>
    <row r="121" spans="1:30" x14ac:dyDescent="0.2">
      <c r="A121" s="16"/>
      <c r="B121" s="16"/>
      <c r="C121" s="16"/>
      <c r="D121" s="16"/>
      <c r="E121" s="16"/>
      <c r="F121" s="109"/>
      <c r="G121" s="109"/>
      <c r="H121" s="109"/>
      <c r="I121" s="109"/>
      <c r="J121" s="109"/>
      <c r="K121" s="109"/>
      <c r="L121" s="109"/>
      <c r="M121" s="109"/>
      <c r="N121" s="109"/>
      <c r="O121" s="16"/>
      <c r="P121" s="16"/>
      <c r="Q121" s="16"/>
      <c r="R121" s="16"/>
      <c r="S121" s="16"/>
      <c r="T121" s="16"/>
      <c r="U121" s="16"/>
      <c r="V121" s="16"/>
      <c r="W121" s="16"/>
      <c r="X121" s="16"/>
      <c r="Y121" s="16"/>
      <c r="Z121" s="16"/>
      <c r="AA121" s="16"/>
      <c r="AB121" s="16"/>
      <c r="AC121" s="16"/>
      <c r="AD121" s="16"/>
    </row>
    <row r="122" spans="1:30" x14ac:dyDescent="0.2">
      <c r="A122" s="16"/>
      <c r="B122" s="16"/>
      <c r="C122" s="16"/>
      <c r="D122" s="16"/>
      <c r="E122" s="16"/>
      <c r="F122" s="109"/>
      <c r="G122" s="109"/>
      <c r="H122" s="109"/>
      <c r="I122" s="109"/>
      <c r="J122" s="109"/>
      <c r="K122" s="109"/>
      <c r="L122" s="109"/>
      <c r="M122" s="109"/>
      <c r="N122" s="109"/>
      <c r="O122" s="16"/>
      <c r="P122" s="16"/>
      <c r="Q122" s="16"/>
      <c r="R122" s="16"/>
      <c r="S122" s="16"/>
      <c r="T122" s="16"/>
      <c r="U122" s="16"/>
      <c r="V122" s="16"/>
      <c r="W122" s="16"/>
      <c r="X122" s="16"/>
      <c r="Y122" s="16"/>
      <c r="Z122" s="16"/>
      <c r="AA122" s="16"/>
      <c r="AB122" s="16"/>
      <c r="AC122" s="16"/>
      <c r="AD122" s="16"/>
    </row>
    <row r="123" spans="1:30" x14ac:dyDescent="0.2">
      <c r="A123" s="16"/>
      <c r="B123" s="16"/>
      <c r="C123" s="16"/>
      <c r="D123" s="16"/>
      <c r="E123" s="16"/>
      <c r="F123" s="109"/>
      <c r="G123" s="109"/>
      <c r="H123" s="109"/>
      <c r="I123" s="109"/>
      <c r="J123" s="109"/>
      <c r="K123" s="109"/>
      <c r="L123" s="109"/>
      <c r="M123" s="109"/>
      <c r="N123" s="109"/>
      <c r="O123" s="16"/>
      <c r="P123" s="16"/>
      <c r="Q123" s="16"/>
      <c r="R123" s="16"/>
      <c r="S123" s="16"/>
      <c r="T123" s="16"/>
      <c r="U123" s="16"/>
      <c r="V123" s="16"/>
      <c r="W123" s="16"/>
      <c r="X123" s="16"/>
      <c r="Y123" s="16"/>
      <c r="Z123" s="16"/>
      <c r="AA123" s="16"/>
      <c r="AB123" s="16"/>
      <c r="AC123" s="16"/>
      <c r="AD123" s="16"/>
    </row>
    <row r="124" spans="1:30" x14ac:dyDescent="0.2">
      <c r="A124" s="16"/>
      <c r="B124" s="16"/>
      <c r="C124" s="16"/>
      <c r="D124" s="16"/>
      <c r="E124" s="16"/>
      <c r="F124" s="109"/>
      <c r="G124" s="109"/>
      <c r="H124" s="109"/>
      <c r="I124" s="109"/>
      <c r="J124" s="109"/>
      <c r="K124" s="109"/>
      <c r="L124" s="109"/>
      <c r="M124" s="109"/>
      <c r="N124" s="109"/>
      <c r="O124" s="16"/>
      <c r="P124" s="16"/>
      <c r="Q124" s="16"/>
      <c r="R124" s="16"/>
      <c r="S124" s="16"/>
      <c r="T124" s="16"/>
      <c r="U124" s="16"/>
      <c r="V124" s="16"/>
      <c r="W124" s="16"/>
      <c r="X124" s="16"/>
      <c r="Y124" s="16"/>
      <c r="Z124" s="16"/>
      <c r="AA124" s="16"/>
      <c r="AB124" s="16"/>
      <c r="AC124" s="16"/>
      <c r="AD124" s="16"/>
    </row>
    <row r="125" spans="1:30" x14ac:dyDescent="0.2">
      <c r="A125" s="16"/>
      <c r="B125" s="16"/>
      <c r="C125" s="16"/>
      <c r="D125" s="16"/>
      <c r="E125" s="16"/>
      <c r="F125" s="109"/>
      <c r="G125" s="109"/>
      <c r="H125" s="109"/>
      <c r="I125" s="109"/>
      <c r="J125" s="109"/>
      <c r="K125" s="109"/>
      <c r="L125" s="109"/>
      <c r="M125" s="109"/>
      <c r="N125" s="109"/>
      <c r="O125" s="16"/>
      <c r="P125" s="16"/>
      <c r="Q125" s="16"/>
      <c r="R125" s="16"/>
      <c r="S125" s="16"/>
      <c r="T125" s="16"/>
      <c r="U125" s="16"/>
      <c r="V125" s="16"/>
      <c r="W125" s="16"/>
      <c r="X125" s="16"/>
      <c r="Y125" s="16"/>
      <c r="Z125" s="16"/>
      <c r="AA125" s="16"/>
      <c r="AB125" s="16"/>
      <c r="AC125" s="16"/>
      <c r="AD125" s="16"/>
    </row>
    <row r="126" spans="1:30" x14ac:dyDescent="0.2">
      <c r="A126" s="16"/>
      <c r="B126" s="16"/>
      <c r="C126" s="16"/>
      <c r="D126" s="16"/>
      <c r="E126" s="16"/>
      <c r="F126" s="109"/>
      <c r="G126" s="109"/>
      <c r="H126" s="109"/>
      <c r="I126" s="109"/>
      <c r="J126" s="109"/>
      <c r="K126" s="109"/>
      <c r="L126" s="109"/>
      <c r="M126" s="109"/>
      <c r="N126" s="109"/>
      <c r="O126" s="16"/>
      <c r="P126" s="16"/>
      <c r="Q126" s="16"/>
      <c r="R126" s="16"/>
      <c r="S126" s="16"/>
      <c r="T126" s="16"/>
      <c r="U126" s="16"/>
      <c r="V126" s="16"/>
      <c r="W126" s="16"/>
      <c r="X126" s="16"/>
      <c r="Y126" s="16"/>
      <c r="Z126" s="16"/>
      <c r="AA126" s="16"/>
      <c r="AB126" s="16"/>
      <c r="AC126" s="16"/>
      <c r="AD126" s="16"/>
    </row>
    <row r="127" spans="1:30" x14ac:dyDescent="0.2">
      <c r="A127" s="16"/>
      <c r="B127" s="16"/>
      <c r="C127" s="16"/>
      <c r="D127" s="16"/>
      <c r="E127" s="16"/>
      <c r="F127" s="109"/>
      <c r="G127" s="109"/>
      <c r="H127" s="109"/>
      <c r="I127" s="109"/>
      <c r="J127" s="109"/>
      <c r="K127" s="109"/>
      <c r="L127" s="109"/>
      <c r="M127" s="109"/>
      <c r="N127" s="109"/>
      <c r="O127" s="16"/>
      <c r="P127" s="16"/>
      <c r="Q127" s="16"/>
      <c r="R127" s="16"/>
      <c r="S127" s="16"/>
      <c r="T127" s="16"/>
      <c r="U127" s="16"/>
      <c r="V127" s="16"/>
      <c r="W127" s="16"/>
      <c r="X127" s="16"/>
      <c r="Y127" s="16"/>
      <c r="Z127" s="16"/>
      <c r="AA127" s="16"/>
      <c r="AB127" s="16"/>
      <c r="AC127" s="16"/>
      <c r="AD127" s="16"/>
    </row>
    <row r="128" spans="1:30" x14ac:dyDescent="0.2">
      <c r="A128" s="16"/>
      <c r="B128" s="16"/>
      <c r="C128" s="16"/>
      <c r="D128" s="16"/>
      <c r="E128" s="16"/>
      <c r="F128" s="109"/>
      <c r="G128" s="109"/>
      <c r="H128" s="109"/>
      <c r="I128" s="109"/>
      <c r="J128" s="109"/>
      <c r="K128" s="109"/>
      <c r="L128" s="109"/>
      <c r="M128" s="109"/>
      <c r="N128" s="109"/>
      <c r="O128" s="16"/>
      <c r="P128" s="16"/>
      <c r="Q128" s="16"/>
      <c r="R128" s="16"/>
      <c r="S128" s="16"/>
      <c r="T128" s="16"/>
      <c r="U128" s="16"/>
      <c r="V128" s="16"/>
      <c r="W128" s="16"/>
      <c r="X128" s="16"/>
      <c r="Y128" s="16"/>
      <c r="Z128" s="16"/>
      <c r="AA128" s="16"/>
      <c r="AB128" s="16"/>
      <c r="AC128" s="16"/>
      <c r="AD128" s="16"/>
    </row>
    <row r="129" spans="1:30" x14ac:dyDescent="0.2">
      <c r="A129" s="16"/>
      <c r="B129" s="16"/>
      <c r="C129" s="16"/>
      <c r="D129" s="16"/>
      <c r="E129" s="16"/>
      <c r="F129" s="109"/>
      <c r="G129" s="109"/>
      <c r="H129" s="109"/>
      <c r="I129" s="109"/>
      <c r="J129" s="109"/>
      <c r="K129" s="109"/>
      <c r="L129" s="109"/>
      <c r="M129" s="109"/>
      <c r="N129" s="109"/>
      <c r="O129" s="16"/>
      <c r="P129" s="16"/>
      <c r="Q129" s="16"/>
      <c r="R129" s="16"/>
      <c r="S129" s="16"/>
      <c r="T129" s="16"/>
      <c r="U129" s="16"/>
      <c r="V129" s="16"/>
      <c r="W129" s="16"/>
      <c r="X129" s="16"/>
      <c r="Y129" s="16"/>
      <c r="Z129" s="16"/>
      <c r="AA129" s="16"/>
      <c r="AB129" s="16"/>
      <c r="AC129" s="16"/>
      <c r="AD129" s="16"/>
    </row>
    <row r="130" spans="1:30" x14ac:dyDescent="0.2">
      <c r="A130" s="16"/>
      <c r="B130" s="16"/>
      <c r="C130" s="16"/>
      <c r="D130" s="16"/>
      <c r="E130" s="16"/>
      <c r="F130" s="109"/>
      <c r="G130" s="109"/>
      <c r="H130" s="109"/>
      <c r="I130" s="109"/>
      <c r="J130" s="109"/>
      <c r="K130" s="109"/>
      <c r="L130" s="109"/>
      <c r="M130" s="109"/>
      <c r="N130" s="109"/>
      <c r="O130" s="16"/>
      <c r="P130" s="16"/>
      <c r="Q130" s="16"/>
      <c r="R130" s="16"/>
      <c r="S130" s="16"/>
      <c r="T130" s="16"/>
      <c r="U130" s="16"/>
      <c r="V130" s="16"/>
      <c r="W130" s="16"/>
      <c r="X130" s="16"/>
      <c r="Y130" s="16"/>
      <c r="Z130" s="16"/>
      <c r="AA130" s="16"/>
      <c r="AB130" s="16"/>
      <c r="AC130" s="16"/>
      <c r="AD130" s="16"/>
    </row>
    <row r="131" spans="1:30" x14ac:dyDescent="0.2">
      <c r="A131" s="16"/>
      <c r="B131" s="16"/>
      <c r="C131" s="16"/>
      <c r="D131" s="16"/>
      <c r="E131" s="16"/>
      <c r="F131" s="109"/>
      <c r="G131" s="109"/>
      <c r="H131" s="109"/>
      <c r="I131" s="109"/>
      <c r="J131" s="109"/>
      <c r="K131" s="109"/>
      <c r="L131" s="109"/>
      <c r="M131" s="109"/>
      <c r="N131" s="109"/>
      <c r="O131" s="16"/>
      <c r="P131" s="16"/>
      <c r="Q131" s="16"/>
      <c r="R131" s="16"/>
      <c r="S131" s="16"/>
      <c r="T131" s="16"/>
      <c r="U131" s="16"/>
      <c r="V131" s="16"/>
      <c r="W131" s="16"/>
      <c r="X131" s="16"/>
      <c r="Y131" s="16"/>
      <c r="Z131" s="16"/>
      <c r="AA131" s="16"/>
      <c r="AB131" s="16"/>
      <c r="AC131" s="16"/>
      <c r="AD131" s="16"/>
    </row>
    <row r="132" spans="1:30" x14ac:dyDescent="0.2">
      <c r="A132" s="16"/>
      <c r="B132" s="16"/>
      <c r="C132" s="16"/>
      <c r="D132" s="16"/>
      <c r="E132" s="16"/>
      <c r="F132" s="109"/>
      <c r="G132" s="109"/>
      <c r="H132" s="109"/>
      <c r="I132" s="109"/>
      <c r="J132" s="109"/>
      <c r="K132" s="109"/>
      <c r="L132" s="109"/>
      <c r="M132" s="109"/>
      <c r="N132" s="109"/>
      <c r="O132" s="16"/>
      <c r="P132" s="16"/>
      <c r="Q132" s="16"/>
      <c r="R132" s="16"/>
      <c r="S132" s="16"/>
      <c r="T132" s="16"/>
      <c r="U132" s="16"/>
      <c r="V132" s="16"/>
      <c r="W132" s="16"/>
      <c r="X132" s="16"/>
      <c r="Y132" s="16"/>
      <c r="Z132" s="16"/>
      <c r="AA132" s="16"/>
      <c r="AB132" s="16"/>
      <c r="AC132" s="16"/>
      <c r="AD132" s="16"/>
    </row>
    <row r="133" spans="1:30" x14ac:dyDescent="0.2">
      <c r="A133" s="16"/>
      <c r="B133" s="16"/>
      <c r="C133" s="16"/>
      <c r="D133" s="16"/>
      <c r="E133" s="16"/>
      <c r="F133" s="109"/>
      <c r="G133" s="109"/>
      <c r="H133" s="109"/>
      <c r="I133" s="109"/>
      <c r="J133" s="109"/>
      <c r="K133" s="109"/>
      <c r="L133" s="109"/>
      <c r="M133" s="109"/>
      <c r="N133" s="109"/>
      <c r="O133" s="16"/>
      <c r="P133" s="16"/>
      <c r="Q133" s="16"/>
      <c r="R133" s="16"/>
      <c r="S133" s="16"/>
      <c r="T133" s="16"/>
      <c r="U133" s="16"/>
      <c r="V133" s="16"/>
      <c r="W133" s="16"/>
      <c r="X133" s="16"/>
      <c r="Y133" s="16"/>
      <c r="Z133" s="16"/>
      <c r="AA133" s="16"/>
      <c r="AB133" s="16"/>
      <c r="AC133" s="16"/>
      <c r="AD133" s="16"/>
    </row>
    <row r="134" spans="1:30" x14ac:dyDescent="0.2">
      <c r="A134" s="16"/>
      <c r="B134" s="16"/>
      <c r="C134" s="16"/>
      <c r="D134" s="16"/>
      <c r="E134" s="16"/>
      <c r="F134" s="109"/>
      <c r="G134" s="109"/>
      <c r="H134" s="109"/>
      <c r="I134" s="109"/>
      <c r="J134" s="109"/>
      <c r="K134" s="109"/>
      <c r="L134" s="109"/>
      <c r="M134" s="109"/>
      <c r="N134" s="109"/>
      <c r="O134" s="16"/>
      <c r="P134" s="16"/>
      <c r="Q134" s="16"/>
      <c r="R134" s="16"/>
      <c r="S134" s="16"/>
      <c r="T134" s="16"/>
      <c r="U134" s="16"/>
      <c r="V134" s="16"/>
      <c r="W134" s="16"/>
      <c r="X134" s="16"/>
      <c r="Y134" s="16"/>
      <c r="Z134" s="16"/>
      <c r="AA134" s="16"/>
      <c r="AB134" s="16"/>
      <c r="AC134" s="16"/>
      <c r="AD134" s="16"/>
    </row>
    <row r="135" spans="1:30" x14ac:dyDescent="0.2">
      <c r="A135" s="16"/>
      <c r="B135" s="16"/>
      <c r="C135" s="16"/>
      <c r="D135" s="16"/>
      <c r="E135" s="16"/>
      <c r="F135" s="109"/>
      <c r="G135" s="109"/>
      <c r="H135" s="109"/>
      <c r="I135" s="109"/>
      <c r="J135" s="109"/>
      <c r="K135" s="109"/>
      <c r="L135" s="109"/>
      <c r="M135" s="109"/>
      <c r="N135" s="109"/>
      <c r="O135" s="16"/>
      <c r="P135" s="16"/>
      <c r="Q135" s="16"/>
      <c r="R135" s="16"/>
      <c r="S135" s="16"/>
      <c r="T135" s="16"/>
      <c r="U135" s="16"/>
      <c r="V135" s="16"/>
      <c r="W135" s="16"/>
      <c r="X135" s="16"/>
      <c r="Y135" s="16"/>
      <c r="Z135" s="16"/>
      <c r="AA135" s="16"/>
      <c r="AB135" s="16"/>
      <c r="AC135" s="16"/>
      <c r="AD135" s="16"/>
    </row>
    <row r="136" spans="1:30" x14ac:dyDescent="0.2">
      <c r="A136" s="16"/>
      <c r="B136" s="16"/>
      <c r="C136" s="16"/>
      <c r="D136" s="16"/>
      <c r="E136" s="16"/>
      <c r="F136" s="109"/>
      <c r="G136" s="109"/>
      <c r="H136" s="109"/>
      <c r="I136" s="109"/>
      <c r="J136" s="109"/>
      <c r="K136" s="109"/>
      <c r="L136" s="109"/>
      <c r="M136" s="109"/>
      <c r="N136" s="109"/>
      <c r="O136" s="16"/>
      <c r="P136" s="16"/>
      <c r="Q136" s="16"/>
      <c r="R136" s="16"/>
      <c r="S136" s="16"/>
      <c r="T136" s="16"/>
      <c r="U136" s="16"/>
      <c r="V136" s="16"/>
      <c r="W136" s="16"/>
      <c r="X136" s="16"/>
      <c r="Y136" s="16"/>
      <c r="Z136" s="16"/>
      <c r="AA136" s="16"/>
      <c r="AB136" s="16"/>
      <c r="AC136" s="16"/>
      <c r="AD136" s="16"/>
    </row>
    <row r="137" spans="1:30" x14ac:dyDescent="0.2">
      <c r="A137" s="16"/>
      <c r="B137" s="16"/>
      <c r="C137" s="16"/>
      <c r="D137" s="16"/>
      <c r="E137" s="16"/>
      <c r="F137" s="109"/>
      <c r="G137" s="109"/>
      <c r="H137" s="109"/>
      <c r="I137" s="109"/>
      <c r="J137" s="109"/>
      <c r="K137" s="109"/>
      <c r="L137" s="109"/>
      <c r="M137" s="109"/>
      <c r="N137" s="109"/>
      <c r="O137" s="16"/>
      <c r="P137" s="16"/>
      <c r="Q137" s="16"/>
      <c r="R137" s="16"/>
      <c r="S137" s="16"/>
      <c r="T137" s="16"/>
      <c r="U137" s="16"/>
      <c r="V137" s="16"/>
      <c r="W137" s="16"/>
      <c r="X137" s="16"/>
      <c r="Y137" s="16"/>
      <c r="Z137" s="16"/>
      <c r="AA137" s="16"/>
      <c r="AB137" s="16"/>
      <c r="AC137" s="16"/>
      <c r="AD137" s="16"/>
    </row>
    <row r="138" spans="1:30" x14ac:dyDescent="0.2">
      <c r="A138" s="16"/>
      <c r="B138" s="16"/>
      <c r="C138" s="16"/>
      <c r="D138" s="16"/>
      <c r="E138" s="16"/>
      <c r="F138" s="109"/>
      <c r="G138" s="109"/>
      <c r="H138" s="109"/>
      <c r="I138" s="109"/>
      <c r="J138" s="109"/>
      <c r="K138" s="109"/>
      <c r="L138" s="109"/>
      <c r="M138" s="109"/>
      <c r="N138" s="109"/>
      <c r="O138" s="16"/>
      <c r="P138" s="16"/>
      <c r="Q138" s="16"/>
      <c r="R138" s="16"/>
      <c r="S138" s="16"/>
      <c r="T138" s="16"/>
      <c r="U138" s="16"/>
      <c r="V138" s="16"/>
      <c r="W138" s="16"/>
      <c r="X138" s="16"/>
      <c r="Y138" s="16"/>
      <c r="Z138" s="16"/>
      <c r="AA138" s="16"/>
      <c r="AB138" s="16"/>
      <c r="AC138" s="16"/>
      <c r="AD138" s="16"/>
    </row>
    <row r="139" spans="1:30" x14ac:dyDescent="0.2">
      <c r="A139" s="16"/>
      <c r="B139" s="16"/>
      <c r="C139" s="16"/>
      <c r="D139" s="16"/>
      <c r="E139" s="16"/>
      <c r="F139" s="109"/>
      <c r="G139" s="109"/>
      <c r="H139" s="109"/>
      <c r="I139" s="109"/>
      <c r="J139" s="109"/>
      <c r="K139" s="109"/>
      <c r="L139" s="109"/>
      <c r="M139" s="109"/>
      <c r="N139" s="109"/>
      <c r="O139" s="16"/>
      <c r="P139" s="16"/>
      <c r="Q139" s="16"/>
      <c r="R139" s="16"/>
      <c r="S139" s="16"/>
      <c r="T139" s="16"/>
      <c r="U139" s="16"/>
      <c r="V139" s="16"/>
      <c r="W139" s="16"/>
      <c r="X139" s="16"/>
      <c r="Y139" s="16"/>
      <c r="Z139" s="16"/>
      <c r="AA139" s="16"/>
      <c r="AB139" s="16"/>
      <c r="AC139" s="16"/>
      <c r="AD139" s="16"/>
    </row>
    <row r="140" spans="1:30" x14ac:dyDescent="0.2">
      <c r="A140" s="16"/>
      <c r="B140" s="16"/>
      <c r="C140" s="16"/>
      <c r="D140" s="16"/>
      <c r="E140" s="16"/>
      <c r="F140" s="109"/>
      <c r="G140" s="109"/>
      <c r="H140" s="109"/>
      <c r="I140" s="109"/>
      <c r="J140" s="109"/>
      <c r="K140" s="109"/>
      <c r="L140" s="109"/>
      <c r="M140" s="109"/>
      <c r="N140" s="109"/>
      <c r="O140" s="16"/>
      <c r="P140" s="16"/>
      <c r="Q140" s="16"/>
      <c r="R140" s="16"/>
      <c r="S140" s="16"/>
      <c r="T140" s="16"/>
      <c r="U140" s="16"/>
      <c r="V140" s="16"/>
      <c r="W140" s="16"/>
      <c r="X140" s="16"/>
      <c r="Y140" s="16"/>
      <c r="Z140" s="16"/>
      <c r="AA140" s="16"/>
      <c r="AB140" s="16"/>
      <c r="AC140" s="16"/>
      <c r="AD140" s="16"/>
    </row>
    <row r="141" spans="1:30" x14ac:dyDescent="0.2">
      <c r="A141" s="16"/>
      <c r="B141" s="16"/>
      <c r="C141" s="16"/>
      <c r="D141" s="16"/>
      <c r="E141" s="16"/>
      <c r="F141" s="109"/>
      <c r="G141" s="109"/>
      <c r="H141" s="109"/>
      <c r="I141" s="109"/>
      <c r="J141" s="109"/>
      <c r="K141" s="109"/>
      <c r="L141" s="109"/>
      <c r="M141" s="109"/>
      <c r="N141" s="109"/>
      <c r="O141" s="16"/>
      <c r="P141" s="16"/>
      <c r="Q141" s="16"/>
      <c r="R141" s="16"/>
      <c r="S141" s="16"/>
      <c r="T141" s="16"/>
      <c r="U141" s="16"/>
      <c r="V141" s="16"/>
      <c r="W141" s="16"/>
      <c r="X141" s="16"/>
      <c r="Y141" s="16"/>
      <c r="Z141" s="16"/>
      <c r="AA141" s="16"/>
      <c r="AB141" s="16"/>
      <c r="AC141" s="16"/>
      <c r="AD141" s="16"/>
    </row>
    <row r="142" spans="1:30" x14ac:dyDescent="0.2">
      <c r="A142" s="16"/>
      <c r="B142" s="16"/>
      <c r="C142" s="16"/>
      <c r="D142" s="16"/>
      <c r="E142" s="16"/>
      <c r="F142" s="109"/>
      <c r="G142" s="109"/>
      <c r="H142" s="109"/>
      <c r="I142" s="109"/>
      <c r="J142" s="109"/>
      <c r="K142" s="109"/>
      <c r="L142" s="109"/>
      <c r="M142" s="109"/>
      <c r="N142" s="109"/>
      <c r="O142" s="16"/>
      <c r="P142" s="16"/>
      <c r="Q142" s="16"/>
      <c r="R142" s="16"/>
      <c r="S142" s="16"/>
      <c r="T142" s="16"/>
      <c r="U142" s="16"/>
      <c r="V142" s="16"/>
      <c r="W142" s="16"/>
      <c r="X142" s="16"/>
      <c r="Y142" s="16"/>
      <c r="Z142" s="16"/>
      <c r="AA142" s="16"/>
      <c r="AB142" s="16"/>
      <c r="AC142" s="16"/>
      <c r="AD142" s="16"/>
    </row>
    <row r="143" spans="1:30" x14ac:dyDescent="0.2">
      <c r="A143" s="16"/>
      <c r="B143" s="16"/>
      <c r="C143" s="16"/>
      <c r="D143" s="16"/>
      <c r="E143" s="16"/>
      <c r="F143" s="109"/>
      <c r="G143" s="109"/>
      <c r="H143" s="109"/>
      <c r="I143" s="109"/>
      <c r="J143" s="109"/>
      <c r="K143" s="109"/>
      <c r="L143" s="109"/>
      <c r="M143" s="109"/>
      <c r="N143" s="109"/>
      <c r="O143" s="16"/>
      <c r="P143" s="16"/>
      <c r="Q143" s="16"/>
      <c r="R143" s="16"/>
      <c r="S143" s="16"/>
      <c r="T143" s="16"/>
      <c r="U143" s="16"/>
      <c r="V143" s="16"/>
      <c r="W143" s="16"/>
      <c r="X143" s="16"/>
      <c r="Y143" s="16"/>
      <c r="Z143" s="16"/>
      <c r="AA143" s="16"/>
      <c r="AB143" s="16"/>
      <c r="AC143" s="16"/>
      <c r="AD143" s="16"/>
    </row>
    <row r="144" spans="1:30" x14ac:dyDescent="0.2">
      <c r="A144" s="16"/>
      <c r="B144" s="16"/>
      <c r="C144" s="16"/>
      <c r="D144" s="16"/>
      <c r="E144" s="16"/>
      <c r="F144" s="109"/>
      <c r="G144" s="109"/>
      <c r="H144" s="109"/>
      <c r="I144" s="109"/>
      <c r="J144" s="109"/>
      <c r="K144" s="109"/>
      <c r="L144" s="109"/>
      <c r="M144" s="109"/>
      <c r="N144" s="109"/>
      <c r="O144" s="16"/>
      <c r="P144" s="16"/>
      <c r="Q144" s="16"/>
      <c r="R144" s="16"/>
      <c r="S144" s="16"/>
      <c r="T144" s="16"/>
      <c r="U144" s="16"/>
      <c r="V144" s="16"/>
      <c r="W144" s="16"/>
      <c r="X144" s="16"/>
      <c r="Y144" s="16"/>
      <c r="Z144" s="16"/>
      <c r="AA144" s="16"/>
      <c r="AB144" s="16"/>
      <c r="AC144" s="16"/>
      <c r="AD144" s="16"/>
    </row>
    <row r="145" spans="1:30" x14ac:dyDescent="0.2">
      <c r="A145" s="16"/>
      <c r="B145" s="16"/>
      <c r="C145" s="16"/>
      <c r="D145" s="16"/>
      <c r="E145" s="16"/>
      <c r="F145" s="109"/>
      <c r="G145" s="109"/>
      <c r="H145" s="109"/>
      <c r="I145" s="109"/>
      <c r="J145" s="109"/>
      <c r="K145" s="109"/>
      <c r="L145" s="109"/>
      <c r="M145" s="109"/>
      <c r="N145" s="109"/>
      <c r="O145" s="16"/>
      <c r="P145" s="16"/>
      <c r="Q145" s="16"/>
      <c r="R145" s="16"/>
      <c r="S145" s="16"/>
      <c r="T145" s="16"/>
      <c r="U145" s="16"/>
      <c r="V145" s="16"/>
      <c r="W145" s="16"/>
      <c r="X145" s="16"/>
      <c r="Y145" s="16"/>
      <c r="Z145" s="16"/>
      <c r="AA145" s="16"/>
      <c r="AB145" s="16"/>
      <c r="AC145" s="16"/>
      <c r="AD145" s="16"/>
    </row>
    <row r="146" spans="1:30" x14ac:dyDescent="0.2">
      <c r="A146" s="16"/>
      <c r="B146" s="16"/>
      <c r="C146" s="16"/>
      <c r="D146" s="16"/>
      <c r="E146" s="16"/>
      <c r="F146" s="109"/>
      <c r="G146" s="109"/>
      <c r="H146" s="109"/>
      <c r="I146" s="109"/>
      <c r="J146" s="109"/>
      <c r="K146" s="109"/>
      <c r="L146" s="109"/>
      <c r="M146" s="109"/>
      <c r="N146" s="109"/>
      <c r="O146" s="16"/>
      <c r="P146" s="16"/>
      <c r="Q146" s="16"/>
      <c r="R146" s="16"/>
      <c r="S146" s="16"/>
      <c r="T146" s="16"/>
      <c r="U146" s="16"/>
      <c r="V146" s="16"/>
      <c r="W146" s="16"/>
      <c r="X146" s="16"/>
      <c r="Y146" s="16"/>
      <c r="Z146" s="16"/>
      <c r="AA146" s="16"/>
      <c r="AB146" s="16"/>
      <c r="AC146" s="16"/>
      <c r="AD146" s="16"/>
    </row>
    <row r="147" spans="1:30" x14ac:dyDescent="0.2">
      <c r="A147" s="16"/>
      <c r="B147" s="16"/>
      <c r="C147" s="16"/>
      <c r="D147" s="16"/>
      <c r="E147" s="16"/>
      <c r="F147" s="109"/>
      <c r="G147" s="109"/>
      <c r="H147" s="109"/>
      <c r="I147" s="109"/>
      <c r="J147" s="109"/>
      <c r="K147" s="109"/>
      <c r="L147" s="109"/>
      <c r="M147" s="109"/>
      <c r="N147" s="109"/>
      <c r="O147" s="16"/>
      <c r="P147" s="16"/>
      <c r="Q147" s="16"/>
      <c r="R147" s="16"/>
      <c r="S147" s="16"/>
      <c r="T147" s="16"/>
      <c r="U147" s="16"/>
      <c r="V147" s="16"/>
      <c r="W147" s="16"/>
      <c r="X147" s="16"/>
      <c r="Y147" s="16"/>
      <c r="Z147" s="16"/>
      <c r="AA147" s="16"/>
      <c r="AB147" s="16"/>
      <c r="AC147" s="16"/>
      <c r="AD147" s="16"/>
    </row>
    <row r="148" spans="1:30" x14ac:dyDescent="0.2">
      <c r="A148" s="16"/>
      <c r="B148" s="16"/>
      <c r="C148" s="16"/>
      <c r="D148" s="16"/>
      <c r="E148" s="16"/>
      <c r="F148" s="109"/>
      <c r="G148" s="109"/>
      <c r="H148" s="109"/>
      <c r="I148" s="109"/>
      <c r="J148" s="109"/>
      <c r="K148" s="109"/>
      <c r="L148" s="109"/>
      <c r="M148" s="109"/>
      <c r="N148" s="109"/>
      <c r="O148" s="16"/>
      <c r="P148" s="16"/>
      <c r="Q148" s="16"/>
      <c r="R148" s="16"/>
      <c r="S148" s="16"/>
      <c r="T148" s="16"/>
      <c r="U148" s="16"/>
      <c r="V148" s="16"/>
      <c r="W148" s="16"/>
      <c r="X148" s="16"/>
      <c r="Y148" s="16"/>
      <c r="Z148" s="16"/>
      <c r="AA148" s="16"/>
      <c r="AB148" s="16"/>
      <c r="AC148" s="16"/>
      <c r="AD148" s="16"/>
    </row>
    <row r="149" spans="1:30" x14ac:dyDescent="0.2">
      <c r="A149" s="16"/>
      <c r="B149" s="16"/>
      <c r="C149" s="16"/>
      <c r="D149" s="16"/>
      <c r="E149" s="16"/>
      <c r="F149" s="109"/>
      <c r="G149" s="109"/>
      <c r="H149" s="109"/>
      <c r="I149" s="109"/>
      <c r="J149" s="109"/>
      <c r="K149" s="109"/>
      <c r="L149" s="109"/>
      <c r="M149" s="109"/>
      <c r="N149" s="109"/>
      <c r="O149" s="16"/>
      <c r="P149" s="16"/>
      <c r="Q149" s="16"/>
      <c r="R149" s="16"/>
      <c r="S149" s="16"/>
      <c r="T149" s="16"/>
      <c r="U149" s="16"/>
      <c r="V149" s="16"/>
      <c r="W149" s="16"/>
      <c r="X149" s="16"/>
      <c r="Y149" s="16"/>
      <c r="Z149" s="16"/>
      <c r="AA149" s="16"/>
      <c r="AB149" s="16"/>
      <c r="AC149" s="16"/>
      <c r="AD149" s="16"/>
    </row>
    <row r="150" spans="1:30" x14ac:dyDescent="0.2">
      <c r="A150" s="16"/>
      <c r="B150" s="16"/>
      <c r="C150" s="16"/>
      <c r="D150" s="16"/>
      <c r="E150" s="16"/>
      <c r="F150" s="109"/>
      <c r="G150" s="109"/>
      <c r="H150" s="109"/>
      <c r="I150" s="109"/>
      <c r="J150" s="109"/>
      <c r="K150" s="109"/>
      <c r="L150" s="109"/>
      <c r="M150" s="109"/>
      <c r="N150" s="109"/>
      <c r="O150" s="16"/>
      <c r="P150" s="16"/>
      <c r="Q150" s="16"/>
      <c r="R150" s="16"/>
      <c r="S150" s="16"/>
      <c r="T150" s="16"/>
      <c r="U150" s="16"/>
      <c r="V150" s="16"/>
      <c r="W150" s="16"/>
      <c r="X150" s="16"/>
      <c r="Y150" s="16"/>
      <c r="Z150" s="16"/>
      <c r="AA150" s="16"/>
      <c r="AB150" s="16"/>
      <c r="AC150" s="16"/>
      <c r="AD150" s="16"/>
    </row>
    <row r="151" spans="1:30" x14ac:dyDescent="0.2">
      <c r="A151" s="16"/>
      <c r="B151" s="16"/>
      <c r="C151" s="16"/>
      <c r="D151" s="16"/>
      <c r="E151" s="16"/>
      <c r="F151" s="109"/>
      <c r="G151" s="109"/>
      <c r="H151" s="109"/>
      <c r="I151" s="109"/>
      <c r="J151" s="109"/>
      <c r="K151" s="109"/>
      <c r="L151" s="109"/>
      <c r="M151" s="109"/>
      <c r="N151" s="109"/>
      <c r="O151" s="16"/>
      <c r="P151" s="16"/>
      <c r="Q151" s="16"/>
      <c r="R151" s="16"/>
      <c r="S151" s="16"/>
      <c r="T151" s="16"/>
      <c r="U151" s="16"/>
      <c r="V151" s="16"/>
      <c r="W151" s="16"/>
      <c r="X151" s="16"/>
      <c r="Y151" s="16"/>
      <c r="Z151" s="16"/>
      <c r="AA151" s="16"/>
      <c r="AB151" s="16"/>
      <c r="AC151" s="16"/>
      <c r="AD151" s="16"/>
    </row>
    <row r="152" spans="1:30" x14ac:dyDescent="0.2">
      <c r="A152" s="16"/>
      <c r="B152" s="16"/>
      <c r="C152" s="16"/>
      <c r="D152" s="16"/>
      <c r="E152" s="16"/>
      <c r="F152" s="109"/>
      <c r="G152" s="109"/>
      <c r="H152" s="109"/>
      <c r="I152" s="109"/>
      <c r="J152" s="109"/>
      <c r="K152" s="109"/>
      <c r="L152" s="109"/>
      <c r="M152" s="109"/>
      <c r="N152" s="109"/>
      <c r="O152" s="16"/>
      <c r="P152" s="16"/>
      <c r="Q152" s="16"/>
      <c r="R152" s="16"/>
      <c r="S152" s="16"/>
      <c r="T152" s="16"/>
      <c r="U152" s="16"/>
      <c r="V152" s="16"/>
      <c r="W152" s="16"/>
      <c r="X152" s="16"/>
      <c r="Y152" s="16"/>
      <c r="Z152" s="16"/>
      <c r="AA152" s="16"/>
      <c r="AB152" s="16"/>
      <c r="AC152" s="16"/>
      <c r="AD152" s="16"/>
    </row>
    <row r="153" spans="1:30" x14ac:dyDescent="0.2">
      <c r="A153" s="16"/>
      <c r="B153" s="16"/>
      <c r="C153" s="16"/>
      <c r="D153" s="16"/>
      <c r="E153" s="16"/>
      <c r="F153" s="109"/>
      <c r="G153" s="109"/>
      <c r="H153" s="109"/>
      <c r="I153" s="109"/>
      <c r="J153" s="109"/>
      <c r="K153" s="109"/>
      <c r="L153" s="109"/>
      <c r="M153" s="109"/>
      <c r="N153" s="109"/>
      <c r="O153" s="16"/>
      <c r="P153" s="16"/>
      <c r="Q153" s="16"/>
      <c r="R153" s="16"/>
      <c r="S153" s="16"/>
      <c r="T153" s="16"/>
      <c r="U153" s="16"/>
      <c r="V153" s="16"/>
      <c r="W153" s="16"/>
      <c r="X153" s="16"/>
      <c r="Y153" s="16"/>
      <c r="Z153" s="16"/>
      <c r="AA153" s="16"/>
      <c r="AB153" s="16"/>
      <c r="AC153" s="16"/>
      <c r="AD153" s="16"/>
    </row>
    <row r="154" spans="1:30" x14ac:dyDescent="0.2">
      <c r="A154" s="16"/>
      <c r="B154" s="16"/>
      <c r="C154" s="16"/>
      <c r="D154" s="16"/>
      <c r="E154" s="16"/>
      <c r="F154" s="109"/>
      <c r="G154" s="109"/>
      <c r="H154" s="109"/>
      <c r="I154" s="109"/>
      <c r="J154" s="109"/>
      <c r="K154" s="109"/>
      <c r="L154" s="109"/>
      <c r="M154" s="109"/>
      <c r="N154" s="109"/>
      <c r="O154" s="16"/>
      <c r="P154" s="16"/>
      <c r="Q154" s="16"/>
      <c r="R154" s="16"/>
      <c r="S154" s="16"/>
      <c r="T154" s="16"/>
      <c r="U154" s="16"/>
      <c r="V154" s="16"/>
      <c r="W154" s="16"/>
      <c r="X154" s="16"/>
      <c r="Y154" s="16"/>
      <c r="Z154" s="16"/>
      <c r="AA154" s="16"/>
      <c r="AB154" s="16"/>
      <c r="AC154" s="16"/>
      <c r="AD154" s="16"/>
    </row>
    <row r="155" spans="1:30" x14ac:dyDescent="0.2">
      <c r="A155" s="16"/>
      <c r="B155" s="16"/>
      <c r="C155" s="16"/>
      <c r="D155" s="16"/>
      <c r="E155" s="16"/>
      <c r="F155" s="109"/>
      <c r="G155" s="109"/>
      <c r="H155" s="109"/>
      <c r="I155" s="109"/>
      <c r="J155" s="109"/>
      <c r="K155" s="109"/>
      <c r="L155" s="109"/>
      <c r="M155" s="109"/>
      <c r="N155" s="109"/>
      <c r="O155" s="16"/>
      <c r="P155" s="16"/>
      <c r="Q155" s="16"/>
      <c r="R155" s="16"/>
      <c r="S155" s="16"/>
      <c r="T155" s="16"/>
      <c r="U155" s="16"/>
      <c r="V155" s="16"/>
      <c r="W155" s="16"/>
      <c r="X155" s="16"/>
      <c r="Y155" s="16"/>
      <c r="Z155" s="16"/>
      <c r="AA155" s="16"/>
      <c r="AB155" s="16"/>
      <c r="AC155" s="16"/>
      <c r="AD155" s="16"/>
    </row>
    <row r="156" spans="1:30" x14ac:dyDescent="0.2">
      <c r="A156" s="16"/>
      <c r="B156" s="16"/>
      <c r="C156" s="16"/>
      <c r="D156" s="16"/>
      <c r="E156" s="16"/>
      <c r="F156" s="109"/>
      <c r="G156" s="109"/>
      <c r="H156" s="109"/>
      <c r="I156" s="109"/>
      <c r="J156" s="109"/>
      <c r="K156" s="109"/>
      <c r="L156" s="109"/>
      <c r="M156" s="109"/>
      <c r="N156" s="109"/>
      <c r="O156" s="16"/>
      <c r="P156" s="16"/>
      <c r="Q156" s="16"/>
      <c r="R156" s="16"/>
      <c r="S156" s="16"/>
      <c r="T156" s="16"/>
      <c r="U156" s="16"/>
      <c r="V156" s="16"/>
      <c r="W156" s="16"/>
      <c r="X156" s="16"/>
      <c r="Y156" s="16"/>
      <c r="Z156" s="16"/>
      <c r="AA156" s="16"/>
      <c r="AB156" s="16"/>
      <c r="AC156" s="16"/>
      <c r="AD156" s="16"/>
    </row>
    <row r="157" spans="1:30" x14ac:dyDescent="0.2">
      <c r="A157" s="16"/>
      <c r="B157" s="16"/>
      <c r="C157" s="16"/>
      <c r="D157" s="16"/>
      <c r="E157" s="16"/>
      <c r="F157" s="109"/>
      <c r="G157" s="109"/>
      <c r="H157" s="109"/>
      <c r="I157" s="109"/>
      <c r="J157" s="109"/>
      <c r="K157" s="109"/>
      <c r="L157" s="109"/>
      <c r="M157" s="109"/>
      <c r="N157" s="109"/>
      <c r="O157" s="16"/>
      <c r="P157" s="16"/>
      <c r="Q157" s="16"/>
      <c r="R157" s="16"/>
      <c r="S157" s="16"/>
      <c r="T157" s="16"/>
      <c r="U157" s="16"/>
      <c r="V157" s="16"/>
      <c r="W157" s="16"/>
      <c r="X157" s="16"/>
      <c r="Y157" s="16"/>
      <c r="Z157" s="16"/>
      <c r="AA157" s="16"/>
      <c r="AB157" s="16"/>
      <c r="AC157" s="16"/>
      <c r="AD157" s="16"/>
    </row>
    <row r="158" spans="1:30" x14ac:dyDescent="0.2">
      <c r="A158" s="16"/>
      <c r="B158" s="16"/>
      <c r="C158" s="16"/>
      <c r="D158" s="16"/>
      <c r="E158" s="16"/>
      <c r="F158" s="109"/>
      <c r="G158" s="109"/>
      <c r="H158" s="109"/>
      <c r="I158" s="109"/>
      <c r="J158" s="109"/>
      <c r="K158" s="109"/>
      <c r="L158" s="109"/>
      <c r="M158" s="109"/>
      <c r="N158" s="109"/>
      <c r="O158" s="16"/>
      <c r="P158" s="16"/>
      <c r="Q158" s="16"/>
      <c r="R158" s="16"/>
      <c r="S158" s="16"/>
      <c r="T158" s="16"/>
      <c r="U158" s="16"/>
      <c r="V158" s="16"/>
      <c r="W158" s="16"/>
      <c r="X158" s="16"/>
      <c r="Y158" s="16"/>
      <c r="Z158" s="16"/>
      <c r="AA158" s="16"/>
      <c r="AB158" s="16"/>
      <c r="AC158" s="16"/>
      <c r="AD158" s="16"/>
    </row>
    <row r="159" spans="1:30" x14ac:dyDescent="0.2">
      <c r="A159" s="16"/>
      <c r="B159" s="16"/>
      <c r="C159" s="16"/>
      <c r="D159" s="16"/>
      <c r="E159" s="16"/>
      <c r="F159" s="109"/>
      <c r="G159" s="109"/>
      <c r="H159" s="109"/>
      <c r="I159" s="109"/>
      <c r="J159" s="109"/>
      <c r="K159" s="109"/>
      <c r="L159" s="109"/>
      <c r="M159" s="109"/>
      <c r="N159" s="109"/>
      <c r="O159" s="16"/>
      <c r="P159" s="16"/>
      <c r="Q159" s="16"/>
      <c r="R159" s="16"/>
      <c r="S159" s="16"/>
      <c r="T159" s="16"/>
      <c r="U159" s="16"/>
      <c r="V159" s="16"/>
      <c r="W159" s="16"/>
      <c r="X159" s="16"/>
      <c r="Y159" s="16"/>
      <c r="Z159" s="16"/>
      <c r="AA159" s="16"/>
      <c r="AB159" s="16"/>
      <c r="AC159" s="16"/>
      <c r="AD159" s="16"/>
    </row>
    <row r="160" spans="1:30" x14ac:dyDescent="0.2">
      <c r="A160" s="16"/>
      <c r="B160" s="16"/>
      <c r="C160" s="16"/>
      <c r="D160" s="16"/>
      <c r="E160" s="16"/>
      <c r="F160" s="109"/>
      <c r="G160" s="109"/>
      <c r="H160" s="109"/>
      <c r="I160" s="109"/>
      <c r="J160" s="109"/>
      <c r="K160" s="109"/>
      <c r="L160" s="109"/>
      <c r="M160" s="109"/>
      <c r="N160" s="109"/>
      <c r="O160" s="16"/>
      <c r="P160" s="16"/>
      <c r="Q160" s="16"/>
      <c r="R160" s="16"/>
      <c r="S160" s="16"/>
      <c r="T160" s="16"/>
      <c r="U160" s="16"/>
      <c r="V160" s="16"/>
      <c r="W160" s="16"/>
      <c r="X160" s="16"/>
      <c r="Y160" s="16"/>
      <c r="Z160" s="16"/>
      <c r="AA160" s="16"/>
      <c r="AB160" s="16"/>
      <c r="AC160" s="16"/>
      <c r="AD160" s="16"/>
    </row>
    <row r="161" spans="1:30" x14ac:dyDescent="0.2">
      <c r="A161" s="16"/>
      <c r="B161" s="16"/>
      <c r="C161" s="16"/>
      <c r="D161" s="16"/>
      <c r="E161" s="16"/>
      <c r="F161" s="109"/>
      <c r="G161" s="109"/>
      <c r="H161" s="109"/>
      <c r="I161" s="109"/>
      <c r="J161" s="109"/>
      <c r="K161" s="109"/>
      <c r="L161" s="109"/>
      <c r="M161" s="109"/>
      <c r="N161" s="109"/>
      <c r="O161" s="16"/>
      <c r="P161" s="16"/>
      <c r="Q161" s="16"/>
      <c r="R161" s="16"/>
      <c r="S161" s="16"/>
      <c r="T161" s="16"/>
      <c r="U161" s="16"/>
      <c r="V161" s="16"/>
      <c r="W161" s="16"/>
      <c r="X161" s="16"/>
      <c r="Y161" s="16"/>
      <c r="Z161" s="16"/>
      <c r="AA161" s="16"/>
      <c r="AB161" s="16"/>
      <c r="AC161" s="16"/>
      <c r="AD161" s="16"/>
    </row>
    <row r="162" spans="1:30" x14ac:dyDescent="0.2">
      <c r="A162" s="16"/>
      <c r="B162" s="16"/>
      <c r="C162" s="16"/>
      <c r="D162" s="16"/>
      <c r="E162" s="16"/>
      <c r="F162" s="109"/>
      <c r="G162" s="109"/>
      <c r="H162" s="109"/>
      <c r="I162" s="109"/>
      <c r="J162" s="109"/>
      <c r="K162" s="109"/>
      <c r="L162" s="109"/>
      <c r="M162" s="109"/>
      <c r="N162" s="109"/>
      <c r="O162" s="16"/>
      <c r="P162" s="16"/>
      <c r="Q162" s="16"/>
      <c r="R162" s="16"/>
      <c r="S162" s="16"/>
      <c r="T162" s="16"/>
      <c r="U162" s="16"/>
      <c r="V162" s="16"/>
      <c r="W162" s="16"/>
      <c r="X162" s="16"/>
      <c r="Y162" s="16"/>
      <c r="Z162" s="16"/>
      <c r="AA162" s="16"/>
      <c r="AB162" s="16"/>
      <c r="AC162" s="16"/>
      <c r="AD162" s="16"/>
    </row>
    <row r="163" spans="1:30" x14ac:dyDescent="0.2">
      <c r="A163" s="16"/>
      <c r="B163" s="16"/>
      <c r="C163" s="16"/>
      <c r="D163" s="16"/>
      <c r="E163" s="16"/>
      <c r="F163" s="109"/>
      <c r="G163" s="109"/>
      <c r="H163" s="109"/>
      <c r="I163" s="109"/>
      <c r="J163" s="109"/>
      <c r="K163" s="109"/>
      <c r="L163" s="109"/>
      <c r="M163" s="109"/>
      <c r="N163" s="109"/>
      <c r="O163" s="16"/>
      <c r="P163" s="16"/>
      <c r="Q163" s="16"/>
      <c r="R163" s="16"/>
      <c r="S163" s="16"/>
      <c r="T163" s="16"/>
      <c r="U163" s="16"/>
      <c r="V163" s="16"/>
      <c r="W163" s="16"/>
      <c r="X163" s="16"/>
      <c r="Y163" s="16"/>
      <c r="Z163" s="16"/>
      <c r="AA163" s="16"/>
      <c r="AB163" s="16"/>
      <c r="AC163" s="16"/>
      <c r="AD163" s="16"/>
    </row>
    <row r="164" spans="1:30" x14ac:dyDescent="0.2">
      <c r="A164" s="16"/>
      <c r="B164" s="16"/>
      <c r="C164" s="16"/>
      <c r="D164" s="16"/>
      <c r="E164" s="16"/>
      <c r="F164" s="109"/>
      <c r="G164" s="109"/>
      <c r="H164" s="109"/>
      <c r="I164" s="109"/>
      <c r="J164" s="109"/>
      <c r="K164" s="109"/>
      <c r="L164" s="109"/>
      <c r="M164" s="109"/>
      <c r="N164" s="109"/>
      <c r="O164" s="16"/>
      <c r="P164" s="16"/>
      <c r="Q164" s="16"/>
      <c r="R164" s="16"/>
      <c r="S164" s="16"/>
      <c r="T164" s="16"/>
      <c r="U164" s="16"/>
      <c r="V164" s="16"/>
      <c r="W164" s="16"/>
      <c r="X164" s="16"/>
      <c r="Y164" s="16"/>
      <c r="Z164" s="16"/>
      <c r="AA164" s="16"/>
      <c r="AB164" s="16"/>
      <c r="AC164" s="16"/>
      <c r="AD164" s="16"/>
    </row>
    <row r="165" spans="1:30" x14ac:dyDescent="0.2">
      <c r="A165" s="16"/>
      <c r="B165" s="16"/>
      <c r="C165" s="16"/>
      <c r="D165" s="16"/>
      <c r="E165" s="16"/>
      <c r="F165" s="109"/>
      <c r="G165" s="109"/>
      <c r="H165" s="109"/>
      <c r="I165" s="109"/>
      <c r="J165" s="109"/>
      <c r="K165" s="109"/>
      <c r="L165" s="109"/>
      <c r="M165" s="109"/>
      <c r="N165" s="109"/>
      <c r="O165" s="16"/>
      <c r="P165" s="16"/>
      <c r="Q165" s="16"/>
      <c r="R165" s="16"/>
      <c r="S165" s="16"/>
      <c r="T165" s="16"/>
      <c r="U165" s="16"/>
      <c r="V165" s="16"/>
      <c r="W165" s="16"/>
      <c r="X165" s="16"/>
      <c r="Y165" s="16"/>
      <c r="Z165" s="16"/>
      <c r="AA165" s="16"/>
      <c r="AB165" s="16"/>
      <c r="AC165" s="16"/>
      <c r="AD165" s="16"/>
    </row>
    <row r="166" spans="1:30" x14ac:dyDescent="0.2">
      <c r="A166" s="16"/>
      <c r="B166" s="16"/>
      <c r="C166" s="16"/>
      <c r="D166" s="16"/>
      <c r="E166" s="16"/>
      <c r="F166" s="109"/>
      <c r="G166" s="109"/>
      <c r="H166" s="109"/>
      <c r="I166" s="109"/>
      <c r="J166" s="109"/>
      <c r="K166" s="109"/>
      <c r="L166" s="109"/>
      <c r="M166" s="109"/>
      <c r="N166" s="109"/>
      <c r="O166" s="16"/>
      <c r="P166" s="16"/>
      <c r="Q166" s="16"/>
      <c r="R166" s="16"/>
      <c r="S166" s="16"/>
      <c r="T166" s="16"/>
      <c r="U166" s="16"/>
      <c r="V166" s="16"/>
      <c r="W166" s="16"/>
      <c r="X166" s="16"/>
      <c r="Y166" s="16"/>
      <c r="Z166" s="16"/>
      <c r="AA166" s="16"/>
      <c r="AB166" s="16"/>
      <c r="AC166" s="16"/>
      <c r="AD166" s="16"/>
    </row>
    <row r="167" spans="1:30" x14ac:dyDescent="0.2">
      <c r="A167" s="16"/>
      <c r="B167" s="16"/>
      <c r="C167" s="16"/>
      <c r="D167" s="16"/>
      <c r="E167" s="16"/>
      <c r="F167" s="109"/>
      <c r="G167" s="109"/>
      <c r="H167" s="109"/>
      <c r="I167" s="109"/>
      <c r="J167" s="109"/>
      <c r="K167" s="109"/>
      <c r="L167" s="109"/>
      <c r="M167" s="109"/>
      <c r="N167" s="109"/>
      <c r="O167" s="16"/>
      <c r="P167" s="16"/>
      <c r="Q167" s="16"/>
      <c r="R167" s="16"/>
      <c r="S167" s="16"/>
      <c r="T167" s="16"/>
      <c r="U167" s="16"/>
      <c r="V167" s="16"/>
      <c r="W167" s="16"/>
      <c r="X167" s="16"/>
      <c r="Y167" s="16"/>
      <c r="Z167" s="16"/>
      <c r="AA167" s="16"/>
      <c r="AB167" s="16"/>
      <c r="AC167" s="16"/>
      <c r="AD167" s="16"/>
    </row>
    <row r="168" spans="1:30" x14ac:dyDescent="0.2">
      <c r="A168" s="16"/>
      <c r="B168" s="16"/>
      <c r="C168" s="16"/>
      <c r="D168" s="16"/>
      <c r="E168" s="16"/>
      <c r="F168" s="109"/>
      <c r="G168" s="109"/>
      <c r="H168" s="109"/>
      <c r="I168" s="109"/>
      <c r="J168" s="109"/>
      <c r="K168" s="109"/>
      <c r="L168" s="109"/>
      <c r="M168" s="109"/>
      <c r="N168" s="109"/>
      <c r="O168" s="16"/>
      <c r="P168" s="16"/>
      <c r="Q168" s="16"/>
      <c r="R168" s="16"/>
      <c r="S168" s="16"/>
      <c r="T168" s="16"/>
      <c r="U168" s="16"/>
      <c r="V168" s="16"/>
      <c r="W168" s="16"/>
      <c r="X168" s="16"/>
      <c r="Y168" s="16"/>
      <c r="Z168" s="16"/>
      <c r="AA168" s="16"/>
      <c r="AB168" s="16"/>
      <c r="AC168" s="16"/>
      <c r="AD168" s="16"/>
    </row>
    <row r="169" spans="1:30" x14ac:dyDescent="0.2">
      <c r="A169" s="16"/>
      <c r="B169" s="16"/>
      <c r="C169" s="16"/>
      <c r="D169" s="16"/>
      <c r="E169" s="16"/>
      <c r="F169" s="109"/>
      <c r="G169" s="109"/>
      <c r="H169" s="109"/>
      <c r="I169" s="109"/>
      <c r="J169" s="109"/>
      <c r="K169" s="109"/>
      <c r="L169" s="109"/>
      <c r="M169" s="109"/>
      <c r="N169" s="109"/>
      <c r="O169" s="16"/>
      <c r="P169" s="16"/>
      <c r="Q169" s="16"/>
      <c r="R169" s="16"/>
      <c r="S169" s="16"/>
      <c r="T169" s="16"/>
      <c r="U169" s="16"/>
      <c r="V169" s="16"/>
      <c r="W169" s="16"/>
      <c r="X169" s="16"/>
      <c r="Y169" s="16"/>
      <c r="Z169" s="16"/>
      <c r="AA169" s="16"/>
      <c r="AB169" s="16"/>
      <c r="AC169" s="16"/>
      <c r="AD169" s="16"/>
    </row>
    <row r="170" spans="1:30" x14ac:dyDescent="0.2">
      <c r="A170" s="16"/>
      <c r="B170" s="16"/>
      <c r="C170" s="16"/>
      <c r="D170" s="16"/>
      <c r="E170" s="16"/>
      <c r="F170" s="109"/>
      <c r="G170" s="109"/>
      <c r="H170" s="109"/>
      <c r="I170" s="109"/>
      <c r="J170" s="109"/>
      <c r="K170" s="109"/>
      <c r="L170" s="109"/>
      <c r="M170" s="109"/>
      <c r="N170" s="109"/>
      <c r="O170" s="16"/>
      <c r="P170" s="16"/>
      <c r="Q170" s="16"/>
      <c r="R170" s="16"/>
      <c r="S170" s="16"/>
      <c r="T170" s="16"/>
      <c r="U170" s="16"/>
      <c r="V170" s="16"/>
      <c r="W170" s="16"/>
      <c r="X170" s="16"/>
      <c r="Y170" s="16"/>
      <c r="Z170" s="16"/>
      <c r="AA170" s="16"/>
      <c r="AB170" s="16"/>
      <c r="AC170" s="16"/>
      <c r="AD170" s="16"/>
    </row>
    <row r="171" spans="1:30" x14ac:dyDescent="0.2">
      <c r="A171" s="16"/>
      <c r="B171" s="16"/>
      <c r="C171" s="16"/>
      <c r="D171" s="16"/>
      <c r="E171" s="16"/>
      <c r="F171" s="109"/>
      <c r="G171" s="109"/>
      <c r="H171" s="109"/>
      <c r="I171" s="109"/>
      <c r="J171" s="109"/>
      <c r="K171" s="109"/>
      <c r="L171" s="109"/>
      <c r="M171" s="109"/>
      <c r="N171" s="109"/>
      <c r="O171" s="16"/>
      <c r="P171" s="16"/>
      <c r="Q171" s="16"/>
      <c r="R171" s="16"/>
      <c r="S171" s="16"/>
      <c r="T171" s="16"/>
      <c r="U171" s="16"/>
      <c r="V171" s="16"/>
      <c r="W171" s="16"/>
      <c r="X171" s="16"/>
      <c r="Y171" s="16"/>
      <c r="Z171" s="16"/>
      <c r="AA171" s="16"/>
      <c r="AB171" s="16"/>
      <c r="AC171" s="16"/>
      <c r="AD171" s="16"/>
    </row>
    <row r="172" spans="1:30" x14ac:dyDescent="0.2">
      <c r="A172" s="16"/>
      <c r="B172" s="16"/>
      <c r="C172" s="16"/>
      <c r="D172" s="16"/>
      <c r="E172" s="16"/>
      <c r="F172" s="109"/>
      <c r="G172" s="109"/>
      <c r="H172" s="109"/>
      <c r="I172" s="109"/>
      <c r="J172" s="109"/>
      <c r="K172" s="109"/>
      <c r="L172" s="109"/>
      <c r="M172" s="109"/>
      <c r="N172" s="109"/>
      <c r="O172" s="16"/>
      <c r="P172" s="16"/>
      <c r="Q172" s="16"/>
      <c r="R172" s="16"/>
      <c r="S172" s="16"/>
      <c r="T172" s="16"/>
      <c r="U172" s="16"/>
      <c r="V172" s="16"/>
      <c r="W172" s="16"/>
      <c r="X172" s="16"/>
      <c r="Y172" s="16"/>
      <c r="Z172" s="16"/>
      <c r="AA172" s="16"/>
      <c r="AB172" s="16"/>
      <c r="AC172" s="16"/>
      <c r="AD172" s="16"/>
    </row>
    <row r="173" spans="1:30" x14ac:dyDescent="0.2">
      <c r="A173" s="16"/>
      <c r="B173" s="16"/>
      <c r="C173" s="16"/>
      <c r="D173" s="16"/>
      <c r="E173" s="16"/>
      <c r="F173" s="109"/>
      <c r="G173" s="109"/>
      <c r="H173" s="109"/>
      <c r="I173" s="109"/>
      <c r="J173" s="109"/>
      <c r="K173" s="109"/>
      <c r="L173" s="109"/>
      <c r="M173" s="109"/>
      <c r="N173" s="109"/>
      <c r="O173" s="16"/>
      <c r="P173" s="16"/>
      <c r="Q173" s="16"/>
      <c r="R173" s="16"/>
      <c r="S173" s="16"/>
      <c r="T173" s="16"/>
      <c r="U173" s="16"/>
      <c r="V173" s="16"/>
      <c r="W173" s="16"/>
      <c r="X173" s="16"/>
      <c r="Y173" s="16"/>
      <c r="Z173" s="16"/>
      <c r="AA173" s="16"/>
      <c r="AB173" s="16"/>
      <c r="AC173" s="16"/>
      <c r="AD173" s="16"/>
    </row>
    <row r="174" spans="1:30" x14ac:dyDescent="0.2">
      <c r="A174" s="16"/>
      <c r="B174" s="16"/>
      <c r="C174" s="16"/>
      <c r="D174" s="16"/>
      <c r="E174" s="16"/>
      <c r="F174" s="109"/>
      <c r="G174" s="109"/>
      <c r="H174" s="109"/>
      <c r="I174" s="109"/>
      <c r="J174" s="109"/>
      <c r="K174" s="109"/>
      <c r="L174" s="109"/>
      <c r="M174" s="109"/>
      <c r="N174" s="109"/>
      <c r="O174" s="16"/>
      <c r="P174" s="16"/>
      <c r="Q174" s="16"/>
      <c r="R174" s="16"/>
      <c r="S174" s="16"/>
      <c r="T174" s="16"/>
      <c r="U174" s="16"/>
      <c r="V174" s="16"/>
      <c r="W174" s="16"/>
      <c r="X174" s="16"/>
      <c r="Y174" s="16"/>
      <c r="Z174" s="16"/>
      <c r="AA174" s="16"/>
      <c r="AB174" s="16"/>
      <c r="AC174" s="16"/>
      <c r="AD174" s="16"/>
    </row>
    <row r="175" spans="1:30" x14ac:dyDescent="0.2">
      <c r="A175" s="16"/>
      <c r="B175" s="16"/>
      <c r="C175" s="16"/>
      <c r="D175" s="16"/>
      <c r="E175" s="16"/>
      <c r="F175" s="109"/>
      <c r="G175" s="109"/>
      <c r="H175" s="109"/>
      <c r="I175" s="109"/>
      <c r="J175" s="109"/>
      <c r="K175" s="109"/>
      <c r="L175" s="109"/>
      <c r="M175" s="109"/>
      <c r="N175" s="109"/>
      <c r="O175" s="16"/>
      <c r="P175" s="16"/>
      <c r="Q175" s="16"/>
      <c r="R175" s="16"/>
      <c r="S175" s="16"/>
      <c r="T175" s="16"/>
      <c r="U175" s="16"/>
      <c r="V175" s="16"/>
      <c r="W175" s="16"/>
      <c r="X175" s="16"/>
      <c r="Y175" s="16"/>
      <c r="Z175" s="16"/>
      <c r="AA175" s="16"/>
      <c r="AB175" s="16"/>
      <c r="AC175" s="16"/>
      <c r="AD175" s="16"/>
    </row>
    <row r="176" spans="1:30" x14ac:dyDescent="0.2">
      <c r="A176" s="16"/>
      <c r="B176" s="16"/>
      <c r="C176" s="16"/>
      <c r="D176" s="16"/>
      <c r="E176" s="16"/>
      <c r="F176" s="109"/>
      <c r="G176" s="109"/>
      <c r="H176" s="109"/>
      <c r="I176" s="109"/>
      <c r="J176" s="109"/>
      <c r="K176" s="109"/>
      <c r="L176" s="109"/>
      <c r="M176" s="109"/>
      <c r="N176" s="109"/>
      <c r="O176" s="16"/>
      <c r="P176" s="16"/>
      <c r="Q176" s="16"/>
      <c r="R176" s="16"/>
      <c r="S176" s="16"/>
      <c r="T176" s="16"/>
      <c r="U176" s="16"/>
      <c r="V176" s="16"/>
      <c r="W176" s="16"/>
      <c r="X176" s="16"/>
      <c r="Y176" s="16"/>
      <c r="Z176" s="16"/>
      <c r="AA176" s="16"/>
      <c r="AB176" s="16"/>
      <c r="AC176" s="16"/>
      <c r="AD176" s="16"/>
    </row>
    <row r="177" spans="1:30" x14ac:dyDescent="0.2">
      <c r="A177" s="16"/>
      <c r="B177" s="16"/>
      <c r="C177" s="16"/>
      <c r="D177" s="16"/>
      <c r="E177" s="16"/>
      <c r="F177" s="109"/>
      <c r="G177" s="109"/>
      <c r="H177" s="109"/>
      <c r="I177" s="109"/>
      <c r="J177" s="109"/>
      <c r="K177" s="109"/>
      <c r="L177" s="109"/>
      <c r="M177" s="109"/>
      <c r="N177" s="109"/>
      <c r="O177" s="16"/>
      <c r="P177" s="16"/>
      <c r="Q177" s="16"/>
      <c r="R177" s="16"/>
      <c r="S177" s="16"/>
      <c r="T177" s="16"/>
      <c r="U177" s="16"/>
      <c r="V177" s="16"/>
      <c r="W177" s="16"/>
      <c r="X177" s="16"/>
      <c r="Y177" s="16"/>
      <c r="Z177" s="16"/>
      <c r="AA177" s="16"/>
      <c r="AB177" s="16"/>
      <c r="AC177" s="16"/>
      <c r="AD177" s="16"/>
    </row>
    <row r="178" spans="1:30" x14ac:dyDescent="0.2">
      <c r="A178" s="16"/>
      <c r="B178" s="16"/>
      <c r="C178" s="16"/>
      <c r="D178" s="16"/>
      <c r="E178" s="16"/>
      <c r="F178" s="109"/>
      <c r="G178" s="109"/>
      <c r="H178" s="109"/>
      <c r="I178" s="109"/>
      <c r="J178" s="109"/>
      <c r="K178" s="109"/>
      <c r="L178" s="109"/>
      <c r="M178" s="109"/>
      <c r="N178" s="109"/>
      <c r="O178" s="16"/>
      <c r="P178" s="16"/>
      <c r="Q178" s="16"/>
      <c r="R178" s="16"/>
      <c r="S178" s="16"/>
      <c r="T178" s="16"/>
      <c r="U178" s="16"/>
      <c r="V178" s="16"/>
      <c r="W178" s="16"/>
      <c r="X178" s="16"/>
      <c r="Y178" s="16"/>
      <c r="Z178" s="16"/>
      <c r="AA178" s="16"/>
      <c r="AB178" s="16"/>
      <c r="AC178" s="16"/>
      <c r="AD178" s="16"/>
    </row>
    <row r="179" spans="1:30" x14ac:dyDescent="0.2">
      <c r="A179" s="16"/>
      <c r="B179" s="16"/>
      <c r="C179" s="16"/>
      <c r="D179" s="16"/>
      <c r="E179" s="16"/>
      <c r="F179" s="109"/>
      <c r="G179" s="109"/>
      <c r="H179" s="109"/>
      <c r="I179" s="109"/>
      <c r="J179" s="109"/>
      <c r="K179" s="109"/>
      <c r="L179" s="109"/>
      <c r="M179" s="109"/>
      <c r="N179" s="109"/>
      <c r="O179" s="16"/>
      <c r="P179" s="16"/>
      <c r="Q179" s="16"/>
      <c r="R179" s="16"/>
      <c r="S179" s="16"/>
      <c r="T179" s="16"/>
      <c r="U179" s="16"/>
      <c r="V179" s="16"/>
      <c r="W179" s="16"/>
      <c r="X179" s="16"/>
      <c r="Y179" s="16"/>
      <c r="Z179" s="16"/>
      <c r="AA179" s="16"/>
      <c r="AB179" s="16"/>
      <c r="AC179" s="16"/>
      <c r="AD179" s="16"/>
    </row>
    <row r="180" spans="1:30" x14ac:dyDescent="0.2">
      <c r="A180" s="16"/>
      <c r="B180" s="16"/>
      <c r="C180" s="16"/>
      <c r="D180" s="16"/>
      <c r="E180" s="16"/>
      <c r="F180" s="109"/>
      <c r="G180" s="109"/>
      <c r="H180" s="109"/>
      <c r="I180" s="109"/>
      <c r="J180" s="109"/>
      <c r="K180" s="109"/>
      <c r="L180" s="109"/>
      <c r="M180" s="109"/>
      <c r="N180" s="109"/>
      <c r="O180" s="16"/>
      <c r="P180" s="16"/>
      <c r="Q180" s="16"/>
      <c r="R180" s="16"/>
      <c r="S180" s="16"/>
      <c r="T180" s="16"/>
      <c r="U180" s="16"/>
      <c r="V180" s="16"/>
      <c r="W180" s="16"/>
      <c r="X180" s="16"/>
      <c r="Y180" s="16"/>
      <c r="Z180" s="16"/>
      <c r="AA180" s="16"/>
      <c r="AB180" s="16"/>
      <c r="AC180" s="16"/>
      <c r="AD180" s="16"/>
    </row>
    <row r="181" spans="1:30" x14ac:dyDescent="0.2">
      <c r="A181" s="16"/>
      <c r="B181" s="16"/>
      <c r="C181" s="16"/>
      <c r="D181" s="16"/>
      <c r="E181" s="16"/>
      <c r="F181" s="109"/>
      <c r="G181" s="109"/>
      <c r="H181" s="109"/>
      <c r="I181" s="109"/>
      <c r="J181" s="109"/>
      <c r="K181" s="109"/>
      <c r="L181" s="109"/>
      <c r="M181" s="109"/>
      <c r="N181" s="109"/>
      <c r="O181" s="16"/>
      <c r="P181" s="16"/>
      <c r="Q181" s="16"/>
      <c r="R181" s="16"/>
      <c r="S181" s="16"/>
      <c r="T181" s="16"/>
      <c r="U181" s="16"/>
      <c r="V181" s="16"/>
      <c r="W181" s="16"/>
      <c r="X181" s="16"/>
      <c r="Y181" s="16"/>
      <c r="Z181" s="16"/>
      <c r="AA181" s="16"/>
      <c r="AB181" s="16"/>
      <c r="AC181" s="16"/>
      <c r="AD181" s="16"/>
    </row>
    <row r="182" spans="1:30" x14ac:dyDescent="0.2">
      <c r="A182" s="16"/>
      <c r="B182" s="16"/>
      <c r="C182" s="16"/>
      <c r="D182" s="16"/>
      <c r="E182" s="16"/>
      <c r="F182" s="109"/>
      <c r="G182" s="109"/>
      <c r="H182" s="109"/>
      <c r="I182" s="109"/>
      <c r="J182" s="109"/>
      <c r="K182" s="109"/>
      <c r="L182" s="109"/>
      <c r="M182" s="109"/>
      <c r="N182" s="109"/>
      <c r="O182" s="16"/>
      <c r="P182" s="16"/>
      <c r="Q182" s="16"/>
      <c r="R182" s="16"/>
      <c r="S182" s="16"/>
      <c r="T182" s="16"/>
      <c r="U182" s="16"/>
      <c r="V182" s="16"/>
      <c r="W182" s="16"/>
      <c r="X182" s="16"/>
      <c r="Y182" s="16"/>
      <c r="Z182" s="16"/>
      <c r="AA182" s="16"/>
      <c r="AB182" s="16"/>
      <c r="AC182" s="16"/>
      <c r="AD182" s="16"/>
    </row>
    <row r="183" spans="1:30" x14ac:dyDescent="0.2">
      <c r="A183" s="16"/>
      <c r="B183" s="16"/>
      <c r="C183" s="16"/>
      <c r="D183" s="16"/>
      <c r="E183" s="16"/>
      <c r="F183" s="109"/>
      <c r="G183" s="109"/>
      <c r="H183" s="109"/>
      <c r="I183" s="109"/>
      <c r="J183" s="109"/>
      <c r="K183" s="109"/>
      <c r="L183" s="109"/>
      <c r="M183" s="109"/>
      <c r="N183" s="109"/>
      <c r="O183" s="16"/>
      <c r="P183" s="16"/>
      <c r="Q183" s="16"/>
      <c r="R183" s="16"/>
      <c r="S183" s="16"/>
      <c r="T183" s="16"/>
      <c r="U183" s="16"/>
      <c r="V183" s="16"/>
      <c r="W183" s="16"/>
      <c r="X183" s="16"/>
      <c r="Y183" s="16"/>
      <c r="Z183" s="16"/>
      <c r="AA183" s="16"/>
      <c r="AB183" s="16"/>
      <c r="AC183" s="16"/>
      <c r="AD183" s="16"/>
    </row>
    <row r="184" spans="1:30" x14ac:dyDescent="0.2">
      <c r="A184" s="16"/>
      <c r="B184" s="16"/>
      <c r="C184" s="16"/>
      <c r="D184" s="16"/>
      <c r="E184" s="16"/>
      <c r="F184" s="109"/>
      <c r="G184" s="109"/>
      <c r="H184" s="109"/>
      <c r="I184" s="109"/>
      <c r="J184" s="109"/>
      <c r="K184" s="109"/>
      <c r="L184" s="109"/>
      <c r="M184" s="109"/>
      <c r="N184" s="109"/>
      <c r="O184" s="16"/>
      <c r="P184" s="16"/>
      <c r="Q184" s="16"/>
      <c r="R184" s="16"/>
      <c r="S184" s="16"/>
      <c r="T184" s="16"/>
      <c r="U184" s="16"/>
      <c r="V184" s="16"/>
      <c r="W184" s="16"/>
      <c r="X184" s="16"/>
      <c r="Y184" s="16"/>
      <c r="Z184" s="16"/>
      <c r="AA184" s="16"/>
      <c r="AB184" s="16"/>
      <c r="AC184" s="16"/>
      <c r="AD184" s="16"/>
    </row>
    <row r="185" spans="1:30" x14ac:dyDescent="0.2">
      <c r="A185" s="16"/>
      <c r="B185" s="16"/>
      <c r="C185" s="16"/>
      <c r="D185" s="16"/>
      <c r="E185" s="16"/>
      <c r="F185" s="109"/>
      <c r="G185" s="109"/>
      <c r="H185" s="109"/>
      <c r="I185" s="109"/>
      <c r="J185" s="109"/>
      <c r="K185" s="109"/>
      <c r="L185" s="109"/>
      <c r="M185" s="109"/>
      <c r="N185" s="109"/>
      <c r="O185" s="16"/>
      <c r="P185" s="16"/>
      <c r="Q185" s="16"/>
      <c r="R185" s="16"/>
      <c r="S185" s="16"/>
      <c r="T185" s="16"/>
      <c r="U185" s="16"/>
      <c r="V185" s="16"/>
      <c r="W185" s="16"/>
      <c r="X185" s="16"/>
      <c r="Y185" s="16"/>
      <c r="Z185" s="16"/>
      <c r="AA185" s="16"/>
      <c r="AB185" s="16"/>
      <c r="AC185" s="16"/>
      <c r="AD185" s="16"/>
    </row>
    <row r="186" spans="1:30" x14ac:dyDescent="0.2">
      <c r="A186" s="16"/>
      <c r="B186" s="16"/>
      <c r="C186" s="16"/>
      <c r="D186" s="16"/>
      <c r="E186" s="16"/>
      <c r="F186" s="109"/>
      <c r="G186" s="109"/>
      <c r="H186" s="109"/>
      <c r="I186" s="109"/>
      <c r="J186" s="109"/>
      <c r="K186" s="109"/>
      <c r="L186" s="109"/>
      <c r="M186" s="109"/>
      <c r="N186" s="109"/>
      <c r="O186" s="16"/>
      <c r="P186" s="16"/>
      <c r="Q186" s="16"/>
      <c r="R186" s="16"/>
      <c r="S186" s="16"/>
      <c r="T186" s="16"/>
      <c r="U186" s="16"/>
      <c r="V186" s="16"/>
      <c r="W186" s="16"/>
      <c r="X186" s="16"/>
      <c r="Y186" s="16"/>
      <c r="Z186" s="16"/>
      <c r="AA186" s="16"/>
      <c r="AB186" s="16"/>
      <c r="AC186" s="16"/>
      <c r="AD186" s="16"/>
    </row>
    <row r="187" spans="1:30" x14ac:dyDescent="0.2">
      <c r="A187" s="16"/>
      <c r="B187" s="16"/>
      <c r="C187" s="16"/>
      <c r="D187" s="16"/>
      <c r="E187" s="16"/>
      <c r="F187" s="109"/>
      <c r="G187" s="109"/>
      <c r="H187" s="109"/>
      <c r="I187" s="109"/>
      <c r="J187" s="109"/>
      <c r="K187" s="109"/>
      <c r="L187" s="109"/>
      <c r="M187" s="109"/>
      <c r="N187" s="109"/>
      <c r="O187" s="16"/>
      <c r="P187" s="16"/>
      <c r="Q187" s="16"/>
      <c r="R187" s="16"/>
      <c r="S187" s="16"/>
      <c r="T187" s="16"/>
      <c r="U187" s="16"/>
      <c r="V187" s="16"/>
      <c r="W187" s="16"/>
      <c r="X187" s="16"/>
      <c r="Y187" s="16"/>
      <c r="Z187" s="16"/>
      <c r="AA187" s="16"/>
      <c r="AB187" s="16"/>
      <c r="AC187" s="16"/>
      <c r="AD187" s="16"/>
    </row>
    <row r="188" spans="1:30" x14ac:dyDescent="0.2">
      <c r="A188" s="16"/>
      <c r="B188" s="16"/>
      <c r="C188" s="16"/>
      <c r="D188" s="16"/>
      <c r="E188" s="16"/>
      <c r="F188" s="109"/>
      <c r="G188" s="109"/>
      <c r="H188" s="109"/>
      <c r="I188" s="109"/>
      <c r="J188" s="109"/>
      <c r="K188" s="109"/>
      <c r="L188" s="109"/>
      <c r="M188" s="109"/>
      <c r="N188" s="109"/>
      <c r="O188" s="16"/>
      <c r="P188" s="16"/>
      <c r="Q188" s="16"/>
      <c r="R188" s="16"/>
      <c r="S188" s="16"/>
      <c r="T188" s="16"/>
      <c r="U188" s="16"/>
      <c r="V188" s="16"/>
      <c r="W188" s="16"/>
      <c r="X188" s="16"/>
      <c r="Y188" s="16"/>
      <c r="Z188" s="16"/>
      <c r="AA188" s="16"/>
      <c r="AB188" s="16"/>
      <c r="AC188" s="16"/>
      <c r="AD188" s="16"/>
    </row>
    <row r="189" spans="1:30" x14ac:dyDescent="0.2">
      <c r="A189" s="16"/>
      <c r="B189" s="16"/>
      <c r="C189" s="16"/>
      <c r="D189" s="16"/>
      <c r="E189" s="16"/>
      <c r="F189" s="109"/>
      <c r="G189" s="109"/>
      <c r="H189" s="109"/>
      <c r="I189" s="109"/>
      <c r="J189" s="109"/>
      <c r="K189" s="109"/>
      <c r="L189" s="109"/>
      <c r="M189" s="109"/>
      <c r="N189" s="109"/>
      <c r="O189" s="16"/>
      <c r="P189" s="16"/>
      <c r="Q189" s="16"/>
      <c r="R189" s="16"/>
      <c r="S189" s="16"/>
      <c r="T189" s="16"/>
      <c r="U189" s="16"/>
      <c r="V189" s="16"/>
      <c r="W189" s="16"/>
      <c r="X189" s="16"/>
      <c r="Y189" s="16"/>
      <c r="Z189" s="16"/>
      <c r="AA189" s="16"/>
      <c r="AB189" s="16"/>
      <c r="AC189" s="16"/>
      <c r="AD189" s="16"/>
    </row>
    <row r="190" spans="1:30" x14ac:dyDescent="0.2">
      <c r="A190" s="16"/>
      <c r="B190" s="16"/>
      <c r="C190" s="16"/>
      <c r="D190" s="16"/>
      <c r="E190" s="16"/>
      <c r="F190" s="109"/>
      <c r="G190" s="109"/>
      <c r="H190" s="109"/>
      <c r="I190" s="109"/>
      <c r="J190" s="109"/>
      <c r="K190" s="109"/>
      <c r="L190" s="109"/>
      <c r="M190" s="109"/>
      <c r="N190" s="109"/>
      <c r="O190" s="16"/>
      <c r="P190" s="16"/>
      <c r="Q190" s="16"/>
      <c r="R190" s="16"/>
      <c r="S190" s="16"/>
      <c r="T190" s="16"/>
      <c r="U190" s="16"/>
      <c r="V190" s="16"/>
      <c r="W190" s="16"/>
      <c r="X190" s="16"/>
      <c r="Y190" s="16"/>
      <c r="Z190" s="16"/>
      <c r="AA190" s="16"/>
      <c r="AB190" s="16"/>
      <c r="AC190" s="16"/>
      <c r="AD190" s="16"/>
    </row>
    <row r="191" spans="1:30" x14ac:dyDescent="0.2">
      <c r="A191" s="16"/>
      <c r="B191" s="16"/>
      <c r="C191" s="16"/>
      <c r="D191" s="16"/>
      <c r="E191" s="16"/>
      <c r="F191" s="109"/>
      <c r="G191" s="109"/>
      <c r="H191" s="109"/>
      <c r="I191" s="109"/>
      <c r="J191" s="109"/>
      <c r="K191" s="109"/>
      <c r="L191" s="109"/>
      <c r="M191" s="109"/>
      <c r="N191" s="109"/>
      <c r="O191" s="16"/>
      <c r="P191" s="16"/>
      <c r="Q191" s="16"/>
      <c r="R191" s="16"/>
      <c r="S191" s="16"/>
      <c r="T191" s="16"/>
      <c r="U191" s="16"/>
      <c r="V191" s="16"/>
      <c r="W191" s="16"/>
      <c r="X191" s="16"/>
      <c r="Y191" s="16"/>
      <c r="Z191" s="16"/>
      <c r="AA191" s="16"/>
      <c r="AB191" s="16"/>
      <c r="AC191" s="16"/>
      <c r="AD191" s="16"/>
    </row>
    <row r="192" spans="1:30" x14ac:dyDescent="0.2">
      <c r="A192" s="16"/>
      <c r="B192" s="16"/>
      <c r="C192" s="16"/>
      <c r="D192" s="16"/>
      <c r="E192" s="16"/>
      <c r="F192" s="109"/>
      <c r="G192" s="109"/>
      <c r="H192" s="109"/>
      <c r="I192" s="109"/>
      <c r="J192" s="109"/>
      <c r="K192" s="109"/>
      <c r="L192" s="109"/>
      <c r="M192" s="109"/>
      <c r="N192" s="109"/>
      <c r="O192" s="16"/>
      <c r="P192" s="16"/>
      <c r="Q192" s="16"/>
      <c r="R192" s="16"/>
      <c r="S192" s="16"/>
      <c r="T192" s="16"/>
      <c r="U192" s="16"/>
      <c r="V192" s="16"/>
      <c r="W192" s="16"/>
      <c r="X192" s="16"/>
      <c r="Y192" s="16"/>
      <c r="Z192" s="16"/>
      <c r="AA192" s="16"/>
      <c r="AB192" s="16"/>
      <c r="AC192" s="16"/>
      <c r="AD192" s="16"/>
    </row>
    <row r="193" spans="1:30" x14ac:dyDescent="0.2">
      <c r="A193" s="16"/>
      <c r="B193" s="16"/>
      <c r="C193" s="16"/>
      <c r="D193" s="16"/>
      <c r="E193" s="16"/>
      <c r="F193" s="109"/>
      <c r="G193" s="109"/>
      <c r="H193" s="109"/>
      <c r="I193" s="109"/>
      <c r="J193" s="109"/>
      <c r="K193" s="109"/>
      <c r="L193" s="109"/>
      <c r="M193" s="109"/>
      <c r="N193" s="109"/>
      <c r="O193" s="16"/>
      <c r="P193" s="16"/>
      <c r="Q193" s="16"/>
      <c r="R193" s="16"/>
      <c r="S193" s="16"/>
      <c r="T193" s="16"/>
      <c r="U193" s="16"/>
      <c r="V193" s="16"/>
      <c r="W193" s="16"/>
      <c r="X193" s="16"/>
      <c r="Y193" s="16"/>
      <c r="Z193" s="16"/>
      <c r="AA193" s="16"/>
      <c r="AB193" s="16"/>
      <c r="AC193" s="16"/>
      <c r="AD193" s="16"/>
    </row>
    <row r="194" spans="1:30" x14ac:dyDescent="0.2">
      <c r="A194" s="16"/>
      <c r="B194" s="16"/>
      <c r="C194" s="16"/>
      <c r="D194" s="16"/>
      <c r="E194" s="16"/>
      <c r="F194" s="109"/>
      <c r="G194" s="109"/>
      <c r="H194" s="109"/>
      <c r="I194" s="109"/>
      <c r="J194" s="109"/>
      <c r="K194" s="109"/>
      <c r="L194" s="109"/>
      <c r="M194" s="109"/>
      <c r="N194" s="109"/>
      <c r="O194" s="16"/>
      <c r="P194" s="16"/>
      <c r="Q194" s="16"/>
      <c r="R194" s="16"/>
      <c r="S194" s="16"/>
      <c r="T194" s="16"/>
      <c r="U194" s="16"/>
      <c r="V194" s="16"/>
      <c r="W194" s="16"/>
      <c r="X194" s="16"/>
      <c r="Y194" s="16"/>
      <c r="Z194" s="16"/>
      <c r="AA194" s="16"/>
      <c r="AB194" s="16"/>
      <c r="AC194" s="16"/>
      <c r="AD194" s="16"/>
    </row>
    <row r="195" spans="1:30" x14ac:dyDescent="0.2">
      <c r="A195" s="16"/>
      <c r="B195" s="16"/>
      <c r="C195" s="16"/>
      <c r="D195" s="16"/>
      <c r="E195" s="16"/>
      <c r="F195" s="109"/>
      <c r="G195" s="109"/>
      <c r="H195" s="109"/>
      <c r="I195" s="109"/>
      <c r="J195" s="109"/>
      <c r="K195" s="109"/>
      <c r="L195" s="109"/>
      <c r="M195" s="109"/>
      <c r="N195" s="109"/>
      <c r="O195" s="16"/>
      <c r="P195" s="16"/>
      <c r="Q195" s="16"/>
      <c r="R195" s="16"/>
      <c r="S195" s="16"/>
      <c r="T195" s="16"/>
      <c r="U195" s="16"/>
      <c r="V195" s="16"/>
      <c r="W195" s="16"/>
      <c r="X195" s="16"/>
      <c r="Y195" s="16"/>
      <c r="Z195" s="16"/>
      <c r="AA195" s="16"/>
      <c r="AB195" s="16"/>
      <c r="AC195" s="16"/>
      <c r="AD195" s="16"/>
    </row>
    <row r="196" spans="1:30" x14ac:dyDescent="0.2">
      <c r="A196" s="16"/>
      <c r="B196" s="16"/>
      <c r="C196" s="16"/>
      <c r="D196" s="16"/>
      <c r="E196" s="16"/>
      <c r="F196" s="109"/>
      <c r="G196" s="109"/>
      <c r="H196" s="109"/>
      <c r="I196" s="109"/>
      <c r="J196" s="109"/>
      <c r="K196" s="109"/>
      <c r="L196" s="109"/>
      <c r="M196" s="109"/>
      <c r="N196" s="109"/>
      <c r="O196" s="16"/>
      <c r="P196" s="16"/>
      <c r="Q196" s="16"/>
      <c r="R196" s="16"/>
      <c r="S196" s="16"/>
      <c r="T196" s="16"/>
      <c r="U196" s="16"/>
      <c r="V196" s="16"/>
      <c r="W196" s="16"/>
      <c r="X196" s="16"/>
      <c r="Y196" s="16"/>
      <c r="Z196" s="16"/>
      <c r="AA196" s="16"/>
      <c r="AB196" s="16"/>
      <c r="AC196" s="16"/>
      <c r="AD196" s="16"/>
    </row>
    <row r="197" spans="1:30" x14ac:dyDescent="0.2">
      <c r="A197" s="16"/>
      <c r="B197" s="16"/>
      <c r="C197" s="16"/>
      <c r="D197" s="16"/>
      <c r="E197" s="16"/>
      <c r="F197" s="109"/>
      <c r="G197" s="109"/>
      <c r="H197" s="109"/>
      <c r="I197" s="109"/>
      <c r="J197" s="109"/>
      <c r="K197" s="109"/>
      <c r="L197" s="109"/>
      <c r="M197" s="109"/>
      <c r="N197" s="109"/>
      <c r="O197" s="16"/>
      <c r="P197" s="16"/>
      <c r="Q197" s="16"/>
      <c r="R197" s="16"/>
      <c r="S197" s="16"/>
      <c r="T197" s="16"/>
      <c r="U197" s="16"/>
      <c r="V197" s="16"/>
      <c r="W197" s="16"/>
      <c r="X197" s="16"/>
      <c r="Y197" s="16"/>
      <c r="Z197" s="16"/>
      <c r="AA197" s="16"/>
      <c r="AB197" s="16"/>
      <c r="AC197" s="16"/>
      <c r="AD197" s="16"/>
    </row>
    <row r="198" spans="1:30" x14ac:dyDescent="0.2">
      <c r="A198" s="16"/>
      <c r="B198" s="16"/>
      <c r="C198" s="16"/>
      <c r="D198" s="16"/>
      <c r="E198" s="16"/>
      <c r="F198" s="109"/>
      <c r="G198" s="109"/>
      <c r="H198" s="109"/>
      <c r="I198" s="109"/>
      <c r="J198" s="109"/>
      <c r="K198" s="109"/>
      <c r="L198" s="109"/>
      <c r="M198" s="109"/>
      <c r="N198" s="109"/>
      <c r="O198" s="16"/>
      <c r="P198" s="16"/>
      <c r="Q198" s="16"/>
      <c r="R198" s="16"/>
      <c r="S198" s="16"/>
      <c r="T198" s="16"/>
      <c r="U198" s="16"/>
      <c r="V198" s="16"/>
      <c r="W198" s="16"/>
      <c r="X198" s="16"/>
      <c r="Y198" s="16"/>
      <c r="Z198" s="16"/>
      <c r="AA198" s="16"/>
      <c r="AB198" s="16"/>
      <c r="AC198" s="16"/>
      <c r="AD198" s="16"/>
    </row>
    <row r="199" spans="1:30" x14ac:dyDescent="0.2">
      <c r="A199" s="16"/>
      <c r="B199" s="16"/>
      <c r="C199" s="16"/>
      <c r="D199" s="16"/>
      <c r="E199" s="16"/>
      <c r="F199" s="109"/>
      <c r="G199" s="109"/>
      <c r="H199" s="109"/>
      <c r="I199" s="109"/>
      <c r="J199" s="109"/>
      <c r="K199" s="109"/>
      <c r="L199" s="109"/>
      <c r="M199" s="109"/>
      <c r="N199" s="109"/>
      <c r="O199" s="16"/>
      <c r="P199" s="16"/>
      <c r="Q199" s="16"/>
      <c r="R199" s="16"/>
      <c r="S199" s="16"/>
      <c r="T199" s="16"/>
      <c r="U199" s="16"/>
      <c r="V199" s="16"/>
      <c r="W199" s="16"/>
      <c r="X199" s="16"/>
      <c r="Y199" s="16"/>
      <c r="Z199" s="16"/>
      <c r="AA199" s="16"/>
      <c r="AB199" s="16"/>
      <c r="AC199" s="16"/>
      <c r="AD199" s="16"/>
    </row>
    <row r="200" spans="1:30" x14ac:dyDescent="0.2">
      <c r="A200" s="16"/>
      <c r="B200" s="16"/>
      <c r="C200" s="16"/>
      <c r="D200" s="16"/>
      <c r="E200" s="16"/>
      <c r="F200" s="109"/>
      <c r="G200" s="109"/>
      <c r="H200" s="109"/>
      <c r="I200" s="109"/>
      <c r="J200" s="109"/>
      <c r="K200" s="109"/>
      <c r="L200" s="109"/>
      <c r="M200" s="109"/>
      <c r="N200" s="109"/>
      <c r="O200" s="16"/>
      <c r="P200" s="16"/>
      <c r="Q200" s="16"/>
      <c r="R200" s="16"/>
      <c r="S200" s="16"/>
      <c r="T200" s="16"/>
      <c r="U200" s="16"/>
      <c r="V200" s="16"/>
      <c r="W200" s="16"/>
      <c r="X200" s="16"/>
      <c r="Y200" s="16"/>
      <c r="Z200" s="16"/>
      <c r="AA200" s="16"/>
      <c r="AB200" s="16"/>
      <c r="AC200" s="16"/>
      <c r="AD200" s="16"/>
    </row>
    <row r="201" spans="1:30" x14ac:dyDescent="0.2">
      <c r="A201" s="16"/>
      <c r="B201" s="16"/>
      <c r="C201" s="16"/>
      <c r="D201" s="16"/>
      <c r="E201" s="16"/>
      <c r="F201" s="109"/>
      <c r="G201" s="109"/>
      <c r="H201" s="109"/>
      <c r="I201" s="109"/>
      <c r="J201" s="109"/>
      <c r="K201" s="109"/>
      <c r="L201" s="109"/>
      <c r="M201" s="109"/>
      <c r="N201" s="109"/>
      <c r="O201" s="16"/>
      <c r="P201" s="16"/>
      <c r="Q201" s="16"/>
      <c r="R201" s="16"/>
      <c r="S201" s="16"/>
      <c r="T201" s="16"/>
      <c r="U201" s="16"/>
      <c r="V201" s="16"/>
      <c r="W201" s="16"/>
      <c r="X201" s="16"/>
      <c r="Y201" s="16"/>
      <c r="Z201" s="16"/>
      <c r="AA201" s="16"/>
      <c r="AB201" s="16"/>
      <c r="AC201" s="16"/>
      <c r="AD201" s="16"/>
    </row>
    <row r="202" spans="1:30" x14ac:dyDescent="0.2">
      <c r="A202" s="16"/>
      <c r="B202" s="16"/>
      <c r="C202" s="16"/>
      <c r="D202" s="16"/>
      <c r="E202" s="16"/>
      <c r="F202" s="109"/>
      <c r="G202" s="109"/>
      <c r="H202" s="109"/>
      <c r="I202" s="109"/>
      <c r="J202" s="109"/>
      <c r="K202" s="109"/>
      <c r="L202" s="109"/>
      <c r="M202" s="109"/>
      <c r="N202" s="109"/>
      <c r="O202" s="16"/>
      <c r="P202" s="16"/>
      <c r="Q202" s="16"/>
      <c r="R202" s="16"/>
      <c r="S202" s="16"/>
      <c r="T202" s="16"/>
      <c r="U202" s="16"/>
      <c r="V202" s="16"/>
      <c r="W202" s="16"/>
      <c r="X202" s="16"/>
      <c r="Y202" s="16"/>
      <c r="Z202" s="16"/>
      <c r="AA202" s="16"/>
      <c r="AB202" s="16"/>
      <c r="AC202" s="16"/>
      <c r="AD202" s="16"/>
    </row>
    <row r="203" spans="1:30" x14ac:dyDescent="0.2">
      <c r="A203" s="16"/>
      <c r="B203" s="16"/>
      <c r="C203" s="16"/>
      <c r="D203" s="16"/>
      <c r="E203" s="16"/>
      <c r="F203" s="109"/>
      <c r="G203" s="109"/>
      <c r="H203" s="109"/>
      <c r="I203" s="109"/>
      <c r="J203" s="109"/>
      <c r="K203" s="109"/>
      <c r="L203" s="109"/>
      <c r="M203" s="109"/>
      <c r="N203" s="109"/>
      <c r="O203" s="16"/>
      <c r="P203" s="16"/>
      <c r="Q203" s="16"/>
      <c r="R203" s="16"/>
      <c r="S203" s="16"/>
      <c r="T203" s="16"/>
      <c r="U203" s="16"/>
      <c r="V203" s="16"/>
      <c r="W203" s="16"/>
      <c r="X203" s="16"/>
      <c r="Y203" s="16"/>
      <c r="Z203" s="16"/>
      <c r="AA203" s="16"/>
      <c r="AB203" s="16"/>
      <c r="AC203" s="16"/>
      <c r="AD203" s="16"/>
    </row>
    <row r="204" spans="1:30" x14ac:dyDescent="0.2">
      <c r="A204" s="16"/>
      <c r="B204" s="16"/>
      <c r="C204" s="16"/>
      <c r="D204" s="16"/>
      <c r="E204" s="16"/>
      <c r="F204" s="109"/>
      <c r="G204" s="109"/>
      <c r="H204" s="109"/>
      <c r="I204" s="109"/>
      <c r="J204" s="109"/>
      <c r="K204" s="109"/>
      <c r="L204" s="109"/>
      <c r="M204" s="109"/>
      <c r="N204" s="109"/>
      <c r="O204" s="16"/>
      <c r="P204" s="16"/>
      <c r="Q204" s="16"/>
      <c r="R204" s="16"/>
      <c r="S204" s="16"/>
      <c r="T204" s="16"/>
      <c r="U204" s="16"/>
      <c r="V204" s="16"/>
      <c r="W204" s="16"/>
      <c r="X204" s="16"/>
      <c r="Y204" s="16"/>
      <c r="Z204" s="16"/>
      <c r="AA204" s="16"/>
      <c r="AB204" s="16"/>
      <c r="AC204" s="16"/>
      <c r="AD204" s="16"/>
    </row>
    <row r="205" spans="1:30" x14ac:dyDescent="0.2">
      <c r="A205" s="16"/>
      <c r="B205" s="16"/>
      <c r="C205" s="16"/>
      <c r="D205" s="16"/>
      <c r="E205" s="16"/>
      <c r="F205" s="109"/>
      <c r="G205" s="109"/>
      <c r="H205" s="109"/>
      <c r="I205" s="109"/>
      <c r="J205" s="109"/>
      <c r="K205" s="109"/>
      <c r="L205" s="109"/>
      <c r="M205" s="109"/>
      <c r="N205" s="109"/>
      <c r="O205" s="16"/>
      <c r="P205" s="16"/>
      <c r="Q205" s="16"/>
      <c r="R205" s="16"/>
      <c r="S205" s="16"/>
      <c r="T205" s="16"/>
      <c r="U205" s="16"/>
      <c r="V205" s="16"/>
      <c r="W205" s="16"/>
      <c r="X205" s="16"/>
      <c r="Y205" s="16"/>
      <c r="Z205" s="16"/>
      <c r="AA205" s="16"/>
      <c r="AB205" s="16"/>
      <c r="AC205" s="16"/>
      <c r="AD205" s="16"/>
    </row>
    <row r="206" spans="1:30" x14ac:dyDescent="0.2">
      <c r="A206" s="16"/>
      <c r="B206" s="16"/>
      <c r="C206" s="16"/>
      <c r="D206" s="16"/>
      <c r="E206" s="16"/>
      <c r="F206" s="109"/>
      <c r="G206" s="109"/>
      <c r="H206" s="109"/>
      <c r="I206" s="109"/>
      <c r="J206" s="109"/>
      <c r="K206" s="109"/>
      <c r="L206" s="109"/>
      <c r="M206" s="109"/>
      <c r="N206" s="109"/>
      <c r="O206" s="16"/>
      <c r="P206" s="16"/>
      <c r="Q206" s="16"/>
      <c r="R206" s="16"/>
      <c r="S206" s="16"/>
      <c r="T206" s="16"/>
      <c r="U206" s="16"/>
      <c r="V206" s="16"/>
      <c r="W206" s="16"/>
      <c r="X206" s="16"/>
      <c r="Y206" s="16"/>
      <c r="Z206" s="16"/>
      <c r="AA206" s="16"/>
      <c r="AB206" s="16"/>
      <c r="AC206" s="16"/>
      <c r="AD206" s="16"/>
    </row>
    <row r="207" spans="1:30" x14ac:dyDescent="0.2">
      <c r="A207" s="16"/>
      <c r="B207" s="16"/>
      <c r="C207" s="16"/>
      <c r="D207" s="16"/>
      <c r="E207" s="16"/>
      <c r="F207" s="109"/>
      <c r="G207" s="109"/>
      <c r="H207" s="109"/>
      <c r="I207" s="109"/>
      <c r="J207" s="109"/>
      <c r="K207" s="109"/>
      <c r="L207" s="109"/>
      <c r="M207" s="109"/>
      <c r="N207" s="109"/>
      <c r="O207" s="16"/>
      <c r="P207" s="16"/>
      <c r="Q207" s="16"/>
      <c r="R207" s="16"/>
      <c r="S207" s="16"/>
      <c r="T207" s="16"/>
      <c r="U207" s="16"/>
      <c r="V207" s="16"/>
      <c r="W207" s="16"/>
      <c r="X207" s="16"/>
      <c r="Y207" s="16"/>
      <c r="Z207" s="16"/>
      <c r="AA207" s="16"/>
      <c r="AB207" s="16"/>
      <c r="AC207" s="16"/>
      <c r="AD207" s="16"/>
    </row>
    <row r="208" spans="1:30" x14ac:dyDescent="0.2">
      <c r="A208" s="16"/>
      <c r="B208" s="16"/>
      <c r="C208" s="16"/>
      <c r="D208" s="16"/>
      <c r="E208" s="16"/>
      <c r="F208" s="109"/>
      <c r="G208" s="109"/>
      <c r="H208" s="109"/>
      <c r="I208" s="109"/>
      <c r="J208" s="109"/>
      <c r="K208" s="109"/>
      <c r="L208" s="109"/>
      <c r="M208" s="109"/>
      <c r="N208" s="109"/>
      <c r="O208" s="16"/>
      <c r="P208" s="16"/>
      <c r="Q208" s="16"/>
      <c r="R208" s="16"/>
      <c r="S208" s="16"/>
      <c r="T208" s="16"/>
      <c r="U208" s="16"/>
      <c r="V208" s="16"/>
      <c r="W208" s="16"/>
      <c r="X208" s="16"/>
      <c r="Y208" s="16"/>
      <c r="Z208" s="16"/>
      <c r="AA208" s="16"/>
      <c r="AB208" s="16"/>
      <c r="AC208" s="16"/>
      <c r="AD208" s="16"/>
    </row>
    <row r="209" spans="1:30" x14ac:dyDescent="0.2">
      <c r="A209" s="16"/>
      <c r="B209" s="16"/>
      <c r="C209" s="16"/>
      <c r="D209" s="16"/>
      <c r="E209" s="16"/>
      <c r="F209" s="109"/>
      <c r="G209" s="109"/>
      <c r="H209" s="109"/>
      <c r="I209" s="109"/>
      <c r="J209" s="109"/>
      <c r="K209" s="109"/>
      <c r="L209" s="109"/>
      <c r="M209" s="109"/>
      <c r="N209" s="109"/>
      <c r="O209" s="16"/>
      <c r="P209" s="16"/>
      <c r="Q209" s="16"/>
      <c r="R209" s="16"/>
      <c r="S209" s="16"/>
      <c r="T209" s="16"/>
      <c r="U209" s="16"/>
      <c r="V209" s="16"/>
      <c r="W209" s="16"/>
      <c r="X209" s="16"/>
      <c r="Y209" s="16"/>
      <c r="Z209" s="16"/>
      <c r="AA209" s="16"/>
      <c r="AB209" s="16"/>
      <c r="AC209" s="16"/>
      <c r="AD209" s="16"/>
    </row>
    <row r="210" spans="1:30" x14ac:dyDescent="0.2">
      <c r="A210" s="16"/>
      <c r="B210" s="16"/>
      <c r="C210" s="16"/>
      <c r="D210" s="16"/>
      <c r="E210" s="16"/>
      <c r="F210" s="109"/>
      <c r="G210" s="109"/>
      <c r="H210" s="109"/>
      <c r="I210" s="109"/>
      <c r="J210" s="109"/>
      <c r="K210" s="109"/>
      <c r="L210" s="109"/>
      <c r="M210" s="109"/>
      <c r="N210" s="109"/>
      <c r="O210" s="16"/>
      <c r="P210" s="16"/>
      <c r="Q210" s="16"/>
      <c r="R210" s="16"/>
      <c r="S210" s="16"/>
      <c r="T210" s="16"/>
      <c r="U210" s="16"/>
      <c r="V210" s="16"/>
      <c r="W210" s="16"/>
      <c r="X210" s="16"/>
      <c r="Y210" s="16"/>
      <c r="Z210" s="16"/>
      <c r="AA210" s="16"/>
      <c r="AB210" s="16"/>
      <c r="AC210" s="16"/>
      <c r="AD210" s="16"/>
    </row>
    <row r="211" spans="1:30" x14ac:dyDescent="0.2">
      <c r="A211" s="16"/>
      <c r="B211" s="16"/>
      <c r="C211" s="16"/>
      <c r="D211" s="16"/>
      <c r="E211" s="16"/>
      <c r="F211" s="109"/>
      <c r="G211" s="109"/>
      <c r="H211" s="109"/>
      <c r="I211" s="109"/>
      <c r="J211" s="109"/>
      <c r="K211" s="109"/>
      <c r="L211" s="109"/>
      <c r="M211" s="109"/>
      <c r="N211" s="109"/>
      <c r="O211" s="16"/>
      <c r="P211" s="16"/>
      <c r="Q211" s="16"/>
      <c r="R211" s="16"/>
      <c r="S211" s="16"/>
      <c r="T211" s="16"/>
      <c r="U211" s="16"/>
      <c r="V211" s="16"/>
      <c r="W211" s="16"/>
      <c r="X211" s="16"/>
      <c r="Y211" s="16"/>
      <c r="Z211" s="16"/>
      <c r="AA211" s="16"/>
      <c r="AB211" s="16"/>
      <c r="AC211" s="16"/>
      <c r="AD211" s="16"/>
    </row>
    <row r="212" spans="1:30" x14ac:dyDescent="0.2">
      <c r="A212" s="16"/>
      <c r="B212" s="16"/>
      <c r="C212" s="16"/>
      <c r="D212" s="16"/>
      <c r="E212" s="16"/>
      <c r="F212" s="109"/>
      <c r="G212" s="109"/>
      <c r="H212" s="109"/>
      <c r="I212" s="109"/>
      <c r="J212" s="109"/>
      <c r="K212" s="109"/>
      <c r="L212" s="109"/>
      <c r="M212" s="109"/>
      <c r="N212" s="109"/>
      <c r="O212" s="16"/>
      <c r="P212" s="16"/>
      <c r="Q212" s="16"/>
      <c r="R212" s="16"/>
      <c r="S212" s="16"/>
      <c r="T212" s="16"/>
      <c r="U212" s="16"/>
      <c r="V212" s="16"/>
      <c r="W212" s="16"/>
      <c r="X212" s="16"/>
      <c r="Y212" s="16"/>
      <c r="Z212" s="16"/>
      <c r="AA212" s="16"/>
      <c r="AB212" s="16"/>
      <c r="AC212" s="16"/>
      <c r="AD212" s="16"/>
    </row>
    <row r="213" spans="1:30" x14ac:dyDescent="0.2">
      <c r="A213" s="16"/>
      <c r="B213" s="16"/>
      <c r="C213" s="16"/>
      <c r="D213" s="16"/>
      <c r="E213" s="16"/>
      <c r="F213" s="109"/>
      <c r="G213" s="109"/>
      <c r="H213" s="109"/>
      <c r="I213" s="109"/>
      <c r="J213" s="109"/>
      <c r="K213" s="109"/>
      <c r="L213" s="109"/>
      <c r="M213" s="109"/>
      <c r="N213" s="109"/>
      <c r="O213" s="16"/>
      <c r="P213" s="16"/>
      <c r="Q213" s="16"/>
      <c r="R213" s="16"/>
      <c r="S213" s="16"/>
      <c r="T213" s="16"/>
      <c r="U213" s="16"/>
      <c r="V213" s="16"/>
      <c r="W213" s="16"/>
      <c r="X213" s="16"/>
      <c r="Y213" s="16"/>
      <c r="Z213" s="16"/>
      <c r="AA213" s="16"/>
      <c r="AB213" s="16"/>
      <c r="AC213" s="16"/>
      <c r="AD213" s="16"/>
    </row>
    <row r="214" spans="1:30" x14ac:dyDescent="0.2">
      <c r="A214" s="16"/>
      <c r="B214" s="16"/>
      <c r="C214" s="16"/>
      <c r="D214" s="16"/>
      <c r="E214" s="16"/>
      <c r="F214" s="109"/>
      <c r="G214" s="109"/>
      <c r="H214" s="109"/>
      <c r="I214" s="109"/>
      <c r="J214" s="109"/>
      <c r="K214" s="109"/>
      <c r="L214" s="109"/>
      <c r="M214" s="109"/>
      <c r="N214" s="109"/>
      <c r="O214" s="16"/>
      <c r="P214" s="16"/>
      <c r="Q214" s="16"/>
      <c r="R214" s="16"/>
      <c r="S214" s="16"/>
      <c r="T214" s="16"/>
      <c r="U214" s="16"/>
      <c r="V214" s="16"/>
      <c r="W214" s="16"/>
      <c r="X214" s="16"/>
      <c r="Y214" s="16"/>
      <c r="Z214" s="16"/>
      <c r="AA214" s="16"/>
      <c r="AB214" s="16"/>
      <c r="AC214" s="16"/>
      <c r="AD214" s="16"/>
    </row>
    <row r="215" spans="1:30" x14ac:dyDescent="0.2">
      <c r="A215" s="16"/>
      <c r="B215" s="16"/>
      <c r="C215" s="16"/>
      <c r="D215" s="16"/>
      <c r="E215" s="16"/>
      <c r="F215" s="109"/>
      <c r="G215" s="109"/>
      <c r="H215" s="109"/>
      <c r="I215" s="109"/>
      <c r="J215" s="109"/>
      <c r="K215" s="109"/>
      <c r="L215" s="109"/>
      <c r="M215" s="109"/>
      <c r="N215" s="109"/>
      <c r="O215" s="16"/>
      <c r="P215" s="16"/>
      <c r="Q215" s="16"/>
      <c r="R215" s="16"/>
      <c r="S215" s="16"/>
      <c r="T215" s="16"/>
      <c r="U215" s="16"/>
      <c r="V215" s="16"/>
      <c r="W215" s="16"/>
      <c r="X215" s="16"/>
      <c r="Y215" s="16"/>
      <c r="Z215" s="16"/>
      <c r="AA215" s="16"/>
      <c r="AB215" s="16"/>
      <c r="AC215" s="16"/>
      <c r="AD215" s="16"/>
    </row>
    <row r="216" spans="1:30" x14ac:dyDescent="0.2">
      <c r="A216" s="16"/>
      <c r="B216" s="16"/>
      <c r="C216" s="16"/>
      <c r="D216" s="16"/>
      <c r="E216" s="16"/>
      <c r="F216" s="109"/>
      <c r="G216" s="109"/>
      <c r="H216" s="109"/>
      <c r="I216" s="109"/>
      <c r="J216" s="109"/>
      <c r="K216" s="109"/>
      <c r="L216" s="109"/>
      <c r="M216" s="109"/>
      <c r="N216" s="109"/>
      <c r="O216" s="16"/>
      <c r="P216" s="16"/>
      <c r="Q216" s="16"/>
      <c r="R216" s="16"/>
      <c r="S216" s="16"/>
      <c r="T216" s="16"/>
      <c r="U216" s="16"/>
      <c r="V216" s="16"/>
      <c r="W216" s="16"/>
      <c r="X216" s="16"/>
      <c r="Y216" s="16"/>
      <c r="Z216" s="16"/>
      <c r="AA216" s="16"/>
      <c r="AB216" s="16"/>
      <c r="AC216" s="16"/>
      <c r="AD216" s="16"/>
    </row>
    <row r="217" spans="1:30" x14ac:dyDescent="0.2">
      <c r="A217" s="16"/>
      <c r="B217" s="16"/>
      <c r="C217" s="16"/>
      <c r="D217" s="16"/>
      <c r="E217" s="16"/>
      <c r="F217" s="109"/>
      <c r="G217" s="109"/>
      <c r="H217" s="109"/>
      <c r="I217" s="109"/>
      <c r="J217" s="109"/>
      <c r="K217" s="109"/>
      <c r="L217" s="109"/>
      <c r="M217" s="109"/>
      <c r="N217" s="109"/>
      <c r="O217" s="16"/>
      <c r="P217" s="16"/>
      <c r="Q217" s="16"/>
      <c r="R217" s="16"/>
      <c r="S217" s="16"/>
      <c r="T217" s="16"/>
      <c r="U217" s="16"/>
      <c r="V217" s="16"/>
      <c r="W217" s="16"/>
      <c r="X217" s="16"/>
      <c r="Y217" s="16"/>
      <c r="Z217" s="16"/>
      <c r="AA217" s="16"/>
      <c r="AB217" s="16"/>
      <c r="AC217" s="16"/>
      <c r="AD217" s="16"/>
    </row>
    <row r="218" spans="1:30" x14ac:dyDescent="0.2">
      <c r="A218" s="16"/>
      <c r="B218" s="16"/>
      <c r="C218" s="16"/>
      <c r="D218" s="16"/>
      <c r="E218" s="16"/>
      <c r="F218" s="109"/>
      <c r="G218" s="109"/>
      <c r="H218" s="109"/>
      <c r="I218" s="109"/>
      <c r="J218" s="109"/>
      <c r="K218" s="109"/>
      <c r="L218" s="109"/>
      <c r="M218" s="109"/>
      <c r="N218" s="109"/>
      <c r="O218" s="16"/>
      <c r="P218" s="16"/>
      <c r="Q218" s="16"/>
      <c r="R218" s="16"/>
      <c r="S218" s="16"/>
      <c r="T218" s="16"/>
      <c r="U218" s="16"/>
      <c r="V218" s="16"/>
      <c r="W218" s="16"/>
      <c r="X218" s="16"/>
      <c r="Y218" s="16"/>
      <c r="Z218" s="16"/>
      <c r="AA218" s="16"/>
      <c r="AB218" s="16"/>
      <c r="AC218" s="16"/>
      <c r="AD218" s="16"/>
    </row>
    <row r="219" spans="1:30" x14ac:dyDescent="0.2">
      <c r="A219" s="16"/>
      <c r="B219" s="16"/>
      <c r="C219" s="16"/>
      <c r="D219" s="16"/>
      <c r="E219" s="16"/>
      <c r="F219" s="109"/>
      <c r="G219" s="109"/>
      <c r="H219" s="109"/>
      <c r="I219" s="109"/>
      <c r="J219" s="109"/>
      <c r="K219" s="109"/>
      <c r="L219" s="109"/>
      <c r="M219" s="109"/>
      <c r="N219" s="109"/>
      <c r="O219" s="16"/>
      <c r="P219" s="16"/>
      <c r="Q219" s="16"/>
      <c r="R219" s="16"/>
      <c r="S219" s="16"/>
      <c r="T219" s="16"/>
      <c r="U219" s="16"/>
      <c r="V219" s="16"/>
      <c r="W219" s="16"/>
      <c r="X219" s="16"/>
      <c r="Y219" s="16"/>
      <c r="Z219" s="16"/>
      <c r="AA219" s="16"/>
      <c r="AB219" s="16"/>
      <c r="AC219" s="16"/>
      <c r="AD219" s="16"/>
    </row>
    <row r="220" spans="1:30" x14ac:dyDescent="0.2">
      <c r="A220" s="16"/>
      <c r="B220" s="16"/>
      <c r="C220" s="16"/>
      <c r="D220" s="16"/>
      <c r="E220" s="16"/>
      <c r="F220" s="109"/>
      <c r="G220" s="109"/>
      <c r="H220" s="109"/>
      <c r="I220" s="109"/>
      <c r="J220" s="109"/>
      <c r="K220" s="109"/>
      <c r="L220" s="109"/>
      <c r="M220" s="109"/>
      <c r="N220" s="109"/>
      <c r="O220" s="16"/>
      <c r="P220" s="16"/>
      <c r="Q220" s="16"/>
      <c r="R220" s="16"/>
      <c r="S220" s="16"/>
      <c r="T220" s="16"/>
      <c r="U220" s="16"/>
      <c r="V220" s="16"/>
      <c r="W220" s="16"/>
      <c r="X220" s="16"/>
      <c r="Y220" s="16"/>
      <c r="Z220" s="16"/>
      <c r="AA220" s="16"/>
      <c r="AB220" s="16"/>
      <c r="AC220" s="16"/>
      <c r="AD220" s="16"/>
    </row>
    <row r="221" spans="1:30" x14ac:dyDescent="0.2">
      <c r="A221" s="16"/>
      <c r="B221" s="16"/>
      <c r="C221" s="16"/>
      <c r="D221" s="16"/>
      <c r="E221" s="16"/>
      <c r="F221" s="109"/>
      <c r="G221" s="109"/>
      <c r="H221" s="109"/>
      <c r="I221" s="109"/>
      <c r="J221" s="109"/>
      <c r="K221" s="109"/>
      <c r="L221" s="109"/>
      <c r="M221" s="109"/>
      <c r="N221" s="109"/>
      <c r="O221" s="16"/>
      <c r="P221" s="16"/>
      <c r="Q221" s="16"/>
      <c r="R221" s="16"/>
      <c r="S221" s="16"/>
      <c r="T221" s="16"/>
      <c r="U221" s="16"/>
      <c r="V221" s="16"/>
      <c r="W221" s="16"/>
      <c r="X221" s="16"/>
      <c r="Y221" s="16"/>
      <c r="Z221" s="16"/>
      <c r="AA221" s="16"/>
      <c r="AB221" s="16"/>
      <c r="AC221" s="16"/>
      <c r="AD221" s="16"/>
    </row>
    <row r="222" spans="1:30" x14ac:dyDescent="0.2">
      <c r="A222" s="16"/>
      <c r="B222" s="16"/>
      <c r="C222" s="16"/>
      <c r="D222" s="16"/>
      <c r="E222" s="16"/>
      <c r="F222" s="109"/>
      <c r="G222" s="109"/>
      <c r="H222" s="109"/>
      <c r="I222" s="109"/>
      <c r="J222" s="109"/>
      <c r="K222" s="109"/>
      <c r="L222" s="109"/>
      <c r="M222" s="109"/>
      <c r="N222" s="109"/>
      <c r="O222" s="16"/>
      <c r="P222" s="16"/>
      <c r="Q222" s="16"/>
      <c r="R222" s="16"/>
      <c r="S222" s="16"/>
      <c r="T222" s="16"/>
      <c r="U222" s="16"/>
      <c r="V222" s="16"/>
      <c r="W222" s="16"/>
      <c r="X222" s="16"/>
      <c r="Y222" s="16"/>
      <c r="Z222" s="16"/>
      <c r="AA222" s="16"/>
      <c r="AB222" s="16"/>
      <c r="AC222" s="16"/>
      <c r="AD222" s="16"/>
    </row>
    <row r="223" spans="1:30" x14ac:dyDescent="0.2">
      <c r="A223" s="16"/>
      <c r="B223" s="16"/>
      <c r="C223" s="16"/>
      <c r="D223" s="16"/>
      <c r="E223" s="16"/>
      <c r="F223" s="109"/>
      <c r="G223" s="109"/>
      <c r="H223" s="109"/>
      <c r="I223" s="109"/>
      <c r="J223" s="109"/>
      <c r="K223" s="109"/>
      <c r="L223" s="109"/>
      <c r="M223" s="109"/>
      <c r="N223" s="109"/>
      <c r="O223" s="16"/>
      <c r="P223" s="16"/>
      <c r="Q223" s="16"/>
      <c r="R223" s="16"/>
      <c r="S223" s="16"/>
      <c r="T223" s="16"/>
      <c r="U223" s="16"/>
      <c r="V223" s="16"/>
      <c r="W223" s="16"/>
      <c r="X223" s="16"/>
      <c r="Y223" s="16"/>
      <c r="Z223" s="16"/>
      <c r="AA223" s="16"/>
      <c r="AB223" s="16"/>
      <c r="AC223" s="16"/>
      <c r="AD223" s="16"/>
    </row>
    <row r="224" spans="1:30" x14ac:dyDescent="0.2">
      <c r="A224" s="16"/>
      <c r="B224" s="16"/>
      <c r="C224" s="16"/>
      <c r="D224" s="16"/>
      <c r="E224" s="16"/>
      <c r="F224" s="109"/>
      <c r="G224" s="109"/>
      <c r="H224" s="109"/>
      <c r="I224" s="109"/>
      <c r="J224" s="109"/>
      <c r="K224" s="109"/>
      <c r="L224" s="109"/>
      <c r="M224" s="109"/>
      <c r="N224" s="109"/>
      <c r="O224" s="16"/>
      <c r="P224" s="16"/>
      <c r="Q224" s="16"/>
      <c r="R224" s="16"/>
      <c r="S224" s="16"/>
      <c r="T224" s="16"/>
      <c r="U224" s="16"/>
      <c r="V224" s="16"/>
      <c r="W224" s="16"/>
      <c r="X224" s="16"/>
      <c r="Y224" s="16"/>
      <c r="Z224" s="16"/>
      <c r="AA224" s="16"/>
      <c r="AB224" s="16"/>
      <c r="AC224" s="16"/>
      <c r="AD224" s="16"/>
    </row>
    <row r="225" spans="1:30" x14ac:dyDescent="0.2">
      <c r="A225" s="16"/>
      <c r="B225" s="16"/>
      <c r="C225" s="16"/>
      <c r="D225" s="16"/>
      <c r="E225" s="16"/>
      <c r="F225" s="109"/>
      <c r="G225" s="109"/>
      <c r="H225" s="109"/>
      <c r="I225" s="109"/>
      <c r="J225" s="109"/>
      <c r="K225" s="109"/>
      <c r="L225" s="109"/>
      <c r="M225" s="109"/>
      <c r="N225" s="109"/>
      <c r="O225" s="16"/>
      <c r="P225" s="16"/>
      <c r="Q225" s="16"/>
      <c r="R225" s="16"/>
      <c r="S225" s="16"/>
      <c r="T225" s="16"/>
      <c r="U225" s="16"/>
      <c r="V225" s="16"/>
      <c r="W225" s="16"/>
      <c r="X225" s="16"/>
      <c r="Y225" s="16"/>
      <c r="Z225" s="16"/>
      <c r="AA225" s="16"/>
      <c r="AB225" s="16"/>
      <c r="AC225" s="16"/>
      <c r="AD225" s="16"/>
    </row>
    <row r="226" spans="1:30" x14ac:dyDescent="0.2">
      <c r="A226" s="16"/>
      <c r="B226" s="16"/>
      <c r="C226" s="16"/>
      <c r="D226" s="16"/>
      <c r="E226" s="16"/>
      <c r="F226" s="109"/>
      <c r="G226" s="109"/>
      <c r="H226" s="109"/>
      <c r="I226" s="109"/>
      <c r="J226" s="109"/>
      <c r="K226" s="109"/>
      <c r="L226" s="109"/>
      <c r="M226" s="109"/>
      <c r="N226" s="109"/>
      <c r="O226" s="16"/>
      <c r="P226" s="16"/>
      <c r="Q226" s="16"/>
      <c r="R226" s="16"/>
      <c r="S226" s="16"/>
      <c r="T226" s="16"/>
      <c r="U226" s="16"/>
      <c r="V226" s="16"/>
      <c r="W226" s="16"/>
      <c r="X226" s="16"/>
      <c r="Y226" s="16"/>
      <c r="Z226" s="16"/>
      <c r="AA226" s="16"/>
      <c r="AB226" s="16"/>
      <c r="AC226" s="16"/>
      <c r="AD226" s="16"/>
    </row>
    <row r="227" spans="1:30" x14ac:dyDescent="0.2">
      <c r="A227" s="16"/>
      <c r="B227" s="16"/>
      <c r="C227" s="16"/>
      <c r="D227" s="16"/>
      <c r="E227" s="16"/>
      <c r="F227" s="109"/>
      <c r="G227" s="109"/>
      <c r="H227" s="109"/>
      <c r="I227" s="109"/>
      <c r="J227" s="109"/>
      <c r="K227" s="109"/>
      <c r="L227" s="109"/>
      <c r="M227" s="109"/>
      <c r="N227" s="109"/>
      <c r="O227" s="16"/>
      <c r="P227" s="16"/>
      <c r="Q227" s="16"/>
      <c r="R227" s="16"/>
      <c r="S227" s="16"/>
      <c r="T227" s="16"/>
      <c r="U227" s="16"/>
      <c r="V227" s="16"/>
      <c r="W227" s="16"/>
      <c r="X227" s="16"/>
      <c r="Y227" s="16"/>
      <c r="Z227" s="16"/>
      <c r="AA227" s="16"/>
      <c r="AB227" s="16"/>
      <c r="AC227" s="16"/>
      <c r="AD227" s="16"/>
    </row>
    <row r="228" spans="1:30" x14ac:dyDescent="0.2">
      <c r="A228" s="16"/>
      <c r="B228" s="16"/>
      <c r="C228" s="16"/>
      <c r="D228" s="16"/>
      <c r="E228" s="16"/>
      <c r="F228" s="109"/>
      <c r="G228" s="109"/>
      <c r="H228" s="109"/>
      <c r="I228" s="109"/>
      <c r="J228" s="109"/>
      <c r="K228" s="109"/>
      <c r="L228" s="109"/>
      <c r="M228" s="109"/>
      <c r="N228" s="109"/>
      <c r="O228" s="16"/>
      <c r="P228" s="16"/>
      <c r="Q228" s="16"/>
      <c r="R228" s="16"/>
      <c r="S228" s="16"/>
      <c r="T228" s="16"/>
      <c r="U228" s="16"/>
      <c r="V228" s="16"/>
      <c r="W228" s="16"/>
      <c r="X228" s="16"/>
      <c r="Y228" s="16"/>
      <c r="Z228" s="16"/>
      <c r="AA228" s="16"/>
      <c r="AB228" s="16"/>
      <c r="AC228" s="16"/>
      <c r="AD228" s="16"/>
    </row>
    <row r="229" spans="1:30" x14ac:dyDescent="0.2">
      <c r="A229" s="16"/>
      <c r="B229" s="16"/>
      <c r="C229" s="16"/>
      <c r="D229" s="16"/>
      <c r="E229" s="16"/>
      <c r="F229" s="109"/>
      <c r="G229" s="109"/>
      <c r="H229" s="109"/>
      <c r="I229" s="109"/>
      <c r="J229" s="109"/>
      <c r="K229" s="109"/>
      <c r="L229" s="109"/>
      <c r="M229" s="109"/>
      <c r="N229" s="109"/>
      <c r="O229" s="16"/>
      <c r="P229" s="16"/>
      <c r="Q229" s="16"/>
      <c r="R229" s="16"/>
      <c r="S229" s="16"/>
      <c r="T229" s="16"/>
      <c r="U229" s="16"/>
      <c r="V229" s="16"/>
      <c r="W229" s="16"/>
      <c r="X229" s="16"/>
      <c r="Y229" s="16"/>
      <c r="Z229" s="16"/>
      <c r="AA229" s="16"/>
      <c r="AB229" s="16"/>
      <c r="AC229" s="16"/>
      <c r="AD229" s="16"/>
    </row>
    <row r="230" spans="1:30" x14ac:dyDescent="0.2">
      <c r="A230" s="16"/>
      <c r="B230" s="16"/>
      <c r="C230" s="16"/>
      <c r="D230" s="16"/>
      <c r="E230" s="16"/>
      <c r="F230" s="109"/>
      <c r="G230" s="109"/>
      <c r="H230" s="109"/>
      <c r="I230" s="109"/>
      <c r="J230" s="109"/>
      <c r="K230" s="109"/>
      <c r="L230" s="109"/>
      <c r="M230" s="109"/>
      <c r="N230" s="109"/>
      <c r="O230" s="16"/>
      <c r="P230" s="16"/>
      <c r="Q230" s="16"/>
      <c r="R230" s="16"/>
      <c r="S230" s="16"/>
      <c r="T230" s="16"/>
      <c r="U230" s="16"/>
      <c r="V230" s="16"/>
      <c r="W230" s="16"/>
      <c r="X230" s="16"/>
      <c r="Y230" s="16"/>
      <c r="Z230" s="16"/>
      <c r="AA230" s="16"/>
      <c r="AB230" s="16"/>
      <c r="AC230" s="16"/>
      <c r="AD230" s="16"/>
    </row>
    <row r="231" spans="1:30" x14ac:dyDescent="0.2">
      <c r="A231" s="16"/>
      <c r="B231" s="16"/>
      <c r="C231" s="16"/>
      <c r="D231" s="16"/>
      <c r="E231" s="16"/>
      <c r="F231" s="109"/>
      <c r="G231" s="109"/>
      <c r="H231" s="109"/>
      <c r="I231" s="109"/>
      <c r="J231" s="109"/>
      <c r="K231" s="109"/>
      <c r="L231" s="109"/>
      <c r="M231" s="109"/>
      <c r="N231" s="109"/>
      <c r="O231" s="16"/>
      <c r="P231" s="16"/>
      <c r="Q231" s="16"/>
      <c r="R231" s="16"/>
      <c r="S231" s="16"/>
      <c r="T231" s="16"/>
      <c r="U231" s="16"/>
      <c r="V231" s="16"/>
      <c r="W231" s="16"/>
      <c r="X231" s="16"/>
      <c r="Y231" s="16"/>
      <c r="Z231" s="16"/>
      <c r="AA231" s="16"/>
      <c r="AB231" s="16"/>
      <c r="AC231" s="16"/>
      <c r="AD231" s="16"/>
    </row>
    <row r="232" spans="1:30" x14ac:dyDescent="0.2">
      <c r="A232" s="16"/>
      <c r="B232" s="16"/>
      <c r="C232" s="16"/>
      <c r="D232" s="16"/>
      <c r="E232" s="16"/>
      <c r="F232" s="109"/>
      <c r="G232" s="109"/>
      <c r="H232" s="109"/>
      <c r="I232" s="109"/>
      <c r="J232" s="109"/>
      <c r="K232" s="109"/>
      <c r="L232" s="109"/>
      <c r="M232" s="109"/>
      <c r="N232" s="109"/>
      <c r="O232" s="16"/>
      <c r="P232" s="16"/>
      <c r="Q232" s="16"/>
      <c r="R232" s="16"/>
      <c r="S232" s="16"/>
      <c r="T232" s="16"/>
      <c r="U232" s="16"/>
      <c r="V232" s="16"/>
      <c r="W232" s="16"/>
      <c r="X232" s="16"/>
      <c r="Y232" s="16"/>
      <c r="Z232" s="16"/>
      <c r="AA232" s="16"/>
      <c r="AB232" s="16"/>
      <c r="AC232" s="16"/>
      <c r="AD232" s="16"/>
    </row>
    <row r="233" spans="1:30" x14ac:dyDescent="0.2">
      <c r="A233" s="16"/>
      <c r="B233" s="16"/>
      <c r="C233" s="16"/>
      <c r="D233" s="16"/>
      <c r="E233" s="16"/>
      <c r="F233" s="109"/>
      <c r="G233" s="109"/>
      <c r="H233" s="109"/>
      <c r="I233" s="109"/>
      <c r="J233" s="109"/>
      <c r="K233" s="109"/>
      <c r="L233" s="109"/>
      <c r="M233" s="109"/>
      <c r="N233" s="109"/>
      <c r="O233" s="16"/>
      <c r="P233" s="16"/>
      <c r="Q233" s="16"/>
      <c r="R233" s="16"/>
      <c r="S233" s="16"/>
      <c r="T233" s="16"/>
      <c r="U233" s="16"/>
      <c r="V233" s="16"/>
      <c r="W233" s="16"/>
      <c r="X233" s="16"/>
      <c r="Y233" s="16"/>
      <c r="Z233" s="16"/>
      <c r="AA233" s="16"/>
      <c r="AB233" s="16"/>
      <c r="AC233" s="16"/>
      <c r="AD233" s="16"/>
    </row>
    <row r="234" spans="1:30" x14ac:dyDescent="0.2">
      <c r="A234" s="16"/>
      <c r="B234" s="16"/>
      <c r="C234" s="16"/>
      <c r="D234" s="16"/>
      <c r="E234" s="16"/>
      <c r="F234" s="109"/>
      <c r="G234" s="109"/>
      <c r="H234" s="109"/>
      <c r="I234" s="109"/>
      <c r="J234" s="109"/>
      <c r="K234" s="109"/>
      <c r="L234" s="109"/>
      <c r="M234" s="109"/>
      <c r="N234" s="109"/>
      <c r="O234" s="16"/>
      <c r="P234" s="16"/>
      <c r="Q234" s="16"/>
      <c r="R234" s="16"/>
      <c r="S234" s="16"/>
      <c r="T234" s="16"/>
      <c r="U234" s="16"/>
      <c r="V234" s="16"/>
      <c r="W234" s="16"/>
      <c r="X234" s="16"/>
      <c r="Y234" s="16"/>
      <c r="Z234" s="16"/>
      <c r="AA234" s="16"/>
      <c r="AB234" s="16"/>
      <c r="AC234" s="16"/>
      <c r="AD234" s="16"/>
    </row>
    <row r="235" spans="1:30" x14ac:dyDescent="0.2">
      <c r="A235" s="16"/>
      <c r="B235" s="16"/>
      <c r="C235" s="16"/>
      <c r="D235" s="16"/>
      <c r="E235" s="16"/>
      <c r="F235" s="109"/>
      <c r="G235" s="109"/>
      <c r="H235" s="109"/>
      <c r="I235" s="109"/>
      <c r="J235" s="109"/>
      <c r="K235" s="109"/>
      <c r="L235" s="109"/>
      <c r="M235" s="109"/>
      <c r="N235" s="109"/>
      <c r="O235" s="16"/>
      <c r="P235" s="16"/>
      <c r="Q235" s="16"/>
      <c r="R235" s="16"/>
      <c r="S235" s="16"/>
      <c r="T235" s="16"/>
      <c r="U235" s="16"/>
      <c r="V235" s="16"/>
      <c r="W235" s="16"/>
      <c r="X235" s="16"/>
      <c r="Y235" s="16"/>
      <c r="Z235" s="16"/>
      <c r="AA235" s="16"/>
      <c r="AB235" s="16"/>
      <c r="AC235" s="16"/>
      <c r="AD235" s="16"/>
    </row>
    <row r="236" spans="1:30" x14ac:dyDescent="0.2">
      <c r="A236" s="16"/>
      <c r="B236" s="16"/>
      <c r="C236" s="16"/>
      <c r="D236" s="16"/>
      <c r="E236" s="16"/>
      <c r="F236" s="109"/>
      <c r="G236" s="109"/>
      <c r="H236" s="109"/>
      <c r="I236" s="109"/>
      <c r="J236" s="109"/>
      <c r="K236" s="109"/>
      <c r="L236" s="109"/>
      <c r="M236" s="109"/>
      <c r="N236" s="109"/>
      <c r="O236" s="16"/>
      <c r="P236" s="16"/>
      <c r="Q236" s="16"/>
      <c r="R236" s="16"/>
      <c r="S236" s="16"/>
      <c r="T236" s="16"/>
      <c r="U236" s="16"/>
      <c r="V236" s="16"/>
      <c r="W236" s="16"/>
      <c r="X236" s="16"/>
      <c r="Y236" s="16"/>
      <c r="Z236" s="16"/>
      <c r="AA236" s="16"/>
      <c r="AB236" s="16"/>
      <c r="AC236" s="16"/>
      <c r="AD236" s="16"/>
    </row>
    <row r="237" spans="1:30" x14ac:dyDescent="0.2">
      <c r="A237" s="16"/>
      <c r="B237" s="16"/>
      <c r="C237" s="16"/>
      <c r="D237" s="16"/>
      <c r="E237" s="16"/>
      <c r="F237" s="109"/>
      <c r="G237" s="109"/>
      <c r="H237" s="109"/>
      <c r="I237" s="109"/>
      <c r="J237" s="109"/>
      <c r="K237" s="109"/>
      <c r="L237" s="109"/>
      <c r="M237" s="109"/>
      <c r="N237" s="109"/>
      <c r="O237" s="16"/>
      <c r="P237" s="16"/>
      <c r="Q237" s="16"/>
      <c r="R237" s="16"/>
      <c r="S237" s="16"/>
      <c r="T237" s="16"/>
      <c r="U237" s="16"/>
      <c r="V237" s="16"/>
      <c r="W237" s="16"/>
      <c r="X237" s="16"/>
      <c r="Y237" s="16"/>
      <c r="Z237" s="16"/>
      <c r="AA237" s="16"/>
      <c r="AB237" s="16"/>
      <c r="AC237" s="16"/>
      <c r="AD237" s="16"/>
    </row>
    <row r="238" spans="1:30" x14ac:dyDescent="0.2">
      <c r="A238" s="16"/>
      <c r="B238" s="16"/>
      <c r="C238" s="16"/>
      <c r="D238" s="16"/>
      <c r="E238" s="16"/>
      <c r="F238" s="109"/>
      <c r="G238" s="109"/>
      <c r="H238" s="109"/>
      <c r="I238" s="109"/>
      <c r="J238" s="109"/>
      <c r="K238" s="109"/>
      <c r="L238" s="109"/>
      <c r="M238" s="109"/>
      <c r="N238" s="109"/>
      <c r="O238" s="16"/>
      <c r="P238" s="16"/>
      <c r="Q238" s="16"/>
      <c r="R238" s="16"/>
      <c r="S238" s="16"/>
      <c r="T238" s="16"/>
      <c r="U238" s="16"/>
      <c r="V238" s="16"/>
      <c r="W238" s="16"/>
      <c r="X238" s="16"/>
      <c r="Y238" s="16"/>
      <c r="Z238" s="16"/>
      <c r="AA238" s="16"/>
      <c r="AB238" s="16"/>
      <c r="AC238" s="16"/>
      <c r="AD238" s="16"/>
    </row>
    <row r="239" spans="1:30" x14ac:dyDescent="0.2">
      <c r="A239" s="16"/>
      <c r="B239" s="16"/>
      <c r="C239" s="16"/>
      <c r="D239" s="16"/>
      <c r="E239" s="16"/>
      <c r="F239" s="109"/>
      <c r="G239" s="109"/>
      <c r="H239" s="109"/>
      <c r="I239" s="109"/>
      <c r="J239" s="109"/>
      <c r="K239" s="109"/>
      <c r="L239" s="109"/>
      <c r="M239" s="109"/>
      <c r="N239" s="109"/>
      <c r="O239" s="16"/>
      <c r="P239" s="16"/>
      <c r="Q239" s="16"/>
      <c r="R239" s="16"/>
      <c r="S239" s="16"/>
      <c r="T239" s="16"/>
      <c r="U239" s="16"/>
      <c r="V239" s="16"/>
      <c r="W239" s="16"/>
      <c r="X239" s="16"/>
      <c r="Y239" s="16"/>
      <c r="Z239" s="16"/>
      <c r="AA239" s="16"/>
      <c r="AB239" s="16"/>
      <c r="AC239" s="16"/>
      <c r="AD239" s="16"/>
    </row>
    <row r="240" spans="1:30" x14ac:dyDescent="0.2">
      <c r="A240" s="16"/>
      <c r="B240" s="16"/>
      <c r="C240" s="16"/>
      <c r="D240" s="16"/>
      <c r="E240" s="16"/>
      <c r="F240" s="109"/>
      <c r="G240" s="109"/>
      <c r="H240" s="109"/>
      <c r="I240" s="109"/>
      <c r="J240" s="109"/>
      <c r="K240" s="109"/>
      <c r="L240" s="109"/>
      <c r="M240" s="109"/>
      <c r="N240" s="109"/>
      <c r="O240" s="16"/>
      <c r="P240" s="16"/>
      <c r="Q240" s="16"/>
      <c r="R240" s="16"/>
      <c r="S240" s="16"/>
      <c r="T240" s="16"/>
      <c r="U240" s="16"/>
      <c r="V240" s="16"/>
      <c r="W240" s="16"/>
      <c r="X240" s="16"/>
      <c r="Y240" s="16"/>
      <c r="Z240" s="16"/>
      <c r="AA240" s="16"/>
      <c r="AB240" s="16"/>
      <c r="AC240" s="16"/>
      <c r="AD240" s="16"/>
    </row>
    <row r="241" spans="1:30" x14ac:dyDescent="0.2">
      <c r="A241" s="16"/>
      <c r="B241" s="16"/>
      <c r="C241" s="16"/>
      <c r="D241" s="16"/>
      <c r="E241" s="16"/>
      <c r="F241" s="109"/>
      <c r="G241" s="109"/>
      <c r="H241" s="109"/>
      <c r="I241" s="109"/>
      <c r="J241" s="109"/>
      <c r="K241" s="109"/>
      <c r="L241" s="109"/>
      <c r="M241" s="109"/>
      <c r="N241" s="109"/>
      <c r="O241" s="16"/>
      <c r="P241" s="16"/>
      <c r="Q241" s="16"/>
      <c r="R241" s="16"/>
      <c r="S241" s="16"/>
      <c r="T241" s="16"/>
      <c r="U241" s="16"/>
      <c r="V241" s="16"/>
      <c r="W241" s="16"/>
      <c r="X241" s="16"/>
      <c r="Y241" s="16"/>
      <c r="Z241" s="16"/>
      <c r="AA241" s="16"/>
      <c r="AB241" s="16"/>
      <c r="AC241" s="16"/>
      <c r="AD241" s="16"/>
    </row>
    <row r="242" spans="1:30" x14ac:dyDescent="0.2">
      <c r="A242" s="16"/>
      <c r="B242" s="16"/>
      <c r="C242" s="16"/>
      <c r="D242" s="16"/>
      <c r="E242" s="16"/>
      <c r="F242" s="109"/>
      <c r="G242" s="109"/>
      <c r="H242" s="109"/>
      <c r="I242" s="109"/>
      <c r="J242" s="109"/>
      <c r="K242" s="109"/>
      <c r="L242" s="109"/>
      <c r="M242" s="109"/>
      <c r="N242" s="109"/>
      <c r="O242" s="16"/>
      <c r="P242" s="16"/>
      <c r="Q242" s="16"/>
      <c r="R242" s="16"/>
      <c r="S242" s="16"/>
      <c r="T242" s="16"/>
      <c r="U242" s="16"/>
      <c r="V242" s="16"/>
      <c r="W242" s="16"/>
      <c r="X242" s="16"/>
      <c r="Y242" s="16"/>
      <c r="Z242" s="16"/>
      <c r="AA242" s="16"/>
      <c r="AB242" s="16"/>
      <c r="AC242" s="16"/>
      <c r="AD242" s="16"/>
    </row>
    <row r="243" spans="1:30" x14ac:dyDescent="0.2">
      <c r="A243" s="16"/>
      <c r="B243" s="16"/>
      <c r="C243" s="16"/>
      <c r="D243" s="16"/>
      <c r="E243" s="16"/>
      <c r="F243" s="109"/>
      <c r="G243" s="109"/>
      <c r="H243" s="109"/>
      <c r="I243" s="109"/>
      <c r="J243" s="109"/>
      <c r="K243" s="109"/>
      <c r="L243" s="109"/>
      <c r="M243" s="109"/>
      <c r="N243" s="109"/>
      <c r="O243" s="16"/>
      <c r="P243" s="16"/>
      <c r="Q243" s="16"/>
      <c r="R243" s="16"/>
      <c r="S243" s="16"/>
      <c r="T243" s="16"/>
      <c r="U243" s="16"/>
      <c r="V243" s="16"/>
      <c r="W243" s="16"/>
      <c r="X243" s="16"/>
      <c r="Y243" s="16"/>
      <c r="Z243" s="16"/>
      <c r="AA243" s="16"/>
      <c r="AB243" s="16"/>
      <c r="AC243" s="16"/>
      <c r="AD243" s="16"/>
    </row>
    <row r="244" spans="1:30" x14ac:dyDescent="0.2">
      <c r="A244" s="16"/>
      <c r="B244" s="16"/>
      <c r="C244" s="16"/>
      <c r="D244" s="16"/>
      <c r="E244" s="16"/>
      <c r="F244" s="109"/>
      <c r="G244" s="109"/>
      <c r="H244" s="109"/>
      <c r="I244" s="109"/>
      <c r="J244" s="109"/>
      <c r="K244" s="109"/>
      <c r="L244" s="109"/>
      <c r="M244" s="109"/>
      <c r="N244" s="109"/>
      <c r="O244" s="16"/>
      <c r="P244" s="16"/>
      <c r="Q244" s="16"/>
      <c r="R244" s="16"/>
      <c r="S244" s="16"/>
      <c r="T244" s="16"/>
      <c r="U244" s="16"/>
      <c r="V244" s="16"/>
      <c r="W244" s="16"/>
      <c r="X244" s="16"/>
      <c r="Y244" s="16"/>
      <c r="Z244" s="16"/>
      <c r="AA244" s="16"/>
      <c r="AB244" s="16"/>
      <c r="AC244" s="16"/>
      <c r="AD244" s="16"/>
    </row>
    <row r="245" spans="1:30" x14ac:dyDescent="0.2">
      <c r="A245" s="16"/>
      <c r="B245" s="16"/>
      <c r="C245" s="16"/>
      <c r="D245" s="16"/>
      <c r="E245" s="16"/>
      <c r="F245" s="109"/>
      <c r="G245" s="109"/>
      <c r="H245" s="109"/>
      <c r="I245" s="109"/>
      <c r="J245" s="109"/>
      <c r="K245" s="109"/>
      <c r="L245" s="109"/>
      <c r="M245" s="109"/>
      <c r="N245" s="109"/>
      <c r="O245" s="16"/>
      <c r="P245" s="16"/>
      <c r="Q245" s="16"/>
      <c r="R245" s="16"/>
      <c r="S245" s="16"/>
      <c r="T245" s="16"/>
      <c r="U245" s="16"/>
      <c r="V245" s="16"/>
      <c r="W245" s="16"/>
      <c r="X245" s="16"/>
      <c r="Y245" s="16"/>
      <c r="Z245" s="16"/>
      <c r="AA245" s="16"/>
      <c r="AB245" s="16"/>
      <c r="AC245" s="16"/>
      <c r="AD245" s="16"/>
    </row>
    <row r="246" spans="1:30" x14ac:dyDescent="0.2">
      <c r="A246" s="16"/>
      <c r="B246" s="16"/>
      <c r="C246" s="16"/>
      <c r="D246" s="16"/>
      <c r="E246" s="16"/>
      <c r="F246" s="109"/>
      <c r="G246" s="109"/>
      <c r="H246" s="109"/>
      <c r="I246" s="109"/>
      <c r="J246" s="109"/>
      <c r="K246" s="109"/>
      <c r="L246" s="109"/>
      <c r="M246" s="109"/>
      <c r="N246" s="109"/>
      <c r="O246" s="16"/>
      <c r="P246" s="16"/>
      <c r="Q246" s="16"/>
      <c r="R246" s="16"/>
      <c r="S246" s="16"/>
      <c r="T246" s="16"/>
      <c r="U246" s="16"/>
      <c r="V246" s="16"/>
      <c r="W246" s="16"/>
      <c r="X246" s="16"/>
      <c r="Y246" s="16"/>
      <c r="Z246" s="16"/>
      <c r="AA246" s="16"/>
      <c r="AB246" s="16"/>
      <c r="AC246" s="16"/>
      <c r="AD246" s="16"/>
    </row>
    <row r="247" spans="1:30" x14ac:dyDescent="0.2">
      <c r="A247" s="16"/>
      <c r="B247" s="16"/>
      <c r="C247" s="16"/>
      <c r="D247" s="16"/>
      <c r="E247" s="16"/>
      <c r="F247" s="109"/>
      <c r="G247" s="109"/>
      <c r="H247" s="109"/>
      <c r="I247" s="109"/>
      <c r="J247" s="109"/>
      <c r="K247" s="109"/>
      <c r="L247" s="109"/>
      <c r="M247" s="109"/>
      <c r="N247" s="109"/>
      <c r="O247" s="16"/>
      <c r="P247" s="16"/>
      <c r="Q247" s="16"/>
      <c r="R247" s="16"/>
      <c r="S247" s="16"/>
      <c r="T247" s="16"/>
      <c r="U247" s="16"/>
      <c r="V247" s="16"/>
      <c r="W247" s="16"/>
      <c r="X247" s="16"/>
      <c r="Y247" s="16"/>
      <c r="Z247" s="16"/>
      <c r="AA247" s="16"/>
      <c r="AB247" s="16"/>
      <c r="AC247" s="16"/>
      <c r="AD247" s="16"/>
    </row>
    <row r="248" spans="1:30" x14ac:dyDescent="0.2">
      <c r="A248" s="16"/>
      <c r="B248" s="16"/>
      <c r="C248" s="16"/>
      <c r="D248" s="16"/>
      <c r="E248" s="16"/>
      <c r="F248" s="109"/>
      <c r="G248" s="109"/>
      <c r="H248" s="109"/>
      <c r="I248" s="109"/>
      <c r="J248" s="109"/>
      <c r="K248" s="109"/>
      <c r="L248" s="109"/>
      <c r="M248" s="109"/>
      <c r="N248" s="109"/>
      <c r="O248" s="16"/>
      <c r="P248" s="16"/>
      <c r="Q248" s="16"/>
      <c r="R248" s="16"/>
      <c r="S248" s="16"/>
      <c r="T248" s="16"/>
      <c r="U248" s="16"/>
      <c r="V248" s="16"/>
      <c r="W248" s="16"/>
      <c r="X248" s="16"/>
      <c r="Y248" s="16"/>
      <c r="Z248" s="16"/>
      <c r="AA248" s="16"/>
      <c r="AB248" s="16"/>
      <c r="AC248" s="16"/>
      <c r="AD248" s="16"/>
    </row>
    <row r="249" spans="1:30" x14ac:dyDescent="0.2">
      <c r="A249" s="16"/>
      <c r="B249" s="16"/>
      <c r="C249" s="16"/>
      <c r="D249" s="16"/>
      <c r="E249" s="16"/>
      <c r="F249" s="109"/>
      <c r="G249" s="109"/>
      <c r="H249" s="109"/>
      <c r="I249" s="109"/>
      <c r="J249" s="109"/>
      <c r="K249" s="109"/>
      <c r="L249" s="109"/>
      <c r="M249" s="109"/>
      <c r="N249" s="109"/>
      <c r="O249" s="16"/>
      <c r="P249" s="16"/>
      <c r="Q249" s="16"/>
      <c r="R249" s="16"/>
      <c r="S249" s="16"/>
      <c r="T249" s="16"/>
      <c r="U249" s="16"/>
      <c r="V249" s="16"/>
      <c r="W249" s="16"/>
      <c r="X249" s="16"/>
      <c r="Y249" s="16"/>
      <c r="Z249" s="16"/>
      <c r="AA249" s="16"/>
      <c r="AB249" s="16"/>
      <c r="AC249" s="16"/>
      <c r="AD249" s="16"/>
    </row>
    <row r="250" spans="1:30" x14ac:dyDescent="0.2">
      <c r="A250" s="16"/>
      <c r="B250" s="16"/>
      <c r="C250" s="16"/>
      <c r="D250" s="16"/>
      <c r="E250" s="16"/>
      <c r="F250" s="109"/>
      <c r="G250" s="109"/>
      <c r="H250" s="109"/>
      <c r="I250" s="109"/>
      <c r="J250" s="109"/>
      <c r="K250" s="109"/>
      <c r="L250" s="109"/>
      <c r="M250" s="109"/>
      <c r="N250" s="109"/>
      <c r="O250" s="16"/>
      <c r="P250" s="16"/>
      <c r="Q250" s="16"/>
      <c r="R250" s="16"/>
      <c r="S250" s="16"/>
      <c r="T250" s="16"/>
      <c r="U250" s="16"/>
      <c r="V250" s="16"/>
      <c r="W250" s="16"/>
      <c r="X250" s="16"/>
      <c r="Y250" s="16"/>
      <c r="Z250" s="16"/>
      <c r="AA250" s="16"/>
      <c r="AB250" s="16"/>
      <c r="AC250" s="16"/>
      <c r="AD250" s="16"/>
    </row>
    <row r="251" spans="1:30" x14ac:dyDescent="0.2">
      <c r="A251" s="16"/>
      <c r="B251" s="16"/>
      <c r="C251" s="16"/>
      <c r="D251" s="16"/>
      <c r="E251" s="16"/>
      <c r="F251" s="109"/>
      <c r="G251" s="109"/>
      <c r="H251" s="109"/>
      <c r="I251" s="109"/>
      <c r="J251" s="109"/>
      <c r="K251" s="109"/>
      <c r="L251" s="109"/>
      <c r="M251" s="109"/>
      <c r="N251" s="109"/>
      <c r="O251" s="16"/>
      <c r="P251" s="16"/>
      <c r="Q251" s="16"/>
      <c r="R251" s="16"/>
      <c r="S251" s="16"/>
      <c r="T251" s="16"/>
      <c r="U251" s="16"/>
      <c r="V251" s="16"/>
      <c r="W251" s="16"/>
      <c r="X251" s="16"/>
      <c r="Y251" s="16"/>
      <c r="Z251" s="16"/>
      <c r="AA251" s="16"/>
      <c r="AB251" s="16"/>
      <c r="AC251" s="16"/>
      <c r="AD251" s="16"/>
    </row>
    <row r="252" spans="1:30" x14ac:dyDescent="0.2">
      <c r="A252" s="16"/>
      <c r="B252" s="16"/>
      <c r="C252" s="16"/>
      <c r="D252" s="16"/>
      <c r="E252" s="16"/>
      <c r="F252" s="109"/>
      <c r="G252" s="109"/>
      <c r="H252" s="109"/>
      <c r="I252" s="109"/>
      <c r="J252" s="109"/>
      <c r="K252" s="109"/>
      <c r="L252" s="109"/>
      <c r="M252" s="109"/>
      <c r="N252" s="109"/>
      <c r="O252" s="16"/>
      <c r="P252" s="16"/>
      <c r="Q252" s="16"/>
      <c r="R252" s="16"/>
      <c r="S252" s="16"/>
      <c r="T252" s="16"/>
      <c r="U252" s="16"/>
      <c r="V252" s="16"/>
      <c r="W252" s="16"/>
      <c r="X252" s="16"/>
      <c r="Y252" s="16"/>
      <c r="Z252" s="16"/>
      <c r="AA252" s="16"/>
      <c r="AB252" s="16"/>
      <c r="AC252" s="16"/>
      <c r="AD252" s="16"/>
    </row>
    <row r="253" spans="1:30" x14ac:dyDescent="0.2">
      <c r="A253" s="16"/>
      <c r="B253" s="16"/>
      <c r="C253" s="16"/>
      <c r="D253" s="16"/>
      <c r="E253" s="16"/>
      <c r="F253" s="109"/>
      <c r="G253" s="109"/>
      <c r="H253" s="109"/>
      <c r="I253" s="109"/>
      <c r="J253" s="109"/>
      <c r="K253" s="109"/>
      <c r="L253" s="109"/>
      <c r="M253" s="109"/>
      <c r="N253" s="109"/>
      <c r="O253" s="16"/>
      <c r="P253" s="16"/>
      <c r="Q253" s="16"/>
      <c r="R253" s="16"/>
      <c r="S253" s="16"/>
      <c r="T253" s="16"/>
      <c r="U253" s="16"/>
      <c r="V253" s="16"/>
      <c r="W253" s="16"/>
      <c r="X253" s="16"/>
      <c r="Y253" s="16"/>
      <c r="Z253" s="16"/>
      <c r="AA253" s="16"/>
      <c r="AB253" s="16"/>
      <c r="AC253" s="16"/>
      <c r="AD253" s="16"/>
    </row>
    <row r="254" spans="1:30" x14ac:dyDescent="0.2">
      <c r="A254" s="16"/>
      <c r="B254" s="16"/>
      <c r="C254" s="16"/>
      <c r="D254" s="16"/>
      <c r="E254" s="16"/>
      <c r="F254" s="109"/>
      <c r="G254" s="109"/>
      <c r="H254" s="109"/>
      <c r="I254" s="109"/>
      <c r="J254" s="109"/>
      <c r="K254" s="109"/>
      <c r="L254" s="109"/>
      <c r="M254" s="109"/>
      <c r="N254" s="109"/>
      <c r="O254" s="16"/>
      <c r="P254" s="16"/>
      <c r="Q254" s="16"/>
      <c r="R254" s="16"/>
      <c r="S254" s="16"/>
      <c r="T254" s="16"/>
      <c r="U254" s="16"/>
      <c r="V254" s="16"/>
      <c r="W254" s="16"/>
      <c r="X254" s="16"/>
      <c r="Y254" s="16"/>
      <c r="Z254" s="16"/>
      <c r="AA254" s="16"/>
      <c r="AB254" s="16"/>
      <c r="AC254" s="16"/>
      <c r="AD254" s="16"/>
    </row>
    <row r="255" spans="1:30" x14ac:dyDescent="0.2">
      <c r="A255" s="16"/>
      <c r="B255" s="16"/>
      <c r="C255" s="16"/>
      <c r="D255" s="16"/>
      <c r="E255" s="16"/>
      <c r="F255" s="109"/>
      <c r="G255" s="109"/>
      <c r="H255" s="109"/>
      <c r="I255" s="109"/>
      <c r="J255" s="109"/>
      <c r="K255" s="109"/>
      <c r="L255" s="109"/>
      <c r="M255" s="109"/>
      <c r="N255" s="109"/>
      <c r="O255" s="16"/>
      <c r="P255" s="16"/>
      <c r="Q255" s="16"/>
      <c r="R255" s="16"/>
      <c r="S255" s="16"/>
      <c r="T255" s="16"/>
      <c r="U255" s="16"/>
      <c r="V255" s="16"/>
      <c r="W255" s="16"/>
      <c r="X255" s="16"/>
      <c r="Y255" s="16"/>
      <c r="Z255" s="16"/>
      <c r="AA255" s="16"/>
      <c r="AB255" s="16"/>
      <c r="AC255" s="16"/>
      <c r="AD255" s="16"/>
    </row>
    <row r="256" spans="1:30" x14ac:dyDescent="0.2">
      <c r="A256" s="16"/>
      <c r="B256" s="16"/>
      <c r="C256" s="16"/>
      <c r="D256" s="16"/>
      <c r="E256" s="16"/>
      <c r="F256" s="109"/>
      <c r="G256" s="109"/>
      <c r="H256" s="109"/>
      <c r="I256" s="109"/>
      <c r="J256" s="109"/>
      <c r="K256" s="109"/>
      <c r="L256" s="109"/>
      <c r="M256" s="109"/>
      <c r="N256" s="109"/>
      <c r="O256" s="16"/>
      <c r="P256" s="16"/>
      <c r="Q256" s="16"/>
      <c r="R256" s="16"/>
      <c r="S256" s="16"/>
      <c r="T256" s="16"/>
      <c r="U256" s="16"/>
      <c r="V256" s="16"/>
      <c r="W256" s="16"/>
      <c r="X256" s="16"/>
      <c r="Y256" s="16"/>
      <c r="Z256" s="16"/>
      <c r="AA256" s="16"/>
      <c r="AB256" s="16"/>
      <c r="AC256" s="16"/>
      <c r="AD256" s="16"/>
    </row>
    <row r="257" spans="1:30" x14ac:dyDescent="0.2">
      <c r="A257" s="16"/>
      <c r="B257" s="16"/>
      <c r="C257" s="16"/>
      <c r="D257" s="16"/>
      <c r="E257" s="16"/>
      <c r="F257" s="109"/>
      <c r="G257" s="109"/>
      <c r="H257" s="109"/>
      <c r="I257" s="109"/>
      <c r="J257" s="109"/>
      <c r="K257" s="109"/>
      <c r="L257" s="109"/>
      <c r="M257" s="109"/>
      <c r="N257" s="109"/>
      <c r="O257" s="16"/>
      <c r="P257" s="16"/>
      <c r="Q257" s="16"/>
      <c r="R257" s="16"/>
      <c r="S257" s="16"/>
      <c r="T257" s="16"/>
      <c r="U257" s="16"/>
      <c r="V257" s="16"/>
      <c r="W257" s="16"/>
      <c r="X257" s="16"/>
      <c r="Y257" s="16"/>
      <c r="Z257" s="16"/>
      <c r="AA257" s="16"/>
      <c r="AB257" s="16"/>
      <c r="AC257" s="16"/>
      <c r="AD257" s="16"/>
    </row>
    <row r="258" spans="1:30" x14ac:dyDescent="0.2">
      <c r="A258" s="16"/>
      <c r="B258" s="16"/>
      <c r="C258" s="16"/>
      <c r="D258" s="16"/>
      <c r="E258" s="16"/>
      <c r="F258" s="109"/>
      <c r="G258" s="109"/>
      <c r="H258" s="109"/>
      <c r="I258" s="109"/>
      <c r="J258" s="109"/>
      <c r="K258" s="109"/>
      <c r="L258" s="109"/>
      <c r="M258" s="109"/>
      <c r="N258" s="109"/>
      <c r="O258" s="16"/>
      <c r="P258" s="16"/>
      <c r="Q258" s="16"/>
      <c r="R258" s="16"/>
      <c r="S258" s="16"/>
      <c r="T258" s="16"/>
      <c r="U258" s="16"/>
      <c r="V258" s="16"/>
      <c r="W258" s="16"/>
      <c r="X258" s="16"/>
      <c r="Y258" s="16"/>
      <c r="Z258" s="16"/>
      <c r="AA258" s="16"/>
      <c r="AB258" s="16"/>
      <c r="AC258" s="16"/>
      <c r="AD258" s="16"/>
    </row>
    <row r="259" spans="1:30" x14ac:dyDescent="0.2">
      <c r="A259" s="16"/>
      <c r="B259" s="16"/>
      <c r="C259" s="16"/>
      <c r="D259" s="16"/>
      <c r="E259" s="16"/>
      <c r="F259" s="109"/>
      <c r="G259" s="109"/>
      <c r="H259" s="109"/>
      <c r="I259" s="109"/>
      <c r="J259" s="109"/>
      <c r="K259" s="109"/>
      <c r="L259" s="109"/>
      <c r="M259" s="109"/>
      <c r="N259" s="109"/>
      <c r="O259" s="16"/>
      <c r="P259" s="16"/>
      <c r="Q259" s="16"/>
      <c r="R259" s="16"/>
      <c r="S259" s="16"/>
      <c r="T259" s="16"/>
      <c r="U259" s="16"/>
      <c r="V259" s="16"/>
      <c r="W259" s="16"/>
      <c r="X259" s="16"/>
      <c r="Y259" s="16"/>
      <c r="Z259" s="16"/>
      <c r="AA259" s="16"/>
      <c r="AB259" s="16"/>
      <c r="AC259" s="16"/>
      <c r="AD259" s="16"/>
    </row>
    <row r="260" spans="1:30" x14ac:dyDescent="0.2">
      <c r="A260" s="16"/>
      <c r="B260" s="16"/>
      <c r="C260" s="16"/>
      <c r="D260" s="16"/>
      <c r="E260" s="16"/>
      <c r="F260" s="109"/>
      <c r="G260" s="109"/>
      <c r="H260" s="109"/>
      <c r="I260" s="109"/>
      <c r="J260" s="109"/>
      <c r="K260" s="109"/>
      <c r="L260" s="109"/>
      <c r="M260" s="109"/>
      <c r="N260" s="109"/>
      <c r="O260" s="16"/>
      <c r="P260" s="16"/>
      <c r="Q260" s="16"/>
      <c r="R260" s="16"/>
      <c r="S260" s="16"/>
      <c r="T260" s="16"/>
      <c r="U260" s="16"/>
      <c r="V260" s="16"/>
      <c r="W260" s="16"/>
      <c r="X260" s="16"/>
      <c r="Y260" s="16"/>
      <c r="Z260" s="16"/>
      <c r="AA260" s="16"/>
      <c r="AB260" s="16"/>
      <c r="AC260" s="16"/>
      <c r="AD260" s="16"/>
    </row>
    <row r="261" spans="1:30" x14ac:dyDescent="0.2">
      <c r="A261" s="16"/>
      <c r="B261" s="16"/>
      <c r="C261" s="16"/>
      <c r="D261" s="16"/>
      <c r="E261" s="16"/>
      <c r="F261" s="109"/>
      <c r="G261" s="109"/>
      <c r="H261" s="109"/>
      <c r="I261" s="109"/>
      <c r="J261" s="109"/>
      <c r="K261" s="109"/>
      <c r="L261" s="109"/>
      <c r="M261" s="109"/>
      <c r="N261" s="109"/>
      <c r="O261" s="16"/>
      <c r="P261" s="16"/>
      <c r="Q261" s="16"/>
      <c r="R261" s="16"/>
      <c r="S261" s="16"/>
      <c r="T261" s="16"/>
      <c r="U261" s="16"/>
      <c r="V261" s="16"/>
      <c r="W261" s="16"/>
      <c r="X261" s="16"/>
      <c r="Y261" s="16"/>
      <c r="Z261" s="16"/>
      <c r="AA261" s="16"/>
      <c r="AB261" s="16"/>
      <c r="AC261" s="16"/>
      <c r="AD261" s="16"/>
    </row>
    <row r="262" spans="1:30" x14ac:dyDescent="0.2">
      <c r="A262" s="16"/>
      <c r="B262" s="16"/>
      <c r="C262" s="16"/>
      <c r="D262" s="16"/>
      <c r="E262" s="16"/>
      <c r="F262" s="109"/>
      <c r="G262" s="109"/>
      <c r="H262" s="109"/>
      <c r="I262" s="109"/>
      <c r="J262" s="109"/>
      <c r="K262" s="109"/>
      <c r="L262" s="109"/>
      <c r="M262" s="109"/>
      <c r="N262" s="109"/>
      <c r="O262" s="16"/>
      <c r="P262" s="16"/>
      <c r="Q262" s="16"/>
      <c r="R262" s="16"/>
      <c r="S262" s="16"/>
      <c r="T262" s="16"/>
      <c r="U262" s="16"/>
      <c r="V262" s="16"/>
      <c r="W262" s="16"/>
      <c r="X262" s="16"/>
      <c r="Y262" s="16"/>
      <c r="Z262" s="16"/>
      <c r="AA262" s="16"/>
      <c r="AB262" s="16"/>
      <c r="AC262" s="16"/>
      <c r="AD262" s="16"/>
    </row>
    <row r="263" spans="1:30" x14ac:dyDescent="0.2">
      <c r="A263" s="16"/>
      <c r="B263" s="16"/>
      <c r="C263" s="16"/>
      <c r="D263" s="16"/>
      <c r="E263" s="16"/>
      <c r="F263" s="109"/>
      <c r="G263" s="109"/>
      <c r="H263" s="109"/>
      <c r="I263" s="109"/>
      <c r="J263" s="109"/>
      <c r="K263" s="109"/>
      <c r="L263" s="109"/>
      <c r="M263" s="109"/>
      <c r="N263" s="109"/>
      <c r="O263" s="16"/>
      <c r="P263" s="16"/>
      <c r="Q263" s="16"/>
      <c r="R263" s="16"/>
      <c r="S263" s="16"/>
      <c r="T263" s="16"/>
      <c r="U263" s="16"/>
      <c r="V263" s="16"/>
      <c r="W263" s="16"/>
      <c r="X263" s="16"/>
      <c r="Y263" s="16"/>
      <c r="Z263" s="16"/>
      <c r="AA263" s="16"/>
      <c r="AB263" s="16"/>
      <c r="AC263" s="16"/>
      <c r="AD263" s="16"/>
    </row>
    <row r="264" spans="1:30" x14ac:dyDescent="0.2">
      <c r="A264" s="16"/>
      <c r="B264" s="16"/>
      <c r="C264" s="16"/>
      <c r="D264" s="16"/>
      <c r="E264" s="16"/>
      <c r="F264" s="109"/>
      <c r="G264" s="109"/>
      <c r="H264" s="109"/>
      <c r="I264" s="109"/>
      <c r="J264" s="109"/>
      <c r="K264" s="109"/>
      <c r="L264" s="109"/>
      <c r="M264" s="109"/>
      <c r="N264" s="109"/>
      <c r="O264" s="16"/>
      <c r="P264" s="16"/>
      <c r="Q264" s="16"/>
      <c r="R264" s="16"/>
      <c r="S264" s="16"/>
      <c r="T264" s="16"/>
      <c r="U264" s="16"/>
      <c r="V264" s="16"/>
      <c r="W264" s="16"/>
      <c r="X264" s="16"/>
      <c r="Y264" s="16"/>
      <c r="Z264" s="16"/>
      <c r="AA264" s="16"/>
      <c r="AB264" s="16"/>
      <c r="AC264" s="16"/>
      <c r="AD264" s="16"/>
    </row>
    <row r="265" spans="1:30" x14ac:dyDescent="0.2">
      <c r="A265" s="16"/>
      <c r="B265" s="16"/>
      <c r="C265" s="16"/>
      <c r="D265" s="16"/>
      <c r="E265" s="16"/>
      <c r="F265" s="109"/>
      <c r="G265" s="109"/>
      <c r="H265" s="109"/>
      <c r="I265" s="109"/>
      <c r="J265" s="109"/>
      <c r="K265" s="109"/>
      <c r="L265" s="109"/>
      <c r="M265" s="109"/>
      <c r="N265" s="109"/>
      <c r="O265" s="16"/>
      <c r="P265" s="16"/>
      <c r="Q265" s="16"/>
      <c r="R265" s="16"/>
      <c r="S265" s="16"/>
      <c r="T265" s="16"/>
      <c r="U265" s="16"/>
      <c r="V265" s="16"/>
      <c r="W265" s="16"/>
      <c r="X265" s="16"/>
      <c r="Y265" s="16"/>
      <c r="Z265" s="16"/>
      <c r="AA265" s="16"/>
      <c r="AB265" s="16"/>
      <c r="AC265" s="16"/>
      <c r="AD265" s="16"/>
    </row>
    <row r="266" spans="1:30" x14ac:dyDescent="0.2">
      <c r="A266" s="16"/>
      <c r="B266" s="16"/>
      <c r="C266" s="16"/>
      <c r="D266" s="16"/>
      <c r="E266" s="16"/>
      <c r="F266" s="109"/>
      <c r="G266" s="109"/>
      <c r="H266" s="109"/>
      <c r="I266" s="109"/>
      <c r="J266" s="109"/>
      <c r="K266" s="109"/>
      <c r="L266" s="109"/>
      <c r="M266" s="109"/>
      <c r="N266" s="109"/>
      <c r="O266" s="16"/>
      <c r="P266" s="16"/>
      <c r="Q266" s="16"/>
      <c r="R266" s="16"/>
      <c r="S266" s="16"/>
      <c r="T266" s="16"/>
      <c r="U266" s="16"/>
      <c r="V266" s="16"/>
      <c r="W266" s="16"/>
      <c r="X266" s="16"/>
      <c r="Y266" s="16"/>
      <c r="Z266" s="16"/>
      <c r="AA266" s="16"/>
      <c r="AB266" s="16"/>
      <c r="AC266" s="16"/>
      <c r="AD266" s="16"/>
    </row>
    <row r="267" spans="1:30" x14ac:dyDescent="0.2">
      <c r="A267" s="16"/>
      <c r="B267" s="16"/>
      <c r="C267" s="16"/>
      <c r="D267" s="16"/>
      <c r="E267" s="16"/>
      <c r="F267" s="109"/>
      <c r="G267" s="109"/>
      <c r="H267" s="109"/>
      <c r="I267" s="109"/>
      <c r="J267" s="109"/>
      <c r="K267" s="109"/>
      <c r="L267" s="109"/>
      <c r="M267" s="109"/>
      <c r="N267" s="109"/>
      <c r="O267" s="16"/>
      <c r="P267" s="16"/>
      <c r="Q267" s="16"/>
      <c r="R267" s="16"/>
      <c r="S267" s="16"/>
      <c r="T267" s="16"/>
      <c r="U267" s="16"/>
      <c r="V267" s="16"/>
      <c r="W267" s="16"/>
      <c r="X267" s="16"/>
      <c r="Y267" s="16"/>
      <c r="Z267" s="16"/>
      <c r="AA267" s="16"/>
      <c r="AB267" s="16"/>
      <c r="AC267" s="16"/>
      <c r="AD267" s="16"/>
    </row>
    <row r="268" spans="1:30" x14ac:dyDescent="0.2">
      <c r="A268" s="16"/>
      <c r="B268" s="16"/>
      <c r="C268" s="16"/>
      <c r="D268" s="16"/>
      <c r="E268" s="16"/>
      <c r="F268" s="109"/>
      <c r="G268" s="109"/>
      <c r="H268" s="109"/>
      <c r="I268" s="109"/>
      <c r="J268" s="109"/>
      <c r="K268" s="109"/>
      <c r="L268" s="109"/>
      <c r="M268" s="109"/>
      <c r="N268" s="109"/>
      <c r="O268" s="16"/>
      <c r="P268" s="16"/>
      <c r="Q268" s="16"/>
      <c r="R268" s="16"/>
      <c r="S268" s="16"/>
      <c r="T268" s="16"/>
      <c r="U268" s="16"/>
      <c r="V268" s="16"/>
      <c r="W268" s="16"/>
      <c r="X268" s="16"/>
      <c r="Y268" s="16"/>
      <c r="Z268" s="16"/>
      <c r="AA268" s="16"/>
      <c r="AB268" s="16"/>
      <c r="AC268" s="16"/>
      <c r="AD268" s="16"/>
    </row>
    <row r="269" spans="1:30" x14ac:dyDescent="0.2">
      <c r="A269" s="16"/>
      <c r="B269" s="16"/>
      <c r="C269" s="16"/>
      <c r="D269" s="16"/>
      <c r="E269" s="16"/>
      <c r="F269" s="109"/>
      <c r="G269" s="109"/>
      <c r="H269" s="109"/>
      <c r="I269" s="109"/>
      <c r="J269" s="109"/>
      <c r="K269" s="109"/>
      <c r="L269" s="109"/>
      <c r="M269" s="109"/>
      <c r="N269" s="109"/>
      <c r="O269" s="16"/>
      <c r="P269" s="16"/>
      <c r="Q269" s="16"/>
      <c r="R269" s="16"/>
      <c r="S269" s="16"/>
      <c r="T269" s="16"/>
      <c r="U269" s="16"/>
      <c r="V269" s="16"/>
      <c r="W269" s="16"/>
      <c r="X269" s="16"/>
      <c r="Y269" s="16"/>
      <c r="Z269" s="16"/>
      <c r="AA269" s="16"/>
      <c r="AB269" s="16"/>
      <c r="AC269" s="16"/>
      <c r="AD269" s="16"/>
    </row>
    <row r="270" spans="1:30" x14ac:dyDescent="0.2">
      <c r="A270" s="16"/>
      <c r="B270" s="16"/>
      <c r="C270" s="16"/>
      <c r="D270" s="16"/>
      <c r="E270" s="16"/>
      <c r="F270" s="109"/>
      <c r="G270" s="109"/>
      <c r="H270" s="109"/>
      <c r="I270" s="109"/>
      <c r="J270" s="109"/>
      <c r="K270" s="109"/>
      <c r="L270" s="109"/>
      <c r="M270" s="109"/>
      <c r="N270" s="109"/>
      <c r="O270" s="16"/>
      <c r="P270" s="16"/>
      <c r="Q270" s="16"/>
      <c r="R270" s="16"/>
      <c r="S270" s="16"/>
      <c r="T270" s="16"/>
      <c r="U270" s="16"/>
      <c r="V270" s="16"/>
      <c r="W270" s="16"/>
      <c r="X270" s="16"/>
      <c r="Y270" s="16"/>
      <c r="Z270" s="16"/>
      <c r="AA270" s="16"/>
      <c r="AB270" s="16"/>
      <c r="AC270" s="16"/>
      <c r="AD270" s="16"/>
    </row>
    <row r="271" spans="1:30" x14ac:dyDescent="0.2">
      <c r="A271" s="16"/>
      <c r="B271" s="16"/>
      <c r="C271" s="16"/>
      <c r="D271" s="16"/>
      <c r="E271" s="16"/>
      <c r="F271" s="109"/>
      <c r="G271" s="109"/>
      <c r="H271" s="109"/>
      <c r="I271" s="109"/>
      <c r="J271" s="109"/>
      <c r="K271" s="109"/>
      <c r="L271" s="109"/>
      <c r="M271" s="109"/>
      <c r="N271" s="109"/>
      <c r="O271" s="16"/>
      <c r="P271" s="16"/>
      <c r="Q271" s="16"/>
      <c r="R271" s="16"/>
      <c r="S271" s="16"/>
      <c r="T271" s="16"/>
      <c r="U271" s="16"/>
      <c r="V271" s="16"/>
      <c r="W271" s="16"/>
      <c r="X271" s="16"/>
      <c r="Y271" s="16"/>
      <c r="Z271" s="16"/>
      <c r="AA271" s="16"/>
      <c r="AB271" s="16"/>
      <c r="AC271" s="16"/>
      <c r="AD271" s="16"/>
    </row>
    <row r="272" spans="1:30" x14ac:dyDescent="0.2">
      <c r="A272" s="16"/>
      <c r="B272" s="16"/>
      <c r="C272" s="16"/>
      <c r="D272" s="16"/>
      <c r="E272" s="16"/>
      <c r="F272" s="109"/>
      <c r="G272" s="109"/>
      <c r="H272" s="109"/>
      <c r="I272" s="109"/>
      <c r="J272" s="109"/>
      <c r="K272" s="109"/>
      <c r="L272" s="109"/>
      <c r="M272" s="109"/>
      <c r="N272" s="109"/>
      <c r="O272" s="16"/>
      <c r="P272" s="16"/>
      <c r="Q272" s="16"/>
      <c r="R272" s="16"/>
      <c r="S272" s="16"/>
      <c r="T272" s="16"/>
      <c r="U272" s="16"/>
      <c r="V272" s="16"/>
      <c r="W272" s="16"/>
      <c r="X272" s="16"/>
      <c r="Y272" s="16"/>
      <c r="Z272" s="16"/>
      <c r="AA272" s="16"/>
      <c r="AB272" s="16"/>
      <c r="AC272" s="16"/>
      <c r="AD272" s="16"/>
    </row>
    <row r="273" spans="1:30" x14ac:dyDescent="0.2">
      <c r="A273" s="16"/>
      <c r="B273" s="16"/>
      <c r="C273" s="16"/>
      <c r="D273" s="16"/>
      <c r="E273" s="16"/>
      <c r="F273" s="109"/>
      <c r="G273" s="109"/>
      <c r="H273" s="109"/>
      <c r="I273" s="109"/>
      <c r="J273" s="109"/>
      <c r="K273" s="109"/>
      <c r="L273" s="109"/>
      <c r="M273" s="109"/>
      <c r="N273" s="109"/>
      <c r="O273" s="16"/>
      <c r="P273" s="16"/>
      <c r="Q273" s="16"/>
      <c r="R273" s="16"/>
      <c r="S273" s="16"/>
      <c r="T273" s="16"/>
      <c r="U273" s="16"/>
      <c r="V273" s="16"/>
      <c r="W273" s="16"/>
      <c r="X273" s="16"/>
      <c r="Y273" s="16"/>
      <c r="Z273" s="16"/>
      <c r="AA273" s="16"/>
      <c r="AB273" s="16"/>
      <c r="AC273" s="16"/>
      <c r="AD273" s="16"/>
    </row>
    <row r="274" spans="1:30" x14ac:dyDescent="0.2">
      <c r="A274" s="16"/>
      <c r="B274" s="16"/>
      <c r="C274" s="16"/>
      <c r="D274" s="16"/>
      <c r="E274" s="16"/>
      <c r="F274" s="109"/>
      <c r="G274" s="109"/>
      <c r="H274" s="109"/>
      <c r="I274" s="109"/>
      <c r="J274" s="109"/>
      <c r="K274" s="109"/>
      <c r="L274" s="109"/>
      <c r="M274" s="109"/>
      <c r="N274" s="109"/>
      <c r="O274" s="16"/>
      <c r="P274" s="16"/>
      <c r="Q274" s="16"/>
      <c r="R274" s="16"/>
      <c r="S274" s="16"/>
      <c r="T274" s="16"/>
      <c r="U274" s="16"/>
      <c r="V274" s="16"/>
      <c r="W274" s="16"/>
      <c r="X274" s="16"/>
      <c r="Y274" s="16"/>
      <c r="Z274" s="16"/>
      <c r="AA274" s="16"/>
      <c r="AB274" s="16"/>
      <c r="AC274" s="16"/>
      <c r="AD274" s="16"/>
    </row>
    <row r="275" spans="1:30" x14ac:dyDescent="0.2">
      <c r="A275" s="16"/>
      <c r="B275" s="16"/>
      <c r="C275" s="16"/>
      <c r="D275" s="16"/>
      <c r="E275" s="16"/>
      <c r="F275" s="109"/>
      <c r="G275" s="109"/>
      <c r="H275" s="109"/>
      <c r="I275" s="109"/>
      <c r="J275" s="109"/>
      <c r="K275" s="109"/>
      <c r="L275" s="109"/>
      <c r="M275" s="109"/>
      <c r="N275" s="109"/>
      <c r="O275" s="16"/>
      <c r="P275" s="16"/>
      <c r="Q275" s="16"/>
      <c r="R275" s="16"/>
      <c r="S275" s="16"/>
      <c r="T275" s="16"/>
      <c r="U275" s="16"/>
      <c r="V275" s="16"/>
      <c r="W275" s="16"/>
      <c r="X275" s="16"/>
      <c r="Y275" s="16"/>
      <c r="Z275" s="16"/>
      <c r="AA275" s="16"/>
      <c r="AB275" s="16"/>
      <c r="AC275" s="16"/>
      <c r="AD275" s="16"/>
    </row>
    <row r="276" spans="1:30" x14ac:dyDescent="0.2">
      <c r="A276" s="16"/>
      <c r="B276" s="16"/>
      <c r="C276" s="16"/>
      <c r="D276" s="16"/>
      <c r="E276" s="16"/>
      <c r="F276" s="109"/>
      <c r="G276" s="109"/>
      <c r="H276" s="109"/>
      <c r="I276" s="109"/>
      <c r="J276" s="109"/>
      <c r="K276" s="109"/>
      <c r="L276" s="109"/>
      <c r="M276" s="109"/>
      <c r="N276" s="109"/>
      <c r="O276" s="16"/>
      <c r="P276" s="16"/>
      <c r="Q276" s="16"/>
      <c r="R276" s="16"/>
      <c r="S276" s="16"/>
      <c r="T276" s="16"/>
      <c r="U276" s="16"/>
      <c r="V276" s="16"/>
      <c r="W276" s="16"/>
      <c r="X276" s="16"/>
      <c r="Y276" s="16"/>
      <c r="Z276" s="16"/>
      <c r="AA276" s="16"/>
      <c r="AB276" s="16"/>
      <c r="AC276" s="16"/>
      <c r="AD276" s="16"/>
    </row>
    <row r="277" spans="1:30" x14ac:dyDescent="0.2">
      <c r="A277" s="16"/>
      <c r="B277" s="16"/>
      <c r="C277" s="16"/>
      <c r="D277" s="16"/>
      <c r="E277" s="16"/>
      <c r="F277" s="109"/>
      <c r="G277" s="109"/>
      <c r="H277" s="109"/>
      <c r="I277" s="109"/>
      <c r="J277" s="109"/>
      <c r="K277" s="109"/>
      <c r="L277" s="109"/>
      <c r="M277" s="109"/>
      <c r="N277" s="109"/>
      <c r="O277" s="16"/>
      <c r="P277" s="16"/>
      <c r="Q277" s="16"/>
      <c r="R277" s="16"/>
      <c r="S277" s="16"/>
      <c r="T277" s="16"/>
      <c r="U277" s="16"/>
      <c r="V277" s="16"/>
      <c r="W277" s="16"/>
      <c r="X277" s="16"/>
      <c r="Y277" s="16"/>
      <c r="Z277" s="16"/>
      <c r="AA277" s="16"/>
      <c r="AB277" s="16"/>
      <c r="AC277" s="16"/>
      <c r="AD277" s="16"/>
    </row>
    <row r="278" spans="1:30" x14ac:dyDescent="0.2">
      <c r="A278" s="16"/>
      <c r="B278" s="16"/>
      <c r="C278" s="16"/>
      <c r="D278" s="16"/>
      <c r="E278" s="16"/>
      <c r="F278" s="109"/>
      <c r="G278" s="109"/>
      <c r="H278" s="109"/>
      <c r="I278" s="109"/>
      <c r="J278" s="109"/>
      <c r="K278" s="109"/>
      <c r="L278" s="109"/>
      <c r="M278" s="109"/>
      <c r="N278" s="109"/>
      <c r="O278" s="16"/>
      <c r="P278" s="16"/>
      <c r="Q278" s="16"/>
      <c r="R278" s="16"/>
      <c r="S278" s="16"/>
      <c r="T278" s="16"/>
      <c r="U278" s="16"/>
      <c r="V278" s="16"/>
      <c r="W278" s="16"/>
      <c r="X278" s="16"/>
      <c r="Y278" s="16"/>
      <c r="Z278" s="16"/>
      <c r="AA278" s="16"/>
      <c r="AB278" s="16"/>
      <c r="AC278" s="16"/>
      <c r="AD278" s="16"/>
    </row>
    <row r="279" spans="1:30" x14ac:dyDescent="0.2">
      <c r="A279" s="16"/>
      <c r="B279" s="16"/>
      <c r="C279" s="16"/>
      <c r="D279" s="16"/>
      <c r="E279" s="16"/>
      <c r="F279" s="109"/>
      <c r="G279" s="109"/>
      <c r="H279" s="109"/>
      <c r="I279" s="109"/>
      <c r="J279" s="109"/>
      <c r="K279" s="109"/>
      <c r="L279" s="109"/>
      <c r="M279" s="109"/>
      <c r="N279" s="109"/>
      <c r="O279" s="16"/>
      <c r="P279" s="16"/>
      <c r="Q279" s="16"/>
      <c r="R279" s="16"/>
      <c r="S279" s="16"/>
      <c r="T279" s="16"/>
      <c r="U279" s="16"/>
      <c r="V279" s="16"/>
      <c r="W279" s="16"/>
      <c r="X279" s="16"/>
      <c r="Y279" s="16"/>
      <c r="Z279" s="16"/>
      <c r="AA279" s="16"/>
      <c r="AB279" s="16"/>
      <c r="AC279" s="16"/>
      <c r="AD279" s="16"/>
    </row>
    <row r="280" spans="1:30" x14ac:dyDescent="0.2">
      <c r="A280" s="16"/>
      <c r="B280" s="16"/>
      <c r="C280" s="16"/>
      <c r="D280" s="16"/>
      <c r="E280" s="16"/>
      <c r="F280" s="109"/>
      <c r="G280" s="109"/>
      <c r="H280" s="109"/>
      <c r="I280" s="109"/>
      <c r="J280" s="109"/>
      <c r="K280" s="109"/>
      <c r="L280" s="109"/>
      <c r="M280" s="109"/>
      <c r="N280" s="109"/>
      <c r="O280" s="16"/>
      <c r="P280" s="16"/>
      <c r="Q280" s="16"/>
      <c r="R280" s="16"/>
      <c r="S280" s="16"/>
      <c r="T280" s="16"/>
      <c r="U280" s="16"/>
      <c r="V280" s="16"/>
      <c r="W280" s="16"/>
      <c r="X280" s="16"/>
      <c r="Y280" s="16"/>
      <c r="Z280" s="16"/>
      <c r="AA280" s="16"/>
      <c r="AB280" s="16"/>
      <c r="AC280" s="16"/>
      <c r="AD280" s="16"/>
    </row>
    <row r="281" spans="1:30" x14ac:dyDescent="0.2">
      <c r="A281" s="16"/>
      <c r="B281" s="16"/>
      <c r="C281" s="16"/>
      <c r="D281" s="16"/>
      <c r="E281" s="16"/>
      <c r="F281" s="109"/>
      <c r="G281" s="109"/>
      <c r="H281" s="109"/>
      <c r="I281" s="109"/>
      <c r="J281" s="109"/>
      <c r="K281" s="109"/>
      <c r="L281" s="109"/>
      <c r="M281" s="109"/>
      <c r="N281" s="109"/>
      <c r="O281" s="16"/>
      <c r="P281" s="16"/>
      <c r="Q281" s="16"/>
      <c r="R281" s="16"/>
      <c r="S281" s="16"/>
      <c r="T281" s="16"/>
      <c r="U281" s="16"/>
      <c r="V281" s="16"/>
      <c r="W281" s="16"/>
      <c r="X281" s="16"/>
      <c r="Y281" s="16"/>
      <c r="Z281" s="16"/>
      <c r="AA281" s="16"/>
      <c r="AB281" s="16"/>
      <c r="AC281" s="16"/>
      <c r="AD281" s="16"/>
    </row>
    <row r="282" spans="1:30" x14ac:dyDescent="0.2">
      <c r="A282" s="16"/>
      <c r="B282" s="16"/>
      <c r="C282" s="16"/>
      <c r="D282" s="16"/>
      <c r="E282" s="16"/>
      <c r="F282" s="109"/>
      <c r="G282" s="109"/>
      <c r="H282" s="109"/>
      <c r="I282" s="109"/>
      <c r="J282" s="109"/>
      <c r="K282" s="109"/>
      <c r="L282" s="109"/>
      <c r="M282" s="109"/>
      <c r="N282" s="109"/>
      <c r="O282" s="16"/>
      <c r="P282" s="16"/>
      <c r="Q282" s="16"/>
      <c r="R282" s="16"/>
      <c r="S282" s="16"/>
      <c r="T282" s="16"/>
      <c r="U282" s="16"/>
      <c r="V282" s="16"/>
      <c r="W282" s="16"/>
      <c r="X282" s="16"/>
      <c r="Y282" s="16"/>
      <c r="Z282" s="16"/>
      <c r="AA282" s="16"/>
      <c r="AB282" s="16"/>
      <c r="AC282" s="16"/>
      <c r="AD282" s="16"/>
    </row>
    <row r="283" spans="1:30" x14ac:dyDescent="0.2">
      <c r="A283" s="16"/>
      <c r="B283" s="16"/>
      <c r="C283" s="16"/>
      <c r="D283" s="16"/>
      <c r="E283" s="16"/>
      <c r="F283" s="109"/>
      <c r="G283" s="109"/>
      <c r="H283" s="109"/>
      <c r="I283" s="109"/>
      <c r="J283" s="109"/>
      <c r="K283" s="109"/>
      <c r="L283" s="109"/>
      <c r="M283" s="109"/>
      <c r="N283" s="109"/>
      <c r="O283" s="16"/>
      <c r="P283" s="16"/>
      <c r="Q283" s="16"/>
      <c r="R283" s="16"/>
      <c r="S283" s="16"/>
      <c r="T283" s="16"/>
      <c r="U283" s="16"/>
      <c r="V283" s="16"/>
      <c r="W283" s="16"/>
      <c r="X283" s="16"/>
      <c r="Y283" s="16"/>
      <c r="Z283" s="16"/>
      <c r="AA283" s="16"/>
      <c r="AB283" s="16"/>
      <c r="AC283" s="16"/>
      <c r="AD283" s="16"/>
    </row>
    <row r="284" spans="1:30" x14ac:dyDescent="0.2">
      <c r="A284" s="16"/>
      <c r="B284" s="16"/>
      <c r="C284" s="16"/>
      <c r="D284" s="16"/>
      <c r="E284" s="16"/>
      <c r="F284" s="109"/>
      <c r="G284" s="109"/>
      <c r="H284" s="109"/>
      <c r="I284" s="109"/>
      <c r="J284" s="109"/>
      <c r="K284" s="109"/>
      <c r="L284" s="109"/>
      <c r="M284" s="109"/>
      <c r="N284" s="109"/>
      <c r="O284" s="16"/>
      <c r="P284" s="16"/>
      <c r="Q284" s="16"/>
      <c r="R284" s="16"/>
      <c r="S284" s="16"/>
      <c r="T284" s="16"/>
      <c r="U284" s="16"/>
      <c r="V284" s="16"/>
      <c r="W284" s="16"/>
      <c r="X284" s="16"/>
      <c r="Y284" s="16"/>
      <c r="Z284" s="16"/>
      <c r="AA284" s="16"/>
      <c r="AB284" s="16"/>
      <c r="AC284" s="16"/>
      <c r="AD284" s="16"/>
    </row>
    <row r="285" spans="1:30" x14ac:dyDescent="0.2">
      <c r="A285" s="16"/>
      <c r="B285" s="16"/>
      <c r="C285" s="16"/>
      <c r="D285" s="16"/>
      <c r="E285" s="16"/>
      <c r="F285" s="109"/>
      <c r="G285" s="109"/>
      <c r="H285" s="109"/>
      <c r="I285" s="109"/>
      <c r="J285" s="109"/>
      <c r="K285" s="109"/>
      <c r="L285" s="109"/>
      <c r="M285" s="109"/>
      <c r="N285" s="109"/>
      <c r="O285" s="16"/>
      <c r="P285" s="16"/>
      <c r="Q285" s="16"/>
      <c r="R285" s="16"/>
      <c r="S285" s="16"/>
      <c r="T285" s="16"/>
      <c r="U285" s="16"/>
      <c r="V285" s="16"/>
      <c r="W285" s="16"/>
      <c r="X285" s="16"/>
      <c r="Y285" s="16"/>
      <c r="Z285" s="16"/>
      <c r="AA285" s="16"/>
      <c r="AB285" s="16"/>
      <c r="AC285" s="16"/>
      <c r="AD285" s="16"/>
    </row>
    <row r="286" spans="1:30" x14ac:dyDescent="0.2">
      <c r="A286" s="16"/>
      <c r="B286" s="16"/>
      <c r="C286" s="16"/>
      <c r="D286" s="16"/>
      <c r="E286" s="16"/>
      <c r="F286" s="109"/>
      <c r="G286" s="109"/>
      <c r="H286" s="109"/>
      <c r="I286" s="109"/>
      <c r="J286" s="109"/>
      <c r="K286" s="109"/>
      <c r="L286" s="109"/>
      <c r="M286" s="109"/>
      <c r="N286" s="109"/>
      <c r="O286" s="16"/>
      <c r="P286" s="16"/>
      <c r="Q286" s="16"/>
      <c r="R286" s="16"/>
      <c r="S286" s="16"/>
      <c r="T286" s="16"/>
      <c r="U286" s="16"/>
      <c r="V286" s="16"/>
      <c r="W286" s="16"/>
      <c r="X286" s="16"/>
      <c r="Y286" s="16"/>
      <c r="Z286" s="16"/>
      <c r="AA286" s="16"/>
      <c r="AB286" s="16"/>
      <c r="AC286" s="16"/>
      <c r="AD286" s="16"/>
    </row>
    <row r="287" spans="1:30" x14ac:dyDescent="0.2">
      <c r="A287" s="16"/>
      <c r="B287" s="16"/>
      <c r="C287" s="16"/>
      <c r="D287" s="16"/>
      <c r="E287" s="16"/>
      <c r="F287" s="109"/>
      <c r="G287" s="109"/>
      <c r="H287" s="109"/>
      <c r="I287" s="109"/>
      <c r="J287" s="109"/>
      <c r="K287" s="109"/>
      <c r="L287" s="109"/>
      <c r="M287" s="109"/>
      <c r="N287" s="109"/>
      <c r="O287" s="16"/>
      <c r="P287" s="16"/>
      <c r="Q287" s="16"/>
      <c r="R287" s="16"/>
      <c r="S287" s="16"/>
      <c r="T287" s="16"/>
      <c r="U287" s="16"/>
      <c r="V287" s="16"/>
      <c r="W287" s="16"/>
      <c r="X287" s="16"/>
      <c r="Y287" s="16"/>
      <c r="Z287" s="16"/>
      <c r="AA287" s="16"/>
      <c r="AB287" s="16"/>
      <c r="AC287" s="16"/>
      <c r="AD287" s="16"/>
    </row>
    <row r="288" spans="1:30" x14ac:dyDescent="0.2">
      <c r="A288" s="16"/>
      <c r="B288" s="16"/>
      <c r="C288" s="16"/>
      <c r="D288" s="16"/>
      <c r="E288" s="16"/>
      <c r="F288" s="109"/>
      <c r="G288" s="109"/>
      <c r="H288" s="109"/>
      <c r="I288" s="109"/>
      <c r="J288" s="109"/>
      <c r="K288" s="109"/>
      <c r="L288" s="109"/>
      <c r="M288" s="109"/>
      <c r="N288" s="109"/>
      <c r="O288" s="16"/>
      <c r="P288" s="16"/>
      <c r="Q288" s="16"/>
      <c r="R288" s="16"/>
      <c r="S288" s="16"/>
      <c r="T288" s="16"/>
      <c r="U288" s="16"/>
      <c r="V288" s="16"/>
      <c r="W288" s="16"/>
      <c r="X288" s="16"/>
      <c r="Y288" s="16"/>
      <c r="Z288" s="16"/>
      <c r="AA288" s="16"/>
      <c r="AB288" s="16"/>
      <c r="AC288" s="16"/>
      <c r="AD288" s="16"/>
    </row>
    <row r="289" spans="1:30" x14ac:dyDescent="0.2">
      <c r="A289" s="16"/>
      <c r="B289" s="16"/>
      <c r="C289" s="16"/>
      <c r="D289" s="16"/>
      <c r="E289" s="16"/>
      <c r="F289" s="109"/>
      <c r="G289" s="109"/>
      <c r="H289" s="109"/>
      <c r="I289" s="109"/>
      <c r="J289" s="109"/>
      <c r="K289" s="109"/>
      <c r="L289" s="109"/>
      <c r="M289" s="109"/>
      <c r="N289" s="109"/>
      <c r="O289" s="16"/>
      <c r="P289" s="16"/>
      <c r="Q289" s="16"/>
      <c r="R289" s="16"/>
      <c r="S289" s="16"/>
      <c r="T289" s="16"/>
      <c r="U289" s="16"/>
      <c r="V289" s="16"/>
      <c r="W289" s="16"/>
      <c r="X289" s="16"/>
      <c r="Y289" s="16"/>
      <c r="Z289" s="16"/>
      <c r="AA289" s="16"/>
      <c r="AB289" s="16"/>
      <c r="AC289" s="16"/>
      <c r="AD289" s="16"/>
    </row>
    <row r="290" spans="1:30" x14ac:dyDescent="0.2">
      <c r="A290" s="16"/>
      <c r="B290" s="16"/>
      <c r="C290" s="16"/>
      <c r="D290" s="16"/>
      <c r="E290" s="16"/>
      <c r="F290" s="109"/>
      <c r="G290" s="109"/>
      <c r="H290" s="109"/>
      <c r="I290" s="109"/>
      <c r="J290" s="109"/>
      <c r="K290" s="109"/>
      <c r="L290" s="109"/>
      <c r="M290" s="109"/>
      <c r="N290" s="109"/>
      <c r="O290" s="16"/>
      <c r="P290" s="16"/>
      <c r="Q290" s="16"/>
      <c r="R290" s="16"/>
      <c r="S290" s="16"/>
      <c r="T290" s="16"/>
      <c r="U290" s="16"/>
      <c r="V290" s="16"/>
      <c r="W290" s="16"/>
      <c r="X290" s="16"/>
      <c r="Y290" s="16"/>
      <c r="Z290" s="16"/>
      <c r="AA290" s="16"/>
      <c r="AB290" s="16"/>
      <c r="AC290" s="16"/>
      <c r="AD290" s="16"/>
    </row>
    <row r="291" spans="1:30" x14ac:dyDescent="0.2">
      <c r="A291" s="16"/>
      <c r="B291" s="16"/>
      <c r="C291" s="16"/>
      <c r="D291" s="16"/>
      <c r="E291" s="16"/>
      <c r="F291" s="109"/>
      <c r="G291" s="109"/>
      <c r="H291" s="109"/>
      <c r="I291" s="109"/>
      <c r="J291" s="109"/>
      <c r="K291" s="109"/>
      <c r="L291" s="109"/>
      <c r="M291" s="109"/>
      <c r="N291" s="109"/>
      <c r="O291" s="16"/>
      <c r="P291" s="16"/>
      <c r="Q291" s="16"/>
      <c r="R291" s="16"/>
      <c r="S291" s="16"/>
      <c r="T291" s="16"/>
      <c r="U291" s="16"/>
      <c r="V291" s="16"/>
      <c r="W291" s="16"/>
      <c r="X291" s="16"/>
      <c r="Y291" s="16"/>
      <c r="Z291" s="16"/>
      <c r="AA291" s="16"/>
      <c r="AB291" s="16"/>
      <c r="AC291" s="16"/>
      <c r="AD291" s="16"/>
    </row>
    <row r="292" spans="1:30" x14ac:dyDescent="0.2">
      <c r="A292" s="16"/>
      <c r="B292" s="16"/>
      <c r="C292" s="16"/>
      <c r="D292" s="16"/>
      <c r="E292" s="16"/>
      <c r="F292" s="109"/>
      <c r="G292" s="109"/>
      <c r="H292" s="109"/>
      <c r="I292" s="109"/>
      <c r="J292" s="109"/>
      <c r="K292" s="109"/>
      <c r="L292" s="109"/>
      <c r="M292" s="109"/>
      <c r="N292" s="109"/>
      <c r="O292" s="16"/>
      <c r="P292" s="16"/>
      <c r="Q292" s="16"/>
      <c r="R292" s="16"/>
      <c r="S292" s="16"/>
      <c r="T292" s="16"/>
      <c r="U292" s="16"/>
      <c r="V292" s="16"/>
      <c r="W292" s="16"/>
      <c r="X292" s="16"/>
      <c r="Y292" s="16"/>
      <c r="Z292" s="16"/>
      <c r="AA292" s="16"/>
      <c r="AB292" s="16"/>
      <c r="AC292" s="16"/>
      <c r="AD292" s="16"/>
    </row>
    <row r="293" spans="1:30" x14ac:dyDescent="0.2">
      <c r="A293" s="16"/>
      <c r="B293" s="16"/>
      <c r="C293" s="16"/>
      <c r="D293" s="16"/>
      <c r="E293" s="16"/>
      <c r="F293" s="109"/>
      <c r="G293" s="109"/>
      <c r="H293" s="109"/>
      <c r="I293" s="109"/>
      <c r="J293" s="109"/>
      <c r="K293" s="109"/>
      <c r="L293" s="109"/>
      <c r="M293" s="109"/>
      <c r="N293" s="109"/>
      <c r="O293" s="16"/>
      <c r="P293" s="16"/>
      <c r="Q293" s="16"/>
      <c r="R293" s="16"/>
      <c r="S293" s="16"/>
      <c r="T293" s="16"/>
      <c r="U293" s="16"/>
      <c r="V293" s="16"/>
      <c r="W293" s="16"/>
      <c r="X293" s="16"/>
      <c r="Y293" s="16"/>
      <c r="Z293" s="16"/>
      <c r="AA293" s="16"/>
      <c r="AB293" s="16"/>
      <c r="AC293" s="16"/>
      <c r="AD293" s="16"/>
    </row>
    <row r="294" spans="1:30" x14ac:dyDescent="0.2">
      <c r="A294" s="16"/>
      <c r="B294" s="16"/>
      <c r="C294" s="16"/>
      <c r="D294" s="16"/>
      <c r="E294" s="16"/>
      <c r="F294" s="109"/>
      <c r="G294" s="109"/>
      <c r="H294" s="109"/>
      <c r="I294" s="109"/>
      <c r="J294" s="109"/>
      <c r="K294" s="109"/>
      <c r="L294" s="109"/>
      <c r="M294" s="109"/>
      <c r="N294" s="109"/>
      <c r="O294" s="16"/>
      <c r="P294" s="16"/>
      <c r="Q294" s="16"/>
      <c r="R294" s="16"/>
      <c r="S294" s="16"/>
      <c r="T294" s="16"/>
      <c r="U294" s="16"/>
      <c r="V294" s="16"/>
      <c r="W294" s="16"/>
      <c r="X294" s="16"/>
      <c r="Y294" s="16"/>
      <c r="Z294" s="16"/>
      <c r="AA294" s="16"/>
      <c r="AB294" s="16"/>
      <c r="AC294" s="16"/>
      <c r="AD294" s="16"/>
    </row>
    <row r="295" spans="1:30" x14ac:dyDescent="0.2">
      <c r="A295" s="16"/>
      <c r="B295" s="16"/>
      <c r="C295" s="16"/>
      <c r="D295" s="16"/>
      <c r="E295" s="16"/>
      <c r="F295" s="109"/>
      <c r="G295" s="109"/>
      <c r="H295" s="109"/>
      <c r="I295" s="109"/>
      <c r="J295" s="109"/>
      <c r="K295" s="109"/>
      <c r="L295" s="109"/>
      <c r="M295" s="109"/>
      <c r="N295" s="109"/>
      <c r="O295" s="16"/>
      <c r="P295" s="16"/>
      <c r="Q295" s="16"/>
      <c r="R295" s="16"/>
      <c r="S295" s="16"/>
      <c r="T295" s="16"/>
      <c r="U295" s="16"/>
      <c r="V295" s="16"/>
      <c r="W295" s="16"/>
      <c r="X295" s="16"/>
      <c r="Y295" s="16"/>
      <c r="Z295" s="16"/>
      <c r="AA295" s="16"/>
      <c r="AB295" s="16"/>
      <c r="AC295" s="16"/>
      <c r="AD295" s="16"/>
    </row>
    <row r="296" spans="1:30" x14ac:dyDescent="0.2">
      <c r="A296" s="16"/>
      <c r="B296" s="16"/>
      <c r="C296" s="16"/>
      <c r="D296" s="16"/>
      <c r="E296" s="16"/>
      <c r="F296" s="109"/>
      <c r="G296" s="109"/>
      <c r="H296" s="109"/>
      <c r="I296" s="109"/>
      <c r="J296" s="109"/>
      <c r="K296" s="109"/>
      <c r="L296" s="109"/>
      <c r="M296" s="109"/>
      <c r="N296" s="109"/>
      <c r="O296" s="16"/>
      <c r="P296" s="16"/>
      <c r="Q296" s="16"/>
      <c r="R296" s="16"/>
      <c r="S296" s="16"/>
      <c r="T296" s="16"/>
      <c r="U296" s="16"/>
      <c r="V296" s="16"/>
      <c r="W296" s="16"/>
      <c r="X296" s="16"/>
      <c r="Y296" s="16"/>
      <c r="Z296" s="16"/>
      <c r="AA296" s="16"/>
      <c r="AB296" s="16"/>
      <c r="AC296" s="16"/>
      <c r="AD296" s="16"/>
    </row>
    <row r="297" spans="1:30" x14ac:dyDescent="0.2">
      <c r="A297" s="16"/>
      <c r="B297" s="16"/>
      <c r="C297" s="16"/>
      <c r="D297" s="16"/>
      <c r="E297" s="16"/>
      <c r="F297" s="109"/>
      <c r="G297" s="109"/>
      <c r="H297" s="109"/>
      <c r="I297" s="109"/>
      <c r="J297" s="109"/>
      <c r="K297" s="109"/>
      <c r="L297" s="109"/>
      <c r="M297" s="109"/>
      <c r="N297" s="109"/>
      <c r="O297" s="16"/>
      <c r="P297" s="16"/>
      <c r="Q297" s="16"/>
      <c r="R297" s="16"/>
      <c r="S297" s="16"/>
      <c r="T297" s="16"/>
      <c r="U297" s="16"/>
      <c r="V297" s="16"/>
      <c r="W297" s="16"/>
      <c r="X297" s="16"/>
      <c r="Y297" s="16"/>
      <c r="Z297" s="16"/>
      <c r="AA297" s="16"/>
      <c r="AB297" s="16"/>
      <c r="AC297" s="16"/>
      <c r="AD297" s="16"/>
    </row>
    <row r="298" spans="1:30" x14ac:dyDescent="0.2">
      <c r="A298" s="16"/>
      <c r="B298" s="16"/>
      <c r="C298" s="16"/>
      <c r="D298" s="16"/>
      <c r="E298" s="16"/>
      <c r="F298" s="109"/>
      <c r="G298" s="109"/>
      <c r="H298" s="109"/>
      <c r="I298" s="109"/>
      <c r="J298" s="109"/>
      <c r="K298" s="109"/>
      <c r="L298" s="109"/>
      <c r="M298" s="109"/>
      <c r="N298" s="109"/>
      <c r="O298" s="16"/>
      <c r="P298" s="16"/>
      <c r="Q298" s="16"/>
      <c r="R298" s="16"/>
      <c r="S298" s="16"/>
      <c r="T298" s="16"/>
      <c r="U298" s="16"/>
      <c r="V298" s="16"/>
      <c r="W298" s="16"/>
      <c r="X298" s="16"/>
      <c r="Y298" s="16"/>
      <c r="Z298" s="16"/>
      <c r="AA298" s="16"/>
      <c r="AB298" s="16"/>
      <c r="AC298" s="16"/>
      <c r="AD298" s="16"/>
    </row>
    <row r="299" spans="1:30" x14ac:dyDescent="0.2">
      <c r="A299" s="16"/>
      <c r="B299" s="16"/>
      <c r="C299" s="16"/>
      <c r="D299" s="16"/>
      <c r="E299" s="16"/>
      <c r="F299" s="109"/>
      <c r="G299" s="109"/>
      <c r="H299" s="109"/>
      <c r="I299" s="109"/>
      <c r="J299" s="109"/>
      <c r="K299" s="109"/>
      <c r="L299" s="109"/>
      <c r="M299" s="109"/>
      <c r="N299" s="109"/>
      <c r="O299" s="16"/>
      <c r="P299" s="16"/>
      <c r="Q299" s="16"/>
      <c r="R299" s="16"/>
      <c r="S299" s="16"/>
      <c r="T299" s="16"/>
      <c r="U299" s="16"/>
      <c r="V299" s="16"/>
      <c r="W299" s="16"/>
      <c r="X299" s="16"/>
      <c r="Y299" s="16"/>
      <c r="Z299" s="16"/>
      <c r="AA299" s="16"/>
      <c r="AB299" s="16"/>
      <c r="AC299" s="16"/>
      <c r="AD299" s="16"/>
    </row>
    <row r="300" spans="1:30" x14ac:dyDescent="0.2">
      <c r="A300" s="16"/>
      <c r="B300" s="16"/>
      <c r="C300" s="16"/>
      <c r="D300" s="16"/>
      <c r="E300" s="16"/>
      <c r="F300" s="109"/>
      <c r="G300" s="109"/>
      <c r="H300" s="109"/>
      <c r="I300" s="109"/>
      <c r="J300" s="109"/>
      <c r="K300" s="109"/>
      <c r="L300" s="109"/>
      <c r="M300" s="109"/>
      <c r="N300" s="109"/>
      <c r="O300" s="16"/>
      <c r="P300" s="16"/>
      <c r="Q300" s="16"/>
      <c r="R300" s="16"/>
      <c r="S300" s="16"/>
      <c r="T300" s="16"/>
      <c r="U300" s="16"/>
      <c r="V300" s="16"/>
      <c r="W300" s="16"/>
      <c r="X300" s="16"/>
      <c r="Y300" s="16"/>
      <c r="Z300" s="16"/>
      <c r="AA300" s="16"/>
      <c r="AB300" s="16"/>
      <c r="AC300" s="16"/>
      <c r="AD300" s="16"/>
    </row>
    <row r="301" spans="1:30" x14ac:dyDescent="0.2">
      <c r="A301" s="16"/>
      <c r="B301" s="16"/>
      <c r="C301" s="16"/>
      <c r="D301" s="16"/>
      <c r="E301" s="16"/>
      <c r="F301" s="109"/>
      <c r="G301" s="109"/>
      <c r="H301" s="109"/>
      <c r="I301" s="109"/>
      <c r="J301" s="109"/>
      <c r="K301" s="109"/>
      <c r="L301" s="109"/>
      <c r="M301" s="109"/>
      <c r="N301" s="109"/>
      <c r="O301" s="16"/>
      <c r="P301" s="16"/>
      <c r="Q301" s="16"/>
      <c r="R301" s="16"/>
      <c r="S301" s="16"/>
      <c r="T301" s="16"/>
      <c r="U301" s="16"/>
      <c r="V301" s="16"/>
      <c r="W301" s="16"/>
      <c r="X301" s="16"/>
      <c r="Y301" s="16"/>
      <c r="Z301" s="16"/>
      <c r="AA301" s="16"/>
      <c r="AB301" s="16"/>
      <c r="AC301" s="16"/>
      <c r="AD301" s="16"/>
    </row>
    <row r="302" spans="1:30" x14ac:dyDescent="0.2">
      <c r="A302" s="16"/>
      <c r="B302" s="16"/>
      <c r="C302" s="16"/>
      <c r="D302" s="16"/>
      <c r="E302" s="16"/>
      <c r="F302" s="109"/>
      <c r="G302" s="109"/>
      <c r="H302" s="109"/>
      <c r="I302" s="109"/>
      <c r="J302" s="109"/>
      <c r="K302" s="109"/>
      <c r="L302" s="109"/>
      <c r="M302" s="109"/>
      <c r="N302" s="109"/>
      <c r="O302" s="16"/>
      <c r="P302" s="16"/>
      <c r="Q302" s="16"/>
      <c r="R302" s="16"/>
      <c r="S302" s="16"/>
      <c r="T302" s="16"/>
      <c r="U302" s="16"/>
      <c r="V302" s="16"/>
      <c r="W302" s="16"/>
      <c r="X302" s="16"/>
      <c r="Y302" s="16"/>
      <c r="Z302" s="16"/>
      <c r="AA302" s="16"/>
      <c r="AB302" s="16"/>
      <c r="AC302" s="16"/>
      <c r="AD302" s="16"/>
    </row>
    <row r="303" spans="1:30" x14ac:dyDescent="0.2">
      <c r="A303" s="16"/>
      <c r="B303" s="16"/>
      <c r="C303" s="16"/>
      <c r="D303" s="16"/>
      <c r="E303" s="16"/>
      <c r="F303" s="109"/>
      <c r="G303" s="109"/>
      <c r="H303" s="109"/>
      <c r="I303" s="109"/>
      <c r="J303" s="109"/>
      <c r="K303" s="109"/>
      <c r="L303" s="109"/>
      <c r="M303" s="109"/>
      <c r="N303" s="109"/>
      <c r="O303" s="16"/>
      <c r="P303" s="16"/>
      <c r="Q303" s="16"/>
      <c r="R303" s="16"/>
      <c r="S303" s="16"/>
      <c r="T303" s="16"/>
      <c r="U303" s="16"/>
      <c r="V303" s="16"/>
      <c r="W303" s="16"/>
      <c r="X303" s="16"/>
      <c r="Y303" s="16"/>
      <c r="Z303" s="16"/>
      <c r="AA303" s="16"/>
      <c r="AB303" s="16"/>
      <c r="AC303" s="16"/>
      <c r="AD303" s="16"/>
    </row>
    <row r="304" spans="1:30" x14ac:dyDescent="0.2">
      <c r="A304" s="16"/>
      <c r="B304" s="16"/>
      <c r="C304" s="16"/>
      <c r="D304" s="16"/>
      <c r="E304" s="16"/>
      <c r="F304" s="109"/>
      <c r="G304" s="109"/>
      <c r="H304" s="109"/>
      <c r="I304" s="109"/>
      <c r="J304" s="109"/>
      <c r="K304" s="109"/>
      <c r="L304" s="109"/>
      <c r="M304" s="109"/>
      <c r="N304" s="109"/>
      <c r="O304" s="16"/>
      <c r="P304" s="16"/>
      <c r="Q304" s="16"/>
      <c r="R304" s="16"/>
      <c r="S304" s="16"/>
      <c r="T304" s="16"/>
      <c r="U304" s="16"/>
      <c r="V304" s="16"/>
      <c r="W304" s="16"/>
      <c r="X304" s="16"/>
      <c r="Y304" s="16"/>
      <c r="Z304" s="16"/>
      <c r="AA304" s="16"/>
      <c r="AB304" s="16"/>
      <c r="AC304" s="16"/>
      <c r="AD304" s="16"/>
    </row>
    <row r="305" spans="1:30" x14ac:dyDescent="0.2">
      <c r="A305" s="16"/>
      <c r="B305" s="16"/>
      <c r="C305" s="16"/>
      <c r="D305" s="16"/>
      <c r="E305" s="16"/>
      <c r="F305" s="109"/>
      <c r="G305" s="109"/>
      <c r="H305" s="109"/>
      <c r="I305" s="109"/>
      <c r="J305" s="109"/>
      <c r="K305" s="109"/>
      <c r="L305" s="109"/>
      <c r="M305" s="109"/>
      <c r="N305" s="109"/>
      <c r="O305" s="16"/>
      <c r="P305" s="16"/>
      <c r="Q305" s="16"/>
      <c r="R305" s="16"/>
      <c r="S305" s="16"/>
      <c r="T305" s="16"/>
      <c r="U305" s="16"/>
      <c r="V305" s="16"/>
      <c r="W305" s="16"/>
      <c r="X305" s="16"/>
      <c r="Y305" s="16"/>
      <c r="Z305" s="16"/>
      <c r="AA305" s="16"/>
      <c r="AB305" s="16"/>
      <c r="AC305" s="16"/>
      <c r="AD305" s="16"/>
    </row>
    <row r="306" spans="1:30" x14ac:dyDescent="0.2">
      <c r="A306" s="16"/>
      <c r="B306" s="16"/>
      <c r="C306" s="16"/>
      <c r="D306" s="16"/>
      <c r="E306" s="16"/>
      <c r="F306" s="109"/>
      <c r="G306" s="109"/>
      <c r="H306" s="109"/>
      <c r="I306" s="109"/>
      <c r="J306" s="109"/>
      <c r="K306" s="109"/>
      <c r="L306" s="109"/>
      <c r="M306" s="109"/>
      <c r="N306" s="109"/>
      <c r="O306" s="16"/>
      <c r="P306" s="16"/>
      <c r="Q306" s="16"/>
      <c r="R306" s="16"/>
      <c r="S306" s="16"/>
      <c r="T306" s="16"/>
      <c r="U306" s="16"/>
      <c r="V306" s="16"/>
      <c r="W306" s="16"/>
      <c r="X306" s="16"/>
      <c r="Y306" s="16"/>
      <c r="Z306" s="16"/>
      <c r="AA306" s="16"/>
      <c r="AB306" s="16"/>
      <c r="AC306" s="16"/>
      <c r="AD306" s="16"/>
    </row>
    <row r="307" spans="1:30" x14ac:dyDescent="0.2">
      <c r="A307" s="16"/>
      <c r="B307" s="16"/>
      <c r="C307" s="16"/>
      <c r="D307" s="16"/>
      <c r="E307" s="16"/>
      <c r="F307" s="109"/>
      <c r="G307" s="109"/>
      <c r="H307" s="109"/>
      <c r="I307" s="109"/>
      <c r="J307" s="109"/>
      <c r="K307" s="109"/>
      <c r="L307" s="109"/>
      <c r="M307" s="109"/>
      <c r="N307" s="109"/>
      <c r="O307" s="16"/>
      <c r="P307" s="16"/>
      <c r="Q307" s="16"/>
      <c r="R307" s="16"/>
      <c r="S307" s="16"/>
      <c r="T307" s="16"/>
      <c r="U307" s="16"/>
      <c r="V307" s="16"/>
      <c r="W307" s="16"/>
      <c r="X307" s="16"/>
      <c r="Y307" s="16"/>
      <c r="Z307" s="16"/>
      <c r="AA307" s="16"/>
      <c r="AB307" s="16"/>
      <c r="AC307" s="16"/>
      <c r="AD307" s="16"/>
    </row>
    <row r="308" spans="1:30" x14ac:dyDescent="0.2">
      <c r="A308" s="16"/>
      <c r="B308" s="16"/>
      <c r="C308" s="16"/>
      <c r="D308" s="16"/>
      <c r="E308" s="16"/>
      <c r="F308" s="109"/>
      <c r="G308" s="109"/>
      <c r="H308" s="109"/>
      <c r="I308" s="109"/>
      <c r="J308" s="109"/>
      <c r="K308" s="109"/>
      <c r="L308" s="109"/>
      <c r="M308" s="109"/>
      <c r="N308" s="109"/>
      <c r="O308" s="16"/>
      <c r="P308" s="16"/>
      <c r="Q308" s="16"/>
      <c r="R308" s="16"/>
      <c r="S308" s="16"/>
      <c r="T308" s="16"/>
      <c r="U308" s="16"/>
      <c r="V308" s="16"/>
      <c r="W308" s="16"/>
      <c r="X308" s="16"/>
      <c r="Y308" s="16"/>
      <c r="Z308" s="16"/>
      <c r="AA308" s="16"/>
      <c r="AB308" s="16"/>
      <c r="AC308" s="16"/>
      <c r="AD308" s="16"/>
    </row>
    <row r="309" spans="1:30" x14ac:dyDescent="0.2">
      <c r="A309" s="16"/>
      <c r="B309" s="16"/>
      <c r="C309" s="16"/>
      <c r="D309" s="16"/>
      <c r="E309" s="16"/>
      <c r="F309" s="109"/>
      <c r="G309" s="109"/>
      <c r="H309" s="109"/>
      <c r="I309" s="109"/>
      <c r="J309" s="109"/>
      <c r="K309" s="109"/>
      <c r="L309" s="109"/>
      <c r="M309" s="109"/>
      <c r="N309" s="109"/>
      <c r="O309" s="16"/>
      <c r="P309" s="16"/>
      <c r="Q309" s="16"/>
      <c r="R309" s="16"/>
      <c r="S309" s="16"/>
      <c r="T309" s="16"/>
      <c r="U309" s="16"/>
      <c r="V309" s="16"/>
      <c r="W309" s="16"/>
      <c r="X309" s="16"/>
      <c r="Y309" s="16"/>
      <c r="Z309" s="16"/>
      <c r="AA309" s="16"/>
      <c r="AB309" s="16"/>
      <c r="AC309" s="16"/>
      <c r="AD309" s="16"/>
    </row>
    <row r="310" spans="1:30" x14ac:dyDescent="0.2">
      <c r="A310" s="16"/>
      <c r="B310" s="16"/>
      <c r="C310" s="16"/>
      <c r="D310" s="16"/>
      <c r="E310" s="16"/>
      <c r="F310" s="109"/>
      <c r="G310" s="109"/>
      <c r="H310" s="109"/>
      <c r="I310" s="109"/>
      <c r="J310" s="109"/>
      <c r="K310" s="109"/>
      <c r="L310" s="109"/>
      <c r="M310" s="109"/>
      <c r="N310" s="109"/>
      <c r="O310" s="16"/>
      <c r="P310" s="16"/>
      <c r="Q310" s="16"/>
      <c r="R310" s="16"/>
      <c r="S310" s="16"/>
      <c r="T310" s="16"/>
      <c r="U310" s="16"/>
      <c r="V310" s="16"/>
      <c r="W310" s="16"/>
      <c r="X310" s="16"/>
      <c r="Y310" s="16"/>
      <c r="Z310" s="16"/>
      <c r="AA310" s="16"/>
      <c r="AB310" s="16"/>
      <c r="AC310" s="16"/>
      <c r="AD310" s="16"/>
    </row>
    <row r="311" spans="1:30" x14ac:dyDescent="0.2">
      <c r="A311" s="16"/>
      <c r="B311" s="16"/>
      <c r="C311" s="16"/>
      <c r="D311" s="16"/>
      <c r="E311" s="16"/>
      <c r="F311" s="109"/>
      <c r="G311" s="109"/>
      <c r="H311" s="109"/>
      <c r="I311" s="109"/>
      <c r="J311" s="109"/>
      <c r="K311" s="109"/>
      <c r="L311" s="109"/>
      <c r="M311" s="109"/>
      <c r="N311" s="109"/>
      <c r="O311" s="16"/>
      <c r="P311" s="16"/>
      <c r="Q311" s="16"/>
      <c r="R311" s="16"/>
      <c r="S311" s="16"/>
      <c r="T311" s="16"/>
      <c r="U311" s="16"/>
      <c r="V311" s="16"/>
      <c r="W311" s="16"/>
      <c r="X311" s="16"/>
      <c r="Y311" s="16"/>
      <c r="Z311" s="16"/>
      <c r="AA311" s="16"/>
      <c r="AB311" s="16"/>
      <c r="AC311" s="16"/>
      <c r="AD311" s="16"/>
    </row>
    <row r="312" spans="1:30" x14ac:dyDescent="0.2">
      <c r="A312" s="16"/>
      <c r="B312" s="16"/>
      <c r="C312" s="16"/>
      <c r="D312" s="16"/>
      <c r="E312" s="16"/>
      <c r="F312" s="109"/>
      <c r="G312" s="109"/>
      <c r="H312" s="109"/>
      <c r="I312" s="109"/>
      <c r="J312" s="109"/>
      <c r="K312" s="109"/>
      <c r="L312" s="109"/>
      <c r="M312" s="109"/>
      <c r="N312" s="109"/>
      <c r="O312" s="16"/>
      <c r="P312" s="16"/>
      <c r="Q312" s="16"/>
      <c r="R312" s="16"/>
      <c r="S312" s="16"/>
      <c r="T312" s="16"/>
      <c r="U312" s="16"/>
      <c r="V312" s="16"/>
      <c r="W312" s="16"/>
      <c r="X312" s="16"/>
      <c r="Y312" s="16"/>
      <c r="Z312" s="16"/>
      <c r="AA312" s="16"/>
      <c r="AB312" s="16"/>
      <c r="AC312" s="16"/>
      <c r="AD312" s="16"/>
    </row>
    <row r="313" spans="1:30" x14ac:dyDescent="0.2">
      <c r="A313" s="16"/>
      <c r="B313" s="16"/>
      <c r="C313" s="16"/>
      <c r="D313" s="16"/>
      <c r="E313" s="16"/>
      <c r="F313" s="109"/>
      <c r="G313" s="109"/>
      <c r="H313" s="109"/>
      <c r="I313" s="109"/>
      <c r="J313" s="109"/>
      <c r="K313" s="109"/>
      <c r="L313" s="109"/>
      <c r="M313" s="109"/>
      <c r="N313" s="109"/>
      <c r="O313" s="16"/>
      <c r="P313" s="16"/>
      <c r="Q313" s="16"/>
      <c r="R313" s="16"/>
      <c r="S313" s="16"/>
      <c r="T313" s="16"/>
      <c r="U313" s="16"/>
      <c r="V313" s="16"/>
      <c r="W313" s="16"/>
      <c r="X313" s="16"/>
      <c r="Y313" s="16"/>
      <c r="Z313" s="16"/>
      <c r="AA313" s="16"/>
      <c r="AB313" s="16"/>
      <c r="AC313" s="16"/>
      <c r="AD313" s="16"/>
    </row>
    <row r="314" spans="1:30" x14ac:dyDescent="0.2">
      <c r="A314" s="16"/>
      <c r="B314" s="16"/>
      <c r="C314" s="16"/>
      <c r="D314" s="16"/>
      <c r="E314" s="16"/>
      <c r="F314" s="109"/>
      <c r="G314" s="109"/>
      <c r="H314" s="109"/>
      <c r="I314" s="109"/>
      <c r="J314" s="109"/>
      <c r="K314" s="109"/>
      <c r="L314" s="109"/>
      <c r="M314" s="109"/>
      <c r="N314" s="109"/>
      <c r="O314" s="16"/>
      <c r="P314" s="16"/>
      <c r="Q314" s="16"/>
      <c r="R314" s="16"/>
      <c r="S314" s="16"/>
      <c r="T314" s="16"/>
      <c r="U314" s="16"/>
      <c r="V314" s="16"/>
      <c r="W314" s="16"/>
      <c r="X314" s="16"/>
      <c r="Y314" s="16"/>
      <c r="Z314" s="16"/>
      <c r="AA314" s="16"/>
      <c r="AB314" s="16"/>
      <c r="AC314" s="16"/>
      <c r="AD314" s="16"/>
    </row>
    <row r="315" spans="1:30" x14ac:dyDescent="0.2">
      <c r="A315" s="16"/>
      <c r="B315" s="16"/>
      <c r="C315" s="16"/>
      <c r="D315" s="16"/>
      <c r="E315" s="16"/>
      <c r="F315" s="109"/>
      <c r="G315" s="109"/>
      <c r="H315" s="109"/>
      <c r="I315" s="109"/>
      <c r="J315" s="109"/>
      <c r="K315" s="109"/>
      <c r="L315" s="109"/>
      <c r="M315" s="109"/>
      <c r="N315" s="109"/>
      <c r="O315" s="16"/>
      <c r="P315" s="16"/>
      <c r="Q315" s="16"/>
      <c r="R315" s="16"/>
      <c r="S315" s="16"/>
      <c r="T315" s="16"/>
      <c r="U315" s="16"/>
      <c r="V315" s="16"/>
      <c r="W315" s="16"/>
      <c r="X315" s="16"/>
      <c r="Y315" s="16"/>
      <c r="Z315" s="16"/>
      <c r="AA315" s="16"/>
      <c r="AB315" s="16"/>
      <c r="AC315" s="16"/>
      <c r="AD315" s="16"/>
    </row>
    <row r="316" spans="1:30" x14ac:dyDescent="0.2">
      <c r="A316" s="16"/>
      <c r="B316" s="16"/>
      <c r="C316" s="16"/>
      <c r="D316" s="16"/>
      <c r="E316" s="16"/>
      <c r="F316" s="109"/>
      <c r="G316" s="109"/>
      <c r="H316" s="109"/>
      <c r="I316" s="109"/>
      <c r="J316" s="109"/>
      <c r="K316" s="109"/>
      <c r="L316" s="109"/>
      <c r="M316" s="109"/>
      <c r="N316" s="109"/>
      <c r="O316" s="16"/>
      <c r="P316" s="16"/>
      <c r="Q316" s="16"/>
      <c r="R316" s="16"/>
      <c r="S316" s="16"/>
      <c r="T316" s="16"/>
      <c r="U316" s="16"/>
      <c r="V316" s="16"/>
      <c r="W316" s="16"/>
      <c r="X316" s="16"/>
      <c r="Y316" s="16"/>
      <c r="Z316" s="16"/>
      <c r="AA316" s="16"/>
      <c r="AB316" s="16"/>
      <c r="AC316" s="16"/>
      <c r="AD316" s="16"/>
    </row>
    <row r="317" spans="1:30" x14ac:dyDescent="0.2">
      <c r="A317" s="16"/>
      <c r="B317" s="16"/>
      <c r="C317" s="16"/>
      <c r="D317" s="16"/>
      <c r="E317" s="16"/>
      <c r="F317" s="109"/>
      <c r="G317" s="109"/>
      <c r="H317" s="109"/>
      <c r="I317" s="109"/>
      <c r="J317" s="109"/>
      <c r="K317" s="109"/>
      <c r="L317" s="109"/>
      <c r="M317" s="109"/>
      <c r="N317" s="109"/>
      <c r="O317" s="16"/>
      <c r="P317" s="16"/>
      <c r="Q317" s="16"/>
      <c r="R317" s="16"/>
      <c r="S317" s="16"/>
      <c r="T317" s="16"/>
      <c r="U317" s="16"/>
      <c r="V317" s="16"/>
      <c r="W317" s="16"/>
      <c r="X317" s="16"/>
      <c r="Y317" s="16"/>
      <c r="Z317" s="16"/>
      <c r="AA317" s="16"/>
      <c r="AB317" s="16"/>
      <c r="AC317" s="16"/>
      <c r="AD317" s="16"/>
    </row>
    <row r="318" spans="1:30" x14ac:dyDescent="0.2">
      <c r="A318" s="16"/>
      <c r="B318" s="16"/>
      <c r="C318" s="16"/>
      <c r="D318" s="16"/>
      <c r="E318" s="16"/>
      <c r="F318" s="109"/>
      <c r="G318" s="109"/>
      <c r="H318" s="109"/>
      <c r="I318" s="109"/>
      <c r="J318" s="109"/>
      <c r="K318" s="109"/>
      <c r="L318" s="109"/>
      <c r="M318" s="109"/>
      <c r="N318" s="109"/>
      <c r="O318" s="16"/>
      <c r="P318" s="16"/>
      <c r="Q318" s="16"/>
      <c r="R318" s="16"/>
      <c r="S318" s="16"/>
      <c r="T318" s="16"/>
      <c r="U318" s="16"/>
      <c r="V318" s="16"/>
      <c r="W318" s="16"/>
      <c r="X318" s="16"/>
      <c r="Y318" s="16"/>
      <c r="Z318" s="16"/>
      <c r="AA318" s="16"/>
      <c r="AB318" s="16"/>
      <c r="AC318" s="16"/>
      <c r="AD318" s="16"/>
    </row>
    <row r="319" spans="1:30" x14ac:dyDescent="0.2">
      <c r="A319" s="16"/>
      <c r="B319" s="16"/>
      <c r="C319" s="16"/>
      <c r="D319" s="16"/>
      <c r="E319" s="16"/>
      <c r="F319" s="109"/>
      <c r="G319" s="109"/>
      <c r="H319" s="109"/>
      <c r="I319" s="109"/>
      <c r="J319" s="109"/>
      <c r="K319" s="109"/>
      <c r="L319" s="109"/>
      <c r="M319" s="109"/>
      <c r="N319" s="109"/>
      <c r="O319" s="16"/>
      <c r="P319" s="16"/>
      <c r="Q319" s="16"/>
      <c r="R319" s="16"/>
      <c r="S319" s="16"/>
      <c r="T319" s="16"/>
      <c r="U319" s="16"/>
      <c r="V319" s="16"/>
      <c r="W319" s="16"/>
      <c r="X319" s="16"/>
      <c r="Y319" s="16"/>
      <c r="Z319" s="16"/>
      <c r="AA319" s="16"/>
      <c r="AB319" s="16"/>
      <c r="AC319" s="16"/>
      <c r="AD319" s="16"/>
    </row>
    <row r="320" spans="1:30" x14ac:dyDescent="0.2">
      <c r="A320" s="16"/>
      <c r="B320" s="16"/>
      <c r="C320" s="16"/>
      <c r="D320" s="16"/>
      <c r="E320" s="16"/>
      <c r="F320" s="109"/>
      <c r="G320" s="109"/>
      <c r="H320" s="109"/>
      <c r="I320" s="109"/>
      <c r="J320" s="109"/>
      <c r="K320" s="109"/>
      <c r="L320" s="109"/>
      <c r="M320" s="109"/>
      <c r="N320" s="109"/>
      <c r="O320" s="16"/>
      <c r="P320" s="16"/>
      <c r="Q320" s="16"/>
      <c r="R320" s="16"/>
      <c r="S320" s="16"/>
      <c r="T320" s="16"/>
      <c r="U320" s="16"/>
      <c r="V320" s="16"/>
      <c r="W320" s="16"/>
      <c r="X320" s="16"/>
      <c r="Y320" s="16"/>
      <c r="Z320" s="16"/>
      <c r="AA320" s="16"/>
      <c r="AB320" s="16"/>
      <c r="AC320" s="16"/>
      <c r="AD320" s="16"/>
    </row>
    <row r="321" spans="1:30" x14ac:dyDescent="0.2">
      <c r="A321" s="16"/>
      <c r="B321" s="16"/>
      <c r="C321" s="16"/>
      <c r="D321" s="16"/>
      <c r="E321" s="16"/>
      <c r="F321" s="109"/>
      <c r="G321" s="109"/>
      <c r="H321" s="109"/>
      <c r="I321" s="109"/>
      <c r="J321" s="109"/>
      <c r="K321" s="109"/>
      <c r="L321" s="109"/>
      <c r="M321" s="109"/>
      <c r="N321" s="109"/>
      <c r="O321" s="16"/>
      <c r="P321" s="16"/>
      <c r="Q321" s="16"/>
      <c r="R321" s="16"/>
      <c r="S321" s="16"/>
      <c r="T321" s="16"/>
      <c r="U321" s="16"/>
      <c r="V321" s="16"/>
      <c r="W321" s="16"/>
      <c r="X321" s="16"/>
      <c r="Y321" s="16"/>
      <c r="Z321" s="16"/>
      <c r="AA321" s="16"/>
      <c r="AB321" s="16"/>
      <c r="AC321" s="16"/>
      <c r="AD321" s="16"/>
    </row>
    <row r="322" spans="1:30" x14ac:dyDescent="0.2">
      <c r="A322" s="16"/>
      <c r="B322" s="16"/>
      <c r="C322" s="16"/>
      <c r="D322" s="16"/>
      <c r="E322" s="16"/>
      <c r="F322" s="109"/>
      <c r="G322" s="109"/>
      <c r="H322" s="109"/>
      <c r="I322" s="109"/>
      <c r="J322" s="109"/>
      <c r="K322" s="109"/>
      <c r="L322" s="109"/>
      <c r="M322" s="109"/>
      <c r="N322" s="109"/>
      <c r="O322" s="16"/>
      <c r="P322" s="16"/>
      <c r="Q322" s="16"/>
      <c r="R322" s="16"/>
      <c r="S322" s="16"/>
      <c r="T322" s="16"/>
      <c r="U322" s="16"/>
      <c r="V322" s="16"/>
      <c r="W322" s="16"/>
      <c r="X322" s="16"/>
      <c r="Y322" s="16"/>
      <c r="Z322" s="16"/>
      <c r="AA322" s="16"/>
      <c r="AB322" s="16"/>
      <c r="AC322" s="16"/>
      <c r="AD322" s="16"/>
    </row>
    <row r="323" spans="1:30" x14ac:dyDescent="0.2">
      <c r="A323" s="16"/>
      <c r="B323" s="16"/>
      <c r="C323" s="16"/>
      <c r="D323" s="16"/>
      <c r="E323" s="16"/>
      <c r="F323" s="109"/>
      <c r="G323" s="109"/>
      <c r="H323" s="109"/>
      <c r="I323" s="109"/>
      <c r="J323" s="109"/>
      <c r="K323" s="109"/>
      <c r="L323" s="109"/>
      <c r="M323" s="109"/>
      <c r="N323" s="109"/>
      <c r="O323" s="16"/>
      <c r="P323" s="16"/>
      <c r="Q323" s="16"/>
      <c r="R323" s="16"/>
      <c r="S323" s="16"/>
      <c r="T323" s="16"/>
      <c r="U323" s="16"/>
      <c r="V323" s="16"/>
      <c r="W323" s="16"/>
      <c r="X323" s="16"/>
      <c r="Y323" s="16"/>
      <c r="Z323" s="16"/>
      <c r="AA323" s="16"/>
      <c r="AB323" s="16"/>
      <c r="AC323" s="16"/>
      <c r="AD323" s="16"/>
    </row>
    <row r="324" spans="1:30" x14ac:dyDescent="0.2">
      <c r="A324" s="16"/>
      <c r="B324" s="16"/>
      <c r="C324" s="16"/>
      <c r="D324" s="16"/>
      <c r="E324" s="16"/>
      <c r="F324" s="109"/>
      <c r="G324" s="109"/>
      <c r="H324" s="109"/>
      <c r="I324" s="109"/>
      <c r="J324" s="109"/>
      <c r="K324" s="109"/>
      <c r="L324" s="109"/>
      <c r="M324" s="109"/>
      <c r="N324" s="109"/>
      <c r="O324" s="16"/>
      <c r="P324" s="16"/>
      <c r="Q324" s="16"/>
      <c r="R324" s="16"/>
      <c r="S324" s="16"/>
      <c r="T324" s="16"/>
      <c r="U324" s="16"/>
      <c r="V324" s="16"/>
      <c r="W324" s="16"/>
      <c r="X324" s="16"/>
      <c r="Y324" s="16"/>
      <c r="Z324" s="16"/>
      <c r="AA324" s="16"/>
      <c r="AB324" s="16"/>
      <c r="AC324" s="16"/>
      <c r="AD324" s="16"/>
    </row>
    <row r="325" spans="1:30" x14ac:dyDescent="0.2">
      <c r="A325" s="16"/>
      <c r="B325" s="16"/>
      <c r="C325" s="16"/>
      <c r="D325" s="16"/>
      <c r="E325" s="16"/>
      <c r="F325" s="109"/>
      <c r="G325" s="109"/>
      <c r="H325" s="109"/>
      <c r="I325" s="109"/>
      <c r="J325" s="109"/>
      <c r="K325" s="109"/>
      <c r="L325" s="109"/>
      <c r="M325" s="109"/>
      <c r="N325" s="109"/>
      <c r="O325" s="16"/>
      <c r="P325" s="16"/>
      <c r="Q325" s="16"/>
      <c r="R325" s="16"/>
      <c r="S325" s="16"/>
      <c r="T325" s="16"/>
      <c r="U325" s="16"/>
      <c r="V325" s="16"/>
      <c r="W325" s="16"/>
      <c r="X325" s="16"/>
      <c r="Y325" s="16"/>
      <c r="Z325" s="16"/>
      <c r="AA325" s="16"/>
      <c r="AB325" s="16"/>
      <c r="AC325" s="16"/>
      <c r="AD325" s="16"/>
    </row>
    <row r="326" spans="1:30" x14ac:dyDescent="0.2">
      <c r="A326" s="16"/>
      <c r="B326" s="16"/>
      <c r="C326" s="16"/>
      <c r="D326" s="16"/>
      <c r="E326" s="16"/>
      <c r="F326" s="109"/>
      <c r="G326" s="109"/>
      <c r="H326" s="109"/>
      <c r="I326" s="109"/>
      <c r="J326" s="109"/>
      <c r="K326" s="109"/>
      <c r="L326" s="109"/>
      <c r="M326" s="109"/>
      <c r="N326" s="109"/>
      <c r="O326" s="16"/>
      <c r="P326" s="16"/>
      <c r="Q326" s="16"/>
      <c r="R326" s="16"/>
      <c r="S326" s="16"/>
      <c r="T326" s="16"/>
      <c r="U326" s="16"/>
      <c r="V326" s="16"/>
      <c r="W326" s="16"/>
      <c r="X326" s="16"/>
      <c r="Y326" s="16"/>
      <c r="Z326" s="16"/>
      <c r="AA326" s="16"/>
      <c r="AB326" s="16"/>
      <c r="AC326" s="16"/>
      <c r="AD326" s="16"/>
    </row>
    <row r="327" spans="1:30" x14ac:dyDescent="0.2">
      <c r="A327" s="16"/>
      <c r="B327" s="16"/>
      <c r="C327" s="16"/>
      <c r="D327" s="16"/>
      <c r="E327" s="16"/>
      <c r="F327" s="109"/>
      <c r="G327" s="109"/>
      <c r="H327" s="109"/>
      <c r="I327" s="109"/>
      <c r="J327" s="109"/>
      <c r="K327" s="109"/>
      <c r="L327" s="109"/>
      <c r="M327" s="109"/>
      <c r="N327" s="109"/>
      <c r="O327" s="16"/>
      <c r="P327" s="16"/>
      <c r="Q327" s="16"/>
      <c r="R327" s="16"/>
      <c r="S327" s="16"/>
      <c r="T327" s="16"/>
      <c r="U327" s="16"/>
      <c r="V327" s="16"/>
      <c r="W327" s="16"/>
      <c r="X327" s="16"/>
      <c r="Y327" s="16"/>
      <c r="Z327" s="16"/>
      <c r="AA327" s="16"/>
      <c r="AB327" s="16"/>
      <c r="AC327" s="16"/>
      <c r="AD327" s="16"/>
    </row>
    <row r="328" spans="1:30" x14ac:dyDescent="0.2">
      <c r="A328" s="16"/>
      <c r="B328" s="16"/>
      <c r="C328" s="16"/>
      <c r="D328" s="16"/>
      <c r="E328" s="16"/>
      <c r="F328" s="109"/>
      <c r="G328" s="109"/>
      <c r="H328" s="109"/>
      <c r="I328" s="109"/>
      <c r="J328" s="109"/>
      <c r="K328" s="109"/>
      <c r="L328" s="109"/>
      <c r="M328" s="109"/>
      <c r="N328" s="109"/>
      <c r="O328" s="16"/>
      <c r="P328" s="16"/>
      <c r="Q328" s="16"/>
      <c r="R328" s="16"/>
      <c r="S328" s="16"/>
      <c r="T328" s="16"/>
      <c r="U328" s="16"/>
      <c r="V328" s="16"/>
      <c r="W328" s="16"/>
      <c r="X328" s="16"/>
      <c r="Y328" s="16"/>
      <c r="Z328" s="16"/>
      <c r="AA328" s="16"/>
      <c r="AB328" s="16"/>
      <c r="AC328" s="16"/>
      <c r="AD328" s="16"/>
    </row>
    <row r="329" spans="1:30" x14ac:dyDescent="0.2">
      <c r="A329" s="16"/>
      <c r="B329" s="16"/>
      <c r="C329" s="16"/>
      <c r="D329" s="16"/>
      <c r="E329" s="16"/>
      <c r="F329" s="109"/>
      <c r="G329" s="109"/>
      <c r="H329" s="109"/>
      <c r="I329" s="109"/>
      <c r="J329" s="109"/>
      <c r="K329" s="109"/>
      <c r="L329" s="109"/>
      <c r="M329" s="109"/>
      <c r="N329" s="109"/>
      <c r="O329" s="16"/>
      <c r="P329" s="16"/>
      <c r="Q329" s="16"/>
      <c r="R329" s="16"/>
      <c r="S329" s="16"/>
      <c r="T329" s="16"/>
      <c r="U329" s="16"/>
      <c r="V329" s="16"/>
      <c r="W329" s="16"/>
      <c r="X329" s="16"/>
      <c r="Y329" s="16"/>
      <c r="Z329" s="16"/>
      <c r="AA329" s="16"/>
      <c r="AB329" s="16"/>
      <c r="AC329" s="16"/>
      <c r="AD329" s="16"/>
    </row>
    <row r="330" spans="1:30" x14ac:dyDescent="0.2">
      <c r="A330" s="16"/>
      <c r="B330" s="16"/>
      <c r="C330" s="16"/>
      <c r="D330" s="16"/>
      <c r="E330" s="16"/>
      <c r="F330" s="109"/>
      <c r="G330" s="109"/>
      <c r="H330" s="109"/>
      <c r="I330" s="109"/>
      <c r="J330" s="109"/>
      <c r="K330" s="109"/>
      <c r="L330" s="109"/>
      <c r="M330" s="109"/>
      <c r="N330" s="109"/>
      <c r="O330" s="16"/>
      <c r="P330" s="16"/>
      <c r="Q330" s="16"/>
      <c r="R330" s="16"/>
      <c r="S330" s="16"/>
      <c r="T330" s="16"/>
      <c r="U330" s="16"/>
      <c r="V330" s="16"/>
      <c r="W330" s="16"/>
      <c r="X330" s="16"/>
      <c r="Y330" s="16"/>
      <c r="Z330" s="16"/>
      <c r="AA330" s="16"/>
      <c r="AB330" s="16"/>
      <c r="AC330" s="16"/>
      <c r="AD330" s="16"/>
    </row>
    <row r="331" spans="1:30" x14ac:dyDescent="0.2">
      <c r="A331" s="16"/>
      <c r="B331" s="16"/>
      <c r="C331" s="16"/>
      <c r="D331" s="16"/>
      <c r="E331" s="16"/>
      <c r="F331" s="109"/>
      <c r="G331" s="109"/>
      <c r="H331" s="109"/>
      <c r="I331" s="109"/>
      <c r="J331" s="109"/>
      <c r="K331" s="109"/>
      <c r="L331" s="109"/>
      <c r="M331" s="109"/>
      <c r="N331" s="109"/>
      <c r="O331" s="16"/>
      <c r="P331" s="16"/>
      <c r="Q331" s="16"/>
      <c r="R331" s="16"/>
      <c r="S331" s="16"/>
      <c r="T331" s="16"/>
      <c r="U331" s="16"/>
      <c r="V331" s="16"/>
      <c r="W331" s="16"/>
      <c r="X331" s="16"/>
      <c r="Y331" s="16"/>
      <c r="Z331" s="16"/>
      <c r="AA331" s="16"/>
      <c r="AB331" s="16"/>
      <c r="AC331" s="16"/>
      <c r="AD331" s="16"/>
    </row>
    <row r="332" spans="1:30" x14ac:dyDescent="0.2">
      <c r="A332" s="16"/>
      <c r="B332" s="16"/>
      <c r="C332" s="16"/>
      <c r="D332" s="16"/>
      <c r="E332" s="16"/>
      <c r="F332" s="109"/>
      <c r="G332" s="109"/>
      <c r="H332" s="109"/>
      <c r="I332" s="109"/>
      <c r="J332" s="109"/>
      <c r="K332" s="109"/>
      <c r="L332" s="109"/>
      <c r="M332" s="109"/>
      <c r="N332" s="109"/>
      <c r="O332" s="16"/>
      <c r="P332" s="16"/>
      <c r="Q332" s="16"/>
      <c r="R332" s="16"/>
      <c r="S332" s="16"/>
      <c r="T332" s="16"/>
      <c r="U332" s="16"/>
      <c r="V332" s="16"/>
      <c r="W332" s="16"/>
      <c r="X332" s="16"/>
      <c r="Y332" s="16"/>
      <c r="Z332" s="16"/>
      <c r="AA332" s="16"/>
      <c r="AB332" s="16"/>
      <c r="AC332" s="16"/>
      <c r="AD332" s="16"/>
    </row>
    <row r="333" spans="1:30" x14ac:dyDescent="0.2">
      <c r="A333" s="16"/>
      <c r="B333" s="16"/>
      <c r="C333" s="16"/>
      <c r="D333" s="16"/>
      <c r="E333" s="16"/>
      <c r="F333" s="109"/>
      <c r="G333" s="109"/>
      <c r="H333" s="109"/>
      <c r="I333" s="109"/>
      <c r="J333" s="109"/>
      <c r="K333" s="109"/>
      <c r="L333" s="109"/>
      <c r="M333" s="109"/>
      <c r="N333" s="109"/>
      <c r="O333" s="16"/>
      <c r="P333" s="16"/>
      <c r="Q333" s="16"/>
      <c r="R333" s="16"/>
      <c r="S333" s="16"/>
      <c r="T333" s="16"/>
      <c r="U333" s="16"/>
      <c r="V333" s="16"/>
      <c r="W333" s="16"/>
      <c r="X333" s="16"/>
      <c r="Y333" s="16"/>
      <c r="Z333" s="16"/>
      <c r="AA333" s="16"/>
      <c r="AB333" s="16"/>
      <c r="AC333" s="16"/>
      <c r="AD333" s="16"/>
    </row>
    <row r="334" spans="1:30" x14ac:dyDescent="0.2">
      <c r="A334" s="16"/>
      <c r="B334" s="16"/>
      <c r="C334" s="16"/>
      <c r="D334" s="16"/>
      <c r="E334" s="16"/>
      <c r="F334" s="109"/>
      <c r="G334" s="109"/>
      <c r="H334" s="109"/>
      <c r="I334" s="109"/>
      <c r="J334" s="109"/>
      <c r="K334" s="109"/>
      <c r="L334" s="109"/>
      <c r="M334" s="109"/>
      <c r="N334" s="109"/>
      <c r="O334" s="16"/>
      <c r="P334" s="16"/>
      <c r="Q334" s="16"/>
      <c r="R334" s="16"/>
      <c r="S334" s="16"/>
      <c r="T334" s="16"/>
      <c r="U334" s="16"/>
      <c r="V334" s="16"/>
      <c r="W334" s="16"/>
      <c r="X334" s="16"/>
      <c r="Y334" s="16"/>
      <c r="Z334" s="16"/>
      <c r="AA334" s="16"/>
      <c r="AB334" s="16"/>
      <c r="AC334" s="16"/>
      <c r="AD334" s="16"/>
    </row>
    <row r="335" spans="1:30" x14ac:dyDescent="0.2">
      <c r="A335" s="16"/>
      <c r="B335" s="16"/>
      <c r="C335" s="16"/>
      <c r="D335" s="16"/>
      <c r="E335" s="16"/>
      <c r="F335" s="109"/>
      <c r="G335" s="109"/>
      <c r="H335" s="109"/>
      <c r="I335" s="109"/>
      <c r="J335" s="109"/>
      <c r="K335" s="109"/>
      <c r="L335" s="109"/>
      <c r="M335" s="109"/>
      <c r="N335" s="109"/>
      <c r="O335" s="16"/>
      <c r="P335" s="16"/>
      <c r="Q335" s="16"/>
      <c r="R335" s="16"/>
      <c r="S335" s="16"/>
      <c r="T335" s="16"/>
      <c r="U335" s="16"/>
      <c r="V335" s="16"/>
      <c r="W335" s="16"/>
      <c r="X335" s="16"/>
      <c r="Y335" s="16"/>
      <c r="Z335" s="16"/>
      <c r="AA335" s="16"/>
      <c r="AB335" s="16"/>
      <c r="AC335" s="16"/>
      <c r="AD335" s="16"/>
    </row>
    <row r="336" spans="1:30" x14ac:dyDescent="0.2">
      <c r="A336" s="16"/>
      <c r="B336" s="16"/>
      <c r="C336" s="16"/>
      <c r="D336" s="16"/>
      <c r="E336" s="16"/>
      <c r="F336" s="109"/>
      <c r="G336" s="109"/>
      <c r="H336" s="109"/>
      <c r="I336" s="109"/>
      <c r="J336" s="109"/>
      <c r="K336" s="109"/>
      <c r="L336" s="109"/>
      <c r="M336" s="109"/>
      <c r="N336" s="109"/>
      <c r="O336" s="16"/>
      <c r="P336" s="16"/>
      <c r="Q336" s="16"/>
      <c r="R336" s="16"/>
      <c r="S336" s="16"/>
      <c r="T336" s="16"/>
      <c r="U336" s="16"/>
      <c r="V336" s="16"/>
      <c r="W336" s="16"/>
      <c r="X336" s="16"/>
      <c r="Y336" s="16"/>
      <c r="Z336" s="16"/>
      <c r="AA336" s="16"/>
      <c r="AB336" s="16"/>
      <c r="AC336" s="16"/>
      <c r="AD336" s="16"/>
    </row>
    <row r="337" spans="1:30" x14ac:dyDescent="0.2">
      <c r="A337" s="16"/>
      <c r="B337" s="16"/>
      <c r="C337" s="16"/>
      <c r="D337" s="16"/>
      <c r="E337" s="16"/>
      <c r="F337" s="109"/>
      <c r="G337" s="109"/>
      <c r="H337" s="109"/>
      <c r="I337" s="109"/>
      <c r="J337" s="109"/>
      <c r="K337" s="109"/>
      <c r="L337" s="109"/>
      <c r="M337" s="109"/>
      <c r="N337" s="109"/>
      <c r="O337" s="16"/>
      <c r="P337" s="16"/>
      <c r="Q337" s="16"/>
      <c r="R337" s="16"/>
      <c r="S337" s="16"/>
      <c r="T337" s="16"/>
      <c r="U337" s="16"/>
      <c r="V337" s="16"/>
      <c r="W337" s="16"/>
      <c r="X337" s="16"/>
      <c r="Y337" s="16"/>
      <c r="Z337" s="16"/>
      <c r="AA337" s="16"/>
      <c r="AB337" s="16"/>
      <c r="AC337" s="16"/>
      <c r="AD337" s="16"/>
    </row>
    <row r="338" spans="1:30" x14ac:dyDescent="0.2">
      <c r="A338" s="16"/>
      <c r="B338" s="16"/>
      <c r="C338" s="16"/>
      <c r="D338" s="16"/>
      <c r="E338" s="16"/>
      <c r="F338" s="109"/>
      <c r="G338" s="109"/>
      <c r="H338" s="109"/>
      <c r="I338" s="109"/>
      <c r="J338" s="109"/>
      <c r="K338" s="109"/>
      <c r="L338" s="109"/>
      <c r="M338" s="109"/>
      <c r="N338" s="109"/>
      <c r="O338" s="16"/>
      <c r="P338" s="16"/>
      <c r="Q338" s="16"/>
      <c r="R338" s="16"/>
      <c r="S338" s="16"/>
      <c r="T338" s="16"/>
      <c r="U338" s="16"/>
      <c r="V338" s="16"/>
      <c r="W338" s="16"/>
      <c r="X338" s="16"/>
      <c r="Y338" s="16"/>
      <c r="Z338" s="16"/>
      <c r="AA338" s="16"/>
      <c r="AB338" s="16"/>
      <c r="AC338" s="16"/>
      <c r="AD338" s="16"/>
    </row>
    <row r="339" spans="1:30" x14ac:dyDescent="0.2">
      <c r="A339" s="16"/>
      <c r="B339" s="16"/>
      <c r="C339" s="16"/>
      <c r="D339" s="16"/>
      <c r="E339" s="16"/>
      <c r="F339" s="109"/>
      <c r="G339" s="109"/>
      <c r="H339" s="109"/>
      <c r="I339" s="109"/>
      <c r="J339" s="109"/>
      <c r="K339" s="109"/>
      <c r="L339" s="109"/>
      <c r="M339" s="109"/>
      <c r="N339" s="109"/>
      <c r="O339" s="16"/>
      <c r="P339" s="16"/>
      <c r="Q339" s="16"/>
      <c r="R339" s="16"/>
      <c r="S339" s="16"/>
      <c r="T339" s="16"/>
      <c r="U339" s="16"/>
      <c r="V339" s="16"/>
      <c r="W339" s="16"/>
      <c r="X339" s="16"/>
      <c r="Y339" s="16"/>
      <c r="Z339" s="16"/>
      <c r="AA339" s="16"/>
      <c r="AB339" s="16"/>
      <c r="AC339" s="16"/>
      <c r="AD339" s="16"/>
    </row>
    <row r="340" spans="1:30" x14ac:dyDescent="0.2">
      <c r="A340" s="16"/>
      <c r="B340" s="16"/>
      <c r="C340" s="16"/>
      <c r="D340" s="16"/>
      <c r="E340" s="16"/>
      <c r="F340" s="109"/>
      <c r="G340" s="109"/>
      <c r="H340" s="109"/>
      <c r="I340" s="109"/>
      <c r="J340" s="109"/>
      <c r="K340" s="109"/>
      <c r="L340" s="109"/>
      <c r="M340" s="109"/>
      <c r="N340" s="109"/>
      <c r="O340" s="16"/>
      <c r="P340" s="16"/>
      <c r="Q340" s="16"/>
      <c r="R340" s="16"/>
      <c r="S340" s="16"/>
      <c r="T340" s="16"/>
      <c r="U340" s="16"/>
      <c r="V340" s="16"/>
      <c r="W340" s="16"/>
      <c r="X340" s="16"/>
      <c r="Y340" s="16"/>
      <c r="Z340" s="16"/>
      <c r="AA340" s="16"/>
      <c r="AB340" s="16"/>
      <c r="AC340" s="16"/>
      <c r="AD340" s="16"/>
    </row>
    <row r="341" spans="1:30" x14ac:dyDescent="0.2">
      <c r="A341" s="16"/>
      <c r="B341" s="16"/>
      <c r="C341" s="16"/>
      <c r="D341" s="16"/>
      <c r="E341" s="16"/>
      <c r="F341" s="109"/>
      <c r="G341" s="109"/>
      <c r="H341" s="109"/>
      <c r="I341" s="109"/>
      <c r="J341" s="109"/>
      <c r="K341" s="109"/>
      <c r="L341" s="109"/>
      <c r="M341" s="109"/>
      <c r="N341" s="109"/>
      <c r="O341" s="16"/>
      <c r="P341" s="16"/>
      <c r="Q341" s="16"/>
      <c r="R341" s="16"/>
      <c r="S341" s="16"/>
      <c r="T341" s="16"/>
      <c r="U341" s="16"/>
      <c r="V341" s="16"/>
      <c r="W341" s="16"/>
      <c r="X341" s="16"/>
      <c r="Y341" s="16"/>
      <c r="Z341" s="16"/>
      <c r="AA341" s="16"/>
      <c r="AB341" s="16"/>
      <c r="AC341" s="16"/>
      <c r="AD341" s="16"/>
    </row>
    <row r="342" spans="1:30" x14ac:dyDescent="0.2">
      <c r="A342" s="16"/>
      <c r="B342" s="16"/>
      <c r="C342" s="16"/>
      <c r="D342" s="16"/>
      <c r="E342" s="16"/>
      <c r="F342" s="109"/>
      <c r="G342" s="109"/>
      <c r="H342" s="109"/>
      <c r="I342" s="109"/>
      <c r="J342" s="109"/>
      <c r="K342" s="109"/>
      <c r="L342" s="109"/>
      <c r="M342" s="109"/>
      <c r="N342" s="109"/>
      <c r="O342" s="16"/>
      <c r="P342" s="16"/>
      <c r="Q342" s="16"/>
      <c r="R342" s="16"/>
      <c r="S342" s="16"/>
      <c r="T342" s="16"/>
      <c r="U342" s="16"/>
      <c r="V342" s="16"/>
      <c r="W342" s="16"/>
      <c r="X342" s="16"/>
      <c r="Y342" s="16"/>
      <c r="Z342" s="16"/>
      <c r="AA342" s="16"/>
      <c r="AB342" s="16"/>
      <c r="AC342" s="16"/>
      <c r="AD342" s="16"/>
    </row>
    <row r="343" spans="1:30" x14ac:dyDescent="0.2">
      <c r="A343" s="16"/>
      <c r="B343" s="16"/>
      <c r="C343" s="16"/>
      <c r="D343" s="16"/>
      <c r="E343" s="16"/>
      <c r="F343" s="109"/>
      <c r="G343" s="109"/>
      <c r="H343" s="109"/>
      <c r="I343" s="109"/>
      <c r="J343" s="109"/>
      <c r="K343" s="109"/>
      <c r="L343" s="109"/>
      <c r="M343" s="109"/>
      <c r="N343" s="109"/>
      <c r="O343" s="16"/>
      <c r="P343" s="16"/>
      <c r="Q343" s="16"/>
      <c r="R343" s="16"/>
      <c r="S343" s="16"/>
      <c r="T343" s="16"/>
      <c r="U343" s="16"/>
      <c r="V343" s="16"/>
      <c r="W343" s="16"/>
      <c r="X343" s="16"/>
      <c r="Y343" s="16"/>
      <c r="Z343" s="16"/>
      <c r="AA343" s="16"/>
      <c r="AB343" s="16"/>
      <c r="AC343" s="16"/>
      <c r="AD343" s="16"/>
    </row>
    <row r="344" spans="1:30" x14ac:dyDescent="0.2">
      <c r="A344" s="16"/>
      <c r="B344" s="16"/>
      <c r="C344" s="16"/>
      <c r="D344" s="16"/>
      <c r="E344" s="16"/>
      <c r="F344" s="109"/>
      <c r="G344" s="109"/>
      <c r="H344" s="109"/>
      <c r="I344" s="109"/>
      <c r="J344" s="109"/>
      <c r="K344" s="109"/>
      <c r="L344" s="109"/>
      <c r="M344" s="109"/>
      <c r="N344" s="109"/>
      <c r="O344" s="16"/>
      <c r="P344" s="16"/>
      <c r="Q344" s="16"/>
      <c r="R344" s="16"/>
      <c r="S344" s="16"/>
      <c r="T344" s="16"/>
      <c r="U344" s="16"/>
      <c r="V344" s="16"/>
      <c r="W344" s="16"/>
      <c r="X344" s="16"/>
      <c r="Y344" s="16"/>
      <c r="Z344" s="16"/>
      <c r="AA344" s="16"/>
      <c r="AB344" s="16"/>
      <c r="AC344" s="16"/>
      <c r="AD344" s="16"/>
    </row>
    <row r="345" spans="1:30" x14ac:dyDescent="0.2">
      <c r="A345" s="16"/>
      <c r="B345" s="16"/>
      <c r="C345" s="16"/>
      <c r="D345" s="16"/>
      <c r="E345" s="16"/>
      <c r="F345" s="109"/>
      <c r="G345" s="109"/>
      <c r="H345" s="109"/>
      <c r="I345" s="109"/>
      <c r="J345" s="109"/>
      <c r="K345" s="109"/>
      <c r="L345" s="109"/>
      <c r="M345" s="109"/>
      <c r="N345" s="109"/>
      <c r="O345" s="16"/>
      <c r="P345" s="16"/>
      <c r="Q345" s="16"/>
      <c r="R345" s="16"/>
      <c r="S345" s="16"/>
      <c r="T345" s="16"/>
      <c r="U345" s="16"/>
      <c r="V345" s="16"/>
      <c r="W345" s="16"/>
      <c r="X345" s="16"/>
      <c r="Y345" s="16"/>
      <c r="Z345" s="16"/>
      <c r="AA345" s="16"/>
      <c r="AB345" s="16"/>
      <c r="AC345" s="16"/>
      <c r="AD345" s="16"/>
    </row>
    <row r="346" spans="1:30" x14ac:dyDescent="0.2">
      <c r="A346" s="16"/>
      <c r="B346" s="16"/>
      <c r="C346" s="16"/>
      <c r="D346" s="16"/>
      <c r="E346" s="16"/>
      <c r="F346" s="109"/>
      <c r="G346" s="109"/>
      <c r="H346" s="109"/>
      <c r="I346" s="109"/>
      <c r="J346" s="109"/>
      <c r="K346" s="109"/>
      <c r="L346" s="109"/>
      <c r="M346" s="109"/>
      <c r="N346" s="109"/>
      <c r="O346" s="16"/>
      <c r="P346" s="16"/>
      <c r="Q346" s="16"/>
      <c r="R346" s="16"/>
      <c r="S346" s="16"/>
      <c r="T346" s="16"/>
      <c r="U346" s="16"/>
      <c r="V346" s="16"/>
      <c r="W346" s="16"/>
      <c r="X346" s="16"/>
      <c r="Y346" s="16"/>
      <c r="Z346" s="16"/>
      <c r="AA346" s="16"/>
      <c r="AB346" s="16"/>
      <c r="AC346" s="16"/>
      <c r="AD346" s="16"/>
    </row>
    <row r="347" spans="1:30" x14ac:dyDescent="0.2">
      <c r="A347" s="16"/>
      <c r="B347" s="16"/>
      <c r="C347" s="16"/>
      <c r="D347" s="16"/>
      <c r="E347" s="16"/>
      <c r="F347" s="109"/>
      <c r="G347" s="109"/>
      <c r="H347" s="109"/>
      <c r="I347" s="109"/>
      <c r="J347" s="109"/>
      <c r="K347" s="109"/>
      <c r="L347" s="109"/>
      <c r="M347" s="109"/>
      <c r="N347" s="109"/>
      <c r="O347" s="16"/>
      <c r="P347" s="16"/>
      <c r="Q347" s="16"/>
      <c r="R347" s="16"/>
      <c r="S347" s="16"/>
      <c r="T347" s="16"/>
      <c r="U347" s="16"/>
      <c r="V347" s="16"/>
      <c r="W347" s="16"/>
      <c r="X347" s="16"/>
      <c r="Y347" s="16"/>
      <c r="Z347" s="16"/>
      <c r="AA347" s="16"/>
      <c r="AB347" s="16"/>
      <c r="AC347" s="16"/>
      <c r="AD347" s="16"/>
    </row>
    <row r="348" spans="1:30" x14ac:dyDescent="0.2">
      <c r="A348" s="16"/>
      <c r="B348" s="16"/>
      <c r="C348" s="16"/>
      <c r="D348" s="16"/>
      <c r="E348" s="16"/>
      <c r="F348" s="109"/>
      <c r="G348" s="109"/>
      <c r="H348" s="109"/>
      <c r="I348" s="109"/>
      <c r="J348" s="109"/>
      <c r="K348" s="109"/>
      <c r="L348" s="109"/>
      <c r="M348" s="109"/>
      <c r="N348" s="109"/>
      <c r="O348" s="16"/>
      <c r="P348" s="16"/>
      <c r="Q348" s="16"/>
      <c r="R348" s="16"/>
      <c r="S348" s="16"/>
      <c r="T348" s="16"/>
      <c r="U348" s="16"/>
      <c r="V348" s="16"/>
      <c r="W348" s="16"/>
      <c r="X348" s="16"/>
      <c r="Y348" s="16"/>
      <c r="Z348" s="16"/>
      <c r="AA348" s="16"/>
      <c r="AB348" s="16"/>
      <c r="AC348" s="16"/>
      <c r="AD348" s="16"/>
    </row>
    <row r="349" spans="1:30" x14ac:dyDescent="0.2">
      <c r="A349" s="16"/>
      <c r="B349" s="16"/>
      <c r="C349" s="16"/>
      <c r="D349" s="16"/>
      <c r="E349" s="16"/>
      <c r="F349" s="109"/>
      <c r="G349" s="109"/>
      <c r="H349" s="109"/>
      <c r="I349" s="109"/>
      <c r="J349" s="109"/>
      <c r="K349" s="109"/>
      <c r="L349" s="109"/>
      <c r="M349" s="109"/>
      <c r="N349" s="109"/>
      <c r="O349" s="16"/>
      <c r="P349" s="16"/>
      <c r="Q349" s="16"/>
      <c r="R349" s="16"/>
      <c r="S349" s="16"/>
      <c r="T349" s="16"/>
      <c r="U349" s="16"/>
      <c r="V349" s="16"/>
      <c r="W349" s="16"/>
      <c r="X349" s="16"/>
      <c r="Y349" s="16"/>
      <c r="Z349" s="16"/>
      <c r="AA349" s="16"/>
      <c r="AB349" s="16"/>
      <c r="AC349" s="16"/>
      <c r="AD349" s="16"/>
    </row>
    <row r="350" spans="1:30" x14ac:dyDescent="0.2">
      <c r="A350" s="16"/>
      <c r="B350" s="16"/>
      <c r="C350" s="16"/>
      <c r="D350" s="16"/>
      <c r="E350" s="16"/>
      <c r="F350" s="109"/>
      <c r="G350" s="109"/>
      <c r="H350" s="109"/>
      <c r="I350" s="109"/>
      <c r="J350" s="109"/>
      <c r="K350" s="109"/>
      <c r="L350" s="109"/>
      <c r="M350" s="109"/>
      <c r="N350" s="109"/>
      <c r="O350" s="16"/>
      <c r="P350" s="16"/>
      <c r="Q350" s="16"/>
      <c r="R350" s="16"/>
      <c r="S350" s="16"/>
      <c r="T350" s="16"/>
      <c r="U350" s="16"/>
      <c r="V350" s="16"/>
      <c r="W350" s="16"/>
      <c r="X350" s="16"/>
      <c r="Y350" s="16"/>
      <c r="Z350" s="16"/>
      <c r="AA350" s="16"/>
      <c r="AB350" s="16"/>
      <c r="AC350" s="16"/>
      <c r="AD350" s="16"/>
    </row>
    <row r="351" spans="1:30" x14ac:dyDescent="0.2">
      <c r="A351" s="16"/>
      <c r="B351" s="16"/>
      <c r="C351" s="16"/>
      <c r="D351" s="16"/>
      <c r="E351" s="16"/>
      <c r="F351" s="109"/>
      <c r="G351" s="109"/>
      <c r="H351" s="109"/>
      <c r="I351" s="109"/>
      <c r="J351" s="109"/>
      <c r="K351" s="109"/>
      <c r="L351" s="109"/>
      <c r="M351" s="109"/>
      <c r="N351" s="109"/>
      <c r="O351" s="16"/>
      <c r="P351" s="16"/>
      <c r="Q351" s="16"/>
      <c r="R351" s="16"/>
      <c r="S351" s="16"/>
      <c r="T351" s="16"/>
      <c r="U351" s="16"/>
      <c r="V351" s="16"/>
      <c r="W351" s="16"/>
      <c r="X351" s="16"/>
      <c r="Y351" s="16"/>
      <c r="Z351" s="16"/>
      <c r="AA351" s="16"/>
      <c r="AB351" s="16"/>
      <c r="AC351" s="16"/>
      <c r="AD351" s="16"/>
    </row>
    <row r="352" spans="1:30" x14ac:dyDescent="0.2">
      <c r="A352" s="16"/>
      <c r="B352" s="16"/>
      <c r="C352" s="16"/>
      <c r="D352" s="16"/>
      <c r="E352" s="16"/>
      <c r="F352" s="109"/>
      <c r="G352" s="109"/>
      <c r="H352" s="109"/>
      <c r="I352" s="109"/>
      <c r="J352" s="109"/>
      <c r="K352" s="109"/>
      <c r="L352" s="109"/>
      <c r="M352" s="109"/>
      <c r="N352" s="109"/>
      <c r="O352" s="16"/>
      <c r="P352" s="16"/>
      <c r="Q352" s="16"/>
      <c r="R352" s="16"/>
      <c r="S352" s="16"/>
      <c r="T352" s="16"/>
      <c r="U352" s="16"/>
      <c r="V352" s="16"/>
      <c r="W352" s="16"/>
      <c r="X352" s="16"/>
      <c r="Y352" s="16"/>
      <c r="Z352" s="16"/>
      <c r="AA352" s="16"/>
      <c r="AB352" s="16"/>
      <c r="AC352" s="16"/>
      <c r="AD352" s="16"/>
    </row>
    <row r="353" spans="1:30" x14ac:dyDescent="0.2">
      <c r="A353" s="16"/>
      <c r="B353" s="16"/>
      <c r="C353" s="16"/>
      <c r="D353" s="16"/>
      <c r="E353" s="16"/>
      <c r="F353" s="109"/>
      <c r="G353" s="109"/>
      <c r="H353" s="109"/>
      <c r="I353" s="109"/>
      <c r="J353" s="109"/>
      <c r="K353" s="109"/>
      <c r="L353" s="109"/>
      <c r="M353" s="109"/>
      <c r="N353" s="109"/>
      <c r="O353" s="16"/>
      <c r="P353" s="16"/>
      <c r="Q353" s="16"/>
      <c r="R353" s="16"/>
      <c r="S353" s="16"/>
      <c r="T353" s="16"/>
      <c r="U353" s="16"/>
      <c r="V353" s="16"/>
      <c r="W353" s="16"/>
      <c r="X353" s="16"/>
      <c r="Y353" s="16"/>
      <c r="Z353" s="16"/>
      <c r="AA353" s="16"/>
      <c r="AB353" s="16"/>
      <c r="AC353" s="16"/>
      <c r="AD353" s="16"/>
    </row>
    <row r="354" spans="1:30" x14ac:dyDescent="0.2">
      <c r="A354" s="16"/>
      <c r="B354" s="16"/>
      <c r="C354" s="16"/>
      <c r="D354" s="16"/>
      <c r="E354" s="16"/>
      <c r="F354" s="109"/>
      <c r="G354" s="109"/>
      <c r="H354" s="109"/>
      <c r="I354" s="109"/>
      <c r="J354" s="109"/>
      <c r="K354" s="109"/>
      <c r="L354" s="109"/>
      <c r="M354" s="109"/>
      <c r="N354" s="109"/>
      <c r="O354" s="16"/>
      <c r="P354" s="16"/>
      <c r="Q354" s="16"/>
      <c r="R354" s="16"/>
      <c r="S354" s="16"/>
      <c r="T354" s="16"/>
      <c r="U354" s="16"/>
      <c r="V354" s="16"/>
      <c r="W354" s="16"/>
      <c r="X354" s="16"/>
      <c r="Y354" s="16"/>
      <c r="Z354" s="16"/>
      <c r="AA354" s="16"/>
      <c r="AB354" s="16"/>
      <c r="AC354" s="16"/>
      <c r="AD354" s="16"/>
    </row>
    <row r="355" spans="1:30" x14ac:dyDescent="0.2">
      <c r="A355" s="16"/>
      <c r="B355" s="16"/>
      <c r="C355" s="16"/>
      <c r="D355" s="16"/>
      <c r="E355" s="16"/>
      <c r="F355" s="109"/>
      <c r="G355" s="109"/>
      <c r="H355" s="109"/>
      <c r="I355" s="109"/>
      <c r="J355" s="109"/>
      <c r="K355" s="109"/>
      <c r="L355" s="109"/>
      <c r="M355" s="109"/>
      <c r="N355" s="109"/>
      <c r="O355" s="16"/>
      <c r="P355" s="16"/>
      <c r="Q355" s="16"/>
      <c r="R355" s="16"/>
      <c r="S355" s="16"/>
      <c r="T355" s="16"/>
      <c r="U355" s="16"/>
      <c r="V355" s="16"/>
      <c r="W355" s="16"/>
      <c r="X355" s="16"/>
      <c r="Y355" s="16"/>
      <c r="Z355" s="16"/>
      <c r="AA355" s="16"/>
      <c r="AB355" s="16"/>
      <c r="AC355" s="16"/>
      <c r="AD355" s="16"/>
    </row>
    <row r="356" spans="1:30" x14ac:dyDescent="0.2">
      <c r="A356" s="16"/>
      <c r="B356" s="16"/>
      <c r="C356" s="16"/>
      <c r="D356" s="16"/>
      <c r="E356" s="16"/>
      <c r="F356" s="109"/>
      <c r="G356" s="109"/>
      <c r="H356" s="109"/>
      <c r="I356" s="109"/>
      <c r="J356" s="109"/>
      <c r="K356" s="109"/>
      <c r="L356" s="109"/>
      <c r="M356" s="109"/>
      <c r="N356" s="109"/>
      <c r="O356" s="16"/>
      <c r="P356" s="16"/>
      <c r="Q356" s="16"/>
      <c r="R356" s="16"/>
      <c r="S356" s="16"/>
      <c r="T356" s="16"/>
      <c r="U356" s="16"/>
      <c r="V356" s="16"/>
      <c r="W356" s="16"/>
      <c r="X356" s="16"/>
      <c r="Y356" s="16"/>
      <c r="Z356" s="16"/>
      <c r="AA356" s="16"/>
      <c r="AB356" s="16"/>
      <c r="AC356" s="16"/>
      <c r="AD356" s="16"/>
    </row>
    <row r="357" spans="1:30" x14ac:dyDescent="0.2">
      <c r="A357" s="16"/>
      <c r="B357" s="16"/>
      <c r="C357" s="16"/>
      <c r="D357" s="16"/>
      <c r="E357" s="16"/>
      <c r="F357" s="109"/>
      <c r="G357" s="109"/>
      <c r="H357" s="109"/>
      <c r="I357" s="109"/>
      <c r="J357" s="109"/>
      <c r="K357" s="109"/>
      <c r="L357" s="109"/>
      <c r="M357" s="109"/>
      <c r="N357" s="109"/>
      <c r="O357" s="16"/>
      <c r="P357" s="16"/>
      <c r="Q357" s="16"/>
      <c r="R357" s="16"/>
      <c r="S357" s="16"/>
      <c r="T357" s="16"/>
      <c r="U357" s="16"/>
      <c r="V357" s="16"/>
      <c r="W357" s="16"/>
      <c r="X357" s="16"/>
      <c r="Y357" s="16"/>
      <c r="Z357" s="16"/>
      <c r="AA357" s="16"/>
      <c r="AB357" s="16"/>
      <c r="AC357" s="16"/>
      <c r="AD357" s="16"/>
    </row>
    <row r="358" spans="1:30" x14ac:dyDescent="0.2">
      <c r="A358" s="16"/>
      <c r="B358" s="16"/>
      <c r="C358" s="16"/>
      <c r="D358" s="16"/>
      <c r="E358" s="16"/>
      <c r="F358" s="109"/>
      <c r="G358" s="109"/>
      <c r="H358" s="109"/>
      <c r="I358" s="109"/>
      <c r="J358" s="109"/>
      <c r="K358" s="109"/>
      <c r="L358" s="109"/>
      <c r="M358" s="109"/>
      <c r="N358" s="109"/>
      <c r="O358" s="16"/>
      <c r="P358" s="16"/>
      <c r="Q358" s="16"/>
      <c r="R358" s="16"/>
      <c r="S358" s="16"/>
      <c r="T358" s="16"/>
      <c r="U358" s="16"/>
      <c r="V358" s="16"/>
      <c r="W358" s="16"/>
      <c r="X358" s="16"/>
      <c r="Y358" s="16"/>
      <c r="Z358" s="16"/>
      <c r="AA358" s="16"/>
      <c r="AB358" s="16"/>
      <c r="AC358" s="16"/>
      <c r="AD358" s="16"/>
    </row>
    <row r="359" spans="1:30" x14ac:dyDescent="0.2">
      <c r="A359" s="16"/>
      <c r="B359" s="16"/>
      <c r="C359" s="16"/>
      <c r="D359" s="16"/>
      <c r="E359" s="16"/>
      <c r="F359" s="109"/>
      <c r="G359" s="109"/>
      <c r="H359" s="109"/>
      <c r="I359" s="109"/>
      <c r="J359" s="109"/>
      <c r="K359" s="109"/>
      <c r="L359" s="109"/>
      <c r="M359" s="109"/>
      <c r="N359" s="109"/>
      <c r="O359" s="16"/>
      <c r="P359" s="16"/>
      <c r="Q359" s="16"/>
      <c r="R359" s="16"/>
      <c r="S359" s="16"/>
      <c r="T359" s="16"/>
      <c r="U359" s="16"/>
      <c r="V359" s="16"/>
      <c r="W359" s="16"/>
      <c r="X359" s="16"/>
      <c r="Y359" s="16"/>
      <c r="Z359" s="16"/>
      <c r="AA359" s="16"/>
      <c r="AB359" s="16"/>
      <c r="AC359" s="16"/>
      <c r="AD359" s="16"/>
    </row>
    <row r="360" spans="1:30" x14ac:dyDescent="0.2">
      <c r="A360" s="16"/>
      <c r="B360" s="16"/>
      <c r="C360" s="16"/>
      <c r="D360" s="16"/>
      <c r="E360" s="16"/>
      <c r="F360" s="109"/>
      <c r="G360" s="109"/>
      <c r="H360" s="109"/>
      <c r="I360" s="109"/>
      <c r="J360" s="109"/>
      <c r="K360" s="109"/>
      <c r="L360" s="109"/>
      <c r="M360" s="109"/>
      <c r="N360" s="109"/>
      <c r="O360" s="16"/>
      <c r="P360" s="16"/>
      <c r="Q360" s="16"/>
      <c r="R360" s="16"/>
      <c r="S360" s="16"/>
      <c r="T360" s="16"/>
      <c r="U360" s="16"/>
      <c r="V360" s="16"/>
      <c r="W360" s="16"/>
      <c r="X360" s="16"/>
      <c r="Y360" s="16"/>
      <c r="Z360" s="16"/>
      <c r="AA360" s="16"/>
      <c r="AB360" s="16"/>
      <c r="AC360" s="16"/>
      <c r="AD360" s="16"/>
    </row>
    <row r="361" spans="1:30" x14ac:dyDescent="0.2">
      <c r="A361" s="16"/>
      <c r="B361" s="16"/>
      <c r="C361" s="16"/>
      <c r="D361" s="16"/>
      <c r="E361" s="16"/>
      <c r="F361" s="109"/>
      <c r="G361" s="109"/>
      <c r="H361" s="109"/>
      <c r="I361" s="109"/>
      <c r="J361" s="109"/>
      <c r="K361" s="109"/>
      <c r="L361" s="109"/>
      <c r="M361" s="109"/>
      <c r="N361" s="109"/>
      <c r="O361" s="16"/>
      <c r="P361" s="16"/>
      <c r="Q361" s="16"/>
      <c r="R361" s="16"/>
      <c r="S361" s="16"/>
      <c r="T361" s="16"/>
      <c r="U361" s="16"/>
      <c r="V361" s="16"/>
      <c r="W361" s="16"/>
      <c r="X361" s="16"/>
      <c r="Y361" s="16"/>
      <c r="Z361" s="16"/>
      <c r="AA361" s="16"/>
      <c r="AB361" s="16"/>
      <c r="AC361" s="16"/>
      <c r="AD361" s="16"/>
    </row>
    <row r="362" spans="1:30" x14ac:dyDescent="0.2">
      <c r="A362" s="16"/>
      <c r="B362" s="16"/>
      <c r="C362" s="16"/>
      <c r="D362" s="16"/>
      <c r="E362" s="16"/>
      <c r="F362" s="109"/>
      <c r="G362" s="109"/>
      <c r="H362" s="109"/>
      <c r="I362" s="109"/>
      <c r="J362" s="109"/>
      <c r="K362" s="109"/>
      <c r="L362" s="109"/>
      <c r="M362" s="109"/>
      <c r="N362" s="109"/>
      <c r="O362" s="16"/>
      <c r="P362" s="16"/>
      <c r="Q362" s="16"/>
      <c r="R362" s="16"/>
      <c r="S362" s="16"/>
      <c r="T362" s="16"/>
      <c r="U362" s="16"/>
      <c r="V362" s="16"/>
      <c r="W362" s="16"/>
      <c r="X362" s="16"/>
      <c r="Y362" s="16"/>
      <c r="Z362" s="16"/>
      <c r="AA362" s="16"/>
      <c r="AB362" s="16"/>
      <c r="AC362" s="16"/>
      <c r="AD362" s="16"/>
    </row>
    <row r="363" spans="1:30" x14ac:dyDescent="0.2">
      <c r="A363" s="16"/>
      <c r="B363" s="16"/>
      <c r="C363" s="16"/>
      <c r="D363" s="16"/>
      <c r="E363" s="16"/>
      <c r="F363" s="109"/>
      <c r="G363" s="109"/>
      <c r="H363" s="109"/>
      <c r="I363" s="109"/>
      <c r="J363" s="109"/>
      <c r="K363" s="109"/>
      <c r="L363" s="109"/>
      <c r="M363" s="109"/>
      <c r="N363" s="109"/>
      <c r="O363" s="16"/>
      <c r="P363" s="16"/>
      <c r="Q363" s="16"/>
      <c r="R363" s="16"/>
      <c r="S363" s="16"/>
      <c r="T363" s="16"/>
      <c r="U363" s="16"/>
      <c r="V363" s="16"/>
      <c r="W363" s="16"/>
      <c r="X363" s="16"/>
      <c r="Y363" s="16"/>
      <c r="Z363" s="16"/>
      <c r="AA363" s="16"/>
      <c r="AB363" s="16"/>
      <c r="AC363" s="16"/>
      <c r="AD363" s="16"/>
    </row>
    <row r="364" spans="1:30" x14ac:dyDescent="0.2">
      <c r="A364" s="16"/>
      <c r="B364" s="16"/>
      <c r="C364" s="16"/>
      <c r="D364" s="16"/>
      <c r="E364" s="16"/>
      <c r="F364" s="109"/>
      <c r="G364" s="109"/>
      <c r="H364" s="109"/>
      <c r="I364" s="109"/>
      <c r="J364" s="109"/>
      <c r="K364" s="109"/>
      <c r="L364" s="109"/>
      <c r="M364" s="109"/>
      <c r="N364" s="109"/>
      <c r="O364" s="16"/>
      <c r="P364" s="16"/>
      <c r="Q364" s="16"/>
      <c r="R364" s="16"/>
      <c r="S364" s="16"/>
      <c r="T364" s="16"/>
      <c r="U364" s="16"/>
      <c r="V364" s="16"/>
      <c r="W364" s="16"/>
      <c r="X364" s="16"/>
      <c r="Y364" s="16"/>
      <c r="Z364" s="16"/>
      <c r="AA364" s="16"/>
      <c r="AB364" s="16"/>
      <c r="AC364" s="16"/>
      <c r="AD364" s="16"/>
    </row>
    <row r="365" spans="1:30" x14ac:dyDescent="0.2">
      <c r="A365" s="16"/>
      <c r="B365" s="16"/>
      <c r="C365" s="16"/>
      <c r="D365" s="16"/>
      <c r="E365" s="16"/>
      <c r="F365" s="109"/>
      <c r="G365" s="109"/>
      <c r="H365" s="109"/>
      <c r="I365" s="109"/>
      <c r="J365" s="109"/>
      <c r="K365" s="109"/>
      <c r="L365" s="109"/>
      <c r="M365" s="109"/>
      <c r="N365" s="109"/>
      <c r="O365" s="16"/>
      <c r="P365" s="16"/>
      <c r="Q365" s="16"/>
      <c r="R365" s="16"/>
      <c r="S365" s="16"/>
      <c r="T365" s="16"/>
      <c r="U365" s="16"/>
      <c r="V365" s="16"/>
      <c r="W365" s="16"/>
      <c r="X365" s="16"/>
      <c r="Y365" s="16"/>
      <c r="Z365" s="16"/>
      <c r="AA365" s="16"/>
      <c r="AB365" s="16"/>
      <c r="AC365" s="16"/>
      <c r="AD365" s="16"/>
    </row>
    <row r="366" spans="1:30" x14ac:dyDescent="0.2">
      <c r="A366" s="16"/>
      <c r="B366" s="16"/>
      <c r="C366" s="16"/>
      <c r="D366" s="16"/>
      <c r="E366" s="16"/>
      <c r="F366" s="109"/>
      <c r="G366" s="109"/>
      <c r="H366" s="109"/>
      <c r="I366" s="109"/>
      <c r="J366" s="109"/>
      <c r="K366" s="109"/>
      <c r="L366" s="109"/>
      <c r="M366" s="109"/>
      <c r="N366" s="109"/>
      <c r="O366" s="16"/>
      <c r="P366" s="16"/>
      <c r="Q366" s="16"/>
      <c r="R366" s="16"/>
      <c r="S366" s="16"/>
      <c r="T366" s="16"/>
      <c r="U366" s="16"/>
      <c r="V366" s="16"/>
      <c r="W366" s="16"/>
      <c r="X366" s="16"/>
      <c r="Y366" s="16"/>
      <c r="Z366" s="16"/>
      <c r="AA366" s="16"/>
      <c r="AB366" s="16"/>
      <c r="AC366" s="16"/>
      <c r="AD366" s="16"/>
    </row>
    <row r="367" spans="1:30" x14ac:dyDescent="0.2">
      <c r="A367" s="16"/>
      <c r="B367" s="16"/>
      <c r="C367" s="16"/>
      <c r="D367" s="16"/>
      <c r="E367" s="16"/>
      <c r="F367" s="109"/>
      <c r="G367" s="109"/>
      <c r="H367" s="109"/>
      <c r="I367" s="109"/>
      <c r="J367" s="109"/>
      <c r="K367" s="109"/>
      <c r="L367" s="109"/>
      <c r="M367" s="109"/>
      <c r="N367" s="109"/>
      <c r="O367" s="16"/>
      <c r="P367" s="16"/>
      <c r="Q367" s="16"/>
      <c r="R367" s="16"/>
      <c r="S367" s="16"/>
      <c r="T367" s="16"/>
      <c r="U367" s="16"/>
      <c r="V367" s="16"/>
      <c r="W367" s="16"/>
      <c r="X367" s="16"/>
      <c r="Y367" s="16"/>
      <c r="Z367" s="16"/>
      <c r="AA367" s="16"/>
      <c r="AB367" s="16"/>
      <c r="AC367" s="16"/>
      <c r="AD367" s="16"/>
    </row>
    <row r="368" spans="1:30" x14ac:dyDescent="0.2">
      <c r="A368" s="16"/>
      <c r="B368" s="16"/>
      <c r="C368" s="16"/>
      <c r="D368" s="16"/>
      <c r="E368" s="16"/>
      <c r="F368" s="109"/>
      <c r="G368" s="109"/>
      <c r="H368" s="109"/>
      <c r="I368" s="109"/>
      <c r="J368" s="109"/>
      <c r="K368" s="109"/>
      <c r="L368" s="109"/>
      <c r="M368" s="109"/>
      <c r="N368" s="109"/>
      <c r="O368" s="16"/>
      <c r="P368" s="16"/>
      <c r="Q368" s="16"/>
      <c r="R368" s="16"/>
      <c r="S368" s="16"/>
      <c r="T368" s="16"/>
      <c r="U368" s="16"/>
      <c r="V368" s="16"/>
      <c r="W368" s="16"/>
      <c r="X368" s="16"/>
      <c r="Y368" s="16"/>
      <c r="Z368" s="16"/>
      <c r="AA368" s="16"/>
      <c r="AB368" s="16"/>
      <c r="AC368" s="16"/>
      <c r="AD368" s="16"/>
    </row>
    <row r="369" spans="1:30" x14ac:dyDescent="0.2">
      <c r="A369" s="16"/>
      <c r="B369" s="16"/>
      <c r="C369" s="16"/>
      <c r="D369" s="16"/>
      <c r="E369" s="16"/>
      <c r="F369" s="109"/>
      <c r="G369" s="109"/>
      <c r="H369" s="109"/>
      <c r="I369" s="109"/>
      <c r="J369" s="109"/>
      <c r="K369" s="109"/>
      <c r="L369" s="109"/>
      <c r="M369" s="109"/>
      <c r="N369" s="109"/>
      <c r="O369" s="16"/>
      <c r="P369" s="16"/>
      <c r="Q369" s="16"/>
      <c r="R369" s="16"/>
      <c r="S369" s="16"/>
      <c r="T369" s="16"/>
      <c r="U369" s="16"/>
      <c r="V369" s="16"/>
      <c r="W369" s="16"/>
      <c r="X369" s="16"/>
      <c r="Y369" s="16"/>
      <c r="Z369" s="16"/>
      <c r="AA369" s="16"/>
      <c r="AB369" s="16"/>
      <c r="AC369" s="16"/>
      <c r="AD369" s="16"/>
    </row>
    <row r="370" spans="1:30" x14ac:dyDescent="0.2">
      <c r="A370" s="16"/>
      <c r="B370" s="16"/>
      <c r="C370" s="16"/>
      <c r="D370" s="16"/>
      <c r="E370" s="16"/>
      <c r="F370" s="109"/>
      <c r="G370" s="109"/>
      <c r="H370" s="109"/>
      <c r="I370" s="109"/>
      <c r="J370" s="109"/>
      <c r="K370" s="109"/>
      <c r="L370" s="109"/>
      <c r="M370" s="109"/>
      <c r="N370" s="109"/>
      <c r="O370" s="16"/>
      <c r="P370" s="16"/>
      <c r="Q370" s="16"/>
      <c r="R370" s="16"/>
      <c r="S370" s="16"/>
      <c r="T370" s="16"/>
      <c r="U370" s="16"/>
      <c r="V370" s="16"/>
      <c r="W370" s="16"/>
      <c r="X370" s="16"/>
      <c r="Y370" s="16"/>
      <c r="Z370" s="16"/>
      <c r="AA370" s="16"/>
      <c r="AB370" s="16"/>
      <c r="AC370" s="16"/>
      <c r="AD370" s="16"/>
    </row>
    <row r="371" spans="1:30" x14ac:dyDescent="0.2">
      <c r="A371" s="16"/>
      <c r="B371" s="16"/>
      <c r="C371" s="16"/>
      <c r="D371" s="16"/>
      <c r="E371" s="16"/>
      <c r="F371" s="109"/>
      <c r="G371" s="109"/>
      <c r="H371" s="109"/>
      <c r="I371" s="109"/>
      <c r="J371" s="109"/>
      <c r="K371" s="109"/>
      <c r="L371" s="109"/>
      <c r="M371" s="109"/>
      <c r="N371" s="109"/>
      <c r="O371" s="16"/>
      <c r="P371" s="16"/>
      <c r="Q371" s="16"/>
      <c r="R371" s="16"/>
      <c r="S371" s="16"/>
      <c r="T371" s="16"/>
      <c r="U371" s="16"/>
      <c r="V371" s="16"/>
      <c r="W371" s="16"/>
      <c r="X371" s="16"/>
      <c r="Y371" s="16"/>
      <c r="Z371" s="16"/>
      <c r="AA371" s="16"/>
      <c r="AB371" s="16"/>
      <c r="AC371" s="16"/>
      <c r="AD371" s="16"/>
    </row>
    <row r="372" spans="1:30" x14ac:dyDescent="0.2">
      <c r="A372" s="16"/>
      <c r="B372" s="16"/>
      <c r="C372" s="16"/>
      <c r="D372" s="16"/>
      <c r="E372" s="16"/>
      <c r="F372" s="109"/>
      <c r="G372" s="109"/>
      <c r="H372" s="109"/>
      <c r="I372" s="109"/>
      <c r="J372" s="109"/>
      <c r="K372" s="109"/>
      <c r="L372" s="109"/>
      <c r="M372" s="109"/>
      <c r="N372" s="109"/>
      <c r="O372" s="16"/>
      <c r="P372" s="16"/>
      <c r="Q372" s="16"/>
      <c r="R372" s="16"/>
      <c r="S372" s="16"/>
      <c r="T372" s="16"/>
      <c r="U372" s="16"/>
      <c r="V372" s="16"/>
      <c r="W372" s="16"/>
      <c r="X372" s="16"/>
      <c r="Y372" s="16"/>
      <c r="Z372" s="16"/>
      <c r="AA372" s="16"/>
      <c r="AB372" s="16"/>
      <c r="AC372" s="16"/>
      <c r="AD372" s="16"/>
    </row>
    <row r="373" spans="1:30" x14ac:dyDescent="0.2">
      <c r="A373" s="16"/>
      <c r="B373" s="16"/>
      <c r="C373" s="16"/>
      <c r="D373" s="16"/>
      <c r="E373" s="16"/>
      <c r="F373" s="109"/>
      <c r="G373" s="109"/>
      <c r="H373" s="109"/>
      <c r="I373" s="109"/>
      <c r="J373" s="109"/>
      <c r="K373" s="109"/>
      <c r="L373" s="109"/>
      <c r="M373" s="109"/>
      <c r="N373" s="109"/>
      <c r="O373" s="16"/>
      <c r="P373" s="16"/>
      <c r="Q373" s="16"/>
      <c r="R373" s="16"/>
      <c r="S373" s="16"/>
      <c r="T373" s="16"/>
      <c r="U373" s="16"/>
      <c r="V373" s="16"/>
      <c r="W373" s="16"/>
      <c r="X373" s="16"/>
      <c r="Y373" s="16"/>
      <c r="Z373" s="16"/>
      <c r="AA373" s="16"/>
      <c r="AB373" s="16"/>
      <c r="AC373" s="16"/>
      <c r="AD373" s="16"/>
    </row>
    <row r="374" spans="1:30" x14ac:dyDescent="0.2">
      <c r="A374" s="16"/>
      <c r="B374" s="16"/>
      <c r="C374" s="16"/>
      <c r="D374" s="16"/>
      <c r="E374" s="16"/>
      <c r="F374" s="109"/>
      <c r="G374" s="109"/>
      <c r="H374" s="109"/>
      <c r="I374" s="109"/>
      <c r="J374" s="109"/>
      <c r="K374" s="109"/>
      <c r="L374" s="109"/>
      <c r="M374" s="109"/>
      <c r="N374" s="109"/>
      <c r="O374" s="16"/>
      <c r="P374" s="16"/>
      <c r="Q374" s="16"/>
      <c r="R374" s="16"/>
      <c r="S374" s="16"/>
      <c r="T374" s="16"/>
      <c r="U374" s="16"/>
      <c r="V374" s="16"/>
      <c r="W374" s="16"/>
      <c r="X374" s="16"/>
      <c r="Y374" s="16"/>
      <c r="Z374" s="16"/>
      <c r="AA374" s="16"/>
      <c r="AB374" s="16"/>
      <c r="AC374" s="16"/>
      <c r="AD374" s="16"/>
    </row>
    <row r="375" spans="1:30" x14ac:dyDescent="0.2">
      <c r="A375" s="16"/>
      <c r="B375" s="16"/>
      <c r="C375" s="16"/>
      <c r="D375" s="16"/>
      <c r="E375" s="16"/>
      <c r="F375" s="109"/>
      <c r="G375" s="109"/>
      <c r="H375" s="109"/>
      <c r="I375" s="109"/>
      <c r="J375" s="109"/>
      <c r="K375" s="109"/>
      <c r="L375" s="109"/>
      <c r="M375" s="109"/>
      <c r="N375" s="109"/>
      <c r="O375" s="16"/>
      <c r="P375" s="16"/>
      <c r="Q375" s="16"/>
      <c r="R375" s="16"/>
      <c r="S375" s="16"/>
      <c r="T375" s="16"/>
      <c r="U375" s="16"/>
      <c r="V375" s="16"/>
      <c r="W375" s="16"/>
      <c r="X375" s="16"/>
      <c r="Y375" s="16"/>
      <c r="Z375" s="16"/>
      <c r="AA375" s="16"/>
      <c r="AB375" s="16"/>
      <c r="AC375" s="16"/>
      <c r="AD375" s="16"/>
    </row>
    <row r="376" spans="1:30" x14ac:dyDescent="0.2">
      <c r="A376" s="16"/>
      <c r="B376" s="16"/>
      <c r="C376" s="16"/>
      <c r="D376" s="16"/>
      <c r="E376" s="16"/>
      <c r="F376" s="109"/>
      <c r="G376" s="109"/>
      <c r="H376" s="109"/>
      <c r="I376" s="109"/>
      <c r="J376" s="109"/>
      <c r="K376" s="109"/>
      <c r="L376" s="109"/>
      <c r="M376" s="109"/>
      <c r="N376" s="109"/>
      <c r="O376" s="16"/>
      <c r="P376" s="16"/>
      <c r="Q376" s="16"/>
      <c r="R376" s="16"/>
      <c r="S376" s="16"/>
      <c r="T376" s="16"/>
      <c r="U376" s="16"/>
      <c r="V376" s="16"/>
      <c r="W376" s="16"/>
      <c r="X376" s="16"/>
      <c r="Y376" s="16"/>
      <c r="Z376" s="16"/>
      <c r="AA376" s="16"/>
      <c r="AB376" s="16"/>
      <c r="AC376" s="16"/>
      <c r="AD376" s="16"/>
    </row>
    <row r="377" spans="1:30" x14ac:dyDescent="0.2">
      <c r="A377" s="16"/>
      <c r="B377" s="16"/>
      <c r="C377" s="16"/>
      <c r="D377" s="16"/>
      <c r="E377" s="16"/>
      <c r="F377" s="109"/>
      <c r="G377" s="109"/>
      <c r="H377" s="109"/>
      <c r="I377" s="109"/>
      <c r="J377" s="109"/>
      <c r="K377" s="109"/>
      <c r="L377" s="109"/>
      <c r="M377" s="109"/>
      <c r="N377" s="109"/>
      <c r="O377" s="16"/>
      <c r="P377" s="16"/>
      <c r="Q377" s="16"/>
      <c r="R377" s="16"/>
      <c r="S377" s="16"/>
      <c r="T377" s="16"/>
      <c r="U377" s="16"/>
      <c r="V377" s="16"/>
      <c r="W377" s="16"/>
      <c r="X377" s="16"/>
      <c r="Y377" s="16"/>
      <c r="Z377" s="16"/>
      <c r="AA377" s="16"/>
      <c r="AB377" s="16"/>
      <c r="AC377" s="16"/>
      <c r="AD377" s="16"/>
    </row>
    <row r="378" spans="1:30" x14ac:dyDescent="0.2">
      <c r="A378" s="16"/>
      <c r="B378" s="16"/>
      <c r="C378" s="16"/>
      <c r="D378" s="16"/>
      <c r="E378" s="16"/>
      <c r="F378" s="109"/>
      <c r="G378" s="109"/>
      <c r="H378" s="109"/>
      <c r="I378" s="109"/>
      <c r="J378" s="109"/>
      <c r="K378" s="109"/>
      <c r="L378" s="109"/>
      <c r="M378" s="109"/>
      <c r="N378" s="109"/>
      <c r="O378" s="16"/>
      <c r="P378" s="16"/>
      <c r="Q378" s="16"/>
      <c r="R378" s="16"/>
      <c r="S378" s="16"/>
      <c r="T378" s="16"/>
      <c r="U378" s="16"/>
      <c r="V378" s="16"/>
      <c r="W378" s="16"/>
      <c r="X378" s="16"/>
      <c r="Y378" s="16"/>
      <c r="Z378" s="16"/>
      <c r="AA378" s="16"/>
      <c r="AB378" s="16"/>
      <c r="AC378" s="16"/>
      <c r="AD378" s="16"/>
    </row>
    <row r="379" spans="1:30" x14ac:dyDescent="0.2">
      <c r="A379" s="16"/>
      <c r="B379" s="16"/>
      <c r="C379" s="16"/>
      <c r="D379" s="16"/>
      <c r="E379" s="16"/>
      <c r="F379" s="109"/>
      <c r="G379" s="109"/>
      <c r="H379" s="109"/>
      <c r="I379" s="109"/>
      <c r="J379" s="109"/>
      <c r="K379" s="109"/>
      <c r="L379" s="109"/>
      <c r="M379" s="109"/>
      <c r="N379" s="109"/>
      <c r="O379" s="16"/>
      <c r="P379" s="16"/>
      <c r="Q379" s="16"/>
      <c r="R379" s="16"/>
      <c r="S379" s="16"/>
      <c r="T379" s="16"/>
      <c r="U379" s="16"/>
      <c r="V379" s="16"/>
      <c r="W379" s="16"/>
      <c r="X379" s="16"/>
      <c r="Y379" s="16"/>
      <c r="Z379" s="16"/>
      <c r="AA379" s="16"/>
      <c r="AB379" s="16"/>
      <c r="AC379" s="16"/>
      <c r="AD379" s="16"/>
    </row>
    <row r="380" spans="1:30" x14ac:dyDescent="0.2">
      <c r="A380" s="16"/>
      <c r="B380" s="16"/>
      <c r="C380" s="16"/>
      <c r="D380" s="16"/>
      <c r="E380" s="16"/>
      <c r="F380" s="109"/>
      <c r="G380" s="109"/>
      <c r="H380" s="109"/>
      <c r="I380" s="109"/>
      <c r="J380" s="109"/>
      <c r="K380" s="109"/>
      <c r="L380" s="109"/>
      <c r="M380" s="109"/>
      <c r="N380" s="109"/>
      <c r="O380" s="16"/>
      <c r="P380" s="16"/>
      <c r="Q380" s="16"/>
      <c r="R380" s="16"/>
      <c r="S380" s="16"/>
      <c r="T380" s="16"/>
      <c r="U380" s="16"/>
      <c r="V380" s="16"/>
      <c r="W380" s="16"/>
      <c r="X380" s="16"/>
      <c r="Y380" s="16"/>
      <c r="Z380" s="16"/>
      <c r="AA380" s="16"/>
      <c r="AB380" s="16"/>
      <c r="AC380" s="16"/>
      <c r="AD380" s="16"/>
    </row>
    <row r="381" spans="1:30" x14ac:dyDescent="0.2">
      <c r="A381" s="16"/>
      <c r="B381" s="16"/>
      <c r="C381" s="16"/>
      <c r="D381" s="16"/>
      <c r="E381" s="16"/>
      <c r="F381" s="109"/>
      <c r="G381" s="109"/>
      <c r="H381" s="109"/>
      <c r="I381" s="109"/>
      <c r="J381" s="109"/>
      <c r="K381" s="109"/>
      <c r="L381" s="109"/>
      <c r="M381" s="109"/>
      <c r="N381" s="109"/>
      <c r="O381" s="16"/>
      <c r="P381" s="16"/>
      <c r="Q381" s="16"/>
      <c r="R381" s="16"/>
      <c r="S381" s="16"/>
      <c r="T381" s="16"/>
      <c r="U381" s="16"/>
      <c r="V381" s="16"/>
      <c r="W381" s="16"/>
      <c r="X381" s="16"/>
      <c r="Y381" s="16"/>
      <c r="Z381" s="16"/>
      <c r="AA381" s="16"/>
      <c r="AB381" s="16"/>
      <c r="AC381" s="16"/>
      <c r="AD381" s="16"/>
    </row>
    <row r="382" spans="1:30" x14ac:dyDescent="0.2">
      <c r="A382" s="16"/>
      <c r="B382" s="16"/>
      <c r="C382" s="16"/>
      <c r="D382" s="16"/>
      <c r="E382" s="16"/>
      <c r="F382" s="109"/>
      <c r="G382" s="109"/>
      <c r="H382" s="109"/>
      <c r="I382" s="109"/>
      <c r="J382" s="109"/>
      <c r="K382" s="109"/>
      <c r="L382" s="109"/>
      <c r="M382" s="109"/>
      <c r="N382" s="109"/>
      <c r="O382" s="16"/>
      <c r="P382" s="16"/>
      <c r="Q382" s="16"/>
      <c r="R382" s="16"/>
      <c r="S382" s="16"/>
      <c r="T382" s="16"/>
      <c r="U382" s="16"/>
      <c r="V382" s="16"/>
      <c r="W382" s="16"/>
      <c r="X382" s="16"/>
      <c r="Y382" s="16"/>
      <c r="Z382" s="16"/>
      <c r="AA382" s="16"/>
      <c r="AB382" s="16"/>
      <c r="AC382" s="16"/>
      <c r="AD382" s="16"/>
    </row>
    <row r="383" spans="1:30" x14ac:dyDescent="0.2">
      <c r="A383" s="16"/>
      <c r="B383" s="16"/>
      <c r="C383" s="16"/>
      <c r="D383" s="16"/>
      <c r="E383" s="16"/>
      <c r="F383" s="109"/>
      <c r="G383" s="109"/>
      <c r="H383" s="109"/>
      <c r="I383" s="109"/>
      <c r="J383" s="109"/>
      <c r="K383" s="109"/>
      <c r="L383" s="109"/>
      <c r="M383" s="109"/>
      <c r="N383" s="109"/>
      <c r="O383" s="16"/>
      <c r="P383" s="16"/>
      <c r="Q383" s="16"/>
      <c r="R383" s="16"/>
      <c r="S383" s="16"/>
      <c r="T383" s="16"/>
      <c r="U383" s="16"/>
      <c r="V383" s="16"/>
      <c r="W383" s="16"/>
      <c r="X383" s="16"/>
      <c r="Y383" s="16"/>
      <c r="Z383" s="16"/>
      <c r="AA383" s="16"/>
      <c r="AB383" s="16"/>
      <c r="AC383" s="16"/>
      <c r="AD383" s="16"/>
    </row>
    <row r="384" spans="1:30" x14ac:dyDescent="0.2">
      <c r="A384" s="16"/>
      <c r="B384" s="16"/>
      <c r="C384" s="16"/>
      <c r="D384" s="16"/>
      <c r="E384" s="16"/>
      <c r="F384" s="109"/>
      <c r="G384" s="109"/>
      <c r="H384" s="109"/>
      <c r="I384" s="109"/>
      <c r="J384" s="109"/>
      <c r="K384" s="109"/>
      <c r="L384" s="109"/>
      <c r="M384" s="109"/>
      <c r="N384" s="109"/>
      <c r="O384" s="16"/>
      <c r="P384" s="16"/>
      <c r="Q384" s="16"/>
      <c r="R384" s="16"/>
      <c r="S384" s="16"/>
      <c r="T384" s="16"/>
      <c r="U384" s="16"/>
      <c r="V384" s="16"/>
      <c r="W384" s="16"/>
      <c r="X384" s="16"/>
      <c r="Y384" s="16"/>
      <c r="Z384" s="16"/>
      <c r="AA384" s="16"/>
      <c r="AB384" s="16"/>
      <c r="AC384" s="16"/>
      <c r="AD384" s="16"/>
    </row>
    <row r="385" spans="1:30" x14ac:dyDescent="0.2">
      <c r="A385" s="16"/>
      <c r="B385" s="16"/>
      <c r="C385" s="16"/>
      <c r="D385" s="16"/>
      <c r="E385" s="16"/>
      <c r="F385" s="109"/>
      <c r="G385" s="109"/>
      <c r="H385" s="109"/>
      <c r="I385" s="109"/>
      <c r="J385" s="109"/>
      <c r="K385" s="109"/>
      <c r="L385" s="109"/>
      <c r="M385" s="109"/>
      <c r="N385" s="109"/>
      <c r="O385" s="16"/>
      <c r="P385" s="16"/>
      <c r="Q385" s="16"/>
      <c r="R385" s="16"/>
      <c r="S385" s="16"/>
      <c r="T385" s="16"/>
      <c r="U385" s="16"/>
      <c r="V385" s="16"/>
      <c r="W385" s="16"/>
      <c r="X385" s="16"/>
      <c r="Y385" s="16"/>
      <c r="Z385" s="16"/>
      <c r="AA385" s="16"/>
      <c r="AB385" s="16"/>
      <c r="AC385" s="16"/>
      <c r="AD385" s="16"/>
    </row>
    <row r="386" spans="1:30" x14ac:dyDescent="0.2">
      <c r="A386" s="16"/>
      <c r="B386" s="16"/>
      <c r="C386" s="16"/>
      <c r="D386" s="16"/>
      <c r="E386" s="16"/>
      <c r="F386" s="109"/>
      <c r="G386" s="109"/>
      <c r="H386" s="109"/>
      <c r="I386" s="109"/>
      <c r="J386" s="109"/>
      <c r="K386" s="109"/>
      <c r="L386" s="109"/>
      <c r="M386" s="109"/>
      <c r="N386" s="109"/>
      <c r="O386" s="16"/>
      <c r="P386" s="16"/>
      <c r="Q386" s="16"/>
      <c r="R386" s="16"/>
      <c r="S386" s="16"/>
      <c r="T386" s="16"/>
      <c r="U386" s="16"/>
      <c r="V386" s="16"/>
      <c r="W386" s="16"/>
      <c r="X386" s="16"/>
      <c r="Y386" s="16"/>
      <c r="Z386" s="16"/>
      <c r="AA386" s="16"/>
      <c r="AB386" s="16"/>
      <c r="AC386" s="16"/>
      <c r="AD386" s="16"/>
    </row>
    <row r="387" spans="1:30" x14ac:dyDescent="0.2">
      <c r="A387" s="16"/>
      <c r="B387" s="16"/>
      <c r="C387" s="16"/>
      <c r="D387" s="16"/>
      <c r="E387" s="16"/>
      <c r="F387" s="109"/>
      <c r="G387" s="109"/>
      <c r="H387" s="109"/>
      <c r="I387" s="109"/>
      <c r="J387" s="109"/>
      <c r="K387" s="109"/>
      <c r="L387" s="109"/>
      <c r="M387" s="109"/>
      <c r="N387" s="109"/>
      <c r="O387" s="16"/>
      <c r="P387" s="16"/>
      <c r="Q387" s="16"/>
      <c r="R387" s="16"/>
      <c r="S387" s="16"/>
      <c r="T387" s="16"/>
      <c r="U387" s="16"/>
      <c r="V387" s="16"/>
      <c r="W387" s="16"/>
      <c r="X387" s="16"/>
      <c r="Y387" s="16"/>
      <c r="Z387" s="16"/>
      <c r="AA387" s="16"/>
      <c r="AB387" s="16"/>
      <c r="AC387" s="16"/>
      <c r="AD387" s="16"/>
    </row>
    <row r="388" spans="1:30" x14ac:dyDescent="0.2">
      <c r="A388" s="16"/>
      <c r="B388" s="16"/>
      <c r="C388" s="16"/>
      <c r="D388" s="16"/>
      <c r="E388" s="16"/>
      <c r="F388" s="109"/>
      <c r="G388" s="109"/>
      <c r="H388" s="109"/>
      <c r="I388" s="109"/>
      <c r="J388" s="109"/>
      <c r="K388" s="109"/>
      <c r="L388" s="109"/>
      <c r="M388" s="109"/>
      <c r="N388" s="109"/>
      <c r="O388" s="16"/>
      <c r="P388" s="16"/>
      <c r="Q388" s="16"/>
      <c r="R388" s="16"/>
      <c r="S388" s="16"/>
      <c r="T388" s="16"/>
      <c r="U388" s="16"/>
      <c r="V388" s="16"/>
      <c r="W388" s="16"/>
      <c r="X388" s="16"/>
      <c r="Y388" s="16"/>
      <c r="Z388" s="16"/>
      <c r="AA388" s="16"/>
      <c r="AB388" s="16"/>
      <c r="AC388" s="16"/>
      <c r="AD388" s="16"/>
    </row>
    <row r="389" spans="1:30" x14ac:dyDescent="0.2">
      <c r="A389" s="16"/>
      <c r="B389" s="16"/>
      <c r="C389" s="16"/>
      <c r="D389" s="16"/>
      <c r="E389" s="16"/>
      <c r="F389" s="109"/>
      <c r="G389" s="109"/>
      <c r="H389" s="109"/>
      <c r="I389" s="109"/>
      <c r="J389" s="109"/>
      <c r="K389" s="109"/>
      <c r="L389" s="109"/>
      <c r="M389" s="109"/>
      <c r="N389" s="109"/>
      <c r="O389" s="16"/>
      <c r="P389" s="16"/>
      <c r="Q389" s="16"/>
      <c r="R389" s="16"/>
      <c r="S389" s="16"/>
      <c r="T389" s="16"/>
      <c r="U389" s="16"/>
      <c r="V389" s="16"/>
      <c r="W389" s="16"/>
      <c r="X389" s="16"/>
      <c r="Y389" s="16"/>
      <c r="Z389" s="16"/>
      <c r="AA389" s="16"/>
      <c r="AB389" s="16"/>
      <c r="AC389" s="16"/>
      <c r="AD389" s="16"/>
    </row>
    <row r="390" spans="1:30" x14ac:dyDescent="0.2">
      <c r="A390" s="16"/>
      <c r="B390" s="16"/>
      <c r="C390" s="16"/>
      <c r="D390" s="16"/>
      <c r="E390" s="16"/>
      <c r="F390" s="109"/>
      <c r="G390" s="109"/>
      <c r="H390" s="109"/>
      <c r="I390" s="109"/>
      <c r="J390" s="109"/>
      <c r="K390" s="109"/>
      <c r="L390" s="109"/>
      <c r="M390" s="109"/>
      <c r="N390" s="109"/>
      <c r="O390" s="16"/>
      <c r="P390" s="16"/>
      <c r="Q390" s="16"/>
      <c r="R390" s="16"/>
      <c r="S390" s="16"/>
      <c r="T390" s="16"/>
      <c r="U390" s="16"/>
      <c r="V390" s="16"/>
      <c r="W390" s="16"/>
      <c r="X390" s="16"/>
      <c r="Y390" s="16"/>
      <c r="Z390" s="16"/>
      <c r="AA390" s="16"/>
      <c r="AB390" s="16"/>
      <c r="AC390" s="16"/>
      <c r="AD390" s="16"/>
    </row>
    <row r="391" spans="1:30" x14ac:dyDescent="0.2">
      <c r="A391" s="16"/>
      <c r="B391" s="16"/>
      <c r="C391" s="16"/>
      <c r="D391" s="16"/>
      <c r="E391" s="16"/>
      <c r="F391" s="109"/>
      <c r="G391" s="109"/>
      <c r="H391" s="109"/>
      <c r="I391" s="109"/>
      <c r="J391" s="109"/>
      <c r="K391" s="109"/>
      <c r="L391" s="109"/>
      <c r="M391" s="109"/>
      <c r="N391" s="109"/>
      <c r="O391" s="16"/>
      <c r="P391" s="16"/>
      <c r="Q391" s="16"/>
      <c r="R391" s="16"/>
      <c r="S391" s="16"/>
      <c r="T391" s="16"/>
      <c r="U391" s="16"/>
      <c r="V391" s="16"/>
      <c r="W391" s="16"/>
      <c r="X391" s="16"/>
      <c r="Y391" s="16"/>
      <c r="Z391" s="16"/>
      <c r="AA391" s="16"/>
      <c r="AB391" s="16"/>
      <c r="AC391" s="16"/>
      <c r="AD391" s="16"/>
    </row>
    <row r="392" spans="1:30" x14ac:dyDescent="0.2">
      <c r="A392" s="16"/>
      <c r="B392" s="16"/>
      <c r="C392" s="16"/>
      <c r="D392" s="16"/>
      <c r="E392" s="16"/>
      <c r="F392" s="109"/>
      <c r="G392" s="109"/>
      <c r="H392" s="109"/>
      <c r="I392" s="109"/>
      <c r="J392" s="109"/>
      <c r="K392" s="109"/>
      <c r="L392" s="109"/>
      <c r="M392" s="109"/>
      <c r="N392" s="109"/>
      <c r="O392" s="16"/>
      <c r="P392" s="16"/>
      <c r="Q392" s="16"/>
      <c r="R392" s="16"/>
      <c r="S392" s="16"/>
      <c r="T392" s="16"/>
      <c r="U392" s="16"/>
      <c r="V392" s="16"/>
      <c r="W392" s="16"/>
      <c r="X392" s="16"/>
      <c r="Y392" s="16"/>
      <c r="Z392" s="16"/>
      <c r="AA392" s="16"/>
      <c r="AB392" s="16"/>
      <c r="AC392" s="16"/>
      <c r="AD392" s="16"/>
    </row>
    <row r="393" spans="1:30" x14ac:dyDescent="0.2">
      <c r="A393" s="16"/>
      <c r="B393" s="16"/>
      <c r="C393" s="16"/>
      <c r="D393" s="16"/>
      <c r="E393" s="16"/>
      <c r="F393" s="109"/>
      <c r="G393" s="109"/>
      <c r="H393" s="109"/>
      <c r="I393" s="109"/>
      <c r="J393" s="109"/>
      <c r="K393" s="109"/>
      <c r="L393" s="109"/>
      <c r="M393" s="109"/>
      <c r="N393" s="109"/>
      <c r="O393" s="16"/>
      <c r="P393" s="16"/>
      <c r="Q393" s="16"/>
      <c r="R393" s="16"/>
      <c r="S393" s="16"/>
      <c r="T393" s="16"/>
      <c r="U393" s="16"/>
      <c r="V393" s="16"/>
      <c r="W393" s="16"/>
      <c r="X393" s="16"/>
      <c r="Y393" s="16"/>
      <c r="Z393" s="16"/>
      <c r="AA393" s="16"/>
      <c r="AB393" s="16"/>
      <c r="AC393" s="16"/>
      <c r="AD393" s="16"/>
    </row>
    <row r="394" spans="1:30" x14ac:dyDescent="0.2">
      <c r="A394" s="16"/>
      <c r="B394" s="16"/>
      <c r="C394" s="16"/>
      <c r="D394" s="16"/>
      <c r="E394" s="16"/>
      <c r="F394" s="109"/>
      <c r="G394" s="109"/>
      <c r="H394" s="109"/>
      <c r="I394" s="109"/>
      <c r="J394" s="109"/>
      <c r="K394" s="109"/>
      <c r="L394" s="109"/>
      <c r="M394" s="109"/>
      <c r="N394" s="109"/>
      <c r="O394" s="16"/>
      <c r="P394" s="16"/>
      <c r="Q394" s="16"/>
      <c r="R394" s="16"/>
      <c r="S394" s="16"/>
      <c r="T394" s="16"/>
      <c r="U394" s="16"/>
      <c r="V394" s="16"/>
      <c r="W394" s="16"/>
      <c r="X394" s="16"/>
      <c r="Y394" s="16"/>
      <c r="Z394" s="16"/>
      <c r="AA394" s="16"/>
      <c r="AB394" s="16"/>
      <c r="AC394" s="16"/>
      <c r="AD394" s="16"/>
    </row>
    <row r="395" spans="1:30" x14ac:dyDescent="0.2">
      <c r="A395" s="16"/>
      <c r="B395" s="16"/>
      <c r="C395" s="16"/>
      <c r="D395" s="16"/>
      <c r="E395" s="16"/>
      <c r="F395" s="109"/>
      <c r="G395" s="109"/>
      <c r="H395" s="109"/>
      <c r="I395" s="109"/>
      <c r="J395" s="109"/>
      <c r="K395" s="109"/>
      <c r="L395" s="109"/>
      <c r="M395" s="109"/>
      <c r="N395" s="109"/>
      <c r="O395" s="16"/>
      <c r="P395" s="16"/>
      <c r="Q395" s="16"/>
      <c r="R395" s="16"/>
      <c r="S395" s="16"/>
      <c r="T395" s="16"/>
      <c r="U395" s="16"/>
      <c r="V395" s="16"/>
      <c r="W395" s="16"/>
      <c r="X395" s="16"/>
      <c r="Y395" s="16"/>
      <c r="Z395" s="16"/>
      <c r="AA395" s="16"/>
      <c r="AB395" s="16"/>
      <c r="AC395" s="16"/>
      <c r="AD395" s="16"/>
    </row>
    <row r="396" spans="1:30" x14ac:dyDescent="0.2">
      <c r="A396" s="16"/>
      <c r="B396" s="16"/>
      <c r="C396" s="16"/>
      <c r="D396" s="16"/>
      <c r="E396" s="16"/>
      <c r="F396" s="109"/>
      <c r="G396" s="109"/>
      <c r="H396" s="109"/>
      <c r="I396" s="109"/>
      <c r="J396" s="109"/>
      <c r="K396" s="109"/>
      <c r="L396" s="109"/>
      <c r="M396" s="109"/>
      <c r="N396" s="109"/>
      <c r="O396" s="16"/>
      <c r="P396" s="16"/>
      <c r="Q396" s="16"/>
      <c r="R396" s="16"/>
      <c r="S396" s="16"/>
      <c r="T396" s="16"/>
      <c r="U396" s="16"/>
      <c r="V396" s="16"/>
      <c r="W396" s="16"/>
      <c r="X396" s="16"/>
      <c r="Y396" s="16"/>
      <c r="Z396" s="16"/>
      <c r="AA396" s="16"/>
      <c r="AB396" s="16"/>
      <c r="AC396" s="16"/>
      <c r="AD396" s="16"/>
    </row>
    <row r="397" spans="1:30" x14ac:dyDescent="0.2">
      <c r="A397" s="16"/>
      <c r="B397" s="16"/>
      <c r="C397" s="16"/>
      <c r="D397" s="16"/>
      <c r="E397" s="16"/>
      <c r="F397" s="109"/>
      <c r="G397" s="109"/>
      <c r="H397" s="109"/>
      <c r="I397" s="109"/>
      <c r="J397" s="109"/>
      <c r="K397" s="109"/>
      <c r="L397" s="109"/>
      <c r="M397" s="109"/>
      <c r="N397" s="109"/>
      <c r="O397" s="16"/>
      <c r="P397" s="16"/>
      <c r="Q397" s="16"/>
      <c r="R397" s="16"/>
      <c r="S397" s="16"/>
      <c r="T397" s="16"/>
      <c r="U397" s="16"/>
      <c r="V397" s="16"/>
      <c r="W397" s="16"/>
      <c r="X397" s="16"/>
      <c r="Y397" s="16"/>
      <c r="Z397" s="16"/>
      <c r="AA397" s="16"/>
      <c r="AB397" s="16"/>
      <c r="AC397" s="16"/>
      <c r="AD397" s="16"/>
    </row>
    <row r="398" spans="1:30" x14ac:dyDescent="0.2">
      <c r="A398" s="16"/>
      <c r="B398" s="16"/>
      <c r="C398" s="16"/>
      <c r="D398" s="16"/>
      <c r="E398" s="16"/>
      <c r="F398" s="109"/>
      <c r="G398" s="109"/>
      <c r="H398" s="109"/>
      <c r="I398" s="109"/>
      <c r="J398" s="109"/>
      <c r="K398" s="109"/>
      <c r="L398" s="109"/>
      <c r="M398" s="109"/>
      <c r="N398" s="109"/>
      <c r="O398" s="16"/>
      <c r="P398" s="16"/>
      <c r="Q398" s="16"/>
      <c r="R398" s="16"/>
      <c r="S398" s="16"/>
      <c r="T398" s="16"/>
      <c r="U398" s="16"/>
      <c r="V398" s="16"/>
      <c r="W398" s="16"/>
      <c r="X398" s="16"/>
      <c r="Y398" s="16"/>
      <c r="Z398" s="16"/>
      <c r="AA398" s="16"/>
      <c r="AB398" s="16"/>
      <c r="AC398" s="16"/>
      <c r="AD398" s="16"/>
    </row>
    <row r="399" spans="1:30" x14ac:dyDescent="0.2">
      <c r="A399" s="16"/>
      <c r="B399" s="16"/>
      <c r="C399" s="16"/>
      <c r="D399" s="16"/>
      <c r="E399" s="16"/>
      <c r="F399" s="109"/>
      <c r="G399" s="109"/>
      <c r="H399" s="109"/>
      <c r="I399" s="109"/>
      <c r="J399" s="109"/>
      <c r="K399" s="109"/>
      <c r="L399" s="109"/>
      <c r="M399" s="109"/>
      <c r="N399" s="109"/>
      <c r="O399" s="16"/>
      <c r="P399" s="16"/>
      <c r="Q399" s="16"/>
      <c r="R399" s="16"/>
      <c r="S399" s="16"/>
      <c r="T399" s="16"/>
      <c r="U399" s="16"/>
      <c r="V399" s="16"/>
      <c r="W399" s="16"/>
      <c r="X399" s="16"/>
      <c r="Y399" s="16"/>
      <c r="Z399" s="16"/>
      <c r="AA399" s="16"/>
      <c r="AB399" s="16"/>
      <c r="AC399" s="16"/>
      <c r="AD399" s="16"/>
    </row>
    <row r="400" spans="1:30" x14ac:dyDescent="0.2">
      <c r="A400" s="16"/>
      <c r="B400" s="16"/>
      <c r="C400" s="16"/>
      <c r="D400" s="16"/>
      <c r="E400" s="16"/>
      <c r="F400" s="109"/>
      <c r="G400" s="109"/>
      <c r="H400" s="109"/>
      <c r="I400" s="109"/>
      <c r="J400" s="109"/>
      <c r="K400" s="109"/>
      <c r="L400" s="109"/>
      <c r="M400" s="109"/>
      <c r="N400" s="109"/>
      <c r="O400" s="16"/>
      <c r="P400" s="16"/>
      <c r="Q400" s="16"/>
      <c r="R400" s="16"/>
      <c r="S400" s="16"/>
      <c r="T400" s="16"/>
      <c r="U400" s="16"/>
      <c r="V400" s="16"/>
      <c r="W400" s="16"/>
      <c r="X400" s="16"/>
      <c r="Y400" s="16"/>
      <c r="Z400" s="16"/>
      <c r="AA400" s="16"/>
      <c r="AB400" s="16"/>
      <c r="AC400" s="16"/>
      <c r="AD400" s="16"/>
    </row>
    <row r="401" spans="1:30" x14ac:dyDescent="0.2">
      <c r="A401" s="16"/>
      <c r="B401" s="16"/>
      <c r="C401" s="16"/>
      <c r="D401" s="16"/>
      <c r="E401" s="16"/>
      <c r="F401" s="109"/>
      <c r="G401" s="109"/>
      <c r="H401" s="109"/>
      <c r="I401" s="109"/>
      <c r="J401" s="109"/>
      <c r="K401" s="109"/>
      <c r="L401" s="109"/>
      <c r="M401" s="109"/>
      <c r="N401" s="109"/>
      <c r="O401" s="16"/>
      <c r="P401" s="16"/>
      <c r="Q401" s="16"/>
      <c r="R401" s="16"/>
      <c r="S401" s="16"/>
      <c r="T401" s="16"/>
      <c r="U401" s="16"/>
      <c r="V401" s="16"/>
      <c r="W401" s="16"/>
      <c r="X401" s="16"/>
      <c r="Y401" s="16"/>
      <c r="Z401" s="16"/>
      <c r="AA401" s="16"/>
      <c r="AB401" s="16"/>
      <c r="AC401" s="16"/>
      <c r="AD401" s="16"/>
    </row>
    <row r="402" spans="1:30" x14ac:dyDescent="0.2">
      <c r="A402" s="16"/>
      <c r="B402" s="16"/>
      <c r="C402" s="16"/>
      <c r="D402" s="16"/>
      <c r="E402" s="16"/>
      <c r="F402" s="109"/>
      <c r="G402" s="109"/>
      <c r="H402" s="109"/>
      <c r="I402" s="109"/>
      <c r="J402" s="109"/>
      <c r="K402" s="109"/>
      <c r="L402" s="109"/>
      <c r="M402" s="109"/>
      <c r="N402" s="109"/>
      <c r="O402" s="16"/>
      <c r="P402" s="16"/>
      <c r="Q402" s="16"/>
      <c r="R402" s="16"/>
      <c r="S402" s="16"/>
      <c r="T402" s="16"/>
      <c r="U402" s="16"/>
      <c r="V402" s="16"/>
      <c r="W402" s="16"/>
      <c r="X402" s="16"/>
      <c r="Y402" s="16"/>
      <c r="Z402" s="16"/>
      <c r="AA402" s="16"/>
      <c r="AB402" s="16"/>
      <c r="AC402" s="16"/>
      <c r="AD402" s="16"/>
    </row>
    <row r="403" spans="1:30" x14ac:dyDescent="0.2">
      <c r="A403" s="16"/>
      <c r="B403" s="16"/>
      <c r="C403" s="16"/>
      <c r="D403" s="16"/>
      <c r="E403" s="16"/>
      <c r="F403" s="109"/>
      <c r="G403" s="109"/>
      <c r="H403" s="109"/>
      <c r="I403" s="109"/>
      <c r="J403" s="109"/>
      <c r="K403" s="109"/>
      <c r="L403" s="109"/>
      <c r="M403" s="109"/>
      <c r="N403" s="109"/>
      <c r="O403" s="16"/>
      <c r="P403" s="16"/>
      <c r="Q403" s="16"/>
      <c r="R403" s="16"/>
      <c r="S403" s="16"/>
      <c r="T403" s="16"/>
      <c r="U403" s="16"/>
      <c r="V403" s="16"/>
      <c r="W403" s="16"/>
      <c r="X403" s="16"/>
      <c r="Y403" s="16"/>
      <c r="Z403" s="16"/>
      <c r="AA403" s="16"/>
      <c r="AB403" s="16"/>
      <c r="AC403" s="16"/>
      <c r="AD403" s="16"/>
    </row>
    <row r="404" spans="1:30" x14ac:dyDescent="0.2">
      <c r="A404" s="16"/>
      <c r="B404" s="16"/>
      <c r="C404" s="16"/>
      <c r="D404" s="16"/>
      <c r="E404" s="16"/>
      <c r="F404" s="109"/>
      <c r="G404" s="109"/>
      <c r="H404" s="109"/>
      <c r="I404" s="109"/>
      <c r="J404" s="109"/>
      <c r="K404" s="109"/>
      <c r="L404" s="109"/>
      <c r="M404" s="109"/>
      <c r="N404" s="109"/>
      <c r="O404" s="16"/>
      <c r="P404" s="16"/>
      <c r="Q404" s="16"/>
      <c r="R404" s="16"/>
      <c r="S404" s="16"/>
      <c r="T404" s="16"/>
      <c r="U404" s="16"/>
      <c r="V404" s="16"/>
      <c r="W404" s="16"/>
      <c r="X404" s="16"/>
      <c r="Y404" s="16"/>
      <c r="Z404" s="16"/>
      <c r="AA404" s="16"/>
      <c r="AB404" s="16"/>
      <c r="AC404" s="16"/>
      <c r="AD404" s="16"/>
    </row>
    <row r="405" spans="1:30" x14ac:dyDescent="0.2">
      <c r="A405" s="16"/>
      <c r="B405" s="16"/>
      <c r="C405" s="16"/>
      <c r="D405" s="16"/>
      <c r="E405" s="16"/>
      <c r="F405" s="109"/>
      <c r="G405" s="109"/>
      <c r="H405" s="109"/>
      <c r="I405" s="109"/>
      <c r="J405" s="109"/>
      <c r="K405" s="109"/>
      <c r="L405" s="109"/>
      <c r="M405" s="109"/>
      <c r="N405" s="109"/>
      <c r="O405" s="16"/>
      <c r="P405" s="16"/>
      <c r="Q405" s="16"/>
      <c r="R405" s="16"/>
      <c r="S405" s="16"/>
      <c r="T405" s="16"/>
      <c r="U405" s="16"/>
      <c r="V405" s="16"/>
      <c r="W405" s="16"/>
      <c r="X405" s="16"/>
      <c r="Y405" s="16"/>
      <c r="Z405" s="16"/>
      <c r="AA405" s="16"/>
      <c r="AB405" s="16"/>
      <c r="AC405" s="16"/>
      <c r="AD405" s="16"/>
    </row>
    <row r="406" spans="1:30" x14ac:dyDescent="0.2">
      <c r="A406" s="16"/>
      <c r="B406" s="16"/>
      <c r="C406" s="16"/>
      <c r="D406" s="16"/>
      <c r="E406" s="16"/>
      <c r="F406" s="109"/>
      <c r="G406" s="109"/>
      <c r="H406" s="109"/>
      <c r="I406" s="109"/>
      <c r="J406" s="109"/>
      <c r="K406" s="109"/>
      <c r="L406" s="109"/>
      <c r="M406" s="109"/>
      <c r="N406" s="109"/>
      <c r="O406" s="16"/>
      <c r="P406" s="16"/>
      <c r="Q406" s="16"/>
      <c r="R406" s="16"/>
      <c r="S406" s="16"/>
      <c r="T406" s="16"/>
      <c r="U406" s="16"/>
      <c r="V406" s="16"/>
      <c r="W406" s="16"/>
      <c r="X406" s="16"/>
      <c r="Y406" s="16"/>
      <c r="Z406" s="16"/>
      <c r="AA406" s="16"/>
      <c r="AB406" s="16"/>
      <c r="AC406" s="16"/>
      <c r="AD406" s="16"/>
    </row>
    <row r="407" spans="1:30" x14ac:dyDescent="0.2">
      <c r="A407" s="16"/>
      <c r="B407" s="16"/>
      <c r="C407" s="16"/>
      <c r="D407" s="16"/>
      <c r="E407" s="16"/>
      <c r="F407" s="109"/>
      <c r="G407" s="109"/>
      <c r="H407" s="109"/>
      <c r="I407" s="109"/>
      <c r="J407" s="109"/>
      <c r="K407" s="109"/>
      <c r="L407" s="109"/>
      <c r="M407" s="109"/>
      <c r="N407" s="109"/>
      <c r="O407" s="16"/>
      <c r="P407" s="16"/>
      <c r="Q407" s="16"/>
      <c r="R407" s="16"/>
      <c r="S407" s="16"/>
      <c r="T407" s="16"/>
      <c r="U407" s="16"/>
      <c r="V407" s="16"/>
      <c r="W407" s="16"/>
      <c r="X407" s="16"/>
      <c r="Y407" s="16"/>
      <c r="Z407" s="16"/>
      <c r="AA407" s="16"/>
      <c r="AB407" s="16"/>
      <c r="AC407" s="16"/>
      <c r="AD407" s="16"/>
    </row>
    <row r="408" spans="1:30" x14ac:dyDescent="0.2">
      <c r="A408" s="16"/>
      <c r="B408" s="16"/>
      <c r="C408" s="16"/>
      <c r="D408" s="16"/>
      <c r="E408" s="16"/>
      <c r="F408" s="109"/>
      <c r="G408" s="109"/>
      <c r="H408" s="109"/>
      <c r="I408" s="109"/>
      <c r="J408" s="109"/>
      <c r="K408" s="109"/>
      <c r="L408" s="109"/>
      <c r="M408" s="109"/>
      <c r="N408" s="109"/>
      <c r="O408" s="16"/>
      <c r="P408" s="16"/>
      <c r="Q408" s="16"/>
      <c r="R408" s="16"/>
      <c r="S408" s="16"/>
      <c r="T408" s="16"/>
      <c r="U408" s="16"/>
      <c r="V408" s="16"/>
      <c r="W408" s="16"/>
      <c r="X408" s="16"/>
      <c r="Y408" s="16"/>
      <c r="Z408" s="16"/>
      <c r="AA408" s="16"/>
      <c r="AB408" s="16"/>
      <c r="AC408" s="16"/>
      <c r="AD408" s="16"/>
    </row>
    <row r="409" spans="1:30" x14ac:dyDescent="0.2">
      <c r="A409" s="16"/>
      <c r="B409" s="16"/>
      <c r="C409" s="16"/>
      <c r="D409" s="16"/>
      <c r="E409" s="16"/>
      <c r="F409" s="109"/>
      <c r="G409" s="109"/>
      <c r="H409" s="109"/>
      <c r="I409" s="109"/>
      <c r="J409" s="109"/>
      <c r="K409" s="109"/>
      <c r="L409" s="109"/>
      <c r="M409" s="109"/>
      <c r="N409" s="109"/>
      <c r="O409" s="16"/>
      <c r="P409" s="16"/>
      <c r="Q409" s="16"/>
      <c r="R409" s="16"/>
      <c r="S409" s="16"/>
      <c r="T409" s="16"/>
      <c r="U409" s="16"/>
      <c r="V409" s="16"/>
      <c r="W409" s="16"/>
      <c r="X409" s="16"/>
      <c r="Y409" s="16"/>
      <c r="Z409" s="16"/>
      <c r="AA409" s="16"/>
      <c r="AB409" s="16"/>
      <c r="AC409" s="16"/>
      <c r="AD409" s="16"/>
    </row>
    <row r="410" spans="1:30" x14ac:dyDescent="0.2">
      <c r="A410" s="16"/>
      <c r="B410" s="16"/>
      <c r="C410" s="16"/>
      <c r="D410" s="16"/>
      <c r="E410" s="16"/>
      <c r="F410" s="109"/>
      <c r="G410" s="109"/>
      <c r="H410" s="109"/>
      <c r="I410" s="109"/>
      <c r="J410" s="109"/>
      <c r="K410" s="109"/>
      <c r="L410" s="109"/>
      <c r="M410" s="109"/>
      <c r="N410" s="109"/>
      <c r="O410" s="16"/>
      <c r="P410" s="16"/>
      <c r="Q410" s="16"/>
      <c r="R410" s="16"/>
      <c r="S410" s="16"/>
      <c r="T410" s="16"/>
      <c r="U410" s="16"/>
      <c r="V410" s="16"/>
      <c r="W410" s="16"/>
      <c r="X410" s="16"/>
      <c r="Y410" s="16"/>
      <c r="Z410" s="16"/>
      <c r="AA410" s="16"/>
      <c r="AB410" s="16"/>
      <c r="AC410" s="16"/>
      <c r="AD410" s="16"/>
    </row>
    <row r="411" spans="1:30" x14ac:dyDescent="0.2">
      <c r="A411" s="16"/>
      <c r="B411" s="16"/>
      <c r="C411" s="16"/>
      <c r="D411" s="16"/>
      <c r="E411" s="16"/>
      <c r="F411" s="109"/>
      <c r="G411" s="109"/>
      <c r="H411" s="109"/>
      <c r="I411" s="109"/>
      <c r="J411" s="109"/>
      <c r="K411" s="109"/>
      <c r="L411" s="109"/>
      <c r="M411" s="109"/>
      <c r="N411" s="109"/>
      <c r="O411" s="16"/>
      <c r="P411" s="16"/>
      <c r="Q411" s="16"/>
      <c r="R411" s="16"/>
      <c r="S411" s="16"/>
      <c r="T411" s="16"/>
      <c r="U411" s="16"/>
      <c r="V411" s="16"/>
      <c r="W411" s="16"/>
      <c r="X411" s="16"/>
      <c r="Y411" s="16"/>
      <c r="Z411" s="16"/>
      <c r="AA411" s="16"/>
      <c r="AB411" s="16"/>
      <c r="AC411" s="16"/>
      <c r="AD411" s="16"/>
    </row>
    <row r="412" spans="1:30" x14ac:dyDescent="0.2">
      <c r="A412" s="16"/>
      <c r="B412" s="16"/>
      <c r="C412" s="16"/>
      <c r="D412" s="16"/>
      <c r="E412" s="16"/>
      <c r="F412" s="109"/>
      <c r="G412" s="109"/>
      <c r="H412" s="109"/>
      <c r="I412" s="109"/>
      <c r="J412" s="109"/>
      <c r="K412" s="109"/>
      <c r="L412" s="109"/>
      <c r="M412" s="109"/>
      <c r="N412" s="109"/>
      <c r="O412" s="16"/>
      <c r="P412" s="16"/>
      <c r="Q412" s="16"/>
      <c r="R412" s="16"/>
      <c r="S412" s="16"/>
      <c r="T412" s="16"/>
      <c r="U412" s="16"/>
      <c r="V412" s="16"/>
      <c r="W412" s="16"/>
      <c r="X412" s="16"/>
      <c r="Y412" s="16"/>
      <c r="Z412" s="16"/>
      <c r="AA412" s="16"/>
      <c r="AB412" s="16"/>
      <c r="AC412" s="16"/>
      <c r="AD412" s="16"/>
    </row>
    <row r="413" spans="1:30" x14ac:dyDescent="0.2">
      <c r="A413" s="16"/>
      <c r="B413" s="16"/>
      <c r="C413" s="16"/>
      <c r="D413" s="16"/>
      <c r="E413" s="16"/>
      <c r="F413" s="109"/>
      <c r="G413" s="109"/>
      <c r="H413" s="109"/>
      <c r="I413" s="109"/>
      <c r="J413" s="109"/>
      <c r="K413" s="109"/>
      <c r="L413" s="109"/>
      <c r="M413" s="109"/>
      <c r="N413" s="109"/>
      <c r="O413" s="16"/>
      <c r="P413" s="16"/>
      <c r="Q413" s="16"/>
      <c r="R413" s="16"/>
      <c r="S413" s="16"/>
      <c r="T413" s="16"/>
      <c r="U413" s="16"/>
      <c r="V413" s="16"/>
      <c r="W413" s="16"/>
      <c r="X413" s="16"/>
      <c r="Y413" s="16"/>
      <c r="Z413" s="16"/>
      <c r="AA413" s="16"/>
      <c r="AB413" s="16"/>
      <c r="AC413" s="16"/>
      <c r="AD413" s="16"/>
    </row>
    <row r="414" spans="1:30" x14ac:dyDescent="0.2">
      <c r="A414" s="16"/>
      <c r="B414" s="16"/>
      <c r="C414" s="16"/>
      <c r="D414" s="16"/>
      <c r="E414" s="16"/>
      <c r="F414" s="109"/>
      <c r="G414" s="109"/>
      <c r="H414" s="109"/>
      <c r="I414" s="109"/>
      <c r="J414" s="109"/>
      <c r="K414" s="109"/>
      <c r="L414" s="109"/>
      <c r="M414" s="109"/>
      <c r="N414" s="109"/>
      <c r="O414" s="16"/>
      <c r="P414" s="16"/>
      <c r="Q414" s="16"/>
      <c r="R414" s="16"/>
      <c r="S414" s="16"/>
      <c r="T414" s="16"/>
      <c r="U414" s="16"/>
      <c r="V414" s="16"/>
      <c r="W414" s="16"/>
      <c r="X414" s="16"/>
      <c r="Y414" s="16"/>
      <c r="Z414" s="16"/>
      <c r="AA414" s="16"/>
      <c r="AB414" s="16"/>
      <c r="AC414" s="16"/>
      <c r="AD414" s="16"/>
    </row>
    <row r="415" spans="1:30" x14ac:dyDescent="0.2">
      <c r="A415" s="16"/>
      <c r="B415" s="16"/>
      <c r="C415" s="16"/>
      <c r="D415" s="16"/>
      <c r="E415" s="16"/>
      <c r="F415" s="109"/>
      <c r="G415" s="109"/>
      <c r="H415" s="109"/>
      <c r="I415" s="109"/>
      <c r="J415" s="109"/>
      <c r="K415" s="109"/>
      <c r="L415" s="109"/>
      <c r="M415" s="109"/>
      <c r="N415" s="109"/>
      <c r="O415" s="16"/>
      <c r="P415" s="16"/>
      <c r="Q415" s="16"/>
      <c r="R415" s="16"/>
      <c r="S415" s="16"/>
      <c r="T415" s="16"/>
      <c r="U415" s="16"/>
      <c r="V415" s="16"/>
      <c r="W415" s="16"/>
      <c r="X415" s="16"/>
      <c r="Y415" s="16"/>
      <c r="Z415" s="16"/>
      <c r="AA415" s="16"/>
      <c r="AB415" s="16"/>
      <c r="AC415" s="16"/>
      <c r="AD415" s="16"/>
    </row>
    <row r="416" spans="1:30" x14ac:dyDescent="0.2">
      <c r="A416" s="16"/>
      <c r="B416" s="16"/>
      <c r="C416" s="16"/>
      <c r="D416" s="16"/>
      <c r="E416" s="16"/>
      <c r="F416" s="109"/>
      <c r="G416" s="109"/>
      <c r="H416" s="109"/>
      <c r="I416" s="109"/>
      <c r="J416" s="109"/>
      <c r="K416" s="109"/>
      <c r="L416" s="109"/>
      <c r="M416" s="109"/>
      <c r="N416" s="109"/>
      <c r="O416" s="16"/>
      <c r="P416" s="16"/>
      <c r="Q416" s="16"/>
      <c r="R416" s="16"/>
      <c r="S416" s="16"/>
      <c r="T416" s="16"/>
      <c r="U416" s="16"/>
      <c r="V416" s="16"/>
      <c r="W416" s="16"/>
      <c r="X416" s="16"/>
      <c r="Y416" s="16"/>
      <c r="Z416" s="16"/>
      <c r="AA416" s="16"/>
      <c r="AB416" s="16"/>
      <c r="AC416" s="16"/>
      <c r="AD416" s="16"/>
    </row>
    <row r="417" spans="1:30" x14ac:dyDescent="0.2">
      <c r="A417" s="16"/>
      <c r="B417" s="16"/>
      <c r="C417" s="16"/>
      <c r="D417" s="16"/>
      <c r="E417" s="16"/>
      <c r="F417" s="109"/>
      <c r="G417" s="109"/>
      <c r="H417" s="109"/>
      <c r="I417" s="109"/>
      <c r="J417" s="109"/>
      <c r="K417" s="109"/>
      <c r="L417" s="109"/>
      <c r="M417" s="109"/>
      <c r="N417" s="109"/>
      <c r="O417" s="16"/>
      <c r="P417" s="16"/>
      <c r="Q417" s="16"/>
      <c r="R417" s="16"/>
      <c r="S417" s="16"/>
      <c r="T417" s="16"/>
      <c r="U417" s="16"/>
      <c r="V417" s="16"/>
      <c r="W417" s="16"/>
      <c r="X417" s="16"/>
      <c r="Y417" s="16"/>
      <c r="Z417" s="16"/>
      <c r="AA417" s="16"/>
      <c r="AB417" s="16"/>
      <c r="AC417" s="16"/>
      <c r="AD417" s="16"/>
    </row>
    <row r="418" spans="1:30" x14ac:dyDescent="0.2">
      <c r="A418" s="16"/>
      <c r="B418" s="16"/>
      <c r="C418" s="16"/>
      <c r="D418" s="16"/>
      <c r="E418" s="16"/>
      <c r="F418" s="109"/>
      <c r="G418" s="109"/>
      <c r="H418" s="109"/>
      <c r="I418" s="109"/>
      <c r="J418" s="109"/>
      <c r="K418" s="109"/>
      <c r="L418" s="109"/>
      <c r="M418" s="109"/>
      <c r="N418" s="109"/>
      <c r="O418" s="16"/>
      <c r="P418" s="16"/>
      <c r="Q418" s="16"/>
      <c r="R418" s="16"/>
      <c r="S418" s="16"/>
      <c r="T418" s="16"/>
      <c r="U418" s="16"/>
      <c r="V418" s="16"/>
      <c r="W418" s="16"/>
      <c r="X418" s="16"/>
      <c r="Y418" s="16"/>
      <c r="Z418" s="16"/>
      <c r="AA418" s="16"/>
      <c r="AB418" s="16"/>
      <c r="AC418" s="16"/>
      <c r="AD418" s="16"/>
    </row>
    <row r="419" spans="1:30" x14ac:dyDescent="0.2">
      <c r="A419" s="16"/>
      <c r="B419" s="16"/>
      <c r="C419" s="16"/>
      <c r="D419" s="16"/>
      <c r="E419" s="16"/>
      <c r="F419" s="109"/>
      <c r="G419" s="109"/>
      <c r="H419" s="109"/>
      <c r="I419" s="109"/>
      <c r="J419" s="109"/>
      <c r="K419" s="109"/>
      <c r="L419" s="109"/>
      <c r="M419" s="109"/>
      <c r="N419" s="109"/>
      <c r="O419" s="16"/>
      <c r="P419" s="16"/>
      <c r="Q419" s="16"/>
      <c r="R419" s="16"/>
      <c r="S419" s="16"/>
      <c r="T419" s="16"/>
      <c r="U419" s="16"/>
      <c r="V419" s="16"/>
      <c r="W419" s="16"/>
      <c r="X419" s="16"/>
      <c r="Y419" s="16"/>
      <c r="Z419" s="16"/>
      <c r="AA419" s="16"/>
      <c r="AB419" s="16"/>
      <c r="AC419" s="16"/>
      <c r="AD419" s="16"/>
    </row>
    <row r="420" spans="1:30" x14ac:dyDescent="0.2">
      <c r="A420" s="16"/>
      <c r="B420" s="16"/>
      <c r="C420" s="16"/>
      <c r="D420" s="16"/>
      <c r="E420" s="16"/>
      <c r="F420" s="109"/>
      <c r="G420" s="109"/>
      <c r="H420" s="109"/>
      <c r="I420" s="109"/>
      <c r="J420" s="109"/>
      <c r="K420" s="109"/>
      <c r="L420" s="109"/>
      <c r="M420" s="109"/>
      <c r="N420" s="109"/>
      <c r="O420" s="16"/>
      <c r="P420" s="16"/>
      <c r="Q420" s="16"/>
      <c r="R420" s="16"/>
      <c r="S420" s="16"/>
      <c r="T420" s="16"/>
      <c r="U420" s="16"/>
      <c r="V420" s="16"/>
      <c r="W420" s="16"/>
      <c r="X420" s="16"/>
      <c r="Y420" s="16"/>
      <c r="Z420" s="16"/>
      <c r="AA420" s="16"/>
      <c r="AB420" s="16"/>
      <c r="AC420" s="16"/>
      <c r="AD420" s="16"/>
    </row>
    <row r="421" spans="1:30" x14ac:dyDescent="0.2">
      <c r="A421" s="16"/>
      <c r="B421" s="16"/>
      <c r="C421" s="16"/>
      <c r="D421" s="16"/>
      <c r="E421" s="16"/>
      <c r="F421" s="109"/>
      <c r="G421" s="109"/>
      <c r="H421" s="109"/>
      <c r="I421" s="109"/>
      <c r="J421" s="109"/>
      <c r="K421" s="109"/>
      <c r="L421" s="109"/>
      <c r="M421" s="109"/>
      <c r="N421" s="109"/>
      <c r="O421" s="16"/>
      <c r="P421" s="16"/>
      <c r="Q421" s="16"/>
      <c r="R421" s="16"/>
      <c r="S421" s="16"/>
      <c r="T421" s="16"/>
      <c r="U421" s="16"/>
      <c r="V421" s="16"/>
      <c r="W421" s="16"/>
      <c r="X421" s="16"/>
      <c r="Y421" s="16"/>
      <c r="Z421" s="16"/>
      <c r="AA421" s="16"/>
      <c r="AB421" s="16"/>
      <c r="AC421" s="16"/>
      <c r="AD421" s="16"/>
    </row>
    <row r="422" spans="1:30" x14ac:dyDescent="0.2">
      <c r="A422" s="16"/>
      <c r="B422" s="16"/>
      <c r="C422" s="16"/>
      <c r="D422" s="16"/>
      <c r="E422" s="16"/>
      <c r="F422" s="109"/>
      <c r="G422" s="109"/>
      <c r="H422" s="109"/>
      <c r="I422" s="109"/>
      <c r="J422" s="109"/>
      <c r="K422" s="109"/>
      <c r="L422" s="109"/>
      <c r="M422" s="109"/>
      <c r="N422" s="109"/>
      <c r="O422" s="16"/>
      <c r="P422" s="16"/>
      <c r="Q422" s="16"/>
      <c r="R422" s="16"/>
      <c r="S422" s="16"/>
      <c r="T422" s="16"/>
      <c r="U422" s="16"/>
      <c r="V422" s="16"/>
      <c r="W422" s="16"/>
      <c r="X422" s="16"/>
      <c r="Y422" s="16"/>
      <c r="Z422" s="16"/>
      <c r="AA422" s="16"/>
      <c r="AB422" s="16"/>
      <c r="AC422" s="16"/>
      <c r="AD422" s="16"/>
    </row>
    <row r="423" spans="1:30" x14ac:dyDescent="0.2">
      <c r="A423" s="16"/>
      <c r="B423" s="16"/>
      <c r="C423" s="16"/>
      <c r="D423" s="16"/>
      <c r="E423" s="16"/>
      <c r="F423" s="109"/>
      <c r="G423" s="109"/>
      <c r="H423" s="109"/>
      <c r="I423" s="109"/>
      <c r="J423" s="109"/>
      <c r="K423" s="109"/>
      <c r="L423" s="109"/>
      <c r="M423" s="109"/>
      <c r="N423" s="109"/>
      <c r="O423" s="16"/>
      <c r="P423" s="16"/>
      <c r="Q423" s="16"/>
      <c r="R423" s="16"/>
      <c r="S423" s="16"/>
      <c r="T423" s="16"/>
      <c r="U423" s="16"/>
      <c r="V423" s="16"/>
      <c r="W423" s="16"/>
      <c r="X423" s="16"/>
      <c r="Y423" s="16"/>
      <c r="Z423" s="16"/>
      <c r="AA423" s="16"/>
      <c r="AB423" s="16"/>
      <c r="AC423" s="16"/>
      <c r="AD423" s="16"/>
    </row>
    <row r="424" spans="1:30" x14ac:dyDescent="0.2">
      <c r="A424" s="16"/>
      <c r="B424" s="16"/>
      <c r="C424" s="16"/>
      <c r="D424" s="16"/>
      <c r="E424" s="16"/>
      <c r="F424" s="109"/>
      <c r="G424" s="109"/>
      <c r="H424" s="109"/>
      <c r="I424" s="109"/>
      <c r="J424" s="109"/>
      <c r="K424" s="109"/>
      <c r="L424" s="109"/>
      <c r="M424" s="109"/>
      <c r="N424" s="109"/>
      <c r="O424" s="16"/>
      <c r="P424" s="16"/>
      <c r="Q424" s="16"/>
      <c r="R424" s="16"/>
      <c r="S424" s="16"/>
      <c r="T424" s="16"/>
      <c r="U424" s="16"/>
      <c r="V424" s="16"/>
      <c r="W424" s="16"/>
      <c r="X424" s="16"/>
      <c r="Y424" s="16"/>
      <c r="Z424" s="16"/>
      <c r="AA424" s="16"/>
      <c r="AB424" s="16"/>
      <c r="AC424" s="16"/>
      <c r="AD424" s="16"/>
    </row>
    <row r="425" spans="1:30" x14ac:dyDescent="0.2">
      <c r="A425" s="16"/>
      <c r="B425" s="16"/>
      <c r="C425" s="16"/>
      <c r="D425" s="16"/>
      <c r="E425" s="16"/>
      <c r="F425" s="109"/>
      <c r="G425" s="109"/>
      <c r="H425" s="109"/>
      <c r="I425" s="109"/>
      <c r="J425" s="109"/>
      <c r="K425" s="109"/>
      <c r="L425" s="109"/>
      <c r="M425" s="109"/>
      <c r="N425" s="109"/>
      <c r="O425" s="16"/>
      <c r="P425" s="16"/>
      <c r="Q425" s="16"/>
      <c r="R425" s="16"/>
      <c r="S425" s="16"/>
      <c r="T425" s="16"/>
      <c r="U425" s="16"/>
      <c r="V425" s="16"/>
      <c r="W425" s="16"/>
      <c r="X425" s="16"/>
      <c r="Y425" s="16"/>
      <c r="Z425" s="16"/>
      <c r="AA425" s="16"/>
      <c r="AB425" s="16"/>
      <c r="AC425" s="16"/>
      <c r="AD425" s="16"/>
    </row>
    <row r="426" spans="1:30" x14ac:dyDescent="0.2">
      <c r="A426" s="16"/>
      <c r="B426" s="16"/>
      <c r="C426" s="16"/>
      <c r="D426" s="16"/>
      <c r="E426" s="16"/>
      <c r="F426" s="109"/>
      <c r="G426" s="109"/>
      <c r="H426" s="109"/>
      <c r="I426" s="109"/>
      <c r="J426" s="109"/>
      <c r="K426" s="109"/>
      <c r="L426" s="109"/>
      <c r="M426" s="109"/>
      <c r="N426" s="109"/>
      <c r="O426" s="16"/>
      <c r="P426" s="16"/>
      <c r="Q426" s="16"/>
      <c r="R426" s="16"/>
      <c r="S426" s="16"/>
      <c r="T426" s="16"/>
      <c r="U426" s="16"/>
      <c r="V426" s="16"/>
      <c r="W426" s="16"/>
      <c r="X426" s="16"/>
      <c r="Y426" s="16"/>
      <c r="Z426" s="16"/>
      <c r="AA426" s="16"/>
      <c r="AB426" s="16"/>
      <c r="AC426" s="16"/>
      <c r="AD426" s="16"/>
    </row>
    <row r="427" spans="1:30" x14ac:dyDescent="0.2">
      <c r="A427" s="16"/>
      <c r="B427" s="16"/>
      <c r="C427" s="16"/>
      <c r="D427" s="16"/>
      <c r="E427" s="16"/>
      <c r="F427" s="109"/>
      <c r="G427" s="109"/>
      <c r="H427" s="109"/>
      <c r="I427" s="109"/>
      <c r="J427" s="109"/>
      <c r="K427" s="109"/>
      <c r="L427" s="109"/>
      <c r="M427" s="109"/>
      <c r="N427" s="109"/>
      <c r="O427" s="16"/>
      <c r="P427" s="16"/>
      <c r="Q427" s="16"/>
      <c r="R427" s="16"/>
      <c r="S427" s="16"/>
      <c r="T427" s="16"/>
      <c r="U427" s="16"/>
      <c r="V427" s="16"/>
      <c r="W427" s="16"/>
      <c r="X427" s="16"/>
      <c r="Y427" s="16"/>
      <c r="Z427" s="16"/>
      <c r="AA427" s="16"/>
      <c r="AB427" s="16"/>
      <c r="AC427" s="16"/>
      <c r="AD427" s="16"/>
    </row>
    <row r="428" spans="1:30" x14ac:dyDescent="0.2">
      <c r="A428" s="16"/>
      <c r="B428" s="16"/>
      <c r="C428" s="16"/>
      <c r="D428" s="16"/>
      <c r="E428" s="16"/>
      <c r="F428" s="109"/>
      <c r="G428" s="109"/>
      <c r="H428" s="109"/>
      <c r="I428" s="109"/>
      <c r="J428" s="109"/>
      <c r="K428" s="109"/>
      <c r="L428" s="109"/>
      <c r="M428" s="109"/>
      <c r="N428" s="109"/>
      <c r="O428" s="16"/>
      <c r="P428" s="16"/>
      <c r="Q428" s="16"/>
      <c r="R428" s="16"/>
      <c r="S428" s="16"/>
      <c r="T428" s="16"/>
      <c r="U428" s="16"/>
      <c r="V428" s="16"/>
      <c r="W428" s="16"/>
      <c r="X428" s="16"/>
      <c r="Y428" s="16"/>
      <c r="Z428" s="16"/>
      <c r="AA428" s="16"/>
      <c r="AB428" s="16"/>
      <c r="AC428" s="16"/>
      <c r="AD428" s="16"/>
    </row>
    <row r="429" spans="1:30" x14ac:dyDescent="0.2">
      <c r="A429" s="16"/>
      <c r="B429" s="16"/>
      <c r="C429" s="16"/>
      <c r="D429" s="16"/>
      <c r="E429" s="16"/>
      <c r="F429" s="109"/>
      <c r="G429" s="109"/>
      <c r="H429" s="109"/>
      <c r="I429" s="109"/>
      <c r="J429" s="109"/>
      <c r="K429" s="109"/>
      <c r="L429" s="109"/>
      <c r="M429" s="109"/>
      <c r="N429" s="109"/>
      <c r="O429" s="16"/>
      <c r="P429" s="16"/>
      <c r="Q429" s="16"/>
      <c r="R429" s="16"/>
      <c r="S429" s="16"/>
      <c r="T429" s="16"/>
      <c r="U429" s="16"/>
      <c r="V429" s="16"/>
      <c r="W429" s="16"/>
      <c r="X429" s="16"/>
      <c r="Y429" s="16"/>
      <c r="Z429" s="16"/>
      <c r="AA429" s="16"/>
      <c r="AB429" s="16"/>
      <c r="AC429" s="16"/>
      <c r="AD429" s="16"/>
    </row>
    <row r="430" spans="1:30" x14ac:dyDescent="0.2">
      <c r="A430" s="16"/>
      <c r="B430" s="16"/>
      <c r="C430" s="16"/>
      <c r="D430" s="16"/>
      <c r="E430" s="16"/>
      <c r="F430" s="109"/>
      <c r="G430" s="109"/>
      <c r="H430" s="109"/>
      <c r="I430" s="109"/>
      <c r="J430" s="109"/>
      <c r="K430" s="109"/>
      <c r="L430" s="109"/>
      <c r="M430" s="109"/>
      <c r="N430" s="109"/>
      <c r="O430" s="16"/>
      <c r="P430" s="16"/>
      <c r="Q430" s="16"/>
      <c r="R430" s="16"/>
      <c r="S430" s="16"/>
      <c r="T430" s="16"/>
      <c r="U430" s="16"/>
      <c r="V430" s="16"/>
      <c r="W430" s="16"/>
      <c r="X430" s="16"/>
      <c r="Y430" s="16"/>
      <c r="Z430" s="16"/>
      <c r="AA430" s="16"/>
      <c r="AB430" s="16"/>
      <c r="AC430" s="16"/>
      <c r="AD430" s="16"/>
    </row>
    <row r="431" spans="1:30" x14ac:dyDescent="0.2">
      <c r="A431" s="16"/>
      <c r="B431" s="16"/>
      <c r="C431" s="16"/>
      <c r="D431" s="16"/>
      <c r="E431" s="16"/>
      <c r="F431" s="109"/>
      <c r="G431" s="109"/>
      <c r="H431" s="109"/>
      <c r="I431" s="109"/>
      <c r="J431" s="109"/>
      <c r="K431" s="109"/>
      <c r="L431" s="109"/>
      <c r="M431" s="109"/>
      <c r="N431" s="109"/>
      <c r="O431" s="16"/>
      <c r="P431" s="16"/>
      <c r="Q431" s="16"/>
      <c r="R431" s="16"/>
      <c r="S431" s="16"/>
      <c r="T431" s="16"/>
      <c r="U431" s="16"/>
      <c r="V431" s="16"/>
      <c r="W431" s="16"/>
      <c r="X431" s="16"/>
      <c r="Y431" s="16"/>
      <c r="Z431" s="16"/>
      <c r="AA431" s="16"/>
      <c r="AB431" s="16"/>
      <c r="AC431" s="16"/>
      <c r="AD431" s="16"/>
    </row>
    <row r="432" spans="1:30" x14ac:dyDescent="0.2">
      <c r="A432" s="16"/>
      <c r="B432" s="16"/>
      <c r="C432" s="16"/>
      <c r="D432" s="16"/>
      <c r="E432" s="16"/>
      <c r="F432" s="109"/>
      <c r="G432" s="109"/>
      <c r="H432" s="109"/>
      <c r="I432" s="109"/>
      <c r="J432" s="109"/>
      <c r="K432" s="109"/>
      <c r="L432" s="109"/>
      <c r="M432" s="109"/>
      <c r="N432" s="109"/>
      <c r="O432" s="16"/>
      <c r="P432" s="16"/>
      <c r="Q432" s="16"/>
      <c r="R432" s="16"/>
      <c r="S432" s="16"/>
      <c r="T432" s="16"/>
      <c r="U432" s="16"/>
      <c r="V432" s="16"/>
      <c r="W432" s="16"/>
      <c r="X432" s="16"/>
      <c r="Y432" s="16"/>
      <c r="Z432" s="16"/>
      <c r="AA432" s="16"/>
      <c r="AB432" s="16"/>
      <c r="AC432" s="16"/>
      <c r="AD432" s="16"/>
    </row>
    <row r="433" spans="1:30" x14ac:dyDescent="0.2">
      <c r="A433" s="16"/>
      <c r="B433" s="16"/>
      <c r="C433" s="16"/>
      <c r="D433" s="16"/>
      <c r="E433" s="16"/>
      <c r="F433" s="109"/>
      <c r="G433" s="109"/>
      <c r="H433" s="109"/>
      <c r="I433" s="109"/>
      <c r="J433" s="109"/>
      <c r="K433" s="109"/>
      <c r="L433" s="109"/>
      <c r="M433" s="109"/>
      <c r="N433" s="109"/>
      <c r="O433" s="16"/>
      <c r="P433" s="16"/>
      <c r="Q433" s="16"/>
      <c r="R433" s="16"/>
      <c r="S433" s="16"/>
      <c r="T433" s="16"/>
      <c r="U433" s="16"/>
      <c r="V433" s="16"/>
      <c r="W433" s="16"/>
      <c r="X433" s="16"/>
      <c r="Y433" s="16"/>
      <c r="Z433" s="16"/>
      <c r="AA433" s="16"/>
      <c r="AB433" s="16"/>
      <c r="AC433" s="16"/>
      <c r="AD433" s="16"/>
    </row>
    <row r="434" spans="1:30" x14ac:dyDescent="0.2">
      <c r="A434" s="16"/>
      <c r="B434" s="16"/>
      <c r="C434" s="16"/>
      <c r="D434" s="16"/>
      <c r="E434" s="16"/>
      <c r="F434" s="109"/>
      <c r="G434" s="109"/>
      <c r="H434" s="109"/>
      <c r="I434" s="109"/>
      <c r="J434" s="109"/>
      <c r="K434" s="109"/>
      <c r="L434" s="109"/>
      <c r="M434" s="109"/>
      <c r="N434" s="109"/>
      <c r="O434" s="16"/>
      <c r="P434" s="16"/>
      <c r="Q434" s="16"/>
      <c r="R434" s="16"/>
      <c r="S434" s="16"/>
      <c r="T434" s="16"/>
      <c r="U434" s="16"/>
      <c r="V434" s="16"/>
      <c r="W434" s="16"/>
      <c r="X434" s="16"/>
      <c r="Y434" s="16"/>
      <c r="Z434" s="16"/>
      <c r="AA434" s="16"/>
      <c r="AB434" s="16"/>
      <c r="AC434" s="16"/>
      <c r="AD434" s="16"/>
    </row>
    <row r="435" spans="1:30" x14ac:dyDescent="0.2">
      <c r="A435" s="16"/>
      <c r="B435" s="16"/>
      <c r="C435" s="16"/>
      <c r="D435" s="16"/>
      <c r="E435" s="16"/>
      <c r="F435" s="109"/>
      <c r="G435" s="109"/>
      <c r="H435" s="109"/>
      <c r="I435" s="109"/>
      <c r="J435" s="109"/>
      <c r="K435" s="109"/>
      <c r="L435" s="109"/>
      <c r="M435" s="109"/>
      <c r="N435" s="109"/>
      <c r="O435" s="16"/>
      <c r="P435" s="16"/>
      <c r="Q435" s="16"/>
      <c r="R435" s="16"/>
      <c r="S435" s="16"/>
      <c r="T435" s="16"/>
      <c r="U435" s="16"/>
      <c r="V435" s="16"/>
      <c r="W435" s="16"/>
      <c r="X435" s="16"/>
      <c r="Y435" s="16"/>
      <c r="Z435" s="16"/>
      <c r="AA435" s="16"/>
      <c r="AB435" s="16"/>
      <c r="AC435" s="16"/>
      <c r="AD435" s="16"/>
    </row>
    <row r="436" spans="1:30" x14ac:dyDescent="0.2">
      <c r="A436" s="16"/>
      <c r="B436" s="16"/>
      <c r="C436" s="16"/>
      <c r="D436" s="16"/>
      <c r="E436" s="16"/>
      <c r="F436" s="109"/>
      <c r="G436" s="109"/>
      <c r="H436" s="109"/>
      <c r="I436" s="109"/>
      <c r="J436" s="109"/>
      <c r="K436" s="109"/>
      <c r="L436" s="109"/>
      <c r="M436" s="109"/>
      <c r="N436" s="109"/>
      <c r="O436" s="16"/>
      <c r="P436" s="16"/>
      <c r="Q436" s="16"/>
      <c r="R436" s="16"/>
      <c r="S436" s="16"/>
      <c r="T436" s="16"/>
      <c r="U436" s="16"/>
      <c r="V436" s="16"/>
      <c r="W436" s="16"/>
      <c r="X436" s="16"/>
      <c r="Y436" s="16"/>
      <c r="Z436" s="16"/>
      <c r="AA436" s="16"/>
      <c r="AB436" s="16"/>
      <c r="AC436" s="16"/>
      <c r="AD436" s="16"/>
    </row>
    <row r="437" spans="1:30" x14ac:dyDescent="0.2">
      <c r="A437" s="16"/>
      <c r="B437" s="16"/>
      <c r="C437" s="16"/>
      <c r="D437" s="16"/>
      <c r="E437" s="16"/>
      <c r="F437" s="109"/>
      <c r="G437" s="109"/>
      <c r="H437" s="109"/>
      <c r="I437" s="109"/>
      <c r="J437" s="109"/>
      <c r="K437" s="109"/>
      <c r="L437" s="109"/>
      <c r="M437" s="109"/>
      <c r="N437" s="109"/>
      <c r="O437" s="16"/>
      <c r="P437" s="16"/>
      <c r="Q437" s="16"/>
      <c r="R437" s="16"/>
      <c r="S437" s="16"/>
      <c r="T437" s="16"/>
      <c r="U437" s="16"/>
      <c r="V437" s="16"/>
      <c r="W437" s="16"/>
      <c r="X437" s="16"/>
      <c r="Y437" s="16"/>
      <c r="Z437" s="16"/>
      <c r="AA437" s="16"/>
      <c r="AB437" s="16"/>
      <c r="AC437" s="16"/>
      <c r="AD437" s="16"/>
    </row>
    <row r="438" spans="1:30" x14ac:dyDescent="0.2">
      <c r="A438" s="16"/>
      <c r="B438" s="16"/>
      <c r="C438" s="16"/>
      <c r="D438" s="16"/>
      <c r="E438" s="16"/>
      <c r="F438" s="109"/>
      <c r="G438" s="109"/>
      <c r="H438" s="109"/>
      <c r="I438" s="109"/>
      <c r="J438" s="109"/>
      <c r="K438" s="109"/>
      <c r="L438" s="109"/>
      <c r="M438" s="109"/>
      <c r="N438" s="109"/>
      <c r="O438" s="16"/>
      <c r="P438" s="16"/>
      <c r="Q438" s="16"/>
      <c r="R438" s="16"/>
      <c r="S438" s="16"/>
      <c r="T438" s="16"/>
      <c r="U438" s="16"/>
      <c r="V438" s="16"/>
      <c r="W438" s="16"/>
      <c r="X438" s="16"/>
      <c r="Y438" s="16"/>
      <c r="Z438" s="16"/>
      <c r="AA438" s="16"/>
      <c r="AB438" s="16"/>
      <c r="AC438" s="16"/>
      <c r="AD438" s="16"/>
    </row>
    <row r="439" spans="1:30" x14ac:dyDescent="0.2">
      <c r="A439" s="16"/>
      <c r="B439" s="16"/>
      <c r="C439" s="16"/>
      <c r="D439" s="16"/>
      <c r="E439" s="16"/>
      <c r="F439" s="109"/>
      <c r="G439" s="109"/>
      <c r="H439" s="109"/>
      <c r="I439" s="109"/>
      <c r="J439" s="109"/>
      <c r="K439" s="109"/>
      <c r="L439" s="109"/>
      <c r="M439" s="109"/>
      <c r="N439" s="109"/>
      <c r="O439" s="16"/>
      <c r="P439" s="16"/>
      <c r="Q439" s="16"/>
      <c r="R439" s="16"/>
      <c r="S439" s="16"/>
      <c r="T439" s="16"/>
      <c r="U439" s="16"/>
      <c r="V439" s="16"/>
      <c r="W439" s="16"/>
      <c r="X439" s="16"/>
      <c r="Y439" s="16"/>
      <c r="Z439" s="16"/>
      <c r="AA439" s="16"/>
      <c r="AB439" s="16"/>
      <c r="AC439" s="16"/>
      <c r="AD439" s="16"/>
    </row>
    <row r="440" spans="1:30" x14ac:dyDescent="0.2">
      <c r="A440" s="16"/>
      <c r="B440" s="16"/>
      <c r="C440" s="16"/>
      <c r="D440" s="16"/>
      <c r="E440" s="16"/>
      <c r="F440" s="109"/>
      <c r="G440" s="109"/>
      <c r="H440" s="109"/>
      <c r="I440" s="109"/>
      <c r="J440" s="109"/>
      <c r="K440" s="109"/>
      <c r="L440" s="109"/>
      <c r="M440" s="109"/>
      <c r="N440" s="109"/>
      <c r="O440" s="16"/>
      <c r="P440" s="16"/>
      <c r="Q440" s="16"/>
      <c r="R440" s="16"/>
      <c r="S440" s="16"/>
      <c r="T440" s="16"/>
      <c r="U440" s="16"/>
      <c r="V440" s="16"/>
      <c r="W440" s="16"/>
      <c r="X440" s="16"/>
      <c r="Y440" s="16"/>
      <c r="Z440" s="16"/>
      <c r="AA440" s="16"/>
      <c r="AB440" s="16"/>
      <c r="AC440" s="16"/>
      <c r="AD440" s="16"/>
    </row>
    <row r="441" spans="1:30" x14ac:dyDescent="0.2">
      <c r="A441" s="16"/>
      <c r="B441" s="16"/>
      <c r="C441" s="16"/>
      <c r="D441" s="16"/>
      <c r="E441" s="16"/>
      <c r="F441" s="109"/>
      <c r="G441" s="109"/>
      <c r="H441" s="109"/>
      <c r="I441" s="109"/>
      <c r="J441" s="109"/>
      <c r="K441" s="109"/>
      <c r="L441" s="109"/>
      <c r="M441" s="109"/>
      <c r="N441" s="109"/>
      <c r="O441" s="16"/>
      <c r="P441" s="16"/>
      <c r="Q441" s="16"/>
      <c r="R441" s="16"/>
      <c r="S441" s="16"/>
      <c r="T441" s="16"/>
      <c r="U441" s="16"/>
      <c r="V441" s="16"/>
      <c r="W441" s="16"/>
      <c r="X441" s="16"/>
      <c r="Y441" s="16"/>
      <c r="Z441" s="16"/>
      <c r="AA441" s="16"/>
      <c r="AB441" s="16"/>
      <c r="AC441" s="16"/>
      <c r="AD441" s="16"/>
    </row>
    <row r="442" spans="1:30" x14ac:dyDescent="0.2">
      <c r="A442" s="16"/>
      <c r="B442" s="16"/>
      <c r="C442" s="16"/>
      <c r="D442" s="16"/>
      <c r="E442" s="16"/>
      <c r="F442" s="109"/>
      <c r="G442" s="109"/>
      <c r="H442" s="109"/>
      <c r="I442" s="109"/>
      <c r="J442" s="109"/>
      <c r="K442" s="109"/>
      <c r="L442" s="109"/>
      <c r="M442" s="109"/>
      <c r="N442" s="109"/>
      <c r="O442" s="16"/>
      <c r="P442" s="16"/>
      <c r="Q442" s="16"/>
      <c r="R442" s="16"/>
      <c r="S442" s="16"/>
      <c r="T442" s="16"/>
      <c r="U442" s="16"/>
      <c r="V442" s="16"/>
      <c r="W442" s="16"/>
      <c r="X442" s="16"/>
      <c r="Y442" s="16"/>
      <c r="Z442" s="16"/>
      <c r="AA442" s="16"/>
      <c r="AB442" s="16"/>
      <c r="AC442" s="16"/>
      <c r="AD442" s="16"/>
    </row>
    <row r="443" spans="1:30" x14ac:dyDescent="0.2">
      <c r="A443" s="16"/>
      <c r="B443" s="16"/>
      <c r="C443" s="16"/>
      <c r="D443" s="16"/>
      <c r="E443" s="16"/>
      <c r="F443" s="109"/>
      <c r="G443" s="109"/>
      <c r="H443" s="109"/>
      <c r="I443" s="109"/>
      <c r="J443" s="109"/>
      <c r="K443" s="109"/>
      <c r="L443" s="109"/>
      <c r="M443" s="109"/>
      <c r="N443" s="109"/>
      <c r="O443" s="16"/>
      <c r="P443" s="16"/>
      <c r="Q443" s="16"/>
      <c r="R443" s="16"/>
      <c r="S443" s="16"/>
      <c r="T443" s="16"/>
      <c r="U443" s="16"/>
      <c r="V443" s="16"/>
      <c r="W443" s="16"/>
      <c r="X443" s="16"/>
      <c r="Y443" s="16"/>
      <c r="Z443" s="16"/>
      <c r="AA443" s="16"/>
      <c r="AB443" s="16"/>
      <c r="AC443" s="16"/>
      <c r="AD443" s="16"/>
    </row>
    <row r="444" spans="1:30" x14ac:dyDescent="0.2">
      <c r="A444" s="16"/>
      <c r="B444" s="16"/>
      <c r="C444" s="16"/>
      <c r="D444" s="16"/>
      <c r="E444" s="16"/>
      <c r="F444" s="109"/>
      <c r="G444" s="109"/>
      <c r="H444" s="109"/>
      <c r="I444" s="109"/>
      <c r="J444" s="109"/>
      <c r="K444" s="109"/>
      <c r="L444" s="109"/>
      <c r="M444" s="109"/>
      <c r="N444" s="109"/>
      <c r="O444" s="16"/>
      <c r="P444" s="16"/>
      <c r="Q444" s="16"/>
      <c r="R444" s="16"/>
      <c r="S444" s="16"/>
      <c r="T444" s="16"/>
      <c r="U444" s="16"/>
      <c r="V444" s="16"/>
      <c r="W444" s="16"/>
      <c r="X444" s="16"/>
      <c r="Y444" s="16"/>
      <c r="Z444" s="16"/>
      <c r="AA444" s="16"/>
      <c r="AB444" s="16"/>
      <c r="AC444" s="16"/>
      <c r="AD444" s="16"/>
    </row>
    <row r="445" spans="1:30" x14ac:dyDescent="0.2">
      <c r="A445" s="16"/>
      <c r="B445" s="16"/>
      <c r="C445" s="16"/>
      <c r="D445" s="16"/>
      <c r="E445" s="16"/>
      <c r="F445" s="109"/>
      <c r="G445" s="109"/>
      <c r="H445" s="109"/>
      <c r="I445" s="109"/>
      <c r="J445" s="109"/>
      <c r="K445" s="109"/>
      <c r="L445" s="109"/>
      <c r="M445" s="109"/>
      <c r="N445" s="109"/>
      <c r="O445" s="16"/>
      <c r="P445" s="16"/>
      <c r="Q445" s="16"/>
      <c r="R445" s="16"/>
      <c r="S445" s="16"/>
      <c r="T445" s="16"/>
      <c r="U445" s="16"/>
      <c r="V445" s="16"/>
      <c r="W445" s="16"/>
      <c r="X445" s="16"/>
      <c r="Y445" s="16"/>
      <c r="Z445" s="16"/>
      <c r="AA445" s="16"/>
      <c r="AB445" s="16"/>
      <c r="AC445" s="16"/>
      <c r="AD445" s="16"/>
    </row>
    <row r="446" spans="1:30" x14ac:dyDescent="0.2">
      <c r="A446" s="16"/>
      <c r="B446" s="16"/>
      <c r="C446" s="16"/>
      <c r="D446" s="16"/>
      <c r="E446" s="16"/>
      <c r="F446" s="109"/>
      <c r="G446" s="109"/>
      <c r="H446" s="109"/>
      <c r="I446" s="109"/>
      <c r="J446" s="109"/>
      <c r="K446" s="109"/>
      <c r="L446" s="109"/>
      <c r="M446" s="109"/>
      <c r="N446" s="109"/>
      <c r="O446" s="16"/>
      <c r="P446" s="16"/>
      <c r="Q446" s="16"/>
      <c r="R446" s="16"/>
      <c r="S446" s="16"/>
      <c r="T446" s="16"/>
      <c r="U446" s="16"/>
      <c r="V446" s="16"/>
      <c r="W446" s="16"/>
      <c r="X446" s="16"/>
      <c r="Y446" s="16"/>
      <c r="Z446" s="16"/>
      <c r="AA446" s="16"/>
      <c r="AB446" s="16"/>
      <c r="AC446" s="16"/>
      <c r="AD446" s="16"/>
    </row>
    <row r="447" spans="1:30" x14ac:dyDescent="0.2">
      <c r="A447" s="16"/>
      <c r="B447" s="16"/>
      <c r="C447" s="16"/>
      <c r="D447" s="16"/>
      <c r="E447" s="16"/>
      <c r="F447" s="109"/>
      <c r="G447" s="109"/>
      <c r="H447" s="109"/>
      <c r="I447" s="109"/>
      <c r="J447" s="109"/>
      <c r="K447" s="109"/>
      <c r="L447" s="109"/>
      <c r="M447" s="109"/>
      <c r="N447" s="109"/>
      <c r="O447" s="16"/>
      <c r="P447" s="16"/>
      <c r="Q447" s="16"/>
      <c r="R447" s="16"/>
      <c r="S447" s="16"/>
      <c r="T447" s="16"/>
      <c r="U447" s="16"/>
      <c r="V447" s="16"/>
      <c r="W447" s="16"/>
      <c r="X447" s="16"/>
      <c r="Y447" s="16"/>
      <c r="Z447" s="16"/>
      <c r="AA447" s="16"/>
      <c r="AB447" s="16"/>
      <c r="AC447" s="16"/>
      <c r="AD447" s="16"/>
    </row>
    <row r="448" spans="1:30" x14ac:dyDescent="0.2">
      <c r="A448" s="16"/>
      <c r="B448" s="16"/>
      <c r="C448" s="16"/>
      <c r="D448" s="16"/>
      <c r="E448" s="16"/>
      <c r="F448" s="109"/>
      <c r="G448" s="109"/>
      <c r="H448" s="109"/>
      <c r="I448" s="109"/>
      <c r="J448" s="109"/>
      <c r="K448" s="109"/>
      <c r="L448" s="109"/>
      <c r="M448" s="109"/>
      <c r="N448" s="109"/>
      <c r="O448" s="16"/>
      <c r="P448" s="16"/>
      <c r="Q448" s="16"/>
      <c r="R448" s="16"/>
      <c r="S448" s="16"/>
      <c r="T448" s="16"/>
      <c r="U448" s="16"/>
      <c r="V448" s="16"/>
      <c r="W448" s="16"/>
      <c r="X448" s="16"/>
      <c r="Y448" s="16"/>
      <c r="Z448" s="16"/>
      <c r="AA448" s="16"/>
      <c r="AB448" s="16"/>
      <c r="AC448" s="16"/>
      <c r="AD448" s="16"/>
    </row>
    <row r="449" spans="1:30" x14ac:dyDescent="0.2">
      <c r="A449" s="16"/>
      <c r="B449" s="16"/>
      <c r="C449" s="16"/>
      <c r="D449" s="16"/>
      <c r="E449" s="16"/>
      <c r="F449" s="109"/>
      <c r="G449" s="109"/>
      <c r="H449" s="109"/>
      <c r="I449" s="109"/>
      <c r="J449" s="109"/>
      <c r="K449" s="109"/>
      <c r="L449" s="109"/>
      <c r="M449" s="109"/>
      <c r="N449" s="109"/>
      <c r="O449" s="16"/>
      <c r="P449" s="16"/>
      <c r="Q449" s="16"/>
      <c r="R449" s="16"/>
      <c r="S449" s="16"/>
      <c r="T449" s="16"/>
      <c r="U449" s="16"/>
      <c r="V449" s="16"/>
      <c r="W449" s="16"/>
      <c r="X449" s="16"/>
      <c r="Y449" s="16"/>
      <c r="Z449" s="16"/>
      <c r="AA449" s="16"/>
      <c r="AB449" s="16"/>
      <c r="AC449" s="16"/>
      <c r="AD449" s="16"/>
    </row>
    <row r="450" spans="1:30" x14ac:dyDescent="0.2">
      <c r="A450" s="16"/>
      <c r="B450" s="16"/>
      <c r="C450" s="16"/>
      <c r="D450" s="16"/>
      <c r="E450" s="16"/>
      <c r="F450" s="109"/>
      <c r="G450" s="109"/>
      <c r="H450" s="109"/>
      <c r="I450" s="109"/>
      <c r="J450" s="109"/>
      <c r="K450" s="109"/>
      <c r="L450" s="109"/>
      <c r="M450" s="109"/>
      <c r="N450" s="109"/>
      <c r="O450" s="16"/>
      <c r="P450" s="16"/>
      <c r="Q450" s="16"/>
      <c r="R450" s="16"/>
      <c r="S450" s="16"/>
      <c r="T450" s="16"/>
      <c r="U450" s="16"/>
      <c r="V450" s="16"/>
      <c r="W450" s="16"/>
      <c r="X450" s="16"/>
      <c r="Y450" s="16"/>
      <c r="Z450" s="16"/>
      <c r="AA450" s="16"/>
      <c r="AB450" s="16"/>
      <c r="AC450" s="16"/>
      <c r="AD450" s="16"/>
    </row>
    <row r="451" spans="1:30" x14ac:dyDescent="0.2">
      <c r="A451" s="16"/>
      <c r="B451" s="16"/>
      <c r="C451" s="16"/>
      <c r="D451" s="16"/>
      <c r="E451" s="16"/>
      <c r="F451" s="109"/>
      <c r="G451" s="109"/>
      <c r="H451" s="109"/>
      <c r="I451" s="109"/>
      <c r="J451" s="109"/>
      <c r="K451" s="109"/>
      <c r="L451" s="109"/>
      <c r="M451" s="109"/>
      <c r="N451" s="109"/>
      <c r="O451" s="16"/>
      <c r="P451" s="16"/>
      <c r="Q451" s="16"/>
      <c r="R451" s="16"/>
      <c r="S451" s="16"/>
      <c r="T451" s="16"/>
      <c r="U451" s="16"/>
      <c r="V451" s="16"/>
      <c r="W451" s="16"/>
      <c r="X451" s="16"/>
      <c r="Y451" s="16"/>
      <c r="Z451" s="16"/>
      <c r="AA451" s="16"/>
      <c r="AB451" s="16"/>
      <c r="AC451" s="16"/>
      <c r="AD451" s="16"/>
    </row>
    <row r="452" spans="1:30" x14ac:dyDescent="0.2">
      <c r="A452" s="16"/>
      <c r="B452" s="16"/>
      <c r="C452" s="16"/>
      <c r="D452" s="16"/>
      <c r="E452" s="16"/>
      <c r="F452" s="109"/>
      <c r="G452" s="109"/>
      <c r="H452" s="109"/>
      <c r="I452" s="109"/>
      <c r="J452" s="109"/>
      <c r="K452" s="109"/>
      <c r="L452" s="109"/>
      <c r="M452" s="109"/>
      <c r="N452" s="109"/>
      <c r="O452" s="16"/>
      <c r="P452" s="16"/>
      <c r="Q452" s="16"/>
      <c r="R452" s="16"/>
      <c r="S452" s="16"/>
      <c r="T452" s="16"/>
      <c r="U452" s="16"/>
      <c r="V452" s="16"/>
      <c r="W452" s="16"/>
      <c r="X452" s="16"/>
      <c r="Y452" s="16"/>
      <c r="Z452" s="16"/>
      <c r="AA452" s="16"/>
      <c r="AB452" s="16"/>
      <c r="AC452" s="16"/>
      <c r="AD452" s="16"/>
    </row>
    <row r="453" spans="1:30" x14ac:dyDescent="0.2">
      <c r="A453" s="16"/>
      <c r="B453" s="16"/>
      <c r="C453" s="16"/>
      <c r="D453" s="16"/>
      <c r="E453" s="16"/>
      <c r="F453" s="109"/>
      <c r="G453" s="109"/>
      <c r="H453" s="109"/>
      <c r="I453" s="109"/>
      <c r="J453" s="109"/>
      <c r="K453" s="109"/>
      <c r="L453" s="109"/>
      <c r="M453" s="109"/>
      <c r="N453" s="109"/>
      <c r="O453" s="16"/>
      <c r="P453" s="16"/>
      <c r="Q453" s="16"/>
      <c r="R453" s="16"/>
      <c r="S453" s="16"/>
      <c r="T453" s="16"/>
      <c r="U453" s="16"/>
      <c r="V453" s="16"/>
      <c r="W453" s="16"/>
      <c r="X453" s="16"/>
      <c r="Y453" s="16"/>
      <c r="Z453" s="16"/>
      <c r="AA453" s="16"/>
      <c r="AB453" s="16"/>
      <c r="AC453" s="16"/>
      <c r="AD453" s="16"/>
    </row>
    <row r="454" spans="1:30" x14ac:dyDescent="0.2">
      <c r="A454" s="16"/>
      <c r="B454" s="16"/>
      <c r="C454" s="16"/>
      <c r="D454" s="16"/>
      <c r="E454" s="16"/>
      <c r="F454" s="109"/>
      <c r="G454" s="109"/>
      <c r="H454" s="109"/>
      <c r="I454" s="109"/>
      <c r="J454" s="109"/>
      <c r="K454" s="109"/>
      <c r="L454" s="109"/>
      <c r="M454" s="109"/>
      <c r="N454" s="109"/>
      <c r="O454" s="16"/>
      <c r="P454" s="16"/>
      <c r="Q454" s="16"/>
      <c r="R454" s="16"/>
      <c r="S454" s="16"/>
      <c r="T454" s="16"/>
      <c r="U454" s="16"/>
      <c r="V454" s="16"/>
      <c r="W454" s="16"/>
      <c r="X454" s="16"/>
      <c r="Y454" s="16"/>
      <c r="Z454" s="16"/>
      <c r="AA454" s="16"/>
      <c r="AB454" s="16"/>
      <c r="AC454" s="16"/>
      <c r="AD454" s="16"/>
    </row>
    <row r="455" spans="1:30" x14ac:dyDescent="0.2">
      <c r="A455" s="16"/>
      <c r="B455" s="16"/>
      <c r="C455" s="16"/>
      <c r="D455" s="16"/>
      <c r="E455" s="16"/>
      <c r="F455" s="109"/>
      <c r="G455" s="109"/>
      <c r="H455" s="109"/>
      <c r="I455" s="109"/>
      <c r="J455" s="109"/>
      <c r="K455" s="109"/>
      <c r="L455" s="109"/>
      <c r="M455" s="109"/>
      <c r="N455" s="109"/>
      <c r="O455" s="16"/>
      <c r="P455" s="16"/>
      <c r="Q455" s="16"/>
      <c r="R455" s="16"/>
      <c r="S455" s="16"/>
      <c r="T455" s="16"/>
      <c r="U455" s="16"/>
      <c r="V455" s="16"/>
      <c r="W455" s="16"/>
      <c r="X455" s="16"/>
      <c r="Y455" s="16"/>
      <c r="Z455" s="16"/>
      <c r="AA455" s="16"/>
      <c r="AB455" s="16"/>
      <c r="AC455" s="16"/>
      <c r="AD455" s="16"/>
    </row>
    <row r="456" spans="1:30" x14ac:dyDescent="0.2">
      <c r="A456" s="16"/>
      <c r="B456" s="16"/>
      <c r="C456" s="16"/>
      <c r="D456" s="16"/>
      <c r="E456" s="16"/>
      <c r="F456" s="109"/>
      <c r="G456" s="109"/>
      <c r="H456" s="109"/>
      <c r="I456" s="109"/>
      <c r="J456" s="109"/>
      <c r="K456" s="109"/>
      <c r="L456" s="109"/>
      <c r="M456" s="109"/>
      <c r="N456" s="109"/>
      <c r="O456" s="16"/>
      <c r="P456" s="16"/>
      <c r="Q456" s="16"/>
      <c r="R456" s="16"/>
      <c r="S456" s="16"/>
      <c r="T456" s="16"/>
      <c r="U456" s="16"/>
      <c r="V456" s="16"/>
      <c r="W456" s="16"/>
      <c r="X456" s="16"/>
      <c r="Y456" s="16"/>
      <c r="Z456" s="16"/>
      <c r="AA456" s="16"/>
      <c r="AB456" s="16"/>
      <c r="AC456" s="16"/>
      <c r="AD456" s="16"/>
    </row>
    <row r="457" spans="1:30" x14ac:dyDescent="0.2">
      <c r="A457" s="16"/>
      <c r="B457" s="16"/>
      <c r="C457" s="16"/>
      <c r="D457" s="16"/>
      <c r="E457" s="16"/>
      <c r="F457" s="109"/>
      <c r="G457" s="109"/>
      <c r="H457" s="109"/>
      <c r="I457" s="109"/>
      <c r="J457" s="109"/>
      <c r="K457" s="109"/>
      <c r="L457" s="109"/>
      <c r="M457" s="109"/>
      <c r="N457" s="109"/>
      <c r="O457" s="16"/>
      <c r="P457" s="16"/>
      <c r="Q457" s="16"/>
      <c r="R457" s="16"/>
      <c r="S457" s="16"/>
      <c r="T457" s="16"/>
      <c r="U457" s="16"/>
      <c r="V457" s="16"/>
      <c r="W457" s="16"/>
      <c r="X457" s="16"/>
      <c r="Y457" s="16"/>
      <c r="Z457" s="16"/>
      <c r="AA457" s="16"/>
      <c r="AB457" s="16"/>
      <c r="AC457" s="16"/>
      <c r="AD457" s="16"/>
    </row>
    <row r="458" spans="1:30" x14ac:dyDescent="0.2">
      <c r="A458" s="16"/>
      <c r="B458" s="16"/>
      <c r="C458" s="16"/>
      <c r="D458" s="16"/>
      <c r="E458" s="16"/>
      <c r="F458" s="109"/>
      <c r="G458" s="109"/>
      <c r="H458" s="109"/>
      <c r="I458" s="109"/>
      <c r="J458" s="109"/>
      <c r="K458" s="109"/>
      <c r="L458" s="109"/>
      <c r="M458" s="109"/>
      <c r="N458" s="109"/>
      <c r="O458" s="16"/>
      <c r="P458" s="16"/>
      <c r="Q458" s="16"/>
      <c r="R458" s="16"/>
      <c r="S458" s="16"/>
      <c r="T458" s="16"/>
      <c r="U458" s="16"/>
      <c r="V458" s="16"/>
      <c r="W458" s="16"/>
      <c r="X458" s="16"/>
      <c r="Y458" s="16"/>
      <c r="Z458" s="16"/>
      <c r="AA458" s="16"/>
      <c r="AB458" s="16"/>
      <c r="AC458" s="16"/>
      <c r="AD458" s="16"/>
    </row>
    <row r="459" spans="1:30" x14ac:dyDescent="0.2">
      <c r="A459" s="16"/>
      <c r="B459" s="16"/>
      <c r="C459" s="16"/>
      <c r="D459" s="16"/>
      <c r="E459" s="16"/>
      <c r="F459" s="109"/>
      <c r="G459" s="109"/>
      <c r="H459" s="109"/>
      <c r="I459" s="109"/>
      <c r="J459" s="109"/>
      <c r="K459" s="109"/>
      <c r="L459" s="109"/>
      <c r="M459" s="109"/>
      <c r="N459" s="109"/>
      <c r="O459" s="16"/>
      <c r="P459" s="16"/>
      <c r="Q459" s="16"/>
      <c r="R459" s="16"/>
      <c r="S459" s="16"/>
      <c r="T459" s="16"/>
      <c r="U459" s="16"/>
      <c r="V459" s="16"/>
      <c r="W459" s="16"/>
      <c r="X459" s="16"/>
      <c r="Y459" s="16"/>
      <c r="Z459" s="16"/>
      <c r="AA459" s="16"/>
      <c r="AB459" s="16"/>
      <c r="AC459" s="16"/>
      <c r="AD459" s="16"/>
    </row>
    <row r="460" spans="1:30" x14ac:dyDescent="0.2">
      <c r="A460" s="16"/>
      <c r="B460" s="16"/>
      <c r="C460" s="16"/>
      <c r="D460" s="16"/>
      <c r="E460" s="16"/>
      <c r="F460" s="109"/>
      <c r="G460" s="109"/>
      <c r="H460" s="109"/>
      <c r="I460" s="109"/>
      <c r="J460" s="109"/>
      <c r="K460" s="109"/>
      <c r="L460" s="109"/>
      <c r="M460" s="109"/>
      <c r="N460" s="109"/>
      <c r="O460" s="16"/>
      <c r="P460" s="16"/>
      <c r="Q460" s="16"/>
      <c r="R460" s="16"/>
      <c r="S460" s="16"/>
      <c r="T460" s="16"/>
      <c r="U460" s="16"/>
      <c r="V460" s="16"/>
      <c r="W460" s="16"/>
      <c r="X460" s="16"/>
      <c r="Y460" s="16"/>
      <c r="Z460" s="16"/>
      <c r="AA460" s="16"/>
      <c r="AB460" s="16"/>
      <c r="AC460" s="16"/>
      <c r="AD460" s="16"/>
    </row>
    <row r="461" spans="1:30" x14ac:dyDescent="0.2">
      <c r="A461" s="16"/>
      <c r="B461" s="16"/>
      <c r="C461" s="16"/>
      <c r="D461" s="16"/>
      <c r="E461" s="16"/>
      <c r="F461" s="109"/>
      <c r="G461" s="109"/>
      <c r="H461" s="109"/>
      <c r="I461" s="109"/>
      <c r="J461" s="109"/>
      <c r="K461" s="109"/>
      <c r="L461" s="109"/>
      <c r="M461" s="109"/>
      <c r="N461" s="109"/>
      <c r="O461" s="16"/>
      <c r="P461" s="16"/>
      <c r="Q461" s="16"/>
      <c r="R461" s="16"/>
      <c r="S461" s="16"/>
      <c r="T461" s="16"/>
      <c r="U461" s="16"/>
      <c r="V461" s="16"/>
      <c r="W461" s="16"/>
      <c r="X461" s="16"/>
      <c r="Y461" s="16"/>
      <c r="Z461" s="16"/>
      <c r="AA461" s="16"/>
      <c r="AB461" s="16"/>
      <c r="AC461" s="16"/>
      <c r="AD461" s="16"/>
    </row>
    <row r="462" spans="1:30" x14ac:dyDescent="0.2">
      <c r="A462" s="16"/>
      <c r="B462" s="16"/>
      <c r="C462" s="16"/>
      <c r="D462" s="16"/>
      <c r="E462" s="16"/>
      <c r="F462" s="109"/>
      <c r="G462" s="109"/>
      <c r="H462" s="109"/>
      <c r="I462" s="109"/>
      <c r="J462" s="109"/>
      <c r="K462" s="109"/>
      <c r="L462" s="109"/>
      <c r="M462" s="109"/>
      <c r="N462" s="109"/>
      <c r="O462" s="16"/>
      <c r="P462" s="16"/>
      <c r="Q462" s="16"/>
      <c r="R462" s="16"/>
      <c r="S462" s="16"/>
      <c r="T462" s="16"/>
      <c r="U462" s="16"/>
      <c r="V462" s="16"/>
      <c r="W462" s="16"/>
      <c r="X462" s="16"/>
      <c r="Y462" s="16"/>
      <c r="Z462" s="16"/>
      <c r="AA462" s="16"/>
      <c r="AB462" s="16"/>
      <c r="AC462" s="16"/>
      <c r="AD462" s="16"/>
    </row>
    <row r="463" spans="1:30" x14ac:dyDescent="0.2">
      <c r="A463" s="16"/>
      <c r="B463" s="16"/>
      <c r="C463" s="16"/>
      <c r="D463" s="16"/>
      <c r="E463" s="16"/>
      <c r="F463" s="109"/>
      <c r="G463" s="109"/>
      <c r="H463" s="109"/>
      <c r="I463" s="109"/>
      <c r="J463" s="109"/>
      <c r="K463" s="109"/>
      <c r="L463" s="109"/>
      <c r="M463" s="109"/>
      <c r="N463" s="109"/>
      <c r="O463" s="16"/>
      <c r="P463" s="16"/>
      <c r="Q463" s="16"/>
      <c r="R463" s="16"/>
      <c r="S463" s="16"/>
      <c r="T463" s="16"/>
      <c r="U463" s="16"/>
      <c r="V463" s="16"/>
      <c r="W463" s="16"/>
      <c r="X463" s="16"/>
      <c r="Y463" s="16"/>
      <c r="Z463" s="16"/>
      <c r="AA463" s="16"/>
      <c r="AB463" s="16"/>
      <c r="AC463" s="16"/>
      <c r="AD463" s="16"/>
    </row>
    <row r="464" spans="1:30" x14ac:dyDescent="0.2">
      <c r="A464" s="16"/>
      <c r="B464" s="16"/>
      <c r="C464" s="16"/>
      <c r="D464" s="16"/>
      <c r="E464" s="16"/>
      <c r="F464" s="109"/>
      <c r="G464" s="109"/>
      <c r="H464" s="109"/>
      <c r="I464" s="109"/>
      <c r="J464" s="109"/>
      <c r="K464" s="109"/>
      <c r="L464" s="109"/>
      <c r="M464" s="109"/>
      <c r="N464" s="109"/>
      <c r="O464" s="16"/>
      <c r="P464" s="16"/>
      <c r="Q464" s="16"/>
      <c r="R464" s="16"/>
      <c r="S464" s="16"/>
      <c r="T464" s="16"/>
      <c r="U464" s="16"/>
      <c r="V464" s="16"/>
      <c r="W464" s="16"/>
      <c r="X464" s="16"/>
      <c r="Y464" s="16"/>
      <c r="Z464" s="16"/>
      <c r="AA464" s="16"/>
      <c r="AB464" s="16"/>
      <c r="AC464" s="16"/>
      <c r="AD464" s="16"/>
    </row>
    <row r="465" spans="1:30" x14ac:dyDescent="0.2">
      <c r="A465" s="16"/>
      <c r="B465" s="16"/>
      <c r="C465" s="16"/>
      <c r="D465" s="16"/>
      <c r="E465" s="16"/>
      <c r="F465" s="109"/>
      <c r="G465" s="109"/>
      <c r="H465" s="109"/>
      <c r="I465" s="109"/>
      <c r="J465" s="109"/>
      <c r="K465" s="109"/>
      <c r="L465" s="109"/>
      <c r="M465" s="109"/>
      <c r="N465" s="109"/>
      <c r="O465" s="16"/>
      <c r="P465" s="16"/>
      <c r="Q465" s="16"/>
      <c r="R465" s="16"/>
      <c r="S465" s="16"/>
      <c r="T465" s="16"/>
      <c r="U465" s="16"/>
      <c r="V465" s="16"/>
      <c r="W465" s="16"/>
      <c r="X465" s="16"/>
      <c r="Y465" s="16"/>
      <c r="Z465" s="16"/>
      <c r="AA465" s="16"/>
      <c r="AB465" s="16"/>
      <c r="AC465" s="16"/>
      <c r="AD465" s="16"/>
    </row>
    <row r="466" spans="1:30" x14ac:dyDescent="0.2">
      <c r="A466" s="16"/>
      <c r="B466" s="16"/>
      <c r="C466" s="16"/>
      <c r="D466" s="16"/>
      <c r="E466" s="16"/>
      <c r="F466" s="109"/>
      <c r="G466" s="109"/>
      <c r="H466" s="109"/>
      <c r="I466" s="109"/>
      <c r="J466" s="109"/>
      <c r="K466" s="109"/>
      <c r="L466" s="109"/>
      <c r="M466" s="109"/>
      <c r="N466" s="109"/>
      <c r="O466" s="16"/>
      <c r="P466" s="16"/>
      <c r="Q466" s="16"/>
      <c r="R466" s="16"/>
      <c r="S466" s="16"/>
      <c r="T466" s="16"/>
      <c r="U466" s="16"/>
      <c r="V466" s="16"/>
      <c r="W466" s="16"/>
      <c r="X466" s="16"/>
      <c r="Y466" s="16"/>
      <c r="Z466" s="16"/>
      <c r="AA466" s="16"/>
      <c r="AB466" s="16"/>
      <c r="AC466" s="16"/>
      <c r="AD466" s="16"/>
    </row>
    <row r="467" spans="1:30" x14ac:dyDescent="0.2">
      <c r="A467" s="16"/>
      <c r="B467" s="16"/>
      <c r="C467" s="16"/>
      <c r="D467" s="16"/>
      <c r="E467" s="16"/>
      <c r="F467" s="109"/>
      <c r="G467" s="109"/>
      <c r="H467" s="109"/>
      <c r="I467" s="109"/>
      <c r="J467" s="109"/>
      <c r="K467" s="109"/>
      <c r="L467" s="109"/>
      <c r="M467" s="109"/>
      <c r="N467" s="109"/>
      <c r="O467" s="16"/>
      <c r="P467" s="16"/>
      <c r="Q467" s="16"/>
      <c r="R467" s="16"/>
      <c r="S467" s="16"/>
      <c r="T467" s="16"/>
      <c r="U467" s="16"/>
      <c r="V467" s="16"/>
      <c r="W467" s="16"/>
      <c r="X467" s="16"/>
      <c r="Y467" s="16"/>
      <c r="Z467" s="16"/>
      <c r="AA467" s="16"/>
      <c r="AB467" s="16"/>
      <c r="AC467" s="16"/>
      <c r="AD467" s="16"/>
    </row>
    <row r="468" spans="1:30" x14ac:dyDescent="0.2">
      <c r="A468" s="16"/>
      <c r="B468" s="16"/>
      <c r="C468" s="16"/>
      <c r="D468" s="16"/>
      <c r="E468" s="16"/>
      <c r="F468" s="109"/>
      <c r="G468" s="109"/>
      <c r="H468" s="109"/>
      <c r="I468" s="109"/>
      <c r="J468" s="109"/>
      <c r="K468" s="109"/>
      <c r="L468" s="109"/>
      <c r="M468" s="109"/>
      <c r="N468" s="109"/>
      <c r="O468" s="16"/>
      <c r="P468" s="16"/>
      <c r="Q468" s="16"/>
      <c r="R468" s="16"/>
      <c r="S468" s="16"/>
      <c r="T468" s="16"/>
      <c r="U468" s="16"/>
      <c r="V468" s="16"/>
      <c r="W468" s="16"/>
      <c r="X468" s="16"/>
      <c r="Y468" s="16"/>
      <c r="Z468" s="16"/>
      <c r="AA468" s="16"/>
      <c r="AB468" s="16"/>
      <c r="AC468" s="16"/>
      <c r="AD468" s="16"/>
    </row>
    <row r="469" spans="1:30" x14ac:dyDescent="0.2">
      <c r="A469" s="16"/>
      <c r="B469" s="16"/>
      <c r="C469" s="16"/>
      <c r="D469" s="16"/>
      <c r="E469" s="16"/>
      <c r="F469" s="109"/>
      <c r="G469" s="109"/>
      <c r="H469" s="109"/>
      <c r="I469" s="109"/>
      <c r="J469" s="109"/>
      <c r="K469" s="109"/>
      <c r="L469" s="109"/>
      <c r="M469" s="109"/>
      <c r="N469" s="109"/>
      <c r="O469" s="16"/>
      <c r="P469" s="16"/>
      <c r="Q469" s="16"/>
      <c r="R469" s="16"/>
      <c r="S469" s="16"/>
      <c r="T469" s="16"/>
      <c r="U469" s="16"/>
      <c r="V469" s="16"/>
      <c r="W469" s="16"/>
      <c r="X469" s="16"/>
      <c r="Y469" s="16"/>
      <c r="Z469" s="16"/>
      <c r="AA469" s="16"/>
      <c r="AB469" s="16"/>
      <c r="AC469" s="16"/>
      <c r="AD469" s="16"/>
    </row>
    <row r="470" spans="1:30" x14ac:dyDescent="0.2">
      <c r="A470" s="16"/>
      <c r="B470" s="16"/>
      <c r="C470" s="16"/>
      <c r="D470" s="16"/>
      <c r="E470" s="16"/>
      <c r="F470" s="109"/>
      <c r="G470" s="109"/>
      <c r="H470" s="109"/>
      <c r="I470" s="109"/>
      <c r="J470" s="109"/>
      <c r="K470" s="109"/>
      <c r="L470" s="109"/>
      <c r="M470" s="109"/>
      <c r="N470" s="109"/>
      <c r="O470" s="16"/>
      <c r="P470" s="16"/>
      <c r="Q470" s="16"/>
      <c r="R470" s="16"/>
      <c r="S470" s="16"/>
      <c r="T470" s="16"/>
      <c r="U470" s="16"/>
      <c r="V470" s="16"/>
      <c r="W470" s="16"/>
      <c r="X470" s="16"/>
      <c r="Y470" s="16"/>
      <c r="Z470" s="16"/>
      <c r="AA470" s="16"/>
      <c r="AB470" s="16"/>
      <c r="AC470" s="16"/>
      <c r="AD470" s="16"/>
    </row>
    <row r="471" spans="1:30" x14ac:dyDescent="0.2">
      <c r="A471" s="16"/>
      <c r="B471" s="16"/>
      <c r="C471" s="16"/>
      <c r="D471" s="16"/>
      <c r="E471" s="16"/>
      <c r="F471" s="109"/>
      <c r="G471" s="109"/>
      <c r="H471" s="109"/>
      <c r="I471" s="109"/>
      <c r="J471" s="109"/>
      <c r="K471" s="109"/>
      <c r="L471" s="109"/>
      <c r="M471" s="109"/>
      <c r="N471" s="109"/>
      <c r="O471" s="16"/>
      <c r="P471" s="16"/>
      <c r="Q471" s="16"/>
      <c r="R471" s="16"/>
      <c r="S471" s="16"/>
      <c r="T471" s="16"/>
      <c r="U471" s="16"/>
      <c r="V471" s="16"/>
      <c r="W471" s="16"/>
      <c r="X471" s="16"/>
      <c r="Y471" s="16"/>
      <c r="Z471" s="16"/>
      <c r="AA471" s="16"/>
      <c r="AB471" s="16"/>
      <c r="AC471" s="16"/>
      <c r="AD471" s="16"/>
    </row>
    <row r="472" spans="1:30" x14ac:dyDescent="0.2">
      <c r="A472" s="16"/>
      <c r="B472" s="16"/>
      <c r="C472" s="16"/>
      <c r="D472" s="16"/>
      <c r="E472" s="16"/>
      <c r="F472" s="109"/>
      <c r="G472" s="109"/>
      <c r="H472" s="109"/>
      <c r="I472" s="109"/>
      <c r="J472" s="109"/>
      <c r="K472" s="109"/>
      <c r="L472" s="109"/>
      <c r="M472" s="109"/>
      <c r="N472" s="109"/>
      <c r="O472" s="16"/>
      <c r="P472" s="16"/>
      <c r="Q472" s="16"/>
      <c r="R472" s="16"/>
      <c r="S472" s="16"/>
      <c r="T472" s="16"/>
      <c r="U472" s="16"/>
      <c r="V472" s="16"/>
      <c r="W472" s="16"/>
      <c r="X472" s="16"/>
      <c r="Y472" s="16"/>
      <c r="Z472" s="16"/>
      <c r="AA472" s="16"/>
      <c r="AB472" s="16"/>
      <c r="AC472" s="16"/>
      <c r="AD472" s="16"/>
    </row>
    <row r="473" spans="1:30" x14ac:dyDescent="0.2">
      <c r="A473" s="16"/>
      <c r="B473" s="16"/>
      <c r="C473" s="16"/>
      <c r="D473" s="16"/>
      <c r="E473" s="16"/>
      <c r="F473" s="109"/>
      <c r="G473" s="109"/>
      <c r="H473" s="109"/>
      <c r="I473" s="109"/>
      <c r="J473" s="109"/>
      <c r="K473" s="109"/>
      <c r="L473" s="109"/>
      <c r="M473" s="109"/>
      <c r="N473" s="109"/>
      <c r="O473" s="16"/>
      <c r="P473" s="16"/>
      <c r="Q473" s="16"/>
      <c r="R473" s="16"/>
      <c r="S473" s="16"/>
      <c r="T473" s="16"/>
      <c r="U473" s="16"/>
      <c r="V473" s="16"/>
      <c r="W473" s="16"/>
      <c r="X473" s="16"/>
      <c r="Y473" s="16"/>
      <c r="Z473" s="16"/>
      <c r="AA473" s="16"/>
      <c r="AB473" s="16"/>
      <c r="AC473" s="16"/>
      <c r="AD473" s="16"/>
    </row>
    <row r="474" spans="1:30" x14ac:dyDescent="0.2">
      <c r="A474" s="16"/>
      <c r="B474" s="16"/>
      <c r="C474" s="16"/>
      <c r="D474" s="16"/>
      <c r="E474" s="16"/>
      <c r="F474" s="109"/>
      <c r="G474" s="109"/>
      <c r="H474" s="109"/>
      <c r="I474" s="109"/>
      <c r="J474" s="109"/>
      <c r="K474" s="109"/>
      <c r="L474" s="109"/>
      <c r="M474" s="109"/>
      <c r="N474" s="109"/>
      <c r="O474" s="16"/>
      <c r="P474" s="16"/>
      <c r="Q474" s="16"/>
      <c r="R474" s="16"/>
      <c r="S474" s="16"/>
      <c r="T474" s="16"/>
      <c r="U474" s="16"/>
      <c r="V474" s="16"/>
      <c r="W474" s="16"/>
      <c r="X474" s="16"/>
      <c r="Y474" s="16"/>
      <c r="Z474" s="16"/>
      <c r="AA474" s="16"/>
      <c r="AB474" s="16"/>
      <c r="AC474" s="16"/>
      <c r="AD474" s="16"/>
    </row>
    <row r="475" spans="1:30" x14ac:dyDescent="0.2">
      <c r="A475" s="16"/>
      <c r="B475" s="16"/>
      <c r="C475" s="16"/>
      <c r="D475" s="16"/>
      <c r="E475" s="16"/>
      <c r="F475" s="109"/>
      <c r="G475" s="109"/>
      <c r="H475" s="109"/>
      <c r="I475" s="109"/>
      <c r="J475" s="109"/>
      <c r="K475" s="109"/>
      <c r="L475" s="109"/>
      <c r="M475" s="109"/>
      <c r="N475" s="109"/>
      <c r="O475" s="16"/>
      <c r="P475" s="16"/>
      <c r="Q475" s="16"/>
      <c r="R475" s="16"/>
      <c r="S475" s="16"/>
      <c r="T475" s="16"/>
      <c r="U475" s="16"/>
      <c r="V475" s="16"/>
      <c r="W475" s="16"/>
      <c r="X475" s="16"/>
      <c r="Y475" s="16"/>
      <c r="Z475" s="16"/>
      <c r="AA475" s="16"/>
      <c r="AB475" s="16"/>
      <c r="AC475" s="16"/>
      <c r="AD475" s="16"/>
    </row>
    <row r="476" spans="1:30" x14ac:dyDescent="0.2">
      <c r="A476" s="16"/>
      <c r="B476" s="16"/>
      <c r="C476" s="16"/>
      <c r="D476" s="16"/>
      <c r="E476" s="16"/>
      <c r="F476" s="109"/>
      <c r="G476" s="109"/>
      <c r="H476" s="109"/>
      <c r="I476" s="109"/>
      <c r="J476" s="109"/>
      <c r="K476" s="109"/>
      <c r="L476" s="109"/>
      <c r="M476" s="109"/>
      <c r="N476" s="109"/>
      <c r="O476" s="16"/>
      <c r="P476" s="16"/>
      <c r="Q476" s="16"/>
      <c r="R476" s="16"/>
      <c r="S476" s="16"/>
      <c r="T476" s="16"/>
      <c r="U476" s="16"/>
      <c r="V476" s="16"/>
      <c r="W476" s="16"/>
      <c r="X476" s="16"/>
      <c r="Y476" s="16"/>
      <c r="Z476" s="16"/>
      <c r="AA476" s="16"/>
      <c r="AB476" s="16"/>
      <c r="AC476" s="16"/>
      <c r="AD476" s="16"/>
    </row>
    <row r="477" spans="1:30" x14ac:dyDescent="0.2">
      <c r="A477" s="16"/>
      <c r="B477" s="16"/>
      <c r="C477" s="16"/>
      <c r="D477" s="16"/>
      <c r="E477" s="16"/>
      <c r="F477" s="109"/>
      <c r="G477" s="109"/>
      <c r="H477" s="109"/>
      <c r="I477" s="109"/>
      <c r="J477" s="109"/>
      <c r="K477" s="109"/>
      <c r="L477" s="109"/>
      <c r="M477" s="109"/>
      <c r="N477" s="109"/>
      <c r="O477" s="16"/>
      <c r="P477" s="16"/>
      <c r="Q477" s="16"/>
      <c r="R477" s="16"/>
      <c r="S477" s="16"/>
      <c r="T477" s="16"/>
      <c r="U477" s="16"/>
      <c r="V477" s="16"/>
      <c r="W477" s="16"/>
      <c r="X477" s="16"/>
      <c r="Y477" s="16"/>
      <c r="Z477" s="16"/>
      <c r="AA477" s="16"/>
      <c r="AB477" s="16"/>
      <c r="AC477" s="16"/>
      <c r="AD477" s="16"/>
    </row>
    <row r="478" spans="1:30" x14ac:dyDescent="0.2">
      <c r="A478" s="16"/>
      <c r="B478" s="16"/>
      <c r="C478" s="16"/>
      <c r="D478" s="16"/>
      <c r="E478" s="16"/>
      <c r="F478" s="109"/>
      <c r="G478" s="109"/>
      <c r="H478" s="109"/>
      <c r="I478" s="109"/>
      <c r="J478" s="109"/>
      <c r="K478" s="109"/>
      <c r="L478" s="109"/>
      <c r="M478" s="109"/>
      <c r="N478" s="109"/>
      <c r="O478" s="16"/>
      <c r="P478" s="16"/>
      <c r="Q478" s="16"/>
      <c r="R478" s="16"/>
      <c r="S478" s="16"/>
      <c r="T478" s="16"/>
      <c r="U478" s="16"/>
      <c r="V478" s="16"/>
      <c r="W478" s="16"/>
      <c r="X478" s="16"/>
      <c r="Y478" s="16"/>
      <c r="Z478" s="16"/>
      <c r="AA478" s="16"/>
      <c r="AB478" s="16"/>
      <c r="AC478" s="16"/>
      <c r="AD478" s="16"/>
    </row>
    <row r="479" spans="1:30" x14ac:dyDescent="0.2">
      <c r="A479" s="16"/>
      <c r="B479" s="16"/>
      <c r="C479" s="16"/>
      <c r="D479" s="16"/>
      <c r="E479" s="16"/>
      <c r="F479" s="109"/>
      <c r="G479" s="109"/>
      <c r="H479" s="109"/>
      <c r="I479" s="109"/>
      <c r="J479" s="109"/>
      <c r="K479" s="109"/>
      <c r="L479" s="109"/>
      <c r="M479" s="109"/>
      <c r="N479" s="109"/>
      <c r="O479" s="16"/>
      <c r="P479" s="16"/>
      <c r="Q479" s="16"/>
      <c r="R479" s="16"/>
      <c r="S479" s="16"/>
      <c r="T479" s="16"/>
      <c r="U479" s="16"/>
      <c r="V479" s="16"/>
      <c r="W479" s="16"/>
      <c r="X479" s="16"/>
      <c r="Y479" s="16"/>
      <c r="Z479" s="16"/>
      <c r="AA479" s="16"/>
      <c r="AB479" s="16"/>
      <c r="AC479" s="16"/>
      <c r="AD479" s="16"/>
    </row>
    <row r="480" spans="1:30" x14ac:dyDescent="0.2">
      <c r="A480" s="16"/>
      <c r="B480" s="16"/>
      <c r="C480" s="16"/>
      <c r="D480" s="16"/>
      <c r="E480" s="16"/>
      <c r="F480" s="109"/>
      <c r="G480" s="109"/>
      <c r="H480" s="109"/>
      <c r="I480" s="109"/>
      <c r="J480" s="109"/>
      <c r="K480" s="109"/>
      <c r="L480" s="109"/>
      <c r="M480" s="109"/>
      <c r="N480" s="109"/>
      <c r="O480" s="16"/>
      <c r="P480" s="16"/>
      <c r="Q480" s="16"/>
      <c r="R480" s="16"/>
      <c r="S480" s="16"/>
      <c r="T480" s="16"/>
      <c r="U480" s="16"/>
      <c r="V480" s="16"/>
      <c r="W480" s="16"/>
      <c r="X480" s="16"/>
      <c r="Y480" s="16"/>
      <c r="Z480" s="16"/>
      <c r="AA480" s="16"/>
      <c r="AB480" s="16"/>
      <c r="AC480" s="16"/>
      <c r="AD480" s="16"/>
    </row>
    <row r="481" spans="1:30" x14ac:dyDescent="0.2">
      <c r="A481" s="16"/>
      <c r="B481" s="16"/>
      <c r="C481" s="16"/>
      <c r="D481" s="16"/>
      <c r="E481" s="16"/>
      <c r="F481" s="109"/>
      <c r="G481" s="109"/>
      <c r="H481" s="109"/>
      <c r="I481" s="109"/>
      <c r="J481" s="109"/>
      <c r="K481" s="109"/>
      <c r="L481" s="109"/>
      <c r="M481" s="109"/>
      <c r="N481" s="109"/>
      <c r="O481" s="16"/>
      <c r="P481" s="16"/>
      <c r="Q481" s="16"/>
      <c r="R481" s="16"/>
      <c r="S481" s="16"/>
      <c r="T481" s="16"/>
      <c r="U481" s="16"/>
      <c r="V481" s="16"/>
      <c r="W481" s="16"/>
      <c r="X481" s="16"/>
      <c r="Y481" s="16"/>
      <c r="Z481" s="16"/>
      <c r="AA481" s="16"/>
      <c r="AB481" s="16"/>
      <c r="AC481" s="16"/>
      <c r="AD481" s="16"/>
    </row>
    <row r="482" spans="1:30" x14ac:dyDescent="0.2">
      <c r="A482" s="16"/>
      <c r="B482" s="16"/>
      <c r="C482" s="16"/>
      <c r="D482" s="16"/>
      <c r="E482" s="16"/>
      <c r="F482" s="109"/>
      <c r="G482" s="109"/>
      <c r="H482" s="109"/>
      <c r="I482" s="109"/>
      <c r="J482" s="109"/>
      <c r="K482" s="109"/>
      <c r="L482" s="109"/>
      <c r="M482" s="109"/>
      <c r="N482" s="109"/>
      <c r="O482" s="16"/>
      <c r="P482" s="16"/>
      <c r="Q482" s="16"/>
      <c r="R482" s="16"/>
      <c r="S482" s="16"/>
      <c r="T482" s="16"/>
      <c r="U482" s="16"/>
      <c r="V482" s="16"/>
      <c r="W482" s="16"/>
      <c r="X482" s="16"/>
      <c r="Y482" s="16"/>
      <c r="Z482" s="16"/>
      <c r="AA482" s="16"/>
      <c r="AB482" s="16"/>
      <c r="AC482" s="16"/>
      <c r="AD482" s="16"/>
    </row>
    <row r="483" spans="1:30" x14ac:dyDescent="0.2">
      <c r="A483" s="16"/>
      <c r="B483" s="16"/>
      <c r="C483" s="16"/>
      <c r="D483" s="16"/>
      <c r="E483" s="16"/>
      <c r="F483" s="109"/>
      <c r="G483" s="109"/>
      <c r="H483" s="109"/>
      <c r="I483" s="109"/>
      <c r="J483" s="109"/>
      <c r="K483" s="109"/>
      <c r="L483" s="109"/>
      <c r="M483" s="109"/>
      <c r="N483" s="109"/>
      <c r="O483" s="16"/>
      <c r="P483" s="16"/>
      <c r="Q483" s="16"/>
      <c r="R483" s="16"/>
      <c r="S483" s="16"/>
      <c r="T483" s="16"/>
      <c r="U483" s="16"/>
      <c r="V483" s="16"/>
      <c r="W483" s="16"/>
      <c r="X483" s="16"/>
      <c r="Y483" s="16"/>
      <c r="Z483" s="16"/>
      <c r="AA483" s="16"/>
      <c r="AB483" s="16"/>
      <c r="AC483" s="16"/>
      <c r="AD483" s="16"/>
    </row>
    <row r="484" spans="1:30" x14ac:dyDescent="0.2">
      <c r="A484" s="16"/>
      <c r="B484" s="16"/>
      <c r="C484" s="16"/>
      <c r="D484" s="16"/>
      <c r="E484" s="16"/>
      <c r="F484" s="109"/>
      <c r="G484" s="109"/>
      <c r="H484" s="109"/>
      <c r="I484" s="109"/>
      <c r="J484" s="109"/>
      <c r="K484" s="109"/>
      <c r="L484" s="109"/>
      <c r="M484" s="109"/>
      <c r="N484" s="109"/>
      <c r="O484" s="16"/>
      <c r="P484" s="16"/>
      <c r="Q484" s="16"/>
      <c r="R484" s="16"/>
      <c r="S484" s="16"/>
      <c r="T484" s="16"/>
      <c r="U484" s="16"/>
      <c r="V484" s="16"/>
      <c r="W484" s="16"/>
      <c r="X484" s="16"/>
      <c r="Y484" s="16"/>
      <c r="Z484" s="16"/>
      <c r="AA484" s="16"/>
      <c r="AB484" s="16"/>
      <c r="AC484" s="16"/>
      <c r="AD484" s="16"/>
    </row>
    <row r="485" spans="1:30" x14ac:dyDescent="0.2">
      <c r="A485" s="16"/>
      <c r="B485" s="16"/>
      <c r="C485" s="16"/>
      <c r="D485" s="16"/>
      <c r="E485" s="16"/>
      <c r="F485" s="109"/>
      <c r="G485" s="109"/>
      <c r="H485" s="109"/>
      <c r="I485" s="109"/>
      <c r="J485" s="109"/>
      <c r="K485" s="109"/>
      <c r="L485" s="109"/>
      <c r="M485" s="109"/>
      <c r="N485" s="109"/>
      <c r="O485" s="16"/>
      <c r="P485" s="16"/>
      <c r="Q485" s="16"/>
      <c r="R485" s="16"/>
      <c r="S485" s="16"/>
      <c r="T485" s="16"/>
      <c r="U485" s="16"/>
      <c r="V485" s="16"/>
      <c r="W485" s="16"/>
      <c r="X485" s="16"/>
      <c r="Y485" s="16"/>
      <c r="Z485" s="16"/>
      <c r="AA485" s="16"/>
      <c r="AB485" s="16"/>
      <c r="AC485" s="16"/>
      <c r="AD485" s="16"/>
    </row>
    <row r="486" spans="1:30" x14ac:dyDescent="0.2">
      <c r="A486" s="16"/>
      <c r="B486" s="16"/>
      <c r="C486" s="16"/>
      <c r="D486" s="16"/>
      <c r="E486" s="16"/>
      <c r="F486" s="109"/>
      <c r="G486" s="109"/>
      <c r="H486" s="109"/>
      <c r="I486" s="109"/>
      <c r="J486" s="109"/>
      <c r="K486" s="109"/>
      <c r="L486" s="109"/>
      <c r="M486" s="109"/>
      <c r="N486" s="109"/>
      <c r="O486" s="16"/>
      <c r="P486" s="16"/>
      <c r="Q486" s="16"/>
      <c r="R486" s="16"/>
      <c r="S486" s="16"/>
      <c r="T486" s="16"/>
      <c r="U486" s="16"/>
      <c r="V486" s="16"/>
      <c r="W486" s="16"/>
      <c r="X486" s="16"/>
      <c r="Y486" s="16"/>
      <c r="Z486" s="16"/>
      <c r="AA486" s="16"/>
      <c r="AB486" s="16"/>
      <c r="AC486" s="16"/>
      <c r="AD486" s="16"/>
    </row>
    <row r="487" spans="1:30" x14ac:dyDescent="0.2">
      <c r="A487" s="16"/>
      <c r="B487" s="16"/>
      <c r="C487" s="16"/>
      <c r="D487" s="16"/>
      <c r="E487" s="16"/>
      <c r="F487" s="109"/>
      <c r="G487" s="109"/>
      <c r="H487" s="109"/>
      <c r="I487" s="109"/>
      <c r="J487" s="109"/>
      <c r="K487" s="109"/>
      <c r="L487" s="109"/>
      <c r="M487" s="109"/>
      <c r="N487" s="109"/>
      <c r="O487" s="16"/>
      <c r="P487" s="16"/>
      <c r="Q487" s="16"/>
      <c r="R487" s="16"/>
      <c r="S487" s="16"/>
      <c r="T487" s="16"/>
      <c r="U487" s="16"/>
      <c r="V487" s="16"/>
      <c r="W487" s="16"/>
      <c r="X487" s="16"/>
      <c r="Y487" s="16"/>
      <c r="Z487" s="16"/>
      <c r="AA487" s="16"/>
      <c r="AB487" s="16"/>
      <c r="AC487" s="16"/>
      <c r="AD487" s="16"/>
    </row>
    <row r="488" spans="1:30" x14ac:dyDescent="0.2">
      <c r="A488" s="16"/>
      <c r="B488" s="16"/>
      <c r="C488" s="16"/>
      <c r="D488" s="16"/>
      <c r="E488" s="16"/>
      <c r="F488" s="109"/>
      <c r="G488" s="109"/>
      <c r="H488" s="109"/>
      <c r="I488" s="109"/>
      <c r="J488" s="109"/>
      <c r="K488" s="109"/>
      <c r="L488" s="109"/>
      <c r="M488" s="109"/>
      <c r="N488" s="109"/>
      <c r="O488" s="16"/>
      <c r="P488" s="16"/>
      <c r="Q488" s="16"/>
      <c r="R488" s="16"/>
      <c r="S488" s="16"/>
      <c r="T488" s="16"/>
      <c r="U488" s="16"/>
      <c r="V488" s="16"/>
      <c r="W488" s="16"/>
      <c r="X488" s="16"/>
      <c r="Y488" s="16"/>
      <c r="Z488" s="16"/>
      <c r="AA488" s="16"/>
      <c r="AB488" s="16"/>
      <c r="AC488" s="16"/>
      <c r="AD488" s="16"/>
    </row>
    <row r="489" spans="1:30" x14ac:dyDescent="0.2">
      <c r="A489" s="16"/>
      <c r="B489" s="16"/>
      <c r="C489" s="16"/>
      <c r="D489" s="16"/>
      <c r="E489" s="16"/>
      <c r="F489" s="109"/>
      <c r="G489" s="109"/>
      <c r="H489" s="109"/>
      <c r="I489" s="109"/>
      <c r="J489" s="109"/>
      <c r="K489" s="109"/>
      <c r="L489" s="109"/>
      <c r="M489" s="109"/>
      <c r="N489" s="109"/>
      <c r="O489" s="16"/>
      <c r="P489" s="16"/>
      <c r="Q489" s="16"/>
      <c r="R489" s="16"/>
      <c r="S489" s="16"/>
      <c r="T489" s="16"/>
      <c r="U489" s="16"/>
      <c r="V489" s="16"/>
      <c r="W489" s="16"/>
      <c r="X489" s="16"/>
      <c r="Y489" s="16"/>
      <c r="Z489" s="16"/>
      <c r="AA489" s="16"/>
      <c r="AB489" s="16"/>
      <c r="AC489" s="16"/>
      <c r="AD489" s="16"/>
    </row>
    <row r="490" spans="1:30" x14ac:dyDescent="0.2">
      <c r="A490" s="16"/>
      <c r="B490" s="16"/>
      <c r="C490" s="16"/>
      <c r="D490" s="16"/>
      <c r="E490" s="16"/>
      <c r="F490" s="109"/>
      <c r="G490" s="109"/>
      <c r="H490" s="109"/>
      <c r="I490" s="109"/>
      <c r="J490" s="109"/>
      <c r="K490" s="109"/>
      <c r="L490" s="109"/>
      <c r="M490" s="109"/>
      <c r="N490" s="109"/>
      <c r="O490" s="16"/>
      <c r="P490" s="16"/>
      <c r="Q490" s="16"/>
      <c r="R490" s="16"/>
      <c r="S490" s="16"/>
      <c r="T490" s="16"/>
      <c r="U490" s="16"/>
      <c r="V490" s="16"/>
      <c r="W490" s="16"/>
      <c r="X490" s="16"/>
      <c r="Y490" s="16"/>
      <c r="Z490" s="16"/>
      <c r="AA490" s="16"/>
      <c r="AB490" s="16"/>
      <c r="AC490" s="16"/>
      <c r="AD490" s="16"/>
    </row>
    <row r="491" spans="1:30" x14ac:dyDescent="0.2">
      <c r="A491" s="16"/>
      <c r="B491" s="16"/>
      <c r="C491" s="16"/>
      <c r="D491" s="16"/>
      <c r="E491" s="16"/>
      <c r="F491" s="109"/>
      <c r="G491" s="109"/>
      <c r="H491" s="109"/>
      <c r="I491" s="109"/>
      <c r="J491" s="109"/>
      <c r="K491" s="109"/>
      <c r="L491" s="109"/>
      <c r="M491" s="109"/>
      <c r="N491" s="109"/>
      <c r="O491" s="16"/>
      <c r="P491" s="16"/>
      <c r="Q491" s="16"/>
      <c r="R491" s="16"/>
      <c r="S491" s="16"/>
      <c r="T491" s="16"/>
      <c r="U491" s="16"/>
      <c r="V491" s="16"/>
      <c r="W491" s="16"/>
      <c r="X491" s="16"/>
      <c r="Y491" s="16"/>
      <c r="Z491" s="16"/>
      <c r="AA491" s="16"/>
      <c r="AB491" s="16"/>
      <c r="AC491" s="16"/>
      <c r="AD491" s="16"/>
    </row>
    <row r="492" spans="1:30" x14ac:dyDescent="0.2">
      <c r="A492" s="16"/>
      <c r="B492" s="16"/>
      <c r="C492" s="16"/>
      <c r="D492" s="16"/>
      <c r="E492" s="16"/>
      <c r="F492" s="109"/>
      <c r="G492" s="109"/>
      <c r="H492" s="109"/>
      <c r="I492" s="109"/>
      <c r="J492" s="109"/>
      <c r="K492" s="109"/>
      <c r="L492" s="109"/>
      <c r="M492" s="109"/>
      <c r="N492" s="109"/>
      <c r="O492" s="16"/>
      <c r="P492" s="16"/>
      <c r="Q492" s="16"/>
      <c r="R492" s="16"/>
      <c r="S492" s="16"/>
      <c r="T492" s="16"/>
      <c r="U492" s="16"/>
      <c r="V492" s="16"/>
      <c r="W492" s="16"/>
      <c r="X492" s="16"/>
      <c r="Y492" s="16"/>
      <c r="Z492" s="16"/>
      <c r="AA492" s="16"/>
      <c r="AB492" s="16"/>
      <c r="AC492" s="16"/>
      <c r="AD492" s="16"/>
    </row>
    <row r="493" spans="1:30" x14ac:dyDescent="0.2">
      <c r="A493" s="16"/>
      <c r="B493" s="16"/>
      <c r="C493" s="16"/>
      <c r="D493" s="16"/>
      <c r="E493" s="16"/>
      <c r="F493" s="109"/>
      <c r="G493" s="109"/>
      <c r="H493" s="109"/>
      <c r="I493" s="109"/>
      <c r="J493" s="109"/>
      <c r="K493" s="109"/>
      <c r="L493" s="109"/>
      <c r="M493" s="109"/>
      <c r="N493" s="109"/>
      <c r="O493" s="16"/>
      <c r="P493" s="16"/>
      <c r="Q493" s="16"/>
      <c r="R493" s="16"/>
      <c r="S493" s="16"/>
      <c r="T493" s="16"/>
      <c r="U493" s="16"/>
      <c r="V493" s="16"/>
      <c r="W493" s="16"/>
      <c r="X493" s="16"/>
      <c r="Y493" s="16"/>
      <c r="Z493" s="16"/>
      <c r="AA493" s="16"/>
      <c r="AB493" s="16"/>
      <c r="AC493" s="16"/>
      <c r="AD493" s="16"/>
    </row>
    <row r="494" spans="1:30" x14ac:dyDescent="0.2">
      <c r="A494" s="16"/>
      <c r="B494" s="16"/>
      <c r="C494" s="16"/>
      <c r="D494" s="16"/>
      <c r="E494" s="16"/>
      <c r="F494" s="109"/>
      <c r="G494" s="109"/>
      <c r="H494" s="109"/>
      <c r="I494" s="109"/>
      <c r="J494" s="109"/>
      <c r="K494" s="109"/>
      <c r="L494" s="109"/>
      <c r="M494" s="109"/>
      <c r="N494" s="109"/>
      <c r="O494" s="16"/>
      <c r="P494" s="16"/>
      <c r="Q494" s="16"/>
      <c r="R494" s="16"/>
      <c r="S494" s="16"/>
      <c r="T494" s="16"/>
      <c r="U494" s="16"/>
      <c r="V494" s="16"/>
      <c r="W494" s="16"/>
      <c r="X494" s="16"/>
      <c r="Y494" s="16"/>
      <c r="Z494" s="16"/>
      <c r="AA494" s="16"/>
      <c r="AB494" s="16"/>
      <c r="AC494" s="16"/>
      <c r="AD494" s="16"/>
    </row>
    <row r="495" spans="1:30" x14ac:dyDescent="0.2">
      <c r="A495" s="16"/>
      <c r="B495" s="16"/>
      <c r="C495" s="16"/>
      <c r="D495" s="16"/>
      <c r="E495" s="16"/>
      <c r="F495" s="109"/>
      <c r="G495" s="109"/>
      <c r="H495" s="109"/>
      <c r="I495" s="109"/>
      <c r="J495" s="109"/>
      <c r="K495" s="109"/>
      <c r="L495" s="109"/>
      <c r="M495" s="109"/>
      <c r="N495" s="109"/>
      <c r="O495" s="16"/>
      <c r="P495" s="16"/>
      <c r="Q495" s="16"/>
      <c r="R495" s="16"/>
      <c r="S495" s="16"/>
      <c r="T495" s="16"/>
      <c r="U495" s="16"/>
      <c r="V495" s="16"/>
      <c r="W495" s="16"/>
      <c r="X495" s="16"/>
      <c r="Y495" s="16"/>
      <c r="Z495" s="16"/>
      <c r="AA495" s="16"/>
      <c r="AB495" s="16"/>
      <c r="AC495" s="16"/>
      <c r="AD495" s="16"/>
    </row>
    <row r="496" spans="1:30" x14ac:dyDescent="0.2">
      <c r="A496" s="16"/>
      <c r="B496" s="16"/>
      <c r="C496" s="16"/>
      <c r="D496" s="16"/>
      <c r="E496" s="16"/>
      <c r="F496" s="109"/>
      <c r="G496" s="109"/>
      <c r="H496" s="109"/>
      <c r="I496" s="109"/>
      <c r="J496" s="109"/>
      <c r="K496" s="109"/>
      <c r="L496" s="109"/>
      <c r="M496" s="109"/>
      <c r="N496" s="109"/>
      <c r="O496" s="16"/>
      <c r="P496" s="16"/>
      <c r="Q496" s="16"/>
      <c r="R496" s="16"/>
      <c r="S496" s="16"/>
      <c r="T496" s="16"/>
      <c r="U496" s="16"/>
      <c r="V496" s="16"/>
      <c r="W496" s="16"/>
      <c r="X496" s="16"/>
      <c r="Y496" s="16"/>
      <c r="Z496" s="16"/>
      <c r="AA496" s="16"/>
      <c r="AB496" s="16"/>
      <c r="AC496" s="16"/>
      <c r="AD496" s="16"/>
    </row>
    <row r="497" spans="1:30" x14ac:dyDescent="0.2">
      <c r="A497" s="16"/>
      <c r="B497" s="16"/>
      <c r="C497" s="16"/>
      <c r="D497" s="16"/>
      <c r="E497" s="16"/>
      <c r="F497" s="109"/>
      <c r="G497" s="109"/>
      <c r="H497" s="109"/>
      <c r="I497" s="109"/>
      <c r="J497" s="109"/>
      <c r="K497" s="109"/>
      <c r="L497" s="109"/>
      <c r="M497" s="109"/>
      <c r="N497" s="109"/>
      <c r="O497" s="16"/>
      <c r="P497" s="16"/>
      <c r="Q497" s="16"/>
      <c r="R497" s="16"/>
      <c r="S497" s="16"/>
      <c r="T497" s="16"/>
      <c r="U497" s="16"/>
      <c r="V497" s="16"/>
      <c r="W497" s="16"/>
      <c r="X497" s="16"/>
      <c r="Y497" s="16"/>
      <c r="Z497" s="16"/>
      <c r="AA497" s="16"/>
      <c r="AB497" s="16"/>
      <c r="AC497" s="16"/>
      <c r="AD497" s="16"/>
    </row>
    <row r="498" spans="1:30" x14ac:dyDescent="0.2">
      <c r="A498" s="16"/>
      <c r="B498" s="16"/>
      <c r="C498" s="16"/>
      <c r="D498" s="16"/>
      <c r="E498" s="16"/>
      <c r="F498" s="109"/>
      <c r="G498" s="109"/>
      <c r="H498" s="109"/>
      <c r="I498" s="109"/>
      <c r="J498" s="109"/>
      <c r="K498" s="109"/>
      <c r="L498" s="109"/>
      <c r="M498" s="109"/>
      <c r="N498" s="109"/>
      <c r="O498" s="16"/>
      <c r="P498" s="16"/>
      <c r="Q498" s="16"/>
      <c r="R498" s="16"/>
      <c r="S498" s="16"/>
      <c r="T498" s="16"/>
      <c r="U498" s="16"/>
      <c r="V498" s="16"/>
      <c r="W498" s="16"/>
      <c r="X498" s="16"/>
      <c r="Y498" s="16"/>
      <c r="Z498" s="16"/>
      <c r="AA498" s="16"/>
      <c r="AB498" s="16"/>
      <c r="AC498" s="16"/>
      <c r="AD498" s="16"/>
    </row>
    <row r="499" spans="1:30" x14ac:dyDescent="0.2">
      <c r="A499" s="16"/>
      <c r="B499" s="16"/>
      <c r="C499" s="16"/>
      <c r="D499" s="16"/>
      <c r="E499" s="16"/>
      <c r="F499" s="109"/>
      <c r="G499" s="109"/>
      <c r="H499" s="109"/>
      <c r="I499" s="109"/>
      <c r="J499" s="109"/>
      <c r="K499" s="109"/>
      <c r="L499" s="109"/>
      <c r="M499" s="109"/>
      <c r="N499" s="109"/>
      <c r="O499" s="16"/>
      <c r="P499" s="16"/>
      <c r="Q499" s="16"/>
      <c r="R499" s="16"/>
      <c r="S499" s="16"/>
      <c r="T499" s="16"/>
      <c r="U499" s="16"/>
      <c r="V499" s="16"/>
      <c r="W499" s="16"/>
      <c r="X499" s="16"/>
      <c r="Y499" s="16"/>
      <c r="Z499" s="16"/>
      <c r="AA499" s="16"/>
      <c r="AB499" s="16"/>
      <c r="AC499" s="16"/>
      <c r="AD499" s="16"/>
    </row>
    <row r="500" spans="1:30" x14ac:dyDescent="0.2">
      <c r="A500" s="16"/>
      <c r="B500" s="16"/>
      <c r="C500" s="16"/>
      <c r="D500" s="16"/>
      <c r="E500" s="16"/>
      <c r="F500" s="109"/>
      <c r="G500" s="109"/>
      <c r="H500" s="109"/>
      <c r="I500" s="109"/>
      <c r="J500" s="109"/>
      <c r="K500" s="109"/>
      <c r="L500" s="109"/>
      <c r="M500" s="109"/>
      <c r="T500" s="16"/>
      <c r="U500" s="16"/>
      <c r="V500" s="16"/>
      <c r="W500" s="16"/>
      <c r="X500" s="16"/>
      <c r="Y500" s="16"/>
      <c r="Z500" s="16"/>
      <c r="AA500" s="16"/>
      <c r="AB500" s="16"/>
      <c r="AC500" s="16"/>
      <c r="AD500" s="16"/>
    </row>
    <row r="501" spans="1:30" x14ac:dyDescent="0.2">
      <c r="C501" s="16"/>
      <c r="D501" s="16"/>
      <c r="E501" s="16"/>
      <c r="F501" s="109"/>
      <c r="G501" s="109"/>
      <c r="H501" s="109"/>
    </row>
    <row r="502" spans="1:30" x14ac:dyDescent="0.2">
      <c r="C502" s="16"/>
      <c r="D502" s="16"/>
      <c r="E502" s="16"/>
      <c r="F502" s="109"/>
      <c r="G502" s="109"/>
      <c r="H502" s="109"/>
    </row>
    <row r="503" spans="1:30" x14ac:dyDescent="0.2">
      <c r="C503" s="16"/>
      <c r="D503" s="16"/>
      <c r="E503" s="16"/>
      <c r="F503" s="109"/>
      <c r="G503" s="109"/>
      <c r="H503" s="109"/>
    </row>
    <row r="504" spans="1:30" x14ac:dyDescent="0.2">
      <c r="C504" s="16"/>
      <c r="D504" s="16"/>
      <c r="E504" s="16"/>
      <c r="F504" s="109"/>
      <c r="G504" s="109"/>
      <c r="H504" s="109"/>
    </row>
    <row r="505" spans="1:30" x14ac:dyDescent="0.2">
      <c r="C505" s="16"/>
      <c r="D505" s="16"/>
      <c r="E505" s="16"/>
      <c r="F505" s="109"/>
      <c r="G505" s="109"/>
      <c r="H505" s="109"/>
    </row>
  </sheetData>
  <sheetProtection algorithmName="SHA-512" hashValue="zukH+k2d2GIeuBTRIGFY3hjbMu6py+LqDZRDxBsgDSuMm/zQmdBbkItXYFfFE7982QLY9ujEha7PA2yZYvImjw==" saltValue="NIeJ8FVkhODRTIggkpNDsQ==" spinCount="100000" sheet="1" objects="1" scenarios="1"/>
  <protectedRanges>
    <protectedRange sqref="L6:L36" name="Enterprise Addl Years"/>
    <protectedRange sqref="D6:D36" name="Enterprise Qty"/>
  </protectedRanges>
  <dataConsolidate link="1"/>
  <mergeCells count="1">
    <mergeCell ref="N4:S4"/>
  </mergeCells>
  <phoneticPr fontId="21" type="noConversion"/>
  <conditionalFormatting sqref="D13:M16 D25:M36 D18:M23 D11:M11 D6:M9">
    <cfRule type="expression" dxfId="102" priority="18" stopIfTrue="1">
      <formula>_Dev="FWB"</formula>
    </cfRule>
  </conditionalFormatting>
  <conditionalFormatting sqref="F6:H9 F11:H11">
    <cfRule type="expression" dxfId="101" priority="22" stopIfTrue="1">
      <formula>AND(Service="Standalone Support",Device_Type="Enterprise &amp; cnWave")</formula>
    </cfRule>
  </conditionalFormatting>
  <conditionalFormatting sqref="F13:H16">
    <cfRule type="expression" dxfId="100" priority="38" stopIfTrue="1">
      <formula>AND(Service="Standalone Support",Device_Type="Enterprise &amp; cnWave")</formula>
    </cfRule>
  </conditionalFormatting>
  <conditionalFormatting sqref="F18:H23">
    <cfRule type="expression" dxfId="99" priority="41" stopIfTrue="1">
      <formula>AND(Service="Standalone Support",Device_Type="Enterprise &amp; cnWave")</formula>
    </cfRule>
  </conditionalFormatting>
  <conditionalFormatting sqref="F25:H36">
    <cfRule type="expression" dxfId="98" priority="36" stopIfTrue="1">
      <formula>AND(Service="Standalone Support",Device_Type="Enterprise &amp; cnWave")</formula>
    </cfRule>
  </conditionalFormatting>
  <conditionalFormatting sqref="I6:J9 I11:J11">
    <cfRule type="expression" dxfId="97" priority="35" stopIfTrue="1">
      <formula>Service="cnMaestro X"</formula>
    </cfRule>
  </conditionalFormatting>
  <conditionalFormatting sqref="I13:J16">
    <cfRule type="expression" dxfId="96" priority="34" stopIfTrue="1">
      <formula>Service="cnMaestro X"</formula>
    </cfRule>
  </conditionalFormatting>
  <conditionalFormatting sqref="I18:J23">
    <cfRule type="expression" dxfId="95" priority="37" stopIfTrue="1">
      <formula>Service="cnMaestro X"</formula>
    </cfRule>
  </conditionalFormatting>
  <conditionalFormatting sqref="I25:J36">
    <cfRule type="expression" dxfId="94" priority="32" stopIfTrue="1">
      <formula>Service="cnMaestro X"</formula>
    </cfRule>
  </conditionalFormatting>
  <conditionalFormatting sqref="K6:M9 K11:M11">
    <cfRule type="expression" dxfId="93" priority="33" stopIfTrue="1">
      <formula>X_AdvYes</formula>
    </cfRule>
  </conditionalFormatting>
  <conditionalFormatting sqref="K13:M16">
    <cfRule type="expression" dxfId="92" priority="21" stopIfTrue="1">
      <formula>X_AdvYes</formula>
    </cfRule>
  </conditionalFormatting>
  <conditionalFormatting sqref="K18:M23">
    <cfRule type="expression" dxfId="91" priority="20" stopIfTrue="1">
      <formula>X_AdvYes</formula>
    </cfRule>
  </conditionalFormatting>
  <conditionalFormatting sqref="K25:M36">
    <cfRule type="expression" dxfId="90" priority="19" stopIfTrue="1">
      <formula>X_AdvYes</formula>
    </cfRule>
  </conditionalFormatting>
  <conditionalFormatting sqref="L6:L9 L11">
    <cfRule type="cellIs" dxfId="89" priority="43" operator="equal">
      <formula>"Choose"</formula>
    </cfRule>
  </conditionalFormatting>
  <conditionalFormatting sqref="L13:L16">
    <cfRule type="cellIs" dxfId="88" priority="42" operator="equal">
      <formula>"Choose"</formula>
    </cfRule>
  </conditionalFormatting>
  <conditionalFormatting sqref="L18:L23">
    <cfRule type="cellIs" dxfId="87" priority="47" operator="equal">
      <formula>"Choose"</formula>
    </cfRule>
  </conditionalFormatting>
  <conditionalFormatting sqref="L25:L36">
    <cfRule type="cellIs" dxfId="86" priority="40" operator="equal">
      <formula>"Choose"</formula>
    </cfRule>
  </conditionalFormatting>
  <conditionalFormatting sqref="L6:M9 L11:M11">
    <cfRule type="expression" dxfId="85" priority="39" stopIfTrue="1">
      <formula>Scenario="Ent-CCAdv"</formula>
    </cfRule>
  </conditionalFormatting>
  <conditionalFormatting sqref="L13:M16">
    <cfRule type="expression" dxfId="84" priority="31" stopIfTrue="1">
      <formula>Scenario="Ent-CCAdv"</formula>
    </cfRule>
  </conditionalFormatting>
  <conditionalFormatting sqref="L18:M23">
    <cfRule type="expression" dxfId="83" priority="26" stopIfTrue="1">
      <formula>Scenario="Ent-CCAdv"</formula>
    </cfRule>
  </conditionalFormatting>
  <conditionalFormatting sqref="L25:M36">
    <cfRule type="expression" dxfId="82" priority="25" stopIfTrue="1">
      <formula>Scenario="Ent-CCAdv"</formula>
    </cfRule>
  </conditionalFormatting>
  <conditionalFormatting sqref="N2:R3 N4 N5:R36">
    <cfRule type="expression" dxfId="81" priority="17">
      <formula>Hide_Calc="Yes"</formula>
    </cfRule>
  </conditionalFormatting>
  <conditionalFormatting sqref="C41:L46">
    <cfRule type="expression" dxfId="80" priority="16">
      <formula>Hide_Calc="Yes"</formula>
    </cfRule>
  </conditionalFormatting>
  <conditionalFormatting sqref="F3">
    <cfRule type="containsText" dxfId="79" priority="15" operator="containsText" text="Go to">
      <formula>NOT(ISERROR(SEARCH("Go to",F3)))</formula>
    </cfRule>
  </conditionalFormatting>
  <conditionalFormatting sqref="G3:I3">
    <cfRule type="expression" dxfId="78" priority="13">
      <formula>$F$3="Go to the START HERE worksheet and make the required choices"</formula>
    </cfRule>
  </conditionalFormatting>
  <conditionalFormatting sqref="F37">
    <cfRule type="containsText" dxfId="77" priority="1" operator="containsText" text="Free Tier">
      <formula>NOT(ISERROR(SEARCH("Free Tier",F37)))</formula>
    </cfRule>
    <cfRule type="containsText" dxfId="76" priority="9" operator="containsText" text="Tier0">
      <formula>NOT(ISERROR(SEARCH("Tier0",F37)))</formula>
    </cfRule>
  </conditionalFormatting>
  <conditionalFormatting sqref="F38">
    <cfRule type="containsText" dxfId="75" priority="8" operator="containsText" text="Subscription">
      <formula>NOT(ISERROR(SEARCH("Subscription",F38)))</formula>
    </cfRule>
  </conditionalFormatting>
  <conditionalFormatting sqref="F39">
    <cfRule type="containsText" dxfId="74" priority="7" operator="containsText" text="BOM">
      <formula>NOT(ISERROR(SEARCH("BOM",F39)))</formula>
    </cfRule>
  </conditionalFormatting>
  <conditionalFormatting sqref="K37:L37">
    <cfRule type="expression" dxfId="73" priority="6">
      <formula>Hide_Calc="Yes"</formula>
    </cfRule>
  </conditionalFormatting>
  <conditionalFormatting sqref="D6:D9 D11">
    <cfRule type="cellIs" dxfId="72" priority="5" operator="greaterThan">
      <formula>0</formula>
    </cfRule>
  </conditionalFormatting>
  <conditionalFormatting sqref="D13:D16">
    <cfRule type="cellIs" dxfId="71" priority="4" operator="greaterThan">
      <formula>0</formula>
    </cfRule>
  </conditionalFormatting>
  <conditionalFormatting sqref="D18:D23">
    <cfRule type="cellIs" dxfId="70" priority="3" operator="greaterThan">
      <formula>0</formula>
    </cfRule>
  </conditionalFormatting>
  <conditionalFormatting sqref="D25:D36">
    <cfRule type="cellIs" dxfId="69" priority="2" operator="greaterThan">
      <formula>0</formula>
    </cfRule>
  </conditionalFormatting>
  <dataValidations count="1">
    <dataValidation type="list" allowBlank="1" showInputMessage="1" showErrorMessage="1" sqref="L25:L36 L13:L16 L18:L23 L6:L11" xr:uid="{0D5DE4FA-EC8D-4CBA-BA47-9F8C4AF81203}">
      <formula1>IF(NOT(Start_Here_Complete),_Y0,IF(AND(EW,Q6=2),_Y2EW,IF(AND(EW,Q6=4),_Y4AR,IF(AND(EW,Q6="N/A"),_NA,IF(AND(AR,R6=2),_Y2AR,IF(AND(AR,R6=4),_Y4AR,IF(AND(AR,R6="N/A"),_NA,_NA)))))))</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A1:BD332"/>
  <sheetViews>
    <sheetView zoomScaleNormal="100" workbookViewId="0">
      <pane ySplit="8" topLeftCell="A9" activePane="bottomLeft" state="frozen"/>
      <selection activeCell="D43" sqref="D43"/>
      <selection pane="bottomLeft"/>
    </sheetView>
  </sheetViews>
  <sheetFormatPr baseColWidth="10" defaultColWidth="9.1640625" defaultRowHeight="12" x14ac:dyDescent="0.2"/>
  <cols>
    <col min="1" max="2" width="1.83203125" style="8" customWidth="1"/>
    <col min="3" max="3" width="23.6640625" style="1" customWidth="1"/>
    <col min="4" max="4" width="65.6640625" style="1" customWidth="1"/>
    <col min="5" max="5" width="10.6640625" style="29" customWidth="1"/>
    <col min="6" max="6" width="8.6640625" style="1" customWidth="1"/>
    <col min="7" max="7" width="15.6640625" style="1" customWidth="1"/>
    <col min="8" max="8" width="29.1640625" style="150" customWidth="1"/>
    <col min="9" max="9" width="31.1640625" style="150" customWidth="1"/>
    <col min="10" max="10" width="13.83203125" style="146" customWidth="1"/>
    <col min="11" max="11" width="14.6640625" style="146" customWidth="1"/>
    <col min="12" max="12" width="5.83203125" style="146" customWidth="1"/>
    <col min="13" max="16384" width="9.1640625" style="1"/>
  </cols>
  <sheetData>
    <row r="1" spans="1:56" s="8" customFormat="1" ht="10" customHeight="1" thickBot="1" x14ac:dyDescent="0.25">
      <c r="A1" s="11"/>
      <c r="B1" s="11"/>
      <c r="C1" s="11"/>
      <c r="D1" s="11"/>
      <c r="E1" s="24"/>
      <c r="F1" s="11"/>
      <c r="G1" s="11"/>
      <c r="H1" s="148"/>
      <c r="I1" s="148"/>
      <c r="J1" s="143"/>
      <c r="K1" s="143"/>
      <c r="L1" s="143"/>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s="72" customFormat="1" ht="24" customHeight="1" x14ac:dyDescent="0.2">
      <c r="A2" s="67"/>
      <c r="B2" s="540" t="s">
        <v>91</v>
      </c>
      <c r="C2" s="541"/>
      <c r="D2" s="541"/>
      <c r="E2" s="541"/>
      <c r="F2" s="541"/>
      <c r="G2" s="542"/>
      <c r="H2" s="147"/>
      <c r="I2" s="144"/>
      <c r="J2" s="144"/>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row>
    <row r="3" spans="1:56" s="72" customFormat="1" ht="24" customHeight="1" thickBot="1" x14ac:dyDescent="0.25">
      <c r="A3" s="67"/>
      <c r="B3" s="543"/>
      <c r="C3" s="544"/>
      <c r="D3" s="544"/>
      <c r="E3" s="544"/>
      <c r="F3" s="544"/>
      <c r="G3" s="545"/>
      <c r="H3" s="147"/>
      <c r="I3" s="144"/>
      <c r="J3" s="144"/>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row>
    <row r="4" spans="1:56" s="8" customFormat="1" ht="6" customHeight="1" x14ac:dyDescent="0.2">
      <c r="A4" s="11"/>
      <c r="B4" s="11"/>
      <c r="C4" s="12"/>
      <c r="D4" s="12"/>
      <c r="E4" s="25"/>
      <c r="F4" s="12"/>
      <c r="G4" s="12"/>
      <c r="H4" s="143"/>
      <c r="I4" s="143"/>
      <c r="J4" s="143"/>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6" s="8" customFormat="1" ht="23.5" customHeight="1" x14ac:dyDescent="0.3">
      <c r="A5" s="11"/>
      <c r="B5" s="47"/>
      <c r="C5" s="46"/>
      <c r="D5" s="65" t="s">
        <v>1136</v>
      </c>
      <c r="E5" s="26"/>
      <c r="F5" s="57"/>
      <c r="G5" s="13"/>
      <c r="H5" s="143"/>
      <c r="I5" s="143"/>
      <c r="J5" s="197"/>
      <c r="K5" s="197"/>
      <c r="L5" s="197"/>
      <c r="M5" s="197"/>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row>
    <row r="6" spans="1:56" s="8" customFormat="1" ht="39.5" customHeight="1" x14ac:dyDescent="0.3">
      <c r="A6" s="11"/>
      <c r="B6" s="47"/>
      <c r="C6" s="546" t="s">
        <v>6274</v>
      </c>
      <c r="D6" s="547"/>
      <c r="E6" s="26"/>
      <c r="F6" s="57"/>
      <c r="G6" s="13"/>
      <c r="H6" s="198"/>
      <c r="I6" s="382" t="s">
        <v>6266</v>
      </c>
      <c r="J6" s="385" t="s">
        <v>7057</v>
      </c>
      <c r="K6" s="197"/>
      <c r="L6" s="197"/>
      <c r="M6" s="197"/>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row>
    <row r="7" spans="1:56" s="51" customFormat="1" ht="5" customHeight="1" thickBot="1" x14ac:dyDescent="0.2">
      <c r="A7" s="48"/>
      <c r="B7" s="49"/>
      <c r="C7" s="48"/>
      <c r="D7" s="48"/>
      <c r="E7" s="50"/>
      <c r="F7" s="48"/>
      <c r="G7" s="48"/>
      <c r="H7" s="198"/>
      <c r="I7" s="383"/>
      <c r="J7" s="371"/>
      <c r="K7" s="198"/>
      <c r="L7" s="198"/>
      <c r="M7" s="199"/>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row>
    <row r="8" spans="1:56" ht="27" customHeight="1" thickBot="1" x14ac:dyDescent="0.2">
      <c r="A8" s="11"/>
      <c r="B8" s="31"/>
      <c r="C8" s="82" t="s">
        <v>8</v>
      </c>
      <c r="D8" s="83" t="s">
        <v>406</v>
      </c>
      <c r="E8" s="84" t="s">
        <v>90</v>
      </c>
      <c r="F8" s="85" t="s">
        <v>25</v>
      </c>
      <c r="G8" s="86" t="s">
        <v>4</v>
      </c>
      <c r="H8" s="372" t="s">
        <v>6676</v>
      </c>
      <c r="I8" s="384" t="str">
        <f>Scenario</f>
        <v>Selections are incomplete</v>
      </c>
      <c r="J8" s="386" t="str">
        <f>_Dev</f>
        <v>Bottom</v>
      </c>
      <c r="K8" s="198"/>
      <c r="L8" s="198"/>
      <c r="M8" s="174"/>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row>
    <row r="9" spans="1:56" s="8" customFormat="1" ht="21" customHeight="1" x14ac:dyDescent="0.2">
      <c r="A9" s="11"/>
      <c r="B9" s="41"/>
      <c r="C9" s="52" t="s">
        <v>407</v>
      </c>
      <c r="D9" s="52"/>
      <c r="E9" s="52"/>
      <c r="F9" s="53">
        <v>0</v>
      </c>
      <c r="G9" s="77"/>
      <c r="H9" s="373"/>
      <c r="I9" s="200"/>
      <c r="J9" s="143"/>
      <c r="K9" s="143"/>
      <c r="L9" s="143"/>
      <c r="M9" s="174"/>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1:56" s="8" customFormat="1" ht="16" customHeight="1" thickBot="1" x14ac:dyDescent="0.25">
      <c r="A10" s="11"/>
      <c r="B10" s="41"/>
      <c r="C10" s="95" t="s">
        <v>408</v>
      </c>
      <c r="D10" s="96"/>
      <c r="E10" s="96"/>
      <c r="F10" s="97">
        <v>0</v>
      </c>
      <c r="G10" s="77"/>
      <c r="H10" s="373"/>
      <c r="I10" s="200"/>
      <c r="J10" s="143"/>
      <c r="K10" s="143"/>
      <c r="L10" s="143"/>
      <c r="M10" s="174"/>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row>
    <row r="11" spans="1:56" s="8" customFormat="1" ht="14" customHeight="1" x14ac:dyDescent="0.2">
      <c r="A11" s="11"/>
      <c r="B11" s="41"/>
      <c r="C11" s="42" t="s">
        <v>6397</v>
      </c>
      <c r="D11" s="43"/>
      <c r="E11" s="44"/>
      <c r="F11" s="45">
        <v>0</v>
      </c>
      <c r="G11" s="81"/>
      <c r="H11" s="374"/>
      <c r="I11" s="201"/>
      <c r="J11" s="143"/>
      <c r="K11" s="143"/>
      <c r="L11" s="143"/>
      <c r="M11" s="174"/>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row>
    <row r="12" spans="1:56" s="8" customFormat="1" ht="38" customHeight="1" x14ac:dyDescent="0.2">
      <c r="A12" s="11"/>
      <c r="B12" s="41"/>
      <c r="C12" s="101" t="str">
        <f>IF(NOT(Start_Here_Complete)," ",
IF(NOT(_Dev="cnMX"),"MSX-SUB-T1-1",
CONCATENATE("MSX-SUB-T1-",LEFT(cnMX_Term,1))))</f>
        <v xml:space="preserve"> </v>
      </c>
      <c r="D12" s="2" t="str">
        <f>IF(NOT(Start_Here_Complete),"Go to the START HERE worksheet and make the required choices",
VLOOKUP(C12,'Enterprise PL 2022-03-22'!$A$2:$C$4002,2,FALSE))</f>
        <v>Go to the START HERE worksheet and make the required choices</v>
      </c>
      <c r="E12" s="75">
        <f>IF(NOT(Start_Here_Complete),0,
VLOOKUP(C12,'Enterprise PL 2022-03-22'!$A$2:$C$4002,3,FALSE))</f>
        <v>0</v>
      </c>
      <c r="F12" s="76">
        <f>IF(NOT(Start_Here_Complete),0,
IF(NOT(_Dev="cnMX"),0,
cnMX_T1_Total))</f>
        <v>0</v>
      </c>
      <c r="G12" s="79">
        <f>IF(NOT(Start_Here_Complete),0,E12*F12)</f>
        <v>0</v>
      </c>
      <c r="H12" s="375"/>
      <c r="I12" s="149"/>
      <c r="J12" s="143"/>
      <c r="K12" s="143"/>
      <c r="L12" s="143"/>
      <c r="M12" s="174"/>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row>
    <row r="13" spans="1:56" s="8" customFormat="1" ht="38" customHeight="1" x14ac:dyDescent="0.2">
      <c r="A13" s="11"/>
      <c r="B13" s="41"/>
      <c r="C13" s="64" t="str">
        <f>IF(NOT(Start_Here_Complete)," ",
IF(NOT(_Dev="cnMX"),"MSX-SUB-T2-1",
CONCATENATE("MSX-SUB-T2-",LEFT(cnMX_Term,1))))</f>
        <v xml:space="preserve"> </v>
      </c>
      <c r="D13" s="2" t="str">
        <f>IF(NOT(Start_Here_Complete),"Go to the START HERE worksheet and make the required choices",
VLOOKUP(C13,'Enterprise PL 2022-03-22'!$A$2:$C$4002,2,FALSE))</f>
        <v>Go to the START HERE worksheet and make the required choices</v>
      </c>
      <c r="E13" s="28">
        <f>IF(NOT(Start_Here_Complete),0,
VLOOKUP(C13,'Enterprise PL 2022-03-22'!$A$2:$C$4002,3,FALSE))</f>
        <v>0</v>
      </c>
      <c r="F13" s="76">
        <f>IF(NOT(Start_Here_Complete),0,
IF(NOT(_Dev="cnMX"),0,
cnMX_T2_Total))</f>
        <v>0</v>
      </c>
      <c r="G13" s="79">
        <f>IF(NOT(Start_Here_Complete),0,E13*F13)</f>
        <v>0</v>
      </c>
      <c r="H13" s="375"/>
      <c r="I13" s="149"/>
      <c r="J13" s="143"/>
      <c r="K13" s="143"/>
      <c r="L13" s="143"/>
      <c r="M13" s="202"/>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row>
    <row r="14" spans="1:56" ht="38" customHeight="1" x14ac:dyDescent="0.2">
      <c r="A14" s="11"/>
      <c r="B14" s="41"/>
      <c r="C14" s="14" t="str">
        <f>IF(NOT(Start_Here_Complete)," ",
IF(NOT(_Dev="cnMX"),"MSX-SUB-T3-1",
CONCATENATE("MSX-SUB-T3-",LEFT(cnMX_Term,1))))</f>
        <v xml:space="preserve"> </v>
      </c>
      <c r="D14" s="2" t="str">
        <f>IF(NOT(Start_Here_Complete),"Go to the START HERE worksheet and make the required choices",
VLOOKUP(C14,'Enterprise PL 2022-03-22'!$A$2:$C$4002,2,FALSE))</f>
        <v>Go to the START HERE worksheet and make the required choices</v>
      </c>
      <c r="E14" s="28">
        <f>IF(NOT(Start_Here_Complete),0,
VLOOKUP(C14,'Enterprise PL 2022-03-22'!$A$2:$C$4002,3,FALSE))</f>
        <v>0</v>
      </c>
      <c r="F14" s="76">
        <f>IF(NOT(Start_Here_Complete),0,
IF(NOT(_Dev="cnMX"),0,
cnMX_T3_Total))</f>
        <v>0</v>
      </c>
      <c r="G14" s="79">
        <f>IF(NOT(Start_Here_Complete),0,E14*F14)</f>
        <v>0</v>
      </c>
      <c r="H14" s="375"/>
      <c r="I14" s="149"/>
      <c r="J14" s="143"/>
      <c r="K14" s="143"/>
      <c r="L14" s="143"/>
      <c r="M14" s="202"/>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row>
    <row r="15" spans="1:56" ht="38" customHeight="1" x14ac:dyDescent="0.2">
      <c r="A15" s="11"/>
      <c r="B15" s="41"/>
      <c r="C15" s="14" t="str">
        <f>IF(NOT(Start_Here_Complete)," ",
IF(NOT(_Dev="cnMX"),"MSX-SUB-T4-1",
CONCATENATE("MSX-SUB-T4-",LEFT(cnMX_Term,1))))</f>
        <v xml:space="preserve"> </v>
      </c>
      <c r="D15" s="2" t="str">
        <f>IF(NOT(Start_Here_Complete),"Go to the START HERE worksheet and make the required choices",
VLOOKUP(C15,'Enterprise PL 2022-03-22'!$A$2:$C$4002,2,FALSE))</f>
        <v>Go to the START HERE worksheet and make the required choices</v>
      </c>
      <c r="E15" s="28">
        <f>IF(NOT(Start_Here_Complete),0,
VLOOKUP(C15,'Enterprise PL 2022-03-22'!$A$2:$C$4002,3,FALSE))</f>
        <v>0</v>
      </c>
      <c r="F15" s="76">
        <f>IF(NOT(Start_Here_Complete),0,
IF(NOT(_Dev="cnMX"),0,
cnMX_T4_Total))</f>
        <v>0</v>
      </c>
      <c r="G15" s="79">
        <f>IF(NOT(Start_Here_Complete),0,E15*F15)</f>
        <v>0</v>
      </c>
      <c r="H15" s="375"/>
      <c r="I15" s="149"/>
      <c r="J15" s="143"/>
      <c r="K15" s="143"/>
      <c r="L15" s="143"/>
      <c r="M15" s="202"/>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row>
    <row r="16" spans="1:56" s="8" customFormat="1" ht="38" customHeight="1" x14ac:dyDescent="0.2">
      <c r="A16" s="11"/>
      <c r="B16" s="41"/>
      <c r="C16" s="14" t="str">
        <f>IF(NOT(Start_Here_Complete)," ",
IF(NOT(_Dev="cnMX"),"MSX-SUB-T5-1",
CONCATENATE("MSX-SUB-T5-",LEFT(cnMX_Term,1))))</f>
        <v xml:space="preserve"> </v>
      </c>
      <c r="D16" s="2" t="str">
        <f>IF(NOT(Start_Here_Complete),"Go to the START HERE worksheet and make the required choices",
VLOOKUP(C16,'Enterprise PL 2022-03-22'!$A$2:$C$4002,2,FALSE))</f>
        <v>Go to the START HERE worksheet and make the required choices</v>
      </c>
      <c r="E16" s="28">
        <f>IF(NOT(Start_Here_Complete),0,
VLOOKUP(C16,'Enterprise PL 2022-03-22'!$A$2:$C$4002,3,FALSE))</f>
        <v>0</v>
      </c>
      <c r="F16" s="76">
        <f>IF(NOT(Start_Here_Complete),0,
IF(NOT(_Dev="cnMX"),0,
cnMX_T5_Total))</f>
        <v>0</v>
      </c>
      <c r="G16" s="79">
        <f>IF(NOT(Start_Here_Complete),0,E16*F16)</f>
        <v>0</v>
      </c>
      <c r="H16" s="375"/>
      <c r="I16" s="149"/>
      <c r="J16" s="143"/>
      <c r="K16" s="143"/>
      <c r="L16" s="143"/>
      <c r="M16" s="202"/>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row>
    <row r="17" spans="1:56" s="8" customFormat="1" ht="16" customHeight="1" x14ac:dyDescent="0.2">
      <c r="A17" s="11"/>
      <c r="B17" s="41"/>
      <c r="C17" s="30" t="s">
        <v>6398</v>
      </c>
      <c r="D17" s="9"/>
      <c r="E17" s="27"/>
      <c r="F17" s="10">
        <v>0</v>
      </c>
      <c r="G17" s="78"/>
      <c r="H17" s="374"/>
      <c r="I17" s="201"/>
      <c r="J17" s="143"/>
      <c r="K17" s="143"/>
      <c r="L17" s="143"/>
      <c r="M17" s="174"/>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row>
    <row r="18" spans="1:56" s="8" customFormat="1" ht="38" customHeight="1" x14ac:dyDescent="0.2">
      <c r="A18" s="11"/>
      <c r="B18" s="41"/>
      <c r="C18" s="15" t="str">
        <f>IF(NOT(Start_Here_Complete)," ",
IF(NOT(X_AdvYes),"CCADV-UPG-XV3-8-1",
CONCATENATE("CCADV-UPG-XV3-8-",LEFT(cnMX_Term,1))))</f>
        <v xml:space="preserve"> </v>
      </c>
      <c r="D18" s="5" t="str">
        <f>IF(NOT(Start_Here_Complete),"Go to the START HERE worksheet and make the required choices",
VLOOKUP(C18,'Enterprise PL 2022-03-22'!$A$2:$C$4002,2,FALSE))</f>
        <v>Go to the START HERE worksheet and make the required choices</v>
      </c>
      <c r="E18" s="4">
        <f>IF(NOT(Start_Here_Complete),0,
VLOOKUP(C18,'Enterprise PL 2022-03-22'!$A$2:$C$4002,3,FALSE))</f>
        <v>0</v>
      </c>
      <c r="F18" s="3" cm="1">
        <f t="array" ref="F18">IF(NOT(Start_Here_Complete),0,
IF(X_AdvYes,Qty_XV3_8,
0))</f>
        <v>0</v>
      </c>
      <c r="G18" s="79">
        <f t="shared" ref="G18:G35" si="0">IF(NOT(Start_Here_Complete),0,E18*F18)</f>
        <v>0</v>
      </c>
      <c r="H18" s="375"/>
      <c r="I18" s="149"/>
      <c r="J18" s="143"/>
      <c r="K18" s="143"/>
      <c r="L18" s="143"/>
      <c r="M18" s="202"/>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row>
    <row r="19" spans="1:56" s="8" customFormat="1" ht="38" customHeight="1" x14ac:dyDescent="0.2">
      <c r="A19" s="11"/>
      <c r="B19" s="41"/>
      <c r="C19" s="15" t="str">
        <f>IF(NOT(Start_Here_Complete)," ",
IF(NOT(X_AdvYes),"CCADV-UPG-XV2-2-1",
CONCATENATE("CCADV-UPG-XV2-2-",LEFT(cnMX_Term,1))))</f>
        <v xml:space="preserve"> </v>
      </c>
      <c r="D19" s="5" t="str">
        <f>IF(NOT(Start_Here_Complete),"Go to the START HERE worksheet and make the required choices",
VLOOKUP(C19,'Enterprise PL 2022-03-22'!$A$2:$C$4002,2,FALSE))</f>
        <v>Go to the START HERE worksheet and make the required choices</v>
      </c>
      <c r="E19" s="4">
        <f>IF(NOT(Start_Here_Complete),0,
VLOOKUP(C19,'Enterprise PL 2022-03-22'!$A$2:$C$4002,3,FALSE))</f>
        <v>0</v>
      </c>
      <c r="F19" s="3" cm="1">
        <f t="array" ref="F19">IF(NOT(Start_Here_Complete),0,
IF(X_AdvYes,Qty_XV2_2,
0))</f>
        <v>0</v>
      </c>
      <c r="G19" s="79">
        <f t="shared" si="0"/>
        <v>0</v>
      </c>
      <c r="H19" s="375"/>
      <c r="I19" s="149"/>
      <c r="J19" s="143"/>
      <c r="K19" s="143"/>
      <c r="L19" s="143"/>
      <c r="M19" s="202"/>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1:56" s="8" customFormat="1" ht="38" customHeight="1" x14ac:dyDescent="0.2">
      <c r="A20" s="11"/>
      <c r="B20" s="41"/>
      <c r="C20" s="15" t="str">
        <f>IF(NOT(Start_Here_Complete)," ",
IF(NOT(X_AdvYes),"CCADV-UPG-XV2-2T-1",
CONCATENATE("CCADV-UPG-XV2-2T-",LEFT(cnMX_Term,1))))</f>
        <v xml:space="preserve"> </v>
      </c>
      <c r="D20" s="5" t="str">
        <f>IF(NOT(Start_Here_Complete),"Go to the START HERE worksheet and make the required choices",
VLOOKUP(C20,'Enterprise PL 2022-03-22'!$A$2:$C$4002,2,FALSE))</f>
        <v>Go to the START HERE worksheet and make the required choices</v>
      </c>
      <c r="E20" s="4">
        <f>IF(NOT(Start_Here_Complete),0,
VLOOKUP(C20,'Enterprise PL 2022-03-22'!$A$2:$C$4002,3,FALSE))</f>
        <v>0</v>
      </c>
      <c r="F20" s="3">
        <f>IF(NOT(Start_Here_Complete),0,
IF(X_AdvYes,Qty_XV2_2T0,
0))</f>
        <v>0</v>
      </c>
      <c r="G20" s="79">
        <f t="shared" si="0"/>
        <v>0</v>
      </c>
      <c r="H20" s="375"/>
      <c r="I20" s="149"/>
      <c r="J20" s="143"/>
      <c r="K20" s="143"/>
      <c r="L20" s="143"/>
      <c r="M20" s="202"/>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row>
    <row r="21" spans="1:56" s="8" customFormat="1" ht="38" customHeight="1" x14ac:dyDescent="0.2">
      <c r="A21" s="11"/>
      <c r="B21" s="41"/>
      <c r="C21" s="15" t="str">
        <f>IF(NOT(Start_Here_Complete)," ",
IF(NOT(X_AdvYes),"CCADV-UPG-XE3-4-1",
CONCATENATE("CCADV-UPG-XE3-4-",LEFT(cnMX_Term,1))))</f>
        <v xml:space="preserve"> </v>
      </c>
      <c r="D21" s="5" t="str">
        <f>IF(NOT(Start_Here_Complete),"Go to the START HERE worksheet and make the required choices",
VLOOKUP(C21,'Enterprise PL 2022-03-22'!$A$2:$C$4002,2,FALSE))</f>
        <v>Go to the START HERE worksheet and make the required choices</v>
      </c>
      <c r="E21" s="4">
        <f>IF(NOT(Start_Here_Complete),0,
VLOOKUP(C21,'Enterprise PL 2022-03-22'!$A$2:$C$4002,3,FALSE))</f>
        <v>0</v>
      </c>
      <c r="F21" s="3">
        <f>IF(NOT(Start_Here_Complete),0,
IF(X_AdvYes,Qty_XE3_4,
0))</f>
        <v>0</v>
      </c>
      <c r="G21" s="79">
        <f t="shared" si="0"/>
        <v>0</v>
      </c>
      <c r="H21" s="375"/>
      <c r="I21" s="149"/>
      <c r="J21" s="143"/>
      <c r="K21" s="143"/>
      <c r="L21" s="143"/>
      <c r="M21" s="202"/>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1:56" s="8" customFormat="1" ht="38" customHeight="1" x14ac:dyDescent="0.2">
      <c r="A22" s="11"/>
      <c r="B22" s="41"/>
      <c r="C22" s="15" t="str">
        <f>IF(NOT(Start_Here_Complete)," ",
IF(NOT(X_AdvYes),"CCADV-UPG-XE5-8-1",
CONCATENATE("CCADV-UPG-XE5-8-",LEFT(cnMX_Term,1))))</f>
        <v xml:space="preserve"> </v>
      </c>
      <c r="D22" s="5" t="str">
        <f>IF(NOT(Start_Here_Complete),"Go to the START HERE worksheet and make the required choices",
VLOOKUP(C22,'Future Support PL'!$A$2:$C$18,2,FALSE))</f>
        <v>Go to the START HERE worksheet and make the required choices</v>
      </c>
      <c r="E22" s="4" t="str">
        <f>IF(NOT(Start_Here_Complete)," ",
VLOOKUP(C22,'Future Support PL'!$A$2:$C$18,3,FALSE))</f>
        <v xml:space="preserve"> </v>
      </c>
      <c r="F22" s="3">
        <f>IF(NOT(Start_Here_Complete),0,
IF(X_AdvYes,Qty_XE5_8,
0))</f>
        <v>0</v>
      </c>
      <c r="G22" s="79">
        <f t="shared" si="0"/>
        <v>0</v>
      </c>
      <c r="H22" s="375"/>
      <c r="I22" s="149"/>
      <c r="J22" s="143"/>
      <c r="K22" s="143"/>
      <c r="L22" s="143"/>
      <c r="M22" s="202"/>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row>
    <row r="23" spans="1:56" s="8" customFormat="1" ht="38" customHeight="1" x14ac:dyDescent="0.2">
      <c r="A23" s="11"/>
      <c r="B23" s="41"/>
      <c r="C23" s="15" t="str">
        <f>IF(NOT(Start_Here_Complete)," ",
IF(NOT(X_AdvYes),"CCADV-UPG-E410-1",
CONCATENATE("CCADV-UPG-E410-",LEFT(cnMX_Term,1))))</f>
        <v xml:space="preserve"> </v>
      </c>
      <c r="D23" s="5" t="str">
        <f>IF(NOT(Start_Here_Complete),"Go to the START HERE worksheet and make the required choices",
VLOOKUP(C23,'Enterprise PL 2022-03-22'!$A$2:$C$4002,2,FALSE))</f>
        <v>Go to the START HERE worksheet and make the required choices</v>
      </c>
      <c r="E23" s="4">
        <f>IF(NOT(Start_Here_Complete),0,
VLOOKUP(C23,'Enterprise PL 2022-03-22'!$A$2:$C$4002,3,FALSE))</f>
        <v>0</v>
      </c>
      <c r="F23" s="3">
        <f>IF(NOT(Start_Here_Complete),0,
IF(X_AdvYes,Qty_cnPilot_e410,
0))</f>
        <v>0</v>
      </c>
      <c r="G23" s="79">
        <f t="shared" si="0"/>
        <v>0</v>
      </c>
      <c r="H23" s="375"/>
      <c r="I23" s="149"/>
      <c r="J23" s="143"/>
      <c r="K23" s="143"/>
      <c r="L23" s="143"/>
      <c r="M23" s="202"/>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row>
    <row r="24" spans="1:56" s="8" customFormat="1" ht="38" customHeight="1" x14ac:dyDescent="0.2">
      <c r="A24" s="11"/>
      <c r="B24" s="41"/>
      <c r="C24" s="15" t="str">
        <f>IF(NOT(Start_Here_Complete)," ",
IF(NOT(X_AdvYes),"CCADV-UPG-E425-1",
CONCATENATE("CCADV-UPG-E425-",LEFT(cnMX_Term,1))))</f>
        <v xml:space="preserve"> </v>
      </c>
      <c r="D24" s="5" t="str">
        <f>IF(NOT(Start_Here_Complete),"Go to the START HERE worksheet and make the required choices",
VLOOKUP(C24,'Enterprise PL 2022-03-22'!$A$2:$C$4002,2,FALSE))</f>
        <v>Go to the START HERE worksheet and make the required choices</v>
      </c>
      <c r="E24" s="4">
        <f>IF(NOT(Start_Here_Complete),0,
VLOOKUP(C24,'Enterprise PL 2022-03-22'!$A$2:$C$4002,3,FALSE))</f>
        <v>0</v>
      </c>
      <c r="F24" s="3">
        <f>IF(NOT(Start_Here_Complete),0,
IF(X_AdvYes,Qty_cnPilot_e425H,
0))</f>
        <v>0</v>
      </c>
      <c r="G24" s="79">
        <f t="shared" si="0"/>
        <v>0</v>
      </c>
      <c r="H24" s="375"/>
      <c r="I24" s="149"/>
      <c r="J24" s="143"/>
      <c r="K24" s="143"/>
      <c r="L24" s="143"/>
      <c r="M24" s="202"/>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row>
    <row r="25" spans="1:56" s="8" customFormat="1" ht="38" customHeight="1" x14ac:dyDescent="0.2">
      <c r="A25" s="11"/>
      <c r="B25" s="41"/>
      <c r="C25" s="15" t="str">
        <f>IF(NOT(Start_Here_Complete)," ",
IF(NOT(X_AdvYes),"CCADV-UPG-E430-1",
CONCATENATE("CCADV-UPG-E430-",LEFT(cnMX_Term,1))))</f>
        <v xml:space="preserve"> </v>
      </c>
      <c r="D25" s="5" t="str">
        <f>IF(NOT(Start_Here_Complete),"Go to the START HERE worksheet and make the required choices",
VLOOKUP(C25,'Enterprise PL 2022-03-22'!$A$2:$C$4002,2,FALSE))</f>
        <v>Go to the START HERE worksheet and make the required choices</v>
      </c>
      <c r="E25" s="4">
        <f>IF(NOT(Start_Here_Complete),0,
VLOOKUP(C25,'Enterprise PL 2022-03-22'!$A$2:$C$4002,3,FALSE))</f>
        <v>0</v>
      </c>
      <c r="F25" s="3">
        <f>IF(NOT(Start_Here_Complete),0,
IF(X_AdvYes,Qty_cnPilot_e430H,
0))</f>
        <v>0</v>
      </c>
      <c r="G25" s="79">
        <f t="shared" si="0"/>
        <v>0</v>
      </c>
      <c r="H25" s="375"/>
      <c r="I25" s="149"/>
      <c r="J25" s="143"/>
      <c r="K25" s="143"/>
      <c r="L25" s="143"/>
      <c r="M25" s="202"/>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row>
    <row r="26" spans="1:56" s="8" customFormat="1" ht="38" customHeight="1" x14ac:dyDescent="0.2">
      <c r="A26" s="11"/>
      <c r="B26" s="41"/>
      <c r="C26" s="15" t="str">
        <f>IF(NOT(Start_Here_Complete)," ",
IF(NOT(X_AdvYes),"CCADV-UPG-E600-1",
CONCATENATE("CCADV-UPG-E600-",LEFT(cnMX_Term,1))))</f>
        <v xml:space="preserve"> </v>
      </c>
      <c r="D26" s="5" t="str">
        <f>IF(NOT(Start_Here_Complete),"Go to the START HERE worksheet and make the required choices",
VLOOKUP(C26,'Enterprise PL 2022-03-22'!$A$2:$C$4002,2,FALSE))</f>
        <v>Go to the START HERE worksheet and make the required choices</v>
      </c>
      <c r="E26" s="4">
        <f>IF(NOT(Start_Here_Complete),0,
VLOOKUP(C26,'Enterprise PL 2022-03-22'!$A$2:$C$4002,3,FALSE))</f>
        <v>0</v>
      </c>
      <c r="F26" s="3">
        <f>IF(NOT(Start_Here_Complete),0,
IF(X_AdvYes,Qty_cnPilot_e600,
0))</f>
        <v>0</v>
      </c>
      <c r="G26" s="79">
        <f t="shared" si="0"/>
        <v>0</v>
      </c>
      <c r="H26" s="375"/>
      <c r="I26" s="149"/>
      <c r="J26" s="143"/>
      <c r="K26" s="143"/>
      <c r="L26" s="143"/>
      <c r="M26" s="202"/>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row>
    <row r="27" spans="1:56" s="8" customFormat="1" ht="38" customHeight="1" x14ac:dyDescent="0.2">
      <c r="A27" s="11"/>
      <c r="B27" s="41"/>
      <c r="C27" s="15" t="str">
        <f>IF(NOT(Start_Here_Complete)," ",
IF(NOT(X_AdvYes),"CCADV-UPG-E500-1",
CONCATENATE("CCADV-UPG-E500-",LEFT(cnMX_Term,1))))</f>
        <v xml:space="preserve"> </v>
      </c>
      <c r="D27" s="5" t="str">
        <f>IF(NOT(Start_Here_Complete),"Go to the START HERE worksheet and make the required choices",
VLOOKUP(C27,'Enterprise PL 2022-03-22'!$A$2:$C$4002,2,FALSE))</f>
        <v>Go to the START HERE worksheet and make the required choices</v>
      </c>
      <c r="E27" s="4">
        <f>IF(NOT(Start_Here_Complete),0,
VLOOKUP(C27,'Enterprise PL 2022-03-22'!$A$2:$C$4002,3,FALSE))</f>
        <v>0</v>
      </c>
      <c r="F27" s="3">
        <f>IF(NOT(Start_Here_Complete),0,
IF(X_AdvYes,Qty_cnPilot_e500,
0))</f>
        <v>0</v>
      </c>
      <c r="G27" s="79">
        <f t="shared" si="0"/>
        <v>0</v>
      </c>
      <c r="H27" s="375"/>
      <c r="I27" s="149"/>
      <c r="J27" s="143"/>
      <c r="K27" s="143"/>
      <c r="L27" s="143"/>
      <c r="M27" s="202"/>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row>
    <row r="28" spans="1:56" s="8" customFormat="1" ht="38" customHeight="1" x14ac:dyDescent="0.2">
      <c r="A28" s="11"/>
      <c r="B28" s="41"/>
      <c r="C28" s="15" t="str">
        <f>IF(NOT(Start_Here_Complete)," ",
IF(NOT(X_AdvYes),"CCADV-UPG-E501-1",
CONCATENATE("CCADV-UPG-E501-",LEFT(cnMX_Term,1))))</f>
        <v xml:space="preserve"> </v>
      </c>
      <c r="D28" s="5" t="str">
        <f>IF(NOT(Start_Here_Complete),"Go to the START HERE worksheet and make the required choices",
VLOOKUP(C28,'Enterprise PL 2022-03-22'!$A$2:$C$4002,2,FALSE))</f>
        <v>Go to the START HERE worksheet and make the required choices</v>
      </c>
      <c r="E28" s="4">
        <f>IF(NOT(Start_Here_Complete),0,
VLOOKUP(C28,'Enterprise PL 2022-03-22'!$A$2:$C$4002,3,FALSE))</f>
        <v>0</v>
      </c>
      <c r="F28" s="3">
        <f>IF(NOT(Start_Here_Complete),0,
IF(X_AdvYes,Qty_cnPilot_e501S,
0))</f>
        <v>0</v>
      </c>
      <c r="G28" s="79">
        <f t="shared" si="0"/>
        <v>0</v>
      </c>
      <c r="H28" s="375"/>
      <c r="I28" s="149"/>
      <c r="J28" s="143"/>
      <c r="K28" s="143"/>
      <c r="L28" s="143"/>
      <c r="M28" s="202"/>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row>
    <row r="29" spans="1:56" s="8" customFormat="1" ht="38" customHeight="1" x14ac:dyDescent="0.2">
      <c r="A29" s="11"/>
      <c r="B29" s="41"/>
      <c r="C29" s="15" t="str">
        <f>IF(NOT(Start_Here_Complete)," ",
IF(NOT(X_AdvYes),"CCADV-UPG-E502-1",
CONCATENATE("CCADV-UPG-E502-",LEFT(cnMX_Term,1))))</f>
        <v xml:space="preserve"> </v>
      </c>
      <c r="D29" s="5" t="str">
        <f>IF(NOT(Start_Here_Complete),"Go to the START HERE worksheet and make the required choices",
VLOOKUP(C29,'Enterprise PL 2022-03-22'!$A$2:$C$4002,2,FALSE))</f>
        <v>Go to the START HERE worksheet and make the required choices</v>
      </c>
      <c r="E29" s="4">
        <f>IF(NOT(Start_Here_Complete),0,
VLOOKUP(C29,'Enterprise PL 2022-03-22'!$A$2:$C$4002,3,FALSE))</f>
        <v>0</v>
      </c>
      <c r="F29" s="3">
        <f>IF(NOT(Start_Here_Complete),0,
IF(X_AdvYes,Qty_cnPilot_e502S,
0))</f>
        <v>0</v>
      </c>
      <c r="G29" s="79">
        <f t="shared" si="0"/>
        <v>0</v>
      </c>
      <c r="H29" s="375"/>
      <c r="I29" s="149"/>
      <c r="J29" s="143"/>
      <c r="K29" s="143"/>
      <c r="L29" s="143"/>
      <c r="M29" s="202"/>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row>
    <row r="30" spans="1:56" s="8" customFormat="1" ht="38" customHeight="1" x14ac:dyDescent="0.2">
      <c r="A30" s="11"/>
      <c r="B30" s="41"/>
      <c r="C30" s="15" t="str">
        <f>IF(NOT(Start_Here_Complete)," ",
IF(NOT(X_AdvYes),"CCADV-UPG-E505-1",
CONCATENATE("CCADV-UPG-E505-",LEFT(cnMX_Term,1))))</f>
        <v xml:space="preserve"> </v>
      </c>
      <c r="D30" s="5" t="str">
        <f>IF(NOT(Start_Here_Complete),"Go to the START HERE worksheet and make the required choices",
VLOOKUP(C30,'Enterprise PL 2022-03-22'!$A$2:$C$4002,2,FALSE))</f>
        <v>Go to the START HERE worksheet and make the required choices</v>
      </c>
      <c r="E30" s="4">
        <f>IF(NOT(Start_Here_Complete),0,
VLOOKUP(C30,'Enterprise PL 2022-03-22'!$A$2:$C$4002,3,FALSE))</f>
        <v>0</v>
      </c>
      <c r="F30" s="3">
        <f>IF(NOT(Start_Here_Complete),0,
IF(X_AdvYes,Qty_cnPilot_e505,
0))</f>
        <v>0</v>
      </c>
      <c r="G30" s="79">
        <f t="shared" si="0"/>
        <v>0</v>
      </c>
      <c r="H30" s="375"/>
      <c r="I30" s="149"/>
      <c r="J30" s="143"/>
      <c r="K30" s="143"/>
      <c r="L30" s="143"/>
      <c r="M30" s="202"/>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row>
    <row r="31" spans="1:56" s="8" customFormat="1" ht="38" customHeight="1" x14ac:dyDescent="0.2">
      <c r="A31" s="11"/>
      <c r="B31" s="41"/>
      <c r="C31" s="15" t="str">
        <f>IF(NOT(Start_Here_Complete)," ",
IF(NOT(X_AdvYes),"CCADV-UPG-E510-1",
CONCATENATE("CCADV-UPG-E510-",LEFT(cnMX_Term,1))))</f>
        <v xml:space="preserve"> </v>
      </c>
      <c r="D31" s="5" t="str">
        <f>IF(NOT(Start_Here_Complete),"Go to the START HERE worksheet and make the required choices",
VLOOKUP(C31,'Enterprise PL 2022-03-22'!$A$2:$C$4002,2,FALSE))</f>
        <v>Go to the START HERE worksheet and make the required choices</v>
      </c>
      <c r="E31" s="4">
        <f>IF(NOT(Start_Here_Complete),0,
VLOOKUP(C31,'Enterprise PL 2022-03-22'!$A$2:$C$4002,3,FALSE))</f>
        <v>0</v>
      </c>
      <c r="F31" s="3">
        <f>IF(NOT(Start_Here_Complete),0,
IF(X_AdvYes,Qty_cnPilot_e510,
0))</f>
        <v>0</v>
      </c>
      <c r="G31" s="79">
        <f t="shared" si="0"/>
        <v>0</v>
      </c>
      <c r="H31" s="375"/>
      <c r="I31" s="149"/>
      <c r="J31" s="143"/>
      <c r="K31" s="143"/>
      <c r="L31" s="143"/>
      <c r="M31" s="202"/>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row>
    <row r="32" spans="1:56" s="8" customFormat="1" ht="38" customHeight="1" x14ac:dyDescent="0.2">
      <c r="A32" s="11"/>
      <c r="B32" s="41"/>
      <c r="C32" s="15" t="str">
        <f>IF(NOT(Start_Here_Complete)," ",
IF(NOT(X_AdvYes),"CCADV-UPG-E700-1",
CONCATENATE("CCADV-UPG-E700-",LEFT(cnMX_Term,1))))</f>
        <v xml:space="preserve"> </v>
      </c>
      <c r="D32" s="5" t="str">
        <f>IF(NOT(Start_Here_Complete),"Go to the START HERE worksheet and make the required choices",
VLOOKUP(C32,'Enterprise PL 2022-03-22'!$A$2:$C$4002,2,FALSE))</f>
        <v>Go to the START HERE worksheet and make the required choices</v>
      </c>
      <c r="E32" s="4">
        <f>IF(NOT(Start_Here_Complete),0,
VLOOKUP(C32,'Enterprise PL 2022-03-22'!$A$2:$C$4002,3,FALSE))</f>
        <v>0</v>
      </c>
      <c r="F32" s="3">
        <f>IF(NOT(Start_Here_Complete),0,
IF(X_AdvYes,Qty_cnPilot_e700,
0))</f>
        <v>0</v>
      </c>
      <c r="G32" s="79">
        <f t="shared" si="0"/>
        <v>0</v>
      </c>
      <c r="H32" s="375"/>
      <c r="I32" s="149"/>
      <c r="J32" s="143"/>
      <c r="K32" s="143"/>
      <c r="L32" s="143"/>
      <c r="M32" s="202"/>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row>
    <row r="33" spans="1:56" s="8" customFormat="1" ht="38" customHeight="1" x14ac:dyDescent="0.2">
      <c r="A33" s="11"/>
      <c r="B33" s="41"/>
      <c r="C33" s="103" t="str">
        <f>IF(NOT(Start_Here_Complete)," ",
IF(NOT(X_AdvYes),"CCADV-UPG-V1000-1",
CONCATENATE("CCADV-UPG-V1000-",LEFT(cnMX_Term,1))))</f>
        <v xml:space="preserve"> </v>
      </c>
      <c r="D33" s="5" t="str">
        <f>IF(NOT(Start_Here_Complete),"Go to the START HERE worksheet and make the required choices",
VLOOKUP(C33,'Enterprise PL 2022-03-22'!$A$2:$C$4002,2,FALSE))</f>
        <v>Go to the START HERE worksheet and make the required choices</v>
      </c>
      <c r="E33" s="4">
        <f>IF(NOT(Start_Here_Complete),0,
VLOOKUP(C33,'Enterprise PL 2022-03-22'!$A$2:$C$4002,3,FALSE))</f>
        <v>0</v>
      </c>
      <c r="F33" s="3">
        <f>IF(NOT(Start_Here_Complete),0,
IF(X_AdvYes,Qty_V1000_Client_Node,
0))</f>
        <v>0</v>
      </c>
      <c r="G33" s="79">
        <f t="shared" si="0"/>
        <v>0</v>
      </c>
      <c r="H33" s="375"/>
      <c r="I33" s="149"/>
      <c r="J33" s="143"/>
      <c r="K33" s="143"/>
      <c r="L33" s="143"/>
      <c r="M33" s="202"/>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s="8" customFormat="1" ht="38" customHeight="1" x14ac:dyDescent="0.2">
      <c r="A34" s="11"/>
      <c r="B34" s="41"/>
      <c r="C34" s="103" t="str">
        <f>IF(NOT(Start_Here_Complete)," ",
IF(NOT(X_AdvYes),"CCADV-UPG-V3000-1",
CONCATENATE("CCADV-UPG-V3000-",LEFT(cnMX_Term,1))))</f>
        <v xml:space="preserve"> </v>
      </c>
      <c r="D34" s="5" t="str">
        <f>IF(NOT(Start_Here_Complete),"Go to the START HERE worksheet and make the required choices",
VLOOKUP(C34,'Enterprise PL 2022-03-22'!$A$2:$C$4002,2,FALSE))</f>
        <v>Go to the START HERE worksheet and make the required choices</v>
      </c>
      <c r="E34" s="4">
        <f>IF(NOT(Start_Here_Complete),0,
VLOOKUP(C34,'Enterprise PL 2022-03-22'!$A$2:$C$4002,3,FALSE))</f>
        <v>0</v>
      </c>
      <c r="F34" s="3">
        <f>IF(NOT(Start_Here_Complete),0,
IF(X_AdvYes,Qty_V3000_Client_Node,
0))</f>
        <v>0</v>
      </c>
      <c r="G34" s="79">
        <f t="shared" si="0"/>
        <v>0</v>
      </c>
      <c r="H34" s="375"/>
      <c r="I34" s="149"/>
      <c r="J34" s="143"/>
      <c r="K34" s="143"/>
      <c r="L34" s="143"/>
      <c r="M34" s="202"/>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s="8" customFormat="1" ht="38" customHeight="1" x14ac:dyDescent="0.2">
      <c r="A35" s="11"/>
      <c r="B35" s="41"/>
      <c r="C35" s="103" t="str">
        <f>IF(NOT(Start_Here_Complete)," ",
IF(NOT(X_AdvYes),"CCADV-UPG-V5000-1",
CONCATENATE("CCADV-UPG-V5000-",LEFT(cnMX_Term,1))))</f>
        <v xml:space="preserve"> </v>
      </c>
      <c r="D35" s="5" t="str">
        <f>IF(NOT(Start_Here_Complete),"Go to the START HERE worksheet and make the required choices",
VLOOKUP(C35,'Enterprise PL 2022-03-22'!$A$2:$C$4002,2,FALSE))</f>
        <v>Go to the START HERE worksheet and make the required choices</v>
      </c>
      <c r="E35" s="4">
        <f>IF(NOT(Start_Here_Complete),0,
VLOOKUP(C35,'Enterprise PL 2022-03-22'!$A$2:$C$4002,3,FALSE))</f>
        <v>0</v>
      </c>
      <c r="F35" s="3">
        <f>IF(NOT(Start_Here_Complete),0,
IF(X_AdvYes,Qty_V5000_Distribution_Node,
0))</f>
        <v>0</v>
      </c>
      <c r="G35" s="79">
        <f t="shared" si="0"/>
        <v>0</v>
      </c>
      <c r="H35" s="375"/>
      <c r="I35" s="149"/>
      <c r="J35" s="143"/>
      <c r="K35" s="143"/>
      <c r="L35" s="143"/>
      <c r="M35" s="202"/>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s="8" customFormat="1" ht="16" customHeight="1" x14ac:dyDescent="0.2">
      <c r="A36" s="11"/>
      <c r="B36" s="41"/>
      <c r="C36" s="30" t="s">
        <v>6334</v>
      </c>
      <c r="D36" s="9"/>
      <c r="E36" s="27"/>
      <c r="F36" s="10">
        <v>0</v>
      </c>
      <c r="G36" s="78"/>
      <c r="H36" s="374"/>
      <c r="I36" s="208"/>
      <c r="J36" s="143"/>
      <c r="K36" s="143"/>
      <c r="L36" s="143"/>
      <c r="M36" s="174"/>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s="8" customFormat="1" ht="15" customHeight="1" x14ac:dyDescent="0.2">
      <c r="A37" s="11"/>
      <c r="B37" s="41"/>
      <c r="C37" s="107" t="str">
        <f>IF(NOT(Start_Here_Complete)," ",
CONCATENATE("CC-PRO10",Pro_SC10_Tier,"-WW"))</f>
        <v xml:space="preserve"> </v>
      </c>
      <c r="D37" s="2" t="str">
        <f>IF(NOT(Start_Here_Complete)," ",
VLOOKUP(C37,'Enterprise PL 2022-03-22'!$A$2:$C$4002,2,FALSE))</f>
        <v xml:space="preserve"> </v>
      </c>
      <c r="E37" s="28">
        <f>IF(NOT(Start_Here_Complete),0,
VLOOKUP(C37,'Enterprise PL 2022-03-22'!$A$2:$C$4002,3,FALSE))</f>
        <v>0</v>
      </c>
      <c r="F37" s="3">
        <f>IF(NOT(Start_Here_Complete),0,
IF(FWB_CCPro,SC10_Cnt_Total,
0))</f>
        <v>0</v>
      </c>
      <c r="G37" s="79">
        <f t="shared" ref="G37:G42" si="1">IF(NOT(Start_Here_Complete),0,E37*F37)</f>
        <v>0</v>
      </c>
      <c r="H37" s="375"/>
      <c r="I37" s="149"/>
      <c r="J37" s="143"/>
      <c r="K37" s="143"/>
      <c r="L37" s="143"/>
      <c r="M37" s="174"/>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s="8" customFormat="1" ht="15" customHeight="1" x14ac:dyDescent="0.2">
      <c r="A38" s="11"/>
      <c r="B38" s="41"/>
      <c r="C38" s="107" t="str">
        <f>IF(NOT(Start_Here_Complete)," ",
CONCATENATE("CC-PRO20",Pro_SC20_Tier,"-WW"))</f>
        <v xml:space="preserve"> </v>
      </c>
      <c r="D38" s="2" t="str">
        <f>IF(NOT(Start_Here_Complete)," ",
VLOOKUP(C38,'Enterprise PL 2022-03-22'!$A$2:$C$4002,2,FALSE))</f>
        <v xml:space="preserve"> </v>
      </c>
      <c r="E38" s="28">
        <f>IF(NOT(Start_Here_Complete),0,
VLOOKUP(C38,'Enterprise PL 2022-03-22'!$A$2:$C$4002,3,FALSE))</f>
        <v>0</v>
      </c>
      <c r="F38" s="3">
        <f>IF(NOT(Start_Here_Complete),0,
IF(FWB_CCPro,SC20_Cnt_Total,
0))</f>
        <v>0</v>
      </c>
      <c r="G38" s="79">
        <f t="shared" si="1"/>
        <v>0</v>
      </c>
      <c r="H38" s="375"/>
      <c r="I38" s="149"/>
      <c r="J38" s="143"/>
      <c r="K38" s="143"/>
      <c r="L38" s="143"/>
      <c r="M38" s="174"/>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s="8" customFormat="1" ht="15" customHeight="1" x14ac:dyDescent="0.2">
      <c r="A39" s="11"/>
      <c r="B39" s="41"/>
      <c r="C39" s="107" t="str">
        <f>IF(NOT(Start_Here_Complete)," ",
CONCATENATE("CC-PRO30",Pro_SC30_Tier,"-WW"))</f>
        <v xml:space="preserve"> </v>
      </c>
      <c r="D39" s="2" t="str">
        <f>IF(NOT(Start_Here_Complete)," ",
VLOOKUP(C39,'Enterprise PL 2022-03-22'!$A$2:$C$4002,2,FALSE))</f>
        <v xml:space="preserve"> </v>
      </c>
      <c r="E39" s="28">
        <f>IF(NOT(Start_Here_Complete),0,
VLOOKUP(C39,'Enterprise PL 2022-03-22'!$A$2:$C$4002,3,FALSE))</f>
        <v>0</v>
      </c>
      <c r="F39" s="3">
        <f>IF(NOT(Start_Here_Complete),0,
IF(FWB_CCPro,SC30_Cnt_Total,
0))</f>
        <v>0</v>
      </c>
      <c r="G39" s="79">
        <f t="shared" si="1"/>
        <v>0</v>
      </c>
      <c r="H39" s="375"/>
      <c r="I39" s="149"/>
      <c r="J39" s="143"/>
      <c r="K39" s="143"/>
      <c r="L39" s="143"/>
      <c r="M39" s="174"/>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s="8" customFormat="1" ht="15" customHeight="1" x14ac:dyDescent="0.2">
      <c r="A40" s="11"/>
      <c r="B40" s="41"/>
      <c r="C40" s="107" t="str">
        <f>IF(NOT(Start_Here_Complete)," ",
CONCATENATE("CC-PRO40",Pro_SC40_Tier,"-WW"))</f>
        <v xml:space="preserve"> </v>
      </c>
      <c r="D40" s="2" t="str">
        <f>IF(NOT(Start_Here_Complete)," ",
VLOOKUP(C40,'Enterprise PL 2022-03-22'!$A$2:$C$4002,2,FALSE))</f>
        <v xml:space="preserve"> </v>
      </c>
      <c r="E40" s="28">
        <f>IF(NOT(Start_Here_Complete),0,
VLOOKUP(C40,'Enterprise PL 2022-03-22'!$A$2:$C$4002,3,FALSE))</f>
        <v>0</v>
      </c>
      <c r="F40" s="3">
        <f>IF(NOT(Start_Here_Complete),0,
IF(FWB_CCPro,SC40_Cnt_Total,
0))</f>
        <v>0</v>
      </c>
      <c r="G40" s="79">
        <f t="shared" si="1"/>
        <v>0</v>
      </c>
      <c r="H40" s="375"/>
      <c r="I40" s="149"/>
      <c r="J40" s="143"/>
      <c r="K40" s="143"/>
      <c r="L40" s="143"/>
      <c r="M40" s="174"/>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s="8" customFormat="1" ht="15" customHeight="1" x14ac:dyDescent="0.2">
      <c r="A41" s="11"/>
      <c r="B41" s="41"/>
      <c r="C41" s="107" t="str">
        <f>IF(NOT(Start_Here_Complete)," ",
CONCATENATE("CC-PRO50",Pro_SC50_Tier,"-WW"))</f>
        <v xml:space="preserve"> </v>
      </c>
      <c r="D41" s="2" t="str">
        <f>IF(NOT(Start_Here_Complete)," ",
VLOOKUP(C41,'Enterprise PL 2022-03-22'!$A$2:$C$4002,2,FALSE))</f>
        <v xml:space="preserve"> </v>
      </c>
      <c r="E41" s="28">
        <f>IF(NOT(Start_Here_Complete),0,
VLOOKUP(C41,'Enterprise PL 2022-03-22'!$A$2:$C$4002,3,FALSE))</f>
        <v>0</v>
      </c>
      <c r="F41" s="3">
        <f>IF(NOT(Start_Here_Complete),0,
IF(FWB_CCPro,SC50_Cnt_Total,
0))</f>
        <v>0</v>
      </c>
      <c r="G41" s="79">
        <f t="shared" si="1"/>
        <v>0</v>
      </c>
      <c r="H41" s="375"/>
      <c r="I41" s="149"/>
      <c r="J41" s="143"/>
      <c r="K41" s="143"/>
      <c r="L41" s="143"/>
      <c r="M41" s="174"/>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s="8" customFormat="1" ht="15" customHeight="1" x14ac:dyDescent="0.2">
      <c r="A42" s="11"/>
      <c r="B42" s="41"/>
      <c r="C42" s="107" t="str">
        <f>IF(NOT(Start_Here_Complete)," ",
CONCATENATE("CC-PRO60",Pro_SC60_Tier,"-WW"))</f>
        <v xml:space="preserve"> </v>
      </c>
      <c r="D42" s="2" t="str">
        <f>IF(NOT(Start_Here_Complete)," ",
VLOOKUP(C42,'Enterprise PL 2022-03-22'!$A$2:$C$4002,2,FALSE))</f>
        <v xml:space="preserve"> </v>
      </c>
      <c r="E42" s="28">
        <f>IF(NOT(Start_Here_Complete),0,
VLOOKUP(C42,'Enterprise PL 2022-03-22'!$A$2:$C$4002,3,FALSE))</f>
        <v>0</v>
      </c>
      <c r="F42" s="3">
        <f>IF(NOT(Start_Here_Complete),0,
IF(FWB_CCPro,SC60_Cnt_Total,
0))</f>
        <v>0</v>
      </c>
      <c r="G42" s="79">
        <f t="shared" si="1"/>
        <v>0</v>
      </c>
      <c r="H42" s="375"/>
      <c r="I42" s="149"/>
      <c r="J42" s="143"/>
      <c r="K42" s="143"/>
      <c r="L42" s="143"/>
      <c r="M42" s="174"/>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s="8" customFormat="1" ht="14" customHeight="1" x14ac:dyDescent="0.2">
      <c r="A43" s="11"/>
      <c r="B43" s="41"/>
      <c r="C43" s="30" t="s">
        <v>6399</v>
      </c>
      <c r="D43" s="9"/>
      <c r="E43" s="27"/>
      <c r="F43" s="10">
        <v>0</v>
      </c>
      <c r="G43" s="78"/>
      <c r="H43" s="376"/>
      <c r="I43" s="208"/>
      <c r="J43" s="143"/>
      <c r="K43" s="143"/>
      <c r="L43" s="143"/>
      <c r="M43" s="174"/>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s="8" customFormat="1" ht="26" customHeight="1" x14ac:dyDescent="0.2">
      <c r="A44" s="11"/>
      <c r="B44" s="41"/>
      <c r="C44" s="107" t="str">
        <f>IF(NOT(Start_Here_Complete)," ",
IF(NOT(Ent_CCPro),"CCPRO-SUP-XV3-8-1",
CONCATENATE("CCPRO-SUP-XV3-8-",LEFT(CC_Term,1))))</f>
        <v xml:space="preserve"> </v>
      </c>
      <c r="D44" s="2" t="str">
        <f>IF(NOT(Start_Here_Complete)," ",
VLOOKUP(C44,'Enterprise PL 2022-03-22'!$A$2:$C$4002,2,FALSE))</f>
        <v xml:space="preserve"> </v>
      </c>
      <c r="E44" s="28">
        <f>IF(NOT(Start_Here_Complete),0,
VLOOKUP(C44,'Enterprise PL 2022-03-22'!$A$2:$C$4002,3,FALSE))</f>
        <v>0</v>
      </c>
      <c r="F44" s="3" cm="1">
        <f t="array" ref="F44">IF(NOT(Start_Here_Complete),0,
IF(NOT(Ent_CCPro),0,
Qty_XV3_8))</f>
        <v>0</v>
      </c>
      <c r="G44" s="79">
        <f t="shared" ref="G44:G73" si="2">IF(NOT(Start_Here_Complete),0,E44*F44)</f>
        <v>0</v>
      </c>
      <c r="H44" s="375"/>
      <c r="I44" s="149"/>
      <c r="J44" s="143"/>
      <c r="K44" s="143"/>
      <c r="L44" s="143"/>
      <c r="M44" s="174"/>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s="8" customFormat="1" ht="26" customHeight="1" x14ac:dyDescent="0.2">
      <c r="A45" s="11"/>
      <c r="B45" s="41"/>
      <c r="C45" s="107" t="str">
        <f>IF(NOT(Start_Here_Complete)," ",
IF(NOT(Ent_CCPro),"CCPRO-SUP-XV2-2-1",
CONCATENATE("CCPRO-SUP-XV2-2-",LEFT(CC_Term,1))))</f>
        <v xml:space="preserve"> </v>
      </c>
      <c r="D45" s="2" t="str">
        <f>IF(NOT(Start_Here_Complete)," ",
VLOOKUP(C45,'Enterprise PL 2022-03-22'!$A$2:$C$4002,2,FALSE))</f>
        <v xml:space="preserve"> </v>
      </c>
      <c r="E45" s="28">
        <f>IF(NOT(Start_Here_Complete),0,
VLOOKUP(C45,'Enterprise PL 2022-03-22'!$A$2:$C$4002,3,FALSE))</f>
        <v>0</v>
      </c>
      <c r="F45" s="3" cm="1">
        <f t="array" ref="F45">IF(NOT(Start_Here_Complete),0,
IF(NOT(Ent_CCPro),0,
Qty_XV2_2))</f>
        <v>0</v>
      </c>
      <c r="G45" s="79">
        <f t="shared" si="2"/>
        <v>0</v>
      </c>
      <c r="H45" s="375"/>
      <c r="I45" s="149"/>
      <c r="J45" s="143"/>
      <c r="K45" s="143"/>
      <c r="L45" s="143"/>
      <c r="M45" s="174"/>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s="8" customFormat="1" ht="26" customHeight="1" x14ac:dyDescent="0.2">
      <c r="A46" s="11"/>
      <c r="B46" s="41"/>
      <c r="C46" s="107" t="str">
        <f>IF(NOT(Start_Here_Complete)," ",
IF(NOT(Ent_CCPro),"CCPRO-SUP-XV2-2T-1",
CONCATENATE("CCPRO-SUP-XV2-2T-",LEFT(CC_Term,1))))</f>
        <v xml:space="preserve"> </v>
      </c>
      <c r="D46" s="2" t="str">
        <f>IF(NOT(Start_Here_Complete)," ",
VLOOKUP(C46,'Enterprise PL 2022-03-22'!$A$2:$C$4002,2,FALSE))</f>
        <v xml:space="preserve"> </v>
      </c>
      <c r="E46" s="28">
        <f>IF(NOT(Start_Here_Complete),0,
VLOOKUP(C46,'Enterprise PL 2022-03-22'!$A$2:$C$4002,3,FALSE))</f>
        <v>0</v>
      </c>
      <c r="F46" s="3">
        <f>IF(NOT(Start_Here_Complete),0,
IF(NOT(Ent_CCPro),0,
Qty_XV2_2T0))</f>
        <v>0</v>
      </c>
      <c r="G46" s="79">
        <f t="shared" si="2"/>
        <v>0</v>
      </c>
      <c r="H46" s="375"/>
      <c r="I46" s="149"/>
      <c r="J46" s="143"/>
      <c r="K46" s="143"/>
      <c r="L46" s="143"/>
      <c r="M46" s="174"/>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s="8" customFormat="1" ht="26" customHeight="1" x14ac:dyDescent="0.2">
      <c r="A47" s="11"/>
      <c r="B47" s="41"/>
      <c r="C47" s="107" t="str">
        <f>IF(NOT(Start_Here_Complete)," ",
IF(NOT(Ent_CCPro),"CCPRO-SUP-XE3-4-1",
CONCATENATE("CCPRO-SUP-XE3-4-",LEFT(CC_Term,1))))</f>
        <v xml:space="preserve"> </v>
      </c>
      <c r="D47" s="2" t="str">
        <f>IF(NOT(Start_Here_Complete)," ",
VLOOKUP(C47,'Enterprise PL 2022-03-22'!$A$2:$C$4002,2,FALSE))</f>
        <v xml:space="preserve"> </v>
      </c>
      <c r="E47" s="28">
        <f>IF(NOT(Start_Here_Complete),0,
VLOOKUP(C47,'Enterprise PL 2022-03-22'!$A$2:$C$4002,3,FALSE))</f>
        <v>0</v>
      </c>
      <c r="F47" s="3">
        <f>IF(NOT(Start_Here_Complete),0,
IF(NOT(Ent_CCPro),0,
Qty_XE3_4))</f>
        <v>0</v>
      </c>
      <c r="G47" s="79">
        <f t="shared" si="2"/>
        <v>0</v>
      </c>
      <c r="H47" s="375"/>
      <c r="I47" s="149"/>
      <c r="J47" s="143"/>
      <c r="K47" s="143"/>
      <c r="L47" s="143"/>
      <c r="M47" s="174"/>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s="8" customFormat="1" ht="26" customHeight="1" x14ac:dyDescent="0.2">
      <c r="A48" s="11"/>
      <c r="B48" s="41"/>
      <c r="C48" s="107" t="str">
        <f>IF(NOT(Start_Here_Complete)," ",
IF(NOT(Ent_CCPro),"CCPRO-SUP-XE5-8-1",
CONCATENATE("CCPRO-SUP-XE5-8-",LEFT(CC_Term,1))))</f>
        <v xml:space="preserve"> </v>
      </c>
      <c r="D48" s="2" t="str">
        <f>IF(NOT(Start_Here_Complete)," ",
VLOOKUP(C48,'Future Support PL'!$A$2:$C$18,2,FALSE))</f>
        <v xml:space="preserve"> </v>
      </c>
      <c r="E48" s="28">
        <f>IF(NOT(Start_Here_Complete),0,
VLOOKUP(C48,'Future Support PL'!$A$2:$C$18,3,FALSE))</f>
        <v>0</v>
      </c>
      <c r="F48" s="3">
        <f>IF(NOT(Start_Here_Complete),0,
IF(NOT(Ent_CCPro),0,
Qty_XE5_8))</f>
        <v>0</v>
      </c>
      <c r="G48" s="79">
        <f t="shared" si="2"/>
        <v>0</v>
      </c>
      <c r="H48" s="375"/>
      <c r="I48" s="149"/>
      <c r="J48" s="143"/>
      <c r="K48" s="143"/>
      <c r="L48" s="143"/>
      <c r="M48" s="174"/>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s="8" customFormat="1" ht="26" customHeight="1" x14ac:dyDescent="0.2">
      <c r="A49" s="11"/>
      <c r="B49" s="41"/>
      <c r="C49" s="107" t="str">
        <f>IF(NOT(Start_Here_Complete)," ",
IF(NOT(Ent_CCPro),"CCPRO-SUP-E410-1",
CONCATENATE("CCPRO-SUP-E410-",LEFT(CC_Term,1))))</f>
        <v xml:space="preserve"> </v>
      </c>
      <c r="D49" s="2" t="str">
        <f>IF(NOT(Start_Here_Complete)," ",
VLOOKUP(C49,'Enterprise PL 2022-03-22'!$A$2:$C$4002,2,FALSE))</f>
        <v xml:space="preserve"> </v>
      </c>
      <c r="E49" s="28">
        <f>IF(NOT(Start_Here_Complete),0,
VLOOKUP(C49,'Enterprise PL 2022-03-22'!$A$2:$C$4002,3,FALSE))</f>
        <v>0</v>
      </c>
      <c r="F49" s="3">
        <f>IF(NOT(Start_Here_Complete),0,
IF(NOT(Ent_CCPro),0,
Qty_cnPilot_e410))</f>
        <v>0</v>
      </c>
      <c r="G49" s="79">
        <f t="shared" si="2"/>
        <v>0</v>
      </c>
      <c r="H49" s="375"/>
      <c r="I49" s="149"/>
      <c r="J49" s="143"/>
      <c r="K49" s="143"/>
      <c r="L49" s="143"/>
      <c r="M49" s="174"/>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s="8" customFormat="1" ht="26" customHeight="1" x14ac:dyDescent="0.2">
      <c r="A50" s="11"/>
      <c r="B50" s="41"/>
      <c r="C50" s="107" t="str">
        <f>IF(NOT(Start_Here_Complete)," ",
IF(NOT(Ent_CCPro),"CCPRO-SUP-E425-1",
CONCATENATE("CCPRO-SUP-E425-",LEFT(CC_Term,1))))</f>
        <v xml:space="preserve"> </v>
      </c>
      <c r="D50" s="2" t="str">
        <f>IF(NOT(Start_Here_Complete)," ",
VLOOKUP(C50,'Enterprise PL 2022-03-22'!$A$2:$C$4002,2,FALSE))</f>
        <v xml:space="preserve"> </v>
      </c>
      <c r="E50" s="28">
        <f>IF(NOT(Start_Here_Complete),0,
VLOOKUP(C50,'Enterprise PL 2022-03-22'!$A$2:$C$4002,3,FALSE))</f>
        <v>0</v>
      </c>
      <c r="F50" s="3">
        <f>IF(NOT(Start_Here_Complete),0,
IF(NOT(Ent_CCPro),0,
Qty_cnPilot_e425H))</f>
        <v>0</v>
      </c>
      <c r="G50" s="79">
        <f t="shared" si="2"/>
        <v>0</v>
      </c>
      <c r="H50" s="375"/>
      <c r="I50" s="149"/>
      <c r="J50" s="143"/>
      <c r="K50" s="143"/>
      <c r="L50" s="143"/>
      <c r="M50" s="174"/>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s="8" customFormat="1" ht="26" customHeight="1" x14ac:dyDescent="0.2">
      <c r="A51" s="11"/>
      <c r="B51" s="41"/>
      <c r="C51" s="107" t="str">
        <f>IF(NOT(Start_Here_Complete)," ",
IF(NOT(Ent_CCPro),"CCPRO-SUP-E430-1",
CONCATENATE("CCPRO-SUP-E430-",LEFT(CC_Term,1))))</f>
        <v xml:space="preserve"> </v>
      </c>
      <c r="D51" s="2" t="str">
        <f>IF(NOT(Start_Here_Complete)," ",
VLOOKUP(C51,'Enterprise PL 2022-03-22'!$A$2:$C$4002,2,FALSE))</f>
        <v xml:space="preserve"> </v>
      </c>
      <c r="E51" s="28">
        <f>IF(NOT(Start_Here_Complete),0,
VLOOKUP(C51,'Enterprise PL 2022-03-22'!$A$2:$C$4002,3,FALSE))</f>
        <v>0</v>
      </c>
      <c r="F51" s="3">
        <f>IF(NOT(Start_Here_Complete),0,
IF(NOT(Ent_CCPro),0,
Qty_cnPilot_e430H))</f>
        <v>0</v>
      </c>
      <c r="G51" s="79">
        <f t="shared" si="2"/>
        <v>0</v>
      </c>
      <c r="H51" s="375"/>
      <c r="I51" s="149"/>
      <c r="J51" s="143"/>
      <c r="K51" s="143"/>
      <c r="L51" s="143"/>
      <c r="M51" s="174"/>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s="8" customFormat="1" ht="26" customHeight="1" x14ac:dyDescent="0.2">
      <c r="A52" s="11"/>
      <c r="B52" s="41"/>
      <c r="C52" s="107" t="str">
        <f>IF(NOT(Start_Here_Complete)," ",
IF(NOT(Ent_CCPro),"CCPRO-SUP-E600-1",
CONCATENATE("CCPRO-SUP-E600-",LEFT(CC_Term,1))))</f>
        <v xml:space="preserve"> </v>
      </c>
      <c r="D52" s="2" t="str">
        <f>IF(NOT(Start_Here_Complete)," ",
VLOOKUP(C52,'Enterprise PL 2022-03-22'!$A$2:$C$4002,2,FALSE))</f>
        <v xml:space="preserve"> </v>
      </c>
      <c r="E52" s="28">
        <f>IF(NOT(Start_Here_Complete),0,
VLOOKUP(C52,'Enterprise PL 2022-03-22'!$A$2:$C$4002,3,FALSE))</f>
        <v>0</v>
      </c>
      <c r="F52" s="3">
        <f>IF(NOT(Start_Here_Complete),0,
IF(NOT(Ent_CCPro),0,
Qty_cnPilot_e600))</f>
        <v>0</v>
      </c>
      <c r="G52" s="79">
        <f t="shared" si="2"/>
        <v>0</v>
      </c>
      <c r="H52" s="375"/>
      <c r="I52" s="149"/>
      <c r="J52" s="143"/>
      <c r="K52" s="143"/>
      <c r="L52" s="143"/>
      <c r="M52" s="174"/>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s="8" customFormat="1" ht="26" customHeight="1" x14ac:dyDescent="0.2">
      <c r="A53" s="11"/>
      <c r="B53" s="41"/>
      <c r="C53" s="107" t="str">
        <f>IF(NOT(Start_Here_Complete)," ",
IF(NOT(Ent_CCPro),"CCPRO-SUP-E500-1",
CONCATENATE("CCPRO-SUP-E500-",LEFT(CC_Term,1))))</f>
        <v xml:space="preserve"> </v>
      </c>
      <c r="D53" s="2" t="str">
        <f>IF(NOT(Start_Here_Complete)," ",
VLOOKUP(C53,'Enterprise PL 2022-03-22'!$A$2:$C$4002,2,FALSE))</f>
        <v xml:space="preserve"> </v>
      </c>
      <c r="E53" s="28">
        <f>IF(NOT(Start_Here_Complete),0,
VLOOKUP(C53,'Enterprise PL 2022-03-22'!$A$2:$C$4002,3,FALSE))</f>
        <v>0</v>
      </c>
      <c r="F53" s="3">
        <f>IF(NOT(Start_Here_Complete),0,
IF(NOT(Ent_CCPro),0,
Qty_cnPilot_e500))</f>
        <v>0</v>
      </c>
      <c r="G53" s="79">
        <f t="shared" si="2"/>
        <v>0</v>
      </c>
      <c r="H53" s="375"/>
      <c r="I53" s="149"/>
      <c r="J53" s="143"/>
      <c r="K53" s="143"/>
      <c r="L53" s="143"/>
      <c r="M53" s="174"/>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s="8" customFormat="1" ht="26" customHeight="1" x14ac:dyDescent="0.2">
      <c r="A54" s="11"/>
      <c r="B54" s="41"/>
      <c r="C54" s="107" t="str">
        <f>IF(NOT(Start_Here_Complete)," ",
IF(NOT(Ent_CCPro),"CCPRO-SUP-E501-1",
CONCATENATE("CCPRO-SUP-E501-",LEFT(CC_Term,1))))</f>
        <v xml:space="preserve"> </v>
      </c>
      <c r="D54" s="2" t="str">
        <f>IF(NOT(Start_Here_Complete)," ",
VLOOKUP(C54,'Enterprise PL 2022-03-22'!$A$2:$C$4002,2,FALSE))</f>
        <v xml:space="preserve"> </v>
      </c>
      <c r="E54" s="28">
        <f>IF(NOT(Start_Here_Complete),0,
VLOOKUP(C54,'Enterprise PL 2022-03-22'!$A$2:$C$4002,3,FALSE))</f>
        <v>0</v>
      </c>
      <c r="F54" s="3">
        <f>IF(NOT(Start_Here_Complete),0,
IF(NOT(Ent_CCPro),0,
Qty_cnPilot_e501S))</f>
        <v>0</v>
      </c>
      <c r="G54" s="79">
        <f t="shared" si="2"/>
        <v>0</v>
      </c>
      <c r="H54" s="375"/>
      <c r="I54" s="149"/>
      <c r="J54" s="143"/>
      <c r="K54" s="143"/>
      <c r="L54" s="143"/>
      <c r="M54" s="174"/>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s="8" customFormat="1" ht="26" customHeight="1" x14ac:dyDescent="0.2">
      <c r="A55" s="11"/>
      <c r="B55" s="41"/>
      <c r="C55" s="107" t="str">
        <f>IF(NOT(Start_Here_Complete)," ",
IF(NOT(Ent_CCPro),"CCPRO-SUP-E502-1",
CONCATENATE("CCPRO-SUP-E502-",LEFT(CC_Term,1))))</f>
        <v xml:space="preserve"> </v>
      </c>
      <c r="D55" s="2" t="str">
        <f>IF(NOT(Start_Here_Complete)," ",
VLOOKUP(C55,'Enterprise PL 2022-03-22'!$A$2:$C$4002,2,FALSE))</f>
        <v xml:space="preserve"> </v>
      </c>
      <c r="E55" s="28">
        <f>IF(NOT(Start_Here_Complete),0,
VLOOKUP(C55,'Enterprise PL 2022-03-22'!$A$2:$C$4002,3,FALSE))</f>
        <v>0</v>
      </c>
      <c r="F55" s="3">
        <f>IF(NOT(Start_Here_Complete),0,
IF(NOT(Ent_CCPro),0,
Qty_cnPilot_e502S))</f>
        <v>0</v>
      </c>
      <c r="G55" s="79">
        <f t="shared" si="2"/>
        <v>0</v>
      </c>
      <c r="H55" s="375"/>
      <c r="I55" s="149"/>
      <c r="J55" s="143"/>
      <c r="K55" s="143"/>
      <c r="L55" s="143"/>
      <c r="M55" s="174"/>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s="8" customFormat="1" ht="26" customHeight="1" x14ac:dyDescent="0.2">
      <c r="A56" s="11"/>
      <c r="B56" s="41"/>
      <c r="C56" s="107" t="str">
        <f>IF(NOT(Start_Here_Complete)," ",
IF(NOT(Ent_CCPro),"CCPRO-SUP-E505-1",
CONCATENATE("CCPRO-SUP-E505-",LEFT(CC_Term,1))))</f>
        <v xml:space="preserve"> </v>
      </c>
      <c r="D56" s="2" t="str">
        <f>IF(NOT(Start_Here_Complete)," ",
VLOOKUP(C56,'Enterprise PL 2022-03-22'!$A$2:$C$4002,2,FALSE))</f>
        <v xml:space="preserve"> </v>
      </c>
      <c r="E56" s="28">
        <f>IF(NOT(Start_Here_Complete),0,
VLOOKUP(C56,'Enterprise PL 2022-03-22'!$A$2:$C$4002,3,FALSE))</f>
        <v>0</v>
      </c>
      <c r="F56" s="3">
        <f>IF(NOT(Start_Here_Complete),0,
IF(NOT(Ent_CCPro),0,
Qty_cnPilot_e505))</f>
        <v>0</v>
      </c>
      <c r="G56" s="79">
        <f t="shared" si="2"/>
        <v>0</v>
      </c>
      <c r="H56" s="375"/>
      <c r="I56" s="149"/>
      <c r="J56" s="143"/>
      <c r="K56" s="143"/>
      <c r="L56" s="143"/>
      <c r="M56" s="174"/>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s="8" customFormat="1" ht="26" customHeight="1" x14ac:dyDescent="0.2">
      <c r="A57" s="11"/>
      <c r="B57" s="41"/>
      <c r="C57" s="107" t="str">
        <f>IF(NOT(Start_Here_Complete)," ",
IF(NOT(Ent_CCPro),"CCPRO-SUP-E510-1",
CONCATENATE("CCPRO-SUP-E510-",LEFT(CC_Term,1))))</f>
        <v xml:space="preserve"> </v>
      </c>
      <c r="D57" s="2" t="str">
        <f>IF(NOT(Start_Here_Complete)," ",
VLOOKUP(C57,'Enterprise PL 2022-03-22'!$A$2:$C$4002,2,FALSE))</f>
        <v xml:space="preserve"> </v>
      </c>
      <c r="E57" s="28">
        <f>IF(NOT(Start_Here_Complete),0,
VLOOKUP(C57,'Enterprise PL 2022-03-22'!$A$2:$C$4002,3,FALSE))</f>
        <v>0</v>
      </c>
      <c r="F57" s="3">
        <f>IF(NOT(Start_Here_Complete),0,
IF(NOT(Ent_CCPro),0,
Qty_cnPilot_e510))</f>
        <v>0</v>
      </c>
      <c r="G57" s="79">
        <f t="shared" si="2"/>
        <v>0</v>
      </c>
      <c r="H57" s="375"/>
      <c r="I57" s="149"/>
      <c r="J57" s="143"/>
      <c r="K57" s="143"/>
      <c r="L57" s="143"/>
      <c r="M57" s="174"/>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s="8" customFormat="1" ht="26" customHeight="1" x14ac:dyDescent="0.2">
      <c r="A58" s="11"/>
      <c r="B58" s="41"/>
      <c r="C58" s="107" t="str">
        <f>IF(NOT(Start_Here_Complete)," ",
IF(NOT(Ent_CCPro),"CCPRO-SUP-E700-1",
CONCATENATE("CCPRO-SUP-E700-",LEFT(CC_Term,1))))</f>
        <v xml:space="preserve"> </v>
      </c>
      <c r="D58" s="2" t="str">
        <f>IF(NOT(Start_Here_Complete)," ",
VLOOKUP(C58,'Enterprise PL 2022-03-22'!$A$2:$C$4002,2,FALSE))</f>
        <v xml:space="preserve"> </v>
      </c>
      <c r="E58" s="28">
        <f>IF(NOT(Start_Here_Complete),0,
VLOOKUP(C58,'Enterprise PL 2022-03-22'!$A$2:$C$4002,3,FALSE))</f>
        <v>0</v>
      </c>
      <c r="F58" s="3">
        <f>IF(NOT(Start_Here_Complete),0,
IF(NOT(Ent_CCPro),0,
Qty_cnPilot_e700))</f>
        <v>0</v>
      </c>
      <c r="G58" s="79">
        <f t="shared" si="2"/>
        <v>0</v>
      </c>
      <c r="H58" s="375"/>
      <c r="I58" s="149"/>
      <c r="J58" s="143"/>
      <c r="K58" s="143"/>
      <c r="L58" s="143"/>
      <c r="M58" s="174"/>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s="8" customFormat="1" ht="26" customHeight="1" x14ac:dyDescent="0.2">
      <c r="A59" s="11"/>
      <c r="B59" s="41"/>
      <c r="C59" s="107" t="str">
        <f>IF(NOT(Start_Here_Complete)," ",
IF(NOT(Ent_CCPro),"CCPRO-SUP-EX2010-1",
CONCATENATE("CCPRO-SUP-EX2010-",LEFT(CC_Term,1))))</f>
        <v xml:space="preserve"> </v>
      </c>
      <c r="D59" s="2" t="str">
        <f>IF(NOT(Start_Here_Complete)," ",
VLOOKUP(C59,'Enterprise PL 2022-03-22'!$A$2:$C$4002,2,FALSE))</f>
        <v xml:space="preserve"> </v>
      </c>
      <c r="E59" s="28">
        <f>IF(NOT(Start_Here_Complete),0,
VLOOKUP(C59,'Enterprise PL 2022-03-22'!$A$2:$C$4002,3,FALSE))</f>
        <v>0</v>
      </c>
      <c r="F59" s="3">
        <f>IF(NOT(Start_Here_Complete),0,
IF(NOT(Ent_CCPro),0,
Qty_cnMatrix_EX2010))</f>
        <v>0</v>
      </c>
      <c r="G59" s="79">
        <f t="shared" si="2"/>
        <v>0</v>
      </c>
      <c r="H59" s="375"/>
      <c r="I59" s="149"/>
      <c r="J59" s="143"/>
      <c r="K59" s="143"/>
      <c r="L59" s="143"/>
      <c r="M59" s="174"/>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s="8" customFormat="1" ht="26" customHeight="1" x14ac:dyDescent="0.2">
      <c r="A60" s="11"/>
      <c r="B60" s="41"/>
      <c r="C60" s="107" t="str">
        <f>IF(NOT(Start_Here_Complete)," ",
IF(NOT(Ent_CCPro),"CCPRO-SUP-EX2010-P-1",
CONCATENATE("CCPRO-SUP-EX2010-P-",LEFT(CC_Term,1))))</f>
        <v xml:space="preserve"> </v>
      </c>
      <c r="D60" s="2" t="str">
        <f>IF(NOT(Start_Here_Complete)," ",
VLOOKUP(C60,'Enterprise PL 2022-03-22'!$A$2:$C$4002,2,FALSE))</f>
        <v xml:space="preserve"> </v>
      </c>
      <c r="E60" s="28">
        <f>IF(NOT(Start_Here_Complete),0,
VLOOKUP(C60,'Enterprise PL 2022-03-22'!$A$2:$C$4002,3,FALSE))</f>
        <v>0</v>
      </c>
      <c r="F60" s="3">
        <f>IF(NOT(Start_Here_Complete),0,
IF(NOT(Ent_CCPro),0,
Qty_cnMatrix_EX2010_P))</f>
        <v>0</v>
      </c>
      <c r="G60" s="79">
        <f t="shared" si="2"/>
        <v>0</v>
      </c>
      <c r="H60" s="375"/>
      <c r="I60" s="149"/>
      <c r="J60" s="143"/>
      <c r="K60" s="143"/>
      <c r="L60" s="143"/>
      <c r="M60" s="174"/>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s="8" customFormat="1" ht="26" customHeight="1" x14ac:dyDescent="0.2">
      <c r="A61" s="11"/>
      <c r="B61" s="41"/>
      <c r="C61" s="107" t="str">
        <f>IF(NOT(Start_Here_Complete)," ",
IF(NOT(Ent_CCPro),"CCPRO-SUP-EX2016M-P-1",
CONCATENATE("CCPRO-SUP-EX2016M-P-",LEFT(CC_Term,1))))</f>
        <v xml:space="preserve"> </v>
      </c>
      <c r="D61" s="2" t="str">
        <f>IF(NOT(Start_Here_Complete)," ",
VLOOKUP(C61,'Enterprise PL 2022-03-22'!$A$2:$C$4002,2,FALSE))</f>
        <v xml:space="preserve"> </v>
      </c>
      <c r="E61" s="28">
        <f>IF(NOT(Start_Here_Complete),0,
VLOOKUP(C61,'Enterprise PL 2022-03-22'!$A$2:$C$4002,3,FALSE))</f>
        <v>0</v>
      </c>
      <c r="F61" s="3">
        <f>IF(NOT(Start_Here_Complete),0,
IF(NOT(Ent_CCPro),0,
Qty_cnMatrix_EX2016M_P))</f>
        <v>0</v>
      </c>
      <c r="G61" s="79">
        <f t="shared" si="2"/>
        <v>0</v>
      </c>
      <c r="H61" s="375"/>
      <c r="I61" s="149"/>
      <c r="J61" s="143"/>
      <c r="K61" s="143"/>
      <c r="L61" s="143"/>
      <c r="M61" s="174"/>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s="8" customFormat="1" ht="26" customHeight="1" x14ac:dyDescent="0.2">
      <c r="A62" s="11"/>
      <c r="B62" s="41"/>
      <c r="C62" s="107" t="str">
        <f>IF(NOT(Start_Here_Complete)," ",
IF(NOT(Ent_CCPro),"CCPRO-SUP-EX1010-1",
CONCATENATE("CCPRO-SUP-EX1010-",LEFT(CC_Term,1))))</f>
        <v xml:space="preserve"> </v>
      </c>
      <c r="D62" s="2" t="str">
        <f>IF(NOT(Start_Here_Complete)," ",
VLOOKUP(C62,'Enterprise PL 2022-03-22'!$A$2:$C$4002,2,FALSE))</f>
        <v xml:space="preserve"> </v>
      </c>
      <c r="E62" s="28">
        <f>IF(NOT(Start_Here_Complete),0,
VLOOKUP(C62,'Enterprise PL 2022-03-22'!$A$2:$C$4002,3,FALSE))</f>
        <v>0</v>
      </c>
      <c r="F62" s="3">
        <f>IF(NOT(Start_Here_Complete),0,
IF(NOT(Ent_CCPro),0,
Qty_cnMatrix_EX1010))</f>
        <v>0</v>
      </c>
      <c r="G62" s="79">
        <f t="shared" si="2"/>
        <v>0</v>
      </c>
      <c r="H62" s="375"/>
      <c r="I62" s="149"/>
      <c r="J62" s="143"/>
      <c r="K62" s="143"/>
      <c r="L62" s="143"/>
      <c r="M62" s="174"/>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s="8" customFormat="1" ht="26" customHeight="1" x14ac:dyDescent="0.2">
      <c r="A63" s="11"/>
      <c r="B63" s="41"/>
      <c r="C63" s="107" t="str">
        <f>IF(NOT(Start_Here_Complete)," ",
IF(NOT(Ent_CCPro),"CCPRO-SUP-EX1010-P-1",
CONCATENATE("CCPRO-SUP-EX1010-P-",LEFT(CC_Term,1))))</f>
        <v xml:space="preserve"> </v>
      </c>
      <c r="D63" s="2" t="str">
        <f>IF(NOT(Start_Here_Complete)," ",
VLOOKUP(C63,'Enterprise PL 2022-03-22'!$A$2:$C$4002,2,FALSE))</f>
        <v xml:space="preserve"> </v>
      </c>
      <c r="E63" s="28">
        <f>IF(NOT(Start_Here_Complete),0,
VLOOKUP(C63,'Enterprise PL 2022-03-22'!$A$2:$C$4002,3,FALSE))</f>
        <v>0</v>
      </c>
      <c r="F63" s="3">
        <f>IF(NOT(Start_Here_Complete),0,
IF(NOT(Ent_CCPro),0,
Qty_cnMatrix_EX1010_P))</f>
        <v>0</v>
      </c>
      <c r="G63" s="79">
        <f t="shared" si="2"/>
        <v>0</v>
      </c>
      <c r="H63" s="375"/>
      <c r="I63" s="149"/>
      <c r="J63" s="143"/>
      <c r="K63" s="143"/>
      <c r="L63" s="143"/>
      <c r="M63" s="174"/>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s="8" customFormat="1" ht="26" customHeight="1" x14ac:dyDescent="0.2">
      <c r="A64" s="11"/>
      <c r="B64" s="41"/>
      <c r="C64" s="107" t="str">
        <f>IF(NOT(Start_Here_Complete)," ",
IF(NOT(Ent_CCPro),"CCPRO-SUP-EX1028-1",
CONCATENATE("CCPRO-SUP-EX1028-",LEFT(CC_Term,1))))</f>
        <v xml:space="preserve"> </v>
      </c>
      <c r="D64" s="2" t="str">
        <f>IF(NOT(Start_Here_Complete)," ",
VLOOKUP(C64,'Enterprise PL 2022-03-22'!$A$2:$C$4002,2,FALSE))</f>
        <v xml:space="preserve"> </v>
      </c>
      <c r="E64" s="28">
        <f>IF(NOT(Start_Here_Complete),0,
VLOOKUP(C64,'Enterprise PL 2022-03-22'!$A$2:$C$4002,3,FALSE))</f>
        <v>0</v>
      </c>
      <c r="F64" s="3">
        <f>IF(NOT(Start_Here_Complete),0,
IF(NOT(Ent_CCPro),0,
Qty_cnMatrix_EX1028))</f>
        <v>0</v>
      </c>
      <c r="G64" s="79">
        <f t="shared" si="2"/>
        <v>0</v>
      </c>
      <c r="H64" s="375"/>
      <c r="I64" s="149"/>
      <c r="J64" s="143"/>
      <c r="K64" s="143"/>
      <c r="L64" s="143"/>
      <c r="M64" s="174"/>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s="8" customFormat="1" ht="26" customHeight="1" x14ac:dyDescent="0.2">
      <c r="A65" s="11"/>
      <c r="B65" s="41"/>
      <c r="C65" s="107" t="str">
        <f>IF(NOT(Start_Here_Complete)," ",
IF(NOT(Ent_CCPro),"CCPRO-SUP-EX1028-P-1",
CONCATENATE("CCPRO-SUP-EX1028-P-",LEFT(CC_Term,1))))</f>
        <v xml:space="preserve"> </v>
      </c>
      <c r="D65" s="2" t="str">
        <f>IF(NOT(Start_Here_Complete)," ",
VLOOKUP(C65,'Enterprise PL 2022-03-22'!$A$2:$C$4002,2,FALSE))</f>
        <v xml:space="preserve"> </v>
      </c>
      <c r="E65" s="28">
        <f>IF(NOT(Start_Here_Complete),0,
VLOOKUP(C65,'Enterprise PL 2022-03-22'!$A$2:$C$4002,3,FALSE))</f>
        <v>0</v>
      </c>
      <c r="F65" s="3">
        <f>IF(NOT(Start_Here_Complete),0,
IF(NOT(Ent_CCPro),0,
Qty_cnMatrix_EX1028_P))</f>
        <v>0</v>
      </c>
      <c r="G65" s="79">
        <f t="shared" si="2"/>
        <v>0</v>
      </c>
      <c r="H65" s="375"/>
      <c r="I65" s="149"/>
      <c r="J65" s="143"/>
      <c r="K65" s="143"/>
      <c r="L65" s="143"/>
      <c r="M65" s="174"/>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s="8" customFormat="1" ht="26" customHeight="1" x14ac:dyDescent="0.2">
      <c r="A66" s="11"/>
      <c r="B66" s="41"/>
      <c r="C66" s="107" t="str">
        <f>IF(NOT(Start_Here_Complete)," ",
IF(NOT(Ent_CCPro),"CCPRO-SUP-EX2028-1",
CONCATENATE("CCPRO-SUP-EX2028-",LEFT(CC_Term,1))))</f>
        <v xml:space="preserve"> </v>
      </c>
      <c r="D66" s="2" t="str">
        <f>IF(NOT(Start_Here_Complete)," ",
VLOOKUP(C66,'Enterprise PL 2022-03-22'!$A$2:$C$4002,2,FALSE))</f>
        <v xml:space="preserve"> </v>
      </c>
      <c r="E66" s="28">
        <f>IF(NOT(Start_Here_Complete),0,
VLOOKUP(C66,'Enterprise PL 2022-03-22'!$A$2:$C$4002,3,FALSE))</f>
        <v>0</v>
      </c>
      <c r="F66" s="3">
        <f>IF(NOT(Start_Here_Complete),0,
IF(NOT(Ent_CCPro),0,
Qty_cnMatrix_EX2028))</f>
        <v>0</v>
      </c>
      <c r="G66" s="79">
        <f t="shared" si="2"/>
        <v>0</v>
      </c>
      <c r="H66" s="375"/>
      <c r="I66" s="149"/>
      <c r="J66" s="143"/>
      <c r="K66" s="143"/>
      <c r="L66" s="143"/>
      <c r="M66" s="174"/>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s="8" customFormat="1" ht="26" customHeight="1" x14ac:dyDescent="0.2">
      <c r="A67" s="11"/>
      <c r="B67" s="41"/>
      <c r="C67" s="107" t="str">
        <f>IF(NOT(Start_Here_Complete)," ",
IF(NOT(Ent_CCPro),"CCPRO-SUP-EX2028-P-1",
CONCATENATE("CCPRO-SUP-EX2028-P-",LEFT(CC_Term,1))))</f>
        <v xml:space="preserve"> </v>
      </c>
      <c r="D67" s="2" t="str">
        <f>IF(NOT(Start_Here_Complete)," ",
VLOOKUP(C67,'Enterprise PL 2022-03-22'!$A$2:$C$4002,2,FALSE))</f>
        <v xml:space="preserve"> </v>
      </c>
      <c r="E67" s="28">
        <f>IF(NOT(Start_Here_Complete),0,
VLOOKUP(C67,'Enterprise PL 2022-03-22'!$A$2:$C$4002,3,FALSE))</f>
        <v>0</v>
      </c>
      <c r="F67" s="3">
        <f>IF(NOT(Start_Here_Complete),0,
IF(NOT(Ent_CCPro),0,
Qty_cnMatrix_EX2028_P))</f>
        <v>0</v>
      </c>
      <c r="G67" s="79">
        <f t="shared" si="2"/>
        <v>0</v>
      </c>
      <c r="H67" s="375"/>
      <c r="I67" s="149"/>
      <c r="J67" s="143"/>
      <c r="K67" s="143"/>
      <c r="L67" s="143"/>
      <c r="M67" s="174"/>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s="8" customFormat="1" ht="26" customHeight="1" x14ac:dyDescent="0.2">
      <c r="A68" s="11"/>
      <c r="B68" s="41"/>
      <c r="C68" s="107" t="str">
        <f>IF(NOT(Start_Here_Complete)," ",
IF(NOT(Ent_CCPro),"CCPRO-SUP-EX2052-1",
CONCATENATE("CCPRO-SUP-EX2052-",LEFT(CC_Term,1))))</f>
        <v xml:space="preserve"> </v>
      </c>
      <c r="D68" s="2" t="str">
        <f>IF(NOT(Start_Here_Complete)," ",
VLOOKUP(C68,'Enterprise PL 2022-03-22'!$A$2:$C$4002,2,FALSE))</f>
        <v xml:space="preserve"> </v>
      </c>
      <c r="E68" s="28">
        <f>IF(NOT(Start_Here_Complete),0,
VLOOKUP(C68,'Enterprise PL 2022-03-22'!$A$2:$C$4002,3,FALSE))</f>
        <v>0</v>
      </c>
      <c r="F68" s="3">
        <f>IF(NOT(Start_Here_Complete),0,
IF(NOT(Ent_CCPro),0,
Qty_cnMatrix_EX2052))</f>
        <v>0</v>
      </c>
      <c r="G68" s="79">
        <f t="shared" si="2"/>
        <v>0</v>
      </c>
      <c r="H68" s="375"/>
      <c r="I68" s="149"/>
      <c r="J68" s="143"/>
      <c r="K68" s="143"/>
      <c r="L68" s="143"/>
      <c r="M68" s="174"/>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s="8" customFormat="1" ht="26" customHeight="1" x14ac:dyDescent="0.2">
      <c r="A69" s="11"/>
      <c r="B69" s="41"/>
      <c r="C69" s="107" t="str">
        <f>IF(NOT(Start_Here_Complete)," ",
IF(NOT(Ent_CCPro),"CCPRO-SUP-EX2052-P-1",
CONCATENATE("CCPRO-SUP-EX2052-P-",LEFT(CC_Term,1))))</f>
        <v xml:space="preserve"> </v>
      </c>
      <c r="D69" s="2" t="str">
        <f>IF(NOT(Start_Here_Complete)," ",
VLOOKUP(C69,'Enterprise PL 2022-03-22'!$A$2:$C$4002,2,FALSE))</f>
        <v xml:space="preserve"> </v>
      </c>
      <c r="E69" s="28">
        <f>IF(NOT(Start_Here_Complete),0,
VLOOKUP(C69,'Enterprise PL 2022-03-22'!$A$2:$C$4002,3,FALSE))</f>
        <v>0</v>
      </c>
      <c r="F69" s="3">
        <f>IF(NOT(Start_Here_Complete),0,
IF(NOT(Ent_CCPro),0,
Qty_cnMatrix_EX2052_P))</f>
        <v>0</v>
      </c>
      <c r="G69" s="79">
        <f t="shared" si="2"/>
        <v>0</v>
      </c>
      <c r="H69" s="375"/>
      <c r="I69" s="149"/>
      <c r="J69" s="143"/>
      <c r="K69" s="143"/>
      <c r="L69" s="143"/>
      <c r="M69" s="174"/>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s="8" customFormat="1" ht="26" customHeight="1" x14ac:dyDescent="0.2">
      <c r="A70" s="11"/>
      <c r="B70" s="41"/>
      <c r="C70" s="107" t="str">
        <f>IF(NOT(Start_Here_Complete)," ",
IF(NOT(Ent_CCPro),"CCPRO-SUP-EX2052R-P-1",
CONCATENATE("CCPRO-SUP-EX2052R-P-",LEFT(CC_Term,1))))</f>
        <v xml:space="preserve"> </v>
      </c>
      <c r="D70" s="2" t="str">
        <f>IF(NOT(Start_Here_Complete)," ",
VLOOKUP(C70,'Enterprise PL 2022-03-22'!$A$2:$C$4002,2,FALSE))</f>
        <v xml:space="preserve"> </v>
      </c>
      <c r="E70" s="28">
        <f>IF(NOT(Start_Here_Complete),0,
VLOOKUP(C70,'Enterprise PL 2022-03-22'!$A$2:$C$4002,3,FALSE))</f>
        <v>0</v>
      </c>
      <c r="F70" s="3">
        <f>IF(NOT(Start_Here_Complete),0,
IF(NOT(Ent_CCPro),0,
Qty_cnMatrix_EX2052R_P))</f>
        <v>0</v>
      </c>
      <c r="G70" s="79">
        <f t="shared" si="2"/>
        <v>0</v>
      </c>
      <c r="H70" s="375"/>
      <c r="I70" s="149"/>
      <c r="J70" s="143"/>
      <c r="K70" s="143"/>
      <c r="L70" s="143"/>
      <c r="M70" s="174"/>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s="8" customFormat="1" ht="26" customHeight="1" x14ac:dyDescent="0.2">
      <c r="A71" s="11"/>
      <c r="B71" s="41"/>
      <c r="C71" s="107" t="str">
        <f>IF(NOT(Start_Here_Complete)," ",
IF(NOT(Ent_CCPro),"CCPRO-SUP-V1000-1",
CONCATENATE("CCPRO-SUP-V1000-",LEFT(CC_Term,1))))</f>
        <v xml:space="preserve"> </v>
      </c>
      <c r="D71" s="2" t="str">
        <f>IF(NOT(Start_Here_Complete)," ",
VLOOKUP(C71,'Enterprise PL 2022-03-22'!$A$2:$C$4002,2,FALSE))</f>
        <v xml:space="preserve"> </v>
      </c>
      <c r="E71" s="28">
        <f>IF(NOT(Start_Here_Complete),0,
VLOOKUP(C71,'Enterprise PL 2022-03-22'!$A$2:$C$4002,3,FALSE))</f>
        <v>0</v>
      </c>
      <c r="F71" s="3">
        <f>IF(NOT(Start_Here_Complete),0,
IF(NOT(Ent_CCPro),0,
Qty_V1000_Client_Node))</f>
        <v>0</v>
      </c>
      <c r="G71" s="79">
        <f t="shared" si="2"/>
        <v>0</v>
      </c>
      <c r="H71" s="375"/>
      <c r="I71" s="149"/>
      <c r="J71" s="143"/>
      <c r="K71" s="143"/>
      <c r="L71" s="143"/>
      <c r="M71" s="174"/>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s="8" customFormat="1" ht="26" customHeight="1" x14ac:dyDescent="0.2">
      <c r="A72" s="11"/>
      <c r="B72" s="41"/>
      <c r="C72" s="107" t="str">
        <f>IF(NOT(Start_Here_Complete)," ",
IF(NOT(Ent_CCPro),"CCPRO-SUP-V3000-1",
CONCATENATE("CCPRO-SUP-V3000-",LEFT(CC_Term,1))))</f>
        <v xml:space="preserve"> </v>
      </c>
      <c r="D72" s="2" t="str">
        <f>IF(NOT(Start_Here_Complete)," ",
VLOOKUP(C72,'Enterprise PL 2022-03-22'!$A$2:$C$4002,2,FALSE))</f>
        <v xml:space="preserve"> </v>
      </c>
      <c r="E72" s="28">
        <f>IF(NOT(Start_Here_Complete),0,
VLOOKUP(C72,'Enterprise PL 2022-03-22'!$A$2:$C$4002,3,FALSE))</f>
        <v>0</v>
      </c>
      <c r="F72" s="3">
        <f>IF(NOT(Start_Here_Complete),0,
IF(NOT(Ent_CCPro),0,
Qty_V3000_Client_Node))</f>
        <v>0</v>
      </c>
      <c r="G72" s="79">
        <f t="shared" si="2"/>
        <v>0</v>
      </c>
      <c r="H72" s="375"/>
      <c r="I72" s="149"/>
      <c r="J72" s="143"/>
      <c r="K72" s="143"/>
      <c r="L72" s="143"/>
      <c r="M72" s="174"/>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s="8" customFormat="1" ht="26" customHeight="1" x14ac:dyDescent="0.2">
      <c r="A73" s="11"/>
      <c r="B73" s="41"/>
      <c r="C73" s="107" t="str">
        <f>IF(NOT(Start_Here_Complete)," ",
IF(NOT(Ent_CCPro),"CCPRO-SUP-V5000-1",
CONCATENATE("CCPRO-SUP-V5000-",LEFT(CC_Term,1))))</f>
        <v xml:space="preserve"> </v>
      </c>
      <c r="D73" s="2" t="str">
        <f>IF(NOT(Start_Here_Complete)," ",
VLOOKUP(C73,'Enterprise PL 2022-03-22'!$A$2:$C$4002,2,FALSE))</f>
        <v xml:space="preserve"> </v>
      </c>
      <c r="E73" s="28">
        <f>IF(NOT(Start_Here_Complete),0,
VLOOKUP(C73,'Enterprise PL 2022-03-22'!$A$2:$C$4002,3,FALSE))</f>
        <v>0</v>
      </c>
      <c r="F73" s="3">
        <f>IF(NOT(Start_Here_Complete),0,
IF(NOT(Ent_CCPro),0,
Qty_V5000_Distribution_Node))</f>
        <v>0</v>
      </c>
      <c r="G73" s="79">
        <f t="shared" si="2"/>
        <v>0</v>
      </c>
      <c r="H73" s="375"/>
      <c r="I73" s="149"/>
      <c r="J73" s="143"/>
      <c r="K73" s="143"/>
      <c r="L73" s="143"/>
      <c r="M73" s="174"/>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s="8" customFormat="1" ht="14" customHeight="1" x14ac:dyDescent="0.2">
      <c r="A74" s="11"/>
      <c r="B74" s="41"/>
      <c r="C74" s="30" t="s">
        <v>6335</v>
      </c>
      <c r="D74" s="9"/>
      <c r="E74" s="27"/>
      <c r="F74" s="10">
        <v>0</v>
      </c>
      <c r="G74" s="78"/>
      <c r="H74" s="374"/>
      <c r="I74" s="201"/>
      <c r="J74" s="143"/>
      <c r="K74" s="143"/>
      <c r="L74" s="143"/>
      <c r="M74" s="174"/>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s="8" customFormat="1" ht="15" customHeight="1" x14ac:dyDescent="0.2">
      <c r="A75" s="11"/>
      <c r="B75" s="41"/>
      <c r="C75" s="107" t="str">
        <f>IF(NOT(Start_Here_Complete)," ",
CONCATENATE("CC-PRC10",Prime_SC10_Tier,"-WW"))</f>
        <v xml:space="preserve"> </v>
      </c>
      <c r="D75" s="2" t="str">
        <f>IF(NOT(Start_Here_Complete)," ",
VLOOKUP(C75,'Enterprise PL 2022-03-22'!$A$2:$C$4002,2,FALSE))</f>
        <v xml:space="preserve"> </v>
      </c>
      <c r="E75" s="28">
        <f>IF(NOT(Start_Here_Complete),0,
VLOOKUP(C75,'Enterprise PL 2022-03-22'!$A$2:$C$4002,3,FALSE))</f>
        <v>0</v>
      </c>
      <c r="F75" s="3">
        <f>IF(NOT(Start_Here_Complete),0,
IF(FWB_CCPrime,SC10_Cnt_Total,
0))</f>
        <v>0</v>
      </c>
      <c r="G75" s="79">
        <f t="shared" ref="G75:G82" si="3">IF(NOT(Start_Here_Complete),0,E75*F75)</f>
        <v>0</v>
      </c>
      <c r="H75" s="375"/>
      <c r="I75" s="149"/>
      <c r="J75" s="143"/>
      <c r="K75" s="143"/>
      <c r="L75" s="143"/>
      <c r="M75" s="174"/>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s="8" customFormat="1" ht="15" customHeight="1" x14ac:dyDescent="0.2">
      <c r="A76" s="11"/>
      <c r="B76" s="41"/>
      <c r="C76" s="107" t="str">
        <f>IF(NOT(Start_Here_Complete)," ",
CONCATENATE("CC-PRC15",Prime_SC15_Tier,"-WW"))</f>
        <v xml:space="preserve"> </v>
      </c>
      <c r="D76" s="2" t="str">
        <f>IF(NOT(Start_Here_Complete)," ",
VLOOKUP(C76,'Enterprise PL 2022-03-22'!$A$2:$C$4002,2,FALSE))</f>
        <v xml:space="preserve"> </v>
      </c>
      <c r="E76" s="28">
        <f>IF(NOT(Start_Here_Complete),0,
VLOOKUP(C76,'Enterprise PL 2022-03-22'!$A$2:$C$4002,3,FALSE))</f>
        <v>0</v>
      </c>
      <c r="F76" s="3">
        <f>IF(NOT(Start_Here_Complete),0,
IF(FWB_CCPrime,SC15_Cnt_Total,
0))</f>
        <v>0</v>
      </c>
      <c r="G76" s="79">
        <f t="shared" si="3"/>
        <v>0</v>
      </c>
      <c r="H76" s="375"/>
      <c r="I76" s="149"/>
      <c r="J76" s="143"/>
      <c r="K76" s="143"/>
      <c r="L76" s="143"/>
      <c r="M76" s="174"/>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s="8" customFormat="1" ht="15" customHeight="1" x14ac:dyDescent="0.2">
      <c r="A77" s="11"/>
      <c r="B77" s="41"/>
      <c r="C77" s="107" t="str">
        <f>IF(NOT(Start_Here_Complete)," ",
CONCATENATE("CC-PRC20",Prime_SC20_Tier,"-WW"))</f>
        <v xml:space="preserve"> </v>
      </c>
      <c r="D77" s="2" t="str">
        <f>IF(NOT(Start_Here_Complete)," ",
VLOOKUP(C77,'Enterprise PL 2022-03-22'!$A$2:$C$4002,2,FALSE))</f>
        <v xml:space="preserve"> </v>
      </c>
      <c r="E77" s="28">
        <f>IF(NOT(Start_Here_Complete),0,
VLOOKUP(C77,'Enterprise PL 2022-03-22'!$A$2:$C$4002,3,FALSE))</f>
        <v>0</v>
      </c>
      <c r="F77" s="3">
        <f>IF(NOT(Start_Here_Complete),0,
IF(FWB_CCPrime,SC20_Cnt_Total,
0))</f>
        <v>0</v>
      </c>
      <c r="G77" s="79">
        <f t="shared" si="3"/>
        <v>0</v>
      </c>
      <c r="H77" s="375"/>
      <c r="I77" s="149"/>
      <c r="J77" s="143"/>
      <c r="K77" s="143"/>
      <c r="L77" s="143"/>
      <c r="M77" s="174"/>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s="8" customFormat="1" ht="15" customHeight="1" x14ac:dyDescent="0.2">
      <c r="A78" s="11"/>
      <c r="B78" s="41"/>
      <c r="C78" s="107" t="str">
        <f>IF(NOT(Start_Here_Complete)," ",
CONCATENATE("CC-PRC25",Prime_SC25_Tier,"-WW"))</f>
        <v xml:space="preserve"> </v>
      </c>
      <c r="D78" s="2" t="str">
        <f>IF(NOT(Start_Here_Complete)," ",
VLOOKUP(C78,'Enterprise PL 2022-03-22'!$A$2:$C$4002,2,FALSE))</f>
        <v xml:space="preserve"> </v>
      </c>
      <c r="E78" s="28">
        <f>IF(NOT(Start_Here_Complete),0,
VLOOKUP(C78,'Enterprise PL 2022-03-22'!$A$2:$C$4002,3,FALSE))</f>
        <v>0</v>
      </c>
      <c r="F78" s="3">
        <f>IF(NOT(Start_Here_Complete),0,
IF(FWB_CCPrime,SC25_Cnt_Total,
0))</f>
        <v>0</v>
      </c>
      <c r="G78" s="79">
        <f t="shared" si="3"/>
        <v>0</v>
      </c>
      <c r="H78" s="375"/>
      <c r="I78" s="149"/>
      <c r="J78" s="143"/>
      <c r="K78" s="143"/>
      <c r="L78" s="143"/>
      <c r="M78" s="174"/>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s="8" customFormat="1" ht="15" customHeight="1" x14ac:dyDescent="0.2">
      <c r="A79" s="11"/>
      <c r="B79" s="41"/>
      <c r="C79" s="107" t="str">
        <f>IF(NOT(Start_Here_Complete)," ",
CONCATENATE("CC-PRC30",Prime_SC30_Tier,"-WW"))</f>
        <v xml:space="preserve"> </v>
      </c>
      <c r="D79" s="2" t="str">
        <f>IF(NOT(Start_Here_Complete)," ",
VLOOKUP(C79,'Enterprise PL 2022-03-22'!$A$2:$C$4002,2,FALSE))</f>
        <v xml:space="preserve"> </v>
      </c>
      <c r="E79" s="28">
        <f>IF(NOT(Start_Here_Complete),0,
VLOOKUP(C79,'Enterprise PL 2022-03-22'!$A$2:$C$4002,3,FALSE))</f>
        <v>0</v>
      </c>
      <c r="F79" s="3">
        <f>IF(NOT(Start_Here_Complete),0,
IF(FWB_CCPrime,SC30_Cnt_Total,
0))</f>
        <v>0</v>
      </c>
      <c r="G79" s="79">
        <f t="shared" si="3"/>
        <v>0</v>
      </c>
      <c r="H79" s="375"/>
      <c r="I79" s="149"/>
      <c r="J79" s="143"/>
      <c r="K79" s="143"/>
      <c r="L79" s="143"/>
      <c r="M79" s="174"/>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s="8" customFormat="1" ht="15" customHeight="1" x14ac:dyDescent="0.2">
      <c r="A80" s="11"/>
      <c r="B80" s="41"/>
      <c r="C80" s="107" t="str">
        <f>IF(NOT(Start_Here_Complete)," ",
CONCATENATE("CC-PRC40",Prime_SC40_Tier,"-WW"))</f>
        <v xml:space="preserve"> </v>
      </c>
      <c r="D80" s="2" t="str">
        <f>IF(NOT(Start_Here_Complete)," ",
VLOOKUP(C80,'Enterprise PL 2022-03-22'!$A$2:$C$4002,2,FALSE))</f>
        <v xml:space="preserve"> </v>
      </c>
      <c r="E80" s="28">
        <f>IF(NOT(Start_Here_Complete),0,
VLOOKUP(C80,'Enterprise PL 2022-03-22'!$A$2:$C$4002,3,FALSE))</f>
        <v>0</v>
      </c>
      <c r="F80" s="3">
        <f>IF(NOT(Start_Here_Complete),0,
IF(FWB_CCPrime,SC40_Cnt_Total,
0))</f>
        <v>0</v>
      </c>
      <c r="G80" s="79">
        <f t="shared" si="3"/>
        <v>0</v>
      </c>
      <c r="H80" s="375"/>
      <c r="I80" s="149"/>
      <c r="J80" s="143"/>
      <c r="K80" s="143"/>
      <c r="L80" s="143"/>
      <c r="M80" s="174"/>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s="8" customFormat="1" ht="15" customHeight="1" x14ac:dyDescent="0.2">
      <c r="A81" s="11"/>
      <c r="B81" s="41"/>
      <c r="C81" s="107" t="str">
        <f>IF(NOT(Start_Here_Complete)," ",
CONCATENATE("CC-PRC50",Prime_SC50_Tier,"-WW"))</f>
        <v xml:space="preserve"> </v>
      </c>
      <c r="D81" s="2" t="str">
        <f>IF(NOT(Start_Here_Complete)," ",
VLOOKUP(C81,'Enterprise PL 2022-03-22'!$A$2:$C$4002,2,FALSE))</f>
        <v xml:space="preserve"> </v>
      </c>
      <c r="E81" s="28">
        <f>IF(NOT(Start_Here_Complete),0,
VLOOKUP(C81,'Enterprise PL 2022-03-22'!$A$2:$C$4002,3,FALSE))</f>
        <v>0</v>
      </c>
      <c r="F81" s="3">
        <f>IF(NOT(Start_Here_Complete),0,
IF(FWB_CCPrime,SC50_Cnt_Total,
0))</f>
        <v>0</v>
      </c>
      <c r="G81" s="79">
        <f t="shared" si="3"/>
        <v>0</v>
      </c>
      <c r="H81" s="375"/>
      <c r="I81" s="149"/>
      <c r="J81" s="143"/>
      <c r="K81" s="143"/>
      <c r="L81" s="143"/>
      <c r="M81" s="174"/>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s="8" customFormat="1" ht="15" customHeight="1" x14ac:dyDescent="0.2">
      <c r="A82" s="11"/>
      <c r="B82" s="41"/>
      <c r="C82" s="107" t="str">
        <f>IF(NOT(Start_Here_Complete)," ",
CONCATENATE("CC-PRC60",Prime_SC60_Tier,"-WW"))</f>
        <v xml:space="preserve"> </v>
      </c>
      <c r="D82" s="2" t="str">
        <f>IF(NOT(Start_Here_Complete)," ",
VLOOKUP(C82,'Enterprise PL 2022-03-22'!$A$2:$C$4002,2,FALSE))</f>
        <v xml:space="preserve"> </v>
      </c>
      <c r="E82" s="28">
        <f>IF(NOT(Start_Here_Complete),0,
VLOOKUP(C82,'Enterprise PL 2022-03-22'!$A$2:$C$4002,3,FALSE))</f>
        <v>0</v>
      </c>
      <c r="F82" s="3">
        <f>IF(NOT(Start_Here_Complete),0,
IF(FWB_CCPrime,SC60_Cnt_Total,
0))</f>
        <v>0</v>
      </c>
      <c r="G82" s="79">
        <f t="shared" si="3"/>
        <v>0</v>
      </c>
      <c r="H82" s="375"/>
      <c r="I82" s="149"/>
      <c r="J82" s="143"/>
      <c r="K82" s="143"/>
      <c r="L82" s="143"/>
      <c r="M82" s="174"/>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s="8" customFormat="1" ht="16" customHeight="1" x14ac:dyDescent="0.2">
      <c r="A83" s="11"/>
      <c r="B83" s="41"/>
      <c r="C83" s="30" t="s">
        <v>6336</v>
      </c>
      <c r="D83" s="9"/>
      <c r="E83" s="27"/>
      <c r="F83" s="10">
        <v>0</v>
      </c>
      <c r="G83" s="78"/>
      <c r="H83" s="375"/>
      <c r="I83" s="149"/>
      <c r="J83" s="143"/>
      <c r="K83" s="143"/>
      <c r="L83" s="143"/>
      <c r="M83" s="202"/>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1:56" s="8" customFormat="1" ht="26" customHeight="1" x14ac:dyDescent="0.2">
      <c r="A84" s="11"/>
      <c r="B84" s="41"/>
      <c r="C84" s="14" t="str">
        <f>IF(NOT(Start_Here_Complete)," ",
IF(NOT(Ent_CCAdv),"CCADV-SUP-XV3-8-1",
CONCATENATE("CCADV-SUP-XV3-8-",LEFT(CC_Term,1))))</f>
        <v xml:space="preserve"> </v>
      </c>
      <c r="D84" s="2" t="str">
        <f>IF(NOT(Start_Here_Complete)," ",
VLOOKUP(C84,'Enterprise PL 2022-03-22'!$A$2:$C$4002,2,FALSE))</f>
        <v xml:space="preserve"> </v>
      </c>
      <c r="E84" s="28">
        <f>IF(NOT(Start_Here_Complete),0,
VLOOKUP(C84,'Enterprise PL 2022-03-22'!$A$2:$C$4002,3,FALSE))</f>
        <v>0</v>
      </c>
      <c r="F84" s="3" cm="1">
        <f t="array" ref="F84">IF(NOT(Start_Here_Complete),0,
IF(NOT(_Dev="Ent"),0,
IF(CC_Type="Cambium Care Advanced",Qty_XV3_8,
0)))</f>
        <v>0</v>
      </c>
      <c r="G84" s="79">
        <f t="shared" ref="G84:G113" si="4">IF(NOT(Start_Here_Complete),0,E84*F84)</f>
        <v>0</v>
      </c>
      <c r="H84" s="375"/>
      <c r="I84" s="149"/>
      <c r="J84" s="143"/>
      <c r="K84" s="143"/>
      <c r="L84" s="143"/>
      <c r="M84" s="202"/>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1:56" s="8" customFormat="1" ht="26" customHeight="1" x14ac:dyDescent="0.2">
      <c r="A85" s="11"/>
      <c r="B85" s="41"/>
      <c r="C85" s="14" t="str">
        <f>IF(NOT(Start_Here_Complete)," ",
IF(NOT(Ent_CCAdv),"CCADV-SUP-XV2-2-1",
CONCATENATE("CCADV-SUP-XV2-2-",LEFT(CC_Term,1))))</f>
        <v xml:space="preserve"> </v>
      </c>
      <c r="D85" s="2" t="str">
        <f>IF(NOT(Start_Here_Complete)," ",
VLOOKUP(C85,'Enterprise PL 2022-03-22'!$A$2:$C$4002,2,FALSE))</f>
        <v xml:space="preserve"> </v>
      </c>
      <c r="E85" s="28">
        <f>IF(NOT(Start_Here_Complete),0,
VLOOKUP(C85,'Enterprise PL 2022-03-22'!$A$2:$C$4002,3,FALSE))</f>
        <v>0</v>
      </c>
      <c r="F85" s="3" cm="1">
        <f t="array" ref="F85">IF(NOT(Start_Here_Complete),0,
IF(NOT(_Dev="Ent"),0,
IF(CC_Type="Cambium Care Advanced",Qty_XV2_2,
0)))</f>
        <v>0</v>
      </c>
      <c r="G85" s="79">
        <f t="shared" si="4"/>
        <v>0</v>
      </c>
      <c r="H85" s="375"/>
      <c r="I85" s="149"/>
      <c r="J85" s="143"/>
      <c r="K85" s="143"/>
      <c r="L85" s="143"/>
      <c r="M85" s="202"/>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1:56" s="8" customFormat="1" ht="26" customHeight="1" x14ac:dyDescent="0.2">
      <c r="A86" s="11"/>
      <c r="B86" s="41"/>
      <c r="C86" s="14" t="str">
        <f>IF(NOT(Start_Here_Complete)," ",
IF(NOT(Ent_CCAdv),"CCADV-SUP-XV2-2T-1",
CONCATENATE("CCADV-SUP-XV2-2T-",LEFT(CC_Term,1))))</f>
        <v xml:space="preserve"> </v>
      </c>
      <c r="D86" s="2" t="str">
        <f>IF(NOT(Start_Here_Complete)," ",
VLOOKUP(C86,'Enterprise PL 2022-03-22'!$A$2:$C$4002,2,FALSE))</f>
        <v xml:space="preserve"> </v>
      </c>
      <c r="E86" s="28">
        <f>IF(NOT(Start_Here_Complete),0,
VLOOKUP(C86,'Enterprise PL 2022-03-22'!$A$2:$C$4002,3,FALSE))</f>
        <v>0</v>
      </c>
      <c r="F86" s="3">
        <f>IF(NOT(Start_Here_Complete),0,
IF(NOT(_Dev="Ent"),0,
IF(CC_Type="Cambium Care Advanced",Qty_XV2_2T0,
0)))</f>
        <v>0</v>
      </c>
      <c r="G86" s="79">
        <f t="shared" si="4"/>
        <v>0</v>
      </c>
      <c r="H86" s="375"/>
      <c r="I86" s="149"/>
      <c r="J86" s="143"/>
      <c r="K86" s="143"/>
      <c r="L86" s="143"/>
      <c r="M86" s="202"/>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1:56" s="8" customFormat="1" ht="26" customHeight="1" x14ac:dyDescent="0.2">
      <c r="A87" s="11"/>
      <c r="B87" s="41"/>
      <c r="C87" s="14" t="str">
        <f>IF(NOT(Start_Here_Complete)," ",
IF(NOT(Ent_CCAdv),"CCADV-SUP-XE3-4-1",
CONCATENATE("CCADV-SUP-XE3-4-",LEFT(CC_Term,1))))</f>
        <v xml:space="preserve"> </v>
      </c>
      <c r="D87" s="2" t="str">
        <f>IF(NOT(Start_Here_Complete)," ",
VLOOKUP(C87,'Enterprise PL 2022-03-22'!$A$2:$C$4002,2,FALSE))</f>
        <v xml:space="preserve"> </v>
      </c>
      <c r="E87" s="28">
        <f>IF(NOT(Start_Here_Complete),0,
VLOOKUP(C87,'Enterprise PL 2022-03-22'!$A$2:$C$4002,3,FALSE))</f>
        <v>0</v>
      </c>
      <c r="F87" s="3">
        <f>IF(NOT(Start_Here_Complete),0,
IF(NOT(_Dev="Ent"),0,
IF(CC_Type="Cambium Care Advanced",Qty_XE3_4,
0)))</f>
        <v>0</v>
      </c>
      <c r="G87" s="79">
        <f t="shared" si="4"/>
        <v>0</v>
      </c>
      <c r="H87" s="375"/>
      <c r="I87" s="149"/>
      <c r="J87" s="143"/>
      <c r="K87" s="143"/>
      <c r="L87" s="143"/>
      <c r="M87" s="202"/>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1:56" s="8" customFormat="1" ht="26" customHeight="1" x14ac:dyDescent="0.2">
      <c r="A88" s="11"/>
      <c r="B88" s="41"/>
      <c r="C88" s="14" t="str">
        <f>IF(NOT(Start_Here_Complete)," ",
IF(NOT(Ent_CCAdv),"CCADV-SUP-XE5-8-1",
CONCATENATE("CCADV-SUP-XE5-8-",LEFT(CC_Term,1))))</f>
        <v xml:space="preserve"> </v>
      </c>
      <c r="D88" s="2" t="str">
        <f>IF(NOT(Start_Here_Complete)," ",
VLOOKUP(C88,'Future Support PL'!$A$2:$C$18,2,FALSE))</f>
        <v xml:space="preserve"> </v>
      </c>
      <c r="E88" s="28">
        <f>IF(NOT(Start_Here_Complete),0,
VLOOKUP(C88,'Future Support PL'!$A$2:$C$18,3,FALSE))</f>
        <v>0</v>
      </c>
      <c r="F88" s="3">
        <f>IF(NOT(Start_Here_Complete),0,
IF(NOT(_Dev="Ent"),0,
IF(CC_Type="Cambium Care Advanced",Qty_XE5_8,
0)))</f>
        <v>0</v>
      </c>
      <c r="G88" s="79">
        <f t="shared" si="4"/>
        <v>0</v>
      </c>
      <c r="H88" s="375"/>
      <c r="I88" s="149"/>
      <c r="J88" s="143"/>
      <c r="K88" s="143"/>
      <c r="L88" s="143"/>
      <c r="M88" s="202"/>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1:56" s="8" customFormat="1" ht="26" customHeight="1" x14ac:dyDescent="0.2">
      <c r="A89" s="11"/>
      <c r="B89" s="41"/>
      <c r="C89" s="14" t="str">
        <f>IF(NOT(Start_Here_Complete)," ",
IF(NOT(Ent_CCAdv),"CCADV-SUP-E410-1",
CONCATENATE("CCADV-SUP-E410-",LEFT(CC_Term,1))))</f>
        <v xml:space="preserve"> </v>
      </c>
      <c r="D89" s="2" t="str">
        <f>IF(NOT(Start_Here_Complete)," ",
VLOOKUP(C89,'Enterprise PL 2022-03-22'!$A$2:$C$4002,2,FALSE))</f>
        <v xml:space="preserve"> </v>
      </c>
      <c r="E89" s="28">
        <f>IF(NOT(Start_Here_Complete),0,
VLOOKUP(C89,'Enterprise PL 2022-03-22'!$A$2:$C$4002,3,FALSE))</f>
        <v>0</v>
      </c>
      <c r="F89" s="3">
        <f>IF(NOT(Start_Here_Complete),0,
IF(NOT(_Dev="Ent"),0,
IF(CC_Type="Cambium Care Advanced",Qty_cnPilot_e410,
0)))</f>
        <v>0</v>
      </c>
      <c r="G89" s="79">
        <f t="shared" ref="G89" si="5">IF(NOT(Start_Here_Complete),0,E89*F89)</f>
        <v>0</v>
      </c>
      <c r="H89" s="375"/>
      <c r="I89" s="149"/>
      <c r="J89" s="143"/>
      <c r="K89" s="143"/>
      <c r="L89" s="143"/>
      <c r="M89" s="202"/>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1:56" s="8" customFormat="1" ht="26" customHeight="1" x14ac:dyDescent="0.2">
      <c r="A90" s="11"/>
      <c r="B90" s="41"/>
      <c r="C90" s="14" t="str">
        <f>IF(NOT(Start_Here_Complete)," ",
IF(NOT(Ent_CCAdv),"CCADV-SUP-E425-1",
CONCATENATE("CCADV-SUP-E425-",LEFT(CC_Term,1))))</f>
        <v xml:space="preserve"> </v>
      </c>
      <c r="D90" s="2" t="str">
        <f>IF(NOT(Start_Here_Complete)," ",
VLOOKUP(C90,'Enterprise PL 2022-03-22'!$A$2:$C$4002,2,FALSE))</f>
        <v xml:space="preserve"> </v>
      </c>
      <c r="E90" s="28">
        <f>IF(NOT(Start_Here_Complete),0,
VLOOKUP(C90,'Enterprise PL 2022-03-22'!$A$2:$C$4002,3,FALSE))</f>
        <v>0</v>
      </c>
      <c r="F90" s="3">
        <f>IF(NOT(Start_Here_Complete),0,
IF(NOT(_Dev="Ent"),0,
IF(CC_Type="Cambium Care Advanced",Qty_cnPilot_e425H,
0)))</f>
        <v>0</v>
      </c>
      <c r="G90" s="79">
        <f t="shared" ref="G90" si="6">IF(NOT(Start_Here_Complete),0,E90*F90)</f>
        <v>0</v>
      </c>
      <c r="H90" s="375"/>
      <c r="I90" s="149"/>
      <c r="J90" s="143"/>
      <c r="K90" s="143"/>
      <c r="L90" s="143"/>
      <c r="M90" s="202"/>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1:56" s="8" customFormat="1" ht="26" customHeight="1" x14ac:dyDescent="0.2">
      <c r="A91" s="11"/>
      <c r="B91" s="41"/>
      <c r="C91" s="14" t="str">
        <f>IF(NOT(Start_Here_Complete)," ",
IF(NOT(Ent_CCAdv),"CCADV-SUP-E430-1",
CONCATENATE("CCADV-SUP-E430-",LEFT(CC_Term,1))))</f>
        <v xml:space="preserve"> </v>
      </c>
      <c r="D91" s="2" t="str">
        <f>IF(NOT(Start_Here_Complete)," ",
VLOOKUP(C91,'Enterprise PL 2022-03-22'!$A$2:$C$4002,2,FALSE))</f>
        <v xml:space="preserve"> </v>
      </c>
      <c r="E91" s="28">
        <f>IF(NOT(Start_Here_Complete),0,
VLOOKUP(C91,'Enterprise PL 2022-03-22'!$A$2:$C$4002,3,FALSE))</f>
        <v>0</v>
      </c>
      <c r="F91" s="3">
        <f>IF(NOT(Start_Here_Complete),0,
IF(NOT(_Dev="Ent"),0,
IF(CC_Type="Cambium Care Advanced",Qty_cnPilot_e430H,
0)))</f>
        <v>0</v>
      </c>
      <c r="G91" s="79">
        <f t="shared" si="4"/>
        <v>0</v>
      </c>
      <c r="H91" s="375"/>
      <c r="I91" s="149"/>
      <c r="J91" s="143"/>
      <c r="K91" s="143"/>
      <c r="L91" s="143"/>
      <c r="M91" s="202"/>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1:56" s="8" customFormat="1" ht="26" customHeight="1" x14ac:dyDescent="0.2">
      <c r="A92" s="11"/>
      <c r="B92" s="41"/>
      <c r="C92" s="14" t="str">
        <f>IF(NOT(Start_Here_Complete)," ",
IF(NOT(Ent_CCAdv),"CCADV-SUP-E600-1",
CONCATENATE("CCADV-SUP-E600-",LEFT(CC_Term,1))))</f>
        <v xml:space="preserve"> </v>
      </c>
      <c r="D92" s="2" t="str">
        <f>IF(NOT(Start_Here_Complete)," ",
VLOOKUP(C92,'Enterprise PL 2022-03-22'!$A$2:$C$4002,2,FALSE))</f>
        <v xml:space="preserve"> </v>
      </c>
      <c r="E92" s="28">
        <f>IF(NOT(Start_Here_Complete),0,
VLOOKUP(C92,'Enterprise PL 2022-03-22'!$A$2:$C$4002,3,FALSE))</f>
        <v>0</v>
      </c>
      <c r="F92" s="3">
        <f>IF(NOT(Start_Here_Complete),0,
IF(NOT(_Dev="Ent"),0,
IF(CC_Type="Cambium Care Advanced",Qty_cnPilot_e600,
0)))</f>
        <v>0</v>
      </c>
      <c r="G92" s="79">
        <f t="shared" si="4"/>
        <v>0</v>
      </c>
      <c r="H92" s="375"/>
      <c r="I92" s="149"/>
      <c r="J92" s="143"/>
      <c r="K92" s="143"/>
      <c r="L92" s="143"/>
      <c r="M92" s="202"/>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1:56" s="8" customFormat="1" ht="26" customHeight="1" x14ac:dyDescent="0.2">
      <c r="A93" s="11"/>
      <c r="B93" s="41"/>
      <c r="C93" s="14" t="str">
        <f>IF(NOT(Start_Here_Complete)," ",
IF(NOT(Ent_CCAdv),"CCADV-SUP-E500-1",
CONCATENATE("CCADV-SUP-E500-",LEFT(CC_Term,1))))</f>
        <v xml:space="preserve"> </v>
      </c>
      <c r="D93" s="2" t="str">
        <f>IF(NOT(Start_Here_Complete)," ",
VLOOKUP(C93,'Enterprise PL 2022-03-22'!$A$2:$C$4002,2,FALSE))</f>
        <v xml:space="preserve"> </v>
      </c>
      <c r="E93" s="28">
        <f>IF(NOT(Start_Here_Complete),0,
VLOOKUP(C93,'Enterprise PL 2022-03-22'!$A$2:$C$4002,3,FALSE))</f>
        <v>0</v>
      </c>
      <c r="F93" s="3">
        <f>IF(NOT(Start_Here_Complete),0,
IF(NOT(_Dev="Ent"),0,
IF(CC_Type="Cambium Care Advanced",Qty_cnPilot_e500,
0)))</f>
        <v>0</v>
      </c>
      <c r="G93" s="79">
        <f t="shared" si="4"/>
        <v>0</v>
      </c>
      <c r="H93" s="375"/>
      <c r="I93" s="149"/>
      <c r="J93" s="143"/>
      <c r="K93" s="143"/>
      <c r="L93" s="143"/>
      <c r="M93" s="202"/>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1:56" s="8" customFormat="1" ht="26" customHeight="1" x14ac:dyDescent="0.2">
      <c r="A94" s="11"/>
      <c r="B94" s="41"/>
      <c r="C94" s="14" t="str">
        <f>IF(NOT(Start_Here_Complete)," ",
IF(NOT(Ent_CCAdv),"CCADV-SUP-E501-1",
CONCATENATE("CCADV-SUP-E501-",LEFT(CC_Term,1))))</f>
        <v xml:space="preserve"> </v>
      </c>
      <c r="D94" s="2" t="str">
        <f>IF(NOT(Start_Here_Complete)," ",
VLOOKUP(C94,'Enterprise PL 2022-03-22'!$A$2:$C$4002,2,FALSE))</f>
        <v xml:space="preserve"> </v>
      </c>
      <c r="E94" s="28">
        <f>IF(NOT(Start_Here_Complete),0,
VLOOKUP(C94,'Enterprise PL 2022-03-22'!$A$2:$C$4002,3,FALSE))</f>
        <v>0</v>
      </c>
      <c r="F94" s="3">
        <f>IF(NOT(Start_Here_Complete),0,
IF(NOT(_Dev="Ent"),0,
IF(CC_Type="Cambium Care Advanced",Qty_cnPilot_e501S,
0)))</f>
        <v>0</v>
      </c>
      <c r="G94" s="79">
        <f t="shared" si="4"/>
        <v>0</v>
      </c>
      <c r="H94" s="375"/>
      <c r="I94" s="149"/>
      <c r="J94" s="143"/>
      <c r="K94" s="143"/>
      <c r="L94" s="143"/>
      <c r="M94" s="202"/>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1:56" s="8" customFormat="1" ht="26" customHeight="1" x14ac:dyDescent="0.2">
      <c r="A95" s="11"/>
      <c r="B95" s="41"/>
      <c r="C95" s="14" t="str">
        <f>IF(NOT(Start_Here_Complete)," ",
IF(NOT(Ent_CCAdv),"CCADV-SUP-E502-1",
CONCATENATE("CCADV-SUP-E502-",LEFT(CC_Term,1))))</f>
        <v xml:space="preserve"> </v>
      </c>
      <c r="D95" s="2" t="str">
        <f>IF(NOT(Start_Here_Complete)," ",
VLOOKUP(C95,'Enterprise PL 2022-03-22'!$A$2:$C$4002,2,FALSE))</f>
        <v xml:space="preserve"> </v>
      </c>
      <c r="E95" s="28">
        <f>IF(NOT(Start_Here_Complete),0,
VLOOKUP(C95,'Enterprise PL 2022-03-22'!$A$2:$C$4002,3,FALSE))</f>
        <v>0</v>
      </c>
      <c r="F95" s="3">
        <f>IF(NOT(Start_Here_Complete),0,
IF(NOT(_Dev="Ent"),0,
IF(CC_Type="Cambium Care Advanced",Qty_cnPilot_e502S,
0)))</f>
        <v>0</v>
      </c>
      <c r="G95" s="79">
        <f t="shared" si="4"/>
        <v>0</v>
      </c>
      <c r="H95" s="375"/>
      <c r="I95" s="149"/>
      <c r="J95" s="143"/>
      <c r="K95" s="143"/>
      <c r="L95" s="143"/>
      <c r="M95" s="202"/>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1:56" s="8" customFormat="1" ht="26" customHeight="1" x14ac:dyDescent="0.2">
      <c r="A96" s="11"/>
      <c r="B96" s="41"/>
      <c r="C96" s="14" t="str">
        <f>IF(NOT(Start_Here_Complete)," ",
IF(NOT(Ent_CCAdv),"CCADV-SUP-E505-1",
CONCATENATE("CCADV-SUP-E505-",LEFT(CC_Term,1))))</f>
        <v xml:space="preserve"> </v>
      </c>
      <c r="D96" s="2" t="str">
        <f>IF(NOT(Start_Here_Complete)," ",
VLOOKUP(C96,'Enterprise PL 2022-03-22'!$A$2:$C$4002,2,FALSE))</f>
        <v xml:space="preserve"> </v>
      </c>
      <c r="E96" s="28">
        <f>IF(NOT(Start_Here_Complete),0,
VLOOKUP(C96,'Enterprise PL 2022-03-22'!$A$2:$C$4002,3,FALSE))</f>
        <v>0</v>
      </c>
      <c r="F96" s="3">
        <f>IF(NOT(Start_Here_Complete),0,
IF(NOT(_Dev="Ent"),0,
IF(CC_Type="Cambium Care Advanced",Qty_cnPilot_e505,
0)))</f>
        <v>0</v>
      </c>
      <c r="G96" s="79">
        <f t="shared" si="4"/>
        <v>0</v>
      </c>
      <c r="H96" s="375"/>
      <c r="I96" s="149"/>
      <c r="J96" s="143"/>
      <c r="K96" s="143"/>
      <c r="L96" s="143"/>
      <c r="M96" s="202"/>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1:56" s="8" customFormat="1" ht="26" customHeight="1" x14ac:dyDescent="0.2">
      <c r="A97" s="11"/>
      <c r="B97" s="41"/>
      <c r="C97" s="14" t="str">
        <f>IF(NOT(Start_Here_Complete)," ",
IF(NOT(Ent_CCAdv),"CCADV-SUP-E510-1",
CONCATENATE("CCADV-SUP-E510-",LEFT(CC_Term,1))))</f>
        <v xml:space="preserve"> </v>
      </c>
      <c r="D97" s="2" t="str">
        <f>IF(NOT(Start_Here_Complete)," ",
VLOOKUP(C97,'Enterprise PL 2022-03-22'!$A$2:$C$4002,2,FALSE))</f>
        <v xml:space="preserve"> </v>
      </c>
      <c r="E97" s="28">
        <f>IF(NOT(Start_Here_Complete),0,
VLOOKUP(C97,'Enterprise PL 2022-03-22'!$A$2:$C$4002,3,FALSE))</f>
        <v>0</v>
      </c>
      <c r="F97" s="3">
        <f>IF(NOT(Start_Here_Complete),0,
IF(NOT(_Dev="Ent"),0,
IF(CC_Type="Cambium Care Advanced",Qty_cnPilot_e510,
0)))</f>
        <v>0</v>
      </c>
      <c r="G97" s="79">
        <f t="shared" si="4"/>
        <v>0</v>
      </c>
      <c r="H97" s="375"/>
      <c r="I97" s="149"/>
      <c r="J97" s="143"/>
      <c r="K97" s="143"/>
      <c r="L97" s="143"/>
      <c r="M97" s="202"/>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1:56" s="8" customFormat="1" ht="26" customHeight="1" x14ac:dyDescent="0.2">
      <c r="A98" s="11"/>
      <c r="B98" s="41"/>
      <c r="C98" s="14" t="str">
        <f>IF(NOT(Start_Here_Complete)," ",
IF(NOT(Ent_CCAdv),"CCADV-SUP-E700-1",
CONCATENATE("CCADV-SUP-E700-",LEFT(CC_Term,1))))</f>
        <v xml:space="preserve"> </v>
      </c>
      <c r="D98" s="2" t="str">
        <f>IF(NOT(Start_Here_Complete)," ",
VLOOKUP(C98,'Enterprise PL 2022-03-22'!$A$2:$C$4002,2,FALSE))</f>
        <v xml:space="preserve"> </v>
      </c>
      <c r="E98" s="28">
        <f>IF(NOT(Start_Here_Complete),0,
VLOOKUP(C98,'Enterprise PL 2022-03-22'!$A$2:$C$4002,3,FALSE))</f>
        <v>0</v>
      </c>
      <c r="F98" s="3">
        <f>IF(NOT(Start_Here_Complete),0,
IF(NOT(_Dev="Ent"),0,
IF(CC_Type="Cambium Care Advanced",Qty_cnPilot_e700,
0)))</f>
        <v>0</v>
      </c>
      <c r="G98" s="79">
        <f t="shared" si="4"/>
        <v>0</v>
      </c>
      <c r="H98" s="375"/>
      <c r="I98" s="149"/>
      <c r="J98" s="143"/>
      <c r="K98" s="143"/>
      <c r="L98" s="143"/>
      <c r="M98" s="202"/>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1:56" s="8" customFormat="1" ht="26" customHeight="1" x14ac:dyDescent="0.2">
      <c r="A99" s="11"/>
      <c r="B99" s="41"/>
      <c r="C99" s="14" t="str">
        <f>IF(NOT(Start_Here_Complete)," ",
IF(NOT(Ent_CCAdv),"CCADV-SUP-EX2010-1",
CONCATENATE("CCADV-SUP-EX2010-",LEFT(CC_Term,1))))</f>
        <v xml:space="preserve"> </v>
      </c>
      <c r="D99" s="2" t="str">
        <f>IF(NOT(Start_Here_Complete)," ",
VLOOKUP(C99,'Enterprise PL 2022-03-22'!$A$2:$C$4002,2,FALSE))</f>
        <v xml:space="preserve"> </v>
      </c>
      <c r="E99" s="28">
        <f>IF(NOT(Start_Here_Complete),0,
VLOOKUP(C99,'Enterprise PL 2022-03-22'!$A$2:$C$4002,3,FALSE))</f>
        <v>0</v>
      </c>
      <c r="F99" s="3">
        <f>IF(NOT(Start_Here_Complete),0,
IF(NOT(_Dev="Ent"),0,
IF(CC_Type="Cambium Care Advanced",Qty_cnMatrix_EX2010,
0)))</f>
        <v>0</v>
      </c>
      <c r="G99" s="79">
        <f t="shared" si="4"/>
        <v>0</v>
      </c>
      <c r="H99" s="375"/>
      <c r="I99" s="149"/>
      <c r="J99" s="143"/>
      <c r="K99" s="143"/>
      <c r="L99" s="143"/>
      <c r="M99" s="202"/>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1:56" s="8" customFormat="1" ht="26" customHeight="1" x14ac:dyDescent="0.2">
      <c r="A100" s="11"/>
      <c r="B100" s="41"/>
      <c r="C100" s="14" t="str">
        <f>IF(NOT(Start_Here_Complete)," ",
IF(NOT(Ent_CCAdv),"CCADV-SUP-EX2010-P-1",
CONCATENATE("CCADV-SUP-EX2010-P-",LEFT(CC_Term,1))))</f>
        <v xml:space="preserve"> </v>
      </c>
      <c r="D100" s="2" t="str">
        <f>IF(NOT(Start_Here_Complete)," ",
VLOOKUP(C100,'Enterprise PL 2022-03-22'!$A$2:$C$4002,2,FALSE))</f>
        <v xml:space="preserve"> </v>
      </c>
      <c r="E100" s="28">
        <f>IF(NOT(Start_Here_Complete),0,
VLOOKUP(C100,'Enterprise PL 2022-03-22'!$A$2:$C$4002,3,FALSE))</f>
        <v>0</v>
      </c>
      <c r="F100" s="3">
        <f>IF(NOT(Start_Here_Complete),0,
IF(NOT(_Dev="Ent"),0,
IF(CC_Type="Cambium Care Advanced",Qty_cnMatrix_EX2010_P,
0)))</f>
        <v>0</v>
      </c>
      <c r="G100" s="79">
        <f t="shared" si="4"/>
        <v>0</v>
      </c>
      <c r="H100" s="375"/>
      <c r="I100" s="149"/>
      <c r="J100" s="143"/>
      <c r="K100" s="143"/>
      <c r="L100" s="143"/>
      <c r="M100" s="202"/>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1:56" s="8" customFormat="1" ht="26" customHeight="1" x14ac:dyDescent="0.2">
      <c r="A101" s="11"/>
      <c r="B101" s="41"/>
      <c r="C101" s="14" t="str">
        <f>IF(NOT(Start_Here_Complete)," ",
IF(NOT(Ent_CCAdv),"CCADV-SUP-EX2016M-P-1",
CONCATENATE("CCADV-SUP-EX2016M-P-",LEFT(CC_Term,1))))</f>
        <v xml:space="preserve"> </v>
      </c>
      <c r="D101" s="2" t="str">
        <f>IF(NOT(Start_Here_Complete)," ",
VLOOKUP(C101,'Enterprise PL 2022-03-22'!$A$2:$C$4002,2,FALSE))</f>
        <v xml:space="preserve"> </v>
      </c>
      <c r="E101" s="28">
        <f>IF(NOT(Start_Here_Complete),0,
VLOOKUP(C101,'Enterprise PL 2022-03-22'!$A$2:$C$4002,3,FALSE))</f>
        <v>0</v>
      </c>
      <c r="F101" s="3">
        <f>IF(NOT(Start_Here_Complete),0,
IF(NOT(_Dev="Ent"),0,
IF(CC_Type="Cambium Care Advanced",Qty_cnMatrix_EX2016M_P,
0)))</f>
        <v>0</v>
      </c>
      <c r="G101" s="79">
        <f t="shared" si="4"/>
        <v>0</v>
      </c>
      <c r="H101" s="375"/>
      <c r="I101" s="149"/>
      <c r="J101" s="143"/>
      <c r="K101" s="143"/>
      <c r="L101" s="143"/>
      <c r="M101" s="202"/>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1:56" s="8" customFormat="1" ht="26" customHeight="1" x14ac:dyDescent="0.2">
      <c r="A102" s="11"/>
      <c r="B102" s="41"/>
      <c r="C102" s="14" t="str">
        <f>IF(NOT(Start_Here_Complete)," ",
IF(NOT(Ent_CCAdv),"CCADV-SUP-EX1010-1",
CONCATENATE("CCADV-SUP-EX1010-",LEFT(CC_Term,1))))</f>
        <v xml:space="preserve"> </v>
      </c>
      <c r="D102" s="2" t="str">
        <f>IF(NOT(Start_Here_Complete)," ",
VLOOKUP(C102,'Enterprise PL 2022-03-22'!$A$2:$C$4002,2,FALSE))</f>
        <v xml:space="preserve"> </v>
      </c>
      <c r="E102" s="28">
        <f>IF(NOT(Start_Here_Complete),0,
VLOOKUP(C102,'Enterprise PL 2022-03-22'!$A$2:$C$4002,3,FALSE))</f>
        <v>0</v>
      </c>
      <c r="F102" s="3">
        <f>IF(NOT(Start_Here_Complete),0,
IF(NOT(_Dev="Ent"),0,
IF(CC_Type="Cambium Care Advanced",Qty_cnMatrix_EX1010,
0)))</f>
        <v>0</v>
      </c>
      <c r="G102" s="79">
        <f t="shared" si="4"/>
        <v>0</v>
      </c>
      <c r="H102" s="375"/>
      <c r="I102" s="149"/>
      <c r="J102" s="143"/>
      <c r="K102" s="143"/>
      <c r="L102" s="143"/>
      <c r="M102" s="202"/>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row>
    <row r="103" spans="1:56" s="8" customFormat="1" ht="26" customHeight="1" x14ac:dyDescent="0.2">
      <c r="A103" s="11"/>
      <c r="B103" s="41"/>
      <c r="C103" s="14" t="str">
        <f>IF(NOT(Start_Here_Complete)," ",
IF(NOT(Ent_CCAdv),"CCADV-SUP-EX1010-P-1",
CONCATENATE("CCADV-SUP-EX1010-P-",LEFT(CC_Term,1))))</f>
        <v xml:space="preserve"> </v>
      </c>
      <c r="D103" s="2" t="str">
        <f>IF(NOT(Start_Here_Complete)," ",
VLOOKUP(C103,'Enterprise PL 2022-03-22'!$A$2:$C$4002,2,FALSE))</f>
        <v xml:space="preserve"> </v>
      </c>
      <c r="E103" s="28">
        <f>IF(NOT(Start_Here_Complete),0,
VLOOKUP(C103,'Enterprise PL 2022-03-22'!$A$2:$C$4002,3,FALSE))</f>
        <v>0</v>
      </c>
      <c r="F103" s="3">
        <f>IF(NOT(Start_Here_Complete),0,
IF(NOT(_Dev="Ent"),0,
IF(CC_Type="Cambium Care Advanced",Qty_cnMatrix_EX1010_P,
0)))</f>
        <v>0</v>
      </c>
      <c r="G103" s="79">
        <f t="shared" si="4"/>
        <v>0</v>
      </c>
      <c r="H103" s="375"/>
      <c r="I103" s="149"/>
      <c r="J103" s="143"/>
      <c r="K103" s="143"/>
      <c r="L103" s="143"/>
      <c r="M103" s="202"/>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row>
    <row r="104" spans="1:56" s="8" customFormat="1" ht="26" customHeight="1" x14ac:dyDescent="0.2">
      <c r="A104" s="11"/>
      <c r="B104" s="41"/>
      <c r="C104" s="14" t="str">
        <f>IF(NOT(Start_Here_Complete)," ",
IF(NOT(Ent_CCAdv),"CCADV-SUP-EX1028-1",
CONCATENATE("CCADV-SUP-EX1028-",LEFT(CC_Term,1))))</f>
        <v xml:space="preserve"> </v>
      </c>
      <c r="D104" s="2" t="str">
        <f>IF(NOT(Start_Here_Complete)," ",
VLOOKUP(C104,'Enterprise PL 2022-03-22'!$A$2:$C$4002,2,FALSE))</f>
        <v xml:space="preserve"> </v>
      </c>
      <c r="E104" s="28">
        <f>IF(NOT(Start_Here_Complete),0,
VLOOKUP(C104,'Enterprise PL 2022-03-22'!$A$2:$C$4002,3,FALSE))</f>
        <v>0</v>
      </c>
      <c r="F104" s="3">
        <f>IF(NOT(Start_Here_Complete),0,
IF(NOT(_Dev="Ent"),0,
IF(CC_Type="Cambium Care Advanced",Qty_cnMatrix_EX1028,
0)))</f>
        <v>0</v>
      </c>
      <c r="G104" s="79">
        <f t="shared" si="4"/>
        <v>0</v>
      </c>
      <c r="H104" s="375"/>
      <c r="I104" s="149"/>
      <c r="J104" s="143"/>
      <c r="K104" s="143"/>
      <c r="L104" s="143"/>
      <c r="M104" s="202"/>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row>
    <row r="105" spans="1:56" s="8" customFormat="1" ht="26" customHeight="1" x14ac:dyDescent="0.2">
      <c r="A105" s="11"/>
      <c r="B105" s="41"/>
      <c r="C105" s="14" t="str">
        <f>IF(NOT(Start_Here_Complete)," ",
IF(NOT(Ent_CCAdv),"CCADV-SUP-EX1028-P-1",
CONCATENATE("CCADV-SUP-EX1028-P-",LEFT(CC_Term,1))))</f>
        <v xml:space="preserve"> </v>
      </c>
      <c r="D105" s="2" t="str">
        <f>IF(NOT(Start_Here_Complete)," ",
VLOOKUP(C105,'Enterprise PL 2022-03-22'!$A$2:$C$4002,2,FALSE))</f>
        <v xml:space="preserve"> </v>
      </c>
      <c r="E105" s="28">
        <f>IF(NOT(Start_Here_Complete),0,
VLOOKUP(C105,'Enterprise PL 2022-03-22'!$A$2:$C$4002,3,FALSE))</f>
        <v>0</v>
      </c>
      <c r="F105" s="3">
        <f>IF(NOT(Start_Here_Complete),0,
IF(NOT(_Dev="Ent"),0,
IF(CC_Type="Cambium Care Advanced",Qty_cnMatrix_EX1028_P,
0)))</f>
        <v>0</v>
      </c>
      <c r="G105" s="79">
        <f t="shared" si="4"/>
        <v>0</v>
      </c>
      <c r="H105" s="375"/>
      <c r="I105" s="149"/>
      <c r="J105" s="143"/>
      <c r="K105" s="143"/>
      <c r="L105" s="143"/>
      <c r="M105" s="202"/>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row>
    <row r="106" spans="1:56" s="8" customFormat="1" ht="26" customHeight="1" x14ac:dyDescent="0.2">
      <c r="A106" s="11"/>
      <c r="B106" s="41"/>
      <c r="C106" s="14" t="str">
        <f>IF(NOT(Start_Here_Complete)," ",
IF(NOT(Ent_CCAdv),"CCADV-SUP-EX2028-1",
CONCATENATE("CCADV-SUP-EX2028-",LEFT(CC_Term,1))))</f>
        <v xml:space="preserve"> </v>
      </c>
      <c r="D106" s="2" t="str">
        <f>IF(NOT(Start_Here_Complete)," ",
VLOOKUP(C106,'Enterprise PL 2022-03-22'!$A$2:$C$4002,2,FALSE))</f>
        <v xml:space="preserve"> </v>
      </c>
      <c r="E106" s="28">
        <f>IF(NOT(Start_Here_Complete),0,
VLOOKUP(C106,'Enterprise PL 2022-03-22'!$A$2:$C$4002,3,FALSE))</f>
        <v>0</v>
      </c>
      <c r="F106" s="3">
        <f>IF(NOT(Start_Here_Complete),0,
IF(NOT(_Dev="Ent"),0,
IF(CC_Type="Cambium Care Advanced",Qty_cnMatrix_EX2028,
0)))</f>
        <v>0</v>
      </c>
      <c r="G106" s="79">
        <f t="shared" si="4"/>
        <v>0</v>
      </c>
      <c r="H106" s="375"/>
      <c r="I106" s="149"/>
      <c r="J106" s="143"/>
      <c r="K106" s="143"/>
      <c r="L106" s="143"/>
      <c r="M106" s="202"/>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row>
    <row r="107" spans="1:56" s="8" customFormat="1" ht="26" customHeight="1" x14ac:dyDescent="0.2">
      <c r="A107" s="11"/>
      <c r="B107" s="41"/>
      <c r="C107" s="14" t="str">
        <f>IF(NOT(Start_Here_Complete)," ",
IF(NOT(Ent_CCAdv),"CCADV-SUP-EX2028-P-1",
CONCATENATE("CCADV-SUP-EX2028-P-",LEFT(CC_Term,1))))</f>
        <v xml:space="preserve"> </v>
      </c>
      <c r="D107" s="2" t="str">
        <f>IF(NOT(Start_Here_Complete)," ",
VLOOKUP(C107,'Enterprise PL 2022-03-22'!$A$2:$C$4002,2,FALSE))</f>
        <v xml:space="preserve"> </v>
      </c>
      <c r="E107" s="28">
        <f>IF(NOT(Start_Here_Complete),0,
VLOOKUP(C107,'Enterprise PL 2022-03-22'!$A$2:$C$4002,3,FALSE))</f>
        <v>0</v>
      </c>
      <c r="F107" s="3">
        <f>IF(NOT(Start_Here_Complete),0,
IF(NOT(_Dev="Ent"),0,
IF(CC_Type="Cambium Care Advanced",Qty_cnMatrix_EX2028_P,
0)))</f>
        <v>0</v>
      </c>
      <c r="G107" s="79">
        <f t="shared" si="4"/>
        <v>0</v>
      </c>
      <c r="H107" s="375"/>
      <c r="I107" s="149"/>
      <c r="J107" s="143"/>
      <c r="K107" s="143"/>
      <c r="L107" s="143"/>
      <c r="M107" s="202"/>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row>
    <row r="108" spans="1:56" s="8" customFormat="1" ht="26" customHeight="1" x14ac:dyDescent="0.2">
      <c r="A108" s="11"/>
      <c r="B108" s="41"/>
      <c r="C108" s="14" t="str">
        <f>IF(NOT(Start_Here_Complete)," ",
IF(NOT(Ent_CCAdv),"CCADV-SUP-EX2052-1",
CONCATENATE("CCADV-SUP-EX2052-",LEFT(CC_Term,1))))</f>
        <v xml:space="preserve"> </v>
      </c>
      <c r="D108" s="2" t="str">
        <f>IF(NOT(Start_Here_Complete)," ",
VLOOKUP(C108,'Enterprise PL 2022-03-22'!$A$2:$C$4002,2,FALSE))</f>
        <v xml:space="preserve"> </v>
      </c>
      <c r="E108" s="28">
        <f>IF(NOT(Start_Here_Complete),0,
VLOOKUP(C108,'Enterprise PL 2022-03-22'!$A$2:$C$4002,3,FALSE))</f>
        <v>0</v>
      </c>
      <c r="F108" s="3">
        <f>IF(NOT(Start_Here_Complete),0,
IF(NOT(_Dev="Ent"),0,
IF(CC_Type="Cambium Care Advanced",Qty_cnMatrix_EX2052,
0)))</f>
        <v>0</v>
      </c>
      <c r="G108" s="79">
        <f t="shared" si="4"/>
        <v>0</v>
      </c>
      <c r="H108" s="375"/>
      <c r="I108" s="149"/>
      <c r="J108" s="143"/>
      <c r="K108" s="143"/>
      <c r="L108" s="143"/>
      <c r="M108" s="202"/>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row>
    <row r="109" spans="1:56" s="8" customFormat="1" ht="26" customHeight="1" x14ac:dyDescent="0.2">
      <c r="A109" s="11"/>
      <c r="B109" s="41"/>
      <c r="C109" s="14" t="str">
        <f>IF(NOT(Start_Here_Complete)," ",
IF(NOT(Ent_CCAdv),"CCADV-SUP-EX2052-P-1",
CONCATENATE("CCADV-SUP-EX2052-P-",LEFT(CC_Term,1))))</f>
        <v xml:space="preserve"> </v>
      </c>
      <c r="D109" s="2" t="str">
        <f>IF(NOT(Start_Here_Complete)," ",
VLOOKUP(C109,'Enterprise PL 2022-03-22'!$A$2:$C$4002,2,FALSE))</f>
        <v xml:space="preserve"> </v>
      </c>
      <c r="E109" s="28">
        <f>IF(NOT(Start_Here_Complete),0,
VLOOKUP(C109,'Enterprise PL 2022-03-22'!$A$2:$C$4002,3,FALSE))</f>
        <v>0</v>
      </c>
      <c r="F109" s="3">
        <f>IF(NOT(Start_Here_Complete),0,
IF(NOT(_Dev="Ent"),0,
IF(CC_Type="Cambium Care Advanced",Qty_cnMatrix_EX2052_P,
0)))</f>
        <v>0</v>
      </c>
      <c r="G109" s="79">
        <f t="shared" si="4"/>
        <v>0</v>
      </c>
      <c r="H109" s="375"/>
      <c r="I109" s="149"/>
      <c r="J109" s="143"/>
      <c r="K109" s="143"/>
      <c r="L109" s="143"/>
      <c r="M109" s="202"/>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row>
    <row r="110" spans="1:56" s="8" customFormat="1" ht="26" customHeight="1" x14ac:dyDescent="0.2">
      <c r="A110" s="11"/>
      <c r="B110" s="41"/>
      <c r="C110" s="14" t="str">
        <f>IF(NOT(Start_Here_Complete)," ",
IF(NOT(Ent_CCAdv),"CCADV-SUP-EX2052R-P-1",
CONCATENATE("CCADV-SUP-EX2052R-P-",LEFT(CC_Term,1))))</f>
        <v xml:space="preserve"> </v>
      </c>
      <c r="D110" s="2" t="str">
        <f>IF(NOT(Start_Here_Complete)," ",
VLOOKUP(C110,'Enterprise PL 2022-03-22'!$A$2:$C$4002,2,FALSE))</f>
        <v xml:space="preserve"> </v>
      </c>
      <c r="E110" s="28">
        <f>IF(NOT(Start_Here_Complete),0,
VLOOKUP(C110,'Enterprise PL 2022-03-22'!$A$2:$C$4002,3,FALSE))</f>
        <v>0</v>
      </c>
      <c r="F110" s="3">
        <f>IF(NOT(Start_Here_Complete),0,
IF(NOT(_Dev="Ent"),0,
IF(CC_Type="Cambium Care Advanced",Qty_cnMatrix_EX2052R_P,
0)))</f>
        <v>0</v>
      </c>
      <c r="G110" s="79">
        <f t="shared" si="4"/>
        <v>0</v>
      </c>
      <c r="H110" s="375"/>
      <c r="I110" s="149"/>
      <c r="J110" s="143"/>
      <c r="K110" s="143"/>
      <c r="L110" s="143"/>
      <c r="M110" s="202"/>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row>
    <row r="111" spans="1:56" s="8" customFormat="1" ht="26" customHeight="1" x14ac:dyDescent="0.2">
      <c r="A111" s="11"/>
      <c r="B111" s="41"/>
      <c r="C111" s="14" t="str">
        <f>IF(NOT(Start_Here_Complete)," ",
IF(NOT(Ent_CCAdv),"CCADV-SUP-V1000-1",
CONCATENATE("CCADV-SUP-V1000-",LEFT(CC_Term,1))))</f>
        <v xml:space="preserve"> </v>
      </c>
      <c r="D111" s="2" t="str">
        <f>IF(NOT(Start_Here_Complete)," ",
VLOOKUP(C111,'Cambium Care'!$H$1:$J$500,2,FALSE))</f>
        <v xml:space="preserve"> </v>
      </c>
      <c r="E111" s="28">
        <f>IF(NOT(Start_Here_Complete),0,
VLOOKUP(C111,'Cambium Care'!$H$1:$J$500,3,FALSE))</f>
        <v>0</v>
      </c>
      <c r="F111" s="3">
        <f>IF(NOT(Start_Here_Complete),0,
IF(NOT(_Dev="Ent"),0,
IF(CC_Type="Cambium Care Advanced",Qty_V1000_Client_Node,
0)))</f>
        <v>0</v>
      </c>
      <c r="G111" s="79">
        <f t="shared" si="4"/>
        <v>0</v>
      </c>
      <c r="H111" s="375"/>
      <c r="I111" s="149"/>
      <c r="J111" s="143"/>
      <c r="K111" s="143"/>
      <c r="L111" s="143"/>
      <c r="M111" s="202"/>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row>
    <row r="112" spans="1:56" s="8" customFormat="1" ht="26" customHeight="1" x14ac:dyDescent="0.2">
      <c r="A112" s="11"/>
      <c r="B112" s="41"/>
      <c r="C112" s="14" t="str">
        <f>IF(NOT(Start_Here_Complete)," ",
IF(NOT(Ent_CCAdv),"CCADV-SUP-V3000-1",
CONCATENATE("CCADV-SUP-V3000-",LEFT(CC_Term,1))))</f>
        <v xml:space="preserve"> </v>
      </c>
      <c r="D112" s="2" t="str">
        <f>IF(NOT(Start_Here_Complete)," ",
VLOOKUP(C112,'Cambium Care'!$H$1:$J$500,2,FALSE))</f>
        <v xml:space="preserve"> </v>
      </c>
      <c r="E112" s="28">
        <f>IF(NOT(Start_Here_Complete),0,
VLOOKUP(C112,'Cambium Care'!$H$1:$J$500,3,FALSE))</f>
        <v>0</v>
      </c>
      <c r="F112" s="3">
        <f>IF(NOT(Start_Here_Complete),0,
IF(NOT(_Dev="Ent"),0,
IF(CC_Type="Cambium Care Advanced",Qty_V3000_Client_Node,
0)))</f>
        <v>0</v>
      </c>
      <c r="G112" s="79">
        <f t="shared" si="4"/>
        <v>0</v>
      </c>
      <c r="H112" s="375"/>
      <c r="I112" s="149"/>
      <c r="J112" s="143"/>
      <c r="K112" s="143"/>
      <c r="L112" s="143"/>
      <c r="M112" s="202"/>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row>
    <row r="113" spans="1:56" s="8" customFormat="1" ht="26" customHeight="1" x14ac:dyDescent="0.2">
      <c r="A113" s="11"/>
      <c r="B113" s="41"/>
      <c r="C113" s="14" t="str">
        <f>IF(NOT(Start_Here_Complete)," ",
IF(NOT(Ent_CCAdv),"CCADV-SUP-V5000-1",
CONCATENATE("CCADV-SUP-V5000-",LEFT(CC_Term,1))))</f>
        <v xml:space="preserve"> </v>
      </c>
      <c r="D113" s="2" t="str">
        <f>IF(NOT(Start_Here_Complete)," ",
VLOOKUP(C113,'Cambium Care'!$H$1:$J$500,2,FALSE))</f>
        <v xml:space="preserve"> </v>
      </c>
      <c r="E113" s="28">
        <f>IF(NOT(Start_Here_Complete),0,
VLOOKUP(C113,'Cambium Care'!$H$1:$J$500,3,FALSE))</f>
        <v>0</v>
      </c>
      <c r="F113" s="3">
        <f>IF(NOT(Start_Here_Complete),0,
IF(NOT(_Dev="Ent"),0,
IF(CC_Type="Cambium Care Advanced",Qty_V5000_Distribution_Node,
0)))</f>
        <v>0</v>
      </c>
      <c r="G113" s="79">
        <f t="shared" si="4"/>
        <v>0</v>
      </c>
      <c r="H113" s="375"/>
      <c r="I113" s="149"/>
      <c r="J113" s="143"/>
      <c r="K113" s="143"/>
      <c r="L113" s="143"/>
      <c r="M113" s="202"/>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row>
    <row r="114" spans="1:56" s="8" customFormat="1" ht="16" customHeight="1" x14ac:dyDescent="0.2">
      <c r="A114" s="11"/>
      <c r="B114" s="41"/>
      <c r="C114" s="30" t="s">
        <v>1160</v>
      </c>
      <c r="D114" s="9"/>
      <c r="E114" s="27"/>
      <c r="F114" s="10">
        <v>0</v>
      </c>
      <c r="G114" s="78"/>
      <c r="H114" s="374"/>
      <c r="I114" s="201"/>
      <c r="J114" s="143"/>
      <c r="K114" s="143"/>
      <c r="L114" s="143"/>
      <c r="M114" s="174"/>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row>
    <row r="115" spans="1:56" s="8" customFormat="1" ht="26" customHeight="1" x14ac:dyDescent="0.2">
      <c r="A115" s="11"/>
      <c r="B115" s="41"/>
      <c r="C115" s="179" t="str">
        <f>IF(NOT(Start_Here_Complete)," ",
IF(NOT(EW),CONCATENATE("EW-E","1","PM45MPOP-WW"),
IF(EW_PMP_450_MicroPoP_AP="Choose",CONCATENATE("EW-E","1","PM45MPOP-WW"),
IF(EW_PMP_450_MicroPoP_AP="Declined",CONCATENATE("EW-E","1","PM45MPOP-WW"),
IF(EW_PMP_450_MicroPoP_AP="N/A",CONCATENATE("EW-E","1","PM45MPOP-WW"),
IF(EW_PMP_450_MicroPoP_AP=" ",CONCATENATE("EW-E","1","PM45MPOP-WW"),
CONCATENATE("EW-E",LEFT(EW_PMP_450_MicroPoP_AP,1),"PM45MPOP-WW")))))))</f>
        <v xml:space="preserve"> </v>
      </c>
      <c r="D115" s="180" t="str">
        <f>IF(NOT(Start_Here_Complete)," ",
VLOOKUP(C115,'All Products PL 2022-03-08'!$A$2:$C$4500,2,FALSE))</f>
        <v xml:space="preserve"> </v>
      </c>
      <c r="E115" s="28">
        <f>IF(NOT(Start_Here_Complete),0,
VLOOKUP(C115,'All Products PL 2022-03-08'!$A$2:$C$4500,3,FALSE))</f>
        <v>0</v>
      </c>
      <c r="F115" s="54">
        <f>IF(NOT(Start_Here_Complete),0,
IF(_Dev="Ent",0,
IF(NOT(EW),0,
IF(EW_PMP_450_MicroPoP_AP="Declined",0,
IF(EW_PMP_450_MicroPoP_AP="Choose","Error",
IF(OR(EW_PMP_450_MicroPoP_AP=" ",EW_PMP_450_MicroPoP_AP="N/A"),0,
Qty_PMP_450_MicroPoP_AP))))))</f>
        <v>0</v>
      </c>
      <c r="G115" s="80">
        <f t="shared" ref="G115:G153" si="7">IF(NOT(Start_Here_Complete),0,
IF(F115="Error",0,
E115*F115))</f>
        <v>0</v>
      </c>
      <c r="H115" s="375" t="str">
        <f>IF(OR(F115&gt;0,F115="Error")," PMP 450 MicroPoP AP"," ")</f>
        <v xml:space="preserve"> </v>
      </c>
      <c r="I115" s="217" t="str">
        <f>IF(F115="Error","Return to the product selection worksheet and choose ""Add'l Years""",
" ")</f>
        <v xml:space="preserve"> </v>
      </c>
      <c r="J115" s="143"/>
      <c r="K115" s="143"/>
      <c r="L115" s="143"/>
      <c r="M115" s="202"/>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row>
    <row r="116" spans="1:56" s="8" customFormat="1" ht="26" customHeight="1" x14ac:dyDescent="0.2">
      <c r="A116" s="11"/>
      <c r="B116" s="41"/>
      <c r="C116" s="179" t="str">
        <f>IF(NOT(Start_Here_Complete)," ",
IF(NOT(EW),CONCATENATE("EW-E","1","PM45AP-WW"),
IF(EW_PMP_450_AP="Choose",CONCATENATE("EW-E","1","PM45AP-WW"),
IF(EW_PMP_450_AP="Declined",CONCATENATE("EW-E","1","PM45AP-WW"),
IF(EW_PMP_450_AP="N/A",CONCATENATE("EW-E","1","PM45AP-WW"),
IF(EW_PMP_450_AP=" ",CONCATENATE("EW-E","1","PM45AP-WW"),
CONCATENATE("EW-E",LEFT(EW_PMP_450_AP,1),"PM45AP-WW")))))))</f>
        <v xml:space="preserve"> </v>
      </c>
      <c r="D116" s="180" t="str">
        <f>IF(NOT(Start_Here_Complete)," ",
VLOOKUP(C116,'All Products PL 2022-03-08'!$A$2:$C$4500,2,FALSE))</f>
        <v xml:space="preserve"> </v>
      </c>
      <c r="E116" s="28">
        <f>IF(NOT(Start_Here_Complete),0,
VLOOKUP(C116,'All Products PL 2022-03-08'!$A$2:$C$4500,3,FALSE))</f>
        <v>0</v>
      </c>
      <c r="F116" s="54">
        <f>IF(NOT(Start_Here_Complete),0,
IF(_Dev="Ent",0,
IF(NOT(EW),0,
IF(EW_PMP_450_AP="Declined",0,
IF(EW_PMP_450_AP="Choose","Error",
IF(OR(EW_PMP_450_AP=" ",EW_PMP_450_AP="N/A"),0,
Qty_PMP_450_AP))))))</f>
        <v>0</v>
      </c>
      <c r="G116" s="80">
        <f t="shared" si="7"/>
        <v>0</v>
      </c>
      <c r="H116" s="375" t="str">
        <f>IF(OR(F116&gt;0,F116="Error")," PMP 450 AP"," ")</f>
        <v xml:space="preserve"> </v>
      </c>
      <c r="I116" s="217" t="str">
        <f t="shared" ref="I116:I174" si="8">IF(F116="Error","Return to the product selection worksheet and choose ""Add'l Years""",
" ")</f>
        <v xml:space="preserve"> </v>
      </c>
      <c r="J116" s="143"/>
      <c r="K116" s="143"/>
      <c r="L116" s="143"/>
      <c r="M116" s="202"/>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row>
    <row r="117" spans="1:56" s="8" customFormat="1" ht="26" customHeight="1" x14ac:dyDescent="0.2">
      <c r="A117" s="11"/>
      <c r="B117" s="41"/>
      <c r="C117" s="179" t="str">
        <f>IF(NOT(Start_Here_Complete)," ",
IF(NOT(EW),CONCATENATE("EW-E","1","PM45AP-WW"),
IF(EW_PMP_450i_AP="Choose",CONCATENATE("EW-E","1","PM45AP-WW"),
IF(EW_PMP_450i_AP="Declined",CONCATENATE("EW-E","1","PM45AP-WW"),
IF(EW_PMP_450i_AP="N/A",CONCATENATE("EW-E","1","PM45AP-WW"),
IF(EW_PMP_450i_AP=" ",CONCATENATE("EW-E","1","PM45AP-WW"),
CONCATENATE("EW-E",LEFT(EW_PMP_450i_AP,1),"PM45AP-WW")))))))</f>
        <v xml:space="preserve"> </v>
      </c>
      <c r="D117" s="180" t="str">
        <f>IF(NOT(Start_Here_Complete)," ",
VLOOKUP(C117,'All Products PL 2022-03-08'!$A$2:$C$4500,2,FALSE))</f>
        <v xml:space="preserve"> </v>
      </c>
      <c r="E117" s="28">
        <f>IF(NOT(Start_Here_Complete),0,
VLOOKUP(C117,'All Products PL 2022-03-08'!$A$2:$C$4500,3,FALSE))</f>
        <v>0</v>
      </c>
      <c r="F117" s="54">
        <f>IF(NOT(Start_Here_Complete),0,
IF(_Dev="Ent",0,
IF(NOT(EW),0,
IF(EW_PMP_450i_AP="Declined",0,
IF(EW_PMP_450i_AP="Choose","Error",
IF(OR(EW_PMP_450i_AP=" ",EW_PMP_450i_AP="N/A"),0,
Qty_PMP_450i_AP))))))</f>
        <v>0</v>
      </c>
      <c r="G117" s="80">
        <f t="shared" si="7"/>
        <v>0</v>
      </c>
      <c r="H117" s="375" t="str">
        <f>IF(OR(F117&gt;0,F117="Error")," PMP 450i AP"," ")</f>
        <v xml:space="preserve"> </v>
      </c>
      <c r="I117" s="217" t="str">
        <f t="shared" si="8"/>
        <v xml:space="preserve"> </v>
      </c>
      <c r="J117" s="143"/>
      <c r="K117" s="143"/>
      <c r="L117" s="143"/>
      <c r="M117" s="202"/>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row>
    <row r="118" spans="1:56" s="8" customFormat="1" ht="26" customHeight="1" x14ac:dyDescent="0.2">
      <c r="A118" s="11"/>
      <c r="B118" s="41"/>
      <c r="C118" s="179" t="str">
        <f>IF(NOT(Start_Here_Complete)," ",
IF(NOT(EW),CONCATENATE("EW-E","1","PM45AP-WW"),
IF(EW_PMP_450_900_MHz_AP="Choose",CONCATENATE("EW-E","1","PM45AP-WW"),
IF(EW_PMP_450_900_MHz_AP="Declined",CONCATENATE("EW-E","1","PM45AP-WW"),
IF(EW_PMP_450_900_MHz_AP="N/A",CONCATENATE("EW-E","1","PM45AP-WW"),
IF(EW_PMP_450_900_MHz_AP=" ",CONCATENATE("EW-E","1","PM45AP-WW"),
CONCATENATE("EW-E",LEFT(EW_PMP_450_900_MHz_AP,1),"PM45AP-WW")))))))</f>
        <v xml:space="preserve"> </v>
      </c>
      <c r="D118" s="180" t="str">
        <f>IF(NOT(Start_Here_Complete)," ",
VLOOKUP(C118,'All Products PL 2022-03-08'!$A$2:$C$4500,2,FALSE))</f>
        <v xml:space="preserve"> </v>
      </c>
      <c r="E118" s="28">
        <f>IF(NOT(Start_Here_Complete),0,
VLOOKUP(C118,'All Products PL 2022-03-08'!$A$2:$C$4500,3,FALSE))</f>
        <v>0</v>
      </c>
      <c r="F118" s="54">
        <f>IF(NOT(Start_Here_Complete),0,
IF(_Dev="Ent",0,
IF(NOT(EW),0,
IF(EW_PMP_450_900_MHz_AP="Declined",0,
IF(EW_PMP_450_900_MHz_AP="Choose","Error",
IF(OR(EW_PMP_450_900_MHz_AP=" ",EW_PMP_450_900_MHz_AP="N/A"),0,
Qty_PMP_450_900_MHz_AP))))))</f>
        <v>0</v>
      </c>
      <c r="G118" s="80">
        <f t="shared" si="7"/>
        <v>0</v>
      </c>
      <c r="H118" s="375" t="str">
        <f>IF(OR(F118&gt;0,F118="Error")," PMP 450 900 MHz AP"," ")</f>
        <v xml:space="preserve"> </v>
      </c>
      <c r="I118" s="217"/>
      <c r="J118" s="143"/>
      <c r="K118" s="143"/>
      <c r="L118" s="143"/>
      <c r="M118" s="202"/>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row>
    <row r="119" spans="1:56" s="8" customFormat="1" ht="26" customHeight="1" x14ac:dyDescent="0.2">
      <c r="A119" s="11"/>
      <c r="B119" s="41"/>
      <c r="C119" s="179" t="str">
        <f>IF(NOT(Start_Here_Complete)," ",
IF(NOT(EW),CONCATENATE("EW-E","1","PM4MAP-WW"),
IF(EW_PMP_450m_AP="Choose",CONCATENATE("EW-E","1","PM4MAP-WW"),
IF(EW_PMP_450m_AP="Declined",CONCATENATE("EW-E","1","PM4MAP-WW"),
IF(EW_PMP_450m_AP="N/A",CONCATENATE("EW-E","1","PM4MAP-WW"),
IF(EW_PMP_450m_AP=" ",CONCATENATE("EW-E","1","PM4MAP-WW"),
CONCATENATE("EW-E",LEFT(EW_PMP_450m_AP,1),"PM4MAP-WW")))))))</f>
        <v xml:space="preserve"> </v>
      </c>
      <c r="D119" s="180" t="str">
        <f>IF(NOT(Start_Here_Complete)," ",
VLOOKUP(C119,'All Products PL 2022-03-08'!$A$2:$C$4500,2,FALSE))</f>
        <v xml:space="preserve"> </v>
      </c>
      <c r="E119" s="28">
        <f>IF(NOT(Start_Here_Complete),0,
VLOOKUP(C119,'All Products PL 2022-03-08'!$A$2:$C$4500,3,FALSE))</f>
        <v>0</v>
      </c>
      <c r="F119" s="54">
        <f>IF(NOT(Start_Here_Complete),0,
IF(_Dev="Ent",0,
IF(NOT(EW),0,
IF(EW_PMP_450m_AP="Declined",0,
IF(EW_PMP_450m_AP="Choose","Error",
IF(OR(EW_PMP_450m_AP=" ",EW_PMP_450m_AP="N/A"),0,
Qty_PMP_450m_AP))))))</f>
        <v>0</v>
      </c>
      <c r="G119" s="80">
        <f t="shared" si="7"/>
        <v>0</v>
      </c>
      <c r="H119" s="375" t="str">
        <f>IF(OR(F119&gt;0,F119="Error")," PMP 450m AP"," ")</f>
        <v xml:space="preserve"> </v>
      </c>
      <c r="I119" s="217" t="str">
        <f t="shared" si="8"/>
        <v xml:space="preserve"> </v>
      </c>
      <c r="J119" s="143"/>
      <c r="K119" s="143"/>
      <c r="L119" s="143"/>
      <c r="M119" s="202"/>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row>
    <row r="120" spans="1:56" s="8" customFormat="1" ht="26" customHeight="1" x14ac:dyDescent="0.2">
      <c r="A120" s="11"/>
      <c r="B120" s="41"/>
      <c r="C120" s="179" t="str">
        <f>IF(NOT(Start_Here_Complete)," ",
IF(NOT(EW),CONCATENATE("EW-E","1","PM45SM-WW"),
IF(EW_PMP_450_SM="Choose",CONCATENATE("EW-E","1","PM45SM-WW"),
IF(EW_PMP_450_SM="Declined",CONCATENATE("EW-E","1","PM45SM-WW"),
IF(EW_PMP_450_SM="N/A",CONCATENATE("EW-E","1","PM45SM-WW"),
IF(EW_PMP_450_SM=" ",CONCATENATE("EW-E","1","PM45SM-WW"),
CONCATENATE("EW-E",LEFT(EW_PMP_450_SM,1),"PM45SM-WW")))))))</f>
        <v xml:space="preserve"> </v>
      </c>
      <c r="D120" s="180" t="str">
        <f>IF(NOT(Start_Here_Complete)," ",
VLOOKUP(C120,'All Products PL 2022-03-08'!$A$2:$C$4500,2,FALSE))</f>
        <v xml:space="preserve"> </v>
      </c>
      <c r="E120" s="28">
        <f>IF(NOT(Start_Here_Complete),0,
VLOOKUP(C120,'All Products PL 2022-03-08'!$A$2:$C$4500,3,FALSE))</f>
        <v>0</v>
      </c>
      <c r="F120" s="54">
        <f>IF(NOT(Start_Here_Complete),0,
IF(_Dev="Ent",0,
IF(NOT(EW),0,
IF(EW_PMP_450_SM="Declined",0,
IF(EW_PMP_450_SM="Choose","Error",
IF(OR(EW_PMP_450_SM=" ",EW_PMP_450_SM="N/A"),0,
Qty_PMP_450_SM))))))</f>
        <v>0</v>
      </c>
      <c r="G120" s="80">
        <f t="shared" ref="G120" si="9">IF(NOT(Start_Here_Complete),0,
IF(F120="Error",0,
E120*F120))</f>
        <v>0</v>
      </c>
      <c r="H120" s="375" t="str">
        <f>IF(OR(F120&gt;0,F120="Error")," PMP 450 SM"," ")</f>
        <v xml:space="preserve"> </v>
      </c>
      <c r="I120" s="217" t="str">
        <f t="shared" ref="I120" si="10">IF(F120="Error","Return to the product selection worksheet and choose ""Add'l Years""",
" ")</f>
        <v xml:space="preserve"> </v>
      </c>
      <c r="J120" s="143"/>
      <c r="K120" s="143"/>
      <c r="L120" s="143"/>
      <c r="M120" s="202"/>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row>
    <row r="121" spans="1:56" s="8" customFormat="1" ht="26" customHeight="1" x14ac:dyDescent="0.2">
      <c r="A121" s="11"/>
      <c r="B121" s="41"/>
      <c r="C121" s="179" t="str">
        <f>IF(NOT(Start_Here_Complete)," ",
IF(NOT(EW),CONCATENATE("EW-E","1","PM45SM-WW"),
IF(EW_450b_Retro_SM="Choose",CONCATENATE("EW-E","1","PM45SM-WW"),
IF(EW_450b_Retro_SM="Declined",CONCATENATE("EW-E","1","PM45SM-WW"),
IF(EW_450b_Retro_SM="N/A",CONCATENATE("EW-E","1","PM45SM-WW"),
IF(EW_450b_Retro_SM=" ",CONCATENATE("EW-E","1","PM45SM-WW"),
CONCATENATE("EW-E",LEFT(EW_450b_Retro_SM,1),"PM45SM-WW")))))))</f>
        <v xml:space="preserve"> </v>
      </c>
      <c r="D121" s="180" t="str">
        <f>IF(NOT(Start_Here_Complete)," ",
VLOOKUP(C121,'All Products PL 2022-03-08'!$A$2:$C$4500,2,FALSE))</f>
        <v xml:space="preserve"> </v>
      </c>
      <c r="E121" s="28">
        <f>IF(NOT(Start_Here_Complete),0,
VLOOKUP(C121,'All Products PL 2022-03-08'!$A$2:$C$4500,3,FALSE))</f>
        <v>0</v>
      </c>
      <c r="F121" s="54">
        <f>IF(NOT(Start_Here_Complete),0,
IF(_Dev="Ent",0,
IF(NOT(EW),0,
IF(EW_450b_Retro_SM="Declined",0,
IF(EW_450b_Retro_SM="Choose","Error",
IF(OR(EW_450b_Retro_SM=" ",EW_450b_Retro_SM="N/A"),0,
Qty_450b_Retro_SM))))))</f>
        <v>0</v>
      </c>
      <c r="G121" s="80">
        <f>IF(NOT(Start_Here_Complete),0,
IF(F121="Error",0,
E121*F121))</f>
        <v>0</v>
      </c>
      <c r="H121" s="375" t="str">
        <f>IF(OR(F121&gt;0,F121="Error")," 450b Retro SM"," ")</f>
        <v xml:space="preserve"> </v>
      </c>
      <c r="I121" s="217" t="str">
        <f>IF(F121="Error","Return to the product selection worksheet and choose ""Add'l Years""",
" ")</f>
        <v xml:space="preserve"> </v>
      </c>
      <c r="J121" s="143"/>
      <c r="K121" s="143"/>
      <c r="L121" s="143"/>
      <c r="M121" s="202"/>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row>
    <row r="122" spans="1:56" s="8" customFormat="1" ht="26" customHeight="1" x14ac:dyDescent="0.2">
      <c r="A122" s="11"/>
      <c r="B122" s="41"/>
      <c r="C122" s="179" t="str">
        <f>IF(NOT(Start_Here_Complete)," ",
IF(NOT(EW),CONCATENATE("EW-E","1","PM45SM-WW"),
IF(EW_PMP_450b_Mid_Gain_SM="Choose",CONCATENATE("EW-E","1","PM45SM-WW"),
IF(EW_PMP_450b_Mid_Gain_SM="Declined",CONCATENATE("EW-E","1","PM45SM-WW"),
IF(EW_PMP_450b_Mid_Gain_SM="N/A",CONCATENATE("EW-E","1","PM45SM-WW"),
IF(EW_PMP_450b_Mid_Gain_SM=" ",CONCATENATE("EW-E","1","PM45SM-WW"),
CONCATENATE("EW-E",LEFT(EW_PMP_450b_Mid_Gain_SM,1),"PM45SM-WW")))))))</f>
        <v xml:space="preserve"> </v>
      </c>
      <c r="D122" s="180" t="str">
        <f>IF(NOT(Start_Here_Complete)," ",
VLOOKUP(C122,'All Products PL 2022-03-08'!$A$2:$C$4500,2,FALSE))</f>
        <v xml:space="preserve"> </v>
      </c>
      <c r="E122" s="28">
        <f>IF(NOT(Start_Here_Complete),0,
VLOOKUP(C122,'All Products PL 2022-03-08'!$A$2:$C$4500,3,FALSE))</f>
        <v>0</v>
      </c>
      <c r="F122" s="54">
        <f>IF(NOT(Start_Here_Complete),0,
IF(_Dev="Ent",0,
IF(NOT(EW),0,
IF(EW_PMP_450b_Mid_Gain_SM="Declined",0,
IF(EW_PMP_450b_Mid_Gain_SM="Choose","Error",
IF(OR(EW_PMP_450b_Mid_Gain_SM=" ",EW_PMP_450b_Mid_Gain_SM="N/A"),0,
Qty_PMP_450b_Mid_Gain_SM))))))</f>
        <v>0</v>
      </c>
      <c r="G122" s="80">
        <f>IF(NOT(Start_Here_Complete),0,
IF(F122="Error",0,
E122*F122))</f>
        <v>0</v>
      </c>
      <c r="H122" s="375" t="str">
        <f>IF(OR(F122&gt;0,F122="Error")," 450b Mid-Gain SM"," ")</f>
        <v xml:space="preserve"> </v>
      </c>
      <c r="I122" s="217" t="str">
        <f>IF(F122="Error","Return to the product selection worksheet and choose ""Add'l Years""",
" ")</f>
        <v xml:space="preserve"> </v>
      </c>
      <c r="J122" s="143"/>
      <c r="K122" s="143"/>
      <c r="L122" s="143"/>
      <c r="M122" s="202"/>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row>
    <row r="123" spans="1:56" s="8" customFormat="1" ht="26" customHeight="1" x14ac:dyDescent="0.2">
      <c r="A123" s="11"/>
      <c r="B123" s="41"/>
      <c r="C123" s="179" t="str">
        <f>IF(NOT(Start_Here_Complete)," ",
IF(NOT(EW),CONCATENATE("EW-E","1","PM45SM-WW"),
IF(EW_PMP_450b_High_Gain_SM="Choose",CONCATENATE("EW-E","1","PM45SM-WW"),
IF(EW_PMP_450b_High_Gain_SM="Declined",CONCATENATE("EW-E","1","PM45SM-WW"),
IF(EW_PMP_450b_High_Gain_SM="N/A",CONCATENATE("EW-E","1","PM45SM-WW"),
IF(EW_PMP_450b_High_Gain_SM=" ",CONCATENATE("EW-E","1","PM45SM-WW"),
CONCATENATE("EW-E",LEFT(EW_PMP_450b_High_Gain_SM,1),"PM45SM-WW")))))))</f>
        <v xml:space="preserve"> </v>
      </c>
      <c r="D123" s="180" t="str">
        <f>IF(NOT(Start_Here_Complete)," ",
VLOOKUP(C123,'All Products PL 2022-03-08'!$A$2:$C$4500,2,FALSE))</f>
        <v xml:space="preserve"> </v>
      </c>
      <c r="E123" s="28">
        <f>IF(NOT(Start_Here_Complete),0,
VLOOKUP(C123,'All Products PL 2022-03-08'!$A$2:$C$4500,3,FALSE))</f>
        <v>0</v>
      </c>
      <c r="F123" s="54">
        <f>IF(NOT(Start_Here_Complete),0,
IF(_Dev="Ent",0,
IF(NOT(EW),0,
IF(EW_PMP_450b_High_Gain_SM="Declined",0,
IF(EW_PMP_450b_High_Gain_SM="Choose","Error",
IF(OR(EW_PMP_450b_High_Gain_SM=" ",EW_PMP_450b_High_Gain_SM="N/A"),0,
Qty_PMP_450b_High_Gain_SM))))))</f>
        <v>0</v>
      </c>
      <c r="G123" s="80">
        <f t="shared" si="7"/>
        <v>0</v>
      </c>
      <c r="H123" s="375" t="str">
        <f>IF(OR(F123&gt;0,F123="Error")," PMP 450 High-Gain SM"," ")</f>
        <v xml:space="preserve"> </v>
      </c>
      <c r="I123" s="217" t="str">
        <f t="shared" si="8"/>
        <v xml:space="preserve"> </v>
      </c>
      <c r="J123" s="143"/>
      <c r="K123" s="143"/>
      <c r="L123" s="143"/>
      <c r="M123" s="202"/>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row>
    <row r="124" spans="1:56" s="8" customFormat="1" ht="26" customHeight="1" x14ac:dyDescent="0.2">
      <c r="A124" s="11"/>
      <c r="B124" s="41"/>
      <c r="C124" s="179" t="str">
        <f>IF(NOT(Start_Here_Complete)," ",
IF(NOT(EW),CONCATENATE("EW-E","1","PM4ISM-WW"),
IF(EW_PMP_450i_SM="Choose",CONCATENATE("EW-E","1","PM4ISM-WW"),
IF(EW_PMP_450i_SM="Declined",CONCATENATE("EW-E","1","PM4ISM-WW"),
IF(EW_PMP_450i_SM="N/A",CONCATENATE("EW-E","1","PM4ISM-WW"),
IF(EW_PMP_450i_SM=" ",CONCATENATE("EW-E","1","PM4ISM-WW"),
CONCATENATE("EW-E",LEFT(EW_PMP_450i_SM,1),"PM4ISM-WW")))))))</f>
        <v xml:space="preserve"> </v>
      </c>
      <c r="D124" s="180" t="str">
        <f>IF(NOT(Start_Here_Complete)," ",
VLOOKUP(C124,'All Products PL 2022-03-08'!$A$2:$C$4500,2,FALSE))</f>
        <v xml:space="preserve"> </v>
      </c>
      <c r="E124" s="28">
        <f>IF(NOT(Start_Here_Complete),0,
VLOOKUP(C124,'All Products PL 2022-03-08'!$A$2:$C$4500,3,FALSE))</f>
        <v>0</v>
      </c>
      <c r="F124" s="54">
        <f>IF(NOT(Start_Here_Complete),0,
IF(_Dev="Ent",0,
IF(NOT(EW),0,
IF(EW_PMP_450i_SM="Declined",0,
IF(EW_PMP_450i_SM="Choose","Error",
IF(OR(EW_PMP_450i_SM=" ",EW_PMP_450i_SM="N/A"),0,
Qty_PMP_450i_SM))))))</f>
        <v>0</v>
      </c>
      <c r="G124" s="80">
        <f>IF(NOT(Start_Here_Complete),0,
IF(F124="Error",0,
E124*F124))</f>
        <v>0</v>
      </c>
      <c r="H124" s="375" t="str">
        <f>IF(OR(F124&gt;0,F124="Error")," PMP 450i SM"," ")</f>
        <v xml:space="preserve"> </v>
      </c>
      <c r="I124" s="217" t="str">
        <f>IF(F124="Error","Return to the product selection worksheet and choose ""Add'l Years""",
" ")</f>
        <v xml:space="preserve"> </v>
      </c>
      <c r="J124" s="143"/>
      <c r="K124" s="143"/>
      <c r="L124" s="143"/>
      <c r="M124" s="202"/>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row>
    <row r="125" spans="1:56" s="8" customFormat="1" ht="26" customHeight="1" x14ac:dyDescent="0.2">
      <c r="A125" s="11"/>
      <c r="B125" s="41"/>
      <c r="C125" s="179" t="str">
        <f>IF(NOT(Start_Here_Complete)," ",
IF(NOT(EW),CONCATENATE("EW-E","1","PM45SM-WW"),
IF(EW_PMP_450_900_MHz_SM="Choose",CONCATENATE("EW-E","1","PM45SM-WW"),
IF(EW_PMP_450_900_MHz_SM="Declined",CONCATENATE("EW-E","1","PM45SM-WW"),
IF(EW_PMP_450_900_MHz_SM="N/A",CONCATENATE("EW-E","1","PM45SM-WW"),
IF(EW_PMP_450_900_MHz_SM=" ",CONCATENATE("EW-E","1","PM45SM-WW"),
CONCATENATE("EW-E",LEFT(EW_PMP_450_900_MHz_SM,1),"PM45SM-WW")))))))</f>
        <v xml:space="preserve"> </v>
      </c>
      <c r="D125" s="180" t="str">
        <f>IF(NOT(Start_Here_Complete)," ",
VLOOKUP(C125,'All Products PL 2022-03-08'!$A$2:$C$4500,2,FALSE))</f>
        <v xml:space="preserve"> </v>
      </c>
      <c r="E125" s="28">
        <f>IF(NOT(Start_Here_Complete),0,
VLOOKUP(C125,'All Products PL 2022-03-08'!$A$2:$C$4500,3,FALSE))</f>
        <v>0</v>
      </c>
      <c r="F125" s="54">
        <f>IF(NOT(Start_Here_Complete),0,
IF(_Dev="Ent",0,
IF(NOT(EW),0,
IF(EW_PMP_450_900_MHz_SM="Declined",0,
IF(EW_PMP_450_900_MHz_SM="Choose","Error",
IF(OR(EW_PMP_450_900_MHz_SM=" ",EW_PMP_450_900_MHz_SM="N/A"),0,
Qty_PMP_450_900_MHz_SM))))))</f>
        <v>0</v>
      </c>
      <c r="G125" s="80">
        <f t="shared" ref="G125" si="11">IF(NOT(Start_Here_Complete),0,
IF(F125="Error",0,
E125*F125))</f>
        <v>0</v>
      </c>
      <c r="H125" s="375" t="str">
        <f>IF(OR(F125&gt;0,F125="Error")," PMP 450 900 MHz SM"," ")</f>
        <v xml:space="preserve"> </v>
      </c>
      <c r="I125" s="217" t="str">
        <f t="shared" si="8"/>
        <v xml:space="preserve"> </v>
      </c>
      <c r="J125" s="143"/>
      <c r="K125" s="143"/>
      <c r="L125" s="143"/>
      <c r="M125" s="202"/>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row>
    <row r="126" spans="1:56" s="8" customFormat="1" ht="26" customHeight="1" x14ac:dyDescent="0.2">
      <c r="A126" s="11"/>
      <c r="B126" s="41"/>
      <c r="C126" s="179" t="str">
        <f>IF(NOT(Start_Here_Complete)," ",
IF(NOT(EW),"EW-E1CNM12RT-WW",
IF(EW_TX2012R_P="Choose","EW-E1CNM12RT-WW",
IF(EW_TX2012R_P="Declined","EW-E1CNM12RT-WW",
IF(EW_TX2012R_P="N/A","EW-E1CNM12RT-WW",
IF(EW_TX2012R_P=" ","EW-E1CNM12RT-WW",
CONCATENATE("EW-E",LEFT(EW_TX2012R_P,1),"CNM12RT-WW")))))))</f>
        <v xml:space="preserve"> </v>
      </c>
      <c r="D126" s="180" t="str">
        <f>IF(NOT(Start_Here_Complete)," ",
VLOOKUP(C126,'All Products PL 2022-03-08'!$A$2:$C$4500,2,FALSE))</f>
        <v xml:space="preserve"> </v>
      </c>
      <c r="E126" s="28">
        <f>IF(NOT(Start_Here_Complete),0,
VLOOKUP(C126,'All Products PL 2022-03-08'!$A$2:$C$4500,3,FALSE))</f>
        <v>0</v>
      </c>
      <c r="F126" s="54">
        <f>IF(NOT(Start_Here_Complete),0,
IF(_Dev="Ent",0,
IF(NOT(EW),0,
IF(EW_TX2012R_P="Choose","Error",
IF(OR(EW_TX2012R_P=" ",EW_TX2012R_P="N/A"),0,
Qty_TX2012R_P)))))</f>
        <v>0</v>
      </c>
      <c r="G126" s="80">
        <f t="shared" ref="G126:G130" si="12">IF(NOT(Start_Here_Complete),0,
IF(F126="Error",0,
E126*F126))</f>
        <v>0</v>
      </c>
      <c r="H126" s="375" t="str">
        <f>IF(OR(F126&gt;0,F126="Error")," TX2012R-P"," ")</f>
        <v xml:space="preserve"> </v>
      </c>
      <c r="I126" s="217" t="str">
        <f t="shared" si="8"/>
        <v xml:space="preserve"> </v>
      </c>
      <c r="J126" s="143"/>
      <c r="K126" s="143"/>
      <c r="L126" s="143"/>
      <c r="M126" s="202"/>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row>
    <row r="127" spans="1:56" s="8" customFormat="1" ht="26" customHeight="1" x14ac:dyDescent="0.2">
      <c r="A127" s="11"/>
      <c r="B127" s="41"/>
      <c r="C127" s="179" t="str">
        <f>IF(NOT(Start_Here_Complete)," ",
IF(NOT(EW),"EW-E1CNM20RT-WW",
IF(EW_TX2020R_P="Choose","EW-E1CNM20RT-WW",
IF(EW_TX2020R_P="Declined","EW-E1CNM20RT-WW",
IF(EW_TX2020R_P="N/A","EW-E1CNM20RT-WW",
IF(EW_TX2020R_P=" ","EW-E1CNM20RT-WW",
CONCATENATE("EW-E",LEFT(EW_TX2020R_P,1),"CNM20RT-WW")))))))</f>
        <v xml:space="preserve"> </v>
      </c>
      <c r="D127" s="180" t="str">
        <f>IF(NOT(Start_Here_Complete)," ",
VLOOKUP(C127,'All Products PL 2022-03-08'!$A$2:$C$4500,2,FALSE))</f>
        <v xml:space="preserve"> </v>
      </c>
      <c r="E127" s="28">
        <f>IF(NOT(Start_Here_Complete),0,
VLOOKUP(C127,'All Products PL 2022-03-08'!$A$2:$C$4500,3,FALSE))</f>
        <v>0</v>
      </c>
      <c r="F127" s="54">
        <f>IF(NOT(Start_Here_Complete),0,
IF(_Dev="Ent",0,
IF(NOT(EW),0,
IF(EW_TX2020R_P="Declined",0,
IF(EW_TX2020R_P="Choose","Error",
IF(OR(EW_TX2020R_P=" ",EW_TX2020R_P="N/A"),0,
Qty_TX2020R_P))))))</f>
        <v>0</v>
      </c>
      <c r="G127" s="80">
        <f t="shared" si="12"/>
        <v>0</v>
      </c>
      <c r="H127" s="375" t="str">
        <f>IF(OR(F127&gt;0,F127="Error")," TX2020R-P"," ")</f>
        <v xml:space="preserve"> </v>
      </c>
      <c r="I127" s="217" t="str">
        <f t="shared" si="8"/>
        <v xml:space="preserve"> </v>
      </c>
      <c r="J127" s="143"/>
      <c r="K127" s="143"/>
      <c r="L127" s="143"/>
      <c r="M127" s="202"/>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row>
    <row r="128" spans="1:56" s="8" customFormat="1" ht="26" customHeight="1" x14ac:dyDescent="0.2">
      <c r="A128" s="11"/>
      <c r="B128" s="41"/>
      <c r="C128" s="179" t="str">
        <f>IF(NOT(Start_Here_Complete)," ",
IF(NOT(EW),"EW-E1CNM28RFT-WW",
IF(EW_TX2028RF_P="Choose","EW-E1CNM28RFT-WW",
IF(EW_TX2028RF_P="Declined","EW-E1CNM28RFT-WW",
IF(EW_TX2028RF_P="N/A","EW-E1CNM28RFT-WW",
IF(EW_TX2028RF_P=" ","EW-E1CNM28RFT-WW",
CONCATENATE("EW-E",LEFT(EW_TX2028RF_P,1),"CNM28RFT-WW")))))))</f>
        <v xml:space="preserve"> </v>
      </c>
      <c r="D128" s="180" t="str">
        <f>IF(NOT(Start_Here_Complete)," ",
VLOOKUP(C128,'All Products PL 2022-03-08'!$A$2:$C$4500,2,FALSE))</f>
        <v xml:space="preserve"> </v>
      </c>
      <c r="E128" s="28">
        <f>IF(NOT(Start_Here_Complete),0,
VLOOKUP(C128,'All Products PL 2022-03-08'!$A$2:$C$4500,3,FALSE))</f>
        <v>0</v>
      </c>
      <c r="F128" s="54">
        <f>IF(NOT(Start_Here_Complete),0,
IF(_Dev="Ent",0,
IF(NOT(EW),0,
IF(EW_TX2028RF_P="Declined",0,
IF(EW_TX2028RF_P="Choose","Error",
IF(OR(EW_TX2028RF_P=" ",EW_TX2028RF_P="N/A"),0,
Qty_TX2028RF_P))))))</f>
        <v>0</v>
      </c>
      <c r="G128" s="80">
        <f t="shared" si="12"/>
        <v>0</v>
      </c>
      <c r="H128" s="375" t="str">
        <f>IF(OR(F128&gt;0,F128="Error")," TX2028RF-P"," ")</f>
        <v xml:space="preserve"> </v>
      </c>
      <c r="I128" s="217" t="str">
        <f t="shared" si="8"/>
        <v xml:space="preserve"> </v>
      </c>
      <c r="J128" s="143"/>
      <c r="K128" s="143"/>
      <c r="L128" s="143"/>
      <c r="M128" s="202"/>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row>
    <row r="129" spans="1:56" s="8" customFormat="1" ht="26" customHeight="1" x14ac:dyDescent="0.2">
      <c r="A129" s="11"/>
      <c r="B129" s="41"/>
      <c r="C129" s="179" t="str">
        <f>IF(NOT(Start_Here_Complete)," ",
IF(NOT(EW),"EW-E1PMC5PS-WW",
IF(EW_CMM5_Controller="Choose","EW-E1PMC5PS-WW",
IF(EW_CMM5_Controller="Declined","EW-E1PMC5PS-WW",
IF(EW_CMM5_Controller="N/A","EW-E1PMC5PS-WW",
IF(EW_CMM5_Controller=" ","EW-E1PMC5PS-WW",
CONCATENATE("EW-E",LEFT(EW_CMM5_Controller,1),"PMC5PS-WW")))))))</f>
        <v xml:space="preserve"> </v>
      </c>
      <c r="D129" s="180" t="str">
        <f>IF(NOT(Start_Here_Complete)," ",
VLOOKUP(C129,'All Products PL 2022-03-08'!$A$2:$C$4500,2,FALSE))</f>
        <v xml:space="preserve"> </v>
      </c>
      <c r="E129" s="28">
        <f>IF(NOT(Start_Here_Complete),0,
VLOOKUP(C129,'All Products PL 2022-03-08'!$A$2:$C$4500,3,FALSE))</f>
        <v>0</v>
      </c>
      <c r="F129" s="54">
        <f>IF(NOT(Start_Here_Complete),0,
IF(_Dev="Ent",0,
IF(NOT(EW),0,
IF(EW_CMM5_Controller="Declined",0,
IF(EW_CMM5_Controller="Choose","Error",
IF(OR(EW_CMM5_Controller=" ",EW_CMM5_Controller="N/A"),0,
Qty_CMM5_Controller))))))</f>
        <v>0</v>
      </c>
      <c r="G129" s="80">
        <f t="shared" si="12"/>
        <v>0</v>
      </c>
      <c r="H129" s="375" t="str">
        <f>IF(OR(F129&gt;0,F129="Error")," CMM5 Controller"," ")</f>
        <v xml:space="preserve"> </v>
      </c>
      <c r="I129" s="217" t="str">
        <f t="shared" si="8"/>
        <v xml:space="preserve"> </v>
      </c>
      <c r="J129" s="143"/>
      <c r="K129" s="143"/>
      <c r="L129" s="143"/>
      <c r="M129" s="202"/>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row>
    <row r="130" spans="1:56" s="8" customFormat="1" ht="26" customHeight="1" x14ac:dyDescent="0.2">
      <c r="A130" s="11"/>
      <c r="B130" s="41"/>
      <c r="C130" s="179" t="str">
        <f>IF(NOT(Start_Here_Complete)," ",
IF(NOT(EW),"EW-E1PMC5PS-WW",
IF(EW_CMM5_Power_Sync="Choose","EW-E1PMC5PS-WW",
IF(EW_CMM5_Power_Sync="Declined","EW-E1PMC5PS-WW",
IF(EW_CMM5_Power_Sync="N/A","EW-E1PMC5PS-WW",
IF(EW_CMM5_Power_Sync=" ","EW-E1PMC5PS-WW",
CONCATENATE("EW-E",LEFT(EW_CMM5_Power_Sync,1),"PMC5PS-WW")))))))</f>
        <v xml:space="preserve"> </v>
      </c>
      <c r="D130" s="180" t="str">
        <f>IF(NOT(Start_Here_Complete)," ",
VLOOKUP(C130,'All Products PL 2022-03-08'!$A$2:$C$4500,2,FALSE))</f>
        <v xml:space="preserve"> </v>
      </c>
      <c r="E130" s="28">
        <f>IF(NOT(Start_Here_Complete),0,
VLOOKUP(C130,'All Products PL 2022-03-08'!$A$2:$C$4500,3,FALSE))</f>
        <v>0</v>
      </c>
      <c r="F130" s="54" cm="1">
        <f t="array" ref="F130">IF(NOT(Start_Here_Complete),0,
IF(_Dev="Ent",0,
IF(NOT(EW),0,
IF(EW_CMM5_Power_Sync="Declined",0,
IF(EW_CMM5_Power_Sync="Choose","Error",
IF(OR(EW_CMM5_Power_Sync=" ",EW_CMM5_Power_Sync="N/A"),0,
Qty_CMM5_Power_Syncr))))))</f>
        <v>0</v>
      </c>
      <c r="G130" s="80">
        <f t="shared" si="12"/>
        <v>0</v>
      </c>
      <c r="H130" s="375" t="str">
        <f>IF(OR(F130&gt;0,F130="Error")," CMM5 Power and Sync Injector"," ")</f>
        <v xml:space="preserve"> </v>
      </c>
      <c r="I130" s="217" t="str">
        <f t="shared" si="8"/>
        <v xml:space="preserve"> </v>
      </c>
      <c r="J130" s="143"/>
      <c r="K130" s="143"/>
      <c r="L130" s="143"/>
      <c r="M130" s="202"/>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row>
    <row r="131" spans="1:56" s="8" customFormat="1" ht="26" customHeight="1" x14ac:dyDescent="0.2">
      <c r="A131" s="11"/>
      <c r="B131" s="41"/>
      <c r="C131" s="179" t="str">
        <f>IF(NOT(Start_Here_Complete)," ",
IF(NOT(EW),CONCATENATE("EW-E","1","RGT1SM-WW"),
IF(EW_cnRanger_101_SM="Choose",CONCATENATE("EW-E","1","RGT1SM-WW"),
IF(EW_cnRanger_101_SM="Declined",CONCATENATE("EW_cnRanger_101_SM-E","1","RGT1SM-WW"),
IF(EW_cnRanger_101_SM="N/A",CONCATENATE("EW-E","1","RGT1SM-WW"),
IF(EW_cnRanger_101_SM=" ",CONCATENATE("EW-E","1","RGT1SM-WW"),
CONCATENATE("EW-E",LEFT(EW_cnRanger_101_SM,1),"RGT1SM-WW")))))))</f>
        <v xml:space="preserve"> </v>
      </c>
      <c r="D131" s="180" t="str">
        <f>IF(NOT(Start_Here_Complete)," ",
VLOOKUP(C131,'All Products PL 2022-03-08'!$A$2:$C$4500,2,FALSE))</f>
        <v xml:space="preserve"> </v>
      </c>
      <c r="E131" s="28">
        <f>IF(NOT(Start_Here_Complete),0,
VLOOKUP(C131,'All Products PL 2022-03-08'!$A$2:$C$4500,3,FALSE))</f>
        <v>0</v>
      </c>
      <c r="F131" s="54">
        <f>IF(NOT(Start_Here_Complete),0,
IF(_Dev="Ent",0,
IF(NOT(EW),0,
IF(EW_cnRanger_101_SM="Declined",0,
IF(EW_cnRanger_101_SM="Choose","Error",
IF(OR(EW_cnRanger_101_SM=" ",EW_cnRanger_101_SM="N/A"),0,
Qty_cnRanger_101_SM))))))</f>
        <v>0</v>
      </c>
      <c r="G131" s="80">
        <f t="shared" si="7"/>
        <v>0</v>
      </c>
      <c r="H131" s="375" t="str">
        <f>IF(OR(F131&gt;0,F131="Error")," cnRanger 101 SM"," ")</f>
        <v xml:space="preserve"> </v>
      </c>
      <c r="I131" s="217" t="str">
        <f t="shared" si="8"/>
        <v xml:space="preserve"> </v>
      </c>
      <c r="J131" s="143"/>
      <c r="K131" s="143"/>
      <c r="L131" s="143"/>
      <c r="M131" s="202"/>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row>
    <row r="132" spans="1:56" s="8" customFormat="1" ht="26" customHeight="1" x14ac:dyDescent="0.2">
      <c r="A132" s="11"/>
      <c r="B132" s="41"/>
      <c r="C132" s="179" t="str">
        <f>IF(NOT(Start_Here_Complete)," ",
IF(NOT(EW),CONCATENATE("EW-E","1","RGT2SM-WW"),
IF(EW_cnRanger_201_SM="Choose",CONCATENATE("EW-E","1","RGT2SM-WW"),
IF(EW_cnRanger_201_SM="Declined",CONCATENATE("EW-E","1","RGT2SM-WW"),
IF(EW_cnRanger_201_SM="N/A",CONCATENATE("EW-E","1","RGT2SM-WW"),
IF(EW_cnRanger_201_SM=" ",CONCATENATE("EW-E","1","RGT2SM-WW"),
CONCATENATE("EW-E",LEFT(EW_cnRanger_201_SM,1),"RGT2SM-WW")))))))</f>
        <v xml:space="preserve"> </v>
      </c>
      <c r="D132" s="180" t="str">
        <f>IF(NOT(Start_Here_Complete)," ",
VLOOKUP(C132,'All Products PL 2022-03-08'!$A$2:$C$4500,2,FALSE))</f>
        <v xml:space="preserve"> </v>
      </c>
      <c r="E132" s="28">
        <f>IF(NOT(Start_Here_Complete),0,
VLOOKUP(C132,'All Products PL 2022-03-08'!$A$2:$C$4500,3,FALSE))</f>
        <v>0</v>
      </c>
      <c r="F132" s="54">
        <f>IF(NOT(Start_Here_Complete),0,
IF(_Dev="Ent",0,
IF(NOT(EW),0,
IF(EW_cnRanger_201_SM="Declined",0,
IF(EW_cnRanger_201_SM="Choose","Error",
IF(OR(EW_cnRanger_201_SM=" ",EW_cnRanger_201_SM="N/A"),0,
Qty_cnRanger_201_SM))))))</f>
        <v>0</v>
      </c>
      <c r="G132" s="80">
        <f t="shared" si="7"/>
        <v>0</v>
      </c>
      <c r="H132" s="375" t="str">
        <f>IF(OR(F132&gt;0,F132="Error")," cnRanger 201 SM"," ")</f>
        <v xml:space="preserve"> </v>
      </c>
      <c r="I132" s="217" t="str">
        <f t="shared" si="8"/>
        <v xml:space="preserve"> </v>
      </c>
      <c r="J132" s="143"/>
      <c r="K132" s="143"/>
      <c r="L132" s="143"/>
      <c r="M132" s="202"/>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row>
    <row r="133" spans="1:56" s="8" customFormat="1" ht="26" customHeight="1" x14ac:dyDescent="0.2">
      <c r="A133" s="11"/>
      <c r="B133" s="41"/>
      <c r="C133" s="179" t="str">
        <f>IF(NOT(Start_Here_Complete)," ",
IF(NOT(EW),CONCATENATE("EW-E","1","L888BU-WW"),
IF(EW_cnRanger_BBU="Choose",CONCATENATE("EW-E","1","L888BU-WW"),
IF(EW_cnRanger_BBU="Declined",CONCATENATE("EW-E","1","L888BU-WW"),
IF(EW_cnRanger_BBU="N/A",CONCATENATE("EW-E","1","L888BU-WW"),
IF(EW_cnRanger_BBU=" ",CONCATENATE("EW-E","1","L888BU-WW"),
CONCATENATE("EW-E",LEFT(EW_cnRanger_BBU,1),"L888BU-WW")))))))</f>
        <v xml:space="preserve"> </v>
      </c>
      <c r="D133" s="180" t="str">
        <f>IF(NOT(Start_Here_Complete)," ",
VLOOKUP(C133,'All Products PL 2022-03-08'!$A$2:$C$4500,2,FALSE))</f>
        <v xml:space="preserve"> </v>
      </c>
      <c r="E133" s="28">
        <f>IF(NOT(Start_Here_Complete),0,
VLOOKUP(C133,'All Products PL 2022-03-08'!$A$2:$C$4500,3,FALSE))</f>
        <v>0</v>
      </c>
      <c r="F133" s="54">
        <f>IF(NOT(Start_Here_Complete),0,
IF(_Dev="Ent",0,
IF(NOT(EW),0,
IF(EW_cnRanger_BBU="Declined",0,
IF(EW_cnRanger_BBU="Choose","Error",
IF(OR(EW_cnRanger_BBU=" ",EW_cnRanger_BBU="N/A"),0,
Qty_cnRanger_BBU))))))</f>
        <v>0</v>
      </c>
      <c r="G133" s="80">
        <f>IF(NOT(Start_Here_Complete),0,
IF(F133="Error",0,
E133*F133))</f>
        <v>0</v>
      </c>
      <c r="H133" s="375" t="str">
        <f>IF(OR(F133&gt;0,F133="Error")," cnRanger RRH"," ")</f>
        <v xml:space="preserve"> </v>
      </c>
      <c r="I133" s="217" t="str">
        <f>IF(F133="Error","Return to the product selection worksheet and choose ""Add'l Years""",
" ")</f>
        <v xml:space="preserve"> </v>
      </c>
      <c r="J133" s="143"/>
      <c r="K133" s="143"/>
      <c r="L133" s="143"/>
      <c r="M133" s="202"/>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row>
    <row r="134" spans="1:56" s="8" customFormat="1" ht="26" customHeight="1" x14ac:dyDescent="0.2">
      <c r="A134" s="11"/>
      <c r="B134" s="41"/>
      <c r="C134" s="179" t="str">
        <f>IF(NOT(Start_Here_Complete)," ",
IF(NOT(EW),CONCATENATE("EW-E","1","L220RH-WW"),
IF(EW_cnRanger_RRH="Choose",CONCATENATE("EW-E","1","L220RH-WW"),
IF(EW_cnRanger_RRH="Declined",CONCATENATE("EW-E","1","L220RH-WW"),
IF(EW_cnRanger_RRH="N/A",CONCATENATE("EW-E","1","L220RH-WW"),
IF(EW_cnRanger_RRH=" ",CONCATENATE("EW-E","1","L220RH-WW"),
CONCATENATE("EW-E",LEFT(EW_cnRanger_RRH,1),"L220RH-WW")))))))</f>
        <v xml:space="preserve"> </v>
      </c>
      <c r="D134" s="180" t="str">
        <f>IF(NOT(Start_Here_Complete)," ",
VLOOKUP(C134,'All Products PL 2022-03-08'!$A$2:$C$4500,2,FALSE))</f>
        <v xml:space="preserve"> </v>
      </c>
      <c r="E134" s="28">
        <f>IF(NOT(Start_Here_Complete),0,
VLOOKUP(C134,'All Products PL 2022-03-08'!$A$2:$C$4500,3,FALSE))</f>
        <v>0</v>
      </c>
      <c r="F134" s="54">
        <f>IF(NOT(Start_Here_Complete),0,
IF(_Dev="Ent",0,
IF(NOT(EW),0,
IF(EW_cnRanger_RRH="Declined",0,
IF(EW_cnRanger_RRH="Choose","Error",
IF(OR(EW_cnRanger_RRH=" ",EW_cnRanger_RRH="N/A"),0,
Qty_cnRanger_RRH))))))</f>
        <v>0</v>
      </c>
      <c r="G134" s="80">
        <f t="shared" si="7"/>
        <v>0</v>
      </c>
      <c r="H134" s="375" t="str">
        <f>IF(OR(F134&gt;0,F134="Error")," cnRanger BBU"," ")</f>
        <v xml:space="preserve"> </v>
      </c>
      <c r="I134" s="217" t="str">
        <f t="shared" si="8"/>
        <v xml:space="preserve"> </v>
      </c>
      <c r="J134" s="143"/>
      <c r="K134" s="143"/>
      <c r="L134" s="143"/>
      <c r="M134" s="202"/>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row>
    <row r="135" spans="1:56" s="8" customFormat="1" ht="26" customHeight="1" x14ac:dyDescent="0.2">
      <c r="A135" s="11"/>
      <c r="B135" s="41"/>
      <c r="C135" s="179" t="str">
        <f>IF(NOT(Start_Here_Complete)," ",
IF(NOT(EW),CONCATENATE("EW-E","1","CNWV1000-WW"),
IF(EW_V1000_Client_Node="Choose",CONCATENATE("EW-E","1","CNWV1000-WW"),
IF(EW_V1000_Client_Node="Declined",CONCATENATE("EW-E","1","CNWV1000-WW"),
IF(EW_V1000_Client_Node="N/A",CONCATENATE("EW-E","1","CNWV1000-WW"),
IF(EW_V1000_Client_Node=" ",CONCATENATE("EW-E","1","CNWV1000-WW"),
CONCATENATE("EW-E",LEFT(EW_V1000_Client_Node,1),"CNWV1000-WW")))))))</f>
        <v xml:space="preserve"> </v>
      </c>
      <c r="D135" s="180" t="str">
        <f>IF(NOT(Start_Here_Complete)," ",
VLOOKUP(C135,'All Products PL 2022-03-08'!$A$2:$C$4500,2,FALSE))</f>
        <v xml:space="preserve"> </v>
      </c>
      <c r="E135" s="28">
        <f>IF(NOT(Start_Here_Complete),0,
VLOOKUP(C135,'All Products PL 2022-03-08'!$A$2:$C$4500,3,FALSE))</f>
        <v>0</v>
      </c>
      <c r="F135" s="54">
        <f>IF(NOT(Start_Here_Complete),0,
IF(_Dev="FWB",0,
IF(X_AdvYes,0,
IF(NOT(EW),0,
IF(EW_V1000_Client_Node="Declined",0,
IF(EW_V1000_Client_Node="Choose","Error",
IF(OR(EW_V1000_Client_Node=" ",EW_V1000_Client_Node="N/A"),0,
Qty_V1000_Client_Node)))))))</f>
        <v>0</v>
      </c>
      <c r="G135" s="80">
        <f t="shared" si="7"/>
        <v>0</v>
      </c>
      <c r="H135" s="375" t="str">
        <f>IF(OR(F135&gt;0,F135="Error")," 60 GHz V1000 Client Node"," ")</f>
        <v xml:space="preserve"> </v>
      </c>
      <c r="I135" s="217" t="str">
        <f t="shared" si="8"/>
        <v xml:space="preserve"> </v>
      </c>
      <c r="J135" s="143"/>
      <c r="K135" s="143"/>
      <c r="L135" s="143"/>
      <c r="M135" s="202"/>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row>
    <row r="136" spans="1:56" s="8" customFormat="1" ht="26" customHeight="1" x14ac:dyDescent="0.2">
      <c r="A136" s="11"/>
      <c r="B136" s="41"/>
      <c r="C136" s="179" t="str">
        <f>IF(NOT(Start_Here_Complete)," ",
IF(NOT(EW),CONCATENATE("EW-E","1","CNWV3000-WW"),
IF(EW_V3000_Client_Node="Choose",CONCATENATE("EW-E","1","CNWV3000-WW"),
IF(EW_V3000_Client_Node="Declined",CONCATENATE("EW-E","1","CNWV3000-WW"),
IF(EW_V3000_Client_Node="N/A",CONCATENATE("EW-E","1","CNWV3000-WW"),
IF(EW_V3000_Client_Node=" ",CONCATENATE("EW-E","1","CNWV3000-WW"),
CONCATENATE("EW-E",LEFT(EW_V3000_Client_Node,1),"CNWV3000-WW")))))))</f>
        <v xml:space="preserve"> </v>
      </c>
      <c r="D136" s="180" t="str">
        <f>IF(NOT(Start_Here_Complete)," ",
VLOOKUP(C136,'All Products PL 2022-03-08'!$A$2:$C$4500,2,FALSE))</f>
        <v xml:space="preserve"> </v>
      </c>
      <c r="E136" s="28">
        <f>IF(NOT(Start_Here_Complete),0,
VLOOKUP(C136,'All Products PL 2022-03-08'!$A$2:$C$4500,3,FALSE))</f>
        <v>0</v>
      </c>
      <c r="F136" s="54">
        <f>IF(NOT(Start_Here_Complete),0,
IF(_Dev="FWB",0,
IF(X_AdvYes,0,
IF(NOT(EW),0,
IF(EW_V3000_Client_Node="Declined",0,
IF(EW_V3000_Client_Node="Choose","Error",
IF(OR(EW_V3000_Client_Node=" ",EW_V3000_Client_Node="N/A"),0,
Qty_V3000_Client_Node)))))))</f>
        <v>0</v>
      </c>
      <c r="G136" s="80">
        <f t="shared" si="7"/>
        <v>0</v>
      </c>
      <c r="H136" s="375" t="str">
        <f>IF(OR(F136&gt;0,F136="Error")," 60 GHz V3000 Client Node"," ")</f>
        <v xml:space="preserve"> </v>
      </c>
      <c r="I136" s="217" t="str">
        <f t="shared" si="8"/>
        <v xml:space="preserve"> </v>
      </c>
      <c r="J136" s="143"/>
      <c r="K136" s="143"/>
      <c r="L136" s="143"/>
      <c r="M136" s="202"/>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row>
    <row r="137" spans="1:56" s="8" customFormat="1" ht="26" customHeight="1" x14ac:dyDescent="0.2">
      <c r="A137" s="11"/>
      <c r="B137" s="41"/>
      <c r="C137" s="179" t="str">
        <f>IF(NOT(Start_Here_Complete)," ",
IF(NOT(EW),CONCATENATE("EW-E","1","CNWV5000-WW"),
IF(EW_V5000_Distribution_Node="Choose",CONCATENATE("EW-E","1","CNWV5000-WW"),
IF(EW_V5000_Distribution_Node="Declined",CONCATENATE("EW-E","1","CNWV5000-WW"),
IF(EW_V5000_Distribution_Node="N/A",CONCATENATE("EW-E","1","CNWV5000-WW"),
IF(EW_V5000_Distribution_Node=" ",CONCATENATE("EW-E","1","CNWV5000-WW"),
CONCATENATE("EW-E",LEFT(EW_V5000_Distribution_Node,1),"CNWV5000-WW")))))))</f>
        <v xml:space="preserve"> </v>
      </c>
      <c r="D137" s="180" t="str">
        <f>IF(NOT(Start_Here_Complete)," ",
VLOOKUP(C137,'All Products PL 2022-03-08'!$A$2:$C$4500,2,FALSE))</f>
        <v xml:space="preserve"> </v>
      </c>
      <c r="E137" s="28">
        <f>IF(NOT(Start_Here_Complete),0,
VLOOKUP(C137,'All Products PL 2022-03-08'!$A$2:$C$4500,3,FALSE))</f>
        <v>0</v>
      </c>
      <c r="F137" s="54">
        <f>IF(NOT(Start_Here_Complete),0,
IF(_Dev="FWB",0,
IF(X_AdvYes,0,
IF(NOT(EW),0,
IF(EW_V5000_Distribution_Node="Declined",0,
IF(EW_V5000_Distribution_Node="Choose","Error",
IF(OR(EW_V5000_Distribution_Node=" ",EW_V5000_Distribution_Node="N/A"),0,
Qty_V5000_Distribution_Node)))))))</f>
        <v>0</v>
      </c>
      <c r="G137" s="80">
        <f t="shared" si="7"/>
        <v>0</v>
      </c>
      <c r="H137" s="375" t="str">
        <f>IF(OR(F137&gt;0,F137="Error")," 60 GHz V5000 Distribution Node"," ")</f>
        <v xml:space="preserve"> </v>
      </c>
      <c r="I137" s="217" t="str">
        <f t="shared" si="8"/>
        <v xml:space="preserve"> </v>
      </c>
      <c r="J137" s="143"/>
      <c r="K137" s="143"/>
      <c r="L137" s="143"/>
      <c r="M137" s="202"/>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row>
    <row r="138" spans="1:56" s="8" customFormat="1" ht="26" customHeight="1" x14ac:dyDescent="0.2">
      <c r="A138" s="11"/>
      <c r="B138" s="41"/>
      <c r="C138" s="179" t="str">
        <f>IF(NOT(Start_Here_Complete)," ",
IF(NOT(EW),CONCATENATE("EW-E","1","PT450-WW"),
IF(EW_PTP_450="Choose",CONCATENATE("EW-E","1","PT450-WW"),
IF(EW_PTP_450="Declined",CONCATENATE("EW-E","1","PT450-WW"),
IF(EW_PTP_450="N/A",CONCATENATE("EW-E","1","PT450-WW"),
IF(EW_PTP_450=" ",CONCATENATE("EW-E","1","PT450-WW"),
CONCATENATE("EW-E",LEFT(EW_PTP_450,1),"PT450-WW")))))))</f>
        <v xml:space="preserve"> </v>
      </c>
      <c r="D138" s="180" t="str">
        <f>IF(NOT(Start_Here_Complete)," ",
VLOOKUP(C138,'All Products PL 2022-03-08'!$A$2:$C$4500,2,FALSE))</f>
        <v xml:space="preserve"> </v>
      </c>
      <c r="E138" s="28">
        <f>IF(NOT(Start_Here_Complete),0,
VLOOKUP(C138,'All Products PL 2022-03-08'!$A$2:$C$4500,3,FALSE))</f>
        <v>0</v>
      </c>
      <c r="F138" s="54">
        <f>IF(NOT(Start_Here_Complete),0,
IF(_Dev="Ent",0,
IF(NOT(EW),0,
IF(EW_PTP_450="Declined",0,
IF(EW_PTP_450="Choose","Error",
IF(OR(EW_PTP_450=" ",EW_PTP_450="N/A"),0,
Qty_PTP_450))))))</f>
        <v>0</v>
      </c>
      <c r="G138" s="80">
        <f t="shared" si="7"/>
        <v>0</v>
      </c>
      <c r="H138" s="375" t="str">
        <f>IF(OR(F138&gt;0,F138="Error")," PTP 450"," ")</f>
        <v xml:space="preserve"> </v>
      </c>
      <c r="I138" s="217" t="str">
        <f t="shared" si="8"/>
        <v xml:space="preserve"> </v>
      </c>
      <c r="J138" s="143"/>
      <c r="K138" s="143"/>
      <c r="L138" s="143"/>
      <c r="M138" s="202"/>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row>
    <row r="139" spans="1:56" s="8" customFormat="1" ht="26" customHeight="1" x14ac:dyDescent="0.2">
      <c r="A139" s="11"/>
      <c r="B139" s="41"/>
      <c r="C139" s="179" t="str">
        <f>IF(NOT(Start_Here_Complete)," ",
IF(NOT(EW),CONCATENATE("EW-E","1","PT450B-WW"),
IF(EW_PTP_450b="Choose",CONCATENATE("EW-E","1","PT450B-WW"),
IF(EW_PTP_450b="Declined",CONCATENATE("EW-E","1","PT450B-WW"),
IF(EW_PTP_450b="N/A",CONCATENATE("EW-E","1","PT450B-WW"),
IF(EW_PTP_450b=" ",CONCATENATE("EW-E","1","PT450B-WW"),
CONCATENATE("EW-E",LEFT(EW_PTP_450b,1),"PT450B-WW")))))))</f>
        <v xml:space="preserve"> </v>
      </c>
      <c r="D139" s="180" t="str">
        <f>IF(NOT(Start_Here_Complete)," ",
VLOOKUP(C139,'All Products PL 2022-03-08'!$A$2:$C$4500,2,FALSE))</f>
        <v xml:space="preserve"> </v>
      </c>
      <c r="E139" s="28">
        <f>IF(NOT(Start_Here_Complete),0,
VLOOKUP(C139,'All Products PL 2022-03-08'!$A$2:$C$4500,3,FALSE))</f>
        <v>0</v>
      </c>
      <c r="F139" s="54">
        <f>IF(NOT(Start_Here_Complete),0,
IF(_Dev="Ent",0,
IF(NOT(EW),0,
IF(EW_PTP_450b="Declined",0,
IF(EW_PTP_450b="Choose","Error",
IF(OR(EW_PTP_450b=" ",EW_PTP_450b="N/A"),0,
Qty_PTP_450b))))))</f>
        <v>0</v>
      </c>
      <c r="G139" s="80">
        <f t="shared" si="7"/>
        <v>0</v>
      </c>
      <c r="H139" s="375" t="str">
        <f>IF(OR(F139&gt;0,F139="Error")," PTP 450b"," ")</f>
        <v xml:space="preserve"> </v>
      </c>
      <c r="I139" s="217" t="str">
        <f t="shared" si="8"/>
        <v xml:space="preserve"> </v>
      </c>
      <c r="J139" s="143"/>
      <c r="K139" s="143"/>
      <c r="L139" s="143"/>
      <c r="M139" s="202"/>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row>
    <row r="140" spans="1:56" s="8" customFormat="1" ht="26" customHeight="1" x14ac:dyDescent="0.2">
      <c r="A140" s="11"/>
      <c r="B140" s="41"/>
      <c r="C140" s="179" t="str">
        <f>IF(NOT(Start_Here_Complete)," ",
IF(NOT(EW),CONCATENATE("EW-E","1","PT450I-WW"),
IF(EW_PTP_450i="Choose",CONCATENATE("EW-E","1","PT450I-WW"),
IF(EW_PTP_450i="Declined",CONCATENATE("EW-E","1","PT450I-WW"),
IF(EW_PTP_450i="N/A",CONCATENATE("EW-E","1","PT450I-WW"),
IF(EW_PTP_450i=" ",CONCATENATE("EW-E","1","PT450I-WW"),
CONCATENATE("EW-E",LEFT(EW_PTP_450i,1),"PT450I-WW")))))))</f>
        <v xml:space="preserve"> </v>
      </c>
      <c r="D140" s="180" t="str">
        <f>IF(NOT(Start_Here_Complete)," ",
VLOOKUP(C140,'All Products PL 2022-03-08'!$A$2:$C$4500,2,FALSE))</f>
        <v xml:space="preserve"> </v>
      </c>
      <c r="E140" s="28">
        <f>IF(NOT(Start_Here_Complete),0,
VLOOKUP(C140,'All Products PL 2022-03-08'!$A$2:$C$4500,3,FALSE))</f>
        <v>0</v>
      </c>
      <c r="F140" s="54">
        <f>IF(NOT(Start_Here_Complete),0,
IF(_Dev="Ent",0,
IF(NOT(EW),0,
IF(EW_PTP_450i="Declined",0,
IF(EW_PTP_450i="Choose","Error",
IF(OR(EW_PTP_450i=" ",EW_PTP_450i="N/A"),0,
Qty_PTP_450i))))))</f>
        <v>0</v>
      </c>
      <c r="G140" s="80">
        <f t="shared" si="7"/>
        <v>0</v>
      </c>
      <c r="H140" s="375" t="str">
        <f>IF(OR(F140&gt;0,F140="Error")," PTP 450i"," ")</f>
        <v xml:space="preserve"> </v>
      </c>
      <c r="I140" s="217" t="str">
        <f t="shared" si="8"/>
        <v xml:space="preserve"> </v>
      </c>
      <c r="J140" s="143"/>
      <c r="K140" s="143"/>
      <c r="L140" s="143"/>
      <c r="M140" s="202"/>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row>
    <row r="141" spans="1:56" s="8" customFormat="1" ht="26" customHeight="1" x14ac:dyDescent="0.2">
      <c r="A141" s="11"/>
      <c r="B141" s="41"/>
      <c r="C141" s="179" t="str">
        <f>IF(NOT(Start_Here_Complete)," ",
IF(NOT(EW),CONCATENATE("EW-E","1","PT550-WW"),
IF(EW_PTP_550="Choose",CONCATENATE("EW-E","1","PT550-WW"),
IF(EW_PTP_550="Declined",CONCATENATE("EW-E","1","PT550-WW"),
IF(EW_PTP_550="N/A",CONCATENATE("EW-E","1","PT550-WW"),
IF(EW_PTP_550=" ",CONCATENATE("EW-E","1","PT550-WW"),
CONCATENATE("EW-E",LEFT(EW_PTP_550,1),"PT550-WW")))))))</f>
        <v xml:space="preserve"> </v>
      </c>
      <c r="D141" s="180" t="str">
        <f>IF(NOT(Start_Here_Complete)," ",
VLOOKUP(C141,'All Products PL 2022-03-08'!$A$2:$C$4500,2,FALSE))</f>
        <v xml:space="preserve"> </v>
      </c>
      <c r="E141" s="28">
        <f>IF(NOT(Start_Here_Complete),0,
VLOOKUP(C141,'All Products PL 2022-03-08'!$A$2:$C$4500,3,FALSE))</f>
        <v>0</v>
      </c>
      <c r="F141" s="54">
        <f>IF(NOT(Start_Here_Complete),0,
IF(_Dev="Ent",0,
IF(NOT(EW),0,
IF(EW_PTP_550="Declined",0,
IF(EW_PTP_550="Choose","Error",
IF(OR(EW_PTP_550=" ",EW_PTP_550="N/A"),0,
Qty_PTP_550))))))</f>
        <v>0</v>
      </c>
      <c r="G141" s="80">
        <f t="shared" si="7"/>
        <v>0</v>
      </c>
      <c r="H141" s="375" t="str">
        <f>IF(OR(F141&gt;0,F141="Error")," PTP 550"," ")</f>
        <v xml:space="preserve"> </v>
      </c>
      <c r="I141" s="217" t="str">
        <f t="shared" si="8"/>
        <v xml:space="preserve"> </v>
      </c>
      <c r="J141" s="143"/>
      <c r="K141" s="143"/>
      <c r="L141" s="143"/>
      <c r="M141" s="202"/>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row>
    <row r="142" spans="1:56" s="8" customFormat="1" ht="26" customHeight="1" x14ac:dyDescent="0.2">
      <c r="A142" s="11"/>
      <c r="B142" s="41"/>
      <c r="C142" s="179" t="str">
        <f>IF(NOT(Start_Here_Complete)," ",
IF(NOT(EW),CONCATENATE("EW-E","1","PT6XX-WW"),
IF(EW_PTP_650="Choose",CONCATENATE("EW-E","1","PT6XX-WW"),
IF(EW_PTP_650="Declined",CONCATENATE("EW-E","1","PT6XX-WW"),
IF(EW_PTP_650="N/A",CONCATENATE("EW-E","1","PT6XX-WW"),
IF(EW_PTP_650=" ",CONCATENATE("EW-E","1","PT6XX-WW"),
CONCATENATE("EW-E",LEFT(EW_PTP_650,1),"PT6XX-WW")))))))</f>
        <v xml:space="preserve"> </v>
      </c>
      <c r="D142" s="180" t="str">
        <f>IF(NOT(Start_Here_Complete)," ",
VLOOKUP(C142,'All Products PL 2022-03-08'!$A$2:$C$4500,2,FALSE))</f>
        <v xml:space="preserve"> </v>
      </c>
      <c r="E142" s="28">
        <f>IF(NOT(Start_Here_Complete),0,
VLOOKUP(C142,'All Products PL 2022-03-08'!$A$2:$C$4500,3,FALSE))</f>
        <v>0</v>
      </c>
      <c r="F142" s="54">
        <f>IF(NOT(Start_Here_Complete),0,
IF(_Dev="Ent",0,
IF(NOT(EW),0,
IF(EW_PTP_650="Declined",0,
IF(EW_PTP_650="Choose","Error",
IF(OR(EW_PTP_650=" ",EW_PTP_650="N/A"),0,
Qty_PTP_650))))))</f>
        <v>0</v>
      </c>
      <c r="G142" s="80">
        <f t="shared" si="7"/>
        <v>0</v>
      </c>
      <c r="H142" s="375" t="str">
        <f>IF(OR(F142&gt;0,F142="Error")," PTP 650"," ")</f>
        <v xml:space="preserve"> </v>
      </c>
      <c r="I142" s="217" t="str">
        <f t="shared" si="8"/>
        <v xml:space="preserve"> </v>
      </c>
      <c r="J142" s="143"/>
      <c r="K142" s="143"/>
      <c r="L142" s="143"/>
      <c r="M142" s="202"/>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row>
    <row r="143" spans="1:56" s="8" customFormat="1" ht="26" customHeight="1" x14ac:dyDescent="0.2">
      <c r="A143" s="11"/>
      <c r="B143" s="41"/>
      <c r="C143" s="179" t="str">
        <f>IF(NOT(Start_Here_Complete)," ",
IF(NOT(EW),CONCATENATE("EW-E","1","PT6XX-WW"),
IF(EW_PTP_670="Choose",CONCATENATE("EW-E","1","PT6XX-WW"),
IF(EW_PTP_670="Declined",CONCATENATE("EW-E","1","PT6XX-WW"),
IF(EW_PTP_670="N/A",CONCATENATE("EW-E","1","PT6XX-WW"),
IF(EW_PTP_670=" ",CONCATENATE("EW-E","1","PT6XX-WW"),
CONCATENATE("EW-E",LEFT(EW_PTP_670,1),"PT6XX-WW")))))))</f>
        <v xml:space="preserve"> </v>
      </c>
      <c r="D143" s="180" t="str">
        <f>IF(NOT(Start_Here_Complete)," ",
VLOOKUP(C143,'All Products PL 2022-03-08'!$A$2:$C$4500,2,FALSE))</f>
        <v xml:space="preserve"> </v>
      </c>
      <c r="E143" s="28">
        <f>IF(NOT(Start_Here_Complete),0,
VLOOKUP(C143,'All Products PL 2022-03-08'!$A$2:$C$4500,3,FALSE))</f>
        <v>0</v>
      </c>
      <c r="F143" s="54">
        <f>IF(NOT(Start_Here_Complete),0,
IF(_Dev="Ent",0,
IF(NOT(EW),0,
IF(EW_PTP_670="Declined",0,
IF(EW_PTP_670="Choose","Error",
IF(OR(EW_PTP_670=" ",EW_PTP_670="N/A"),0,
Qty_PTP_670))))))</f>
        <v>0</v>
      </c>
      <c r="G143" s="80">
        <f t="shared" si="7"/>
        <v>0</v>
      </c>
      <c r="H143" s="375" t="str">
        <f>IF(OR(F143&gt;0,F143="Error")," PTP 670"," ")</f>
        <v xml:space="preserve"> </v>
      </c>
      <c r="I143" s="217" t="str">
        <f t="shared" si="8"/>
        <v xml:space="preserve"> </v>
      </c>
      <c r="J143" s="143"/>
      <c r="K143" s="143"/>
      <c r="L143" s="143"/>
      <c r="M143" s="202"/>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row>
    <row r="144" spans="1:56" s="8" customFormat="1" ht="26" customHeight="1" x14ac:dyDescent="0.2">
      <c r="A144" s="11"/>
      <c r="B144" s="41"/>
      <c r="C144" s="179" t="str">
        <f>IF(NOT(Start_Here_Complete)," ",
IF(NOT(EW),CONCATENATE("EW-E","1","PT670M-WW"),
IF(EW_PTP_670_Mexico="Choose",CONCATENATE("EW-E","1","PT670M-WW"),
IF(EW_PTP_670_Mexico="Declined",CONCATENATE("EW-E","1","PT670M-WW"),
IF(EW_PTP_670_Mexico="N/A",CONCATENATE("EW-E","1","PT670M-WW"),
IF(EW_PTP_670_Mexico=" ",CONCATENATE("EW-E","1","PT670M-WW"),
CONCATENATE("EW-E",LEFT(EW_PTP_670_Mexico,1),"PT670M-WW")))))))</f>
        <v xml:space="preserve"> </v>
      </c>
      <c r="D144" s="180" t="str">
        <f>IF(NOT(Start_Here_Complete)," ",
VLOOKUP(C144,'All Products PL 2022-03-08'!$A$2:$C$4500,2,FALSE))</f>
        <v xml:space="preserve"> </v>
      </c>
      <c r="E144" s="28">
        <f>IF(NOT(Start_Here_Complete),0,
VLOOKUP(C144,'All Products PL 2022-03-08'!$A$2:$C$4500,3,FALSE))</f>
        <v>0</v>
      </c>
      <c r="F144" s="54">
        <f>IF(NOT(Start_Here_Complete),0,
IF(_Dev="Ent",0,
IF(NOT(EW),0,
IF(EW_PTP_670_Mexico="Declined",0,
IF(EW_PTP_670_Mexico="Choose","Error",
IF(OR(EW_PTP_670_Mexico=" ",EW_PTP_670_Mexico="N/A"),0,
Qty_PTP_670_Mexico))))))</f>
        <v>0</v>
      </c>
      <c r="G144" s="80">
        <f t="shared" si="7"/>
        <v>0</v>
      </c>
      <c r="H144" s="375" t="str">
        <f>IF(OR(F144&gt;0,F144="Error")," PTP 670 (Mexico)"," ")</f>
        <v xml:space="preserve"> </v>
      </c>
      <c r="I144" s="217" t="str">
        <f t="shared" si="8"/>
        <v xml:space="preserve"> </v>
      </c>
      <c r="J144" s="143"/>
      <c r="K144" s="143"/>
      <c r="L144" s="143"/>
      <c r="M144" s="202"/>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row>
    <row r="145" spans="1:56" s="8" customFormat="1" ht="26" customHeight="1" x14ac:dyDescent="0.2">
      <c r="A145" s="11"/>
      <c r="B145" s="41"/>
      <c r="C145" s="179" t="str">
        <f>IF(NOT(Start_Here_Complete)," ",
IF(NOT(EW),"C000070S001A",
IF(EW_PTP_700="Choose","C000070S001A",
IF(EW_PTP_700="Declined","C000070S001A",
IF(EW_PTP_700="N/A","C000070S001A",
IF(EW_PTP_700=" ","C000070S001A",
CONCATENATE("C000070S00",LEFT(EW_PTP_700,1),"A")))))))</f>
        <v xml:space="preserve"> </v>
      </c>
      <c r="D145" s="180" t="str">
        <f>IF(NOT(Start_Here_Complete)," ",
VLOOKUP(C145,'Cambium Care'!$H$2:$J$500,2,FALSE))</f>
        <v xml:space="preserve"> </v>
      </c>
      <c r="E145" s="28">
        <f>IF(NOT(Start_Here_Complete),0,
VLOOKUP(C145,'Cambium Care'!$H$2:$J$500,3,FALSE))</f>
        <v>0</v>
      </c>
      <c r="F145" s="54">
        <f>IF(NOT(Start_Here_Complete),0,
IF(_Dev="Ent",0,
IF(NOT(EW),0,
IF(EW_PTP_700="Declined",0,
IF(EW_PTP_700="Choose","Error",
IF(OR(EW_PTP_700=" ",EW_PTP_700="N/A"),0,
Qty_PTP_700))))))</f>
        <v>0</v>
      </c>
      <c r="G145" s="80">
        <f t="shared" si="7"/>
        <v>0</v>
      </c>
      <c r="H145" s="375" t="str">
        <f>IF(OR(F145&gt;0,F145="Error")," PTP 700"," ")</f>
        <v xml:space="preserve"> </v>
      </c>
      <c r="I145" s="217" t="str">
        <f t="shared" si="8"/>
        <v xml:space="preserve"> </v>
      </c>
      <c r="J145" s="143"/>
      <c r="K145" s="143"/>
      <c r="L145" s="143"/>
      <c r="M145" s="202"/>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row>
    <row r="146" spans="1:56" s="8" customFormat="1" ht="26" customHeight="1" x14ac:dyDescent="0.2">
      <c r="A146" s="11"/>
      <c r="B146" s="41"/>
      <c r="C146" s="179" t="str">
        <f>IF(NOT(Start_Here_Complete)," ",
IF(NOT(EW),CONCATENATE("EW-E","1","PT82DH-WW"),
IF(EW_PTP_820_RFU_D_HP="Choose",CONCATENATE("EW-E","1","PT82DH-WW"),
IF(EW_PTP_820_RFU_D_HP="Declined",CONCATENATE("EW-E","1","PT82DH-WW"),
IF(EW_PTP_820_RFU_D_HP="N/A",CONCATENATE("EW-E","1","PT82DH-WW"),
IF(EW_PTP_820_RFU_D_HP=" ",CONCATENATE("EW-E","1","PT82DH-WW"),
CONCATENATE("EW-E",LEFT(EW_PTP_820_RFU_D_HP,1),"PT82DH-WW")))))))</f>
        <v xml:space="preserve"> </v>
      </c>
      <c r="D146" s="180" t="str">
        <f>IF(NOT(Start_Here_Complete)," ",
VLOOKUP(C146,'All Products PL 2022-03-08'!$A$2:$C$4500,2,FALSE))</f>
        <v xml:space="preserve"> </v>
      </c>
      <c r="E146" s="28">
        <f>IF(NOT(Start_Here_Complete),0,
VLOOKUP(C146,'All Products PL 2022-03-08'!$A$2:$C$4500,3,FALSE))</f>
        <v>0</v>
      </c>
      <c r="F146" s="54">
        <f>IF(NOT(Start_Here_Complete),0,
IF(_Dev="Ent",0,
IF(NOT(EW),0,
IF(EW_PTP_820_RFU_D_HP="Declined",0,
IF(EW_PTP_820_RFU_D_HP="Choose","Error",
IF(OR(EW_PTP_820_RFU_D_HP=" ",EW_PTP_820_RFU_D_HP="N/A"),0,
Qty_PTP_820_RFU_D_HP))))))</f>
        <v>0</v>
      </c>
      <c r="G146" s="80">
        <f t="shared" si="7"/>
        <v>0</v>
      </c>
      <c r="H146" s="375" t="str">
        <f>IF(OR(F146&gt;0,F146="Error")," PTP 820 RFU-D-HP"," ")</f>
        <v xml:space="preserve"> </v>
      </c>
      <c r="I146" s="217" t="str">
        <f t="shared" si="8"/>
        <v xml:space="preserve"> </v>
      </c>
      <c r="J146" s="143"/>
      <c r="K146" s="143"/>
      <c r="L146" s="143"/>
      <c r="M146" s="202"/>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row>
    <row r="147" spans="1:56" s="8" customFormat="1" ht="26" customHeight="1" x14ac:dyDescent="0.2">
      <c r="A147" s="11"/>
      <c r="B147" s="41"/>
      <c r="C147" s="179" t="str">
        <f>IF(NOT(Start_Here_Complete)," ",
IF(NOT(EW),CONCATENATE("EW-E","1","PT82D1-WW"),
IF(EW_PTP_820_RFU_D_6="Choose",CONCATENATE("EW-E","1","PT82D1-WW"),
IF(EW_PTP_820_RFU_D_6="Declined",CONCATENATE("EW-E","1","PT82D1-WW"),
IF(EW_PTP_820_RFU_D_6="N/A",CONCATENATE("EW-E","1","PT82D1-WW"),
IF(EW_PTP_820_RFU_D_6=" ",CONCATENATE("EW-E","1","PT82D1-WW"),
CONCATENATE("EW-E",LEFT(EW_PTP_820_RFU_D_6,1),"PT82D1-WW")))))))</f>
        <v xml:space="preserve"> </v>
      </c>
      <c r="D147" s="180" t="str">
        <f>IF(NOT(Start_Here_Complete)," ",
VLOOKUP(C147,'All Products PL 2022-03-08'!$A$2:$C$4500,2,FALSE))</f>
        <v xml:space="preserve"> </v>
      </c>
      <c r="E147" s="28">
        <f>IF(NOT(Start_Here_Complete),0,
VLOOKUP(C147,'All Products PL 2022-03-08'!$A$2:$C$4500,3,FALSE))</f>
        <v>0</v>
      </c>
      <c r="F147" s="54">
        <f>IF(NOT(Start_Here_Complete),0,
IF(_Dev="Ent",0,
IF(NOT(EW),0,
IF(EW_PTP_820_RFU_D_6="Declined",0,
IF(EW_PTP_820_RFU_D_6="Choose","Error",
IF(OR(EW_PTP_820_RFU_D_6=" ",EW_PTP_820_RFU_D_6="N/A"),0,
Qty_PTP_820_RFU_D_6))))))</f>
        <v>0</v>
      </c>
      <c r="G147" s="80">
        <f t="shared" si="7"/>
        <v>0</v>
      </c>
      <c r="H147" s="375" t="str">
        <f>IF(OR(F147&gt;0,F147="Error")," PTP 820 RFU-D [6-15GHz]"," ")</f>
        <v xml:space="preserve"> </v>
      </c>
      <c r="I147" s="217" t="str">
        <f t="shared" si="8"/>
        <v xml:space="preserve"> </v>
      </c>
      <c r="J147" s="143"/>
      <c r="K147" s="143"/>
      <c r="L147" s="143"/>
      <c r="M147" s="202"/>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row>
    <row r="148" spans="1:56" s="8" customFormat="1" ht="26" customHeight="1" x14ac:dyDescent="0.2">
      <c r="A148" s="11"/>
      <c r="B148" s="41"/>
      <c r="C148" s="179" t="str">
        <f>IF(NOT(Start_Here_Complete)," ",
IF(NOT(EW),CONCATENATE("EW-E","1","PT82D2-WW"),
IF(EW_PTP_820_RFU_18="Choose",CONCATENATE("EW-E","1","PT82D2-WW"),
IF(EW_PTP_820_RFU_18="Declined",CONCATENATE("EW-E","1","PT82D2-WW"),
IF(EW_PTP_820_RFU_18="N/A",CONCATENATE("EW-E","1","PT82D2-WW"),
IF(EW_PTP_820_RFU_18=" ",CONCATENATE("EW-E","1","PT82D2-WW"),
CONCATENATE("EW-E",LEFT(EW_PTP_820_RFU_18,1),"PT82D2-WW")))))))</f>
        <v xml:space="preserve"> </v>
      </c>
      <c r="D148" s="180" t="str">
        <f>IF(NOT(Start_Here_Complete)," ",
VLOOKUP(C148,'All Products PL 2022-03-08'!$A$2:$C$4500,2,FALSE))</f>
        <v xml:space="preserve"> </v>
      </c>
      <c r="E148" s="28">
        <f>IF(NOT(Start_Here_Complete),0,
VLOOKUP(C148,'All Products PL 2022-03-08'!$A$2:$C$4500,3,FALSE))</f>
        <v>0</v>
      </c>
      <c r="F148" s="54">
        <f>IF(NOT(Start_Here_Complete),0,
IF(_Dev="Ent",0,
IF(NOT(EW),0,
IF(EW_PTP_820_RFU_18="Declined",0,
IF(EW_PTP_820_RFU_18="Choose","Error",
IF(OR(EW_PTP_820_RFU_18=" ",EW_PTP_820_RFU_18="N/A"),0,
Qty_PTP_820_RFU_18))))))</f>
        <v>0</v>
      </c>
      <c r="G148" s="80">
        <f t="shared" si="7"/>
        <v>0</v>
      </c>
      <c r="H148" s="375" t="str">
        <f>IF(OR(F148&gt;0,F148="Error")," PTP 820 RFU-D [18-23GHz]"," ")</f>
        <v xml:space="preserve"> </v>
      </c>
      <c r="I148" s="217" t="str">
        <f t="shared" si="8"/>
        <v xml:space="preserve"> </v>
      </c>
      <c r="J148" s="143"/>
      <c r="K148" s="143"/>
      <c r="L148" s="143"/>
      <c r="M148" s="202"/>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row>
    <row r="149" spans="1:56" s="8" customFormat="1" ht="26" customHeight="1" x14ac:dyDescent="0.2">
      <c r="A149" s="11"/>
      <c r="B149" s="41"/>
      <c r="C149" s="179" t="str">
        <f>IF(NOT(Start_Here_Complete)," ",
IF(NOT(EW),CONCATENATE("EW-E","1","PT82E1-WW"),
IF(EW_PTP_820_RFU_E="Choose",CONCATENATE("EW-E","1","PT82E1-WW"),
IF(EW_PTP_820_RFU_E="Declined",CONCATENATE("EW-E","1","PT82E1-WW"),
IF(EW_PTP_820_RFU_E="N/A",CONCATENATE("EW-E","1","PT82E1-WW"),
IF(EW_PTP_820_RFU_E=" ",CONCATENATE("EW-E","1","PT82E1-WW"),
CONCATENATE("EW-E",LEFT(EW_PTP_820_RFU_E,1),"PT82E1-WW")))))))</f>
        <v xml:space="preserve"> </v>
      </c>
      <c r="D149" s="180" t="str">
        <f>IF(NOT(Start_Here_Complete)," ",
VLOOKUP(C149,'All Products PL 2022-03-08'!$A$2:$C$4500,2,FALSE))</f>
        <v xml:space="preserve"> </v>
      </c>
      <c r="E149" s="28">
        <f>IF(NOT(Start_Here_Complete),0,
VLOOKUP(C149,'All Products PL 2022-03-08'!$A$2:$C$4500,3,FALSE))</f>
        <v>0</v>
      </c>
      <c r="F149" s="54">
        <f>IF(NOT(Start_Here_Complete),0,
IF(_Dev="Ent",0,
IF(NOT(EW),0,
IF(EW_PTP_820_RFU_E="Declined",0,
IF(EW_PTP_820_RFU_E="Choose","Error",
IF(OR(EW_PTP_820_RFU_E=" ",EW_PTP_820_RFU_E="N/A"),0,
Qty_PTP_820_RFU_E))))))</f>
        <v>0</v>
      </c>
      <c r="G149" s="80">
        <f t="shared" si="7"/>
        <v>0</v>
      </c>
      <c r="H149" s="375" t="str">
        <f>IF(OR(F149&gt;0,F149="Error")," PTP 820 RFU-E"," ")</f>
        <v xml:space="preserve"> </v>
      </c>
      <c r="I149" s="217" t="str">
        <f t="shared" si="8"/>
        <v xml:space="preserve"> </v>
      </c>
      <c r="J149" s="143"/>
      <c r="K149" s="143"/>
      <c r="L149" s="143"/>
      <c r="M149" s="202"/>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row>
    <row r="150" spans="1:56" s="8" customFormat="1" ht="26" customHeight="1" x14ac:dyDescent="0.2">
      <c r="A150" s="11"/>
      <c r="B150" s="41"/>
      <c r="C150" s="179" t="str">
        <f>IF(NOT(Start_Here_Complete)," ",
IF(NOT(EW),CONCATENATE("EW-E","1","PT82E2-WW"),
IF(EW_PTP_820_RFU_E_43="Choose",CONCATENATE("EW-E","1","PT82E2-WW"),
IF(EW_PTP_820_RFU_E_43="Declined",CONCATENATE("EW-E","1","PT82E2-WW"),
IF(EW_PTP_820_RFU_E_43="N/A",CONCATENATE("EW-E","1","PT82E2-WW"),
IF(EW_PTP_820_RFU_E_43=" ",CONCATENATE("EW-E","1","PT82E2-WW"),
CONCATENATE("EW-E",LEFT(EW_PTP_820_RFU_E_43,1),"PT82E2-WW")))))))</f>
        <v xml:space="preserve"> </v>
      </c>
      <c r="D150" s="180" t="str">
        <f>IF(NOT(Start_Here_Complete)," ",
VLOOKUP(C150,'All Products PL 2022-03-08'!$A$2:$C$4500,2,FALSE))</f>
        <v xml:space="preserve"> </v>
      </c>
      <c r="E150" s="28">
        <f>IF(NOT(Start_Here_Complete),0,
VLOOKUP(C150,'All Products PL 2022-03-08'!$A$2:$C$4500,3,FALSE))</f>
        <v>0</v>
      </c>
      <c r="F150" s="54">
        <f>IF(NOT(Start_Here_Complete),0,
IF(_Dev="Ent",0,
IF(NOT(EW),0,
IF(EW_PTP_820_RFU_E_43="Declined",0,
IF(EW_PTP_820_RFU_E_43="Choose","Error",
IF(OR(EW_PTP_820_RFU_E_43=" ",EW_PTP_820_RFU_E_43="N/A"),0,
Qty_PTP_820_RFU_E_43))))))</f>
        <v>0</v>
      </c>
      <c r="G150" s="80">
        <f t="shared" si="7"/>
        <v>0</v>
      </c>
      <c r="H150" s="375" t="str">
        <f>IF(OR(F150&gt;0,F150="Error")," PTP 820 RFU-E w/43 dBi Antenna"," ")</f>
        <v xml:space="preserve"> </v>
      </c>
      <c r="I150" s="217" t="str">
        <f t="shared" si="8"/>
        <v xml:space="preserve"> </v>
      </c>
      <c r="J150" s="143"/>
      <c r="K150" s="143"/>
      <c r="L150" s="143"/>
      <c r="M150" s="202"/>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row>
    <row r="151" spans="1:56" s="8" customFormat="1" ht="26" customHeight="1" x14ac:dyDescent="0.2">
      <c r="A151" s="11"/>
      <c r="B151" s="41"/>
      <c r="C151" s="179" t="str">
        <f>IF(NOT(Start_Here_Complete)," ",
IF(NOT(EW),CONCATENATE("EW-E","1","PT82RS-WW"),
IF(EW_PTP_820_RFU_S="Choose",CONCATENATE("EW-E","1","PT82RS-WW"),
IF(EW_PTP_820_RFU_S="Declined",CONCATENATE("EW-E","1","PT82RS-WW"),
IF(EW_PTP_820_RFU_S="N/A",CONCATENATE("EW-E","1","PT82RS-WW"),
IF(EW_PTP_820_RFU_S=" ",CONCATENATE("EW-E","1","PT82RS-WW"),
CONCATENATE("EW-E",LEFT(EW_PTP_820_RFU_S,1),"PT82RS-WW")))))))</f>
        <v xml:space="preserve"> </v>
      </c>
      <c r="D151" s="180" t="str">
        <f>IF(NOT(Start_Here_Complete)," ",
VLOOKUP(C151,'All Products PL 2022-03-08'!$A$2:$C$4500,2,FALSE))</f>
        <v xml:space="preserve"> </v>
      </c>
      <c r="E151" s="28">
        <f>IF(NOT(Start_Here_Complete),0,
VLOOKUP(C151,'All Products PL 2022-03-08'!$A$2:$C$4500,3,FALSE))</f>
        <v>0</v>
      </c>
      <c r="F151" s="54">
        <f>IF(NOT(Start_Here_Complete),0,
IF(_Dev="Ent",0,
IF(NOT(EW),0,
IF(EW_PTP_820_RFU_S="Declined",0,
IF(EW_PTP_820_RFU_S="Choose","Error",
IF(OR(EW_PTP_820_RFU_S=" ",EW_PTP_820_RFU_S="N/A"),0,
Qty_PTP_820_RFU_S))))))</f>
        <v>0</v>
      </c>
      <c r="G151" s="80">
        <f t="shared" si="7"/>
        <v>0</v>
      </c>
      <c r="H151" s="375" t="str">
        <f>IF(OR(F151&gt;0,F151="Error")," PTP 820 RFU-S, Single Tx, Split"," ")</f>
        <v xml:space="preserve"> </v>
      </c>
      <c r="I151" s="217" t="str">
        <f t="shared" si="8"/>
        <v xml:space="preserve"> </v>
      </c>
      <c r="J151" s="143"/>
      <c r="K151" s="143"/>
      <c r="L151" s="143"/>
      <c r="M151" s="202"/>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row>
    <row r="152" spans="1:56" s="8" customFormat="1" ht="26" customHeight="1" x14ac:dyDescent="0.2">
      <c r="A152" s="11"/>
      <c r="B152" s="41"/>
      <c r="C152" s="179" t="str">
        <f>IF(NOT(Start_Here_Complete)," ",
IF(NOT(EW),CONCATENATE("EW-E","1","PT820C-WW"),
IF(EW_PTP_820C="Choose",CONCATENATE("EW-E","1","PT820C-WW"),
IF(EW_PTP_820C="Declined",CONCATENATE("EW-E","1","PT820C-WW"),
IF(EW_PTP_820C="N/A",CONCATENATE("EW-E","1","PT820C-WW"),
IF(EW_PTP_820C=" ",CONCATENATE("EW-E","1","PT820C-WW"),
CONCATENATE("EW-E",LEFT(EW_PTP_820C,1),"PT820C-WW")))))))</f>
        <v xml:space="preserve"> </v>
      </c>
      <c r="D152" s="180" t="str">
        <f>IF(NOT(Start_Here_Complete)," ",
VLOOKUP(C152,'All Products PL 2022-03-08'!$A$2:$C$4500,2,FALSE))</f>
        <v xml:space="preserve"> </v>
      </c>
      <c r="E152" s="28">
        <f>IF(NOT(Start_Here_Complete),0,
VLOOKUP(C152,'All Products PL 2022-03-08'!$A$2:$C$4500,3,FALSE))</f>
        <v>0</v>
      </c>
      <c r="F152" s="54">
        <f>IF(NOT(Start_Here_Complete),0,
IF(_Dev="Ent",0,
IF(NOT(EW),0,
IF(EW_PTP_820C="Declined",0,
IF(EW_PTP_820C="Choose","Error",
IF(OR(EW_PTP_820C=" ",EW_PTP_820C="N/A"),0,
Qty_PTP_820C))))))</f>
        <v>0</v>
      </c>
      <c r="G152" s="80">
        <f t="shared" si="7"/>
        <v>0</v>
      </c>
      <c r="H152" s="375" t="str">
        <f>IF(OR(F152&gt;0,F152="Error")," PTP 820C"," ")</f>
        <v xml:space="preserve"> </v>
      </c>
      <c r="I152" s="217" t="str">
        <f t="shared" si="8"/>
        <v xml:space="preserve"> </v>
      </c>
      <c r="J152" s="143"/>
      <c r="K152" s="143"/>
      <c r="L152" s="143"/>
      <c r="M152" s="202"/>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row>
    <row r="153" spans="1:56" s="8" customFormat="1" ht="26" customHeight="1" x14ac:dyDescent="0.2">
      <c r="A153" s="11"/>
      <c r="B153" s="41"/>
      <c r="C153" s="179" t="str">
        <f>IF(NOT(Start_Here_Complete)," ",
IF(NOT(EW),CONCATENATE("EW-E","1","PT82CHP-WW"),
IF(EW_PTP_820C_HP="Choose",CONCATENATE("EW-E","1","PT82CHP-WW"),
IF(EW_PTP_820C_HP="Declined",CONCATENATE("EW-E","1","PT82CHP-WW"),
IF(EW_PTP_820C_HP="N/A",CONCATENATE("EW-E","1","PT82CHP-WW"),
IF(EW_PTP_820C_HP=" ",CONCATENATE("EW-E","1","PT82CHP-WW"),
CONCATENATE("EW-E",LEFT(EW_PTP_820C_HP,1),"PT82CHP-WW")))))))</f>
        <v xml:space="preserve"> </v>
      </c>
      <c r="D153" s="180" t="str">
        <f>IF(NOT(Start_Here_Complete)," ",
VLOOKUP(C153,'All Products PL 2022-03-08'!$A$2:$C$4500,2,FALSE))</f>
        <v xml:space="preserve"> </v>
      </c>
      <c r="E153" s="28">
        <f>IF(NOT(Start_Here_Complete),0,
VLOOKUP(C153,'All Products PL 2022-03-08'!$A$2:$C$4500,3,FALSE))</f>
        <v>0</v>
      </c>
      <c r="F153" s="54">
        <f>IF(NOT(Start_Here_Complete),0,
IF(_Dev="Ent",0,
IF(NOT(EW),0,
IF(EW_PTP_820C_HP="Declined",0,
IF(EW_PTP_820C_HP="Choose","Error",
IF(OR(EW_PTP_820C_HP=" ",EW_PTP_820C_HP="N/A"),0,
Qty_PTP_820C_HP))))))</f>
        <v>0</v>
      </c>
      <c r="G153" s="80">
        <f t="shared" si="7"/>
        <v>0</v>
      </c>
      <c r="H153" s="375" t="str">
        <f>IF(OR(F153&gt;0,F153="Error")," PTP 820C-HP"," ")</f>
        <v xml:space="preserve"> </v>
      </c>
      <c r="I153" s="217" t="str">
        <f t="shared" si="8"/>
        <v xml:space="preserve"> </v>
      </c>
      <c r="J153" s="143"/>
      <c r="K153" s="143"/>
      <c r="L153" s="143"/>
      <c r="M153" s="202"/>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row>
    <row r="154" spans="1:56" s="8" customFormat="1" ht="26" customHeight="1" x14ac:dyDescent="0.2">
      <c r="A154" s="11"/>
      <c r="B154" s="41"/>
      <c r="C154" s="179" t="str">
        <f>IF(NOT(Start_Here_Complete)," ",
IF(NOT(EW),CONCATENATE("EW-E","1","PT82E3-WW"),
IF(EW_PTP_820E="Choose",CONCATENATE("EW-E","1","PT82E3-WW"),
IF(EW_PTP_820E="Declined",CONCATENATE("EW-E","1","PT82E3-WW"),
IF(EW_PTP_820E="N/A",CONCATENATE("EW-E","1","PT82E3-WW"),
IF(EW_PTP_820E=" ",CONCATENATE("EW-E","1","PT82E3-WW"),
CONCATENATE("EW-E",LEFT(EW_PTP_820E,1),"PT82E3-WW")))))))</f>
        <v xml:space="preserve"> </v>
      </c>
      <c r="D154" s="180" t="str">
        <f>IF(NOT(Start_Here_Complete)," ",
VLOOKUP(C154,'All Products PL 2022-03-08'!$A$2:$C$4500,2,FALSE))</f>
        <v xml:space="preserve"> </v>
      </c>
      <c r="E154" s="28">
        <f>IF(NOT(Start_Here_Complete),0,
VLOOKUP(C154,'All Products PL 2022-03-08'!$A$2:$C$4500,3,FALSE))</f>
        <v>0</v>
      </c>
      <c r="F154" s="54">
        <f>IF(NOT(Start_Here_Complete),0,
IF(_Dev="Ent",0,
IF(NOT(EW),0,
IF(EW_PTP_820E="Declined",0,
IF(EW_PTP_820E="Choose","Error",
IF(OR(EW_PTP_820E=" ",EW_PTP_820E="N/A"),0,
Qty_PTP_820E))))))</f>
        <v>0</v>
      </c>
      <c r="G154" s="80">
        <f t="shared" ref="G154:G183" si="13">IF(NOT(Start_Here_Complete),0,
IF(F154="Error",0,
E154*F154))</f>
        <v>0</v>
      </c>
      <c r="H154" s="375" t="str">
        <f>IF(OR(F154&gt;0,F154="Error")," PTP 820E"," ")</f>
        <v xml:space="preserve"> </v>
      </c>
      <c r="I154" s="217" t="str">
        <f t="shared" si="8"/>
        <v xml:space="preserve"> </v>
      </c>
      <c r="J154" s="143"/>
      <c r="K154" s="143"/>
      <c r="L154" s="143"/>
      <c r="M154" s="202"/>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row>
    <row r="155" spans="1:56" s="8" customFormat="1" ht="26" customHeight="1" x14ac:dyDescent="0.2">
      <c r="A155" s="11"/>
      <c r="B155" s="41"/>
      <c r="C155" s="179" t="str">
        <f>IF(NOT(Start_Here_Complete)," ",
IF(NOT(EW),CONCATENATE("EW-E","1","PT82E4-WW"),
IF(EW_PTP_820E_43="Choose",CONCATENATE("EW-E","1","PT82E4-WW"),
IF(EW_PTP_820E_43="Declined",CONCATENATE("EW-E","1","PT82E4-WW"),
IF(EW_PTP_820E_43="N/A",CONCATENATE("EW-E","1","PT82E4-WW"),
IF(EW_PTP_820E_43=" ",CONCATENATE("EW-E","1","PT82E4-WW"),
CONCATENATE("EW-E",LEFT(EW_PTP_820E_43,1),"PT82E4-WW")))))))</f>
        <v xml:space="preserve"> </v>
      </c>
      <c r="D155" s="180" t="str">
        <f>IF(NOT(Start_Here_Complete)," ",
VLOOKUP(C155,'All Products PL 2022-03-08'!$A$2:$C$4500,2,FALSE))</f>
        <v xml:space="preserve"> </v>
      </c>
      <c r="E155" s="28">
        <f>IF(NOT(Start_Here_Complete),0,
VLOOKUP(C155,'All Products PL 2022-03-08'!$A$2:$C$4500,3,FALSE))</f>
        <v>0</v>
      </c>
      <c r="F155" s="54">
        <f>IF(NOT(Start_Here_Complete),0,
IF(_Dev="Ent",0,
IF(NOT(EW),0,
IF(EW_PTP_820E_43="Declined",0,
IF(EW_PTP_820E_43="Choose","Error",
IF(OR(EW_PTP_820E_43=" ",EW_PTP_820E_43="N/A"),0,
Qty_PTP_820E_43))))))</f>
        <v>0</v>
      </c>
      <c r="G155" s="80">
        <f t="shared" si="13"/>
        <v>0</v>
      </c>
      <c r="H155" s="375" t="str">
        <f>IF(OR(F155&gt;0,F155="Error")," PTP 820E Radio w/43 dBi Antenna"," ")</f>
        <v xml:space="preserve"> </v>
      </c>
      <c r="I155" s="217" t="str">
        <f t="shared" si="8"/>
        <v xml:space="preserve"> </v>
      </c>
      <c r="J155" s="143"/>
      <c r="K155" s="143"/>
      <c r="L155" s="143"/>
      <c r="M155" s="202"/>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row>
    <row r="156" spans="1:56" s="8" customFormat="1" ht="26" customHeight="1" x14ac:dyDescent="0.2">
      <c r="A156" s="11"/>
      <c r="B156" s="41"/>
      <c r="C156" s="179" t="str">
        <f>IF(NOT(Start_Here_Complete)," ",
IF(NOT(EW),CONCATENATE("EW-E","1","PT820F-WW"),
IF(EW_PTP_820F="Choose",CONCATENATE("EW-E","1","PT820F-WW"),
IF(EW_PTP_820F="Declined",CONCATENATE("EW-E","1","PT820F-WW"),
IF(EW_PTP_820F="N/A",CONCATENATE("EW-E","1","PT820F-WW"),
IF(EW_PTP_820F=" ",CONCATENATE("EW-E","1","PT820F-WW"),
CONCATENATE("EW-E",LEFT(EW_PTP_820F,1),"PT820F-WW")))))))</f>
        <v xml:space="preserve"> </v>
      </c>
      <c r="D156" s="180" t="str">
        <f>IF(NOT(Start_Here_Complete)," ",
VLOOKUP(C156,'All Products PL 2022-03-08'!$A$2:$C$4500,2,FALSE))</f>
        <v xml:space="preserve"> </v>
      </c>
      <c r="E156" s="28">
        <f>IF(NOT(Start_Here_Complete),0,
VLOOKUP(C156,'All Products PL 2022-03-08'!$A$2:$C$4500,3,FALSE))</f>
        <v>0</v>
      </c>
      <c r="F156" s="54">
        <f>IF(NOT(Start_Here_Complete),0,
IF(_Dev="Ent",0,
IF(NOT(EW),0,
IF(EW_PTP_820F="Declined",0,
IF(EW_PTP_820F="Choose","Error",
IF(OR(EW_PTP_820F=" ",EW_PTP_820F="N/A"),0,
Qty_PTP_820F))))))</f>
        <v>0</v>
      </c>
      <c r="G156" s="80">
        <f t="shared" si="13"/>
        <v>0</v>
      </c>
      <c r="H156" s="375" t="str">
        <f>IF(OR(F156&gt;0,F156="Error")," PTP 820F"," ")</f>
        <v xml:space="preserve"> </v>
      </c>
      <c r="I156" s="217" t="str">
        <f t="shared" si="8"/>
        <v xml:space="preserve"> </v>
      </c>
      <c r="J156" s="143"/>
      <c r="K156" s="143"/>
      <c r="L156" s="143"/>
      <c r="M156" s="202"/>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row>
    <row r="157" spans="1:56" s="8" customFormat="1" ht="26" customHeight="1" x14ac:dyDescent="0.2">
      <c r="A157" s="11"/>
      <c r="B157" s="41"/>
      <c r="C157" s="179" t="str">
        <f>IF(NOT(Start_Here_Complete)," ",
IF(NOT(EW),CONCATENATE("EW-E","1","PT82M1-WW"),
IF(EW_PTP_820G_IDU_Single="Choose",CONCATENATE("EW-E","1","PT82M1-WW"),
IF(EW_PTP_820G_IDU_Single="Declined",CONCATENATE("EW-E","1","PT82M1-WW"),
IF(EW_PTP_820G_IDU_Single="N/A",CONCATENATE("EW-E","1","PT82M1-WW"),
IF(EW_PTP_820G_IDU_Single=" ",CONCATENATE("EW-E","1","PT82M1-WW"),
CONCATENATE("EW-E",LEFT(EW_PTP_820G_IDU_Single,1),"PT82M1-WW")))))))</f>
        <v xml:space="preserve"> </v>
      </c>
      <c r="D157" s="180" t="str">
        <f>IF(NOT(Start_Here_Complete)," ",
VLOOKUP(C157,'All Products PL 2022-03-08'!$A$2:$C$4500,2,FALSE))</f>
        <v xml:space="preserve"> </v>
      </c>
      <c r="E157" s="28">
        <f>IF(NOT(Start_Here_Complete),0,
VLOOKUP(C157,'All Products PL 2022-03-08'!$A$2:$C$4500,3,FALSE))</f>
        <v>0</v>
      </c>
      <c r="F157" s="54">
        <f>IF(NOT(Start_Here_Complete),0,
IF(_Dev="Ent",0,
IF(NOT(EW),0,
IF(EW_PTP_820G_IDU_Single="Declined",0,
IF(EW_PTP_820G_IDU_Single="Choose","Error",
IF(OR(EW_PTP_820G_IDU_Single=" ",EW_PTP_820G_IDU_Single="N/A"),0,
Qty_PTP_820G_IDU_Single))))))</f>
        <v>0</v>
      </c>
      <c r="G157" s="80">
        <f t="shared" si="13"/>
        <v>0</v>
      </c>
      <c r="H157" s="375" t="str">
        <f>IF(OR(F157&gt;0,F157="Error")," PTP 820G IDU (Single Modem)"," ")</f>
        <v xml:space="preserve"> </v>
      </c>
      <c r="I157" s="217" t="str">
        <f t="shared" si="8"/>
        <v xml:space="preserve"> </v>
      </c>
      <c r="J157" s="143"/>
      <c r="K157" s="143"/>
      <c r="L157" s="143"/>
      <c r="M157" s="202"/>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row>
    <row r="158" spans="1:56" s="8" customFormat="1" ht="26" customHeight="1" x14ac:dyDescent="0.2">
      <c r="A158" s="11"/>
      <c r="B158" s="41"/>
      <c r="C158" s="179" t="str">
        <f>IF(NOT(Start_Here_Complete)," ",
IF(NOT(EW),CONCATENATE("EW-E","1","PT82M2-WW"),
IF(EW_PTP_820G_IDU_Double="Choose",CONCATENATE("EW-E","1","PT82M2-WW"),
IF(EW_PTP_820G_IDU_Double="Declined",CONCATENATE("EW-E","1","PT82M2-WW"),
IF(EW_PTP_820G_IDU_Double="N/A",CONCATENATE("EW-E","1","PT82M2-WW"),
IF(EW_PTP_820G_IDU_Double=" ",CONCATENATE("EW-E","1","PT82M2-WW"),
CONCATENATE("EW-E",LEFT(EW_PTP_820G_IDU_Double,1),"PT82M2-WW")))))))</f>
        <v xml:space="preserve"> </v>
      </c>
      <c r="D158" s="180" t="str">
        <f>IF(NOT(Start_Here_Complete)," ",
VLOOKUP(C158,'All Products PL 2022-03-08'!$A$2:$C$4500,2,FALSE))</f>
        <v xml:space="preserve"> </v>
      </c>
      <c r="E158" s="28">
        <f>IF(NOT(Start_Here_Complete),0,
VLOOKUP(C158,'All Products PL 2022-03-08'!$A$2:$C$4500,3,FALSE))</f>
        <v>0</v>
      </c>
      <c r="F158" s="54">
        <f>IF(NOT(Start_Here_Complete),0,
IF(_Dev="Ent",0,
IF(NOT(EW),0,
IF(EW_PTP_820G_IDU_Double="Declined",0,
IF(EW_PTP_820G_IDU_Double="Choose","Error",
IF(OR(EW_PTP_820G_IDU_Double=" ",EW_PTP_820G_IDU_Double="N/A"),0,
Qty_PTP_820G_IDU_Double))))))</f>
        <v>0</v>
      </c>
      <c r="G158" s="80">
        <f t="shared" si="13"/>
        <v>0</v>
      </c>
      <c r="H158" s="375" t="str">
        <f>IF(OR(F158&gt;0,F158="Error")," PTP 820G IDU (Double Modem)"," ")</f>
        <v xml:space="preserve"> </v>
      </c>
      <c r="I158" s="217" t="str">
        <f t="shared" si="8"/>
        <v xml:space="preserve"> </v>
      </c>
      <c r="J158" s="143"/>
      <c r="K158" s="143"/>
      <c r="L158" s="143"/>
      <c r="M158" s="202"/>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row>
    <row r="159" spans="1:56" s="8" customFormat="1" ht="26" customHeight="1" x14ac:dyDescent="0.2">
      <c r="A159" s="11"/>
      <c r="B159" s="41"/>
      <c r="C159" s="179" t="str">
        <f>IF(NOT(Start_Here_Complete)," ",
IF(NOT(EW),CONCATENATE("EW-E","1","PT82RA-WW"),
IF(EW_PTP_820G_RFU_A="Choose",CONCATENATE("EW-E","1","PT82RA-WW"),
IF(EW_PTP_820G_RFU_A="Declined",CONCATENATE("EW-E","1","PT82RA-WW"),
IF(EW_PTP_820G_RFU_A="N/A",CONCATENATE("EW-E","1","PT82RA-WW"),
IF(EW_PTP_820G_RFU_A=" ",CONCATENATE("EW-E","1","PT82RA-WW"),
CONCATENATE("EW-E",LEFT(EW_PTP_820G_RFU_A,1),"PT82RA-WW")))))))</f>
        <v xml:space="preserve"> </v>
      </c>
      <c r="D159" s="180" t="str">
        <f>IF(NOT(Start_Here_Complete)," ",
VLOOKUP(C159,'All Products PL 2022-03-08'!$A$2:$C$4500,2,FALSE))</f>
        <v xml:space="preserve"> </v>
      </c>
      <c r="E159" s="28">
        <f>IF(NOT(Start_Here_Complete),0,
VLOOKUP(C159,'All Products PL 2022-03-08'!$A$2:$C$4500,3,FALSE))</f>
        <v>0</v>
      </c>
      <c r="F159" s="54">
        <f>IF(NOT(Start_Here_Complete),0,
IF(_Dev="Ent",0,
IF(NOT(EW),0,
IF(EW_PTP_820G_RFU_A="Declined",0,
IF(EW_PTP_820G_RFU_A="Choose","Error",
IF(OR(EW_PTP_820G_RFU_A=" ",EW_PTP_820G_RFU_A="N/A"),0,
Qty_PTP_820G_RFU_A))))))</f>
        <v>0</v>
      </c>
      <c r="G159" s="80">
        <f t="shared" si="13"/>
        <v>0</v>
      </c>
      <c r="H159" s="375" t="str">
        <f>IF(OR(F159&gt;0,F159="Error")," PTP 820G RFU-A"," ")</f>
        <v xml:space="preserve"> </v>
      </c>
      <c r="I159" s="217" t="str">
        <f t="shared" si="8"/>
        <v xml:space="preserve"> </v>
      </c>
      <c r="J159" s="143"/>
      <c r="K159" s="143"/>
      <c r="L159" s="143"/>
      <c r="M159" s="202"/>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row>
    <row r="160" spans="1:56" s="8" customFormat="1" ht="26" customHeight="1" x14ac:dyDescent="0.2">
      <c r="A160" s="11"/>
      <c r="B160" s="41"/>
      <c r="C160" s="179" t="str">
        <f>IF(NOT(Start_Here_Complete)," ",
IF(NOT(EW),CONCATENATE("EW-E","1","PT82RC-WW"),
IF(EW_PTP_820G_RFU_C="Choose",CONCATENATE("EW-E","1","PT82RC-WW"),
IF(EW_PTP_820G_RFU_C="Declined",CONCATENATE("EW-E","1","PT82RC-WW"),
IF(EW_PTP_820G_RFU_C="N/A",CONCATENATE("EW-E","1","PT82RC-WW"),
IF(EW_PTP_820G_RFU_C=" ",CONCATENATE("EW-E","1","PT82RC-WW"),
CONCATENATE("EW-E",LEFT(EW_PTP_820G_RFU_C,1),"PT82RC-WW")))))))</f>
        <v xml:space="preserve"> </v>
      </c>
      <c r="D160" s="180" t="str">
        <f>IF(NOT(Start_Here_Complete)," ",
VLOOKUP(C160,'All Products PL 2022-03-08'!$A$2:$C$4500,2,FALSE))</f>
        <v xml:space="preserve"> </v>
      </c>
      <c r="E160" s="28">
        <f>IF(NOT(Start_Here_Complete),0,
VLOOKUP(C160,'All Products PL 2022-03-08'!$A$2:$C$4500,3,FALSE))</f>
        <v>0</v>
      </c>
      <c r="F160" s="54">
        <f>IF(NOT(Start_Here_Complete),0,
IF(_Dev="Ent",0,
IF(NOT(EW),0,
IF(EW_PTP_820G_RFU_C="Declined",0,
IF(EW_PTP_820G_RFU_C="Choose","Error",
IF(OR(EW_PTP_820G_RFU_C=" ",EW_PTP_820G_RFU_C="N/A"),0,
Qty_PTP_820G_RFU_C))))))</f>
        <v>0</v>
      </c>
      <c r="G160" s="80">
        <f t="shared" si="13"/>
        <v>0</v>
      </c>
      <c r="H160" s="375" t="str">
        <f>IF(OR(F160&gt;0,F160="Error")," PTP 820G RFU-C"," ")</f>
        <v xml:space="preserve"> </v>
      </c>
      <c r="I160" s="217" t="str">
        <f t="shared" si="8"/>
        <v xml:space="preserve"> </v>
      </c>
      <c r="J160" s="143"/>
      <c r="K160" s="143"/>
      <c r="L160" s="143"/>
      <c r="M160" s="202"/>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row>
    <row r="161" spans="1:56" s="8" customFormat="1" ht="26" customHeight="1" x14ac:dyDescent="0.2">
      <c r="A161" s="11"/>
      <c r="B161" s="41"/>
      <c r="C161" s="179" t="str">
        <f>IF(NOT(Start_Here_Complete)," ",
IF(NOT(EW),CONCATENATE("EW-E","1","PT820S-WW"),
IF(EW_PTP_820S="Choose",CONCATENATE("EW-E","1","PT820S-WW"),
IF(EW_PTP_820S="Declined",CONCATENATE("EW-E","1","PT820S-WW"),
IF(EW_PTP_820S="N/A",CONCATENATE("EW-E","1","PT820S-WW"),
IF(EW_PTP_820S=" ",CONCATENATE("EW-E","1","PT820S-WW"),
CONCATENATE("EW-E",LEFT(EW_PTP_820S,1),"PT820S-WW")))))))</f>
        <v xml:space="preserve"> </v>
      </c>
      <c r="D161" s="180" t="str">
        <f>IF(NOT(Start_Here_Complete)," ",
VLOOKUP(C161,'All Products PL 2022-03-08'!$A$2:$C$4500,2,FALSE))</f>
        <v xml:space="preserve"> </v>
      </c>
      <c r="E161" s="28">
        <f>IF(NOT(Start_Here_Complete),0,
VLOOKUP(C161,'All Products PL 2022-03-08'!$A$2:$C$4500,3,FALSE))</f>
        <v>0</v>
      </c>
      <c r="F161" s="54">
        <f>IF(NOT(Start_Here_Complete),0,
IF(_Dev="Ent",0,
IF(NOT(EW),0,
IF(EW_PTP_820S="Declined",0,
IF(EW_PTP_820S="Choose","Error",
IF(OR(EW_PTP_820S=" ",EW_PTP_820S="N/A"),0,
Qty_PTP_820S))))))</f>
        <v>0</v>
      </c>
      <c r="G161" s="80">
        <f t="shared" si="13"/>
        <v>0</v>
      </c>
      <c r="H161" s="375" t="str">
        <f>IF(OR(F161&gt;0,F161="Error")," PTP 820S"," ")</f>
        <v xml:space="preserve"> </v>
      </c>
      <c r="I161" s="217" t="str">
        <f t="shared" si="8"/>
        <v xml:space="preserve"> </v>
      </c>
      <c r="J161" s="143"/>
      <c r="K161" s="143"/>
      <c r="L161" s="143"/>
      <c r="M161" s="202"/>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row>
    <row r="162" spans="1:56" s="8" customFormat="1" ht="26" customHeight="1" x14ac:dyDescent="0.2">
      <c r="A162" s="11"/>
      <c r="B162" s="41"/>
      <c r="C162" s="179" t="str">
        <f>IF(NOT(Start_Here_Complete)," ",
IF(NOT(EW),CONCATENATE("EW-E","1","PT850E-WW"),
IF(EW_PTP_850E="Choose",CONCATENATE("EW-E","1","PT850E-WW"),
IF(EW_PTP_850E="Declined",CONCATENATE("EW-E","1","PT850E-WW"),
IF(EW_PTP_850E="N/A",CONCATENATE("EW-E","1","PT850E-WW"),
IF(EW_PTP_850E=" ",CONCATENATE("EW-E","1","PT850E-WW"),
CONCATENATE("EW-E",LEFT(EW_PTP_850E,1),"PT850E-WW")))))))</f>
        <v xml:space="preserve"> </v>
      </c>
      <c r="D162" s="180" t="str">
        <f>IF(NOT(Start_Here_Complete)," ",
VLOOKUP(C162,'All Products PL 2022-03-08'!$A$2:$C$4500,2,FALSE))</f>
        <v xml:space="preserve"> </v>
      </c>
      <c r="E162" s="28">
        <f>IF(NOT(Start_Here_Complete),0,
VLOOKUP(C162,'All Products PL 2022-03-08'!$A$2:$C$4500,3,FALSE))</f>
        <v>0</v>
      </c>
      <c r="F162" s="54">
        <f>IF(NOT(Start_Here_Complete),0,
IF(_Dev="Ent",0,
IF(NOT(EW),0,
IF(EW_PTP_850E="Declined",0,
IF(EW_PTP_850E="Choose","Error",
IF(OR(EW_PTP_850E=" ",EW_PTP_850E="N/A"),0,
Qty_PTP_850E))))))</f>
        <v>0</v>
      </c>
      <c r="G162" s="80">
        <f t="shared" si="13"/>
        <v>0</v>
      </c>
      <c r="H162" s="375" t="str">
        <f>IF(OR(F162&gt;0,F162="Error")," PTP 850E"," ")</f>
        <v xml:space="preserve"> </v>
      </c>
      <c r="I162" s="217" t="str">
        <f t="shared" si="8"/>
        <v xml:space="preserve"> </v>
      </c>
      <c r="J162" s="143"/>
      <c r="K162" s="143"/>
      <c r="L162" s="143"/>
      <c r="M162" s="202"/>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row>
    <row r="163" spans="1:56" s="8" customFormat="1" ht="26" customHeight="1" x14ac:dyDescent="0.2">
      <c r="A163" s="11"/>
      <c r="B163" s="41"/>
      <c r="C163" s="179" t="str">
        <f>IF(NOT(Start_Here_Complete)," ",
IF(NOT(EW),CONCATENATE("EW-E","1","NBN51-WW"),
IF(EW_cnReach_N5000_Single="Choose",CONCATENATE("EW-E","1","NBN51-WW"),
IF(EW_cnReach_N5000_Single="Declined",CONCATENATE("EW-E","1","NBN51-WW"),
IF(EW_cnReach_N5000_Single="N/A",CONCATENATE("EW-E","1","NBN51-WW"),
IF(EW_cnReach_N5000_Single=" ",CONCATENATE("EW-E","1","NBN51-WW"),
CONCATENATE("EW-E",LEFT(EW_cnReach_N5000_Single,1),"NBN51-WW")))))))</f>
        <v xml:space="preserve"> </v>
      </c>
      <c r="D163" s="180" t="str">
        <f>IF(NOT(Start_Here_Complete)," ",
VLOOKUP(C163,'All Products PL 2022-03-08'!$A$2:$C$4500,2,FALSE))</f>
        <v xml:space="preserve"> </v>
      </c>
      <c r="E163" s="28">
        <f>IF(NOT(Start_Here_Complete),0,
VLOOKUP(C163,'All Products PL 2022-03-08'!$A$2:$C$4500,3,FALSE))</f>
        <v>0</v>
      </c>
      <c r="F163" s="54">
        <f>IF(NOT(Start_Here_Complete),0,
IF(_Dev="Ent",0,
IF(NOT(EW),0,
IF(EW_cnReach_N5000_Single="Choose","Error",
IF(OR(EW_cnReach_N5000_Single=" ",EW_cnReach_N5000_Single="N/A"),0,
Qty_cnReach_N5000_Single)))))</f>
        <v>0</v>
      </c>
      <c r="G163" s="80">
        <f t="shared" si="13"/>
        <v>0</v>
      </c>
      <c r="H163" s="375" t="str">
        <f>IF(OR(F163&gt;0,F163="Error")," cnReach N500 Single Radio"," ")</f>
        <v xml:space="preserve"> </v>
      </c>
      <c r="I163" s="217" t="str">
        <f t="shared" si="8"/>
        <v xml:space="preserve"> </v>
      </c>
      <c r="J163" s="143"/>
      <c r="K163" s="143"/>
      <c r="L163" s="143"/>
      <c r="M163" s="202"/>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row>
    <row r="164" spans="1:56" s="8" customFormat="1" ht="26" customHeight="1" x14ac:dyDescent="0.2">
      <c r="A164" s="11"/>
      <c r="B164" s="41"/>
      <c r="C164" s="179" t="str">
        <f>IF(NOT(Start_Here_Complete)," ",
IF(NOT(EW),CONCATENATE("EW-E","1","NBN52-WW"),
IF(EW_cnReach_N5000_Double="Choose",CONCATENATE("EW-E","1","NBN52-WW"),
IF(EW_cnReach_N5000_Double="Declined",CONCATENATE("EW-E","1","NBN52-WW"),
IF(EW_cnReach_N5000_Double="N/A",CONCATENATE("EW-E","1","NBN52-WW"),
IF(EW_cnReach_N5000_Double=" ",CONCATENATE("EW-E","1","NBN52-WW"),
CONCATENATE("EW-E",LEFT(EW_cnReach_N5000_Double,1),"NBN52-WW")))))))</f>
        <v xml:space="preserve"> </v>
      </c>
      <c r="D164" s="180" t="str">
        <f>IF(NOT(Start_Here_Complete)," ",
VLOOKUP(C164,'All Products PL 2022-03-08'!$A$2:$C$4500,2,FALSE))</f>
        <v xml:space="preserve"> </v>
      </c>
      <c r="E164" s="28">
        <f>IF(NOT(Start_Here_Complete),0,
VLOOKUP(C164,'All Products PL 2022-03-08'!$A$2:$C$4500,3,FALSE))</f>
        <v>0</v>
      </c>
      <c r="F164" s="54">
        <f>IF(NOT(Start_Here_Complete),0,
IF(_Dev="Ent",0,
IF(NOT(EW),0,
IF(EW_cnReach_N5000_Double="Declined",0,
IF(EW_cnReach_N5000_Double="Choose","Error",
IF(OR(EW_cnReach_N5000_Double=" ",EW_cnReach_N5000_Double="N/A"),0,
Qty_cnReach_N5000_Double))))))</f>
        <v>0</v>
      </c>
      <c r="G164" s="80">
        <f t="shared" si="13"/>
        <v>0</v>
      </c>
      <c r="H164" s="375" t="str">
        <f>IF(OR(F164&gt;0,F164="Error")," cnReach N500 Dual Radio"," ")</f>
        <v xml:space="preserve"> </v>
      </c>
      <c r="I164" s="217" t="str">
        <f t="shared" si="8"/>
        <v xml:space="preserve"> </v>
      </c>
      <c r="J164" s="143"/>
      <c r="K164" s="143"/>
      <c r="L164" s="143"/>
      <c r="M164" s="202"/>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row>
    <row r="165" spans="1:56" s="8" customFormat="1" ht="26" customHeight="1" x14ac:dyDescent="0.2">
      <c r="A165" s="11"/>
      <c r="B165" s="41"/>
      <c r="C165" s="179" t="str">
        <f>IF(NOT(Start_Here_Complete)," ",
IF(NOT(EW),CONCATENATE("EW-E","1","EP10SM-WW"),
IF(EW_ePMP_1000_Connect="Choose",CONCATENATE("EW-E","1","EP10SM-WW"),
IF(EW_ePMP_1000_Connect="Declined",CONCATENATE("EW-E","1","EP10SM-WW"),
IF(EW_ePMP_1000_Connect="N/A",CONCATENATE("EW-E","1","EP10SM-WW"),
IF(EW_ePMP_1000_Connect=" ",CONCATENATE("EW-E","1","EP10SM-WW"),
CONCATENATE("EW-E",LEFT(EW_ePMP_1000_Connect,1),"EP10SM-WW")))))))</f>
        <v xml:space="preserve"> </v>
      </c>
      <c r="D165" s="180" t="str">
        <f>IF(NOT(Start_Here_Complete)," ",
VLOOKUP(C165,'ePMP PL 2022-03-25'!$A$4:$H$500,2,FALSE))</f>
        <v xml:space="preserve"> </v>
      </c>
      <c r="E165" s="28">
        <f>IF(NOT(Start_Here_Complete),0,
VLOOKUP(C165,'ePMP PL 2022-03-25'!$A$4:$H$500,8,FALSE))</f>
        <v>0</v>
      </c>
      <c r="F165" s="54">
        <f>IF(NOT(Start_Here_Complete),0,
IF(_Dev="Ent",0,
IF(NOT(EW),0,
IF(EW_ePMP_1000_Connect="Declined",0,
IF(EW_ePMP_1000_Connect="Choose","Error",
IF(OR(EW_ePMP_1000_Connect=" ",EW_ePMP_1000_Connect="N/A"),0,
Qty_ePMP_1000_Connect))))))</f>
        <v>0</v>
      </c>
      <c r="G165" s="80">
        <f t="shared" ref="G165:G174" si="14">IF(NOT(Start_Here_Complete),0,
IF(F165="Error",0,
E165*F165))</f>
        <v>0</v>
      </c>
      <c r="H165" s="378" t="str">
        <f>IF(OR(F165&gt;0,F165="Error")," ePMP 1000 Connectorized"," ")</f>
        <v xml:space="preserve"> </v>
      </c>
      <c r="I165" s="217" t="str">
        <f t="shared" si="8"/>
        <v xml:space="preserve"> </v>
      </c>
      <c r="J165" s="143"/>
      <c r="K165" s="143"/>
      <c r="L165" s="143"/>
      <c r="M165" s="202"/>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row>
    <row r="166" spans="1:56" s="8" customFormat="1" ht="26" customHeight="1" x14ac:dyDescent="0.2">
      <c r="A166" s="11"/>
      <c r="B166" s="41"/>
      <c r="C166" s="179" t="str">
        <f>IF(NOT(Start_Here_Complete)," ",
IF(NOT(EW),CONCATENATE("EW-E","1","EP10SM-WW"),
IF(EW_ePMP_Force_180="Choose",CONCATENATE("EW-E","1","EP10SM-WW"),
IF(EW_ePMP_Force_180="Declined",CONCATENATE("EW-E","1","EP10SM-WW"),
IF(EW_ePMP_Force_180="N/A",CONCATENATE("EW-E","1","EP10SM-WW"),
IF(EW_ePMP_Force_180=" ",CONCATENATE("EW-E","1","EP10SM-WW"),
CONCATENATE("EW-E",LEFT(EW_ePMP_Force_180,1),"EP10SM-WW")))))))</f>
        <v xml:space="preserve"> </v>
      </c>
      <c r="D166" s="180" t="str">
        <f>IF(NOT(Start_Here_Complete)," ",
VLOOKUP(C166,'ePMP PL 2022-03-25'!$A$4:$H$500,2,FALSE))</f>
        <v xml:space="preserve"> </v>
      </c>
      <c r="E166" s="28">
        <f>IF(NOT(Start_Here_Complete),0,
VLOOKUP(C166,'ePMP PL 2022-03-25'!$A$4:$H$500,8,FALSE))</f>
        <v>0</v>
      </c>
      <c r="F166" s="54">
        <f>IF(NOT(Start_Here_Complete),0,
IF(_Dev="Ent",0,
IF(NOT(EW),0,
IF(EW_ePMP_Force_180="Declined",0,
IF(EW_ePMP_Force_180="Choose","Error",
IF(OR(EW_ePMP_Force_180=" ",EW_ePMP_Force_180="N/A"),0,
Qty_ePMP_Force_180))))))</f>
        <v>0</v>
      </c>
      <c r="G166" s="80">
        <f t="shared" si="14"/>
        <v>0</v>
      </c>
      <c r="H166" s="375" t="str">
        <f>IF(OR(F166&gt;0,F166="Error")," ePMP Force 180"," ")</f>
        <v xml:space="preserve"> </v>
      </c>
      <c r="I166" s="217" t="str">
        <f t="shared" si="8"/>
        <v xml:space="preserve"> </v>
      </c>
      <c r="J166" s="143"/>
      <c r="K166" s="143"/>
      <c r="L166" s="143"/>
      <c r="M166" s="202"/>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row>
    <row r="167" spans="1:56" s="8" customFormat="1" ht="26" customHeight="1" x14ac:dyDescent="0.2">
      <c r="A167" s="11"/>
      <c r="B167" s="41"/>
      <c r="C167" s="179" t="str">
        <f>IF(NOT(Start_Here_Complete)," ",
IF(NOT(EW),CONCATENATE("EW-E","1","EP10SM-WW"),
IF(EW_ePMP_Force_190="Choose",CONCATENATE("EW-E","1","EP10SM-WW"),
IF(EW_ePMP_Force_190="Declined",CONCATENATE("EW-E","1","EP10SM-WW"),
IF(EW_ePMP_Force_190="N/A",CONCATENATE("EW-E","1","EP10SM-WW"),
IF(EW_ePMP_Force_190=" ",CONCATENATE("EW-E","1","EP10SM-WW"),
CONCATENATE("EW-E",LEFT(EW_ePMP_Force_190,1),"EP10SM-WW")))))))</f>
        <v xml:space="preserve"> </v>
      </c>
      <c r="D167" s="180" t="str">
        <f>IF(NOT(Start_Here_Complete)," ",
VLOOKUP(C167,'ePMP PL 2022-03-25'!$A$4:$H$500,2,FALSE))</f>
        <v xml:space="preserve"> </v>
      </c>
      <c r="E167" s="28">
        <f>IF(NOT(Start_Here_Complete),0,
VLOOKUP(C167,'ePMP PL 2022-03-25'!$A$4:$H$500,8,FALSE))</f>
        <v>0</v>
      </c>
      <c r="F167" s="54">
        <f>IF(NOT(Start_Here_Complete),0,
IF(_Dev="Ent",0,
IF(NOT(EW),0,
IF(EW_ePMP_Force_190="Declined",0,
IF(EW_ePMP_Force_190="Choose","Error",
IF(OR(EW_ePMP_Force_190=" ",EW_ePMP_Force_190="N/A"),0,
Qty_ePMP_Force_190))))))</f>
        <v>0</v>
      </c>
      <c r="G167" s="80">
        <f t="shared" si="14"/>
        <v>0</v>
      </c>
      <c r="H167" s="375" t="str">
        <f>IF(OR(F167&gt;0,F167="Error")," ePMP Force 190"," ")</f>
        <v xml:space="preserve"> </v>
      </c>
      <c r="I167" s="217" t="str">
        <f t="shared" si="8"/>
        <v xml:space="preserve"> </v>
      </c>
      <c r="J167" s="143"/>
      <c r="K167" s="143"/>
      <c r="L167" s="143"/>
      <c r="M167" s="202"/>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row>
    <row r="168" spans="1:56" s="8" customFormat="1" ht="26" customHeight="1" x14ac:dyDescent="0.2">
      <c r="A168" s="11"/>
      <c r="B168" s="41"/>
      <c r="C168" s="179" t="str">
        <f>IF(NOT(Start_Here_Complete)," ",
IF(NOT(EW),CONCATENATE("EW-E","1","EPF200-WW"),
IF(EW_ePMP_Force_200="Choose",CONCATENATE("EW-E","1","EPF200-WW"),
IF(EW_ePMP_Force_200="Declined",CONCATENATE("EW-E","1","EPF200-WW"),
IF(EW_ePMP_Force_200="N/A",CONCATENATE("EW-E","1","EPF200-WW"),
IF(EW_ePMP_Force_200=" ",CONCATENATE("EW-E","1","EPF200-WW"),
CONCATENATE("EW-E",LEFT(EW_ePMP_Force_200,1),"EPF200-WW")))))))</f>
        <v xml:space="preserve"> </v>
      </c>
      <c r="D168" s="180" t="str">
        <f>IF(NOT(Start_Here_Complete)," ",
VLOOKUP(C168,'ePMP PL 2022-03-25'!$A$4:$H$500,2,FALSE))</f>
        <v xml:space="preserve"> </v>
      </c>
      <c r="E168" s="28">
        <f>IF(NOT(Start_Here_Complete),0,
VLOOKUP(C168,'ePMP PL 2022-03-25'!$A$4:$H$500,8,FALSE))</f>
        <v>0</v>
      </c>
      <c r="F168" s="54">
        <f>IF(NOT(Start_Here_Complete),0,
IF(_Dev="Ent",0,
IF(NOT(EW),0,
IF(EW_ePMP_Force_200="Declined",0,
IF(EW_ePMP_Force_200="Choose","Error",
IF(OR(EW_ePMP_Force_200=" ",EW_ePMP_Force_200="N/A"),0,
Qty_ePMP_Force_200))))))</f>
        <v>0</v>
      </c>
      <c r="G168" s="80">
        <f t="shared" si="14"/>
        <v>0</v>
      </c>
      <c r="H168" s="375" t="str">
        <f>IF(OR(F168&gt;0,F168="Error")," ePMP Force 200"," ")</f>
        <v xml:space="preserve"> </v>
      </c>
      <c r="I168" s="217" t="str">
        <f t="shared" si="8"/>
        <v xml:space="preserve"> </v>
      </c>
      <c r="J168" s="143"/>
      <c r="K168" s="143"/>
      <c r="L168" s="143"/>
      <c r="M168" s="202"/>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row>
    <row r="169" spans="1:56" s="8" customFormat="1" ht="26" customHeight="1" x14ac:dyDescent="0.2">
      <c r="A169" s="11"/>
      <c r="B169" s="41"/>
      <c r="C169" s="179" t="str">
        <f>IF(NOT(Start_Here_Complete)," ",
IF(NOT(EW),CONCATENATE("EW-E","1","EPF300-WW"),
IF(EW_ePMP_Force_300="Choose",CONCATENATE("EW-E","1","EPF300-WW"),
IF(EW_ePMP_Force_300="Declined",CONCATENATE("EW-E","1","EPF300-WW"),
IF(EW_ePMP_Force_300="N/A",CONCATENATE("EW-E","1","EPF300-WW"),
IF(EW_ePMP_Force_300=" ",CONCATENATE("EW-E","1","EPF300-WW"),
CONCATENATE("EW-E",LEFT(EW_ePMP_Force_300,1),"EPF300-WW")))))))</f>
        <v xml:space="preserve"> </v>
      </c>
      <c r="D169" s="180" t="str">
        <f>IF(NOT(Start_Here_Complete)," ",
VLOOKUP(C169,'ePMP PL 2022-03-25'!$A$4:$H$500,2,FALSE))</f>
        <v xml:space="preserve"> </v>
      </c>
      <c r="E169" s="28">
        <f>IF(NOT(Start_Here_Complete),0,
VLOOKUP(C169,'ePMP PL 2022-03-25'!$A$4:$H$500,8,FALSE))</f>
        <v>0</v>
      </c>
      <c r="F169" s="54">
        <f>IF(NOT(Start_Here_Complete),0,
IF(_Dev="Ent",0,
IF(NOT(EW),0,
IF(EW_ePMP_Force_300="Declined",0,
IF(EW_ePMP_Force_300="Choose","Error",
IF(OR(EW_ePMP_Force_300=" ",EW_ePMP_Force_300="N/A"),0,
Qty_ePMP_Force_300))))))</f>
        <v>0</v>
      </c>
      <c r="G169" s="80">
        <f t="shared" si="14"/>
        <v>0</v>
      </c>
      <c r="H169" s="375" t="str">
        <f>IF(OR(F169&gt;0,F169="Error")," ePMP Force 300"," ")</f>
        <v xml:space="preserve"> </v>
      </c>
      <c r="I169" s="217" t="str">
        <f t="shared" si="8"/>
        <v xml:space="preserve"> </v>
      </c>
      <c r="J169" s="143"/>
      <c r="K169" s="143"/>
      <c r="L169" s="143"/>
      <c r="M169" s="202"/>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row>
    <row r="170" spans="1:56" s="8" customFormat="1" ht="26" customHeight="1" x14ac:dyDescent="0.2">
      <c r="A170" s="11"/>
      <c r="B170" s="41"/>
      <c r="C170" s="179" t="str">
        <f>IF(NOT(Start_Here_Complete)," ",
IF(NOT(EW),CONCATENATE("EW-E","1","EPF400-WW"),
IF(EW_ePMP_Force_400C="Choose",CONCATENATE("EW-E","1","EPF400-WW"),
IF(EW_ePMP_Force_400C="Declined",CONCATENATE("EW-E","1","EPF400-WW"),
IF(EW_ePMP_Force_400C="N/A",CONCATENATE("EW-E","1","EPF400-WW"),
IF(EW_ePMP_Force_400C=" ",CONCATENATE("EW-E","1","EPF400-WW"),
CONCATENATE("EW-E",LEFT(EW_ePMP_Force_400C,1),"EPF400-WW")))))))</f>
        <v xml:space="preserve"> </v>
      </c>
      <c r="D170" s="180" t="str">
        <f>IF(NOT(Start_Here_Complete)," ",
VLOOKUP(C170,'ePMP PL 2022-03-25'!$A$4:$H$500,2,FALSE))</f>
        <v xml:space="preserve"> </v>
      </c>
      <c r="E170" s="28">
        <f>IF(NOT(Start_Here_Complete),0,
VLOOKUP(C170,'ePMP PL 2022-03-25'!$A$4:$H$500,8,FALSE))</f>
        <v>0</v>
      </c>
      <c r="F170" s="54">
        <f>IF(NOT(Start_Here_Complete),0,
IF(_Dev="Ent",0,
IF(NOT(EW),0,
IF(EW_ePMP_Force_400C="Declined",0,
IF(EW_ePMP_Force_400C="Choose","Error",
IF(OR(EW_ePMP_Force_400C=" ",EW_ePMP_Force_400C="N/A"),0,
Qty_ePMP_Force_400C))))))</f>
        <v>0</v>
      </c>
      <c r="G170" s="80">
        <f t="shared" si="14"/>
        <v>0</v>
      </c>
      <c r="H170" s="375" t="str">
        <f>IF(OR(F170&gt;0,F170="Error")," ePMP Force 400C"," ")</f>
        <v xml:space="preserve"> </v>
      </c>
      <c r="I170" s="217" t="str">
        <f t="shared" si="8"/>
        <v xml:space="preserve"> </v>
      </c>
      <c r="J170" s="143"/>
      <c r="K170" s="143"/>
      <c r="L170" s="143"/>
      <c r="M170" s="202"/>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row>
    <row r="171" spans="1:56" s="8" customFormat="1" ht="26" customHeight="1" x14ac:dyDescent="0.2">
      <c r="A171" s="11"/>
      <c r="B171" s="41"/>
      <c r="C171" s="179" t="str">
        <f>IF(NOT(Start_Here_Complete)," ",
IF(NOT(EW),CONCATENATE("EW-E","1","EPF425-WW"),
IF(EW_ePMP_Force_425="Choose",CONCATENATE("EW-E","1","EPF425-WW"),
IF(EW_ePMP_Force_425="Declined",CONCATENATE("EW-E","1","EPF425-WW"),
IF(EW_ePMP_Force_425="N/A",CONCATENATE("EW-E","1","EPF425-WW"),
IF(EW_ePMP_Force_425=" ",CONCATENATE("EW-E","1","EPF425-WW"),
CONCATENATE("EW-E",LEFT(EW_ePMP_Force_425,1),"EPF425-WW")))))))</f>
        <v xml:space="preserve"> </v>
      </c>
      <c r="D171" s="180" t="str">
        <f>IF(NOT(Start_Here_Complete)," ",
VLOOKUP(C171,'ePMP PL 2022-03-25'!$A$4:$H$500,2,FALSE))</f>
        <v xml:space="preserve"> </v>
      </c>
      <c r="E171" s="28">
        <f>IF(NOT(Start_Here_Complete),0,
VLOOKUP(C171,'ePMP PL 2022-03-25'!$A$4:$H$500,8,FALSE))</f>
        <v>0</v>
      </c>
      <c r="F171" s="54">
        <f>IF(NOT(Start_Here_Complete),0,
IF(_Dev="Ent",0,
IF(NOT(EW),0,
IF(EW_ePMP_Force_425="Declined",0,
IF(EW_ePMP_Force_425="Choose","Error",
IF(OR(EW_ePMP_Force_425=" ",EW_ePMP_Force_425="N/A"),0,
Qty_ePMP_Force_425))))))</f>
        <v>0</v>
      </c>
      <c r="G171" s="80">
        <f t="shared" si="14"/>
        <v>0</v>
      </c>
      <c r="H171" s="375" t="str">
        <f>IF(OR(F171&gt;0,F171="Error")," ePMP Force 425"," ")</f>
        <v xml:space="preserve"> </v>
      </c>
      <c r="I171" s="217" t="str">
        <f t="shared" si="8"/>
        <v xml:space="preserve"> </v>
      </c>
      <c r="J171" s="143"/>
      <c r="K171" s="143"/>
      <c r="L171" s="143"/>
      <c r="M171" s="202"/>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row>
    <row r="172" spans="1:56" s="8" customFormat="1" ht="26" customHeight="1" x14ac:dyDescent="0.2">
      <c r="A172" s="11"/>
      <c r="B172" s="41"/>
      <c r="C172" s="179" t="str">
        <f>IF(NOT(Start_Here_Complete)," ",
IF(NOT(EW),CONCATENATE("EW-E","1","EP10AP-WW"),
IF(EW_ePMP_1000_Connect="Choose",CONCATENATE("EW-E","1","EP10AP-WW"),
IF(EW_ePMP_1000_Connect="Declined",CONCATENATE("EW-E","1","EP10AP-WW"),
IF(EW_ePMP_1000_Connect="N/A",CONCATENATE("EW-E","1","EP10AP-WW"),
IF(EW_ePMP_1000_Connect=" ",CONCATENATE("EW-E","1","EP10AP-WW"),
CONCATENATE("EW-E",LEFT(EW_ePMP_1000_Connect,1),"EP10AP-WW")))))))</f>
        <v xml:space="preserve"> </v>
      </c>
      <c r="D172" s="180" t="str">
        <f>IF(NOT(Start_Here_Complete)," ",
VLOOKUP(C172,'ePMP PL 2022-03-25'!$A$4:$H$500,2,FALSE))</f>
        <v xml:space="preserve"> </v>
      </c>
      <c r="E172" s="28">
        <f>IF(NOT(Start_Here_Complete),0,
VLOOKUP(C172,'ePMP PL 2022-03-25'!$A$4:$H$500,8,FALSE))</f>
        <v>0</v>
      </c>
      <c r="F172" s="54">
        <f>IF(NOT(Start_Here_Complete),0,
IF(_Dev="Ent",0,
IF(NOT(EW),0,
IF(EW_ePMP_1000_Connect_Sync="Declined",0,
IF(EW_ePMP_1000_Connect_Sync="Choose","Error",
IF(OR(EW_ePMP_1000_Connect_Sync=" ",EW_ePMP_1000_Connect_Sync="N/A"),0,
Qty_ePMP_1000_Connect_Sync))))))</f>
        <v>0</v>
      </c>
      <c r="G172" s="80">
        <f t="shared" si="14"/>
        <v>0</v>
      </c>
      <c r="H172" s="379" t="str">
        <f>IF(OR(F172&gt;0,F172="Error")," ePMP 1000 Connectorized w/Sync"," ")</f>
        <v xml:space="preserve"> </v>
      </c>
      <c r="I172" s="217" t="str">
        <f t="shared" si="8"/>
        <v xml:space="preserve"> </v>
      </c>
      <c r="J172" s="143"/>
      <c r="K172" s="143"/>
      <c r="L172" s="143"/>
      <c r="M172" s="202"/>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row>
    <row r="173" spans="1:56" s="8" customFormat="1" ht="26" customHeight="1" x14ac:dyDescent="0.2">
      <c r="A173" s="11"/>
      <c r="B173" s="41"/>
      <c r="C173" s="179" t="str">
        <f>IF(NOT(Start_Here_Complete)," ",
IF(NOT(EW),CONCATENATE("EW-E","1","EP20AP-WW"),
IF(EW_ePMP_2000="Choose",CONCATENATE("EW-E","1","EP20AP-WW"),
IF(EW_ePMP_2000="Declined",CONCATENATE("EW-E","1","EP20AP-WW"),
IF(EW_ePMP_2000="N/A",CONCATENATE("EW-E","1","EP20AP-WW"),
IF(EW_ePMP_2000=" ",CONCATENATE("EW-E","1","EP20AP-WW"),
CONCATENATE("EW-E",LEFT(EW_ePMP_2000,1),"EP20AP-WW")))))))</f>
        <v xml:space="preserve"> </v>
      </c>
      <c r="D173" s="180" t="str">
        <f>IF(NOT(Start_Here_Complete)," ",
VLOOKUP(C173,'ePMP PL 2022-03-25'!$A$4:$H$500,2,FALSE))</f>
        <v xml:space="preserve"> </v>
      </c>
      <c r="E173" s="28">
        <f>IF(NOT(Start_Here_Complete),0,
VLOOKUP(C173,'ePMP PL 2022-03-25'!$A$4:$H$500,8,FALSE))</f>
        <v>0</v>
      </c>
      <c r="F173" s="54">
        <f>IF(NOT(Start_Here_Complete),0,
IF(_Dev="Ent",0,
IF(NOT(EW),0,
IF(EW_ePMP_2000="Declined",0,
IF(EW_ePMP_2000="Choose","Error",
IF(OR(EW_ePMP_2000=" ",EW_ePMP_2000="N/A"),0,
Qty_ePMP_2000))))))</f>
        <v>0</v>
      </c>
      <c r="G173" s="80">
        <f t="shared" si="14"/>
        <v>0</v>
      </c>
      <c r="H173" s="379" t="str">
        <f>IF(OR(F173&gt;0,F173="Error")," ePMP 2000"," ")</f>
        <v xml:space="preserve"> </v>
      </c>
      <c r="I173" s="217" t="str">
        <f t="shared" si="8"/>
        <v xml:space="preserve"> </v>
      </c>
      <c r="J173" s="143"/>
      <c r="K173" s="143"/>
      <c r="L173" s="143"/>
      <c r="M173" s="202"/>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row>
    <row r="174" spans="1:56" s="8" customFormat="1" ht="26" customHeight="1" x14ac:dyDescent="0.2">
      <c r="A174" s="11"/>
      <c r="B174" s="41"/>
      <c r="C174" s="179" t="str">
        <f>IF(NOT(Start_Here_Complete)," ",
IF(NOT(EW),CONCATENATE("EW-E","1","EPF300-WW"),
IF(EW_ePMP_3000L="Choose",CONCATENATE("EW-E","1","EPF300-WW"),
IF(EW_ePMP_3000L="Declined",CONCATENATE("EW-E","1","EPF300-WW"),
IF(EW_ePMP_3000L="N/A",CONCATENATE("EW-E","1","EPF300-WW"),
IF(EW_ePMP_3000L=" ",CONCATENATE("EW-E","1","EPF300-WW"),
CONCATENATE("EW-E",LEFT(EW_ePMP_3000L,1),"EPF300-WW")))))))</f>
        <v xml:space="preserve"> </v>
      </c>
      <c r="D174" s="180" t="str">
        <f>IF(NOT(Start_Here_Complete)," ",
VLOOKUP(C174,'ePMP PL 2022-03-25'!$A$4:$H$500,2,FALSE))</f>
        <v xml:space="preserve"> </v>
      </c>
      <c r="E174" s="28">
        <f>IF(NOT(Start_Here_Complete),0,
VLOOKUP(C174,'ePMP PL 2022-03-25'!$A$4:$H$500,8,FALSE))</f>
        <v>0</v>
      </c>
      <c r="F174" s="54">
        <f>IF(NOT(Start_Here_Complete),0,
IF(_Dev="Ent",0,
IF(NOT(EW),0,
IF(EW_ePMP_3000L="Declined",0,
IF(EW_ePMP_3000L="Choose","Error",
IF(OR(EW_ePMP_3000L=" ",EW_ePMP_3000L="N/A"),0,
Qty_ePMP_3000L))))))</f>
        <v>0</v>
      </c>
      <c r="G174" s="80">
        <f t="shared" si="14"/>
        <v>0</v>
      </c>
      <c r="H174" s="379" t="str">
        <f>IF(OR(F174&gt;0,F174="Error")," ePMP 3000L"," ")</f>
        <v xml:space="preserve"> </v>
      </c>
      <c r="I174" s="217" t="str">
        <f t="shared" si="8"/>
        <v xml:space="preserve"> </v>
      </c>
      <c r="J174" s="143"/>
      <c r="K174" s="143"/>
      <c r="L174" s="143"/>
      <c r="M174" s="202"/>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row>
    <row r="175" spans="1:56" s="8" customFormat="1" ht="26" customHeight="1" x14ac:dyDescent="0.2">
      <c r="A175" s="11"/>
      <c r="B175" s="41"/>
      <c r="C175" s="179" t="str">
        <f>IF(NOT(Start_Here_Complete)," ",
IF(NOT(EW),"EW-E1PLE5XX-WW",
IF(EW_cnPilot_e500="Choose","EW-E1PLE5XX-WW",
IF(EW_cnPilot_e500="Declined","EW-E1PLE5XX-WW",
IF(EW_cnPilot_e500="N/A","EW-E1PLE5XX-WW",
IF(EW_cnPilot_e500=" ","EW-E1PLE5XX-WW",
CONCATENATE("EW-E",LEFT(EW_cnPilot_e500,1),"PLE5XX-WW")))))))</f>
        <v xml:space="preserve"> </v>
      </c>
      <c r="D175" s="180" t="str">
        <f>IF(NOT(Start_Here_Complete)," ",
VLOOKUP(C175,'All Products PL 2022-03-08'!$A$2:$C$4500,2,FALSE))</f>
        <v xml:space="preserve"> </v>
      </c>
      <c r="E175" s="28">
        <f>IF(NOT(Start_Here_Complete),0,
VLOOKUP(C175,'All Products PL 2022-03-08'!$A$2:$C$4500,3,FALSE))</f>
        <v>0</v>
      </c>
      <c r="F175" s="54">
        <f>IF(NOT(Start_Here_Complete),0,
IF(_Dev="FWB",0,
IF(X_AdvYes,0,
IF(NOT(EW),0,
IF(EW_cnPilot_e500="Declined",0,
IF(EW_cnPilot_e500="Choose","Error",
IF(OR(EW_cnPilot_e500=" ",EW_cnPilot_e500="N/A"),0,
Qty_cnPilot_e500)))))))</f>
        <v>0</v>
      </c>
      <c r="G175" s="80">
        <f t="shared" ref="G175:G176" si="15">IF(NOT(Start_Here_Complete),0,
IF(F175="Error",0,
E175*F175))</f>
        <v>0</v>
      </c>
      <c r="H175" s="375" t="str">
        <f>IF(OR(F175&gt;0,F175="Error")," cnPilot e500"," ")</f>
        <v xml:space="preserve"> </v>
      </c>
      <c r="I175" s="217" t="str">
        <f t="shared" ref="I175:I176" si="16">IF(F175="Error","Return to the product selection worksheet and choose ""Add'l Years""",
" ")</f>
        <v xml:space="preserve"> </v>
      </c>
      <c r="J175" s="143"/>
      <c r="K175" s="143"/>
      <c r="L175" s="143"/>
      <c r="M175" s="202"/>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row>
    <row r="176" spans="1:56" s="8" customFormat="1" ht="26" customHeight="1" x14ac:dyDescent="0.2">
      <c r="A176" s="11"/>
      <c r="B176" s="41"/>
      <c r="C176" s="179" t="str">
        <f>IF(NOT(Start_Here_Complete)," ",
IF(NOT(EW),"EW-E1PLE5XX-WW",
IF(EW_cnPilot_e501S="Choose","EW-E1PLE5XX-WW",
IF(EW_cnPilot_e501S="Declined","EW-E1PLE5XX-WW",
IF(EW_cnPilot_e501S="N/A","EW-E1PLE5XX-WW",
IF(EW_cnPilot_e501S=" ","EW-E1PLE5XX-WW",
CONCATENATE("EW-E",LEFT(EW_cnPilot_e501S,1),"PLE5XX-WW")))))))</f>
        <v xml:space="preserve"> </v>
      </c>
      <c r="D176" s="180" t="str">
        <f>IF(NOT(Start_Here_Complete)," ",
VLOOKUP(C176,'All Products PL 2022-03-08'!$A$2:$C$4500,2,FALSE))</f>
        <v xml:space="preserve"> </v>
      </c>
      <c r="E176" s="28">
        <f>IF(NOT(Start_Here_Complete),0,
VLOOKUP(C176,'All Products PL 2022-03-08'!$A$2:$C$4500,3,FALSE))</f>
        <v>0</v>
      </c>
      <c r="F176" s="54">
        <f>IF(NOT(Start_Here_Complete),0,
IF(_Dev="FWB",0,
IF(X_AdvYes,0,
IF(NOT(EW),0,
IF(EW_cnPilot_e501S="Declined",0,
IF(EW_cnPilot_e501S="Choose","Error",
IF(OR(EW_cnPilot_e501S=" ",EW_cnPilot_e501S="N/A"),0,
Qty_cnPilot_e501S)))))))</f>
        <v>0</v>
      </c>
      <c r="G176" s="80">
        <f t="shared" si="15"/>
        <v>0</v>
      </c>
      <c r="H176" s="375" t="str">
        <f>IF(OR(F176&gt;0,F176="Error")," cnPilot e502S"," ")</f>
        <v xml:space="preserve"> </v>
      </c>
      <c r="I176" s="217" t="str">
        <f t="shared" si="16"/>
        <v xml:space="preserve"> </v>
      </c>
      <c r="J176" s="143"/>
      <c r="K176" s="143"/>
      <c r="L176" s="143"/>
      <c r="M176" s="202"/>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row>
    <row r="177" spans="1:56" s="8" customFormat="1" ht="26" customHeight="1" x14ac:dyDescent="0.2">
      <c r="A177" s="11"/>
      <c r="B177" s="41"/>
      <c r="C177" s="179" t="str">
        <f>IF(NOT(Start_Here_Complete)," ",
IF(NOT(EW),"EW-E1PLE5XX-WW",
IF(EW_cnPilot_e502S="Choose","EW-E1PLE5XX-WW",
IF(EW_cnPilot_e502S="Declined","EW-E1PLE5XX-WW",
IF(EW_cnPilot_e502S="N/A","EW-E1PLE5XX-WW",
IF(EW_cnPilot_e502S=" ","EW-E1PLE5XX-WW",
CONCATENATE("EW-E",LEFT(EW_cnPilot_e502S,1),"PLE5XX-WW")))))))</f>
        <v xml:space="preserve"> </v>
      </c>
      <c r="D177" s="180" t="str">
        <f>IF(NOT(Start_Here_Complete)," ",
VLOOKUP(C177,'All Products PL 2022-03-08'!$A$2:$C$4500,2,FALSE))</f>
        <v xml:space="preserve"> </v>
      </c>
      <c r="E177" s="28">
        <f>IF(NOT(Start_Here_Complete),0,
VLOOKUP(C177,'All Products PL 2022-03-08'!$A$2:$C$4500,3,FALSE))</f>
        <v>0</v>
      </c>
      <c r="F177" s="54">
        <f>IF(NOT(Start_Here_Complete),0,
IF(_Dev="FWB",0,
IF(X_AdvYes,0,
IF(NOT(EW),0,
IF(EW_cnPilot_e502S="Declined",0,
IF(EW_cnPilot_e502S="Choose","Error",
IF(OR(EW_cnPilot_e502S=" ",EW_cnPilot_e502S="N/A"),0,
Qty_cnPilot_e502S)))))))</f>
        <v>0</v>
      </c>
      <c r="G177" s="80">
        <f t="shared" ref="G177:G178" si="17">IF(NOT(Start_Here_Complete),0,
IF(F177="Error",0,
E177*F177))</f>
        <v>0</v>
      </c>
      <c r="H177" s="375" t="str">
        <f>IF(OR(F177&gt;0,F177="Error")," cnPilot e502S"," ")</f>
        <v xml:space="preserve"> </v>
      </c>
      <c r="I177" s="217" t="str">
        <f t="shared" ref="I177:I178" si="18">IF(F177="Error","Return to the product selection worksheet and choose ""Add'l Years""",
" ")</f>
        <v xml:space="preserve"> </v>
      </c>
      <c r="J177" s="143"/>
      <c r="K177" s="143"/>
      <c r="L177" s="143"/>
      <c r="M177" s="202"/>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row>
    <row r="178" spans="1:56" s="8" customFormat="1" ht="26" customHeight="1" x14ac:dyDescent="0.2">
      <c r="A178" s="11"/>
      <c r="B178" s="41"/>
      <c r="C178" s="179" t="str">
        <f>IF(NOT(Start_Here_Complete)," ",
IF(NOT(EW),"EW-E1PLE5XX-WW",
IF(EW_cnPilot_e505="Choose","EW-E1PLE5XX-WW",
IF(EW_cnPilot_e505="Declined","EW-E1PLE5XX-WW",
IF(EW_cnPilot_e505="N/A","EW-E1PLE5XX-WW",
IF(EW_cnPilot_e505=" ","EW-E1PLE5XX-WW",
CONCATENATE("EW-E",LEFT(EW_cnPilot_e505,1),"PLE5XX-WW")))))))</f>
        <v xml:space="preserve"> </v>
      </c>
      <c r="D178" s="180" t="str">
        <f>IF(NOT(Start_Here_Complete)," ",
VLOOKUP(C178,'All Products PL 2022-03-08'!$A$2:$C$4500,2,FALSE))</f>
        <v xml:space="preserve"> </v>
      </c>
      <c r="E178" s="28">
        <f>IF(NOT(Start_Here_Complete),0,
VLOOKUP(C178,'All Products PL 2022-03-08'!$A$2:$C$4500,3,FALSE))</f>
        <v>0</v>
      </c>
      <c r="F178" s="54">
        <f>IF(NOT(Start_Here_Complete),0,
IF(_Dev="FWB",0,
IF(X_AdvYes,0,
IF(NOT(EW),0,
IF(EW_cnPilot_e505="Declined",0,
IF(EW_cnPilot_e505="Choose","Error",
IF(OR(EW_cnPilot_e505=" ",EW_cnPilot_e505="N/A"),0,
Qty_cnPilot_e505)))))))</f>
        <v>0</v>
      </c>
      <c r="G178" s="80">
        <f t="shared" si="17"/>
        <v>0</v>
      </c>
      <c r="H178" s="375" t="str">
        <f>IF(OR(F178&gt;0,F178="Error")," cnPilot e505"," ")</f>
        <v xml:space="preserve"> </v>
      </c>
      <c r="I178" s="217" t="str">
        <f t="shared" si="18"/>
        <v xml:space="preserve"> </v>
      </c>
      <c r="J178" s="143"/>
      <c r="K178" s="143"/>
      <c r="L178" s="143"/>
      <c r="M178" s="202"/>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row>
    <row r="179" spans="1:56" s="8" customFormat="1" ht="26" customHeight="1" x14ac:dyDescent="0.2">
      <c r="A179" s="11"/>
      <c r="B179" s="41"/>
      <c r="C179" s="179" t="str">
        <f>IF(NOT(Start_Here_Complete)," ",
IF(NOT(EW),"EW-E1PLE5XX-WW",
IF(EW_cnPilot_e510="Choose","EW-E1PLE5XX-WW",
IF(EW_cnPilot_e510="Declined","EW-E1PLE5XX-WW",
IF(EW_cnPilot_e510="N/A","EW-E1PLE5XX-WW",
IF(EW_cnPilot_e510=" ","EW-E1PLE5XX-WW",
CONCATENATE("EW-E",LEFT(EW_cnPilot_e510,1),"PLE5XX-WW")))))))</f>
        <v xml:space="preserve"> </v>
      </c>
      <c r="D179" s="180" t="str">
        <f>IF(NOT(Start_Here_Complete)," ",
VLOOKUP(C179,'All Products PL 2022-03-08'!$A$2:$C$4500,2,FALSE))</f>
        <v xml:space="preserve"> </v>
      </c>
      <c r="E179" s="28">
        <f>IF(NOT(Start_Here_Complete),0,
VLOOKUP(C179,'All Products PL 2022-03-08'!$A$2:$C$4500,3,FALSE))</f>
        <v>0</v>
      </c>
      <c r="F179" s="54">
        <f>IF(NOT(Start_Here_Complete),0,
IF(_Dev="FWB",0,
IF(X_AdvYes,0,
IF(NOT(EW),0,
IF(EW_cnPilot_e510="Declined",0,
IF(EW_cnPilot_e510="Choose","Error",
IF(OR(EW_cnPilot_e510=" ",EW_cnPilot_e510="N/A"),0,
Qty_cnPilot_e510)))))))</f>
        <v>0</v>
      </c>
      <c r="G179" s="80">
        <f t="shared" ref="G179" si="19">IF(NOT(Start_Here_Complete),0,
IF(F179="Error",0,
E179*F179))</f>
        <v>0</v>
      </c>
      <c r="H179" s="375" t="str">
        <f>IF(OR(F179&gt;0,F179="Error")," cnPilot e510"," ")</f>
        <v xml:space="preserve"> </v>
      </c>
      <c r="I179" s="217" t="str">
        <f t="shared" ref="I179" si="20">IF(F179="Error","Return to the product selection worksheet and choose ""Add'l Years""",
" ")</f>
        <v xml:space="preserve"> </v>
      </c>
      <c r="J179" s="143"/>
      <c r="K179" s="143"/>
      <c r="L179" s="143"/>
      <c r="M179" s="202"/>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row>
    <row r="180" spans="1:56" s="8" customFormat="1" ht="26" customHeight="1" x14ac:dyDescent="0.2">
      <c r="A180" s="11"/>
      <c r="B180" s="41"/>
      <c r="C180" s="179" t="str">
        <f>IF(NOT(Start_Here_Complete)," ",
IF(NOT(EW),CONCATENATE("EW-E","1","PLE7XX-WW"),
IF(EW_cnPilot_e700="Choose",CONCATENATE("EW-E","1","PLE7XX-WW"),
IF(EW_cnPilot_e700="Declined",CONCATENATE("EW-E","1","PLE7XX-WW"),
IF(EW_cnPilot_e700="N/A",CONCATENATE("EW-E","1","PLE7XX-WW"),
IF(EW_cnPilot_e700=" ",CONCATENATE("EW-E","1","PLE7XX-WW"),
CONCATENATE("EW-E",LEFT(EW_cnPilot_e700,1),"PLE7XX-WW")))))))</f>
        <v xml:space="preserve"> </v>
      </c>
      <c r="D180" s="180" t="str">
        <f>IF(NOT(Start_Here_Complete)," ",
VLOOKUP(C180,'All Products PL 2022-03-08'!$A$2:$C$4500,2,FALSE))</f>
        <v xml:space="preserve"> </v>
      </c>
      <c r="E180" s="28">
        <f>IF(NOT(Start_Here_Complete),0,
VLOOKUP(C180,'All Products PL 2022-03-08'!$A$2:$C$4500,3,FALSE))</f>
        <v>0</v>
      </c>
      <c r="F180" s="54">
        <f>IF(NOT(Start_Here_Complete),0,
IF(_Dev="FWB",0,
IF(X_AdvYes,0,
IF(NOT(EW),0,
IF(EW_cnPilot_e700="Declined",0,
IF(EW_cnPilot_e700="Choose","Error",
IF(OR(EW_cnPilot_e700=" ",EW_cnPilot_e700="N/A"),0,
Qty_cnPilot_e700)))))))</f>
        <v>0</v>
      </c>
      <c r="G180" s="80">
        <f t="shared" si="13"/>
        <v>0</v>
      </c>
      <c r="H180" s="375" t="str">
        <f>IF(OR(F180&gt;0,F180="Error")," cnPilot e700"," ")</f>
        <v xml:space="preserve"> </v>
      </c>
      <c r="I180" s="217" t="str">
        <f t="shared" ref="I180:I244" si="21">IF(F180="Error","Return to the product selection worksheet and choose ""Add'l Years""",
" ")</f>
        <v xml:space="preserve"> </v>
      </c>
      <c r="J180" s="143"/>
      <c r="K180" s="143"/>
      <c r="L180" s="143"/>
      <c r="M180" s="202"/>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row>
    <row r="181" spans="1:56" s="8" customFormat="1" ht="14" customHeight="1" x14ac:dyDescent="0.2">
      <c r="A181" s="11"/>
      <c r="B181" s="41"/>
      <c r="C181" s="30" t="s">
        <v>1161</v>
      </c>
      <c r="D181" s="9"/>
      <c r="E181" s="27"/>
      <c r="F181" s="10">
        <v>0</v>
      </c>
      <c r="G181" s="78"/>
      <c r="H181" s="374"/>
      <c r="I181" s="201" t="str">
        <f t="shared" si="21"/>
        <v xml:space="preserve"> </v>
      </c>
      <c r="J181" s="143"/>
      <c r="K181" s="143"/>
      <c r="L181" s="143"/>
      <c r="M181" s="202"/>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row>
    <row r="182" spans="1:56" ht="26" customHeight="1" x14ac:dyDescent="0.2">
      <c r="A182" s="11"/>
      <c r="B182" s="41"/>
      <c r="C182" s="14" t="str">
        <f>IF(NOT(Start_Here_Complete)," ",
"AR-E0PM45AP-WW")</f>
        <v xml:space="preserve"> </v>
      </c>
      <c r="D182" s="181" t="str">
        <f>IF(NOT(Start_Here_Complete)," ",
VLOOKUP(C182,'All Products PL 2022-03-08'!$A$2:$C$4500,2,FALSE))</f>
        <v xml:space="preserve"> </v>
      </c>
      <c r="E182" s="28">
        <f>IF(NOT(Start_Here_Complete),0,
VLOOKUP(C182,'All Products PL 2022-03-08'!$A$2:$C$4500,3,FALSE))</f>
        <v>0</v>
      </c>
      <c r="F182" s="54">
        <f>IF(NOT(Start_Here_Complete),0,
IF(_Dev="Ent",0,
IF(NOT(AR),0,
IF(EW_PMP_450_AP="Choose","Error",
IF(EW_PMP_450_AP=" ",0,
IF(EW_PMP_450_AP="N/A",0,
IF(EW_PMP_450_AP="Declined",0,
IF(EW_PMP_450_AP="Upgrd Std Wty",Qty_PMP_450_AP,
0))))))))</f>
        <v>0</v>
      </c>
      <c r="G182" s="80">
        <f t="shared" si="13"/>
        <v>0</v>
      </c>
      <c r="H182" s="375" t="str">
        <f>IF(OR(F182&gt;0,F182="Error")," PMP 450 AP"," ")</f>
        <v xml:space="preserve"> </v>
      </c>
      <c r="I182" s="217" t="str">
        <f t="shared" si="21"/>
        <v xml:space="preserve"> </v>
      </c>
      <c r="J182" s="143"/>
      <c r="K182" s="143"/>
      <c r="L182" s="143"/>
      <c r="M182" s="202"/>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row>
    <row r="183" spans="1:56" s="8" customFormat="1" ht="26" customHeight="1" x14ac:dyDescent="0.2">
      <c r="A183" s="11"/>
      <c r="B183" s="41"/>
      <c r="C183" s="120" t="str">
        <f>IF(NOT(Start_Here_Complete)," ",
IF(NOT(AR),CONCATENATE("AR-E","1","PM45AP-WW"),
IF(EW_PMP_450_AP="Choose",CONCATENATE("AR-E","1","PM45AP-WW"),
IF(EW_PMP_450_AP="Declined",CONCATENATE("AR-E","1","PM45AP-WW"),
IF(EW_PMP_450_AP="N/A",CONCATENATE("AR-E","1","PM45AP-WW"),
IF(EW_PMP_450_AP=" ",CONCATENATE("AR-E","1","PM45AP-WW"),
IF(EW_PMP_450_AP="Upgrd Std Wty",CONCATENATE("AR-E","1","PM45AP-WW"),
CONCATENATE("AR-E",LEFT(EW_PMP_450_AP,1),"PM45AP-WW"))))))))</f>
        <v xml:space="preserve"> </v>
      </c>
      <c r="D183" s="181" t="str">
        <f>IF(NOT(Start_Here_Complete)," ",
VLOOKUP(C183,'All Products PL 2022-03-08'!$A$2:$C$4500,2,FALSE))</f>
        <v xml:space="preserve"> </v>
      </c>
      <c r="E183" s="121">
        <f>IF(NOT(Start_Here_Complete),0,
VLOOKUP(C183,'All Products PL 2022-03-08'!$A$2:$C$4500,3,FALSE))</f>
        <v>0</v>
      </c>
      <c r="F183" s="122">
        <f>IF(NOT(Start_Here_Complete),0,
IF(_Dev="Ent",0,
IF(NOT(AR),0,
IF(EW_PMP_450_AP="Choose","Error",
IF(EW_PMP_450_AP=" ",0,
IF(EW_PMP_450_AP="N/A",0,
IF(EW_PMP_450_AP="Declined",0,
IF(EW_PMP_450_AP="Upgrd Std Wty",0,
IF(EW_PMP_450_AP&lt;&gt;"Upgrd Std Wty",Qty_PMP_450_AP,
"Bottom")))))))))</f>
        <v>0</v>
      </c>
      <c r="G183" s="80">
        <f t="shared" si="13"/>
        <v>0</v>
      </c>
      <c r="H183" s="375" t="str">
        <f>IF(OR(F183&gt;0,F183="Error")," PMP 450 AP"," ")</f>
        <v xml:space="preserve"> </v>
      </c>
      <c r="I183" s="217" t="str">
        <f t="shared" si="21"/>
        <v xml:space="preserve"> </v>
      </c>
      <c r="J183" s="143"/>
      <c r="K183" s="143"/>
      <c r="L183" s="143"/>
      <c r="M183" s="202"/>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row>
    <row r="184" spans="1:56" s="8" customFormat="1" ht="26" customHeight="1" x14ac:dyDescent="0.2">
      <c r="A184" s="11"/>
      <c r="B184" s="41"/>
      <c r="C184" s="120" t="str">
        <f>IF(NOT(Start_Here_Complete)," ",
"AR-E0PM45AP-WW")</f>
        <v xml:space="preserve"> </v>
      </c>
      <c r="D184" s="181" t="str">
        <f>IF(NOT(Start_Here_Complete)," ",
VLOOKUP(C184,'All Products PL 2022-03-08'!$A$2:$C$4500,2,FALSE))</f>
        <v xml:space="preserve"> </v>
      </c>
      <c r="E184" s="121">
        <f>IF(NOT(Start_Here_Complete),0,
VLOOKUP(C184,'All Products PL 2022-03-08'!$A$2:$C$4500,3,FALSE))</f>
        <v>0</v>
      </c>
      <c r="F184" s="122">
        <f>IF(NOT(Start_Here_Complete),0,
IF(_Dev="Ent",0,
IF(NOT(AR),0,
IF(EW_PMP_450i_AP="Choose","Error",
IF(EW_PMP_450i_AP=" ",0,
IF(EW_PMP_450i_AP="N/A",0,
IF(EW_PMP_450i_AP="Declined",0,
IF(EW_PMP_450i_AP="Upgrd Std Wty",Qty_PMP_450i_AP,
0))))))))</f>
        <v>0</v>
      </c>
      <c r="G184" s="108">
        <f t="shared" ref="G184:G255" si="22">IF(NOT(Start_Here_Complete),0,
IF(F184="Error",0,
E184*F184))</f>
        <v>0</v>
      </c>
      <c r="H184" s="379" t="str">
        <f>IF(OR(F184&gt;0,F184="Error")," PMP 450i AP"," ")</f>
        <v xml:space="preserve"> </v>
      </c>
      <c r="I184" s="217" t="str">
        <f t="shared" si="21"/>
        <v xml:space="preserve"> </v>
      </c>
      <c r="J184" s="143"/>
      <c r="K184" s="143"/>
      <c r="L184" s="143"/>
      <c r="M184" s="202"/>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row>
    <row r="185" spans="1:56" s="8" customFormat="1" ht="26" customHeight="1" x14ac:dyDescent="0.2">
      <c r="A185" s="11"/>
      <c r="B185" s="41"/>
      <c r="C185" s="120" t="str">
        <f>IF(NOT(Start_Here_Complete)," ",
IF(NOT(AR),CONCATENATE("AR-E","1","PM45AP-WW"),
IF(EW_PMP_450i_AP="Choose",CONCATENATE("AR-E","1","PM45AP-WW"),
IF(EW_PMP_450i_AP="Declined",CONCATENATE("AR-E","1","PM45AP-WW"),
IF(EW_PMP_450i_AP="N/A",CONCATENATE("AR-E","1","PM45AP-WW"),
IF(EW_PMP_450i_AP=" ",CONCATENATE("AR-E","1","PM45AP-WW"),
IF(EW_PMP_450i_AP="Upgrd Std Wty",CONCATENATE("AR-E","1","PM45AP-WW"),
CONCATENATE("AR-E",LEFT(EW_PMP_450i_AP,1),"PM45AP-WW"))))))))</f>
        <v xml:space="preserve"> </v>
      </c>
      <c r="D185" s="181" t="str">
        <f>IF(NOT(Start_Here_Complete)," ",
VLOOKUP(C185,'All Products PL 2022-03-08'!$A$2:$C$4500,2,FALSE))</f>
        <v xml:space="preserve"> </v>
      </c>
      <c r="E185" s="121">
        <f>IF(NOT(Start_Here_Complete),0,
VLOOKUP(C185,'All Products PL 2022-03-08'!$A$2:$C$4500,3,FALSE))</f>
        <v>0</v>
      </c>
      <c r="F185" s="122">
        <f>IF(NOT(Start_Here_Complete),0,
IF(_Dev="Ent",0,
IF(NOT(AR),0,
IF(EW_PMP_450i_AP="Choose","Error",
IF(EW_PMP_450i_AP=" ",0,
IF(EW_PMP_450i_AP="N/A",0,
IF(EW_PMP_450i_AP="Declined",0,
IF(EW_PMP_450i_AP="Upgrd Std Wty",0,
IF(EW_PMP_450i_AP&lt;&gt;"Upgrd Std Wty",Qty_PMP_450i_AP,
"Bottom")))))))))</f>
        <v>0</v>
      </c>
      <c r="G185" s="108">
        <f t="shared" si="22"/>
        <v>0</v>
      </c>
      <c r="H185" s="379" t="str">
        <f>IF(OR(F185&gt;0,F185="Error")," PMP 450i AP"," ")</f>
        <v xml:space="preserve"> </v>
      </c>
      <c r="I185" s="217" t="str">
        <f t="shared" si="21"/>
        <v xml:space="preserve"> </v>
      </c>
      <c r="J185" s="143"/>
      <c r="K185" s="143"/>
      <c r="L185" s="143"/>
      <c r="M185" s="202"/>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row>
    <row r="186" spans="1:56" s="8" customFormat="1" ht="26" customHeight="1" x14ac:dyDescent="0.2">
      <c r="A186" s="11"/>
      <c r="B186" s="41"/>
      <c r="C186" s="120" t="str">
        <f>IF(NOT(Start_Here_Complete)," ",
"AR-E0PM45AP-WW")</f>
        <v xml:space="preserve"> </v>
      </c>
      <c r="D186" s="181" t="str">
        <f>IF(NOT(Start_Here_Complete)," ",
VLOOKUP(C186,'All Products PL 2022-03-08'!$A$2:$C$4500,2,FALSE))</f>
        <v xml:space="preserve"> </v>
      </c>
      <c r="E186" s="121">
        <f>IF(NOT(Start_Here_Complete),0,
VLOOKUP(C186,'All Products PL 2022-03-08'!$A$2:$C$4500,3,FALSE))</f>
        <v>0</v>
      </c>
      <c r="F186" s="122">
        <f>IF(NOT(Start_Here_Complete),0,
IF(_Dev="Ent",0,
IF(NOT(AR),0,
IF(EW_PMP_450_900_MHz_AP="Choose","Error",
IF(EW_PMP_450_900_MHz_AP=" ",0,
IF(EW_PMP_450_900_MHz_AP="N/A",0,
IF(EW_PMP_450_900_MHz_AP="Declined",0,
IF(EW_PMP_450_900_MHz_AP="Upgrd Std Wty",Qty_PMP_450_900_MHz_AP,
0))))))))</f>
        <v>0</v>
      </c>
      <c r="G186" s="108">
        <f t="shared" ref="G186:G187" si="23">IF(NOT(Start_Here_Complete),0,
IF(F186="Error",0,
E186*F186))</f>
        <v>0</v>
      </c>
      <c r="H186" s="379" t="str">
        <f>IF(OR(F186&gt;0,F186="Error")," PMP 450i AP"," ")</f>
        <v xml:space="preserve"> </v>
      </c>
      <c r="I186" s="217" t="str">
        <f t="shared" ref="I186:I187" si="24">IF(F186="Error","Return to the product selection worksheet and choose ""Add'l Years""",
" ")</f>
        <v xml:space="preserve"> </v>
      </c>
      <c r="J186" s="143"/>
      <c r="K186" s="143"/>
      <c r="L186" s="143"/>
      <c r="M186" s="202"/>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row>
    <row r="187" spans="1:56" s="8" customFormat="1" ht="26" customHeight="1" x14ac:dyDescent="0.2">
      <c r="A187" s="11"/>
      <c r="B187" s="41"/>
      <c r="C187" s="120" t="str">
        <f>IF(NOT(Start_Here_Complete)," ",
IF(NOT(AR),CONCATENATE("AR-E","1","PM45AP-WW"),
IF(EW_PMP_450_900_MHz_AP="Choose",CONCATENATE("AR-E","1","PM45AP-WW"),
IF(EW_PMP_450_900_MHz_AP="Declined",CONCATENATE("AR-E","1","PM45AP-WW"),
IF(EW_PMP_450_900_MHz_AP="N/A",CONCATENATE("AR-E","1","PM45AP-WW"),
IF(EW_PMP_450_900_MHz_AP=" ",CONCATENATE("AR-E","1","PM45AP-WW"),
IF(EW_PMP_450_900_MHz_AP="Upgrd Std Wty",CONCATENATE("AR-E","1","PM45AP-WW"),
CONCATENATE("AR-E",LEFT(EW_PMP_450_900_MHz_AP,1),"PM45AP-WW"))))))))</f>
        <v xml:space="preserve"> </v>
      </c>
      <c r="D187" s="181" t="str">
        <f>IF(NOT(Start_Here_Complete)," ",
VLOOKUP(C187,'All Products PL 2022-03-08'!$A$2:$C$4500,2,FALSE))</f>
        <v xml:space="preserve"> </v>
      </c>
      <c r="E187" s="121">
        <f>IF(NOT(Start_Here_Complete),0,
VLOOKUP(C187,'All Products PL 2022-03-08'!$A$2:$C$4500,3,FALSE))</f>
        <v>0</v>
      </c>
      <c r="F187" s="122">
        <f>IF(NOT(Start_Here_Complete),0,
IF(_Dev="Ent",0,
IF(NOT(AR),0,
IF(EW_PMP_450_900_MHz_AP="Choose","Error",
IF(EW_PMP_450_900_MHz_AP=" ",0,
IF(EW_PMP_450_900_MHz_AP="N/A",0,
IF(EW_PMP_450_900_MHz_AP="Declined",0,
IF(EW_PMP_450_900_MHz_AP="Upgrd Std Wty",0,
IF(EW_PMP_450_900_MHz_AP&lt;&gt;"Upgrd Std Wty",Qty_PMP_450_900_MHz_AP,
"Bottom")))))))))</f>
        <v>0</v>
      </c>
      <c r="G187" s="108">
        <f t="shared" si="23"/>
        <v>0</v>
      </c>
      <c r="H187" s="379" t="str">
        <f>IF(OR(F187&gt;0,F187="Error")," PMP 450 900 MHz AP"," ")</f>
        <v xml:space="preserve"> </v>
      </c>
      <c r="I187" s="217" t="str">
        <f t="shared" si="24"/>
        <v xml:space="preserve"> </v>
      </c>
      <c r="J187" s="143"/>
      <c r="K187" s="143"/>
      <c r="L187" s="143"/>
      <c r="M187" s="202"/>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row>
    <row r="188" spans="1:56" s="8" customFormat="1" ht="26" customHeight="1" x14ac:dyDescent="0.2">
      <c r="A188" s="11"/>
      <c r="B188" s="41"/>
      <c r="C188" s="120" t="str">
        <f>IF(NOT(Start_Here_Complete)," ",
"AR-E0PM4MAP-WW")</f>
        <v xml:space="preserve"> </v>
      </c>
      <c r="D188" s="181" t="str">
        <f>IF(NOT(Start_Here_Complete)," ",
VLOOKUP(C188,'All Products PL 2022-03-08'!$A$2:$C$4500,2,FALSE))</f>
        <v xml:space="preserve"> </v>
      </c>
      <c r="E188" s="121">
        <f>IF(NOT(Start_Here_Complete),0,
VLOOKUP(C188,'All Products PL 2022-03-08'!$A$2:$C$4500,3,FALSE))</f>
        <v>0</v>
      </c>
      <c r="F188" s="122">
        <f>IF(NOT(Start_Here_Complete),0,
IF(_Dev="Ent",0,
IF(NOT(AR),0,
IF(EW_PMP_450m_AP="Choose","Error",
IF(EW_PMP_450m_AP=" ",0,
IF(EW_PMP_450m_AP="N/A",0,
IF(EW_PMP_450m_AP="Declined",0,
IF(EW_PMP_450m_AP="Upgrd Std Wty",Qty_PMP_450m_AP,
0))))))))</f>
        <v>0</v>
      </c>
      <c r="G188" s="108">
        <f t="shared" si="22"/>
        <v>0</v>
      </c>
      <c r="H188" s="375" t="str">
        <f>IF(OR(F188&gt;0,F188="Error")," PMP 450m AP"," ")</f>
        <v xml:space="preserve"> </v>
      </c>
      <c r="I188" s="217" t="str">
        <f t="shared" si="21"/>
        <v xml:space="preserve"> </v>
      </c>
      <c r="J188" s="143"/>
      <c r="K188" s="143"/>
      <c r="L188" s="143"/>
      <c r="M188" s="202"/>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row>
    <row r="189" spans="1:56" s="8" customFormat="1" ht="26" customHeight="1" x14ac:dyDescent="0.2">
      <c r="A189" s="11"/>
      <c r="B189" s="41"/>
      <c r="C189" s="120" t="str">
        <f>IF(NOT(Start_Here_Complete)," ",
IF(NOT(AR),CONCATENATE("AR-E","1","PM4MAP-WW"),
IF(EW_PMP_450m_AP="Choose",CONCATENATE("AR-E","1","PM4MAP-WW"),
IF(EW_PMP_450m_AP="Declined",CONCATENATE("AR-E","1","PM4MAP-WW"),
IF(EW_PMP_450m_AP="N/A",CONCATENATE("AR-E","1","PM4MAP-WW"),
IF(EW_PMP_450m_AP=" ",CONCATENATE("AR-E","1","PM4MAP-WW"),
IF(EW_PMP_450m_AP="Upgrd Std Wty",CONCATENATE("AR-E","1","PM4MAP-WW"),
CONCATENATE("AR-E",LEFT(EW_PMP_450m_AP,1),"PM4MAP-WW"))))))))</f>
        <v xml:space="preserve"> </v>
      </c>
      <c r="D189" s="181" t="str">
        <f>IF(NOT(Start_Here_Complete)," ",
VLOOKUP(C189,'All Products PL 2022-03-08'!$A$2:$C$4500,2,FALSE))</f>
        <v xml:space="preserve"> </v>
      </c>
      <c r="E189" s="121">
        <f>IF(NOT(Start_Here_Complete),0,
VLOOKUP(C189,'All Products PL 2022-03-08'!$A$2:$C$4500,3,FALSE))</f>
        <v>0</v>
      </c>
      <c r="F189" s="122">
        <f>IF(NOT(Start_Here_Complete),0,
IF(_Dev="Ent",0,
IF(NOT(AR),0,
IF(EW_PMP_450m_AP="Choose","Error",
IF(EW_PMP_450m_AP=" ",0,
IF(EW_PMP_450m_AP="N/A",0,
IF(EW_PMP_450m_AP="Declined",0,
IF(EW_PMP_450m_AP="Upgrd Std Wty",0,
IF(EW_PMP_450m_AP&lt;&gt;"Upgrd Std Wty",Qty_PMP_450m_AP,
"Bottom")))))))))</f>
        <v>0</v>
      </c>
      <c r="G189" s="108">
        <f t="shared" si="22"/>
        <v>0</v>
      </c>
      <c r="H189" s="375" t="str">
        <f>IF(OR(F189&gt;0,F189="Error")," PMP 450m AP"," ")</f>
        <v xml:space="preserve"> </v>
      </c>
      <c r="I189" s="217" t="str">
        <f t="shared" si="21"/>
        <v xml:space="preserve"> </v>
      </c>
      <c r="J189" s="143"/>
      <c r="K189" s="143"/>
      <c r="L189" s="143"/>
      <c r="M189" s="202"/>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row>
    <row r="190" spans="1:56" s="8" customFormat="1" ht="26" customHeight="1" x14ac:dyDescent="0.2">
      <c r="A190" s="11"/>
      <c r="B190" s="41"/>
      <c r="C190" s="120" t="str">
        <f>IF(NOT(Start_Here_Complete)," ",
"AR-E0CNM12RT-WW")</f>
        <v xml:space="preserve"> </v>
      </c>
      <c r="D190" s="181" t="str">
        <f>IF(NOT(Start_Here_Complete)," ",
VLOOKUP(C190,'All Products PL 2022-03-08'!$A$2:$C$4500,2,FALSE))</f>
        <v xml:space="preserve"> </v>
      </c>
      <c r="E190" s="121">
        <f>IF(NOT(Start_Here_Complete),0,
VLOOKUP(C190,'All Products PL 2022-03-08'!$A$2:$C$4500,3,FALSE))</f>
        <v>0</v>
      </c>
      <c r="F190" s="122">
        <f>IF(NOT(Start_Here_Complete),0,
IF(_Dev="Ent",0,
IF(NOT(AR),0,
IF(EW_TX2012R_P="Choose","Error",
IF(EW_TX2012R_P=" ",0,
IF(EW_TX2012R_P="N/A",0,
IF(EW_TX2012R_P="Declined",0,
IF(EW_TX2012R_P="Upgrd Std Wty",Qty_TX2012R_P,
0))))))))</f>
        <v>0</v>
      </c>
      <c r="G190" s="108">
        <f t="shared" ref="G190:G195" si="25">IF(NOT(Start_Here_Complete),0,
IF(F190="Error",0,
E190*F190))</f>
        <v>0</v>
      </c>
      <c r="H190" s="375" t="str">
        <f>IF(OR(F190&gt;0,F190="Error")," TX2012R-P"," ")</f>
        <v xml:space="preserve"> </v>
      </c>
      <c r="I190" s="217" t="str">
        <f t="shared" si="21"/>
        <v xml:space="preserve"> </v>
      </c>
      <c r="J190" s="143"/>
      <c r="K190" s="143"/>
      <c r="L190" s="143"/>
      <c r="M190" s="202"/>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row>
    <row r="191" spans="1:56" s="8" customFormat="1" ht="26" customHeight="1" x14ac:dyDescent="0.2">
      <c r="A191" s="11"/>
      <c r="B191" s="41"/>
      <c r="C191" s="120" t="str">
        <f>IF(NOT(Start_Here_Complete)," ",
IF(NOT(AR),"AR-E1CNM12RT-WW",
IF(EW_TX2012R_P="Choose","AR-E1CNM12RT-WW",
IF(EW_TX2012R_P="Declined","AR-E1CNM12RT-WW",
IF(EW_TX2012R_P="N/A","AR-E1CNM12RT-WW",
IF(EW_TX2012R_P=" ","AR-E1CNM12RT-WW",
IF(EW_TX2012R_P="Upgrd Std Wty",CONCATENATE("AR-E","1","CNM12RT-WW"),
CONCATENATE("AR-E",LEFT(EW_TX2012R_P,1),"CNM12RT-WW"))))))))</f>
        <v xml:space="preserve"> </v>
      </c>
      <c r="D191" s="181" t="str">
        <f>IF(NOT(Start_Here_Complete)," ",
VLOOKUP(C191,'All Products PL 2022-03-08'!$A$2:$C$4500,2,FALSE))</f>
        <v xml:space="preserve"> </v>
      </c>
      <c r="E191" s="121">
        <f>IF(NOT(Start_Here_Complete),0,
VLOOKUP(C191,'All Products PL 2022-03-08'!$A$2:$C$4500,3,FALSE))</f>
        <v>0</v>
      </c>
      <c r="F191" s="122">
        <f>IF(NOT(Start_Here_Complete),0,
IF(_Dev="Ent",0,
IF(NOT(AR),0,
IF(EW_TX2012R_P="Choose","Error",
IF(EW_TX2012R_P=" ",0,
IF(EW_TX2012R_P="N/A",0,
IF(EW_TX2012R_P="Declined",0,
IF(EW_TX2012R_P="Upgrd Std Wty",0,
IF(EW_TX2012R_P&lt;&gt;"Upgrd Std Wty",Qty_TX2012R_P,
"Bottom")))))))))</f>
        <v>0</v>
      </c>
      <c r="G191" s="108">
        <f t="shared" si="25"/>
        <v>0</v>
      </c>
      <c r="H191" s="375" t="str">
        <f>IF(OR(F191&gt;0,F191="Error")," TX2012R-P"," ")</f>
        <v xml:space="preserve"> </v>
      </c>
      <c r="I191" s="217" t="str">
        <f t="shared" si="21"/>
        <v xml:space="preserve"> </v>
      </c>
      <c r="J191" s="143"/>
      <c r="K191" s="143"/>
      <c r="L191" s="143"/>
      <c r="M191" s="202"/>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row>
    <row r="192" spans="1:56" s="8" customFormat="1" ht="26" customHeight="1" x14ac:dyDescent="0.2">
      <c r="A192" s="11"/>
      <c r="B192" s="41"/>
      <c r="C192" s="120" t="str">
        <f>IF(NOT(Start_Here_Complete)," ",
"AR-E0CNM20RT-WW")</f>
        <v xml:space="preserve"> </v>
      </c>
      <c r="D192" s="181" t="str">
        <f>IF(NOT(Start_Here_Complete)," ",
VLOOKUP(C192,'All Products PL 2022-03-08'!$A$2:$C$4500,2,FALSE))</f>
        <v xml:space="preserve"> </v>
      </c>
      <c r="E192" s="121">
        <f>IF(NOT(Start_Here_Complete),0,
VLOOKUP(C192,'All Products PL 2022-03-08'!$A$2:$C$4500,3,FALSE))</f>
        <v>0</v>
      </c>
      <c r="F192" s="122">
        <f>IF(NOT(Start_Here_Complete),0,
IF(_Dev="Ent",0,
IF(NOT(AR),0,
IF(EW_TX2020R_P="Choose","Error",
IF(EW_TX2020R_P=" ",0,
IF(EW_TX2020R_P="N/A",0,
IF(EW_TX2020R_P="Declined",0,
IF(EW_TX2020R_P="Upgrd Std Wty",Qty_TX2020R_P,
0))))))))</f>
        <v>0</v>
      </c>
      <c r="G192" s="108">
        <f t="shared" si="25"/>
        <v>0</v>
      </c>
      <c r="H192" s="375" t="str">
        <f>IF(OR(F192&gt;0,F192="Error")," TX2020R-P"," ")</f>
        <v xml:space="preserve"> </v>
      </c>
      <c r="I192" s="217" t="str">
        <f t="shared" si="21"/>
        <v xml:space="preserve"> </v>
      </c>
      <c r="J192" s="143"/>
      <c r="K192" s="143"/>
      <c r="L192" s="143"/>
      <c r="M192" s="202"/>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row>
    <row r="193" spans="1:56" s="8" customFormat="1" ht="26" customHeight="1" x14ac:dyDescent="0.2">
      <c r="A193" s="11"/>
      <c r="B193" s="41"/>
      <c r="C193" s="120" t="str">
        <f>IF(NOT(Start_Here_Complete)," ",
IF(NOT(AR),"AR-E1CNM20RT-WW",
IF(EW_TX2020R_P="Choose","AR-E1CNM20RT-WW",
IF(EW_TX2020R_P="Declined","AR-E1CNM20RT-WW",
IF(EW_TX2020R_P="N/A","AR-E1CNM20RT-WW",
IF(EW_TX2020R_P=" ","AR-E1CNM20RT-WW",
IF(EW_TX2020R_P="Upgrd Std Wty",CONCATENATE("AR-E","1","CNM20RT-WW"),
CONCATENATE("AR-E",LEFT(EW_TX2020R_P,1),"CNM20RT-WW"))))))))</f>
        <v xml:space="preserve"> </v>
      </c>
      <c r="D193" s="181" t="str">
        <f>IF(NOT(Start_Here_Complete)," ",
VLOOKUP(C193,'All Products PL 2022-03-08'!$A$2:$C$4500,2,FALSE))</f>
        <v xml:space="preserve"> </v>
      </c>
      <c r="E193" s="121">
        <f>IF(NOT(Start_Here_Complete),0,
VLOOKUP(C193,'All Products PL 2022-03-08'!$A$2:$C$4500,3,FALSE))</f>
        <v>0</v>
      </c>
      <c r="F193" s="122">
        <f>IF(NOT(Start_Here_Complete),0,
IF(_Dev="Ent",0,
IF(NOT(AR),0,
IF(EW_TX2020R_P="Choose","Error",
IF(EW_TX2020R_P=" ",0,
IF(EW_TX2020R_P="N/A",0,
IF(EW_TX2020R_P="Declined",0,
IF(EW_TX2020R_P="Upgrd Std Wty",0,
IF(EW_TX2020R_P&lt;&gt;"Upgrd Std Wty",Qty_TX2020R_P,
"Bottom")))))))))</f>
        <v>0</v>
      </c>
      <c r="G193" s="108">
        <f t="shared" si="25"/>
        <v>0</v>
      </c>
      <c r="H193" s="375" t="str">
        <f>IF(OR(F193&gt;0,F193="Error")," TX2020R-P"," ")</f>
        <v xml:space="preserve"> </v>
      </c>
      <c r="I193" s="217" t="str">
        <f t="shared" si="21"/>
        <v xml:space="preserve"> </v>
      </c>
      <c r="J193" s="143"/>
      <c r="K193" s="143"/>
      <c r="L193" s="143"/>
      <c r="M193" s="202"/>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row>
    <row r="194" spans="1:56" s="8" customFormat="1" ht="26" customHeight="1" x14ac:dyDescent="0.2">
      <c r="A194" s="11"/>
      <c r="B194" s="41"/>
      <c r="C194" s="120" t="str">
        <f>IF(NOT(Start_Here_Complete)," ",
"AR-E0CNM28RFT-WW")</f>
        <v xml:space="preserve"> </v>
      </c>
      <c r="D194" s="181" t="str">
        <f>IF(NOT(Start_Here_Complete)," ",
VLOOKUP(C194,'All Products PL 2022-03-08'!$A$2:$C$4500,2,FALSE))</f>
        <v xml:space="preserve"> </v>
      </c>
      <c r="E194" s="121">
        <f>IF(NOT(Start_Here_Complete),0,
VLOOKUP(C194,'All Products PL 2022-03-08'!$A$2:$C$4500,3,FALSE))</f>
        <v>0</v>
      </c>
      <c r="F194" s="122">
        <f>IF(NOT(Start_Here_Complete),0,
IF(_Dev="Ent",0,
IF(NOT(AR),0,
IF(EW_TX2028RF_P="Choose","Error",
IF(EW_TX2028RF_P=" ",0,
IF(EW_TX2028RF_P="N/A",0,
IF(EW_TX2028RF_P="Declined",0,
IF(EW_TX2028RF_P="Upgrd Std Wty",Qty_TX2028RF_P,
0))))))))</f>
        <v>0</v>
      </c>
      <c r="G194" s="108">
        <f t="shared" si="25"/>
        <v>0</v>
      </c>
      <c r="H194" s="375" t="str">
        <f>IF(OR(F194&gt;0,F194="Error")," TX2028RF-P"," ")</f>
        <v xml:space="preserve"> </v>
      </c>
      <c r="I194" s="217" t="str">
        <f t="shared" si="21"/>
        <v xml:space="preserve"> </v>
      </c>
      <c r="J194" s="143"/>
      <c r="K194" s="143"/>
      <c r="L194" s="143"/>
      <c r="M194" s="202"/>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row>
    <row r="195" spans="1:56" s="8" customFormat="1" ht="26" customHeight="1" x14ac:dyDescent="0.2">
      <c r="A195" s="11"/>
      <c r="B195" s="41"/>
      <c r="C195" s="120" t="str">
        <f>IF(NOT(Start_Here_Complete)," ",
IF(NOT(AR),"AR-E1CNM28RFT-WW",
IF(EW_TX2028RF_P="Choose","AR-E1CNM28RFT-WW",
IF(EW_TX2028RF_P="Declined","AR-E1CNM28RFT-WW",
IF(EW_TX2028RF_P="N/A","AR-E1CNM28RFT-WW",
IF(EW_TX2028RF_P=" ","AR-E1CNM28RFT-WW",
IF(EW_TX2028RF_P="Upgrd Std Wty",CONCATENATE("AR-E","1","CNM28RFT-WW"),
CONCATENATE("AR-E",LEFT(EW_TX2028RF_P,1),"CNM28RFT-WW"))))))))</f>
        <v xml:space="preserve"> </v>
      </c>
      <c r="D195" s="181" t="str">
        <f>IF(NOT(Start_Here_Complete)," ",
VLOOKUP(C195,'All Products PL 2022-03-08'!$A$2:$C$4500,2,FALSE))</f>
        <v xml:space="preserve"> </v>
      </c>
      <c r="E195" s="121">
        <f>IF(NOT(Start_Here_Complete),0,
VLOOKUP(C195,'All Products PL 2022-03-08'!$A$2:$C$4500,3,FALSE))</f>
        <v>0</v>
      </c>
      <c r="F195" s="122">
        <f>IF(NOT(Start_Here_Complete),0,
IF(_Dev="Ent",0,
IF(NOT(AR),0,
IF(EW_TX2028RF_P="Choose","Error",
IF(EW_TX2028RF_P=" ",0,
IF(EW_TX2028RF_P="N/A",0,
IF(EW_TX2028RF_P="Declined",0,
IF(EW_TX2028RF_P="Upgrd Std Wty",0,
IF(EW_TX2028RF_P&lt;&gt;"Upgrd Std Wty",Qty_TX2028RF_P,
"Bottom")))))))))</f>
        <v>0</v>
      </c>
      <c r="G195" s="108">
        <f t="shared" si="25"/>
        <v>0</v>
      </c>
      <c r="H195" s="375" t="str">
        <f>IF(OR(F195&gt;0,F195="Error")," TX2028RF-P"," ")</f>
        <v xml:space="preserve"> </v>
      </c>
      <c r="I195" s="217" t="str">
        <f t="shared" si="21"/>
        <v xml:space="preserve"> </v>
      </c>
      <c r="J195" s="143"/>
      <c r="K195" s="143"/>
      <c r="L195" s="143"/>
      <c r="M195" s="202"/>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row>
    <row r="196" spans="1:56" s="8" customFormat="1" ht="26" customHeight="1" x14ac:dyDescent="0.2">
      <c r="A196" s="11"/>
      <c r="B196" s="41"/>
      <c r="C196" s="120" t="str">
        <f>IF(NOT(Start_Here_Complete)," ",
"AR-E0RGT1SM-WW")</f>
        <v xml:space="preserve"> </v>
      </c>
      <c r="D196" s="181" t="str">
        <f>IF(NOT(Start_Here_Complete)," ",
VLOOKUP(C196,'All Products PL 2022-03-08'!$A$2:$C$4500,2,FALSE))</f>
        <v xml:space="preserve"> </v>
      </c>
      <c r="E196" s="121">
        <f>IF(NOT(Start_Here_Complete),0,
VLOOKUP(C196,'All Products PL 2022-03-08'!$A$2:$C$4500,3,FALSE))</f>
        <v>0</v>
      </c>
      <c r="F196" s="122">
        <f>IF(NOT(Start_Here_Complete),0,
IF(_Dev="Ent",0,
IF(NOT(AR),0,
IF(EW_cnRanger_101_SM="Choose","Error",
IF(EW_cnRanger_101_SM=" ",0,
IF(EW_cnRanger_101_SM="N/A",0,
IF(EW_cnRanger_101_SM="Declined",0,
IF(EW_cnRanger_101_SM="Upgrd Std Wty",Qty_cnRanger_101_SM,
0))))))))</f>
        <v>0</v>
      </c>
      <c r="G196" s="108">
        <f t="shared" si="22"/>
        <v>0</v>
      </c>
      <c r="H196" s="375" t="str">
        <f>IF(OR(F196&gt;0,F196="Error")," cnRanger 101 SM"," ")</f>
        <v xml:space="preserve"> </v>
      </c>
      <c r="I196" s="217" t="str">
        <f t="shared" si="21"/>
        <v xml:space="preserve"> </v>
      </c>
      <c r="J196" s="143"/>
      <c r="K196" s="143"/>
      <c r="L196" s="143"/>
      <c r="M196" s="202"/>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row>
    <row r="197" spans="1:56" s="8" customFormat="1" ht="26" customHeight="1" x14ac:dyDescent="0.2">
      <c r="A197" s="11"/>
      <c r="B197" s="41"/>
      <c r="C197" s="120" t="str">
        <f>IF(NOT(Start_Here_Complete)," ",
IF(NOT(AR),CONCATENATE("AR-E","1","RGT1SM-WW"),
IF(EW_cnRanger_101_SM="Choose",CONCATENATE("AR-E","1","RGT1SM-WW"),
IF(EW_cnRanger_101_SM="Declined",CONCATENATE("AR_cnRanger_101_SM-E","1","RGT1SM-WW"),
IF(EW_cnRanger_101_SM="N/A",CONCATENATE("AR-E","1","RGT1SM-WW"),
IF(EW_cnRanger_101_SM=" ",CONCATENATE("AR-E","1","RGT1SM-WW"),
IF(EW_cnRanger_101_SM="Upgrd Std Wty",CONCATENATE("AR-E","1","RGT1SM-WW"),
CONCATENATE("AR-E",LEFT(EW_cnRanger_101_SM,1),"RGT1SM-WW"))))))))</f>
        <v xml:space="preserve"> </v>
      </c>
      <c r="D197" s="181" t="str">
        <f>IF(NOT(Start_Here_Complete)," ",
VLOOKUP(C197,'All Products PL 2022-03-08'!$A$2:$C$4500,2,FALSE))</f>
        <v xml:space="preserve"> </v>
      </c>
      <c r="E197" s="121">
        <f>IF(NOT(Start_Here_Complete),0,
VLOOKUP(C197,'All Products PL 2022-03-08'!$A$2:$C$4500,3,FALSE))</f>
        <v>0</v>
      </c>
      <c r="F197" s="122">
        <f>IF(NOT(Start_Here_Complete),0,
IF(_Dev="Ent",0,
IF(NOT(AR),0,
IF(EW_cnRanger_101_SM="Choose","Error",
IF(EW_cnRanger_101_SM=" ",0,
IF(EW_cnRanger_101_SM="N/A",0,
IF(EW_cnRanger_101_SM="Declined",0,
IF(EW_cnRanger_101_SM="Upgrd Std Wty",0,
IF(EW_cnRanger_101_SM&lt;&gt;"Upgrd Std Wty",Qty_cnRanger_101_SM,
"Bottom")))))))))</f>
        <v>0</v>
      </c>
      <c r="G197" s="108">
        <f t="shared" si="22"/>
        <v>0</v>
      </c>
      <c r="H197" s="375" t="str">
        <f>IF(OR(F197&gt;0,F197="Error")," cnRanger 101 SM"," ")</f>
        <v xml:space="preserve"> </v>
      </c>
      <c r="I197" s="217" t="str">
        <f t="shared" si="21"/>
        <v xml:space="preserve"> </v>
      </c>
      <c r="J197" s="143"/>
      <c r="K197" s="143"/>
      <c r="L197" s="143"/>
      <c r="M197" s="202"/>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row>
    <row r="198" spans="1:56" s="8" customFormat="1" ht="26" customHeight="1" x14ac:dyDescent="0.2">
      <c r="A198" s="11"/>
      <c r="B198" s="41"/>
      <c r="C198" s="120" t="str">
        <f>IF(NOT(Start_Here_Complete)," ",
"AR-E0RGT2SM-WW")</f>
        <v xml:space="preserve"> </v>
      </c>
      <c r="D198" s="181" t="str">
        <f>IF(NOT(Start_Here_Complete)," ",
VLOOKUP(C198,'All Products PL 2022-03-08'!$A$2:$C$4500,2,FALSE))</f>
        <v xml:space="preserve"> </v>
      </c>
      <c r="E198" s="121">
        <f>IF(NOT(Start_Here_Complete),0,
VLOOKUP(C198,'All Products PL 2022-03-08'!$A$2:$C$4500,3,FALSE))</f>
        <v>0</v>
      </c>
      <c r="F198" s="122">
        <f>IF(NOT(Start_Here_Complete),0,
IF(_Dev="Ent",0,
IF(NOT(AR),0,
IF(EW_cnRanger_201_SM="Choose","Error",
IF(EW_cnRanger_201_SM=" ",0,
IF(EW_cnRanger_201_SM="N/A",0,
IF(EW_cnRanger_201_SM="Declined",0,
IF(EW_cnRanger_201_SM="Upgrd Std Wty",Qty_cnRanger_201_SM,
0))))))))</f>
        <v>0</v>
      </c>
      <c r="G198" s="108">
        <f t="shared" si="22"/>
        <v>0</v>
      </c>
      <c r="H198" s="375" t="str">
        <f>IF(OR(F198&gt;0,F198="Error")," cnRanger 201 SM"," ")</f>
        <v xml:space="preserve"> </v>
      </c>
      <c r="I198" s="217" t="str">
        <f t="shared" si="21"/>
        <v xml:space="preserve"> </v>
      </c>
      <c r="J198" s="143"/>
      <c r="K198" s="143"/>
      <c r="L198" s="143"/>
      <c r="M198" s="202"/>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row>
    <row r="199" spans="1:56" s="8" customFormat="1" ht="26" customHeight="1" x14ac:dyDescent="0.2">
      <c r="A199" s="11"/>
      <c r="B199" s="41"/>
      <c r="C199" s="120" t="str">
        <f>IF(NOT(Start_Here_Complete)," ",
IF(NOT(AR),CONCATENATE("AR-E","1","RGT2SM-WW"),
IF(EW_cnRanger_201_SM="Choose",CONCATENATE("AR-E","1","RGT2SM-WW"),
IF(EW_cnRanger_201_SM="Declined",CONCATENATE("AR-E","1","RGT2SM-WW"),
IF(EW_cnRanger_201_SM="N/A",CONCATENATE("AR-E","1","RGT2SM-WW"),
IF(EW_cnRanger_201_SM=" ",CONCATENATE("AR-E","1","RGT2SM-WW"),
IF(EW_cnRanger_201_SM="Upgrd Std Wty",CONCATENATE("AR-E","1","RGT2SM-WW"),
CONCATENATE("AR-E",LEFT(EW_cnRanger_201_SM,1),"RGT2SM-WW"))))))))</f>
        <v xml:space="preserve"> </v>
      </c>
      <c r="D199" s="181" t="str">
        <f>IF(NOT(Start_Here_Complete)," ",
VLOOKUP(C199,'All Products PL 2022-03-08'!$A$2:$C$4500,2,FALSE))</f>
        <v xml:space="preserve"> </v>
      </c>
      <c r="E199" s="121">
        <f>IF(NOT(Start_Here_Complete),0,
VLOOKUP(C199,'All Products PL 2022-03-08'!$A$2:$C$4500,3,FALSE))</f>
        <v>0</v>
      </c>
      <c r="F199" s="122">
        <f>IF(NOT(Start_Here_Complete),0,
IF(_Dev="Ent",0,
IF(NOT(AR),0,
IF(EW_cnRanger_201_SM="Choose","Error",
IF(EW_cnRanger_201_SM=" ",0,
IF(EW_cnRanger_201_SM="N/A",0,
IF(EW_cnRanger_201_SM="Declined",0,
IF(EW_cnRanger_201_SM="Upgrd Std Wty",0,
IF(EW_cnRanger_201_SM&lt;&gt;"Upgrd Std Wty",Qty_cnRanger_201_SM,
"Bottom")))))))))</f>
        <v>0</v>
      </c>
      <c r="G199" s="108">
        <f t="shared" si="22"/>
        <v>0</v>
      </c>
      <c r="H199" s="375" t="str">
        <f>IF(OR(F199&gt;0,F199="Error")," cnRanger 201 SM"," ")</f>
        <v xml:space="preserve"> </v>
      </c>
      <c r="I199" s="217" t="str">
        <f t="shared" si="21"/>
        <v xml:space="preserve"> </v>
      </c>
      <c r="J199" s="143"/>
      <c r="K199" s="143"/>
      <c r="L199" s="143"/>
      <c r="M199" s="202"/>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row>
    <row r="200" spans="1:56" s="8" customFormat="1" ht="26" customHeight="1" x14ac:dyDescent="0.2">
      <c r="A200" s="11"/>
      <c r="B200" s="41"/>
      <c r="C200" s="120" t="str">
        <f>IF(NOT(Start_Here_Complete)," ",
"AR-E0L888BU-WW")</f>
        <v xml:space="preserve"> </v>
      </c>
      <c r="D200" s="181" t="str">
        <f>IF(NOT(Start_Here_Complete)," ",
VLOOKUP(C200,'All Products PL 2022-03-08'!$A$2:$C$4500,2,FALSE))</f>
        <v xml:space="preserve"> </v>
      </c>
      <c r="E200" s="121">
        <f>IF(NOT(Start_Here_Complete),0,
VLOOKUP(C200,'All Products PL 2022-03-08'!$A$2:$C$4500,3,FALSE))</f>
        <v>0</v>
      </c>
      <c r="F200" s="122">
        <f>IF(NOT(Start_Here_Complete),0,
IF(_Dev="Ent",0,
IF(NOT(AR),0,
IF(EW_cnRanger_BBU="Choose","Error",
IF(EW_cnRanger_BBU=" ",0,
IF(EW_cnRanger_BBU="N/A",0,
IF(EW_cnRanger_BBU="Declined",0,
IF(EW_cnRanger_BBU="Upgrd Std Wty",Qty_cnRanger_BBU,
0))))))))</f>
        <v>0</v>
      </c>
      <c r="G200" s="108">
        <f>IF(NOT(Start_Here_Complete),0,
IF(F200="Error",0,
E200*F200))</f>
        <v>0</v>
      </c>
      <c r="H200" s="375" t="str">
        <f>IF(OR(F200&gt;0,F200="Error")," cnRanger RRH"," ")</f>
        <v xml:space="preserve"> </v>
      </c>
      <c r="I200" s="217" t="str">
        <f>IF(F200="Error","Return to the product selection worksheet and choose ""Add'l Years""",
" ")</f>
        <v xml:space="preserve"> </v>
      </c>
      <c r="J200" s="143"/>
      <c r="K200" s="143"/>
      <c r="L200" s="143"/>
      <c r="M200" s="202"/>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row>
    <row r="201" spans="1:56" s="8" customFormat="1" ht="26" customHeight="1" x14ac:dyDescent="0.2">
      <c r="A201" s="11"/>
      <c r="B201" s="41"/>
      <c r="C201" s="120" t="str">
        <f>IF(NOT(Start_Here_Complete)," ",
IF(NOT(AR),CONCATENATE("AR-E","1","L888BU-WW"),
IF(EW_cnRanger_BBU="Choose",CONCATENATE("AR-E","1","L888BU-WW"),
IF(EW_cnRanger_BBU="Declined",CONCATENATE("AR-E","1","L888BU-WW"),
IF(EW_cnRanger_BBU="N/A",CONCATENATE("AR-E","1","L888BU-WW"),
IF(EW_cnRanger_BBU=" ",CONCATENATE("AR-E","1","L888BU-WW"),
IF(EW_cnRanger_BBU="Upgrd Std Wty",CONCATENATE("AR-E","1","L888BU-WW"),
CONCATENATE("AR-E",LEFT(EW_cnRanger_BBU,1),"L888BU-WW"))))))))</f>
        <v xml:space="preserve"> </v>
      </c>
      <c r="D201" s="181" t="str">
        <f>IF(NOT(Start_Here_Complete)," ",
VLOOKUP(C201,'All Products PL 2022-03-08'!$A$2:$C$4500,2,FALSE))</f>
        <v xml:space="preserve"> </v>
      </c>
      <c r="E201" s="121">
        <f>IF(NOT(Start_Here_Complete),0,
VLOOKUP(C201,'All Products PL 2022-03-08'!$A$2:$C$4500,3,FALSE))</f>
        <v>0</v>
      </c>
      <c r="F201" s="122">
        <f>IF(NOT(Start_Here_Complete),0,
IF(_Dev="Ent",0,
IF(NOT(AR),0,
IF(EW_cnRanger_BBU="Choose","Error",
IF(EW_cnRanger_BBU=" ",0,
IF(EW_cnRanger_BBU="N/A",0,
IF(EW_cnRanger_BBU="Declined",0,
IF(EW_cnRanger_BBU="Upgrd Std Wty",0,
IF(EW_cnRanger_BBU&lt;&gt;"Upgrd Std Wty",Qty_cnRanger_BBU,
"Bottom")))))))))</f>
        <v>0</v>
      </c>
      <c r="G201" s="108">
        <f>IF(NOT(Start_Here_Complete),0,
IF(F201="Error",0,
E201*F201))</f>
        <v>0</v>
      </c>
      <c r="H201" s="375" t="str">
        <f>IF(OR(F201&gt;0,F201="Error")," cnRanger RRH"," ")</f>
        <v xml:space="preserve"> </v>
      </c>
      <c r="I201" s="217" t="str">
        <f>IF(F201="Error","Return to the product selection worksheet and choose ""Add'l Years""",
" ")</f>
        <v xml:space="preserve"> </v>
      </c>
      <c r="J201" s="143"/>
      <c r="K201" s="143"/>
      <c r="L201" s="143"/>
      <c r="M201" s="202"/>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row>
    <row r="202" spans="1:56" s="8" customFormat="1" ht="26" customHeight="1" x14ac:dyDescent="0.2">
      <c r="A202" s="11"/>
      <c r="B202" s="41"/>
      <c r="C202" s="120" t="str">
        <f>IF(NOT(Start_Here_Complete)," ",
"AR-E0L220RH-WW")</f>
        <v xml:space="preserve"> </v>
      </c>
      <c r="D202" s="181" t="str">
        <f>IF(NOT(Start_Here_Complete)," ",
VLOOKUP(C202,'All Products PL 2022-03-08'!$A$2:$C$4500,2,FALSE))</f>
        <v xml:space="preserve"> </v>
      </c>
      <c r="E202" s="121">
        <f>IF(NOT(Start_Here_Complete),0,
VLOOKUP(C202,'All Products PL 2022-03-08'!$A$2:$C$4500,3,FALSE))</f>
        <v>0</v>
      </c>
      <c r="F202" s="122">
        <f>IF(NOT(Start_Here_Complete),0,
IF(_Dev="Ent",0,
IF(NOT(AR),0,
IF(EW_cnRanger_RRH="Choose","Error",
IF(EW_cnRanger_RRH=" ",0,
IF(EW_cnRanger_RRH="N/A",0,
IF(EW_cnRanger_RRH="Declined",0,
IF(EW_cnRanger_RRH="Upgrd Std Wty",Qty_cnRanger_RRH,
0))))))))</f>
        <v>0</v>
      </c>
      <c r="G202" s="108">
        <f t="shared" si="22"/>
        <v>0</v>
      </c>
      <c r="H202" s="375" t="str">
        <f>IF(OR(F202&gt;0,F202="Error")," cnRanger BBU"," ")</f>
        <v xml:space="preserve"> </v>
      </c>
      <c r="I202" s="217" t="str">
        <f t="shared" si="21"/>
        <v xml:space="preserve"> </v>
      </c>
      <c r="J202" s="143"/>
      <c r="K202" s="143"/>
      <c r="L202" s="143"/>
      <c r="M202" s="202"/>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row>
    <row r="203" spans="1:56" s="8" customFormat="1" ht="26" customHeight="1" x14ac:dyDescent="0.2">
      <c r="A203" s="11"/>
      <c r="B203" s="41"/>
      <c r="C203" s="120" t="str">
        <f>IF(NOT(Start_Here_Complete)," ",
IF(NOT(AR),CONCATENATE("AR-E","1","L220RH-WW"),
IF(EW_cnRanger_RRH="Choose",CONCATENATE("AR-E","1","L220RH-WW"),
IF(EW_cnRanger_RRH="Declined",CONCATENATE("AR-E","1","L220RH-WW"),
IF(EW_cnRanger_RRH="N/A",CONCATENATE("AR-E","1","L220RH-WW"),
IF(EW_cnRanger_RRH=" ",CONCATENATE("AR-E","1","L220RH-WW"),
IF(EW_cnRanger_RRH="Upgrd Std Wty",CONCATENATE("AR-E","1","L220RH-WW"),
CONCATENATE("AR-E",LEFT(EW_cnRanger_RRH,1),"L220RH-WW"))))))))</f>
        <v xml:space="preserve"> </v>
      </c>
      <c r="D203" s="181" t="str">
        <f>IF(NOT(Start_Here_Complete)," ",
VLOOKUP(C203,'All Products PL 2022-03-08'!$A$2:$C$4500,2,FALSE))</f>
        <v xml:space="preserve"> </v>
      </c>
      <c r="E203" s="121">
        <f>IF(NOT(Start_Here_Complete),0,
VLOOKUP(C203,'All Products PL 2022-03-08'!$A$2:$C$4500,3,FALSE))</f>
        <v>0</v>
      </c>
      <c r="F203" s="122">
        <f>IF(NOT(Start_Here_Complete),0,
IF(_Dev="Ent",0,
IF(NOT(AR),0,
IF(EW_cnRanger_RRH="Choose","Error",
IF(EW_cnRanger_RRH=" ",0,
IF(EW_cnRanger_RRH="N/A",0,
IF(EW_cnRanger_RRH="Declined",0,
IF(EW_cnRanger_RRH="Upgrd Std Wty",0,
IF(EW_cnRanger_RRH&lt;&gt;"Upgrd Std Wty",Qty_cnRanger_RRH,
"Bottom")))))))))</f>
        <v>0</v>
      </c>
      <c r="G203" s="108">
        <f t="shared" si="22"/>
        <v>0</v>
      </c>
      <c r="H203" s="375" t="str">
        <f>IF(OR(F203&gt;0,F203="Error")," cnRanger BBU"," ")</f>
        <v xml:space="preserve"> </v>
      </c>
      <c r="I203" s="217" t="str">
        <f t="shared" si="21"/>
        <v xml:space="preserve"> </v>
      </c>
      <c r="J203" s="143"/>
      <c r="K203" s="143"/>
      <c r="L203" s="143"/>
      <c r="M203" s="202"/>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row>
    <row r="204" spans="1:56" s="8" customFormat="1" ht="26" customHeight="1" x14ac:dyDescent="0.2">
      <c r="A204" s="11"/>
      <c r="B204" s="41"/>
      <c r="C204" s="120" t="str">
        <f>IF(NOT(Start_Here_Complete)," ",
"AR-E0CNWV1000-WW")</f>
        <v xml:space="preserve"> </v>
      </c>
      <c r="D204" s="181" t="str">
        <f>IF(NOT(Start_Here_Complete)," ",
VLOOKUP(C204,'All Products PL 2022-03-08'!$A$2:$C$4500,2,FALSE))</f>
        <v xml:space="preserve"> </v>
      </c>
      <c r="E204" s="121">
        <f>IF(NOT(Start_Here_Complete),0,
VLOOKUP(C204,'All Products PL 2022-03-08'!$A$2:$C$4500,3,FALSE))</f>
        <v>0</v>
      </c>
      <c r="F204" s="122">
        <f>IF(NOT(Start_Here_Complete),0,
IF(_Dev="FWB",0,
IF(X_AdvYes,0,
IF(NOT(AR),0,
IF(EW_V1000_Client_Node="Choose","Error",
IF(EW_V1000_Client_Node=" ",0,
IF(EW_V1000_Client_Node="N/A",0,
IF(EW_V1000_Client_Node="Declined",0,
IF(EW_V1000_Client_Node="Upgrd Std Wty",Qty_V1000_Client_Node,
0)))))))))</f>
        <v>0</v>
      </c>
      <c r="G204" s="108">
        <f t="shared" si="22"/>
        <v>0</v>
      </c>
      <c r="H204" s="375" t="str">
        <f>IF(OR(F204&gt;0,F204="Error")," 60 GHz V1000 Client Node"," ")</f>
        <v xml:space="preserve"> </v>
      </c>
      <c r="I204" s="217" t="str">
        <f t="shared" si="21"/>
        <v xml:space="preserve"> </v>
      </c>
      <c r="J204" s="143"/>
      <c r="K204" s="143"/>
      <c r="L204" s="143"/>
      <c r="M204" s="202"/>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row>
    <row r="205" spans="1:56" s="8" customFormat="1" ht="26" customHeight="1" x14ac:dyDescent="0.2">
      <c r="A205" s="11"/>
      <c r="B205" s="41"/>
      <c r="C205" s="120" t="str">
        <f>IF(NOT(Start_Here_Complete)," ",
IF(NOT(AR),CONCATENATE("AR-E","1","CNWV1000-WW"),
IF(EW_V1000_Client_Node="Choose",CONCATENATE("AR-E","1","CNWV1000-WW"),
IF(EW_V1000_Client_Node="Declined",CONCATENATE("AR-E","1","CNWV1000-WW"),
IF(EW_V1000_Client_Node="N/A",CONCATENATE("AR-E","1","CNWV1000-WW"),
IF(EW_V1000_Client_Node=" ",CONCATENATE("AR-E","1","CNWV1000-WW"),
IF(EW_V1000_Client_Node="Upgrd Std Wty",CONCATENATE("AR-E","1","CNWV1000-WW"),
CONCATENATE("EW-E",LEFT(EW_V1000_Client_Node,1),"CNWV1000-WW"))))))))</f>
        <v xml:space="preserve"> </v>
      </c>
      <c r="D205" s="181" t="str">
        <f>IF(NOT(Start_Here_Complete)," ",
VLOOKUP(C205,'All Products PL 2022-03-08'!$A$2:$C$4500,2,FALSE))</f>
        <v xml:space="preserve"> </v>
      </c>
      <c r="E205" s="121">
        <f>IF(NOT(Start_Here_Complete),0,
VLOOKUP(C205,'All Products PL 2022-03-08'!$A$2:$C$4500,3,FALSE))</f>
        <v>0</v>
      </c>
      <c r="F205" s="122">
        <f>IF(NOT(Start_Here_Complete),0,
IF(_Dev="FWB",0,
IF(X_AdvYes,0,
IF(NOT(AR),0,
IF(EW_V1000_Client_Node="Choose","Error",
IF(EW_V1000_Client_Node=" ",0,
IF(EW_V1000_Client_Node="N/A",0,
IF(EW_V1000_Client_Node="Declined",0,
IF(EW_V1000_Client_Node="Upgrd Std Wty",0,
IF(EW_V1000_Client_Node&lt;&gt;"Upgrd Std Wty",Qty_V1000_Client_Node,
"Bottom"))))))))))</f>
        <v>0</v>
      </c>
      <c r="G205" s="108">
        <f t="shared" si="22"/>
        <v>0</v>
      </c>
      <c r="H205" s="375" t="str">
        <f>IF(OR(F205&gt;0,F205="Error")," 60 GHz V1000 Client Node"," ")</f>
        <v xml:space="preserve"> </v>
      </c>
      <c r="I205" s="217" t="str">
        <f t="shared" si="21"/>
        <v xml:space="preserve"> </v>
      </c>
      <c r="J205" s="143"/>
      <c r="K205" s="143"/>
      <c r="L205" s="143"/>
      <c r="M205" s="202"/>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row>
    <row r="206" spans="1:56" s="8" customFormat="1" ht="26" customHeight="1" x14ac:dyDescent="0.2">
      <c r="A206" s="11"/>
      <c r="B206" s="41"/>
      <c r="C206" s="120" t="str">
        <f>IF(NOT(Start_Here_Complete)," ",
"AR-E0CNWV3000-WW")</f>
        <v xml:space="preserve"> </v>
      </c>
      <c r="D206" s="181" t="str">
        <f>IF(NOT(Start_Here_Complete)," ",
VLOOKUP(C206,'All Products PL 2022-03-08'!$A$2:$C$4500,2,FALSE))</f>
        <v xml:space="preserve"> </v>
      </c>
      <c r="E206" s="121">
        <f>IF(NOT(Start_Here_Complete),0,
VLOOKUP(C206,'All Products PL 2022-03-08'!$A$2:$C$4500,3,FALSE))</f>
        <v>0</v>
      </c>
      <c r="F206" s="122">
        <f>IF(NOT(Start_Here_Complete),0,
IF(_Dev="FWB",0,
IF(X_AdvYes,0,
IF(NOT(AR),0,
IF(EW_V3000_Client_Node="Choose","Error",
IF(EW_V3000_Client_Node=" ",0,
IF(EW_V3000_Client_Node="N/A",0,
IF(EW_V3000_Client_Node="Declined",0,
IF(EW_V3000_Client_Node="Upgrd Std Wty",Qty_V3000_Client_Node,
0)))))))))</f>
        <v>0</v>
      </c>
      <c r="G206" s="108">
        <f t="shared" si="22"/>
        <v>0</v>
      </c>
      <c r="H206" s="375" t="str">
        <f>IF(OR(F206&gt;0,F206="Error")," 60 GHz V3000 Client Node"," ")</f>
        <v xml:space="preserve"> </v>
      </c>
      <c r="I206" s="217" t="str">
        <f t="shared" si="21"/>
        <v xml:space="preserve"> </v>
      </c>
      <c r="J206" s="143"/>
      <c r="K206" s="143"/>
      <c r="L206" s="143"/>
      <c r="M206" s="202"/>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row>
    <row r="207" spans="1:56" s="8" customFormat="1" ht="26" customHeight="1" x14ac:dyDescent="0.2">
      <c r="A207" s="11"/>
      <c r="B207" s="41"/>
      <c r="C207" s="120" t="str">
        <f>IF(NOT(Start_Here_Complete)," ",
IF(NOT(AR),CONCATENATE("AR-E","1","CNWV3000-WW"),
IF(EW_V3000_Client_Node="Choose",CONCATENATE("AR-E","1","CNWV3000-WW"),
IF(EW_V3000_Client_Node="Declined",CONCATENATE("AR-E","1","CNWV3000-WW"),
IF(EW_V3000_Client_Node="N/A",CONCATENATE("AR-E","1","CNWV3000-WW"),
IF(EW_V3000_Client_Node=" ",CONCATENATE("AR-E","1","CNWV3000-WW"),
IF(EW_V3000_Client_Node="Upgrd Std Wty",CONCATENATE("AR-E","1","CNWV3000-WW"),
CONCATENATE("EW-E",LEFT(EW_V3000_Client_Node,1),"CNWV3000-WW"))))))))</f>
        <v xml:space="preserve"> </v>
      </c>
      <c r="D207" s="181" t="str">
        <f>IF(NOT(Start_Here_Complete)," ",
VLOOKUP(C207,'All Products PL 2022-03-08'!$A$2:$C$4500,2,FALSE))</f>
        <v xml:space="preserve"> </v>
      </c>
      <c r="E207" s="121">
        <f>IF(NOT(Start_Here_Complete),0,
VLOOKUP(C207,'All Products PL 2022-03-08'!$A$2:$C$4500,3,FALSE))</f>
        <v>0</v>
      </c>
      <c r="F207" s="122">
        <f>IF(NOT(Start_Here_Complete),0,
IF(_Dev="FWB",0,
IF(X_AdvYes,0,
IF(NOT(AR),0,
IF(EW_V3000_Client_Node="Choose","Error",
IF(EW_V3000_Client_Node=" ",0,
IF(EW_V3000_Client_Node="N/A",0,
IF(EW_V3000_Client_Node="Declined",0,
IF(EW_V3000_Client_Node="Upgrd Std Wty",0,
IF(EW_V3000_Client_Node&lt;&gt;"Upgrd Std Wty",Qty_V3000_Client_Node,
"Bottom"))))))))))</f>
        <v>0</v>
      </c>
      <c r="G207" s="108">
        <f t="shared" si="22"/>
        <v>0</v>
      </c>
      <c r="H207" s="375" t="str">
        <f>IF(OR(F207&gt;0,F207="Error")," 60 GHz V3000 Client Node"," ")</f>
        <v xml:space="preserve"> </v>
      </c>
      <c r="I207" s="217" t="str">
        <f t="shared" si="21"/>
        <v xml:space="preserve"> </v>
      </c>
      <c r="J207" s="143"/>
      <c r="K207" s="143"/>
      <c r="L207" s="143"/>
      <c r="M207" s="202"/>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row>
    <row r="208" spans="1:56" s="8" customFormat="1" ht="26" customHeight="1" x14ac:dyDescent="0.2">
      <c r="A208" s="11"/>
      <c r="B208" s="41"/>
      <c r="C208" s="120" t="str">
        <f>IF(NOT(Start_Here_Complete)," ",
"AR-E0CNWV5000-WW")</f>
        <v xml:space="preserve"> </v>
      </c>
      <c r="D208" s="181" t="str">
        <f>IF(NOT(Start_Here_Complete)," ",
VLOOKUP(C208,'All Products PL 2022-03-08'!$A$2:$C$4500,2,FALSE))</f>
        <v xml:space="preserve"> </v>
      </c>
      <c r="E208" s="121">
        <f>IF(NOT(Start_Here_Complete),0,
VLOOKUP(C208,'All Products PL 2022-03-08'!$A$2:$C$4500,3,FALSE))</f>
        <v>0</v>
      </c>
      <c r="F208" s="122">
        <f>IF(NOT(Start_Here_Complete),0,
IF(_Dev="FWB",0,
IF(X_AdvYes,0,
IF(NOT(AR),0,
IF(EW_V5000_Distribution_Node="Choose","Error",
IF(EW_V5000_Distribution_Node=" ",0,
IF(EW_V5000_Distribution_Node="N/A",0,
IF(EW_V5000_Distribution_Node="Declined",0,
IF(EW_V5000_Distribution_Node="Upgrd Std Wty",Qty_V5000_Distribution_Node,
0)))))))))</f>
        <v>0</v>
      </c>
      <c r="G208" s="108">
        <f t="shared" si="22"/>
        <v>0</v>
      </c>
      <c r="H208" s="375" t="str">
        <f>IF(OR(F208&gt;0,F208="Error")," 60 GHz V5000 Distribution Node"," ")</f>
        <v xml:space="preserve"> </v>
      </c>
      <c r="I208" s="217" t="str">
        <f t="shared" si="21"/>
        <v xml:space="preserve"> </v>
      </c>
      <c r="J208" s="143"/>
      <c r="K208" s="143"/>
      <c r="L208" s="143"/>
      <c r="M208" s="202"/>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row>
    <row r="209" spans="1:56" s="8" customFormat="1" ht="26" customHeight="1" x14ac:dyDescent="0.2">
      <c r="A209" s="11"/>
      <c r="B209" s="41"/>
      <c r="C209" s="120" t="str">
        <f>IF(NOT(Start_Here_Complete)," ",
IF(NOT(AR),CONCATENATE("AR-E","1","CNWV5000-WW"),
IF(EW_V5000_Distribution_Node="Choose",CONCATENATE("AR-E","1","CNWV5000-WW"),
IF(EW_V5000_Distribution_Node="Declined",CONCATENATE("AR-E","1","CNWV5000-WW"),
IF(EW_V5000_Distribution_Node="N/A",CONCATENATE("AR-E","1","CNWV5000-WW"),
IF(EW_V5000_Distribution_Node=" ",CONCATENATE("AR-E","1","CNWV5000-WW"),
IF(EW_V5000_Distribution_Node="Upgrd Std Wty",CONCATENATE("AR-E","1","CNWV5000-WW"),
CONCATENATE("EW-E",LEFT(EW_V5000_Distribution_Node,1),"CNWV5000-WW"))))))))</f>
        <v xml:space="preserve"> </v>
      </c>
      <c r="D209" s="181" t="str">
        <f>IF(NOT(Start_Here_Complete)," ",
VLOOKUP(C209,'All Products PL 2022-03-08'!$A$2:$C$4500,2,FALSE))</f>
        <v xml:space="preserve"> </v>
      </c>
      <c r="E209" s="121">
        <f>IF(NOT(Start_Here_Complete),0,
VLOOKUP(C209,'All Products PL 2022-03-08'!$A$2:$C$4500,3,FALSE))</f>
        <v>0</v>
      </c>
      <c r="F209" s="122">
        <f>IF(NOT(Start_Here_Complete),0,
IF(_Dev="FWB",0,
IF(X_AdvYes,0,
IF(NOT(AR),0,
IF(EW_V5000_Distribution_Node="Choose","Error",
IF(EW_V5000_Distribution_Node=" ",0,
IF(EW_V5000_Distribution_Node="N/A",0,
IF(EW_V5000_Distribution_Node="Declined",0,
IF(EW_V5000_Distribution_Node="Upgrd Std Wty",0,
IF(EW_V5000_Distribution_Node&lt;&gt;"Upgrd Std Wty",Qty_V5000_Distribution_Node,
"Bottom"))))))))))</f>
        <v>0</v>
      </c>
      <c r="G209" s="108">
        <f t="shared" si="22"/>
        <v>0</v>
      </c>
      <c r="H209" s="375" t="str">
        <f>IF(OR(F209&gt;0,F209="Error")," 60 GHz V5000 Distribution Node"," ")</f>
        <v xml:space="preserve"> </v>
      </c>
      <c r="I209" s="217" t="str">
        <f t="shared" si="21"/>
        <v xml:space="preserve"> </v>
      </c>
      <c r="J209" s="143"/>
      <c r="K209" s="143"/>
      <c r="L209" s="143"/>
      <c r="M209" s="202"/>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row>
    <row r="210" spans="1:56" s="8" customFormat="1" ht="26" customHeight="1" x14ac:dyDescent="0.2">
      <c r="A210" s="11"/>
      <c r="B210" s="41"/>
      <c r="C210" s="120" t="str">
        <f>IF(NOT(Start_Here_Complete)," ",
"AR-E0PT450I-WW")</f>
        <v xml:space="preserve"> </v>
      </c>
      <c r="D210" s="181" t="str">
        <f>IF(NOT(Start_Here_Complete)," ",
VLOOKUP(C210,'All Products PL 2022-03-08'!$A$2:$C$4500,2,FALSE))</f>
        <v xml:space="preserve"> </v>
      </c>
      <c r="E210" s="121">
        <f>IF(NOT(Start_Here_Complete),0,
VLOOKUP(C210,'All Products PL 2022-03-08'!$A$2:$C$4500,3,FALSE))</f>
        <v>0</v>
      </c>
      <c r="F210" s="122">
        <f>IF(NOT(Start_Here_Complete),0,
IF(_Dev="Ent",0,
IF(NOT(AR),0,
IF(EW_PTP_450i="Choose","Error",
IF(EW_PTP_450i=" ",0,
IF(EW_PTP_450i="N/A",0,
IF(EW_PTP_450i="Declined",0,
IF(EW_PTP_450i="Upgrd Std Wty",Qty_PTP_450i,
0))))))))</f>
        <v>0</v>
      </c>
      <c r="G210" s="108">
        <f t="shared" si="22"/>
        <v>0</v>
      </c>
      <c r="H210" s="375" t="str">
        <f>IF(OR(F210&gt;0,F210="Error")," PTP 450i"," ")</f>
        <v xml:space="preserve"> </v>
      </c>
      <c r="I210" s="217" t="str">
        <f t="shared" si="21"/>
        <v xml:space="preserve"> </v>
      </c>
      <c r="J210" s="143"/>
      <c r="K210" s="143"/>
      <c r="L210" s="143"/>
      <c r="M210" s="202"/>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row>
    <row r="211" spans="1:56" s="8" customFormat="1" ht="26" customHeight="1" x14ac:dyDescent="0.2">
      <c r="A211" s="11"/>
      <c r="B211" s="41"/>
      <c r="C211" s="120" t="str">
        <f>IF(NOT(Start_Here_Complete)," ",
IF(NOT(AR),CONCATENATE("AR-E","1","PT450I-WW"),
IF(EW_PTP_450i="Choose",CONCATENATE("AR-E","1","PT450I-WW"),
IF(EW_PTP_450i="Declined",CONCATENATE("AR-E","1","PT450I-WW"),
IF(EW_PTP_450i="N/A",CONCATENATE("AR-E","1","PT450I-WW"),
IF(EW_PTP_450i=" ",CONCATENATE("AR-E","1","PT450I-WW"),
IF(EW_PTP_450i="Upgrd Std Wty",CONCATENATE("AR-E","1","PT450I-WW"),
CONCATENATE("AR-E",LEFT(EW_PTP_450i,1),"PT450I-WW"))))))))</f>
        <v xml:space="preserve"> </v>
      </c>
      <c r="D211" s="181" t="str">
        <f>IF(NOT(Start_Here_Complete)," ",
VLOOKUP(C211,'All Products PL 2022-03-08'!$A$2:$C$4500,2,FALSE))</f>
        <v xml:space="preserve"> </v>
      </c>
      <c r="E211" s="121">
        <f>IF(NOT(Start_Here_Complete),0,
VLOOKUP(C211,'All Products PL 2022-03-08'!$A$2:$C$4500,3,FALSE))</f>
        <v>0</v>
      </c>
      <c r="F211" s="122">
        <f>IF(NOT(Start_Here_Complete),0,
IF(_Dev="Ent",0,
IF(NOT(AR),0,
IF(EW_PTP_450i="Choose","Error",
IF(EW_PTP_450i=" ",0,
IF(EW_PTP_450i="N/A",0,
IF(EW_PTP_450i="Declined",0,
IF(EW_PTP_450i="Upgrd Std Wty",0,
IF(EW_PTP_450i&lt;&gt;"Upgrd Std Wty",Qty_PTP_450i,
"Bottom")))))))))</f>
        <v>0</v>
      </c>
      <c r="G211" s="108">
        <f t="shared" si="22"/>
        <v>0</v>
      </c>
      <c r="H211" s="375" t="str">
        <f>IF(OR(F211&gt;0,F211="Error")," PTP 450i"," ")</f>
        <v xml:space="preserve"> </v>
      </c>
      <c r="I211" s="217" t="str">
        <f t="shared" si="21"/>
        <v xml:space="preserve"> </v>
      </c>
      <c r="J211" s="143"/>
      <c r="K211" s="143"/>
      <c r="L211" s="143"/>
      <c r="M211" s="202"/>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row>
    <row r="212" spans="1:56" s="8" customFormat="1" ht="26" customHeight="1" x14ac:dyDescent="0.2">
      <c r="A212" s="11"/>
      <c r="B212" s="41"/>
      <c r="C212" s="120" t="str">
        <f>IF(NOT(Start_Here_Complete)," ",
"AR-E0PT550-WW")</f>
        <v xml:space="preserve"> </v>
      </c>
      <c r="D212" s="181" t="str">
        <f>IF(NOT(Start_Here_Complete)," ",
VLOOKUP(C212,'Cambium Care'!$H$2:$J$500,2,FALSE))</f>
        <v xml:space="preserve"> </v>
      </c>
      <c r="E212" s="121">
        <f>IF(NOT(Start_Here_Complete),0,
VLOOKUP(C212,'Cambium Care'!$H$2:$J$500,3,FALSE))</f>
        <v>0</v>
      </c>
      <c r="F212" s="122">
        <f>IF(NOT(Start_Here_Complete),0,
IF(_Dev="Ent",0,
IF(NOT(AR),0,
IF(EW_PTP_550="Choose","Error",
IF(EW_PTP_550=" ",0,
IF(EW_PTP_550="N/A",0,
IF(EW_PTP_550="Declined",0,
IF(EW_PTP_550="Upgrd Std Wty",Qty_PTP_550,
0))))))))</f>
        <v>0</v>
      </c>
      <c r="G212" s="108">
        <f t="shared" si="22"/>
        <v>0</v>
      </c>
      <c r="H212" s="375" t="str">
        <f>IF(OR(F212&gt;0,F212="Error")," PTP 550"," ")</f>
        <v xml:space="preserve"> </v>
      </c>
      <c r="I212" s="217" t="str">
        <f t="shared" si="21"/>
        <v xml:space="preserve"> </v>
      </c>
      <c r="J212" s="143"/>
      <c r="K212" s="143"/>
      <c r="L212" s="143"/>
      <c r="M212" s="202"/>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row>
    <row r="213" spans="1:56" s="8" customFormat="1" ht="26" customHeight="1" x14ac:dyDescent="0.2">
      <c r="A213" s="11"/>
      <c r="B213" s="41"/>
      <c r="C213" s="120" t="str">
        <f>IF(NOT(Start_Here_Complete)," ",
IF(NOT(AR),CONCATENATE("AR-E","1","PT550-WW"),
IF(EW_PTP_550="Choose",CONCATENATE("AR-E","1","PT550-WW"),
IF(EW_PTP_550="Declined",CONCATENATE("AR-E","1","PT550-WW"),
IF(EW_PTP_550="N/A",CONCATENATE("AR-E","1","PT550-WW"),
IF(EW_PTP_550=" ",CONCATENATE("AR-E","1","PT550-WW"),
IF(EW_PTP_550="Upgrd Std Wty",CONCATENATE("AR-E","1","PT550-WW"),
CONCATENATE("AR-E",LEFT(EW_PTP_550,1),"PT550-WW"))))))))</f>
        <v xml:space="preserve"> </v>
      </c>
      <c r="D213" s="181" t="str">
        <f>IF(NOT(Start_Here_Complete)," ",
VLOOKUP(C213,'All Products PL 2022-03-08'!$A$2:$C$4500,2,FALSE))</f>
        <v xml:space="preserve"> </v>
      </c>
      <c r="E213" s="121">
        <f>IF(NOT(Start_Here_Complete),0,
VLOOKUP(C213,'All Products PL 2022-03-08'!$A$2:$C$4500,3,FALSE))</f>
        <v>0</v>
      </c>
      <c r="F213" s="122">
        <f>IF(NOT(Start_Here_Complete),0,
IF(_Dev="Ent",0,
IF(NOT(AR),0,
IF(EW_PTP_550="Choose","Error",
IF(EW_PTP_550=" ",0,
IF(EW_PTP_550="N/A",0,
IF(EW_PTP_550="Declined",0,
IF(EW_PTP_550="Upgrd Std Wty",0,
IF(EW_PTP_550&lt;&gt;"Upgrd Std Wty",Qty_PTP_550,
"Bottom")))))))))</f>
        <v>0</v>
      </c>
      <c r="G213" s="108">
        <f t="shared" si="22"/>
        <v>0</v>
      </c>
      <c r="H213" s="375" t="str">
        <f>IF(OR(F213&gt;0,F213="Error")," PTP 550"," ")</f>
        <v xml:space="preserve"> </v>
      </c>
      <c r="I213" s="217" t="str">
        <f t="shared" si="21"/>
        <v xml:space="preserve"> </v>
      </c>
      <c r="J213" s="143"/>
      <c r="K213" s="143"/>
      <c r="L213" s="143"/>
      <c r="M213" s="202"/>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row>
    <row r="214" spans="1:56" s="8" customFormat="1" ht="26" customHeight="1" x14ac:dyDescent="0.2">
      <c r="A214" s="11"/>
      <c r="B214" s="41"/>
      <c r="C214" s="120" t="str">
        <f>IF(NOT(Start_Here_Complete)," ",
"AR-E0PT6XX-WW")</f>
        <v xml:space="preserve"> </v>
      </c>
      <c r="D214" s="181" t="str">
        <f>IF(NOT(Start_Here_Complete)," ",
VLOOKUP(C214,'All Products PL 2022-03-08'!$A$2:$C$4500,2,FALSE))</f>
        <v xml:space="preserve"> </v>
      </c>
      <c r="E214" s="121">
        <f>IF(NOT(Start_Here_Complete),0,
VLOOKUP(C214,'All Products PL 2022-03-08'!$A$2:$C$4500,3,FALSE))</f>
        <v>0</v>
      </c>
      <c r="F214" s="122">
        <f>IF(NOT(Start_Here_Complete),0,
IF(_Dev="Ent",0,
IF(NOT(AR),0,
IF(EW_PTP_650="Choose","Error",
IF(EW_PTP_650=" ",0,
IF(EW_PTP_650="N/A",0,
IF(EW_PTP_650="Declined",0,
IF(EW_PTP_650="Upgrd Std Wty",Qty_PTP_650,
0))))))))</f>
        <v>0</v>
      </c>
      <c r="G214" s="108">
        <f t="shared" si="22"/>
        <v>0</v>
      </c>
      <c r="H214" s="375" t="str">
        <f>IF(OR(F214&gt;0,F214="Error")," PTP 650"," ")</f>
        <v xml:space="preserve"> </v>
      </c>
      <c r="I214" s="217" t="str">
        <f t="shared" si="21"/>
        <v xml:space="preserve"> </v>
      </c>
      <c r="J214" s="143"/>
      <c r="K214" s="143"/>
      <c r="L214" s="143"/>
      <c r="M214" s="202"/>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row>
    <row r="215" spans="1:56" s="8" customFormat="1" ht="26" customHeight="1" x14ac:dyDescent="0.2">
      <c r="A215" s="11"/>
      <c r="B215" s="41"/>
      <c r="C215" s="120" t="str">
        <f>IF(NOT(Start_Here_Complete)," ",
IF(NOT(AR),CONCATENATE("AR-E","1","PT6XX-WW"),
IF(EW_PTP_650="Choose",CONCATENATE("AR-E","1","PT6XX-WW"),
IF(EW_PTP_650="Declined",CONCATENATE("AREW-E","1","PT6XX-WW"),
IF(EW_PTP_650="N/A",CONCATENATE("AR-E","1","PT6XX-WW"),
IF(EW_PTP_650=" ",CONCATENATE("AR-E","1","PT6XX-WW"),
IF(EW_PTP_650="Upgrd Std Wty",CONCATENATE("AR-E","1","PT6XX-WW"),
CONCATENATE("AR-E",LEFT(EW_PTP_650,1),"PT6XX-WW"))))))))</f>
        <v xml:space="preserve"> </v>
      </c>
      <c r="D215" s="181" t="str">
        <f>IF(NOT(Start_Here_Complete)," ",
VLOOKUP(C215,'All Products PL 2022-03-08'!$A$2:$C$4500,2,FALSE))</f>
        <v xml:space="preserve"> </v>
      </c>
      <c r="E215" s="121">
        <f>IF(NOT(Start_Here_Complete),0,
VLOOKUP(C215,'All Products PL 2022-03-08'!$A$2:$C$4500,3,FALSE))</f>
        <v>0</v>
      </c>
      <c r="F215" s="122">
        <f>IF(NOT(Start_Here_Complete),0,
IF(_Dev="Ent",0,
IF(NOT(AR),0,
IF(EW_PTP_650="Choose","Error",
IF(EW_PTP_650=" ",0,
IF(EW_PTP_650="N/A",0,
IF(EW_PTP_650="Declined",0,
IF(EW_PTP_650="Upgrd Std Wty",0,
IF(EW_PTP_650&lt;&gt;"Upgrd Std Wty",Qty_PTP_650,
"Bottom")))))))))</f>
        <v>0</v>
      </c>
      <c r="G215" s="108">
        <f t="shared" si="22"/>
        <v>0</v>
      </c>
      <c r="H215" s="375" t="str">
        <f>IF(OR(F215&gt;0,F215="Error")," PTP 650"," ")</f>
        <v xml:space="preserve"> </v>
      </c>
      <c r="I215" s="217" t="str">
        <f t="shared" si="21"/>
        <v xml:space="preserve"> </v>
      </c>
      <c r="J215" s="143"/>
      <c r="K215" s="143"/>
      <c r="L215" s="143"/>
      <c r="M215" s="202"/>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row>
    <row r="216" spans="1:56" s="8" customFormat="1" ht="26" customHeight="1" x14ac:dyDescent="0.2">
      <c r="A216" s="11"/>
      <c r="B216" s="41"/>
      <c r="C216" s="120" t="str">
        <f>IF(NOT(Start_Here_Complete)," ",
"AR-E0PT6XX-WW")</f>
        <v xml:space="preserve"> </v>
      </c>
      <c r="D216" s="181" t="str">
        <f>IF(NOT(Start_Here_Complete)," ",
VLOOKUP(C216,'All Products PL 2022-03-08'!$A$2:$C$4500,2,FALSE))</f>
        <v xml:space="preserve"> </v>
      </c>
      <c r="E216" s="121">
        <f>IF(NOT(Start_Here_Complete),0,
VLOOKUP(C216,'All Products PL 2022-03-08'!$A$2:$C$4500,3,FALSE))</f>
        <v>0</v>
      </c>
      <c r="F216" s="122">
        <f>IF(NOT(Start_Here_Complete),0,
IF(_Dev="Ent",0,
IF(NOT(AR),0,
IF(EW_PTP_670="Choose","Error",
IF(EW_PTP_670=" ",0,
IF(EW_PTP_670="N/A",0,
IF(EW_PTP_670="Declined",0,
IF(EW_PTP_670="Upgrd Std Wty",Qty_PTP_670,
0))))))))</f>
        <v>0</v>
      </c>
      <c r="G216" s="108">
        <f t="shared" si="22"/>
        <v>0</v>
      </c>
      <c r="H216" s="375" t="str">
        <f>IF(OR(F216&gt;0,F216="Error")," PTP 670"," ")</f>
        <v xml:space="preserve"> </v>
      </c>
      <c r="I216" s="217" t="str">
        <f t="shared" si="21"/>
        <v xml:space="preserve"> </v>
      </c>
      <c r="J216" s="143"/>
      <c r="K216" s="143"/>
      <c r="L216" s="143"/>
      <c r="M216" s="202"/>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row>
    <row r="217" spans="1:56" s="8" customFormat="1" ht="26" customHeight="1" x14ac:dyDescent="0.2">
      <c r="A217" s="11"/>
      <c r="B217" s="41"/>
      <c r="C217" s="120" t="str">
        <f>IF(NOT(Start_Here_Complete)," ",
IF(NOT(AR),CONCATENATE("AR-E","1","PT6XX-WW"),
IF(EW_PTP_670="Choose",CONCATENATE("AR-E","1","PT6XX-WW"),
IF(EW_PTP_670="Declined",CONCATENATE("AR-E","1","PT6XX-WW"),
IF(EW_PTP_670="N/A",CONCATENATE("AR-E","1","PT6XX-WW"),
IF(EW_PTP_670=" ",CONCATENATE("AR-E","1","PT6XX-WW"),
IF(EW_PTP_670="Upgrd Std Wty",CONCATENATE("AR-E","1","PT6XX-WW"),
CONCATENATE("AR-E",LEFT(EW_PTP_670,1),"PT6XX-WW"))))))))</f>
        <v xml:space="preserve"> </v>
      </c>
      <c r="D217" s="181" t="str">
        <f>IF(NOT(Start_Here_Complete)," ",
VLOOKUP(C217,'All Products PL 2022-03-08'!$A$2:$C$4500,2,FALSE))</f>
        <v xml:space="preserve"> </v>
      </c>
      <c r="E217" s="121">
        <f>IF(NOT(Start_Here_Complete),0,
VLOOKUP(C217,'All Products PL 2022-03-08'!$A$2:$C$4500,3,FALSE))</f>
        <v>0</v>
      </c>
      <c r="F217" s="122">
        <f>IF(NOT(Start_Here_Complete),0,
IF(_Dev="Ent",0,
IF(NOT(AR),0,
IF(EW_PTP_670="Choose","Error",
IF(EW_PTP_670=" ",0,
IF(EW_PTP_670="N/A",0,
IF(EW_PTP_670="Declined",0,
IF(EW_PTP_670="Upgrd Std Wty",0,
IF(EW_PTP_670&lt;&gt;"Upgrd Std Wty",Qty_PTP_670,
"Bottom")))))))))</f>
        <v>0</v>
      </c>
      <c r="G217" s="108">
        <f t="shared" si="22"/>
        <v>0</v>
      </c>
      <c r="H217" s="375" t="str">
        <f>IF(OR(F217&gt;0,F217="Error")," PTP 670"," ")</f>
        <v xml:space="preserve"> </v>
      </c>
      <c r="I217" s="217" t="str">
        <f t="shared" si="21"/>
        <v xml:space="preserve"> </v>
      </c>
      <c r="J217" s="143"/>
      <c r="K217" s="143"/>
      <c r="L217" s="143"/>
      <c r="M217" s="202"/>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row>
    <row r="218" spans="1:56" s="8" customFormat="1" ht="26" customHeight="1" x14ac:dyDescent="0.2">
      <c r="A218" s="11"/>
      <c r="B218" s="41"/>
      <c r="C218" s="120" t="str">
        <f>IF(NOT(Start_Here_Complete)," ",
"AR-E0PT670M-WW")</f>
        <v xml:space="preserve"> </v>
      </c>
      <c r="D218" s="181" t="str">
        <f>IF(NOT(Start_Here_Complete)," ",
VLOOKUP(C218,'All Products PL 2022-03-08'!$A$2:$C$4500,2,FALSE))</f>
        <v xml:space="preserve"> </v>
      </c>
      <c r="E218" s="121">
        <f>IF(NOT(Start_Here_Complete),0,
VLOOKUP(C218,'All Products PL 2022-03-08'!$A$2:$C$4500,3,FALSE))</f>
        <v>0</v>
      </c>
      <c r="F218" s="122">
        <f>IF(NOT(Start_Here_Complete),0,
IF(_Dev="Ent",0,
IF(NOT(AR),0,
IF(EW_PTP_670_Mexico="Choose","Error",
IF(EW_PTP_670_Mexico=" ",0,
IF(EW_PTP_670_Mexico="N/A",0,
IF(EW_PTP_670_Mexico="Declined",0,
IF(EW_PTP_670_Mexico="Upgrd Std Wty",Qty_PTP_670_Mexico,
0))))))))</f>
        <v>0</v>
      </c>
      <c r="G218" s="108">
        <f t="shared" si="22"/>
        <v>0</v>
      </c>
      <c r="H218" s="375" t="str">
        <f>IF(OR(F218&gt;0,F218="Error")," PTP 670 (Mexico)"," ")</f>
        <v xml:space="preserve"> </v>
      </c>
      <c r="I218" s="217" t="str">
        <f t="shared" si="21"/>
        <v xml:space="preserve"> </v>
      </c>
      <c r="J218" s="143"/>
      <c r="K218" s="143"/>
      <c r="L218" s="143"/>
      <c r="M218" s="202"/>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row>
    <row r="219" spans="1:56" s="8" customFormat="1" ht="26" customHeight="1" x14ac:dyDescent="0.2">
      <c r="A219" s="11"/>
      <c r="B219" s="41"/>
      <c r="C219" s="120" t="str">
        <f>IF(NOT(Start_Here_Complete)," ",
IF(NOT(AR),CONCATENATE("AR-E","1","PT670M-WW"),
IF(EW_PTP_670_Mexico="Choose",CONCATENATE("AR-E","1","PT670M-WW"),
IF(EW_PTP_670_Mexico="Declined",CONCATENATE("AR-E","1","PT670M-WW"),
IF(EW_PTP_670_Mexico="N/A",CONCATENATE("AR-E","1","PT670M-WW"),
IF(EW_PTP_670_Mexico=" ",CONCATENATE("AR-E","1","PT670M-WW"),
IF(EW_PTP_670_Mexico="Upgrd Std Wty",CONCATENATE("AR-E","1","PT670M-WW"),
CONCATENATE("AR-E",LEFT(EW_PTP_670_Mexico,1),"PT670M-WW"))))))))</f>
        <v xml:space="preserve"> </v>
      </c>
      <c r="D219" s="181" t="str">
        <f>IF(NOT(Start_Here_Complete)," ",
VLOOKUP(C219,'All Products PL 2022-03-08'!$A$2:$C$4500,2,FALSE))</f>
        <v xml:space="preserve"> </v>
      </c>
      <c r="E219" s="121">
        <f>IF(NOT(Start_Here_Complete),0,
VLOOKUP(C219,'All Products PL 2022-03-08'!$A$2:$C$4500,3,FALSE))</f>
        <v>0</v>
      </c>
      <c r="F219" s="122">
        <f>IF(NOT(Start_Here_Complete),0,
IF(_Dev="Ent",0,
IF(NOT(AR),0,
IF(EW_PTP_670_Mexico="Choose","Error",
IF(EW_PTP_670_Mexico=" ",0,
IF(EW_PTP_670_Mexico="N/A",0,
IF(EW_PTP_670_Mexico="Declined",0,
IF(EW_PTP_670_Mexico="Upgrd Std Wty",0,
IF(EW_PTP_670_Mexico&lt;&gt;"Upgrd Std Wty",Qty_PTP_670_Mexico,
"Bottom")))))))))</f>
        <v>0</v>
      </c>
      <c r="G219" s="108">
        <f t="shared" si="22"/>
        <v>0</v>
      </c>
      <c r="H219" s="375" t="str">
        <f>IF(OR(F219&gt;0,F219="Error")," PTP 670 (Mexico)"," ")</f>
        <v xml:space="preserve"> </v>
      </c>
      <c r="I219" s="217" t="str">
        <f t="shared" si="21"/>
        <v xml:space="preserve"> </v>
      </c>
      <c r="J219" s="143"/>
      <c r="K219" s="143"/>
      <c r="L219" s="143"/>
      <c r="M219" s="202"/>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row>
    <row r="220" spans="1:56" s="8" customFormat="1" ht="26" customHeight="1" x14ac:dyDescent="0.2">
      <c r="A220" s="11"/>
      <c r="B220" s="41"/>
      <c r="C220" s="120" t="str">
        <f>IF(NOT(Start_Here_Complete)," ",
"C000070S005A")</f>
        <v xml:space="preserve"> </v>
      </c>
      <c r="D220" s="181" t="str">
        <f>IF(NOT(Start_Here_Complete)," ",
VLOOKUP(C220,'Cambium Care'!$H$2:$J$500,2,FALSE))</f>
        <v xml:space="preserve"> </v>
      </c>
      <c r="E220" s="121">
        <f>IF(NOT(Start_Here_Complete),0,
VLOOKUP(C220,'Cambium Care'!$H$2:$J$500,3,FALSE))</f>
        <v>0</v>
      </c>
      <c r="F220" s="122">
        <f>IF(NOT(Start_Here_Complete),0,
IF(_Dev="Ent",0,
IF(NOT(AR),0,
IF(EW_PTP_700="Choose","Error",
IF(EW_PTP_700=" ",0,
IF(EW_PTP_700="N/A",0,
IF(EW_PTP_700="Declined",0,
IF(EW_PTP_700="Upgrd Std Wty",Qty_PTP_700,
0))))))))</f>
        <v>0</v>
      </c>
      <c r="G220" s="108">
        <f t="shared" si="22"/>
        <v>0</v>
      </c>
      <c r="H220" s="375" t="str">
        <f>IF(OR(F220&gt;0,F220="Error")," PTP 700"," ")</f>
        <v xml:space="preserve"> </v>
      </c>
      <c r="I220" s="217" t="str">
        <f t="shared" si="21"/>
        <v xml:space="preserve"> </v>
      </c>
      <c r="J220" s="143"/>
      <c r="K220" s="143"/>
      <c r="L220" s="143"/>
      <c r="M220" s="202"/>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row>
    <row r="221" spans="1:56" s="8" customFormat="1" ht="26" customHeight="1" x14ac:dyDescent="0.2">
      <c r="A221" s="11"/>
      <c r="B221" s="41"/>
      <c r="C221" s="120" t="str">
        <f>IF(NOT(Start_Here_Complete)," ",
IF(NOT(AR),"C000070S001A",
IF(EW_PTP_700="Choose","C000070S001A",
IF(EW_PTP_700="Declined","C000070S001A",
IF(EW_PTP_700="N/A","C000070S001A",
IF(EW_PTP_700=" ","C000070S001A",
IF(EW_PTP_700="Upgrd Std Wty","C000070S001A",
CONCATENATE("C000070S00",TEXT((LEFT(EW_PTP_700,1)+5),"0"),"A"))))))))</f>
        <v xml:space="preserve"> </v>
      </c>
      <c r="D221" s="181" t="str">
        <f>IF(NOT(Start_Here_Complete)," ",
VLOOKUP(C221,'Cambium Care'!$H$2:$J$500,2,FALSE))</f>
        <v xml:space="preserve"> </v>
      </c>
      <c r="E221" s="121">
        <f>IF(NOT(Start_Here_Complete),0,
VLOOKUP(C221,'Cambium Care'!$H$2:$J$500,3,FALSE))</f>
        <v>0</v>
      </c>
      <c r="F221" s="122">
        <f>IF(NOT(Start_Here_Complete),0,
IF(_Dev="Ent",0,
IF(NOT(AR),0,
IF(EW_PTP_700="Choose","Error",
IF(EW_PTP_700=" ",0,
IF(EW_PTP_700="N/A",0,
IF(EW_PTP_700="Declined",0,
IF(EW_PTP_700="Upgrd Std Wty",0,
IF(EW_PTP_700&lt;&gt;"Upgrd Std Wty",Qty_PTP_700,
"Bottom")))))))))</f>
        <v>0</v>
      </c>
      <c r="G221" s="108">
        <f t="shared" si="22"/>
        <v>0</v>
      </c>
      <c r="H221" s="375" t="str">
        <f>IF(OR(F221&gt;0,F221="Error")," PTP 700"," ")</f>
        <v xml:space="preserve"> </v>
      </c>
      <c r="I221" s="217" t="str">
        <f t="shared" si="21"/>
        <v xml:space="preserve"> </v>
      </c>
      <c r="J221" s="143"/>
      <c r="K221" s="143"/>
      <c r="L221" s="143"/>
      <c r="M221" s="202"/>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row>
    <row r="222" spans="1:56" s="8" customFormat="1" ht="26" customHeight="1" x14ac:dyDescent="0.2">
      <c r="A222" s="11"/>
      <c r="B222" s="41"/>
      <c r="C222" s="120" t="str">
        <f>IF(NOT(Start_Here_Complete)," ",
"AR-E0PT82DH-WW")</f>
        <v xml:space="preserve"> </v>
      </c>
      <c r="D222" s="181" t="str">
        <f>IF(NOT(Start_Here_Complete)," ",
VLOOKUP(C222,'All Products PL 2022-03-08'!$A$2:$C$4500,2,FALSE))</f>
        <v xml:space="preserve"> </v>
      </c>
      <c r="E222" s="121">
        <f>IF(NOT(Start_Here_Complete),0,
VLOOKUP(C222,'All Products PL 2022-03-08'!$A$2:$C$4500,3,FALSE))</f>
        <v>0</v>
      </c>
      <c r="F222" s="122">
        <f>IF(NOT(Start_Here_Complete),0,
IF(_Dev="Ent",0,
IF(NOT(AR),0,
IF(EW_PTP_820_RFU_D_HP="Choose","Error",
IF(EW_PTP_820_RFU_D_HP=" ",0,
IF(EW_PTP_820_RFU_D_HP="N/A",0,
IF(EW_PTP_820_RFU_D_HP="Declined",0,
IF(EW_PTP_820_RFU_D_HP="Upgrd Std Wty",Qty_PTP_820_RFU_D_HP,
0))))))))</f>
        <v>0</v>
      </c>
      <c r="G222" s="108">
        <f t="shared" si="22"/>
        <v>0</v>
      </c>
      <c r="H222" s="375" t="str">
        <f>IF(OR(F222&gt;0,F222="Error")," PTP 820 RFU-D-HP"," ")</f>
        <v xml:space="preserve"> </v>
      </c>
      <c r="I222" s="217" t="str">
        <f t="shared" si="21"/>
        <v xml:space="preserve"> </v>
      </c>
      <c r="J222" s="143"/>
      <c r="K222" s="143"/>
      <c r="L222" s="143"/>
      <c r="M222" s="202"/>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row>
    <row r="223" spans="1:56" s="8" customFormat="1" ht="26" customHeight="1" x14ac:dyDescent="0.2">
      <c r="A223" s="11"/>
      <c r="B223" s="41"/>
      <c r="C223" s="120" t="str">
        <f>IF(NOT(Start_Here_Complete)," ",
IF(NOT(AR),CONCATENATE("AR-E","1","PT82DH-WW"),
IF(EW_PTP_820_RFU_D_HP="Choose",CONCATENATE("AR-E","1","PT82DH-WW"),
IF(EW_PTP_820_RFU_D_HP="Declined",CONCATENATE("AR-E","1","PT82DH-WW"),
IF(EW_PTP_820_RFU_D_HP="N/A",CONCATENATE("AR-E","1","PT82DH-WW"),
IF(EW_PTP_820_RFU_D_HP=" ",CONCATENATE("AR-E","1","PT82DH-WW"),
IF(EW_PTP_820_RFU_D_HP="Upgrd Std Wty",CONCATENATE("AR-E","1","PT82DH-WW"),
CONCATENATE("AR-E",LEFT(EW_PTP_820_RFU_D_HP,1),"PT82DH-WW"))))))))</f>
        <v xml:space="preserve"> </v>
      </c>
      <c r="D223" s="181" t="str">
        <f>IF(NOT(Start_Here_Complete)," ",
VLOOKUP(C223,'All Products PL 2022-03-08'!$A$2:$C$4500,2,FALSE))</f>
        <v xml:space="preserve"> </v>
      </c>
      <c r="E223" s="121">
        <f>IF(NOT(Start_Here_Complete),0,
VLOOKUP(C223,'All Products PL 2022-03-08'!$A$2:$C$4500,3,FALSE))</f>
        <v>0</v>
      </c>
      <c r="F223" s="122">
        <f>IF(NOT(Start_Here_Complete),0,
IF(_Dev="Ent",0,
IF(NOT(AR),0,
IF(EW_PTP_820_RFU_D_HP="Choose","Error",
IF(EW_PTP_820_RFU_D_HP=" ",0,
IF(EW_PTP_820_RFU_D_HP="N/A",0,
IF(EW_PTP_820_RFU_D_HP="Declined",0,
IF(EW_PTP_820_RFU_D_HP="Upgrd Std Wty",0,
IF(EW_PTP_820_RFU_D_HP&lt;&gt;"Upgrd Std Wty",Qty_PTP_820_RFU_D_HP,
"Bottom")))))))))</f>
        <v>0</v>
      </c>
      <c r="G223" s="108">
        <f t="shared" si="22"/>
        <v>0</v>
      </c>
      <c r="H223" s="375" t="str">
        <f>IF(OR(F223&gt;0,F223="Error")," PTP 820 RFU-D-HP"," ")</f>
        <v xml:space="preserve"> </v>
      </c>
      <c r="I223" s="217" t="str">
        <f t="shared" si="21"/>
        <v xml:space="preserve"> </v>
      </c>
      <c r="J223" s="143"/>
      <c r="K223" s="143"/>
      <c r="L223" s="143"/>
      <c r="M223" s="202"/>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row>
    <row r="224" spans="1:56" s="8" customFormat="1" ht="26" customHeight="1" x14ac:dyDescent="0.2">
      <c r="A224" s="11"/>
      <c r="B224" s="41"/>
      <c r="C224" s="120" t="str">
        <f>IF(NOT(Start_Here_Complete)," ",
"AR-E0PT82D1-WW")</f>
        <v xml:space="preserve"> </v>
      </c>
      <c r="D224" s="181" t="str">
        <f>IF(NOT(Start_Here_Complete)," ",
VLOOKUP(C224,'All Products PL 2022-03-08'!$A$2:$C$4500,2,FALSE))</f>
        <v xml:space="preserve"> </v>
      </c>
      <c r="E224" s="121">
        <f>IF(NOT(Start_Here_Complete),0,
VLOOKUP(C224,'All Products PL 2022-03-08'!$A$2:$C$4500,3,FALSE))</f>
        <v>0</v>
      </c>
      <c r="F224" s="122">
        <f>IF(NOT(Start_Here_Complete),0,
IF(_Dev="Ent",0,
IF(NOT(AR),0,
IF(EW_PTP_820_RFU_D_6="Choose","Error",
IF(EW_PTP_820_RFU_D_6=" ",0,
IF(EW_PTP_820_RFU_D_6="N/A",0,
IF(EW_PTP_820_RFU_D_6="Declined",0,
IF(EW_PTP_820_RFU_D_6="Upgrd Std Wty",Qty_PTP_820_RFU_D_6,
0))))))))</f>
        <v>0</v>
      </c>
      <c r="G224" s="108">
        <f t="shared" si="22"/>
        <v>0</v>
      </c>
      <c r="H224" s="375" t="str">
        <f>IF(OR(F224&gt;0,F224="Error")," PTP 820 RFU-D [6-15GHz]"," ")</f>
        <v xml:space="preserve"> </v>
      </c>
      <c r="I224" s="217" t="str">
        <f t="shared" si="21"/>
        <v xml:space="preserve"> </v>
      </c>
      <c r="J224" s="143"/>
      <c r="K224" s="143"/>
      <c r="L224" s="143"/>
      <c r="M224" s="202"/>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row>
    <row r="225" spans="1:56" s="8" customFormat="1" ht="26" customHeight="1" x14ac:dyDescent="0.2">
      <c r="A225" s="11"/>
      <c r="B225" s="41"/>
      <c r="C225" s="120" t="str">
        <f>IF(NOT(Start_Here_Complete)," ",
IF(NOT(AR),CONCATENATE("AR-E","1","PT82D1-WW"),
IF(EW_PTP_820_RFU_D_6="Choose",CONCATENATE("AR-E","1","PT82D1-WW"),
IF(EW_PTP_820_RFU_D_6="Declined",CONCATENATE("AR-E","1","PT82D1-WW"),
IF(EW_PTP_820_RFU_D_6="N/A",CONCATENATE("AR-E","1","PT82D1-WW"),
IF(EW_PTP_820_RFU_D_6=" ",CONCATENATE("AR-E","1","PT82D1-WW"),
IF(EW_PTP_820_RFU_D_6="Upgrd Std Wty",CONCATENATE("AR-E","1","PT82D1-WW"),
CONCATENATE("AR-E",LEFT(EW_PTP_820_RFU_D_6,1),"PT82D1-WW"))))))))</f>
        <v xml:space="preserve"> </v>
      </c>
      <c r="D225" s="181" t="str">
        <f>IF(NOT(Start_Here_Complete)," ",
VLOOKUP(C225,'All Products PL 2022-03-08'!$A$2:$C$4500,2,FALSE))</f>
        <v xml:space="preserve"> </v>
      </c>
      <c r="E225" s="121">
        <f>IF(NOT(Start_Here_Complete),0,
VLOOKUP(C225,'All Products PL 2022-03-08'!$A$2:$C$4500,3,FALSE))</f>
        <v>0</v>
      </c>
      <c r="F225" s="122">
        <f>IF(NOT(Start_Here_Complete),0,
IF(_Dev="Ent",0,
IF(NOT(AR),0,
IF(EW_PTP_820_RFU_D_6="Choose","Error",
IF(EW_PTP_820_RFU_D_6=" ",0,
IF(EW_PTP_820_RFU_D_6="N/A",0,
IF(EW_PTP_820_RFU_D_6="Declined",0,
IF(EW_PTP_820_RFU_D_6="Upgrd Std Wty",0,
IF(EW_PTP_820_RFU_D_6&lt;&gt;"Upgrd Std Wty",Qty_PTP_820_RFU_D_6,
"Bottom")))))))))</f>
        <v>0</v>
      </c>
      <c r="G225" s="108">
        <f t="shared" si="22"/>
        <v>0</v>
      </c>
      <c r="H225" s="375" t="str">
        <f>IF(OR(F225&gt;0,F225="Error")," PTP 820 RFU-D [6-15GHz]"," ")</f>
        <v xml:space="preserve"> </v>
      </c>
      <c r="I225" s="217" t="str">
        <f t="shared" si="21"/>
        <v xml:space="preserve"> </v>
      </c>
      <c r="J225" s="143"/>
      <c r="K225" s="143"/>
      <c r="L225" s="143"/>
      <c r="M225" s="202"/>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row>
    <row r="226" spans="1:56" s="8" customFormat="1" ht="26" customHeight="1" x14ac:dyDescent="0.2">
      <c r="A226" s="11"/>
      <c r="B226" s="41"/>
      <c r="C226" s="120" t="str">
        <f>IF(NOT(Start_Here_Complete)," ",
"AR-E0PT82D2-WW")</f>
        <v xml:space="preserve"> </v>
      </c>
      <c r="D226" s="181" t="str">
        <f>IF(NOT(Start_Here_Complete)," ",
VLOOKUP(C226,'All Products PL 2022-03-08'!$A$2:$C$4500,2,FALSE))</f>
        <v xml:space="preserve"> </v>
      </c>
      <c r="E226" s="121">
        <f>IF(NOT(Start_Here_Complete),0,
VLOOKUP(C226,'All Products PL 2022-03-08'!$A$2:$C$4500,3,FALSE))</f>
        <v>0</v>
      </c>
      <c r="F226" s="122">
        <f>IF(NOT(Start_Here_Complete),0,
IF(_Dev="Ent",0,
IF(NOT(AR),0,
IF(EW_PTP_820_RFU_18="Choose","Error",
IF(EW_PTP_820_RFU_18=" ",0,
IF(EW_PTP_820_RFU_18="N/A",0,
IF(EW_PTP_820_RFU_18="Declined",0,
IF(EW_PTP_820_RFU_18="Upgrd Std Wty",Qty_PTP_820_RFU_18,
0))))))))</f>
        <v>0</v>
      </c>
      <c r="G226" s="108">
        <f t="shared" si="22"/>
        <v>0</v>
      </c>
      <c r="H226" s="375" t="str">
        <f>IF(OR(F226&gt;0,F226="Error")," PTP 820 RFU-D [18-23GHz]"," ")</f>
        <v xml:space="preserve"> </v>
      </c>
      <c r="I226" s="217" t="str">
        <f t="shared" si="21"/>
        <v xml:space="preserve"> </v>
      </c>
      <c r="J226" s="143"/>
      <c r="K226" s="143"/>
      <c r="L226" s="143"/>
      <c r="M226" s="202"/>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row>
    <row r="227" spans="1:56" s="8" customFormat="1" ht="26" customHeight="1" x14ac:dyDescent="0.2">
      <c r="A227" s="11"/>
      <c r="B227" s="41"/>
      <c r="C227" s="120" t="str">
        <f>IF(NOT(Start_Here_Complete)," ",
IF(NOT(AR),CONCATENATE("AR-E","1","PT82D2-WW"),
IF(EW_PTP_820_RFU_18="Choose",CONCATENATE("AR-E","1","PT82D2-WW"),
IF(EW_PTP_820_RFU_18="Declined",CONCATENATE("AR-E","1","PT82D2-WW"),
IF(EW_PTP_820_RFU_18="N/A",CONCATENATE("AR-E","1","PT82D2-WW"),
IF(EW_PTP_820_RFU_18=" ",CONCATENATE("AR-E","1","PT82D2-WW"),
IF(EW_PTP_820_RFU_18="Upgrd Std Wty",CONCATENATE("AR-E","1","PT82D2-WW"),
CONCATENATE("AR-E",LEFT(EW_PTP_820_RFU_18,1),"PT82D2-WW"))))))))</f>
        <v xml:space="preserve"> </v>
      </c>
      <c r="D227" s="181" t="str">
        <f>IF(NOT(Start_Here_Complete)," ",
VLOOKUP(C227,'All Products PL 2022-03-08'!$A$2:$C$4500,2,FALSE))</f>
        <v xml:space="preserve"> </v>
      </c>
      <c r="E227" s="121">
        <f>IF(NOT(Start_Here_Complete),0,
VLOOKUP(C227,'All Products PL 2022-03-08'!$A$2:$C$4500,3,FALSE))</f>
        <v>0</v>
      </c>
      <c r="F227" s="122">
        <f>IF(NOT(Start_Here_Complete),0,
IF(_Dev="Ent",0,
IF(NOT(AR),0,
IF(EW_PTP_820_RFU_18="Choose","Error",
IF(EW_PTP_820_RFU_18=" ",0,
IF(EW_PTP_820_RFU_18="N/A",0,
IF(EW_PTP_820_RFU_18="Declined",0,
IF(EW_PTP_820_RFU_18="Upgrd Std Wty",0,
IF(EW_PTP_820_RFU_18&lt;&gt;"Upgrd Std Wty",Qty_PTP_820_RFU_18,
"Bottom")))))))))</f>
        <v>0</v>
      </c>
      <c r="G227" s="108">
        <f t="shared" si="22"/>
        <v>0</v>
      </c>
      <c r="H227" s="375" t="str">
        <f>IF(OR(F227&gt;0,F227="Error")," PTP 820 RFU-D [18-23GHz]"," ")</f>
        <v xml:space="preserve"> </v>
      </c>
      <c r="I227" s="217" t="str">
        <f t="shared" si="21"/>
        <v xml:space="preserve"> </v>
      </c>
      <c r="J227" s="143"/>
      <c r="K227" s="143"/>
      <c r="L227" s="143"/>
      <c r="M227" s="202"/>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row>
    <row r="228" spans="1:56" s="8" customFormat="1" ht="26" customHeight="1" x14ac:dyDescent="0.2">
      <c r="A228" s="11"/>
      <c r="B228" s="41"/>
      <c r="C228" s="120" t="str">
        <f>IF(NOT(Start_Here_Complete)," ",
"AR-E0PT82E1-WW")</f>
        <v xml:space="preserve"> </v>
      </c>
      <c r="D228" s="181" t="str">
        <f>IF(NOT(Start_Here_Complete)," ",
VLOOKUP(C228,'All Products PL 2022-03-08'!$A$2:$C$4500,2,FALSE))</f>
        <v xml:space="preserve"> </v>
      </c>
      <c r="E228" s="121">
        <f>IF(NOT(Start_Here_Complete),0,
VLOOKUP(C228,'All Products PL 2022-03-08'!$A$2:$C$4500,3,FALSE))</f>
        <v>0</v>
      </c>
      <c r="F228" s="122">
        <f>IF(NOT(Start_Here_Complete),0,
IF(_Dev="Ent",0,
IF(NOT(AR),0,
IF(EW_PTP_820_RFU_E="Choose","Error",
IF(EW_PTP_820_RFU_E=" ",0,
IF(EW_PTP_820_RFU_E="N/A",0,
IF(EW_PTP_820_RFU_E="Declined",0,
IF(EW_PTP_820_RFU_E="Upgrd Std Wty",Qty_PTP_820_RFU_E,
0))))))))</f>
        <v>0</v>
      </c>
      <c r="G228" s="108">
        <f t="shared" si="22"/>
        <v>0</v>
      </c>
      <c r="H228" s="375" t="str">
        <f>IF(OR(F228&gt;0,F228="Error")," PTP 820 RFU-E"," ")</f>
        <v xml:space="preserve"> </v>
      </c>
      <c r="I228" s="217" t="str">
        <f t="shared" si="21"/>
        <v xml:space="preserve"> </v>
      </c>
      <c r="J228" s="143"/>
      <c r="K228" s="143"/>
      <c r="L228" s="143"/>
      <c r="M228" s="202"/>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row>
    <row r="229" spans="1:56" s="8" customFormat="1" ht="26" customHeight="1" x14ac:dyDescent="0.2">
      <c r="A229" s="11"/>
      <c r="B229" s="41"/>
      <c r="C229" s="120" t="str">
        <f>IF(NOT(Start_Here_Complete)," ",
IF(NOT(AR),CONCATENATE("AR-E","1","PT82E1-WW"),
IF(EW_PTP_820_RFU_E="Choose",CONCATENATE("AR-E","1","PT82E1-WW"),
IF(EW_PTP_820_RFU_E="Declined",CONCATENATE("AR-E","1","PT82E1-WW"),
IF(EW_PTP_820_RFU_E="N/A",CONCATENATE("AR-E","1","PT82E1-WW"),
IF(EW_PTP_820_RFU_E=" ",CONCATENATE("AR-E","1","PT82E1-WW"),
IF(EW_PTP_820_RFU_E="Upgrd Std Wty",CONCATENATE("AR-E","1","PT82E1-WW"),
CONCATENATE("AR-E",LEFT(EW_PTP_820_RFU_E,1),"PT82E1-WW"))))))))</f>
        <v xml:space="preserve"> </v>
      </c>
      <c r="D229" s="181" t="str">
        <f>IF(NOT(Start_Here_Complete)," ",
VLOOKUP(C229,'All Products PL 2022-03-08'!$A$2:$C$4500,2,FALSE))</f>
        <v xml:space="preserve"> </v>
      </c>
      <c r="E229" s="121">
        <f>IF(NOT(Start_Here_Complete),0,
VLOOKUP(C229,'All Products PL 2022-03-08'!$A$2:$C$4500,3,FALSE))</f>
        <v>0</v>
      </c>
      <c r="F229" s="122">
        <f>IF(NOT(Start_Here_Complete),0,
IF(_Dev="Ent",0,
IF(NOT(AR),0,
IF(EW_PTP_820_RFU_E="Choose","Error",
IF(EW_PTP_820_RFU_E=" ",0,
IF(EW_PTP_820_RFU_E="N/A",0,
IF(EW_PTP_820_RFU_E="Declined",0,
IF(EW_PTP_820_RFU_E="Upgrd Std Wty",0,
IF(EW_PTP_820_RFU_E&lt;&gt;"Upgrd Std Wty",Qty_PTP_820_RFU_E,
"Bottom")))))))))</f>
        <v>0</v>
      </c>
      <c r="G229" s="108">
        <f t="shared" si="22"/>
        <v>0</v>
      </c>
      <c r="H229" s="375" t="str">
        <f>IF(OR(F229&gt;0,F229="Error")," PTP 820 RFU-E"," ")</f>
        <v xml:space="preserve"> </v>
      </c>
      <c r="I229" s="217" t="str">
        <f t="shared" si="21"/>
        <v xml:space="preserve"> </v>
      </c>
      <c r="J229" s="143"/>
      <c r="K229" s="143"/>
      <c r="L229" s="143"/>
      <c r="M229" s="202"/>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row>
    <row r="230" spans="1:56" s="8" customFormat="1" ht="26" customHeight="1" x14ac:dyDescent="0.2">
      <c r="A230" s="11"/>
      <c r="B230" s="41"/>
      <c r="C230" s="120" t="str">
        <f>IF(NOT(Start_Here_Complete)," ",
"AR-E0PT82E2-WW")</f>
        <v xml:space="preserve"> </v>
      </c>
      <c r="D230" s="181" t="str">
        <f>IF(NOT(Start_Here_Complete)," ",
VLOOKUP(C230,'All Products PL 2022-03-08'!$A$2:$C$4500,2,FALSE))</f>
        <v xml:space="preserve"> </v>
      </c>
      <c r="E230" s="121">
        <f>IF(NOT(Start_Here_Complete),0,
VLOOKUP(C230,'All Products PL 2022-03-08'!$A$2:$C$4500,3,FALSE))</f>
        <v>0</v>
      </c>
      <c r="F230" s="122">
        <f>IF(NOT(Start_Here_Complete),0,
IF(_Dev="Ent",0,
IF(NOT(AR),0,
IF(EW_PTP_820_RFU_E_43="Choose","Error",
IF(EW_PTP_820_RFU_E_43=" ",0,
IF(EW_PTP_820_RFU_E_43="N/A",0,
IF(EW_PTP_820_RFU_E_43="Declined",0,
IF(EW_PTP_820_RFU_E_43="Upgrd Std Wty",Qty_PTP_820_RFU_E_43,
0))))))))</f>
        <v>0</v>
      </c>
      <c r="G230" s="108">
        <f t="shared" si="22"/>
        <v>0</v>
      </c>
      <c r="H230" s="375" t="str">
        <f>IF(OR(F230&gt;0,F230="Error")," PTP 820 RFU-E w/43 dBi Antenna"," ")</f>
        <v xml:space="preserve"> </v>
      </c>
      <c r="I230" s="217" t="str">
        <f t="shared" si="21"/>
        <v xml:space="preserve"> </v>
      </c>
      <c r="J230" s="143"/>
      <c r="K230" s="143"/>
      <c r="L230" s="143"/>
      <c r="M230" s="202"/>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row>
    <row r="231" spans="1:56" s="8" customFormat="1" ht="26" customHeight="1" x14ac:dyDescent="0.2">
      <c r="A231" s="11"/>
      <c r="B231" s="41"/>
      <c r="C231" s="120" t="str">
        <f>IF(NOT(Start_Here_Complete)," ",
IF(NOT(AR),CONCATENATE("AR-E","1","PT82E2-WW"),
IF(EW_PTP_820_RFU_E_43="Choose",CONCATENATE("AR-E","1","PT82E2-WW"),
IF(EW_PTP_820_RFU_E_43="Declined",CONCATENATE("AR-E","1","PT82E2-WW"),
IF(EW_PTP_820_RFU_E_43="N/A",CONCATENATE("AR-E","1","PT82E2-WW"),
IF(EW_PTP_820_RFU_E_43=" ",CONCATENATE("AR-E","1","PT82E2-WW"),
IF(EW_PTP_820_RFU_E_43="Upgrd Std Wty",CONCATENATE("AR-E","1","PT82E2-WW"),
CONCATENATE("AR-E",LEFT(EW_PTP_820_RFU_E_43,1),"PT82E2-WW"))))))))</f>
        <v xml:space="preserve"> </v>
      </c>
      <c r="D231" s="181" t="str">
        <f>IF(NOT(Start_Here_Complete)," ",
VLOOKUP(C231,'All Products PL 2022-03-08'!$A$2:$C$4500,2,FALSE))</f>
        <v xml:space="preserve"> </v>
      </c>
      <c r="E231" s="121">
        <f>IF(NOT(Start_Here_Complete),0,
VLOOKUP(C231,'All Products PL 2022-03-08'!$A$2:$C$4500,3,FALSE))</f>
        <v>0</v>
      </c>
      <c r="F231" s="122">
        <f>IF(NOT(Start_Here_Complete),0,
IF(_Dev="Ent",0,
IF(NOT(AR),0,
IF(EW_PTP_820_RFU_E_43="Choose","Error",
IF(EW_PTP_820_RFU_E_43=" ",0,
IF(EW_PTP_820_RFU_E_43="N/A",0,
IF(EW_PTP_820_RFU_E_43="Declined",0,
IF(EW_PTP_820_RFU_E_43="Upgrd Std Wty",0,
IF(EW_PTP_820_RFU_E_43&lt;&gt;"Upgrd Std Wty",Qty_PTP_820_RFU_E_43,
"Bottom")))))))))</f>
        <v>0</v>
      </c>
      <c r="G231" s="108">
        <f t="shared" si="22"/>
        <v>0</v>
      </c>
      <c r="H231" s="375" t="str">
        <f>IF(OR(F231&gt;0,F231="Error")," PTP 820 RFU-E w/43 dBi Antenna"," ")</f>
        <v xml:space="preserve"> </v>
      </c>
      <c r="I231" s="217" t="str">
        <f t="shared" si="21"/>
        <v xml:space="preserve"> </v>
      </c>
      <c r="J231" s="143"/>
      <c r="K231" s="143"/>
      <c r="L231" s="143"/>
      <c r="M231" s="202"/>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row>
    <row r="232" spans="1:56" s="8" customFormat="1" ht="26" customHeight="1" x14ac:dyDescent="0.2">
      <c r="A232" s="11"/>
      <c r="B232" s="41"/>
      <c r="C232" s="120" t="str">
        <f>IF(NOT(Start_Here_Complete)," ",
"AR-E0PT82RS-WW")</f>
        <v xml:space="preserve"> </v>
      </c>
      <c r="D232" s="181" t="str">
        <f>IF(NOT(Start_Here_Complete)," ",
VLOOKUP(C232,'All Products PL 2022-03-08'!$A$2:$C$4500,2,FALSE))</f>
        <v xml:space="preserve"> </v>
      </c>
      <c r="E232" s="121">
        <f>IF(NOT(Start_Here_Complete),0,
VLOOKUP(C232,'All Products PL 2022-03-08'!$A$2:$C$4500,3,FALSE))</f>
        <v>0</v>
      </c>
      <c r="F232" s="122">
        <f>IF(NOT(Start_Here_Complete),0,
IF(_Dev="Ent",0,
IF(NOT(AR),0,
IF(EW_PTP_820_RFU_S="Choose","Error",
IF(EW_PTP_820_RFU_S=" ",0,
IF(EW_PTP_820_RFU_S="N/A",0,
IF(EW_PTP_820_RFU_S="Declined",0,
IF(EW_PTP_820_RFU_S="Upgrd Std Wty",Qty_PTP_820_RFU_S,
0))))))))</f>
        <v>0</v>
      </c>
      <c r="G232" s="108">
        <f t="shared" si="22"/>
        <v>0</v>
      </c>
      <c r="H232" s="375" t="str">
        <f>IF(OR(F232&gt;0,F232="Error")," PTP 820 RFU-S, Single Tx, Split"," ")</f>
        <v xml:space="preserve"> </v>
      </c>
      <c r="I232" s="217" t="str">
        <f t="shared" si="21"/>
        <v xml:space="preserve"> </v>
      </c>
      <c r="J232" s="143"/>
      <c r="K232" s="143"/>
      <c r="L232" s="143"/>
      <c r="M232" s="202"/>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row>
    <row r="233" spans="1:56" s="8" customFormat="1" ht="26" customHeight="1" x14ac:dyDescent="0.2">
      <c r="A233" s="11"/>
      <c r="B233" s="41"/>
      <c r="C233" s="120" t="str">
        <f>IF(NOT(Start_Here_Complete)," ",
IF(NOT(AR),CONCATENATE("AR-E","1","PT82RS-WW"),
IF(EW_PTP_820_RFU_S="Choose",CONCATENATE("AR-E","1","PT82RS-WW"),
IF(EW_PTP_820_RFU_S="Declined",CONCATENATE("AR-E","1","PT82RS-WW"),
IF(EW_PTP_820_RFU_S="N/A",CONCATENATE("AR-E","1","PT82RS-WW"),
IF(EW_PTP_820_RFU_S=" ",CONCATENATE("AR-E","1","PT82RS-WW"),
IF(EW_PTP_820_RFU_S="Upgrd Std Wty",CONCATENATE("AR-E","1","PT82RS-WW"),
CONCATENATE("AR-E",LEFT(EW_PTP_820_RFU_S,1),"PT82RS-WW"))))))))</f>
        <v xml:space="preserve"> </v>
      </c>
      <c r="D233" s="181" t="str">
        <f>IF(NOT(Start_Here_Complete)," ",
VLOOKUP(C233,'All Products PL 2022-03-08'!$A$2:$C$4500,2,FALSE))</f>
        <v xml:space="preserve"> </v>
      </c>
      <c r="E233" s="121">
        <f>IF(NOT(Start_Here_Complete),0,
VLOOKUP(C233,'All Products PL 2022-03-08'!$A$2:$C$4500,3,FALSE))</f>
        <v>0</v>
      </c>
      <c r="F233" s="122">
        <f>IF(NOT(Start_Here_Complete),0,
IF(_Dev="Ent",0,
IF(NOT(AR),0,
IF(EW_PTP_820_RFU_S="Choose","Error",
IF(EW_PTP_820_RFU_S=" ",0,
IF(EW_PTP_820_RFU_S="N/A",0,
IF(EW_PTP_820_RFU_S="Declined",0,
IF(EW_PTP_820_RFU_S="Upgrd Std Wty",0,
IF(EW_PTP_820_RFU_S&lt;&gt;"Upgrd Std Wty",Qty_PTP_820_RFU_S,
"Bottom")))))))))</f>
        <v>0</v>
      </c>
      <c r="G233" s="108">
        <f t="shared" si="22"/>
        <v>0</v>
      </c>
      <c r="H233" s="375" t="str">
        <f>IF(OR(F233&gt;0,F233="Error")," PTP 820 RFU-S, Single Tx, Split"," ")</f>
        <v xml:space="preserve"> </v>
      </c>
      <c r="I233" s="217" t="str">
        <f t="shared" si="21"/>
        <v xml:space="preserve"> </v>
      </c>
      <c r="J233" s="143"/>
      <c r="K233" s="143"/>
      <c r="L233" s="143"/>
      <c r="M233" s="202"/>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row>
    <row r="234" spans="1:56" s="8" customFormat="1" ht="26" customHeight="1" x14ac:dyDescent="0.2">
      <c r="A234" s="11"/>
      <c r="B234" s="41"/>
      <c r="C234" s="120" t="str">
        <f>IF(NOT(Start_Here_Complete)," ",
"AR-E0PT820C-WW")</f>
        <v xml:space="preserve"> </v>
      </c>
      <c r="D234" s="181" t="str">
        <f>IF(NOT(Start_Here_Complete)," ",
VLOOKUP(C234,'All Products PL 2022-03-08'!$A$2:$C$4500,2,FALSE))</f>
        <v xml:space="preserve"> </v>
      </c>
      <c r="E234" s="121">
        <f>IF(NOT(Start_Here_Complete),0,
VLOOKUP(C234,'All Products PL 2022-03-08'!$A$2:$C$4500,3,FALSE))</f>
        <v>0</v>
      </c>
      <c r="F234" s="122">
        <f>IF(NOT(Start_Here_Complete),0,
IF(_Dev="Ent",0,
IF(NOT(AR),0,
IF(EW_PTP_820C="Choose","Error",
IF(EW_PTP_820C=" ",0,
IF(EW_PTP_820C="N/A",0,
IF(EW_PTP_820C="Declined",0,
IF(EW_PTP_820C="Upgrd Std Wty",Qty_PTP_820C,
0))))))))</f>
        <v>0</v>
      </c>
      <c r="G234" s="108">
        <f t="shared" si="22"/>
        <v>0</v>
      </c>
      <c r="H234" s="375" t="str">
        <f>IF(OR(F234&gt;0,F234="Error")," PTP 820C"," ")</f>
        <v xml:space="preserve"> </v>
      </c>
      <c r="I234" s="217" t="str">
        <f t="shared" si="21"/>
        <v xml:space="preserve"> </v>
      </c>
      <c r="J234" s="143"/>
      <c r="K234" s="143"/>
      <c r="L234" s="143"/>
      <c r="M234" s="202"/>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row>
    <row r="235" spans="1:56" s="8" customFormat="1" ht="26" customHeight="1" x14ac:dyDescent="0.2">
      <c r="A235" s="11"/>
      <c r="B235" s="41"/>
      <c r="C235" s="120" t="str">
        <f>IF(NOT(Start_Here_Complete)," ",
IF(NOT(AR),CONCATENATE("AR-E","1","PT820C-WW"),
IF(EW_PTP_820C="Choose",CONCATENATE("AR-E","1","PT820C-WW"),
IF(EW_PTP_820C="Declined",CONCATENATE("AR-E","1","PT820C-WW"),
IF(EW_PTP_820C="N/A",CONCATENATE("AR-E","1","PT820C-WW"),
IF(EW_PTP_820C=" ",CONCATENATE("AR-E","1","PT820C-WW"),
IF(EW_PTP_820C="Upgrd Std Wty",CONCATENATE("AR-E","1","PT820C-WW"),
CONCATENATE("AR-E",LEFT(EW_PTP_820C,1),"PT820C-WW"))))))))</f>
        <v xml:space="preserve"> </v>
      </c>
      <c r="D235" s="181" t="str">
        <f>IF(NOT(Start_Here_Complete)," ",
VLOOKUP(C235,'All Products PL 2022-03-08'!$A$2:$C$4500,2,FALSE))</f>
        <v xml:space="preserve"> </v>
      </c>
      <c r="E235" s="121">
        <f>IF(NOT(Start_Here_Complete),0,
VLOOKUP(C235,'All Products PL 2022-03-08'!$A$2:$C$4500,3,FALSE))</f>
        <v>0</v>
      </c>
      <c r="F235" s="122">
        <f>IF(NOT(Start_Here_Complete),0,
IF(_Dev="Ent",0,
IF(NOT(AR),0,
IF(EW_PTP_820C="Choose","Error",
IF(EW_PTP_820C=" ",0,
IF(EW_PTP_820C="N/A",0,
IF(EW_PTP_820C="Declined",0,
IF(EW_PTP_820C="Upgrd Std Wty",0,
IF(EW_PTP_820C&lt;&gt;"Upgrd Std Wty",Qty_PTP_820C,
"Bottom")))))))))</f>
        <v>0</v>
      </c>
      <c r="G235" s="108">
        <f t="shared" si="22"/>
        <v>0</v>
      </c>
      <c r="H235" s="375" t="str">
        <f>IF(OR(F235&gt;0,F235="Error")," PTP 820C"," ")</f>
        <v xml:space="preserve"> </v>
      </c>
      <c r="I235" s="217" t="str">
        <f t="shared" si="21"/>
        <v xml:space="preserve"> </v>
      </c>
      <c r="J235" s="143"/>
      <c r="K235" s="143"/>
      <c r="L235" s="143"/>
      <c r="M235" s="202"/>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row>
    <row r="236" spans="1:56" s="8" customFormat="1" ht="26" customHeight="1" x14ac:dyDescent="0.2">
      <c r="A236" s="11"/>
      <c r="B236" s="41"/>
      <c r="C236" s="120" t="str">
        <f>IF(NOT(Start_Here_Complete)," ",
"AR-E0PT82CHP-WW")</f>
        <v xml:space="preserve"> </v>
      </c>
      <c r="D236" s="181" t="str">
        <f>IF(NOT(Start_Here_Complete)," ",
VLOOKUP(C236,'All Products PL 2022-03-08'!$A$2:$C$4500,2,FALSE))</f>
        <v xml:space="preserve"> </v>
      </c>
      <c r="E236" s="121">
        <f>IF(NOT(Start_Here_Complete),0,
VLOOKUP(C236,'All Products PL 2022-03-08'!$A$2:$C$4500,3,FALSE))</f>
        <v>0</v>
      </c>
      <c r="F236" s="122">
        <f>IF(NOT(Start_Here_Complete),0,
IF(_Dev="Ent",0,
IF(NOT(AR),0,
IF(EW_PTP_820C_HP="Choose","Error",
IF(EW_PTP_820C_HP=" ",0,
IF(EW_PTP_820C_HP="N/A",0,
IF(EW_PTP_820C_HP="Declined",0,
IF(EW_PTP_820C_HP="Upgrd Std Wty",Qty_PTP_820C_HP,
0))))))))</f>
        <v>0</v>
      </c>
      <c r="G236" s="108">
        <f t="shared" si="22"/>
        <v>0</v>
      </c>
      <c r="H236" s="375" t="str">
        <f>IF(OR(F236&gt;0,F236="Error")," PTP 820C-HP"," ")</f>
        <v xml:space="preserve"> </v>
      </c>
      <c r="I236" s="217" t="str">
        <f t="shared" si="21"/>
        <v xml:space="preserve"> </v>
      </c>
      <c r="J236" s="143"/>
      <c r="K236" s="143"/>
      <c r="L236" s="143"/>
      <c r="M236" s="202"/>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row>
    <row r="237" spans="1:56" s="8" customFormat="1" ht="26" customHeight="1" x14ac:dyDescent="0.2">
      <c r="A237" s="11"/>
      <c r="B237" s="41"/>
      <c r="C237" s="120" t="str">
        <f>IF(NOT(Start_Here_Complete)," ",
IF(NOT(AR),CONCATENATE("AR-E","1","PT82CHP-WW"),
IF(EW_PTP_820C_HP="Choose",CONCATENATE("AR-E","1","PT82CHP-WW"),
IF(EW_PTP_820C_HP="Declined",CONCATENATE("AR-E","1","PT82CHP-WW"),
IF(EW_PTP_820C_HP="N/A",CONCATENATE("AR-E","1","PT82CHP-WW"),
IF(EW_PTP_820C_HP=" ",CONCATENATE("AR-E","1","PT82CHP-WW"),
IF(EW_PTP_820C_HP="Upgrd Std Wty",CONCATENATE("AR-E","1","PT82CHP-WW"),
CONCATENATE("AR-E",LEFT(EW_PTP_820C_HP,1),"PT82CHP-WW"))))))))</f>
        <v xml:space="preserve"> </v>
      </c>
      <c r="D237" s="181" t="str">
        <f>IF(NOT(Start_Here_Complete)," ",
VLOOKUP(C237,'All Products PL 2022-03-08'!$A$2:$C$4500,2,FALSE))</f>
        <v xml:space="preserve"> </v>
      </c>
      <c r="E237" s="121">
        <f>IF(NOT(Start_Here_Complete),0,
VLOOKUP(C237,'All Products PL 2022-03-08'!$A$2:$C$4500,3,FALSE))</f>
        <v>0</v>
      </c>
      <c r="F237" s="122">
        <f>IF(NOT(Start_Here_Complete),0,
IF(_Dev="Ent",0,
IF(NOT(AR),0,
IF(EW_PTP_820C_HP="Choose","Error",
IF(EW_PTP_820C_HP=" ",0,
IF(EW_PTP_820C_HP="N/A",0,
IF(EW_PTP_820C_HP="Declined",0,
IF(EW_PTP_820C_HP="Upgrd Std Wty",0,
IF(EW_PTP_820C_HP&lt;&gt;"Upgrd Std Wty",Qty_PTP_820C_HP,
"Bottom")))))))))</f>
        <v>0</v>
      </c>
      <c r="G237" s="108">
        <f t="shared" si="22"/>
        <v>0</v>
      </c>
      <c r="H237" s="375" t="str">
        <f>IF(OR(F237&gt;0,F237="Error")," PTP 820C-HP"," ")</f>
        <v xml:space="preserve"> </v>
      </c>
      <c r="I237" s="217" t="str">
        <f t="shared" si="21"/>
        <v xml:space="preserve"> </v>
      </c>
      <c r="J237" s="143"/>
      <c r="K237" s="143"/>
      <c r="L237" s="143"/>
      <c r="M237" s="202"/>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row>
    <row r="238" spans="1:56" s="8" customFormat="1" ht="26" customHeight="1" x14ac:dyDescent="0.2">
      <c r="A238" s="11"/>
      <c r="B238" s="41"/>
      <c r="C238" s="120" t="str">
        <f>IF(NOT(Start_Here_Complete)," ",
"AR-E0PT82E3-WW")</f>
        <v xml:space="preserve"> </v>
      </c>
      <c r="D238" s="181" t="str">
        <f>IF(NOT(Start_Here_Complete)," ",
VLOOKUP(C238,'All Products PL 2022-03-08'!$A$2:$C$4500,2,FALSE))</f>
        <v xml:space="preserve"> </v>
      </c>
      <c r="E238" s="121">
        <f>IF(NOT(Start_Here_Complete),0,
VLOOKUP(C238,'All Products PL 2022-03-08'!$A$2:$C$4500,3,FALSE))</f>
        <v>0</v>
      </c>
      <c r="F238" s="122">
        <f>IF(NOT(Start_Here_Complete),0,
IF(_Dev="Ent",0,
IF(NOT(AR),0,
IF(EW_PTP_820E="Choose","Error",
IF(EW_PTP_820E=" ",0,
IF(EW_PTP_820E="N/A",0,
IF(EW_PTP_820E="Declined",0,
IF(EW_PTP_820E="Upgrd Std Wty",Qty_PTP_820E,
0))))))))</f>
        <v>0</v>
      </c>
      <c r="G238" s="108">
        <f t="shared" si="22"/>
        <v>0</v>
      </c>
      <c r="H238" s="375" t="str">
        <f>IF(OR(F238&gt;0,F238="Error")," PTP 820E"," ")</f>
        <v xml:space="preserve"> </v>
      </c>
      <c r="I238" s="217" t="str">
        <f t="shared" si="21"/>
        <v xml:space="preserve"> </v>
      </c>
      <c r="J238" s="143"/>
      <c r="K238" s="143"/>
      <c r="L238" s="143"/>
      <c r="M238" s="202"/>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row>
    <row r="239" spans="1:56" s="8" customFormat="1" ht="26" customHeight="1" x14ac:dyDescent="0.2">
      <c r="A239" s="11"/>
      <c r="B239" s="41"/>
      <c r="C239" s="120" t="str">
        <f>IF(NOT(Start_Here_Complete)," ",
IF(NOT(AR),CONCATENATE("AR-E","1","PT82E3-WW"),
IF(EW_PTP_820E="Choose",CONCATENATE("AR-E","1","PT82E3-WW"),
IF(EW_PTP_820E="Declined",CONCATENATE("AR-E","1","PT82E3-WW"),
IF(EW_PTP_820E="N/A",CONCATENATE("AR-E","1","PT82E3-WW"),
IF(EW_PTP_820E=" ",CONCATENATE("AR-E","1","PT82E3-WW"),
IF(EW_PTP_820E="Upgrd Std Wty",CONCATENATE("AR-E","1","PT82E3-WW"),
CONCATENATE("AR-E",LEFT(EW_PTP_820E,1),"PT82E3-WW"))))))))</f>
        <v xml:space="preserve"> </v>
      </c>
      <c r="D239" s="181" t="str">
        <f>IF(NOT(Start_Here_Complete)," ",
VLOOKUP(C239,'All Products PL 2022-03-08'!$A$2:$C$4500,2,FALSE))</f>
        <v xml:space="preserve"> </v>
      </c>
      <c r="E239" s="121">
        <f>IF(NOT(Start_Here_Complete),0,
VLOOKUP(C239,'All Products PL 2022-03-08'!$A$2:$C$4500,3,FALSE))</f>
        <v>0</v>
      </c>
      <c r="F239" s="122">
        <f>IF(NOT(Start_Here_Complete),0,
IF(_Dev="Ent",0,
IF(NOT(AR),0,
IF(EW_PTP_820E="Choose","Error",
IF(EW_PTP_820E=" ",0,
IF(EW_PTP_820E="N/A",0,
IF(EW_PTP_820E="Declined",0,
IF(EW_PTP_820E="Upgrd Std Wty",0,
IF(EW_PTP_820E&lt;&gt;"Upgrd Std Wty",Qty_PTP_820E,
"Bottom")))))))))</f>
        <v>0</v>
      </c>
      <c r="G239" s="108">
        <f t="shared" si="22"/>
        <v>0</v>
      </c>
      <c r="H239" s="375" t="str">
        <f>IF(OR(F239&gt;0,F239="Error")," PTP 820E"," ")</f>
        <v xml:space="preserve"> </v>
      </c>
      <c r="I239" s="217" t="str">
        <f t="shared" si="21"/>
        <v xml:space="preserve"> </v>
      </c>
      <c r="J239" s="143"/>
      <c r="K239" s="143"/>
      <c r="L239" s="143"/>
      <c r="M239" s="202"/>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row>
    <row r="240" spans="1:56" s="8" customFormat="1" ht="26" customHeight="1" x14ac:dyDescent="0.2">
      <c r="A240" s="11"/>
      <c r="B240" s="41"/>
      <c r="C240" s="120" t="str">
        <f>IF(NOT(Start_Here_Complete)," ",
"AR-E0PT82E4-WW")</f>
        <v xml:space="preserve"> </v>
      </c>
      <c r="D240" s="181" t="str">
        <f>IF(NOT(Start_Here_Complete)," ",
VLOOKUP(C240,'All Products PL 2022-03-08'!$A$2:$C$4500,2,FALSE))</f>
        <v xml:space="preserve"> </v>
      </c>
      <c r="E240" s="121">
        <f>IF(NOT(Start_Here_Complete),0,
VLOOKUP(C240,'All Products PL 2022-03-08'!$A$2:$C$4500,3,FALSE))</f>
        <v>0</v>
      </c>
      <c r="F240" s="122">
        <f>IF(NOT(Start_Here_Complete),0,
IF(_Dev="Ent",0,
IF(NOT(AR),0,
IF(EW_PTP_820E_43="Choose","Error",
IF(EW_PTP_820E_43=" ",0,
IF(EW_PTP_820E_43="N/A",0,
IF(EW_PTP_820E_43="Declined",0,
IF(EW_PTP_820E_43="Upgrd Std Wty",Qty_PTP_820E_43,
0))))))))</f>
        <v>0</v>
      </c>
      <c r="G240" s="108">
        <f t="shared" si="22"/>
        <v>0</v>
      </c>
      <c r="H240" s="375" t="str">
        <f>IF(OR(F240&gt;0,F240="Error")," PTP 820E Radio w/43 dBi Antenna"," ")</f>
        <v xml:space="preserve"> </v>
      </c>
      <c r="I240" s="217" t="str">
        <f t="shared" si="21"/>
        <v xml:space="preserve"> </v>
      </c>
      <c r="J240" s="143"/>
      <c r="K240" s="143"/>
      <c r="L240" s="143"/>
      <c r="M240" s="202"/>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row>
    <row r="241" spans="1:56" s="8" customFormat="1" ht="26" customHeight="1" x14ac:dyDescent="0.2">
      <c r="A241" s="11"/>
      <c r="B241" s="41"/>
      <c r="C241" s="120" t="str">
        <f>IF(NOT(Start_Here_Complete)," ",
IF(NOT(AR),CONCATENATE("AR-E","1","PT82E4-WW"),
IF(EW_PTP_820E_43="Choose",CONCATENATE("AR-E","1","PT82E4-WW"),
IF(EW_PTP_820E_43="Declined",CONCATENATE("AR-E","1","PT82E4-WW"),
IF(EW_PTP_820E_43="N/A",CONCATENATE("AR-E","1","PT82E4-WW"),
IF(EW_PTP_820E_43=" ",CONCATENATE("AR-E","1","PT82E4-WW"),
IF(EW_PTP_820E_43="Upgrd Std Wty",CONCATENATE("AR-E","1","PT82E4-WW"),
CONCATENATE("AR-E",LEFT(EW_PTP_820E_43,1),"PT82E4-WW"))))))))</f>
        <v xml:space="preserve"> </v>
      </c>
      <c r="D241" s="181" t="str">
        <f>IF(NOT(Start_Here_Complete)," ",
VLOOKUP(C241,'All Products PL 2022-03-08'!$A$2:$C$4500,2,FALSE))</f>
        <v xml:space="preserve"> </v>
      </c>
      <c r="E241" s="121">
        <f>IF(NOT(Start_Here_Complete),0,
VLOOKUP(C241,'All Products PL 2022-03-08'!$A$2:$C$4500,3,FALSE))</f>
        <v>0</v>
      </c>
      <c r="F241" s="122">
        <f>IF(NOT(Start_Here_Complete),0,
IF(_Dev="Ent",0,
IF(NOT(AR),0,
IF(EW_PTP_820E_43="Choose","Error",
IF(EW_PTP_820E_43=" ",0,
IF(EW_PTP_820E_43="N/A",0,
IF(EW_PTP_820E_43="Declined",0,
IF(EW_PTP_820E_43="Upgrd Std Wty",0,
IF(EW_PTP_820E_43&lt;&gt;"Upgrd Std Wty",Qty_PTP_820E_43,
"Bottom")))))))))</f>
        <v>0</v>
      </c>
      <c r="G241" s="108">
        <f t="shared" si="22"/>
        <v>0</v>
      </c>
      <c r="H241" s="375" t="str">
        <f>IF(OR(F241&gt;0,F241="Error")," PTP 820E Radio w/43 dBi Antenna"," ")</f>
        <v xml:space="preserve"> </v>
      </c>
      <c r="I241" s="217" t="str">
        <f t="shared" si="21"/>
        <v xml:space="preserve"> </v>
      </c>
      <c r="J241" s="143"/>
      <c r="K241" s="143"/>
      <c r="L241" s="143"/>
      <c r="M241" s="202"/>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row>
    <row r="242" spans="1:56" s="8" customFormat="1" ht="26" customHeight="1" x14ac:dyDescent="0.2">
      <c r="A242" s="11"/>
      <c r="B242" s="41"/>
      <c r="C242" s="120" t="str">
        <f>IF(NOT(Start_Here_Complete)," ",
"AR-E0PT820F-WW")</f>
        <v xml:space="preserve"> </v>
      </c>
      <c r="D242" s="181" t="str">
        <f>IF(NOT(Start_Here_Complete)," ",
VLOOKUP(C242,'All Products PL 2022-03-08'!$A$2:$C$4500,2,FALSE))</f>
        <v xml:space="preserve"> </v>
      </c>
      <c r="E242" s="121">
        <f>IF(NOT(Start_Here_Complete),0,
VLOOKUP(C242,'All Products PL 2022-03-08'!$A$2:$C$4500,3,FALSE))</f>
        <v>0</v>
      </c>
      <c r="F242" s="122">
        <f>IF(NOT(Start_Here_Complete),0,
IF(_Dev="Ent",0,
IF(NOT(AR),0,
IF(EW_PTP_820F="Choose","Error",
IF(EW_PTP_820F=" ",0,
IF(EW_PTP_820F="N/A",0,
IF(EW_PTP_820F="Declined",0,
IF(EW_PTP_820F="Upgrd Std Wty",Qty_PTP_820F,
0))))))))</f>
        <v>0</v>
      </c>
      <c r="G242" s="108">
        <f t="shared" si="22"/>
        <v>0</v>
      </c>
      <c r="H242" s="375" t="str">
        <f>IF(OR(F242&gt;0,F242="Error")," PTP 820F"," ")</f>
        <v xml:space="preserve"> </v>
      </c>
      <c r="I242" s="217" t="str">
        <f t="shared" si="21"/>
        <v xml:space="preserve"> </v>
      </c>
      <c r="J242" s="143"/>
      <c r="K242" s="143"/>
      <c r="L242" s="143"/>
      <c r="M242" s="202"/>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row>
    <row r="243" spans="1:56" s="8" customFormat="1" ht="26" customHeight="1" x14ac:dyDescent="0.2">
      <c r="A243" s="11"/>
      <c r="B243" s="41"/>
      <c r="C243" s="120" t="str">
        <f>IF(NOT(Start_Here_Complete)," ",
IF(NOT(AR),CONCATENATE("AR-E","1","PT820F-WW"),
IF(EW_PTP_820F="Choose",CONCATENATE("AR-E","1","PT820F-WW"),
IF(EW_PTP_820F="Declined",CONCATENATE("AR-E","1","PT820F-WW"),
IF(EW_PTP_820F="N/A",CONCATENATE("AR-E","1","PT820F-WW"),
IF(EW_PTP_820F=" ",CONCATENATE("AR-E","1","PT820F-WW"),
IF(EW_PTP_820F="Upgrd Std Wty",CONCATENATE("AR-E","1","PT820F-WW"),
CONCATENATE("AR-E",LEFT(EW_PTP_820F,1),"PT820F-WW"))))))))</f>
        <v xml:space="preserve"> </v>
      </c>
      <c r="D243" s="181" t="str">
        <f>IF(NOT(Start_Here_Complete)," ",
VLOOKUP(C243,'All Products PL 2022-03-08'!$A$2:$C$4500,2,FALSE))</f>
        <v xml:space="preserve"> </v>
      </c>
      <c r="E243" s="121">
        <f>IF(NOT(Start_Here_Complete),0,
VLOOKUP(C243,'All Products PL 2022-03-08'!$A$2:$C$4500,3,FALSE))</f>
        <v>0</v>
      </c>
      <c r="F243" s="122">
        <f>IF(NOT(Start_Here_Complete),0,
IF(_Dev="Ent",0,
IF(NOT(AR),0,
IF(EW_PTP_820F="Choose","Error",
IF(EW_PTP_820F=" ",0,
IF(EW_PTP_820F="N/A",0,
IF(EW_PTP_820F="Declined",0,
IF(EW_PTP_820F="Upgrd Std Wty",0,
IF(EW_PTP_820F&lt;&gt;"Upgrd Std Wty",Qty_PTP_820F,
"Bottom")))))))))</f>
        <v>0</v>
      </c>
      <c r="G243" s="108">
        <f t="shared" si="22"/>
        <v>0</v>
      </c>
      <c r="H243" s="375" t="str">
        <f>IF(OR(F243&gt;0,F243="Error")," PTP 820F"," ")</f>
        <v xml:space="preserve"> </v>
      </c>
      <c r="I243" s="217" t="str">
        <f t="shared" si="21"/>
        <v xml:space="preserve"> </v>
      </c>
      <c r="J243" s="143"/>
      <c r="K243" s="143"/>
      <c r="L243" s="143"/>
      <c r="M243" s="202"/>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row>
    <row r="244" spans="1:56" s="8" customFormat="1" ht="26" customHeight="1" x14ac:dyDescent="0.2">
      <c r="A244" s="11"/>
      <c r="B244" s="41"/>
      <c r="C244" s="120" t="str">
        <f>IF(NOT(Start_Here_Complete)," ",
"AR-E0PT82M1-WW")</f>
        <v xml:space="preserve"> </v>
      </c>
      <c r="D244" s="181" t="str">
        <f>IF(NOT(Start_Here_Complete)," ",
VLOOKUP(C244,'All Products PL 2022-03-08'!$A$2:$C$4500,2,FALSE))</f>
        <v xml:space="preserve"> </v>
      </c>
      <c r="E244" s="121">
        <f>IF(NOT(Start_Here_Complete),0,
VLOOKUP(C244,'All Products PL 2022-03-08'!$A$2:$C$4500,3,FALSE))</f>
        <v>0</v>
      </c>
      <c r="F244" s="122">
        <f>IF(NOT(Start_Here_Complete),0,
IF(_Dev="Ent",0,
IF(NOT(AR),0,
IF(EW_PTP_820G_IDU_Single="Choose","Error",
IF(EW_PTP_820G_IDU_Single=" ",0,
IF(EW_PTP_820G_IDU_Single="N/A",0,
IF(EW_PTP_820G_IDU_Single="Declined",0,
IF(EW_PTP_820G_IDU_Single="Upgrd Std Wty",Qty_PTP_820G_IDU_Single,
0))))))))</f>
        <v>0</v>
      </c>
      <c r="G244" s="108">
        <f t="shared" si="22"/>
        <v>0</v>
      </c>
      <c r="H244" s="375" t="str">
        <f>IF(OR(F244&gt;0,F244="Error")," PTP 820G IDU (Single Modem)"," ")</f>
        <v xml:space="preserve"> </v>
      </c>
      <c r="I244" s="217" t="str">
        <f t="shared" si="21"/>
        <v xml:space="preserve"> </v>
      </c>
      <c r="J244" s="143"/>
      <c r="K244" s="143"/>
      <c r="L244" s="143"/>
      <c r="M244" s="202"/>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row>
    <row r="245" spans="1:56" s="8" customFormat="1" ht="26" customHeight="1" x14ac:dyDescent="0.2">
      <c r="A245" s="11"/>
      <c r="B245" s="41"/>
      <c r="C245" s="120" t="str">
        <f>IF(NOT(Start_Here_Complete)," ",
IF(NOT(AR),CONCATENATE("AR-E","1","PT82M1-WW"),
IF(EW_PTP_820G_IDU_Single="Choose",CONCATENATE("AR-E","1","PT82M1-WW"),
IF(EW_PTP_820G_IDU_Single="Declined",CONCATENATE("AR-E","1","PT82M1-WW"),
IF(EW_PTP_820G_IDU_Single="N/A",CONCATENATE("AR-E","1","PT82M1-WW"),
IF(EW_PTP_820G_IDU_Single=" ",CONCATENATE("AR-E","1","PT82M1-WW"),
IF(EW_PTP_820G_IDU_Single="Upgrd Std Wty",CONCATENATE("AR-E","1","PT82M1-WW"),
CONCATENATE("AR-E",LEFT(EW_PTP_820G_IDU_Single,1),"PT82M1-WW"))))))))</f>
        <v xml:space="preserve"> </v>
      </c>
      <c r="D245" s="181" t="str">
        <f>IF(NOT(Start_Here_Complete)," ",
VLOOKUP(C245,'All Products PL 2022-03-08'!$A$2:$C$4500,2,FALSE))</f>
        <v xml:space="preserve"> </v>
      </c>
      <c r="E245" s="121">
        <f>IF(NOT(Start_Here_Complete),0,
VLOOKUP(C245,'All Products PL 2022-03-08'!$A$2:$C$4500,3,FALSE))</f>
        <v>0</v>
      </c>
      <c r="F245" s="122">
        <f>IF(NOT(Start_Here_Complete),0,
IF(_Dev="Ent",0,
IF(NOT(AR),0,
IF(EW_PTP_820G_IDU_Single="Choose","Error",
IF(EW_PTP_820G_IDU_Single=" ",0,
IF(EW_PTP_820G_IDU_Single="N/A",0,
IF(EW_PTP_820G_IDU_Single="Declined",0,
IF(EW_PTP_820G_IDU_Single="Upgrd Std Wty",0,
IF(EW_PTP_820G_IDU_Single&lt;&gt;"Upgrd Std Wty",Qty_PTP_820G_IDU_Single,
"Bottom")))))))))</f>
        <v>0</v>
      </c>
      <c r="G245" s="108">
        <f t="shared" si="22"/>
        <v>0</v>
      </c>
      <c r="H245" s="375" t="str">
        <f>IF(OR(F245&gt;0,F245="Error")," PTP 820G IDU (Single Modem)"," ")</f>
        <v xml:space="preserve"> </v>
      </c>
      <c r="I245" s="217" t="str">
        <f t="shared" ref="I245:I259" si="26">IF(F245="Error","Return to the product selection worksheet and choose ""Add'l Years""",
" ")</f>
        <v xml:space="preserve"> </v>
      </c>
      <c r="J245" s="143"/>
      <c r="K245" s="143"/>
      <c r="L245" s="143"/>
      <c r="M245" s="202"/>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row>
    <row r="246" spans="1:56" s="8" customFormat="1" ht="26" customHeight="1" x14ac:dyDescent="0.2">
      <c r="A246" s="11"/>
      <c r="B246" s="41"/>
      <c r="C246" s="120" t="str">
        <f>IF(NOT(Start_Here_Complete)," ",
"AR-E0PT82M2-WW")</f>
        <v xml:space="preserve"> </v>
      </c>
      <c r="D246" s="181" t="str">
        <f>IF(NOT(Start_Here_Complete)," ",
VLOOKUP(C246,'All Products PL 2022-03-08'!$A$2:$C$4500,2,FALSE))</f>
        <v xml:space="preserve"> </v>
      </c>
      <c r="E246" s="121">
        <f>IF(NOT(Start_Here_Complete),0,
VLOOKUP(C246,'All Products PL 2022-03-08'!$A$2:$C$4500,3,FALSE))</f>
        <v>0</v>
      </c>
      <c r="F246" s="122">
        <f>IF(NOT(Start_Here_Complete),0,
IF(_Dev="Ent",0,
IF(NOT(AR),0,
IF(EW_PTP_820G_IDU_Double="Choose","Error",
IF(EW_PTP_820G_IDU_Double=" ",0,
IF(EW_PTP_820G_IDU_Double="N/A",0,
IF(EW_PTP_820G_IDU_Double="Declined",0,
IF(EW_PTP_820G_IDU_Double="Upgrd Std Wty",Qty_PTP_820G_IDU_Double,
0))))))))</f>
        <v>0</v>
      </c>
      <c r="G246" s="108">
        <f t="shared" si="22"/>
        <v>0</v>
      </c>
      <c r="H246" s="375" t="str">
        <f>IF(OR(F246&gt;0,F246="Error")," PTP 820G IDU (Double Modem)"," ")</f>
        <v xml:space="preserve"> </v>
      </c>
      <c r="I246" s="217" t="str">
        <f t="shared" si="26"/>
        <v xml:space="preserve"> </v>
      </c>
      <c r="J246" s="143"/>
      <c r="K246" s="143"/>
      <c r="L246" s="143"/>
      <c r="M246" s="202"/>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row>
    <row r="247" spans="1:56" s="8" customFormat="1" ht="26" customHeight="1" x14ac:dyDescent="0.2">
      <c r="A247" s="11"/>
      <c r="B247" s="41"/>
      <c r="C247" s="120" t="str">
        <f>IF(NOT(Start_Here_Complete)," ",
IF(NOT(AR),CONCATENATE("AR-E","1","PT82M2-WW"),
IF(EW_PTP_820G_IDU_Double="Choose",CONCATENATE("AR-E","1","PT82M2-WW"),
IF(EW_PTP_820G_IDU_Double="Declined",CONCATENATE("AR-E","1","PT82M2-WW"),
IF(EW_PTP_820G_IDU_Double="N/A",CONCATENATE("AR-E","1","PT82M2-WW"),
IF(EW_PTP_820G_IDU_Double=" ",CONCATENATE("AR-E","1","PT82M2-WW"),
IF(EW_PTP_820G_IDU_Double="Upgrd Std Wty",CONCATENATE("AR-E","1","PT82M2-WW"),
CONCATENATE("AR-E",LEFT(EW_PTP_820G_IDU_Double,1),"PT82M2-WW"))))))))</f>
        <v xml:space="preserve"> </v>
      </c>
      <c r="D247" s="181" t="str">
        <f>IF(NOT(Start_Here_Complete)," ",
VLOOKUP(C247,'All Products PL 2022-03-08'!$A$2:$C$4500,2,FALSE))</f>
        <v xml:space="preserve"> </v>
      </c>
      <c r="E247" s="121">
        <f>IF(NOT(Start_Here_Complete),0,
VLOOKUP(C247,'All Products PL 2022-03-08'!$A$2:$C$4500,3,FALSE))</f>
        <v>0</v>
      </c>
      <c r="F247" s="122">
        <f>IF(NOT(Start_Here_Complete),0,
IF(_Dev="Ent",0,
IF(NOT(AR),0,
IF(EW_PTP_820G_IDU_Double="Choose","Error",
IF(EW_PTP_820G_IDU_Double=" ",0,
IF(EW_PTP_820G_IDU_Double="N/A",0,
IF(EW_PTP_820G_IDU_Double="Declined",0,
IF(EW_PTP_820G_IDU_Double="Upgrd Std Wty",0,
IF(EW_PTP_820G_IDU_Double&lt;&gt;"Upgrd Std Wty",Qty_PTP_820G_IDU_Double,
"Bottom")))))))))</f>
        <v>0</v>
      </c>
      <c r="G247" s="108">
        <f t="shared" si="22"/>
        <v>0</v>
      </c>
      <c r="H247" s="375" t="str">
        <f>IF(OR(F247&gt;0,F247="Error")," PTP 820G IDU (Double Modem)"," ")</f>
        <v xml:space="preserve"> </v>
      </c>
      <c r="I247" s="217" t="str">
        <f t="shared" si="26"/>
        <v xml:space="preserve"> </v>
      </c>
      <c r="J247" s="143"/>
      <c r="K247" s="143"/>
      <c r="L247" s="143"/>
      <c r="M247" s="202"/>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row>
    <row r="248" spans="1:56" s="8" customFormat="1" ht="26" customHeight="1" x14ac:dyDescent="0.2">
      <c r="A248" s="11"/>
      <c r="B248" s="41"/>
      <c r="C248" s="120" t="str">
        <f>IF(NOT(Start_Here_Complete)," ",
"AR-E0PT82RA-WW")</f>
        <v xml:space="preserve"> </v>
      </c>
      <c r="D248" s="181" t="str">
        <f>IF(NOT(Start_Here_Complete)," ",
VLOOKUP(C248,'All Products PL 2022-03-08'!$A$2:$C$4500,2,FALSE))</f>
        <v xml:space="preserve"> </v>
      </c>
      <c r="E248" s="121">
        <f>IF(NOT(Start_Here_Complete),0,
VLOOKUP(C248,'All Products PL 2022-03-08'!$A$2:$C$4500,3,FALSE))</f>
        <v>0</v>
      </c>
      <c r="F248" s="122">
        <f>IF(NOT(Start_Here_Complete),0,
IF(_Dev="Ent",0,
IF(NOT(AR),0,
IF(EW_PTP_820G_RFU_A="Choose","Error",
IF(EW_PTP_820G_RFU_A=" ",0,
IF(EW_PTP_820G_RFU_A="N/A",0,
IF(EW_PTP_820G_RFU_A="Declined",0,
IF(EW_PTP_820G_RFU_A="Upgrd Std Wty",Qty_PTP_820G_RFU_A,
0))))))))</f>
        <v>0</v>
      </c>
      <c r="G248" s="108">
        <f t="shared" si="22"/>
        <v>0</v>
      </c>
      <c r="H248" s="375" t="str">
        <f>IF(OR(F248&gt;0,F248="Error")," PTP 820G RFU-A"," ")</f>
        <v xml:space="preserve"> </v>
      </c>
      <c r="I248" s="217" t="str">
        <f t="shared" si="26"/>
        <v xml:space="preserve"> </v>
      </c>
      <c r="J248" s="143"/>
      <c r="K248" s="143"/>
      <c r="L248" s="143"/>
      <c r="M248" s="202"/>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row>
    <row r="249" spans="1:56" s="8" customFormat="1" ht="26" customHeight="1" x14ac:dyDescent="0.2">
      <c r="A249" s="11"/>
      <c r="B249" s="41"/>
      <c r="C249" s="120" t="str">
        <f>IF(NOT(Start_Here_Complete)," ",
IF(NOT(AR),CONCATENATE("AR-E","1","PT82RA-WW"),
IF(EW_PTP_820G_RFU_A="Choose",CONCATENATE("AR-E","1","PT82RA-WW"),
IF(EW_PTP_820G_RFU_A="Declined",CONCATENATE("AR-E","1","PT82RA-WW"),
IF(EW_PTP_820G_RFU_A="N/A",CONCATENATE("AR-E","1","PT82RA-WW"),
IF(EW_PTP_820G_RFU_A=" ",CONCATENATE("AR-E","1","PT82RA-WW"),
IF(EW_PTP_820G_RFU_A="Upgrd Std Wty",CONCATENATE("AR-E","1","PT82RA-WW"),
CONCATENATE("AR-E",LEFT(EW_PTP_820G_RFU_A,1),"PT82RA-WW"))))))))</f>
        <v xml:space="preserve"> </v>
      </c>
      <c r="D249" s="181" t="str">
        <f>IF(NOT(Start_Here_Complete)," ",
VLOOKUP(C249,'All Products PL 2022-03-08'!$A$2:$C$4500,2,FALSE))</f>
        <v xml:space="preserve"> </v>
      </c>
      <c r="E249" s="121">
        <f>IF(NOT(Start_Here_Complete),0,
VLOOKUP(C249,'All Products PL 2022-03-08'!$A$2:$C$4500,3,FALSE))</f>
        <v>0</v>
      </c>
      <c r="F249" s="122">
        <f>IF(NOT(Start_Here_Complete),0,
IF(_Dev="Ent",0,
IF(NOT(AR),0,
IF(EW_PTP_820G_RFU_A="Choose","Error",
IF(EW_PTP_820G_RFU_A=" ",0,
IF(EW_PTP_820G_RFU_A="N/A",0,
IF(EW_PTP_820G_RFU_A="Declined",0,
IF(EW_PTP_820G_RFU_A="Upgrd Std Wty",0,
IF(EW_PTP_820G_RFU_A&lt;&gt;"Upgrd Std Wty",Qty_PTP_820G_RFU_A,
"Bottom")))))))))</f>
        <v>0</v>
      </c>
      <c r="G249" s="108">
        <f t="shared" si="22"/>
        <v>0</v>
      </c>
      <c r="H249" s="375" t="str">
        <f>IF(OR(F249&gt;0,F249="Error")," PTP 820G RFU-A"," ")</f>
        <v xml:space="preserve"> </v>
      </c>
      <c r="I249" s="217" t="str">
        <f t="shared" si="26"/>
        <v xml:space="preserve"> </v>
      </c>
      <c r="J249" s="143"/>
      <c r="K249" s="143"/>
      <c r="L249" s="143"/>
      <c r="M249" s="202"/>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row>
    <row r="250" spans="1:56" s="8" customFormat="1" ht="26" customHeight="1" x14ac:dyDescent="0.2">
      <c r="A250" s="11"/>
      <c r="B250" s="41"/>
      <c r="C250" s="120" t="str">
        <f>IF(NOT(Start_Here_Complete)," ",
"AR-E0PT82RC-WW")</f>
        <v xml:space="preserve"> </v>
      </c>
      <c r="D250" s="181" t="str">
        <f>IF(NOT(Start_Here_Complete)," ",
VLOOKUP(C250,'All Products PL 2022-03-08'!$A$2:$C$4500,2,FALSE))</f>
        <v xml:space="preserve"> </v>
      </c>
      <c r="E250" s="121">
        <f>IF(NOT(Start_Here_Complete),0,
VLOOKUP(C250,'All Products PL 2022-03-08'!$A$2:$C$4500,3,FALSE))</f>
        <v>0</v>
      </c>
      <c r="F250" s="122">
        <f>IF(NOT(Start_Here_Complete),0,
IF(_Dev="Ent",0,
IF(NOT(AR),0,
IF(EW_PTP_820G_RFU_C="Choose","Error",
IF(EW_PTP_820G_RFU_C=" ",0,
IF(EW_PTP_820G_RFU_C="N/A",0,
IF(EW_PTP_820G_RFU_C="Declined",0,
IF(EW_PTP_820G_RFU_C="Upgrd Std Wty",Qty_PTP_820G_RFU_C,
0))))))))</f>
        <v>0</v>
      </c>
      <c r="G250" s="108">
        <f t="shared" si="22"/>
        <v>0</v>
      </c>
      <c r="H250" s="375" t="str">
        <f>IF(OR(F250&gt;0,F250="Error")," PTP 820G RFU-C"," ")</f>
        <v xml:space="preserve"> </v>
      </c>
      <c r="I250" s="217" t="str">
        <f t="shared" si="26"/>
        <v xml:space="preserve"> </v>
      </c>
      <c r="J250" s="143"/>
      <c r="K250" s="143"/>
      <c r="L250" s="143"/>
      <c r="M250" s="202"/>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row>
    <row r="251" spans="1:56" s="8" customFormat="1" ht="26" customHeight="1" x14ac:dyDescent="0.2">
      <c r="A251" s="11"/>
      <c r="B251" s="41"/>
      <c r="C251" s="120" t="str">
        <f>IF(NOT(Start_Here_Complete)," ",
IF(NOT(AR),CONCATENATE("AR-E","1","PT82RC-WW"),
IF(EW_PTP_820G_RFU_C="Choose",CONCATENATE("AR-E","1","PT82RC-WW"),
IF(EW_PTP_820G_RFU_C="Declined",CONCATENATE("AR-E","1","PT82RC-WW"),
IF(EW_PTP_820G_RFU_C="N/A",CONCATENATE("AR-E","1","PT82RC-WW"),
IF(EW_PTP_820G_RFU_C=" ",CONCATENATE("AR-E","1","PT82RC-WW"),
IF(EW_PTP_820G_RFU_C="Upgrd Std Wty",CONCATENATE("AR-E","1","PT82RC-WW"),
CONCATENATE("AR-E",LEFT(EW_PTP_820G_RFU_C,1),"PT82RC-WW"))))))))</f>
        <v xml:space="preserve"> </v>
      </c>
      <c r="D251" s="181" t="str">
        <f>IF(NOT(Start_Here_Complete)," ",
VLOOKUP(C251,'All Products PL 2022-03-08'!$A$2:$C$4500,2,FALSE))</f>
        <v xml:space="preserve"> </v>
      </c>
      <c r="E251" s="121">
        <f>IF(NOT(Start_Here_Complete),0,
VLOOKUP(C251,'All Products PL 2022-03-08'!$A$2:$C$4500,3,FALSE))</f>
        <v>0</v>
      </c>
      <c r="F251" s="122">
        <f>IF(NOT(Start_Here_Complete),0,
IF(_Dev="Ent",0,
IF(NOT(AR),0,
IF(EW_PTP_820G_RFU_C="Choose","Error",
IF(EW_PTP_820G_RFU_C=" ",0,
IF(EW_PTP_820G_RFU_C="N/A",0,
IF(EW_PTP_820G_RFU_C="Declined",0,
IF(EW_PTP_820G_RFU_C="Upgrd Std Wty",0,
IF(EW_PTP_820G_RFU_C&lt;&gt;"Upgrd Std Wty",Qty_PTP_820G_RFU_C,
"Bottom")))))))))</f>
        <v>0</v>
      </c>
      <c r="G251" s="108">
        <f t="shared" si="22"/>
        <v>0</v>
      </c>
      <c r="H251" s="375" t="str">
        <f>IF(OR(F251&gt;0,F251="Error")," PTP 820G RFU-C"," ")</f>
        <v xml:space="preserve"> </v>
      </c>
      <c r="I251" s="217" t="str">
        <f t="shared" si="26"/>
        <v xml:space="preserve"> </v>
      </c>
      <c r="J251" s="143"/>
      <c r="K251" s="143"/>
      <c r="L251" s="143"/>
      <c r="M251" s="202"/>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row>
    <row r="252" spans="1:56" s="8" customFormat="1" ht="26" customHeight="1" x14ac:dyDescent="0.2">
      <c r="A252" s="11"/>
      <c r="B252" s="41"/>
      <c r="C252" s="120" t="str">
        <f>IF(NOT(Start_Here_Complete)," ",
"AR-E0PT820S-WW")</f>
        <v xml:space="preserve"> </v>
      </c>
      <c r="D252" s="181" t="str">
        <f>IF(NOT(Start_Here_Complete)," ",
VLOOKUP(C252,'All Products PL 2022-03-08'!$A$2:$C$4500,2,FALSE))</f>
        <v xml:space="preserve"> </v>
      </c>
      <c r="E252" s="121">
        <f>IF(NOT(Start_Here_Complete),0,
VLOOKUP(C252,'All Products PL 2022-03-08'!$A$2:$C$4500,3,FALSE))</f>
        <v>0</v>
      </c>
      <c r="F252" s="122">
        <f>IF(NOT(Start_Here_Complete),0,
IF(_Dev="Ent",0,
IF(NOT(AR),0,
IF(EW_PTP_820S="Choose","Error",
IF(EW_PTP_820S=" ",0,
IF(EW_PTP_820S="N/A",0,
IF(EW_PTP_820S="Declined",0,
IF(EW_PTP_820S="Upgrd Std Wty",Qty_PTP_820S,
0))))))))</f>
        <v>0</v>
      </c>
      <c r="G252" s="108">
        <f t="shared" si="22"/>
        <v>0</v>
      </c>
      <c r="H252" s="375" t="str">
        <f>IF(OR(F252&gt;0,F252="Error")," PTP 820S"," ")</f>
        <v xml:space="preserve"> </v>
      </c>
      <c r="I252" s="217" t="str">
        <f t="shared" si="26"/>
        <v xml:space="preserve"> </v>
      </c>
      <c r="J252" s="143"/>
      <c r="K252" s="143"/>
      <c r="L252" s="143"/>
      <c r="M252" s="202"/>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row>
    <row r="253" spans="1:56" s="8" customFormat="1" ht="26" customHeight="1" x14ac:dyDescent="0.2">
      <c r="A253" s="11"/>
      <c r="B253" s="41"/>
      <c r="C253" s="120" t="str">
        <f>IF(NOT(Start_Here_Complete)," ",
IF(NOT(AR),CONCATENATE("AR-E","1","PT820S-WW"),
IF(EW_PTP_820S="Choose",CONCATENATE("AR-E","1","PT820S-WW"),
IF(EW_PTP_820S="Declined",CONCATENATE("AR-E","1","PT820S-WW"),
IF(EW_PTP_820S="N/A",CONCATENATE("AR-E","1","PT820S-WW"),
IF(EW_PTP_820S=" ",CONCATENATE("AR-E","1","PT820S-WW"),
IF(EW_PTP_820S="Upgrd Std Wty",CONCATENATE("AR-E","1","PT820S-WW"),
CONCATENATE("AR-E",LEFT(EW_PTP_820S,1),"PT820S-WW"))))))))</f>
        <v xml:space="preserve"> </v>
      </c>
      <c r="D253" s="181" t="str">
        <f>IF(NOT(Start_Here_Complete)," ",
VLOOKUP(C253,'All Products PL 2022-03-08'!$A$2:$C$4500,2,FALSE))</f>
        <v xml:space="preserve"> </v>
      </c>
      <c r="E253" s="121">
        <f>IF(NOT(Start_Here_Complete),0,
VLOOKUP(C253,'All Products PL 2022-03-08'!$A$2:$C$4500,3,FALSE))</f>
        <v>0</v>
      </c>
      <c r="F253" s="122">
        <f>IF(NOT(Start_Here_Complete),0,
IF(_Dev="Ent",0,
IF(NOT(AR),0,
IF(EW_PTP_820S="Choose","Error",
IF(EW_PTP_820S=" ",0,
IF(EW_PTP_820S="N/A",0,
IF(EW_PTP_820S="Declined",0,
IF(EW_PTP_820S="Upgrd Std Wty",0,
IF(EW_PTP_820S&lt;&gt;"Upgrd Std Wty",Qty_PTP_820S,
"Bottom")))))))))</f>
        <v>0</v>
      </c>
      <c r="G253" s="108">
        <f t="shared" si="22"/>
        <v>0</v>
      </c>
      <c r="H253" s="375" t="str">
        <f>IF(OR(F253&gt;0,F253="Error")," PTP 820S"," ")</f>
        <v xml:space="preserve"> </v>
      </c>
      <c r="I253" s="217" t="str">
        <f t="shared" si="26"/>
        <v xml:space="preserve"> </v>
      </c>
      <c r="J253" s="143"/>
      <c r="K253" s="143"/>
      <c r="L253" s="143"/>
      <c r="M253" s="202"/>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row>
    <row r="254" spans="1:56" s="8" customFormat="1" ht="26" customHeight="1" x14ac:dyDescent="0.2">
      <c r="A254" s="11"/>
      <c r="B254" s="41"/>
      <c r="C254" s="120" t="str">
        <f>IF(NOT(Start_Here_Complete)," ",
"AR-E0PT850E-WW")</f>
        <v xml:space="preserve"> </v>
      </c>
      <c r="D254" s="181" t="str">
        <f>IF(NOT(Start_Here_Complete)," ",
VLOOKUP(C254,'All Products PL 2022-03-08'!$A$2:$C$4500,2,FALSE))</f>
        <v xml:space="preserve"> </v>
      </c>
      <c r="E254" s="121">
        <f>IF(NOT(Start_Here_Complete),0,
VLOOKUP(C254,'All Products PL 2022-03-08'!$A$2:$C$4500,3,FALSE))</f>
        <v>0</v>
      </c>
      <c r="F254" s="122">
        <f>IF(NOT(Start_Here_Complete),0,
IF(_Dev="Ent",0,
IF(NOT(AR),0,
IF(EW_PTP_850E="Choose","Error",
IF(EW_PTP_850E=" ",0,
IF(EW_PTP_850E="N/A",0,
IF(EW_PTP_850E="Declined",0,
IF(EW_PTP_850E="Upgrd Std Wty",Qty_PTP_850E,
0))))))))</f>
        <v>0</v>
      </c>
      <c r="G254" s="108">
        <f t="shared" si="22"/>
        <v>0</v>
      </c>
      <c r="H254" s="375" t="str">
        <f>IF(OR(F254&gt;0,F254="Error")," PTP 850E"," ")</f>
        <v xml:space="preserve"> </v>
      </c>
      <c r="I254" s="217" t="str">
        <f t="shared" si="26"/>
        <v xml:space="preserve"> </v>
      </c>
      <c r="J254" s="143"/>
      <c r="K254" s="143"/>
      <c r="L254" s="143"/>
      <c r="M254" s="202"/>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row>
    <row r="255" spans="1:56" s="8" customFormat="1" ht="26" customHeight="1" x14ac:dyDescent="0.2">
      <c r="A255" s="11"/>
      <c r="B255" s="41"/>
      <c r="C255" s="120" t="str">
        <f>IF(NOT(Start_Here_Complete)," ",
IF(NOT(AR),CONCATENATE("AR-E","1","PT850E-WW"),
IF(EW_PTP_850E="Choose",CONCATENATE("AR-E","1","PT850E-WW"),
IF(EW_PTP_850E="Declined",CONCATENATE("AR-E","1","PT850E-WW"),
IF(EW_PTP_850E="N/A",CONCATENATE("AR-E","1","PT850E-WW"),
IF(EW_PTP_850E=" ",CONCATENATE("AR-E","1","PT850E-WW"),
IF(EW_PTP_850E="Upgrd Std Wty",CONCATENATE("AR-E","1","PT850E-WW"),
CONCATENATE("AR-E",LEFT(EW_PTP_850E,1),"PT850E-WW"))))))))</f>
        <v xml:space="preserve"> </v>
      </c>
      <c r="D255" s="181" t="str">
        <f>IF(NOT(Start_Here_Complete)," ",
VLOOKUP(C255,'All Products PL 2022-03-08'!$A$2:$C$4500,2,FALSE))</f>
        <v xml:space="preserve"> </v>
      </c>
      <c r="E255" s="121">
        <f>IF(NOT(Start_Here_Complete),0,
VLOOKUP(C255,'All Products PL 2022-03-08'!$A$2:$C$4500,3,FALSE))</f>
        <v>0</v>
      </c>
      <c r="F255" s="122">
        <f>IF(NOT(Start_Here_Complete),0,
IF(_Dev="Ent",0,
IF(NOT(AR),0,
IF(EW_PTP_850E="Choose","Error",
IF(EW_PTP_850E=" ",0,
IF(EW_PTP_850E="N/A",0,
IF(EW_PTP_850E="Declined",0,
IF(EW_PTP_850E="Upgrd Std Wty",0,
IF(EW_PTP_850E&lt;&gt;"Upgrd Std Wty",Qty_PTP_850E,
"Bottom")))))))))</f>
        <v>0</v>
      </c>
      <c r="G255" s="108">
        <f t="shared" si="22"/>
        <v>0</v>
      </c>
      <c r="H255" s="375" t="str">
        <f>IF(OR(F255&gt;0,F255="Error")," PTP 850E"," ")</f>
        <v xml:space="preserve"> </v>
      </c>
      <c r="I255" s="217" t="str">
        <f t="shared" si="26"/>
        <v xml:space="preserve"> </v>
      </c>
      <c r="J255" s="143"/>
      <c r="K255" s="143"/>
      <c r="L255" s="143"/>
      <c r="M255" s="202"/>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row>
    <row r="256" spans="1:56" s="8" customFormat="1" ht="26" customHeight="1" x14ac:dyDescent="0.2">
      <c r="A256" s="11"/>
      <c r="B256" s="41"/>
      <c r="C256" s="120" t="str">
        <f>IF(NOT(Start_Here_Complete)," ",
"AR-E0NBN51-WW")</f>
        <v xml:space="preserve"> </v>
      </c>
      <c r="D256" s="181" t="str">
        <f>IF(NOT(Start_Here_Complete)," ",
VLOOKUP(C256,'All Products PL 2022-03-08'!$A$2:$C$4500,2,FALSE))</f>
        <v xml:space="preserve"> </v>
      </c>
      <c r="E256" s="121">
        <f>IF(NOT(Start_Here_Complete),0,
VLOOKUP(C256,'All Products PL 2022-03-08'!$A$2:$C$4500,3,FALSE))</f>
        <v>0</v>
      </c>
      <c r="F256" s="122">
        <f>IF(NOT(Start_Here_Complete),0,
IF(_Dev="Ent",0,
IF(NOT(AR),0,
IF(EW_cnReach_N5000_Single="Choose","Error",
IF(EW_cnReach_N5000_Single=" ",0,
IF(EW_cnReach_N5000_Single="N/A",0,
IF(EW_cnReach_N5000_Single="Declined",0,
IF(EW_cnReach_N5000_Single="Upgrd Std Wty",Qty_cnReach_N5000_Single,
0))))))))</f>
        <v>0</v>
      </c>
      <c r="G256" s="108">
        <f>IF(NOT(Start_Here_Complete),0,
IF(F256="Error",0,
E256*F256))</f>
        <v>0</v>
      </c>
      <c r="H256" s="375" t="str">
        <f>IF(OR(F256&gt;0,F256="Error")," cnReach N500 Single Radio"," ")</f>
        <v xml:space="preserve"> </v>
      </c>
      <c r="I256" s="217" t="str">
        <f t="shared" si="26"/>
        <v xml:space="preserve"> </v>
      </c>
      <c r="J256" s="143"/>
      <c r="K256" s="143"/>
      <c r="L256" s="143"/>
      <c r="M256" s="202"/>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row>
    <row r="257" spans="1:56" s="8" customFormat="1" ht="26" customHeight="1" x14ac:dyDescent="0.2">
      <c r="A257" s="11"/>
      <c r="B257" s="41"/>
      <c r="C257" s="120" t="str">
        <f>IF(NOT(Start_Here_Complete)," ",
IF(NOT(AR),CONCATENATE("AR-E","1","NBN51-WW"),
IF(EW_cnReach_N5000_Single="Choose",CONCATENATE("AR-E","1","NBN51-WW"),
IF(EW_cnReach_N5000_Single="Declined",CONCATENATE("AR-E","1","NBN51-WW"),
IF(EW_cnReach_N5000_Single="N/A",CONCATENATE("AR-E","1","NBN51-WW"),
IF(EW_cnReach_N5000_Single=" ",CONCATENATE("AR-E","1","NBN51-WW"),
IF(EW_cnReach_N5000_Single="Upgrd Std Wty",CONCATENATE("AR-E","1","NBN51-WW"),
CONCATENATE("AR-E",LEFT(EW_cnReach_N5000_Single,1),"NBN51-WW"))))))))</f>
        <v xml:space="preserve"> </v>
      </c>
      <c r="D257" s="181" t="str">
        <f>IF(NOT(Start_Here_Complete)," ",
VLOOKUP(C257,'All Products PL 2022-03-08'!$A$2:$C$4500,2,FALSE))</f>
        <v xml:space="preserve"> </v>
      </c>
      <c r="E257" s="121">
        <f>IF(NOT(Start_Here_Complete),0,
VLOOKUP(C257,'All Products PL 2022-03-08'!$A$2:$C$4500,3,FALSE))</f>
        <v>0</v>
      </c>
      <c r="F257" s="122">
        <f>IF(NOT(Start_Here_Complete),0,
IF(_Dev="Ent",0,
IF(NOT(AR),0,
IF(EW_cnReach_N5000_Single="Choose","Error",
IF(EW_cnReach_N5000_Single=" ",0,
IF(EW_cnReach_N5000_Single="N/A",0,
IF(EW_cnReach_N5000_Single="Declined",0,
IF(EW_cnReach_N5000_Single="Upgrd Std Wty",0,
IF(EW_cnReach_N5000_Single&lt;&gt;"Upgrd Std Wty",Qty_cnReach_N5000_Single,
"Bottom")))))))))</f>
        <v>0</v>
      </c>
      <c r="G257" s="108">
        <f>IF(NOT(Start_Here_Complete),0,
IF(F257="Error",0,
E257*F257))</f>
        <v>0</v>
      </c>
      <c r="H257" s="375" t="str">
        <f>IF(OR(F257&gt;0,F257="Error")," cnReach N500 Single Radio"," ")</f>
        <v xml:space="preserve"> </v>
      </c>
      <c r="I257" s="217" t="str">
        <f t="shared" si="26"/>
        <v xml:space="preserve"> </v>
      </c>
      <c r="J257" s="143"/>
      <c r="K257" s="143"/>
      <c r="L257" s="143"/>
      <c r="M257" s="202"/>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row>
    <row r="258" spans="1:56" s="8" customFormat="1" ht="26" customHeight="1" x14ac:dyDescent="0.2">
      <c r="A258" s="11"/>
      <c r="B258" s="41"/>
      <c r="C258" s="120" t="str">
        <f>IF(NOT(Start_Here_Complete)," ",
"AR-E0NBN52-WW")</f>
        <v xml:space="preserve"> </v>
      </c>
      <c r="D258" s="181" t="str">
        <f>IF(NOT(Start_Here_Complete)," ",
VLOOKUP(C258,'All Products PL 2022-03-08'!$A$2:$C$4500,2,FALSE))</f>
        <v xml:space="preserve"> </v>
      </c>
      <c r="E258" s="121">
        <f>IF(NOT(Start_Here_Complete),0,
VLOOKUP(C258,'All Products PL 2022-03-08'!$A$2:$C$4500,3,FALSE))</f>
        <v>0</v>
      </c>
      <c r="F258" s="122">
        <f>IF(NOT(Start_Here_Complete),0,
IF(_Dev="Ent",0,
IF(NOT(AR),0,
IF(EW_cnReach_N5000_Double="Choose","Error",
IF(EW_cnReach_N5000_Double=" ",0,
IF(EW_cnReach_N5000_Double="N/A",0,
IF(EW_cnReach_N5000_Double="Declined",0,
IF(EW_cnReach_N5000_Double="Upgrd Std Wty",Qty_cnReach_N5000_Double,
0))))))))</f>
        <v>0</v>
      </c>
      <c r="G258" s="108">
        <f>IF(NOT(Start_Here_Complete),0,
IF(F258="Error",0,
E258*F258))</f>
        <v>0</v>
      </c>
      <c r="H258" s="375" t="str">
        <f>IF(OR(F258&gt;0,F258="Error")," cnReach N500 Dual Radio"," ")</f>
        <v xml:space="preserve"> </v>
      </c>
      <c r="I258" s="217" t="str">
        <f t="shared" si="26"/>
        <v xml:space="preserve"> </v>
      </c>
      <c r="J258" s="143"/>
      <c r="K258" s="143"/>
      <c r="L258" s="143"/>
      <c r="M258" s="202"/>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row>
    <row r="259" spans="1:56" s="8" customFormat="1" ht="26" customHeight="1" thickBot="1" x14ac:dyDescent="0.25">
      <c r="A259" s="11"/>
      <c r="B259" s="41"/>
      <c r="C259" s="120" t="str">
        <f>IF(NOT(Start_Here_Complete)," ",
IF(NOT(AR),CONCATENATE("AR-E","1","NBN52-WW"),
IF(EW_cnReach_N5000_Double="Choose",CONCATENATE("AR-E","1","NBN52-WW"),
IF(EW_cnReach_N5000_Double="Declined",CONCATENATE("AR-E","1","NBN52-WW"),
IF(EW_cnReach_N5000_Double="N/A",CONCATENATE("AR-E","1","NBN52-WW"),
IF(EW_cnReach_N5000_Double=" ",CONCATENATE("AR-E","1","NBN52-WW"),
IF(EW_cnReach_N5000_Double="Upgrd Std Wty",CONCATENATE("AR-E","1","NBN52-WW"),
CONCATENATE("AR-E",LEFT(EW_cnReach_N5000_Double,1),"NBN52-WW"))))))))</f>
        <v xml:space="preserve"> </v>
      </c>
      <c r="D259" s="181" t="str">
        <f>IF(NOT(Start_Here_Complete)," ",
VLOOKUP(C259,'All Products PL 2022-03-08'!$A$2:$C$4500,2,FALSE))</f>
        <v xml:space="preserve"> </v>
      </c>
      <c r="E259" s="121">
        <f>IF(NOT(Start_Here_Complete),0,
VLOOKUP(C259,'All Products PL 2022-03-08'!$A$2:$C$4500,3,FALSE))</f>
        <v>0</v>
      </c>
      <c r="F259" s="122">
        <f>IF(NOT(Start_Here_Complete),0,
IF(_Dev="Ent",0,
IF(NOT(AR),0,
IF(EW_cnReach_N5000_Double="Choose","Error",
IF(EW_cnReach_N5000_Double=" ",0,
IF(EW_cnReach_N5000_Double="N/A",0,
IF(EW_cnReach_N5000_Double="Declined",0,
IF(EW_cnReach_N5000_Double="Upgrd Std Wty",0,
IF(EW_cnReach_N5000_Double&lt;&gt;"Upgrd Std Wty",Qty_cnReach_N5000_Double,
"Bottom")))))))))</f>
        <v>0</v>
      </c>
      <c r="G259" s="170">
        <f>IF(NOT(Start_Here_Complete),0,
IF(F259="Error",0,
E259*F259))</f>
        <v>0</v>
      </c>
      <c r="H259" s="377" t="str">
        <f>IF(OR(F259&gt;0,F259="Error")," cnReach N500 Dual Radio"," ")</f>
        <v xml:space="preserve"> </v>
      </c>
      <c r="I259" s="217" t="str">
        <f t="shared" si="26"/>
        <v xml:space="preserve"> </v>
      </c>
      <c r="J259" s="143"/>
      <c r="K259" s="143"/>
      <c r="L259" s="143"/>
      <c r="M259" s="202"/>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row>
    <row r="260" spans="1:56" ht="15" customHeight="1" x14ac:dyDescent="0.2">
      <c r="A260" s="11"/>
      <c r="B260" s="58"/>
      <c r="C260" s="59"/>
      <c r="D260" s="60"/>
      <c r="E260" s="61"/>
      <c r="F260" s="62"/>
      <c r="G260" s="63"/>
      <c r="H260" s="149"/>
      <c r="I260" s="149"/>
      <c r="J260" s="143"/>
      <c r="K260" s="143"/>
      <c r="L260" s="143"/>
      <c r="M260" s="174"/>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row>
    <row r="261" spans="1:56" s="72" customFormat="1" ht="15" customHeight="1" thickBot="1" x14ac:dyDescent="0.25">
      <c r="A261" s="67"/>
      <c r="B261" s="67"/>
      <c r="C261" s="68"/>
      <c r="D261" s="68"/>
      <c r="E261" s="69"/>
      <c r="F261" s="70" t="s">
        <v>92</v>
      </c>
      <c r="G261" s="71">
        <f>SUM(G12:G259)</f>
        <v>0</v>
      </c>
      <c r="H261" s="175"/>
      <c r="I261" s="175"/>
      <c r="J261" s="145"/>
      <c r="K261" s="145"/>
      <c r="L261" s="145"/>
      <c r="M261" s="176"/>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row>
    <row r="262" spans="1:56" ht="13" thickTop="1" x14ac:dyDescent="0.2">
      <c r="A262" s="11"/>
      <c r="B262" s="11"/>
      <c r="C262" s="11"/>
      <c r="D262" s="11"/>
      <c r="E262" s="24"/>
      <c r="F262" s="11"/>
      <c r="G262" s="11"/>
      <c r="H262" s="148"/>
      <c r="I262" s="148"/>
      <c r="J262" s="143"/>
      <c r="K262" s="143"/>
      <c r="L262" s="143"/>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row>
    <row r="263" spans="1:56" x14ac:dyDescent="0.2">
      <c r="A263" s="11"/>
      <c r="B263" s="11"/>
      <c r="C263" s="11"/>
      <c r="D263" s="11"/>
      <c r="E263" s="24"/>
      <c r="F263" s="11"/>
      <c r="G263" s="11"/>
      <c r="H263" s="148"/>
      <c r="I263" s="148"/>
      <c r="J263" s="143"/>
      <c r="K263" s="143"/>
      <c r="L263" s="143"/>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row>
    <row r="264" spans="1:56" x14ac:dyDescent="0.2">
      <c r="A264" s="11"/>
      <c r="B264" s="11"/>
      <c r="C264" s="11"/>
      <c r="D264" s="11"/>
      <c r="E264" s="24"/>
      <c r="F264" s="11"/>
      <c r="G264" s="11"/>
      <c r="H264" s="148"/>
      <c r="I264" s="148"/>
      <c r="J264" s="143"/>
      <c r="K264" s="143"/>
      <c r="L264" s="143"/>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row>
    <row r="265" spans="1:56" x14ac:dyDescent="0.2">
      <c r="A265" s="11"/>
      <c r="B265" s="11"/>
      <c r="C265" s="11"/>
      <c r="D265" s="11"/>
      <c r="E265" s="24"/>
      <c r="F265" s="11"/>
      <c r="G265" s="11"/>
      <c r="H265" s="148"/>
      <c r="I265" s="148"/>
      <c r="J265" s="143"/>
      <c r="K265" s="143"/>
      <c r="L265" s="143"/>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row>
    <row r="266" spans="1:56" x14ac:dyDescent="0.2">
      <c r="A266" s="11"/>
      <c r="B266" s="11"/>
      <c r="C266" s="11"/>
      <c r="D266" s="11"/>
      <c r="E266" s="24"/>
      <c r="F266" s="11"/>
      <c r="G266" s="11"/>
      <c r="H266" s="148"/>
      <c r="I266" s="148"/>
      <c r="J266" s="143"/>
      <c r="K266" s="143"/>
      <c r="L266" s="143"/>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row>
    <row r="267" spans="1:56" x14ac:dyDescent="0.2">
      <c r="A267" s="11"/>
      <c r="B267" s="11"/>
      <c r="C267" s="11"/>
      <c r="D267" s="11"/>
      <c r="E267" s="24"/>
      <c r="F267" s="11"/>
      <c r="G267" s="11"/>
      <c r="H267" s="148"/>
      <c r="I267" s="148"/>
      <c r="J267" s="143"/>
      <c r="K267" s="143"/>
      <c r="L267" s="143"/>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row>
    <row r="268" spans="1:56" x14ac:dyDescent="0.2">
      <c r="A268" s="11"/>
      <c r="B268" s="11"/>
      <c r="C268" s="11"/>
      <c r="D268" s="11"/>
      <c r="E268" s="24"/>
      <c r="F268" s="11"/>
      <c r="G268" s="11"/>
      <c r="H268" s="148"/>
      <c r="I268" s="148"/>
      <c r="J268" s="143"/>
      <c r="K268" s="143"/>
      <c r="L268" s="143"/>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row>
    <row r="269" spans="1:56" x14ac:dyDescent="0.2">
      <c r="A269" s="11"/>
      <c r="B269" s="11"/>
      <c r="C269" s="11"/>
      <c r="D269" s="11"/>
      <c r="E269" s="24"/>
      <c r="F269" s="11"/>
      <c r="G269" s="11"/>
      <c r="H269" s="148"/>
      <c r="I269" s="148"/>
      <c r="J269" s="143"/>
      <c r="K269" s="143"/>
      <c r="L269" s="143"/>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row>
    <row r="270" spans="1:56" x14ac:dyDescent="0.2">
      <c r="A270" s="11"/>
      <c r="B270" s="11"/>
      <c r="C270" s="11"/>
      <c r="D270" s="11"/>
      <c r="E270" s="24"/>
      <c r="F270" s="11"/>
      <c r="G270" s="11"/>
      <c r="H270" s="148"/>
      <c r="I270" s="148"/>
      <c r="J270" s="143"/>
      <c r="K270" s="143"/>
      <c r="L270" s="143"/>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row>
    <row r="271" spans="1:56" x14ac:dyDescent="0.2">
      <c r="A271" s="11"/>
      <c r="B271" s="11"/>
      <c r="C271" s="11"/>
      <c r="D271" s="11"/>
      <c r="E271" s="24"/>
      <c r="F271" s="11"/>
      <c r="G271" s="11"/>
      <c r="H271" s="148"/>
      <c r="I271" s="148"/>
      <c r="J271" s="143"/>
      <c r="K271" s="143"/>
      <c r="L271" s="143"/>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row>
    <row r="272" spans="1:56" x14ac:dyDescent="0.2">
      <c r="A272" s="11"/>
      <c r="B272" s="11"/>
      <c r="C272" s="11"/>
      <c r="D272" s="11"/>
      <c r="E272" s="24"/>
      <c r="F272" s="11"/>
      <c r="G272" s="11"/>
      <c r="H272" s="148"/>
      <c r="I272" s="148"/>
      <c r="J272" s="143"/>
      <c r="K272" s="143"/>
      <c r="L272" s="143"/>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row>
    <row r="273" spans="1:56" x14ac:dyDescent="0.2">
      <c r="A273" s="11"/>
      <c r="B273" s="11"/>
      <c r="C273" s="11"/>
      <c r="D273" s="11"/>
      <c r="E273" s="24"/>
      <c r="F273" s="11"/>
      <c r="G273" s="11"/>
      <c r="H273" s="148"/>
      <c r="I273" s="148"/>
      <c r="J273" s="143"/>
      <c r="K273" s="143"/>
      <c r="L273" s="143"/>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row>
    <row r="274" spans="1:56" x14ac:dyDescent="0.2">
      <c r="A274" s="11"/>
      <c r="B274" s="11"/>
      <c r="C274" s="11"/>
      <c r="D274" s="11"/>
      <c r="E274" s="24"/>
      <c r="F274" s="11"/>
      <c r="G274" s="11"/>
      <c r="H274" s="148"/>
      <c r="I274" s="148"/>
      <c r="J274" s="143"/>
      <c r="K274" s="143"/>
      <c r="L274" s="143"/>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row>
    <row r="275" spans="1:56" x14ac:dyDescent="0.2">
      <c r="A275" s="11"/>
      <c r="B275" s="11"/>
      <c r="C275" s="11"/>
      <c r="D275" s="11"/>
      <c r="E275" s="24"/>
      <c r="F275" s="11"/>
      <c r="G275" s="11"/>
      <c r="H275" s="148"/>
      <c r="I275" s="148"/>
      <c r="J275" s="143"/>
      <c r="K275" s="143"/>
      <c r="L275" s="143"/>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row>
    <row r="276" spans="1:56" x14ac:dyDescent="0.2">
      <c r="A276" s="11"/>
      <c r="B276" s="11"/>
      <c r="C276" s="11"/>
      <c r="D276" s="11"/>
      <c r="E276" s="24"/>
      <c r="F276" s="11"/>
      <c r="G276" s="11"/>
      <c r="H276" s="148"/>
      <c r="I276" s="148"/>
      <c r="J276" s="143"/>
      <c r="K276" s="143"/>
      <c r="L276" s="143"/>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row>
    <row r="277" spans="1:56" x14ac:dyDescent="0.2">
      <c r="A277" s="11"/>
      <c r="B277" s="11"/>
      <c r="C277" s="11"/>
      <c r="D277" s="11"/>
      <c r="E277" s="24"/>
      <c r="F277" s="11"/>
      <c r="G277" s="11"/>
      <c r="H277" s="148"/>
      <c r="I277" s="148"/>
      <c r="J277" s="143"/>
      <c r="K277" s="143"/>
      <c r="L277" s="143"/>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row>
    <row r="278" spans="1:56" x14ac:dyDescent="0.2">
      <c r="A278" s="11"/>
      <c r="B278" s="11"/>
      <c r="C278" s="11"/>
      <c r="D278" s="11"/>
      <c r="E278" s="24"/>
      <c r="F278" s="11"/>
      <c r="G278" s="11"/>
      <c r="H278" s="148"/>
      <c r="I278" s="148"/>
      <c r="J278" s="143"/>
      <c r="K278" s="143"/>
      <c r="L278" s="143"/>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row>
    <row r="279" spans="1:56" x14ac:dyDescent="0.2">
      <c r="A279" s="11"/>
      <c r="B279" s="11"/>
      <c r="C279" s="11"/>
      <c r="D279" s="11"/>
      <c r="E279" s="24"/>
      <c r="F279" s="11"/>
      <c r="G279" s="11"/>
      <c r="H279" s="148"/>
      <c r="I279" s="148"/>
      <c r="J279" s="143"/>
      <c r="K279" s="143"/>
      <c r="L279" s="143"/>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row>
    <row r="280" spans="1:56" x14ac:dyDescent="0.2">
      <c r="A280" s="11"/>
      <c r="B280" s="11"/>
      <c r="C280" s="11"/>
      <c r="D280" s="11"/>
      <c r="E280" s="24"/>
      <c r="F280" s="11"/>
      <c r="G280" s="11"/>
      <c r="H280" s="148"/>
      <c r="I280" s="148"/>
      <c r="J280" s="143"/>
      <c r="K280" s="143"/>
      <c r="L280" s="143"/>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row>
    <row r="281" spans="1:56" x14ac:dyDescent="0.2">
      <c r="A281" s="11"/>
      <c r="B281" s="11"/>
      <c r="C281" s="11"/>
      <c r="D281" s="11"/>
      <c r="E281" s="24"/>
      <c r="F281" s="11"/>
      <c r="G281" s="11"/>
      <c r="H281" s="148"/>
      <c r="I281" s="148"/>
      <c r="J281" s="143"/>
      <c r="K281" s="143"/>
      <c r="L281" s="143"/>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row>
    <row r="282" spans="1:56" x14ac:dyDescent="0.2">
      <c r="A282" s="11"/>
      <c r="B282" s="11"/>
      <c r="C282" s="11"/>
      <c r="D282" s="11"/>
      <c r="E282" s="24"/>
      <c r="F282" s="11"/>
      <c r="G282" s="11"/>
      <c r="H282" s="148"/>
      <c r="I282" s="148"/>
      <c r="J282" s="143"/>
      <c r="K282" s="143"/>
      <c r="L282" s="143"/>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row>
    <row r="283" spans="1:56" x14ac:dyDescent="0.2">
      <c r="A283" s="11"/>
      <c r="B283" s="11"/>
      <c r="C283" s="11"/>
      <c r="D283" s="11"/>
      <c r="E283" s="24"/>
      <c r="F283" s="11"/>
      <c r="G283" s="11"/>
      <c r="H283" s="148"/>
      <c r="I283" s="148"/>
      <c r="J283" s="143"/>
      <c r="K283" s="143"/>
      <c r="L283" s="143"/>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row>
    <row r="284" spans="1:56" x14ac:dyDescent="0.2">
      <c r="A284" s="11"/>
      <c r="B284" s="11"/>
      <c r="C284" s="11"/>
      <c r="D284" s="11"/>
      <c r="E284" s="24"/>
      <c r="F284" s="11"/>
      <c r="G284" s="11"/>
      <c r="H284" s="148"/>
      <c r="I284" s="148"/>
      <c r="J284" s="143"/>
      <c r="K284" s="143"/>
      <c r="L284" s="143"/>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row>
    <row r="285" spans="1:56" x14ac:dyDescent="0.2">
      <c r="A285" s="11"/>
      <c r="B285" s="11"/>
      <c r="C285" s="11"/>
      <c r="D285" s="11"/>
      <c r="E285" s="24"/>
      <c r="F285" s="11"/>
      <c r="G285" s="11"/>
      <c r="H285" s="148"/>
      <c r="I285" s="148"/>
      <c r="J285" s="143"/>
      <c r="K285" s="143"/>
      <c r="L285" s="143"/>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row>
    <row r="286" spans="1:56" x14ac:dyDescent="0.2">
      <c r="A286" s="11"/>
      <c r="B286" s="11"/>
      <c r="C286" s="11"/>
      <c r="D286" s="11"/>
      <c r="E286" s="24"/>
      <c r="F286" s="11"/>
      <c r="G286" s="11"/>
      <c r="H286" s="148"/>
      <c r="I286" s="148"/>
      <c r="J286" s="143"/>
      <c r="K286" s="143"/>
      <c r="L286" s="143"/>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row>
    <row r="287" spans="1:56" x14ac:dyDescent="0.2">
      <c r="A287" s="11"/>
      <c r="B287" s="11"/>
      <c r="C287" s="11"/>
      <c r="D287" s="11"/>
      <c r="E287" s="24"/>
      <c r="F287" s="11"/>
      <c r="G287" s="11"/>
      <c r="H287" s="148"/>
      <c r="I287" s="148"/>
      <c r="J287" s="143"/>
      <c r="K287" s="143"/>
      <c r="L287" s="143"/>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row>
    <row r="288" spans="1:56" x14ac:dyDescent="0.2">
      <c r="A288" s="11"/>
      <c r="B288" s="11"/>
      <c r="C288" s="11"/>
      <c r="D288" s="11"/>
      <c r="E288" s="24"/>
      <c r="F288" s="11"/>
      <c r="G288" s="11"/>
      <c r="H288" s="148"/>
      <c r="I288" s="148"/>
      <c r="J288" s="143"/>
      <c r="K288" s="143"/>
      <c r="L288" s="143"/>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row>
    <row r="289" spans="1:56" x14ac:dyDescent="0.2">
      <c r="A289" s="11"/>
      <c r="B289" s="11"/>
      <c r="C289" s="11"/>
      <c r="D289" s="11"/>
      <c r="E289" s="24"/>
      <c r="F289" s="11"/>
      <c r="G289" s="11"/>
      <c r="H289" s="148"/>
      <c r="I289" s="148"/>
      <c r="J289" s="143"/>
      <c r="K289" s="143"/>
      <c r="L289" s="143"/>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row>
    <row r="290" spans="1:56" x14ac:dyDescent="0.2">
      <c r="A290" s="11"/>
      <c r="B290" s="11"/>
      <c r="C290" s="11"/>
      <c r="D290" s="11"/>
      <c r="E290" s="24"/>
      <c r="F290" s="11"/>
      <c r="G290" s="11"/>
      <c r="H290" s="148"/>
      <c r="I290" s="148"/>
      <c r="J290" s="143"/>
      <c r="K290" s="143"/>
      <c r="L290" s="143"/>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row>
    <row r="291" spans="1:56" x14ac:dyDescent="0.2">
      <c r="A291" s="11"/>
      <c r="B291" s="11"/>
      <c r="C291" s="11"/>
      <c r="D291" s="11"/>
      <c r="E291" s="24"/>
      <c r="F291" s="11"/>
      <c r="G291" s="11"/>
      <c r="H291" s="148"/>
      <c r="I291" s="148"/>
      <c r="J291" s="143"/>
      <c r="K291" s="143"/>
      <c r="L291" s="143"/>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row>
    <row r="292" spans="1:56" x14ac:dyDescent="0.2">
      <c r="A292" s="11"/>
      <c r="B292" s="11"/>
      <c r="C292" s="11"/>
      <c r="D292" s="11"/>
      <c r="E292" s="24"/>
      <c r="F292" s="11"/>
      <c r="G292" s="11"/>
      <c r="H292" s="148"/>
      <c r="I292" s="148"/>
      <c r="J292" s="143"/>
      <c r="K292" s="143"/>
      <c r="L292" s="143"/>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row>
    <row r="293" spans="1:56" x14ac:dyDescent="0.2">
      <c r="A293" s="11"/>
      <c r="B293" s="11"/>
      <c r="C293" s="11"/>
      <c r="D293" s="11"/>
      <c r="E293" s="24"/>
      <c r="F293" s="11"/>
      <c r="G293" s="11"/>
      <c r="H293" s="148"/>
      <c r="I293" s="148"/>
      <c r="J293" s="143"/>
      <c r="K293" s="143"/>
      <c r="L293" s="143"/>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row>
    <row r="294" spans="1:56" x14ac:dyDescent="0.2">
      <c r="A294" s="11"/>
      <c r="B294" s="11"/>
      <c r="C294" s="11"/>
      <c r="D294" s="11"/>
      <c r="E294" s="24"/>
      <c r="F294" s="11"/>
      <c r="G294" s="11"/>
      <c r="H294" s="148"/>
      <c r="I294" s="148"/>
      <c r="J294" s="143"/>
      <c r="K294" s="143"/>
      <c r="L294" s="143"/>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row>
    <row r="295" spans="1:56" x14ac:dyDescent="0.2">
      <c r="A295" s="11"/>
      <c r="B295" s="11"/>
      <c r="C295" s="11"/>
      <c r="D295" s="11"/>
      <c r="E295" s="24"/>
      <c r="F295" s="11"/>
      <c r="G295" s="11"/>
      <c r="H295" s="148"/>
      <c r="I295" s="148"/>
      <c r="J295" s="143"/>
      <c r="K295" s="143"/>
      <c r="L295" s="143"/>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row>
    <row r="296" spans="1:56" x14ac:dyDescent="0.2">
      <c r="A296" s="11"/>
      <c r="B296" s="11"/>
      <c r="C296" s="11"/>
      <c r="D296" s="11"/>
      <c r="E296" s="24"/>
      <c r="F296" s="11"/>
      <c r="G296" s="11"/>
      <c r="H296" s="148"/>
      <c r="I296" s="148"/>
      <c r="J296" s="143"/>
      <c r="K296" s="143"/>
      <c r="L296" s="143"/>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row>
    <row r="297" spans="1:56" x14ac:dyDescent="0.2">
      <c r="A297" s="11"/>
      <c r="B297" s="11"/>
      <c r="C297" s="11"/>
      <c r="D297" s="11"/>
      <c r="E297" s="24"/>
      <c r="F297" s="11"/>
      <c r="G297" s="11"/>
      <c r="H297" s="148"/>
      <c r="I297" s="148"/>
      <c r="J297" s="143"/>
      <c r="K297" s="143"/>
      <c r="L297" s="143"/>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row>
    <row r="298" spans="1:56" x14ac:dyDescent="0.2">
      <c r="A298" s="11"/>
      <c r="B298" s="11"/>
      <c r="C298" s="11"/>
      <c r="D298" s="11"/>
      <c r="E298" s="24"/>
      <c r="F298" s="11"/>
      <c r="G298" s="11"/>
      <c r="H298" s="148"/>
      <c r="I298" s="148"/>
      <c r="J298" s="143"/>
      <c r="K298" s="143"/>
      <c r="L298" s="143"/>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row>
    <row r="299" spans="1:56" x14ac:dyDescent="0.2">
      <c r="A299" s="11"/>
      <c r="B299" s="11"/>
      <c r="C299" s="11"/>
      <c r="D299" s="11"/>
      <c r="E299" s="24"/>
      <c r="F299" s="11"/>
      <c r="G299" s="11"/>
      <c r="H299" s="148"/>
      <c r="I299" s="148"/>
      <c r="J299" s="143"/>
      <c r="K299" s="143"/>
      <c r="L299" s="143"/>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row>
    <row r="300" spans="1:56" x14ac:dyDescent="0.2">
      <c r="A300" s="11"/>
      <c r="B300" s="11"/>
      <c r="C300" s="11"/>
      <c r="D300" s="11"/>
      <c r="E300" s="24"/>
      <c r="F300" s="11"/>
      <c r="G300" s="11"/>
      <c r="H300" s="148"/>
      <c r="I300" s="148"/>
      <c r="J300" s="143"/>
      <c r="K300" s="143"/>
      <c r="L300" s="143"/>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row>
    <row r="301" spans="1:56" x14ac:dyDescent="0.2">
      <c r="A301" s="11"/>
      <c r="B301" s="11"/>
      <c r="C301" s="11"/>
      <c r="D301" s="11"/>
      <c r="E301" s="24"/>
      <c r="F301" s="11"/>
      <c r="G301" s="11"/>
      <c r="H301" s="148"/>
      <c r="I301" s="148"/>
      <c r="J301" s="143"/>
      <c r="K301" s="143"/>
      <c r="L301" s="143"/>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row>
    <row r="302" spans="1:56" x14ac:dyDescent="0.2">
      <c r="A302" s="11"/>
      <c r="B302" s="11"/>
      <c r="C302" s="11"/>
      <c r="D302" s="11"/>
      <c r="E302" s="24"/>
      <c r="F302" s="11"/>
      <c r="G302" s="11"/>
      <c r="H302" s="148"/>
      <c r="I302" s="148"/>
      <c r="J302" s="143"/>
      <c r="K302" s="143"/>
      <c r="L302" s="143"/>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row>
    <row r="303" spans="1:56" x14ac:dyDescent="0.2">
      <c r="A303" s="11"/>
      <c r="B303" s="11"/>
      <c r="C303" s="11"/>
      <c r="D303" s="11"/>
      <c r="E303" s="24"/>
      <c r="F303" s="11"/>
      <c r="G303" s="11"/>
      <c r="H303" s="148"/>
      <c r="I303" s="148"/>
      <c r="J303" s="143"/>
      <c r="K303" s="143"/>
      <c r="L303" s="143"/>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row>
    <row r="304" spans="1:56" x14ac:dyDescent="0.2">
      <c r="A304" s="11"/>
      <c r="B304" s="11"/>
      <c r="C304" s="11"/>
      <c r="D304" s="11"/>
      <c r="E304" s="24"/>
      <c r="F304" s="11"/>
      <c r="G304" s="11"/>
      <c r="H304" s="148"/>
      <c r="I304" s="148"/>
      <c r="J304" s="143"/>
      <c r="K304" s="143"/>
      <c r="L304" s="143"/>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row>
    <row r="305" spans="1:45" x14ac:dyDescent="0.2">
      <c r="A305" s="11"/>
      <c r="B305" s="11"/>
      <c r="C305" s="11"/>
      <c r="D305" s="11"/>
      <c r="E305" s="24"/>
      <c r="F305" s="11"/>
      <c r="G305" s="11"/>
      <c r="H305" s="148"/>
      <c r="I305" s="148"/>
      <c r="J305" s="143"/>
      <c r="K305" s="143"/>
      <c r="L305" s="143"/>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row>
    <row r="306" spans="1:45" x14ac:dyDescent="0.2">
      <c r="A306" s="11"/>
      <c r="B306" s="11"/>
      <c r="C306" s="11"/>
      <c r="D306" s="11"/>
      <c r="E306" s="24"/>
      <c r="F306" s="11"/>
      <c r="G306" s="11"/>
      <c r="H306" s="148"/>
      <c r="I306" s="148"/>
      <c r="J306" s="143"/>
      <c r="K306" s="143"/>
      <c r="L306" s="143"/>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row>
    <row r="307" spans="1:45" x14ac:dyDescent="0.2">
      <c r="A307" s="11"/>
      <c r="B307" s="11"/>
      <c r="C307" s="11"/>
      <c r="D307" s="11"/>
      <c r="E307" s="24"/>
      <c r="F307" s="11"/>
      <c r="G307" s="11"/>
      <c r="H307" s="148"/>
      <c r="I307" s="148"/>
      <c r="J307" s="143"/>
      <c r="K307" s="143"/>
      <c r="L307" s="143"/>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row>
    <row r="308" spans="1:45" x14ac:dyDescent="0.2">
      <c r="A308" s="11"/>
      <c r="B308" s="11"/>
      <c r="C308" s="11"/>
      <c r="D308" s="11"/>
      <c r="E308" s="24"/>
      <c r="F308" s="11"/>
      <c r="G308" s="11"/>
      <c r="H308" s="148"/>
      <c r="I308" s="148"/>
      <c r="J308" s="143"/>
      <c r="K308" s="143"/>
      <c r="L308" s="143"/>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row>
    <row r="309" spans="1:45" x14ac:dyDescent="0.2">
      <c r="A309" s="11"/>
      <c r="B309" s="11"/>
      <c r="C309" s="11"/>
      <c r="D309" s="11"/>
      <c r="E309" s="24"/>
      <c r="F309" s="11"/>
      <c r="G309" s="11"/>
      <c r="H309" s="148"/>
      <c r="I309" s="148"/>
      <c r="J309" s="143"/>
      <c r="K309" s="143"/>
      <c r="L309" s="143"/>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row>
    <row r="310" spans="1:45" x14ac:dyDescent="0.2">
      <c r="A310" s="11"/>
      <c r="B310" s="11"/>
      <c r="C310" s="11"/>
      <c r="D310" s="11"/>
      <c r="E310" s="24"/>
      <c r="F310" s="11"/>
      <c r="G310" s="11"/>
      <c r="H310" s="148"/>
      <c r="I310" s="148"/>
      <c r="J310" s="143"/>
      <c r="K310" s="143"/>
      <c r="L310" s="143"/>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row>
    <row r="311" spans="1:45" x14ac:dyDescent="0.2">
      <c r="A311" s="11"/>
      <c r="B311" s="11"/>
      <c r="C311" s="11"/>
      <c r="D311" s="11"/>
      <c r="E311" s="24"/>
      <c r="F311" s="11"/>
      <c r="G311" s="11"/>
      <c r="H311" s="148"/>
      <c r="I311" s="148"/>
      <c r="J311" s="143"/>
      <c r="K311" s="143"/>
      <c r="L311" s="143"/>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row>
    <row r="312" spans="1:45" x14ac:dyDescent="0.2">
      <c r="A312" s="11"/>
      <c r="B312" s="11"/>
      <c r="C312" s="11"/>
      <c r="D312" s="11"/>
      <c r="E312" s="24"/>
      <c r="F312" s="11"/>
      <c r="G312" s="11"/>
      <c r="H312" s="148"/>
      <c r="I312" s="148"/>
      <c r="J312" s="143"/>
      <c r="K312" s="143"/>
      <c r="L312" s="143"/>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row>
    <row r="313" spans="1:45" x14ac:dyDescent="0.2">
      <c r="A313" s="11"/>
      <c r="B313" s="11"/>
      <c r="C313" s="11"/>
      <c r="D313" s="11"/>
      <c r="E313" s="24"/>
      <c r="F313" s="11"/>
      <c r="G313" s="11"/>
      <c r="H313" s="148"/>
      <c r="I313" s="148"/>
      <c r="J313" s="143"/>
      <c r="K313" s="143"/>
      <c r="L313" s="143"/>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row>
    <row r="314" spans="1:45" x14ac:dyDescent="0.2">
      <c r="A314" s="11"/>
      <c r="B314" s="11"/>
      <c r="C314" s="11"/>
      <c r="D314" s="11"/>
      <c r="E314" s="24"/>
      <c r="F314" s="11"/>
      <c r="G314" s="11"/>
      <c r="H314" s="148"/>
      <c r="I314" s="148"/>
      <c r="J314" s="143"/>
      <c r="K314" s="143"/>
      <c r="L314" s="143"/>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row>
    <row r="315" spans="1:45" x14ac:dyDescent="0.2">
      <c r="A315" s="11"/>
      <c r="B315" s="11"/>
      <c r="C315" s="11"/>
      <c r="D315" s="11"/>
      <c r="E315" s="24"/>
      <c r="F315" s="11"/>
      <c r="G315" s="11"/>
      <c r="H315" s="148"/>
      <c r="I315" s="148"/>
      <c r="J315" s="143"/>
      <c r="K315" s="143"/>
      <c r="L315" s="143"/>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row>
    <row r="316" spans="1:45" x14ac:dyDescent="0.2">
      <c r="A316" s="11"/>
      <c r="B316" s="11"/>
      <c r="C316" s="11"/>
      <c r="D316" s="11"/>
      <c r="E316" s="24"/>
      <c r="F316" s="11"/>
      <c r="G316" s="11"/>
      <c r="H316" s="148"/>
      <c r="I316" s="148"/>
      <c r="J316" s="143"/>
      <c r="K316" s="143"/>
      <c r="L316" s="143"/>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row>
    <row r="317" spans="1:45" x14ac:dyDescent="0.2">
      <c r="A317" s="11"/>
      <c r="B317" s="11"/>
      <c r="C317" s="11"/>
      <c r="D317" s="11"/>
      <c r="E317" s="24"/>
      <c r="F317" s="11"/>
      <c r="G317" s="11"/>
      <c r="H317" s="148"/>
      <c r="I317" s="148"/>
      <c r="J317" s="143"/>
      <c r="K317" s="143"/>
      <c r="L317" s="143"/>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row>
    <row r="318" spans="1:45" x14ac:dyDescent="0.2">
      <c r="A318" s="11"/>
      <c r="B318" s="11"/>
      <c r="C318" s="11"/>
      <c r="D318" s="11"/>
      <c r="E318" s="24"/>
      <c r="F318" s="11"/>
      <c r="G318" s="11"/>
      <c r="H318" s="148"/>
      <c r="I318" s="148"/>
      <c r="J318" s="143"/>
      <c r="K318" s="143"/>
      <c r="L318" s="143"/>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row>
    <row r="319" spans="1:45" x14ac:dyDescent="0.2">
      <c r="A319" s="11"/>
      <c r="B319" s="11"/>
      <c r="C319" s="11"/>
      <c r="D319" s="11"/>
      <c r="E319" s="24"/>
      <c r="F319" s="11"/>
      <c r="G319" s="11"/>
      <c r="H319" s="148"/>
      <c r="I319" s="148"/>
      <c r="J319" s="143"/>
      <c r="K319" s="143"/>
      <c r="L319" s="143"/>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row>
    <row r="320" spans="1:45" x14ac:dyDescent="0.2">
      <c r="A320" s="11"/>
      <c r="B320" s="11"/>
      <c r="C320" s="11"/>
      <c r="D320" s="11"/>
      <c r="E320" s="24"/>
      <c r="F320" s="11"/>
      <c r="G320" s="11"/>
      <c r="H320" s="148"/>
      <c r="I320" s="148"/>
      <c r="J320" s="143"/>
      <c r="K320" s="143"/>
      <c r="L320" s="143"/>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row>
    <row r="321" spans="1:45" x14ac:dyDescent="0.2">
      <c r="A321" s="11"/>
      <c r="B321" s="11"/>
      <c r="C321" s="11"/>
      <c r="D321" s="11"/>
      <c r="E321" s="24"/>
      <c r="F321" s="11"/>
      <c r="G321" s="11"/>
      <c r="H321" s="148"/>
      <c r="I321" s="148"/>
      <c r="J321" s="143"/>
      <c r="K321" s="143"/>
      <c r="L321" s="143"/>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row>
    <row r="322" spans="1:45" x14ac:dyDescent="0.2">
      <c r="A322" s="11"/>
      <c r="B322" s="11"/>
    </row>
    <row r="323" spans="1:45" x14ac:dyDescent="0.2">
      <c r="A323" s="11"/>
      <c r="B323" s="11"/>
    </row>
    <row r="324" spans="1:45" x14ac:dyDescent="0.2">
      <c r="A324" s="11"/>
      <c r="B324" s="11"/>
    </row>
    <row r="325" spans="1:45" x14ac:dyDescent="0.2">
      <c r="A325" s="11"/>
      <c r="B325" s="11"/>
    </row>
    <row r="326" spans="1:45" x14ac:dyDescent="0.2">
      <c r="A326" s="11"/>
      <c r="B326" s="11"/>
    </row>
    <row r="327" spans="1:45" x14ac:dyDescent="0.2">
      <c r="A327" s="11"/>
      <c r="B327" s="11"/>
    </row>
    <row r="328" spans="1:45" x14ac:dyDescent="0.2">
      <c r="A328" s="11"/>
      <c r="B328" s="11"/>
    </row>
    <row r="329" spans="1:45" x14ac:dyDescent="0.2">
      <c r="A329" s="11"/>
      <c r="B329" s="11"/>
    </row>
    <row r="330" spans="1:45" x14ac:dyDescent="0.2">
      <c r="A330" s="11"/>
      <c r="B330" s="11"/>
    </row>
    <row r="331" spans="1:45" x14ac:dyDescent="0.2">
      <c r="A331" s="11"/>
      <c r="B331" s="11"/>
    </row>
    <row r="332" spans="1:45" x14ac:dyDescent="0.2">
      <c r="B332" s="11"/>
    </row>
  </sheetData>
  <sheetProtection algorithmName="SHA-512" hashValue="2xgkFn7f+SH4nS5RvQuwTeJmtN/bbYRuyYc8iItdh7iieqqqWMTd0pYESYpDy2Yx0iumkwuCsdV+6iBqjaeywA==" saltValue="x8uU2O0WQ3Wy//FIsiN9Dg==" spinCount="100000" sheet="1" autoFilter="0"/>
  <autoFilter ref="F8:F259" xr:uid="{C3D2B1C9-43CF-4ACA-9BD6-812D53AB1B3D}"/>
  <mergeCells count="2">
    <mergeCell ref="B2:G3"/>
    <mergeCell ref="C6:D6"/>
  </mergeCells>
  <phoneticPr fontId="21" type="noConversion"/>
  <conditionalFormatting sqref="C180:G185 C188:G259 C12:G174">
    <cfRule type="expression" dxfId="68" priority="216">
      <formula>$F12&gt;0</formula>
    </cfRule>
  </conditionalFormatting>
  <conditionalFormatting sqref="D13:D16">
    <cfRule type="containsText" dxfId="67" priority="185" operator="containsText" text="START HERE">
      <formula>NOT(ISERROR(SEARCH("START HERE",D13)))</formula>
    </cfRule>
  </conditionalFormatting>
  <conditionalFormatting sqref="D180:D185 D115:D119 D188:D258 D121:D174">
    <cfRule type="containsText" dxfId="66" priority="96" operator="containsText" text="Select">
      <formula>NOT(ISERROR(SEARCH("Select",D115)))</formula>
    </cfRule>
  </conditionalFormatting>
  <conditionalFormatting sqref="F182:F185 F188:F258">
    <cfRule type="expression" dxfId="65" priority="173">
      <formula>"HP_POE_Incomplete"</formula>
    </cfRule>
  </conditionalFormatting>
  <conditionalFormatting sqref="F180:F185 F115:F119 F188:F258 F121:F174">
    <cfRule type="cellIs" dxfId="64" priority="139" operator="equal">
      <formula>"Error"</formula>
    </cfRule>
    <cfRule type="expression" priority="169">
      <formula>"POE_Plus_Incomplete"</formula>
    </cfRule>
  </conditionalFormatting>
  <conditionalFormatting sqref="C18:C35 C180:C181 C115:C119 C121:C174">
    <cfRule type="cellIs" dxfId="63" priority="165" operator="equal">
      <formula>0</formula>
    </cfRule>
  </conditionalFormatting>
  <conditionalFormatting sqref="C182:C185 C188:C258">
    <cfRule type="cellIs" dxfId="62" priority="164" operator="equal">
      <formula>0</formula>
    </cfRule>
  </conditionalFormatting>
  <conditionalFormatting sqref="D18:D35">
    <cfRule type="containsText" dxfId="61" priority="147" operator="containsText" text="Go to">
      <formula>NOT(ISERROR(SEARCH("Go to",D18)))</formula>
    </cfRule>
  </conditionalFormatting>
  <conditionalFormatting sqref="F18:F35">
    <cfRule type="cellIs" dxfId="60" priority="138" operator="equal">
      <formula>"Error"</formula>
    </cfRule>
  </conditionalFormatting>
  <conditionalFormatting sqref="D259">
    <cfRule type="containsText" dxfId="59" priority="118" operator="containsText" text="Go to">
      <formula>NOT(ISERROR(SEARCH("Go to",D259)))</formula>
    </cfRule>
  </conditionalFormatting>
  <conditionalFormatting sqref="F259">
    <cfRule type="cellIs" dxfId="58" priority="116" operator="equal">
      <formula>"Error"</formula>
    </cfRule>
  </conditionalFormatting>
  <conditionalFormatting sqref="D12">
    <cfRule type="containsText" dxfId="57" priority="93" operator="containsText" text="Go to">
      <formula>NOT(ISERROR(SEARCH("Go to",D12)))</formula>
    </cfRule>
  </conditionalFormatting>
  <conditionalFormatting sqref="C259">
    <cfRule type="expression" dxfId="56" priority="86">
      <formula>$C$259=0</formula>
    </cfRule>
    <cfRule type="expression" dxfId="55" priority="182">
      <formula>$C$259=1</formula>
    </cfRule>
  </conditionalFormatting>
  <conditionalFormatting sqref="D259">
    <cfRule type="containsText" dxfId="54" priority="68" operator="containsText" text="Select">
      <formula>NOT(ISERROR(SEARCH("Select",D259)))</formula>
    </cfRule>
  </conditionalFormatting>
  <conditionalFormatting sqref="D258">
    <cfRule type="containsText" dxfId="53" priority="67" operator="containsText" text="Go to">
      <formula>NOT(ISERROR(SEARCH("Go to",D258)))</formula>
    </cfRule>
  </conditionalFormatting>
  <conditionalFormatting sqref="D258">
    <cfRule type="containsText" dxfId="52" priority="66" operator="containsText" text="Select">
      <formula>NOT(ISERROR(SEARCH("Select",D258)))</formula>
    </cfRule>
  </conditionalFormatting>
  <conditionalFormatting sqref="F259">
    <cfRule type="expression" dxfId="51" priority="61">
      <formula>"HP_POE_Incomplete"</formula>
    </cfRule>
  </conditionalFormatting>
  <conditionalFormatting sqref="F259">
    <cfRule type="cellIs" dxfId="50" priority="59" operator="equal">
      <formula>"Error"</formula>
    </cfRule>
    <cfRule type="expression" priority="60">
      <formula>"POE_Plus_Incomplete"</formula>
    </cfRule>
  </conditionalFormatting>
  <conditionalFormatting sqref="I180:I185 I115:I119 I188:I259 I121:I174">
    <cfRule type="containsText" dxfId="49" priority="55" operator="containsText" text="Return to">
      <formula>NOT(ISERROR(SEARCH("Return to",I115)))</formula>
    </cfRule>
  </conditionalFormatting>
  <conditionalFormatting sqref="D12">
    <cfRule type="containsText" dxfId="48" priority="53" operator="containsText" text="START HERE">
      <formula>NOT(ISERROR(SEARCH("START HERE",D12)))</formula>
    </cfRule>
  </conditionalFormatting>
  <conditionalFormatting sqref="C175:G175">
    <cfRule type="expression" dxfId="47" priority="51">
      <formula>$F175&gt;0</formula>
    </cfRule>
  </conditionalFormatting>
  <conditionalFormatting sqref="D175">
    <cfRule type="containsText" dxfId="46" priority="47" operator="containsText" text="Select">
      <formula>NOT(ISERROR(SEARCH("Select",D175)))</formula>
    </cfRule>
  </conditionalFormatting>
  <conditionalFormatting sqref="F175">
    <cfRule type="cellIs" dxfId="45" priority="48" operator="equal">
      <formula>"Error"</formula>
    </cfRule>
    <cfRule type="expression" priority="50">
      <formula>"POE_Plus_Incomplete"</formula>
    </cfRule>
  </conditionalFormatting>
  <conditionalFormatting sqref="C175">
    <cfRule type="cellIs" dxfId="44" priority="49" operator="equal">
      <formula>0</formula>
    </cfRule>
  </conditionalFormatting>
  <conditionalFormatting sqref="I175">
    <cfRule type="containsText" dxfId="43" priority="46" operator="containsText" text="Return to">
      <formula>NOT(ISERROR(SEARCH("Return to",I175)))</formula>
    </cfRule>
  </conditionalFormatting>
  <conditionalFormatting sqref="I175:K175">
    <cfRule type="expression" dxfId="42" priority="45">
      <formula>Hide_Calc="Yes"</formula>
    </cfRule>
  </conditionalFormatting>
  <conditionalFormatting sqref="I177:K177">
    <cfRule type="expression" dxfId="41" priority="38">
      <formula>Hide_Calc="Yes"</formula>
    </cfRule>
  </conditionalFormatting>
  <conditionalFormatting sqref="C177:G177">
    <cfRule type="expression" dxfId="40" priority="44">
      <formula>$F177&gt;0</formula>
    </cfRule>
  </conditionalFormatting>
  <conditionalFormatting sqref="D177">
    <cfRule type="containsText" dxfId="39" priority="40" operator="containsText" text="Select">
      <formula>NOT(ISERROR(SEARCH("Select",D177)))</formula>
    </cfRule>
  </conditionalFormatting>
  <conditionalFormatting sqref="F177">
    <cfRule type="cellIs" dxfId="38" priority="41" operator="equal">
      <formula>"Error"</formula>
    </cfRule>
    <cfRule type="expression" priority="43">
      <formula>"POE_Plus_Incomplete"</formula>
    </cfRule>
  </conditionalFormatting>
  <conditionalFormatting sqref="C177">
    <cfRule type="cellIs" dxfId="37" priority="42" operator="equal">
      <formula>0</formula>
    </cfRule>
  </conditionalFormatting>
  <conditionalFormatting sqref="I177">
    <cfRule type="containsText" dxfId="36" priority="39" operator="containsText" text="Return to">
      <formula>NOT(ISERROR(SEARCH("Return to",I177)))</formula>
    </cfRule>
  </conditionalFormatting>
  <conditionalFormatting sqref="I176:K176">
    <cfRule type="expression" dxfId="35" priority="31">
      <formula>Hide_Calc="Yes"</formula>
    </cfRule>
  </conditionalFormatting>
  <conditionalFormatting sqref="I178:K178">
    <cfRule type="expression" dxfId="34" priority="24">
      <formula>Hide_Calc="Yes"</formula>
    </cfRule>
  </conditionalFormatting>
  <conditionalFormatting sqref="C176:G176">
    <cfRule type="expression" dxfId="33" priority="37">
      <formula>$F176&gt;0</formula>
    </cfRule>
  </conditionalFormatting>
  <conditionalFormatting sqref="D176">
    <cfRule type="containsText" dxfId="32" priority="33" operator="containsText" text="Select">
      <formula>NOT(ISERROR(SEARCH("Select",D176)))</formula>
    </cfRule>
  </conditionalFormatting>
  <conditionalFormatting sqref="F176">
    <cfRule type="cellIs" dxfId="31" priority="34" operator="equal">
      <formula>"Error"</formula>
    </cfRule>
    <cfRule type="expression" priority="36">
      <formula>"POE_Plus_Incomplete"</formula>
    </cfRule>
  </conditionalFormatting>
  <conditionalFormatting sqref="C176">
    <cfRule type="cellIs" dxfId="30" priority="35" operator="equal">
      <formula>0</formula>
    </cfRule>
  </conditionalFormatting>
  <conditionalFormatting sqref="I176">
    <cfRule type="containsText" dxfId="29" priority="32" operator="containsText" text="Return to">
      <formula>NOT(ISERROR(SEARCH("Return to",I176)))</formula>
    </cfRule>
  </conditionalFormatting>
  <conditionalFormatting sqref="C178:G178">
    <cfRule type="expression" dxfId="28" priority="30">
      <formula>$F178&gt;0</formula>
    </cfRule>
  </conditionalFormatting>
  <conditionalFormatting sqref="D178">
    <cfRule type="containsText" dxfId="27" priority="26" operator="containsText" text="Select">
      <formula>NOT(ISERROR(SEARCH("Select",D178)))</formula>
    </cfRule>
  </conditionalFormatting>
  <conditionalFormatting sqref="F178">
    <cfRule type="cellIs" dxfId="26" priority="27" operator="equal">
      <formula>"Error"</formula>
    </cfRule>
    <cfRule type="expression" priority="29">
      <formula>"POE_Plus_Incomplete"</formula>
    </cfRule>
  </conditionalFormatting>
  <conditionalFormatting sqref="C178">
    <cfRule type="cellIs" dxfId="25" priority="28" operator="equal">
      <formula>0</formula>
    </cfRule>
  </conditionalFormatting>
  <conditionalFormatting sqref="I178">
    <cfRule type="containsText" dxfId="24" priority="25" operator="containsText" text="Return to">
      <formula>NOT(ISERROR(SEARCH("Return to",I178)))</formula>
    </cfRule>
  </conditionalFormatting>
  <conditionalFormatting sqref="I179:K179">
    <cfRule type="expression" dxfId="23" priority="17">
      <formula>Hide_Calc="Yes"</formula>
    </cfRule>
  </conditionalFormatting>
  <conditionalFormatting sqref="C179:G179">
    <cfRule type="expression" dxfId="22" priority="23">
      <formula>$F179&gt;0</formula>
    </cfRule>
  </conditionalFormatting>
  <conditionalFormatting sqref="D179">
    <cfRule type="containsText" dxfId="21" priority="19" operator="containsText" text="Select">
      <formula>NOT(ISERROR(SEARCH("Select",D179)))</formula>
    </cfRule>
  </conditionalFormatting>
  <conditionalFormatting sqref="F179">
    <cfRule type="cellIs" dxfId="20" priority="20" operator="equal">
      <formula>"Error"</formula>
    </cfRule>
    <cfRule type="expression" priority="22">
      <formula>"POE_Plus_Incomplete"</formula>
    </cfRule>
  </conditionalFormatting>
  <conditionalFormatting sqref="C179">
    <cfRule type="cellIs" dxfId="19" priority="21" operator="equal">
      <formula>0</formula>
    </cfRule>
  </conditionalFormatting>
  <conditionalFormatting sqref="I179">
    <cfRule type="containsText" dxfId="18" priority="18" operator="containsText" text="Return to">
      <formula>NOT(ISERROR(SEARCH("Return to",I179)))</formula>
    </cfRule>
  </conditionalFormatting>
  <conditionalFormatting sqref="D120:D122">
    <cfRule type="containsText" dxfId="17" priority="12" operator="containsText" text="Select">
      <formula>NOT(ISERROR(SEARCH("Select",D120)))</formula>
    </cfRule>
  </conditionalFormatting>
  <conditionalFormatting sqref="F120:F122">
    <cfRule type="cellIs" dxfId="16" priority="13" operator="equal">
      <formula>"Error"</formula>
    </cfRule>
    <cfRule type="expression" priority="15">
      <formula>"POE_Plus_Incomplete"</formula>
    </cfRule>
  </conditionalFormatting>
  <conditionalFormatting sqref="C120:C122">
    <cfRule type="cellIs" dxfId="15" priority="14" operator="equal">
      <formula>0</formula>
    </cfRule>
  </conditionalFormatting>
  <conditionalFormatting sqref="I120:I122">
    <cfRule type="containsText" dxfId="14" priority="11" operator="containsText" text="Return to">
      <formula>NOT(ISERROR(SEARCH("Return to",I120)))</formula>
    </cfRule>
  </conditionalFormatting>
  <conditionalFormatting sqref="I120:K122">
    <cfRule type="expression" dxfId="13" priority="10">
      <formula>Hide_Calc="Yes"</formula>
    </cfRule>
  </conditionalFormatting>
  <conditionalFormatting sqref="C186:G187">
    <cfRule type="expression" dxfId="12" priority="9">
      <formula>$F186&gt;0</formula>
    </cfRule>
  </conditionalFormatting>
  <conditionalFormatting sqref="D186:D187">
    <cfRule type="containsText" dxfId="11" priority="4" operator="containsText" text="Select">
      <formula>NOT(ISERROR(SEARCH("Select",D186)))</formula>
    </cfRule>
  </conditionalFormatting>
  <conditionalFormatting sqref="F186:F187">
    <cfRule type="expression" dxfId="10" priority="8">
      <formula>"HP_POE_Incomplete"</formula>
    </cfRule>
  </conditionalFormatting>
  <conditionalFormatting sqref="F186:F187">
    <cfRule type="cellIs" dxfId="9" priority="5" operator="equal">
      <formula>"Error"</formula>
    </cfRule>
    <cfRule type="expression" priority="7">
      <formula>"POE_Plus_Incomplete"</formula>
    </cfRule>
  </conditionalFormatting>
  <conditionalFormatting sqref="C186:C187">
    <cfRule type="cellIs" dxfId="8" priority="6" operator="equal">
      <formula>0</formula>
    </cfRule>
  </conditionalFormatting>
  <conditionalFormatting sqref="I186:I187">
    <cfRule type="containsText" dxfId="7" priority="3" operator="containsText" text="Return to">
      <formula>NOT(ISERROR(SEARCH("Return to",I186)))</formula>
    </cfRule>
  </conditionalFormatting>
  <conditionalFormatting sqref="I186:K187">
    <cfRule type="expression" dxfId="6" priority="2">
      <formula>Hide_Calc="Yes"</formula>
    </cfRule>
  </conditionalFormatting>
  <conditionalFormatting sqref="I6:J8">
    <cfRule type="expression" dxfId="5" priority="1">
      <formula>Hide_Calc="Yes"</formula>
    </cfRule>
  </conditionalFormatting>
  <printOptions horizontalCentered="1"/>
  <pageMargins left="0.7" right="0.7" top="0.75" bottom="0.75" header="0.3" footer="0.3"/>
  <pageSetup scale="50" fitToHeight="99" orientation="portrait" horizontalDpi="90" verticalDpi="90" r:id="rId1"/>
  <ignoredErrors>
    <ignoredError sqref="C183 C215 C185 D145 D48:E48 D22:E22 D88:E88 E2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BB31-9968-4058-A603-A7C5B39622BD}">
  <sheetPr>
    <tabColor theme="9" tint="0.79998168889431442"/>
    <pageSetUpPr fitToPage="1"/>
  </sheetPr>
  <dimension ref="A1:AK142"/>
  <sheetViews>
    <sheetView workbookViewId="0"/>
  </sheetViews>
  <sheetFormatPr baseColWidth="10" defaultColWidth="8.83203125" defaultRowHeight="15" x14ac:dyDescent="0.2"/>
  <cols>
    <col min="1" max="1" width="1.5" customWidth="1"/>
    <col min="2" max="2" width="11.5" customWidth="1"/>
    <col min="3" max="3" width="7.1640625" customWidth="1"/>
    <col min="4" max="4" width="16.5" customWidth="1"/>
    <col min="5" max="6" width="7.1640625" customWidth="1"/>
    <col min="7" max="7" width="8.5" customWidth="1"/>
    <col min="8" max="8" width="3.6640625" customWidth="1"/>
    <col min="9" max="9" width="31.1640625" bestFit="1" customWidth="1"/>
    <col min="10" max="10" width="13.1640625" style="7" customWidth="1"/>
    <col min="11" max="11" width="10.1640625" customWidth="1"/>
    <col min="12" max="12" width="11.5" customWidth="1"/>
    <col min="13" max="13" width="7.1640625" customWidth="1"/>
    <col min="14" max="14" width="16.5" customWidth="1"/>
    <col min="15" max="16" width="7.1640625" customWidth="1"/>
    <col min="17" max="17" width="8.5" customWidth="1"/>
    <col min="18" max="18" width="3.6640625" customWidth="1"/>
    <col min="19" max="19" width="31.1640625" customWidth="1"/>
    <col min="20" max="20" width="13.1640625" style="7" customWidth="1"/>
  </cols>
  <sheetData>
    <row r="1" spans="1:37" ht="8.25" customHeight="1" x14ac:dyDescent="0.2">
      <c r="A1" s="16"/>
      <c r="B1" s="16"/>
      <c r="C1" s="16"/>
      <c r="D1" s="16"/>
      <c r="E1" s="16"/>
      <c r="F1" s="16"/>
      <c r="G1" s="16"/>
      <c r="H1" s="16"/>
      <c r="I1" s="16"/>
      <c r="J1" s="109"/>
      <c r="K1" s="16"/>
      <c r="L1" s="16"/>
      <c r="M1" s="16"/>
      <c r="N1" s="16"/>
      <c r="O1" s="16"/>
      <c r="P1" s="16"/>
      <c r="Q1" s="16"/>
      <c r="R1" s="16"/>
      <c r="S1" s="16"/>
      <c r="T1" s="109"/>
      <c r="U1" s="16"/>
      <c r="V1" s="16"/>
      <c r="W1" s="16"/>
      <c r="X1" s="16"/>
      <c r="Y1" s="16"/>
      <c r="Z1" s="16"/>
      <c r="AA1" s="16"/>
      <c r="AB1" s="16"/>
      <c r="AC1" s="16"/>
      <c r="AD1" s="16"/>
      <c r="AE1" s="16"/>
      <c r="AF1" s="16"/>
      <c r="AG1" s="16"/>
      <c r="AH1" s="16"/>
      <c r="AI1" s="16"/>
      <c r="AJ1" s="16"/>
      <c r="AK1" s="16"/>
    </row>
    <row r="2" spans="1:37" ht="21" x14ac:dyDescent="0.25">
      <c r="A2" s="16"/>
      <c r="B2" s="233" t="s">
        <v>6669</v>
      </c>
      <c r="C2" s="233"/>
      <c r="D2" s="233"/>
      <c r="E2" s="233"/>
      <c r="F2" s="233"/>
      <c r="G2" s="233"/>
      <c r="H2" s="23"/>
      <c r="I2" s="23"/>
      <c r="J2" s="23"/>
      <c r="K2" s="16"/>
      <c r="L2" s="291" t="s">
        <v>6670</v>
      </c>
      <c r="M2" s="291"/>
      <c r="N2" s="291"/>
      <c r="O2" s="291"/>
      <c r="P2" s="291"/>
      <c r="Q2" s="291"/>
      <c r="R2" s="23"/>
      <c r="S2" s="23"/>
      <c r="T2" s="23"/>
      <c r="U2" s="16"/>
      <c r="V2" s="16"/>
      <c r="W2" s="16"/>
      <c r="X2" s="16"/>
      <c r="Y2" s="16"/>
      <c r="Z2" s="16"/>
      <c r="AA2" s="16"/>
      <c r="AB2" s="16"/>
      <c r="AC2" s="16"/>
      <c r="AD2" s="16"/>
      <c r="AE2" s="16"/>
      <c r="AF2" s="16"/>
      <c r="AG2" s="16"/>
      <c r="AH2" s="16"/>
      <c r="AI2" s="16"/>
      <c r="AJ2" s="16"/>
      <c r="AK2" s="16"/>
    </row>
    <row r="3" spans="1:37" ht="8.25" customHeight="1" thickBot="1" x14ac:dyDescent="0.25">
      <c r="A3" s="16"/>
      <c r="B3" s="16"/>
      <c r="C3" s="16"/>
      <c r="D3" s="16"/>
      <c r="E3" s="16"/>
      <c r="F3" s="16"/>
      <c r="G3" s="16"/>
      <c r="H3" s="16"/>
      <c r="I3" s="16"/>
      <c r="J3" s="109"/>
      <c r="K3" s="16"/>
      <c r="L3" s="292"/>
      <c r="M3" s="292"/>
      <c r="N3" s="292"/>
      <c r="O3" s="292"/>
      <c r="P3" s="292"/>
      <c r="Q3" s="292"/>
      <c r="R3" s="16"/>
      <c r="S3" s="16"/>
      <c r="T3" s="109"/>
      <c r="U3" s="16"/>
      <c r="V3" s="16"/>
      <c r="W3" s="16"/>
      <c r="X3" s="16"/>
      <c r="Y3" s="16"/>
      <c r="Z3" s="16"/>
      <c r="AA3" s="16"/>
      <c r="AB3" s="16"/>
      <c r="AC3" s="16"/>
      <c r="AD3" s="16"/>
      <c r="AE3" s="16"/>
      <c r="AF3" s="16"/>
      <c r="AG3" s="16"/>
      <c r="AH3" s="16"/>
      <c r="AI3" s="16"/>
      <c r="AJ3" s="16"/>
      <c r="AK3" s="16"/>
    </row>
    <row r="4" spans="1:37" ht="33" thickBot="1" x14ac:dyDescent="0.25">
      <c r="A4" s="16"/>
      <c r="B4" s="234" t="s">
        <v>6635</v>
      </c>
      <c r="C4" s="235" t="s">
        <v>6636</v>
      </c>
      <c r="D4" s="236" t="s">
        <v>8</v>
      </c>
      <c r="E4" s="237" t="s">
        <v>6637</v>
      </c>
      <c r="F4" s="238" t="s">
        <v>6638</v>
      </c>
      <c r="G4" s="239" t="s">
        <v>6639</v>
      </c>
      <c r="H4" s="16"/>
      <c r="I4" s="287" t="s">
        <v>1137</v>
      </c>
      <c r="J4" s="240" t="s">
        <v>6635</v>
      </c>
      <c r="K4" s="16"/>
      <c r="L4" s="293" t="s">
        <v>6635</v>
      </c>
      <c r="M4" s="294" t="s">
        <v>6636</v>
      </c>
      <c r="N4" s="295" t="s">
        <v>8</v>
      </c>
      <c r="O4" s="296" t="s">
        <v>6637</v>
      </c>
      <c r="P4" s="297" t="s">
        <v>6638</v>
      </c>
      <c r="Q4" s="298" t="s">
        <v>6665</v>
      </c>
      <c r="R4" s="16"/>
      <c r="S4" s="344" t="s">
        <v>6640</v>
      </c>
      <c r="T4" s="360" t="s">
        <v>6635</v>
      </c>
      <c r="U4" s="16"/>
      <c r="V4" s="16"/>
      <c r="W4" s="16"/>
      <c r="X4" s="16"/>
      <c r="Y4" s="16"/>
      <c r="Z4" s="16"/>
      <c r="AA4" s="16"/>
      <c r="AB4" s="16"/>
      <c r="AC4" s="16"/>
      <c r="AD4" s="16"/>
      <c r="AE4" s="16"/>
      <c r="AF4" s="16"/>
      <c r="AG4" s="16"/>
      <c r="AH4" s="16"/>
      <c r="AI4" s="16"/>
      <c r="AJ4" s="16"/>
      <c r="AK4" s="16"/>
    </row>
    <row r="5" spans="1:37" ht="14.5" customHeight="1" x14ac:dyDescent="0.2">
      <c r="A5" s="16"/>
      <c r="B5" s="241" t="s">
        <v>6641</v>
      </c>
      <c r="C5" s="242" t="s">
        <v>6642</v>
      </c>
      <c r="D5" s="243" t="s">
        <v>746</v>
      </c>
      <c r="E5" s="244">
        <v>1</v>
      </c>
      <c r="F5" s="245">
        <v>200</v>
      </c>
      <c r="G5" s="246">
        <v>5</v>
      </c>
      <c r="H5" s="16"/>
      <c r="I5" s="254" t="s">
        <v>6222</v>
      </c>
      <c r="J5" s="352" t="s">
        <v>6641</v>
      </c>
      <c r="K5" s="16"/>
      <c r="L5" s="299" t="s">
        <v>6641</v>
      </c>
      <c r="M5" s="300" t="s">
        <v>6642</v>
      </c>
      <c r="N5" s="301" t="s">
        <v>664</v>
      </c>
      <c r="O5" s="302">
        <v>1</v>
      </c>
      <c r="P5" s="303">
        <v>200</v>
      </c>
      <c r="Q5" s="304">
        <v>20</v>
      </c>
      <c r="R5" s="16"/>
      <c r="S5" s="345" t="s">
        <v>6222</v>
      </c>
      <c r="T5" s="361" t="s">
        <v>6641</v>
      </c>
      <c r="U5" s="16"/>
      <c r="V5" s="16"/>
      <c r="W5" s="16"/>
      <c r="X5" s="16"/>
      <c r="Y5" s="16"/>
      <c r="Z5" s="16"/>
      <c r="AA5" s="16"/>
      <c r="AB5" s="16"/>
      <c r="AC5" s="16"/>
      <c r="AD5" s="16"/>
      <c r="AE5" s="16"/>
      <c r="AF5" s="16"/>
      <c r="AG5" s="16"/>
      <c r="AH5" s="16"/>
      <c r="AI5" s="16"/>
      <c r="AJ5" s="16"/>
      <c r="AK5" s="16"/>
    </row>
    <row r="6" spans="1:37" ht="14.5" customHeight="1" x14ac:dyDescent="0.2">
      <c r="A6" s="16"/>
      <c r="B6" s="248"/>
      <c r="C6" s="249" t="s">
        <v>6643</v>
      </c>
      <c r="D6" s="250" t="s">
        <v>748</v>
      </c>
      <c r="E6" s="251">
        <v>201</v>
      </c>
      <c r="F6" s="252">
        <v>500</v>
      </c>
      <c r="G6" s="253">
        <v>4.5</v>
      </c>
      <c r="H6" s="16"/>
      <c r="I6" s="254" t="s">
        <v>6226</v>
      </c>
      <c r="J6" s="352" t="s">
        <v>6641</v>
      </c>
      <c r="K6" s="16"/>
      <c r="L6" s="305"/>
      <c r="M6" s="306" t="s">
        <v>6643</v>
      </c>
      <c r="N6" s="307" t="s">
        <v>666</v>
      </c>
      <c r="O6" s="308">
        <v>201</v>
      </c>
      <c r="P6" s="309">
        <v>500</v>
      </c>
      <c r="Q6" s="310">
        <v>19</v>
      </c>
      <c r="R6" s="16"/>
      <c r="S6" s="346" t="s">
        <v>6226</v>
      </c>
      <c r="T6" s="362" t="s">
        <v>6641</v>
      </c>
      <c r="U6" s="16"/>
      <c r="V6" s="16"/>
      <c r="W6" s="16"/>
      <c r="X6" s="16"/>
      <c r="Y6" s="16"/>
      <c r="Z6" s="16"/>
      <c r="AA6" s="16"/>
      <c r="AB6" s="16"/>
      <c r="AC6" s="16"/>
      <c r="AD6" s="16"/>
      <c r="AE6" s="16"/>
      <c r="AF6" s="16"/>
      <c r="AG6" s="16"/>
      <c r="AH6" s="16"/>
      <c r="AI6" s="16"/>
      <c r="AJ6" s="16"/>
      <c r="AK6" s="16"/>
    </row>
    <row r="7" spans="1:37" ht="14.5" customHeight="1" x14ac:dyDescent="0.2">
      <c r="A7" s="16"/>
      <c r="B7" s="248"/>
      <c r="C7" s="249" t="s">
        <v>6644</v>
      </c>
      <c r="D7" s="250" t="s">
        <v>6645</v>
      </c>
      <c r="E7" s="251">
        <v>501</v>
      </c>
      <c r="F7" s="252">
        <v>1000</v>
      </c>
      <c r="G7" s="253">
        <v>4.25</v>
      </c>
      <c r="H7" s="16"/>
      <c r="I7" s="254" t="s">
        <v>6227</v>
      </c>
      <c r="J7" s="352" t="s">
        <v>6641</v>
      </c>
      <c r="K7" s="16"/>
      <c r="L7" s="305"/>
      <c r="M7" s="306" t="s">
        <v>6644</v>
      </c>
      <c r="N7" s="307" t="s">
        <v>668</v>
      </c>
      <c r="O7" s="308">
        <v>501</v>
      </c>
      <c r="P7" s="309">
        <v>1000</v>
      </c>
      <c r="Q7" s="310">
        <v>18</v>
      </c>
      <c r="R7" s="16"/>
      <c r="S7" s="346" t="s">
        <v>6227</v>
      </c>
      <c r="T7" s="362" t="s">
        <v>6641</v>
      </c>
      <c r="U7" s="16"/>
      <c r="V7" s="16"/>
      <c r="W7" s="16"/>
      <c r="X7" s="16"/>
      <c r="Y7" s="16"/>
      <c r="Z7" s="16"/>
      <c r="AA7" s="16"/>
      <c r="AB7" s="16"/>
      <c r="AC7" s="16"/>
      <c r="AD7" s="16"/>
      <c r="AE7" s="16"/>
      <c r="AF7" s="16"/>
      <c r="AG7" s="16"/>
      <c r="AH7" s="16"/>
      <c r="AI7" s="16"/>
      <c r="AJ7" s="16"/>
      <c r="AK7" s="16"/>
    </row>
    <row r="8" spans="1:37" ht="14.5" customHeight="1" x14ac:dyDescent="0.2">
      <c r="A8" s="16"/>
      <c r="B8" s="248"/>
      <c r="C8" s="249" t="s">
        <v>6646</v>
      </c>
      <c r="D8" s="250" t="s">
        <v>750</v>
      </c>
      <c r="E8" s="251">
        <v>1001</v>
      </c>
      <c r="F8" s="252">
        <v>2500</v>
      </c>
      <c r="G8" s="253">
        <v>3.75</v>
      </c>
      <c r="H8" s="16"/>
      <c r="I8" s="254" t="s">
        <v>6228</v>
      </c>
      <c r="J8" s="352" t="s">
        <v>6641</v>
      </c>
      <c r="K8" s="16"/>
      <c r="L8" s="305"/>
      <c r="M8" s="306" t="s">
        <v>6646</v>
      </c>
      <c r="N8" s="307" t="s">
        <v>670</v>
      </c>
      <c r="O8" s="308">
        <v>1001</v>
      </c>
      <c r="P8" s="309">
        <v>2500</v>
      </c>
      <c r="Q8" s="310">
        <v>17</v>
      </c>
      <c r="R8" s="16"/>
      <c r="S8" s="346" t="s">
        <v>6228</v>
      </c>
      <c r="T8" s="362" t="s">
        <v>6641</v>
      </c>
      <c r="U8" s="16"/>
      <c r="V8" s="16"/>
      <c r="W8" s="16"/>
      <c r="X8" s="16"/>
      <c r="Y8" s="16"/>
      <c r="Z8" s="16"/>
      <c r="AA8" s="16"/>
      <c r="AB8" s="16"/>
      <c r="AC8" s="16"/>
      <c r="AD8" s="16"/>
      <c r="AE8" s="16"/>
      <c r="AF8" s="16"/>
      <c r="AG8" s="16"/>
      <c r="AH8" s="16"/>
      <c r="AI8" s="16"/>
      <c r="AJ8" s="16"/>
      <c r="AK8" s="16"/>
    </row>
    <row r="9" spans="1:37" ht="14.5" customHeight="1" x14ac:dyDescent="0.2">
      <c r="A9" s="16"/>
      <c r="B9" s="255"/>
      <c r="C9" s="256" t="s">
        <v>6647</v>
      </c>
      <c r="D9" s="249" t="s">
        <v>752</v>
      </c>
      <c r="E9" s="257">
        <v>2501</v>
      </c>
      <c r="F9" s="258">
        <v>10000</v>
      </c>
      <c r="G9" s="259">
        <v>2.5</v>
      </c>
      <c r="H9" s="16"/>
      <c r="I9" s="254" t="s">
        <v>6650</v>
      </c>
      <c r="J9" s="352" t="s">
        <v>6641</v>
      </c>
      <c r="K9" s="16"/>
      <c r="L9" s="311"/>
      <c r="M9" s="312" t="s">
        <v>6647</v>
      </c>
      <c r="N9" s="313" t="s">
        <v>672</v>
      </c>
      <c r="O9" s="314">
        <v>2501</v>
      </c>
      <c r="P9" s="315">
        <v>10000</v>
      </c>
      <c r="Q9" s="316">
        <v>16</v>
      </c>
      <c r="R9" s="16"/>
      <c r="S9" s="346" t="s">
        <v>6650</v>
      </c>
      <c r="T9" s="362" t="s">
        <v>6641</v>
      </c>
      <c r="U9" s="16"/>
      <c r="V9" s="16"/>
      <c r="W9" s="16"/>
      <c r="X9" s="16"/>
      <c r="Y9" s="16"/>
      <c r="Z9" s="16"/>
      <c r="AA9" s="16"/>
      <c r="AB9" s="16"/>
      <c r="AC9" s="16"/>
      <c r="AD9" s="16"/>
      <c r="AE9" s="16"/>
      <c r="AF9" s="16"/>
      <c r="AG9" s="16"/>
      <c r="AH9" s="16"/>
      <c r="AI9" s="16"/>
      <c r="AJ9" s="16"/>
      <c r="AK9" s="16"/>
    </row>
    <row r="10" spans="1:37" ht="14.5" customHeight="1" x14ac:dyDescent="0.2">
      <c r="A10" s="16"/>
      <c r="B10" s="260" t="s">
        <v>6648</v>
      </c>
      <c r="C10" s="261" t="s">
        <v>6642</v>
      </c>
      <c r="D10" s="261" t="s">
        <v>754</v>
      </c>
      <c r="E10" s="262">
        <v>1</v>
      </c>
      <c r="F10" s="263">
        <v>20</v>
      </c>
      <c r="G10" s="264">
        <v>20</v>
      </c>
      <c r="H10" s="16"/>
      <c r="I10" s="254" t="s">
        <v>6238</v>
      </c>
      <c r="J10" s="353" t="s">
        <v>6641</v>
      </c>
      <c r="K10" s="16"/>
      <c r="L10" s="317" t="s">
        <v>6666</v>
      </c>
      <c r="M10" s="318" t="s">
        <v>6642</v>
      </c>
      <c r="N10" s="319" t="s">
        <v>674</v>
      </c>
      <c r="O10" s="320">
        <v>1</v>
      </c>
      <c r="P10" s="321">
        <v>200</v>
      </c>
      <c r="Q10" s="322">
        <v>32</v>
      </c>
      <c r="R10" s="16"/>
      <c r="S10" s="346" t="s">
        <v>6634</v>
      </c>
      <c r="T10" s="363" t="s">
        <v>6641</v>
      </c>
      <c r="U10" s="16"/>
      <c r="V10" s="16"/>
      <c r="W10" s="16"/>
      <c r="X10" s="16"/>
      <c r="Y10" s="16"/>
      <c r="Z10" s="16"/>
      <c r="AA10" s="16"/>
      <c r="AB10" s="16"/>
      <c r="AC10" s="16"/>
      <c r="AD10" s="16"/>
      <c r="AE10" s="16"/>
      <c r="AF10" s="16"/>
      <c r="AG10" s="16"/>
      <c r="AH10" s="16"/>
      <c r="AI10" s="16"/>
      <c r="AJ10" s="16"/>
      <c r="AK10" s="16"/>
    </row>
    <row r="11" spans="1:37" ht="14.5" customHeight="1" x14ac:dyDescent="0.2">
      <c r="A11" s="16"/>
      <c r="B11" s="260"/>
      <c r="C11" s="265" t="s">
        <v>6643</v>
      </c>
      <c r="D11" s="266" t="s">
        <v>756</v>
      </c>
      <c r="E11" s="267">
        <v>21</v>
      </c>
      <c r="F11" s="268">
        <v>50</v>
      </c>
      <c r="G11" s="264">
        <v>18</v>
      </c>
      <c r="H11" s="16"/>
      <c r="I11" s="254" t="s">
        <v>6660</v>
      </c>
      <c r="J11" s="354" t="s">
        <v>6641</v>
      </c>
      <c r="K11" s="16"/>
      <c r="L11" s="317"/>
      <c r="M11" s="318" t="s">
        <v>6643</v>
      </c>
      <c r="N11" s="319" t="s">
        <v>676</v>
      </c>
      <c r="O11" s="320">
        <v>201</v>
      </c>
      <c r="P11" s="321">
        <v>500</v>
      </c>
      <c r="Q11" s="322">
        <v>30.4</v>
      </c>
      <c r="R11" s="16"/>
      <c r="S11" s="369" t="s">
        <v>6238</v>
      </c>
      <c r="T11" s="370" t="s">
        <v>6666</v>
      </c>
      <c r="U11" s="16"/>
      <c r="V11" s="16"/>
      <c r="W11" s="16"/>
      <c r="X11" s="16"/>
      <c r="Y11" s="16"/>
      <c r="Z11" s="16"/>
      <c r="AA11" s="16"/>
      <c r="AB11" s="16"/>
      <c r="AC11" s="16"/>
      <c r="AD11" s="16"/>
      <c r="AE11" s="16"/>
      <c r="AF11" s="16"/>
      <c r="AG11" s="16"/>
      <c r="AH11" s="16"/>
      <c r="AI11" s="16"/>
      <c r="AJ11" s="16"/>
      <c r="AK11" s="16"/>
    </row>
    <row r="12" spans="1:37" ht="14.5" customHeight="1" x14ac:dyDescent="0.2">
      <c r="A12" s="16"/>
      <c r="B12" s="260"/>
      <c r="C12" s="265" t="s">
        <v>6644</v>
      </c>
      <c r="D12" s="266" t="s">
        <v>758</v>
      </c>
      <c r="E12" s="267">
        <v>51</v>
      </c>
      <c r="F12" s="268">
        <v>100</v>
      </c>
      <c r="G12" s="264">
        <v>17</v>
      </c>
      <c r="H12" s="16"/>
      <c r="I12" s="254" t="s">
        <v>6657</v>
      </c>
      <c r="J12" s="352" t="s">
        <v>6641</v>
      </c>
      <c r="K12" s="16"/>
      <c r="L12" s="317"/>
      <c r="M12" s="318" t="s">
        <v>6644</v>
      </c>
      <c r="N12" s="319" t="s">
        <v>678</v>
      </c>
      <c r="O12" s="320">
        <v>501</v>
      </c>
      <c r="P12" s="321">
        <v>1000</v>
      </c>
      <c r="Q12" s="322">
        <v>28.8</v>
      </c>
      <c r="R12" s="16"/>
      <c r="S12" s="346" t="s">
        <v>3896</v>
      </c>
      <c r="T12" s="362" t="s">
        <v>6648</v>
      </c>
      <c r="U12" s="16"/>
      <c r="V12" s="16"/>
      <c r="W12" s="16"/>
      <c r="X12" s="16"/>
      <c r="Y12" s="16"/>
      <c r="Z12" s="16"/>
      <c r="AA12" s="16"/>
      <c r="AB12" s="16"/>
      <c r="AC12" s="16"/>
      <c r="AD12" s="16"/>
      <c r="AE12" s="16"/>
      <c r="AF12" s="16"/>
      <c r="AG12" s="16"/>
      <c r="AH12" s="16"/>
      <c r="AI12" s="16"/>
      <c r="AJ12" s="16"/>
      <c r="AK12" s="16"/>
    </row>
    <row r="13" spans="1:37" ht="16" x14ac:dyDescent="0.2">
      <c r="A13" s="16"/>
      <c r="B13" s="260"/>
      <c r="C13" s="265" t="s">
        <v>6646</v>
      </c>
      <c r="D13" s="266" t="s">
        <v>760</v>
      </c>
      <c r="E13" s="267">
        <v>101</v>
      </c>
      <c r="F13" s="268">
        <v>300</v>
      </c>
      <c r="G13" s="264">
        <v>15</v>
      </c>
      <c r="H13" s="16"/>
      <c r="I13" s="254" t="s">
        <v>6658</v>
      </c>
      <c r="J13" s="352" t="s">
        <v>6641</v>
      </c>
      <c r="K13" s="16"/>
      <c r="L13" s="317"/>
      <c r="M13" s="318" t="s">
        <v>6646</v>
      </c>
      <c r="N13" s="319" t="s">
        <v>680</v>
      </c>
      <c r="O13" s="320">
        <v>1001</v>
      </c>
      <c r="P13" s="321">
        <v>2500</v>
      </c>
      <c r="Q13" s="322">
        <v>27.2</v>
      </c>
      <c r="R13" s="16"/>
      <c r="S13" s="346" t="s">
        <v>3899</v>
      </c>
      <c r="T13" s="362" t="s">
        <v>6648</v>
      </c>
      <c r="U13" s="16"/>
      <c r="V13" s="16"/>
      <c r="W13" s="16"/>
      <c r="X13" s="16"/>
      <c r="Y13" s="16"/>
      <c r="Z13" s="16"/>
      <c r="AA13" s="16"/>
      <c r="AB13" s="16"/>
      <c r="AC13" s="16"/>
      <c r="AD13" s="16"/>
      <c r="AE13" s="16"/>
      <c r="AF13" s="16"/>
      <c r="AG13" s="16"/>
      <c r="AH13" s="16"/>
      <c r="AI13" s="16"/>
      <c r="AJ13" s="16"/>
      <c r="AK13" s="16"/>
    </row>
    <row r="14" spans="1:37" ht="16" x14ac:dyDescent="0.2">
      <c r="A14" s="16"/>
      <c r="B14" s="260"/>
      <c r="C14" s="269" t="s">
        <v>6647</v>
      </c>
      <c r="D14" s="265" t="s">
        <v>762</v>
      </c>
      <c r="E14" s="270">
        <v>301</v>
      </c>
      <c r="F14" s="271">
        <v>1000</v>
      </c>
      <c r="G14" s="264">
        <v>10</v>
      </c>
      <c r="H14" s="16"/>
      <c r="I14" s="254" t="s">
        <v>6671</v>
      </c>
      <c r="J14" s="352" t="s">
        <v>6641</v>
      </c>
      <c r="K14" s="16"/>
      <c r="L14" s="317"/>
      <c r="M14" s="318" t="s">
        <v>6647</v>
      </c>
      <c r="N14" s="319" t="s">
        <v>682</v>
      </c>
      <c r="O14" s="320">
        <v>2501</v>
      </c>
      <c r="P14" s="321">
        <v>10000</v>
      </c>
      <c r="Q14" s="322">
        <v>25.6</v>
      </c>
      <c r="R14" s="16"/>
      <c r="S14" s="346" t="s">
        <v>1277</v>
      </c>
      <c r="T14" s="362" t="s">
        <v>6648</v>
      </c>
      <c r="U14" s="16"/>
      <c r="V14" s="16"/>
      <c r="W14" s="16"/>
      <c r="X14" s="16"/>
      <c r="Y14" s="16"/>
      <c r="Z14" s="16"/>
      <c r="AA14" s="16"/>
      <c r="AB14" s="16"/>
      <c r="AC14" s="16"/>
      <c r="AD14" s="16"/>
      <c r="AE14" s="16"/>
      <c r="AF14" s="16"/>
      <c r="AG14" s="16"/>
      <c r="AH14" s="16"/>
      <c r="AI14" s="16"/>
      <c r="AJ14" s="16"/>
      <c r="AK14" s="16"/>
    </row>
    <row r="15" spans="1:37" ht="16" x14ac:dyDescent="0.2">
      <c r="A15" s="16"/>
      <c r="B15" s="241" t="s">
        <v>6649</v>
      </c>
      <c r="C15" s="242" t="s">
        <v>6642</v>
      </c>
      <c r="D15" s="243" t="s">
        <v>764</v>
      </c>
      <c r="E15" s="244">
        <v>1</v>
      </c>
      <c r="F15" s="245">
        <v>20</v>
      </c>
      <c r="G15" s="246">
        <v>50</v>
      </c>
      <c r="H15" s="16"/>
      <c r="I15" s="254" t="s">
        <v>6659</v>
      </c>
      <c r="J15" s="352" t="s">
        <v>6641</v>
      </c>
      <c r="K15" s="16"/>
      <c r="L15" s="299" t="s">
        <v>6648</v>
      </c>
      <c r="M15" s="300" t="s">
        <v>6642</v>
      </c>
      <c r="N15" s="301" t="s">
        <v>684</v>
      </c>
      <c r="O15" s="302">
        <v>1</v>
      </c>
      <c r="P15" s="303">
        <v>20</v>
      </c>
      <c r="Q15" s="304">
        <v>40</v>
      </c>
      <c r="R15" s="16"/>
      <c r="S15" s="346" t="s">
        <v>1280</v>
      </c>
      <c r="T15" s="362" t="s">
        <v>6648</v>
      </c>
      <c r="U15" s="16"/>
      <c r="V15" s="16"/>
      <c r="W15" s="16"/>
      <c r="X15" s="16"/>
      <c r="Y15" s="16"/>
      <c r="Z15" s="16"/>
      <c r="AA15" s="16"/>
      <c r="AB15" s="16"/>
      <c r="AC15" s="16"/>
      <c r="AD15" s="16"/>
      <c r="AE15" s="16"/>
      <c r="AF15" s="16"/>
      <c r="AG15" s="16"/>
      <c r="AH15" s="16"/>
      <c r="AI15" s="16"/>
      <c r="AJ15" s="16"/>
      <c r="AK15" s="16"/>
    </row>
    <row r="16" spans="1:37" ht="16" x14ac:dyDescent="0.2">
      <c r="A16" s="16"/>
      <c r="B16" s="248"/>
      <c r="C16" s="249" t="s">
        <v>6643</v>
      </c>
      <c r="D16" s="250" t="s">
        <v>766</v>
      </c>
      <c r="E16" s="251">
        <v>21</v>
      </c>
      <c r="F16" s="252">
        <v>50</v>
      </c>
      <c r="G16" s="253">
        <v>45</v>
      </c>
      <c r="H16" s="16"/>
      <c r="I16" s="285" t="s">
        <v>6661</v>
      </c>
      <c r="J16" s="355" t="s">
        <v>6641</v>
      </c>
      <c r="K16" s="16"/>
      <c r="L16" s="305"/>
      <c r="M16" s="306" t="s">
        <v>6643</v>
      </c>
      <c r="N16" s="307" t="s">
        <v>686</v>
      </c>
      <c r="O16" s="308">
        <v>21</v>
      </c>
      <c r="P16" s="309">
        <v>50</v>
      </c>
      <c r="Q16" s="310">
        <v>38</v>
      </c>
      <c r="R16" s="16"/>
      <c r="S16" s="346" t="s">
        <v>6234</v>
      </c>
      <c r="T16" s="362" t="s">
        <v>6648</v>
      </c>
      <c r="U16" s="16"/>
      <c r="V16" s="16"/>
      <c r="W16" s="16"/>
      <c r="X16" s="16"/>
      <c r="Y16" s="16"/>
      <c r="Z16" s="16"/>
      <c r="AA16" s="16"/>
      <c r="AB16" s="16"/>
      <c r="AC16" s="16"/>
      <c r="AD16" s="16"/>
      <c r="AE16" s="16"/>
      <c r="AF16" s="16"/>
      <c r="AG16" s="16"/>
      <c r="AH16" s="16"/>
      <c r="AI16" s="16"/>
      <c r="AJ16" s="16"/>
      <c r="AK16" s="16"/>
    </row>
    <row r="17" spans="1:37" ht="16" x14ac:dyDescent="0.2">
      <c r="A17" s="16"/>
      <c r="B17" s="248"/>
      <c r="C17" s="249" t="s">
        <v>6644</v>
      </c>
      <c r="D17" s="250" t="s">
        <v>768</v>
      </c>
      <c r="E17" s="251">
        <v>51</v>
      </c>
      <c r="F17" s="252">
        <v>100</v>
      </c>
      <c r="G17" s="253">
        <v>42.5</v>
      </c>
      <c r="H17" s="16"/>
      <c r="I17" s="275" t="s">
        <v>1560</v>
      </c>
      <c r="J17" s="388" t="s">
        <v>6648</v>
      </c>
      <c r="K17" s="16"/>
      <c r="L17" s="305"/>
      <c r="M17" s="306" t="s">
        <v>6644</v>
      </c>
      <c r="N17" s="307" t="s">
        <v>688</v>
      </c>
      <c r="O17" s="308">
        <v>51</v>
      </c>
      <c r="P17" s="309">
        <v>100</v>
      </c>
      <c r="Q17" s="310">
        <v>36</v>
      </c>
      <c r="R17" s="16"/>
      <c r="S17" s="346" t="s">
        <v>6235</v>
      </c>
      <c r="T17" s="362" t="s">
        <v>6648</v>
      </c>
      <c r="U17" s="16"/>
      <c r="V17" s="16"/>
      <c r="W17" s="16"/>
      <c r="X17" s="16"/>
      <c r="Y17" s="16"/>
      <c r="Z17" s="16"/>
      <c r="AA17" s="16"/>
      <c r="AB17" s="16"/>
      <c r="AC17" s="16"/>
      <c r="AD17" s="16"/>
      <c r="AE17" s="16"/>
      <c r="AF17" s="16"/>
      <c r="AG17" s="16"/>
      <c r="AH17" s="16"/>
      <c r="AI17" s="16"/>
      <c r="AJ17" s="16"/>
      <c r="AK17" s="16"/>
    </row>
    <row r="18" spans="1:37" x14ac:dyDescent="0.2">
      <c r="A18" s="16"/>
      <c r="B18" s="248"/>
      <c r="C18" s="249" t="s">
        <v>6646</v>
      </c>
      <c r="D18" s="250" t="s">
        <v>770</v>
      </c>
      <c r="E18" s="251">
        <v>101</v>
      </c>
      <c r="F18" s="252">
        <v>300</v>
      </c>
      <c r="G18" s="253">
        <v>37.5</v>
      </c>
      <c r="H18" s="16"/>
      <c r="I18" s="275" t="s">
        <v>3896</v>
      </c>
      <c r="J18" s="356" t="s">
        <v>6648</v>
      </c>
      <c r="K18" s="16"/>
      <c r="L18" s="305"/>
      <c r="M18" s="306" t="s">
        <v>6646</v>
      </c>
      <c r="N18" s="307" t="s">
        <v>690</v>
      </c>
      <c r="O18" s="308">
        <v>101</v>
      </c>
      <c r="P18" s="309">
        <v>300</v>
      </c>
      <c r="Q18" s="310">
        <v>34</v>
      </c>
      <c r="R18" s="16"/>
      <c r="S18" s="348" t="s">
        <v>6232</v>
      </c>
      <c r="T18" s="364" t="s">
        <v>6648</v>
      </c>
      <c r="U18" s="16"/>
      <c r="V18" s="16"/>
      <c r="W18" s="16"/>
      <c r="X18" s="16"/>
      <c r="Y18" s="16"/>
      <c r="Z18" s="16"/>
      <c r="AA18" s="16"/>
      <c r="AB18" s="16"/>
      <c r="AC18" s="16"/>
      <c r="AD18" s="16"/>
      <c r="AE18" s="16"/>
      <c r="AF18" s="16"/>
      <c r="AG18" s="16"/>
      <c r="AH18" s="16"/>
      <c r="AI18" s="16"/>
      <c r="AJ18" s="16"/>
      <c r="AK18" s="16"/>
    </row>
    <row r="19" spans="1:37" x14ac:dyDescent="0.2">
      <c r="A19" s="16"/>
      <c r="B19" s="255"/>
      <c r="C19" s="256" t="s">
        <v>6647</v>
      </c>
      <c r="D19" s="249" t="s">
        <v>772</v>
      </c>
      <c r="E19" s="257">
        <v>301</v>
      </c>
      <c r="F19" s="258">
        <v>1000</v>
      </c>
      <c r="G19" s="259">
        <v>25</v>
      </c>
      <c r="H19" s="16"/>
      <c r="I19" s="275" t="s">
        <v>3899</v>
      </c>
      <c r="J19" s="356" t="s">
        <v>6648</v>
      </c>
      <c r="K19" s="16"/>
      <c r="L19" s="305"/>
      <c r="M19" s="312" t="s">
        <v>6647</v>
      </c>
      <c r="N19" s="313" t="s">
        <v>692</v>
      </c>
      <c r="O19" s="314">
        <v>301</v>
      </c>
      <c r="P19" s="315">
        <v>1000</v>
      </c>
      <c r="Q19" s="310">
        <v>32</v>
      </c>
      <c r="R19" s="16"/>
      <c r="S19" s="347" t="s">
        <v>1560</v>
      </c>
      <c r="T19" s="390" t="s">
        <v>6667</v>
      </c>
      <c r="U19" s="16"/>
      <c r="V19" s="16"/>
      <c r="W19" s="16"/>
      <c r="X19" s="16"/>
      <c r="Y19" s="16"/>
      <c r="Z19" s="16"/>
      <c r="AA19" s="16"/>
      <c r="AB19" s="16"/>
      <c r="AC19" s="16"/>
      <c r="AD19" s="16"/>
      <c r="AE19" s="16"/>
      <c r="AF19" s="16"/>
      <c r="AG19" s="16"/>
      <c r="AH19" s="16"/>
      <c r="AI19" s="16"/>
      <c r="AJ19" s="16"/>
      <c r="AK19" s="16"/>
    </row>
    <row r="20" spans="1:37" x14ac:dyDescent="0.2">
      <c r="A20" s="16"/>
      <c r="B20" s="272" t="s">
        <v>6651</v>
      </c>
      <c r="C20" s="261" t="s">
        <v>6642</v>
      </c>
      <c r="D20" s="261" t="s">
        <v>774</v>
      </c>
      <c r="E20" s="262">
        <v>1</v>
      </c>
      <c r="F20" s="263">
        <v>20</v>
      </c>
      <c r="G20" s="273">
        <v>70</v>
      </c>
      <c r="H20" s="16"/>
      <c r="I20" s="275" t="s">
        <v>1277</v>
      </c>
      <c r="J20" s="356" t="s">
        <v>6648</v>
      </c>
      <c r="K20" s="16"/>
      <c r="L20" s="323" t="s">
        <v>6667</v>
      </c>
      <c r="M20" s="318" t="s">
        <v>6642</v>
      </c>
      <c r="N20" s="319" t="s">
        <v>694</v>
      </c>
      <c r="O20" s="320">
        <v>1</v>
      </c>
      <c r="P20" s="321">
        <v>20</v>
      </c>
      <c r="Q20" s="324">
        <v>50</v>
      </c>
      <c r="R20" s="16"/>
      <c r="S20" s="350" t="s">
        <v>6233</v>
      </c>
      <c r="T20" s="366" t="s">
        <v>6667</v>
      </c>
      <c r="U20" s="16"/>
      <c r="V20" s="16"/>
      <c r="W20" s="16"/>
      <c r="X20" s="16"/>
      <c r="Y20" s="16"/>
      <c r="Z20" s="16"/>
      <c r="AA20" s="16"/>
      <c r="AB20" s="16"/>
      <c r="AC20" s="16"/>
      <c r="AD20" s="16"/>
      <c r="AE20" s="16"/>
      <c r="AF20" s="16"/>
      <c r="AG20" s="16"/>
      <c r="AH20" s="16"/>
      <c r="AI20" s="16"/>
      <c r="AJ20" s="16"/>
      <c r="AK20" s="16"/>
    </row>
    <row r="21" spans="1:37" x14ac:dyDescent="0.2">
      <c r="A21" s="16"/>
      <c r="B21" s="260"/>
      <c r="C21" s="265" t="s">
        <v>6643</v>
      </c>
      <c r="D21" s="266" t="s">
        <v>776</v>
      </c>
      <c r="E21" s="267">
        <v>21</v>
      </c>
      <c r="F21" s="268">
        <v>50</v>
      </c>
      <c r="G21" s="264">
        <v>63</v>
      </c>
      <c r="H21" s="16"/>
      <c r="I21" s="275" t="s">
        <v>1280</v>
      </c>
      <c r="J21" s="356" t="s">
        <v>6648</v>
      </c>
      <c r="K21" s="16"/>
      <c r="L21" s="317"/>
      <c r="M21" s="318" t="s">
        <v>6643</v>
      </c>
      <c r="N21" s="319" t="s">
        <v>696</v>
      </c>
      <c r="O21" s="320">
        <v>21</v>
      </c>
      <c r="P21" s="321">
        <v>50</v>
      </c>
      <c r="Q21" s="322">
        <v>47.5</v>
      </c>
      <c r="R21" s="16"/>
      <c r="S21" s="346" t="s">
        <v>7060</v>
      </c>
      <c r="T21" s="362" t="s">
        <v>6649</v>
      </c>
      <c r="U21" s="16"/>
      <c r="V21" s="16"/>
      <c r="W21" s="16"/>
      <c r="X21" s="16"/>
      <c r="Y21" s="16"/>
      <c r="Z21" s="16"/>
      <c r="AA21" s="16"/>
      <c r="AB21" s="16"/>
      <c r="AC21" s="16"/>
      <c r="AD21" s="16"/>
      <c r="AE21" s="16"/>
      <c r="AF21" s="16"/>
      <c r="AG21" s="16"/>
      <c r="AH21" s="16"/>
      <c r="AI21" s="16"/>
      <c r="AJ21" s="16"/>
      <c r="AK21" s="16"/>
    </row>
    <row r="22" spans="1:37" x14ac:dyDescent="0.2">
      <c r="A22" s="16"/>
      <c r="B22" s="260"/>
      <c r="C22" s="265" t="s">
        <v>6644</v>
      </c>
      <c r="D22" s="266" t="s">
        <v>778</v>
      </c>
      <c r="E22" s="267">
        <v>51</v>
      </c>
      <c r="F22" s="268">
        <v>100</v>
      </c>
      <c r="G22" s="264">
        <v>59.5</v>
      </c>
      <c r="H22" s="16"/>
      <c r="I22" s="275" t="s">
        <v>6234</v>
      </c>
      <c r="J22" s="356" t="s">
        <v>6648</v>
      </c>
      <c r="K22" s="16"/>
      <c r="L22" s="317"/>
      <c r="M22" s="318" t="s">
        <v>6644</v>
      </c>
      <c r="N22" s="319" t="s">
        <v>698</v>
      </c>
      <c r="O22" s="320">
        <v>51</v>
      </c>
      <c r="P22" s="321">
        <v>100</v>
      </c>
      <c r="Q22" s="322">
        <v>45</v>
      </c>
      <c r="R22" s="16"/>
      <c r="S22" s="346" t="s">
        <v>1312</v>
      </c>
      <c r="T22" s="362" t="s">
        <v>6649</v>
      </c>
      <c r="U22" s="16"/>
      <c r="V22" s="16"/>
      <c r="W22" s="16"/>
      <c r="X22" s="16"/>
      <c r="Y22" s="16"/>
      <c r="Z22" s="16"/>
      <c r="AA22" s="16"/>
      <c r="AB22" s="16"/>
      <c r="AC22" s="16"/>
      <c r="AD22" s="16"/>
      <c r="AE22" s="16"/>
      <c r="AF22" s="16"/>
      <c r="AG22" s="16"/>
      <c r="AH22" s="16"/>
      <c r="AI22" s="16"/>
      <c r="AJ22" s="16"/>
      <c r="AK22" s="16"/>
    </row>
    <row r="23" spans="1:37" x14ac:dyDescent="0.2">
      <c r="A23" s="16"/>
      <c r="B23" s="260"/>
      <c r="C23" s="265" t="s">
        <v>6646</v>
      </c>
      <c r="D23" s="266" t="s">
        <v>780</v>
      </c>
      <c r="E23" s="267">
        <v>101</v>
      </c>
      <c r="F23" s="268">
        <v>300</v>
      </c>
      <c r="G23" s="264">
        <v>52.5</v>
      </c>
      <c r="H23" s="16"/>
      <c r="I23" s="275" t="s">
        <v>6235</v>
      </c>
      <c r="J23" s="356" t="s">
        <v>6648</v>
      </c>
      <c r="K23" s="16"/>
      <c r="L23" s="317"/>
      <c r="M23" s="318" t="s">
        <v>6646</v>
      </c>
      <c r="N23" s="319" t="s">
        <v>700</v>
      </c>
      <c r="O23" s="320">
        <v>101</v>
      </c>
      <c r="P23" s="321">
        <v>300</v>
      </c>
      <c r="Q23" s="322">
        <v>42.5</v>
      </c>
      <c r="R23" s="16"/>
      <c r="S23" s="346" t="s">
        <v>1267</v>
      </c>
      <c r="T23" s="362" t="s">
        <v>6649</v>
      </c>
      <c r="U23" s="16"/>
      <c r="V23" s="16"/>
      <c r="W23" s="16"/>
      <c r="X23" s="16"/>
      <c r="Y23" s="16"/>
      <c r="Z23" s="16"/>
      <c r="AA23" s="16"/>
      <c r="AB23" s="16"/>
      <c r="AC23" s="16"/>
      <c r="AD23" s="16"/>
      <c r="AE23" s="16"/>
      <c r="AF23" s="16"/>
      <c r="AG23" s="16"/>
      <c r="AH23" s="16"/>
      <c r="AI23" s="16"/>
      <c r="AJ23" s="16"/>
      <c r="AK23" s="16"/>
    </row>
    <row r="24" spans="1:37" x14ac:dyDescent="0.2">
      <c r="A24" s="16"/>
      <c r="B24" s="276"/>
      <c r="C24" s="269" t="s">
        <v>6647</v>
      </c>
      <c r="D24" s="277" t="s">
        <v>782</v>
      </c>
      <c r="E24" s="270">
        <v>301</v>
      </c>
      <c r="F24" s="271">
        <v>1000</v>
      </c>
      <c r="G24" s="278">
        <v>35</v>
      </c>
      <c r="H24" s="16"/>
      <c r="I24" s="275" t="s">
        <v>6652</v>
      </c>
      <c r="J24" s="356" t="s">
        <v>6648</v>
      </c>
      <c r="K24" s="16"/>
      <c r="L24" s="317"/>
      <c r="M24" s="318" t="s">
        <v>6647</v>
      </c>
      <c r="N24" s="319" t="s">
        <v>702</v>
      </c>
      <c r="O24" s="320">
        <v>301</v>
      </c>
      <c r="P24" s="321">
        <v>1000</v>
      </c>
      <c r="Q24" s="322">
        <v>40</v>
      </c>
      <c r="R24" s="16"/>
      <c r="S24" s="348" t="s">
        <v>1270</v>
      </c>
      <c r="T24" s="364" t="s">
        <v>6649</v>
      </c>
      <c r="U24" s="16"/>
      <c r="V24" s="16"/>
      <c r="W24" s="16"/>
      <c r="X24" s="16"/>
      <c r="Y24" s="16"/>
      <c r="Z24" s="16"/>
      <c r="AA24" s="16"/>
      <c r="AB24" s="16"/>
      <c r="AC24" s="16"/>
      <c r="AD24" s="16"/>
      <c r="AE24" s="16"/>
      <c r="AF24" s="16"/>
      <c r="AG24" s="16"/>
      <c r="AH24" s="16"/>
      <c r="AI24" s="16"/>
      <c r="AJ24" s="16"/>
      <c r="AK24" s="16"/>
    </row>
    <row r="25" spans="1:37" x14ac:dyDescent="0.2">
      <c r="A25" s="16"/>
      <c r="B25" s="248" t="s">
        <v>6654</v>
      </c>
      <c r="C25" s="249" t="s">
        <v>6642</v>
      </c>
      <c r="D25" s="243" t="s">
        <v>784</v>
      </c>
      <c r="E25" s="251">
        <v>1</v>
      </c>
      <c r="F25" s="252">
        <v>20</v>
      </c>
      <c r="G25" s="253">
        <v>120</v>
      </c>
      <c r="H25" s="16"/>
      <c r="I25" s="275" t="s">
        <v>6653</v>
      </c>
      <c r="J25" s="356" t="s">
        <v>6648</v>
      </c>
      <c r="K25" s="16"/>
      <c r="L25" s="299" t="s">
        <v>6649</v>
      </c>
      <c r="M25" s="300" t="s">
        <v>6642</v>
      </c>
      <c r="N25" s="300" t="s">
        <v>704</v>
      </c>
      <c r="O25" s="302">
        <v>1</v>
      </c>
      <c r="P25" s="303">
        <v>20</v>
      </c>
      <c r="Q25" s="325">
        <v>134</v>
      </c>
      <c r="R25" s="16"/>
      <c r="S25" s="347" t="s">
        <v>5915</v>
      </c>
      <c r="T25" s="365" t="s">
        <v>6651</v>
      </c>
      <c r="U25" s="16"/>
      <c r="V25" s="16"/>
      <c r="W25" s="16"/>
      <c r="X25" s="16"/>
      <c r="Y25" s="16"/>
      <c r="Z25" s="16"/>
      <c r="AA25" s="16"/>
      <c r="AB25" s="16"/>
      <c r="AC25" s="16"/>
      <c r="AD25" s="16"/>
      <c r="AE25" s="16"/>
      <c r="AF25" s="16"/>
      <c r="AG25" s="16"/>
      <c r="AH25" s="16"/>
      <c r="AI25" s="16"/>
      <c r="AJ25" s="16"/>
      <c r="AK25" s="16"/>
    </row>
    <row r="26" spans="1:37" x14ac:dyDescent="0.2">
      <c r="A26" s="16"/>
      <c r="B26" s="248"/>
      <c r="C26" s="249" t="s">
        <v>6643</v>
      </c>
      <c r="D26" s="250" t="s">
        <v>786</v>
      </c>
      <c r="E26" s="251">
        <v>21</v>
      </c>
      <c r="F26" s="252">
        <v>50</v>
      </c>
      <c r="G26" s="253">
        <v>108</v>
      </c>
      <c r="H26" s="16"/>
      <c r="I26" s="247" t="s">
        <v>7059</v>
      </c>
      <c r="J26" s="389" t="s">
        <v>6649</v>
      </c>
      <c r="K26" s="16"/>
      <c r="L26" s="305"/>
      <c r="M26" s="306" t="s">
        <v>6643</v>
      </c>
      <c r="N26" s="306" t="s">
        <v>706</v>
      </c>
      <c r="O26" s="308">
        <v>21</v>
      </c>
      <c r="P26" s="309">
        <v>50</v>
      </c>
      <c r="Q26" s="326">
        <v>120.60000000000001</v>
      </c>
      <c r="R26" s="16"/>
      <c r="S26" s="349" t="s">
        <v>1139</v>
      </c>
      <c r="T26" s="365" t="s">
        <v>6651</v>
      </c>
      <c r="U26" s="16"/>
      <c r="V26" s="16"/>
      <c r="W26" s="16"/>
      <c r="X26" s="16"/>
      <c r="Y26" s="16"/>
      <c r="Z26" s="16"/>
      <c r="AA26" s="16"/>
      <c r="AB26" s="16"/>
      <c r="AC26" s="16"/>
      <c r="AD26" s="16"/>
      <c r="AE26" s="16"/>
      <c r="AF26" s="16"/>
      <c r="AG26" s="16"/>
      <c r="AH26" s="16"/>
      <c r="AI26" s="16"/>
      <c r="AJ26" s="16"/>
      <c r="AK26" s="16"/>
    </row>
    <row r="27" spans="1:37" ht="16" x14ac:dyDescent="0.2">
      <c r="A27" s="16"/>
      <c r="B27" s="248"/>
      <c r="C27" s="249" t="s">
        <v>6644</v>
      </c>
      <c r="D27" s="250" t="s">
        <v>788</v>
      </c>
      <c r="E27" s="251">
        <v>51</v>
      </c>
      <c r="F27" s="252">
        <v>100</v>
      </c>
      <c r="G27" s="253">
        <v>102</v>
      </c>
      <c r="H27" s="16"/>
      <c r="I27" s="254" t="s">
        <v>1312</v>
      </c>
      <c r="J27" s="352" t="s">
        <v>6649</v>
      </c>
      <c r="K27" s="16"/>
      <c r="L27" s="305"/>
      <c r="M27" s="306" t="s">
        <v>6644</v>
      </c>
      <c r="N27" s="306" t="s">
        <v>708</v>
      </c>
      <c r="O27" s="308">
        <v>51</v>
      </c>
      <c r="P27" s="309">
        <v>100</v>
      </c>
      <c r="Q27" s="326">
        <v>113.89999999999999</v>
      </c>
      <c r="R27" s="16"/>
      <c r="S27" s="349" t="s">
        <v>1140</v>
      </c>
      <c r="T27" s="365" t="s">
        <v>6651</v>
      </c>
      <c r="U27" s="16"/>
      <c r="V27" s="16"/>
      <c r="W27" s="16"/>
      <c r="X27" s="16"/>
      <c r="Y27" s="16"/>
      <c r="Z27" s="16"/>
      <c r="AA27" s="16"/>
      <c r="AB27" s="16"/>
      <c r="AC27" s="16"/>
      <c r="AD27" s="16"/>
      <c r="AE27" s="16"/>
      <c r="AF27" s="16"/>
      <c r="AG27" s="16"/>
      <c r="AH27" s="16"/>
      <c r="AI27" s="16"/>
      <c r="AJ27" s="16"/>
      <c r="AK27" s="16"/>
    </row>
    <row r="28" spans="1:37" ht="16" x14ac:dyDescent="0.2">
      <c r="A28" s="16"/>
      <c r="B28" s="248"/>
      <c r="C28" s="249" t="s">
        <v>6646</v>
      </c>
      <c r="D28" s="250" t="s">
        <v>790</v>
      </c>
      <c r="E28" s="251">
        <v>101</v>
      </c>
      <c r="F28" s="252">
        <v>300</v>
      </c>
      <c r="G28" s="253">
        <v>90</v>
      </c>
      <c r="H28" s="16"/>
      <c r="I28" s="254" t="s">
        <v>1267</v>
      </c>
      <c r="J28" s="352" t="s">
        <v>6649</v>
      </c>
      <c r="K28" s="16"/>
      <c r="L28" s="305"/>
      <c r="M28" s="306" t="s">
        <v>6646</v>
      </c>
      <c r="N28" s="306" t="s">
        <v>710</v>
      </c>
      <c r="O28" s="308">
        <v>101</v>
      </c>
      <c r="P28" s="309">
        <v>300</v>
      </c>
      <c r="Q28" s="326">
        <v>100.5</v>
      </c>
      <c r="R28" s="16"/>
      <c r="S28" s="349" t="s">
        <v>6662</v>
      </c>
      <c r="T28" s="365" t="s">
        <v>6651</v>
      </c>
      <c r="U28" s="16"/>
      <c r="V28" s="16"/>
      <c r="W28" s="16"/>
      <c r="X28" s="16"/>
      <c r="Y28" s="16"/>
      <c r="Z28" s="16"/>
      <c r="AA28" s="16"/>
      <c r="AB28" s="16"/>
      <c r="AC28" s="16"/>
      <c r="AD28" s="16"/>
      <c r="AE28" s="16"/>
      <c r="AF28" s="16"/>
      <c r="AG28" s="16"/>
      <c r="AH28" s="16"/>
      <c r="AI28" s="16"/>
      <c r="AJ28" s="16"/>
      <c r="AK28" s="16"/>
    </row>
    <row r="29" spans="1:37" ht="16" x14ac:dyDescent="0.2">
      <c r="A29" s="16"/>
      <c r="B29" s="248"/>
      <c r="C29" s="249" t="s">
        <v>6647</v>
      </c>
      <c r="D29" s="249" t="s">
        <v>792</v>
      </c>
      <c r="E29" s="251">
        <v>301</v>
      </c>
      <c r="F29" s="252">
        <v>1000</v>
      </c>
      <c r="G29" s="253">
        <v>60</v>
      </c>
      <c r="H29" s="16"/>
      <c r="I29" s="254" t="s">
        <v>1270</v>
      </c>
      <c r="J29" s="352" t="s">
        <v>6649</v>
      </c>
      <c r="K29" s="16"/>
      <c r="L29" s="311"/>
      <c r="M29" s="312" t="s">
        <v>6647</v>
      </c>
      <c r="N29" s="312" t="s">
        <v>712</v>
      </c>
      <c r="O29" s="314">
        <v>301</v>
      </c>
      <c r="P29" s="315">
        <v>1000</v>
      </c>
      <c r="Q29" s="327">
        <v>67</v>
      </c>
      <c r="R29" s="16"/>
      <c r="S29" s="349" t="s">
        <v>6663</v>
      </c>
      <c r="T29" s="365" t="s">
        <v>6651</v>
      </c>
      <c r="U29" s="16"/>
      <c r="V29" s="16"/>
      <c r="W29" s="16"/>
      <c r="X29" s="16"/>
      <c r="Y29" s="16"/>
      <c r="Z29" s="16"/>
      <c r="AA29" s="16"/>
      <c r="AB29" s="16"/>
      <c r="AC29" s="16"/>
      <c r="AD29" s="16"/>
      <c r="AE29" s="16"/>
      <c r="AF29" s="16"/>
      <c r="AG29" s="16"/>
      <c r="AH29" s="16"/>
      <c r="AI29" s="16"/>
      <c r="AJ29" s="16"/>
      <c r="AK29" s="16"/>
    </row>
    <row r="30" spans="1:37" x14ac:dyDescent="0.2">
      <c r="A30" s="16"/>
      <c r="B30" s="272" t="s">
        <v>6655</v>
      </c>
      <c r="C30" s="261" t="s">
        <v>6642</v>
      </c>
      <c r="D30" s="261" t="s">
        <v>794</v>
      </c>
      <c r="E30" s="262">
        <v>1</v>
      </c>
      <c r="F30" s="263">
        <v>20</v>
      </c>
      <c r="G30" s="273">
        <v>225</v>
      </c>
      <c r="H30" s="16"/>
      <c r="I30" s="274" t="s">
        <v>5915</v>
      </c>
      <c r="J30" s="358" t="s">
        <v>6651</v>
      </c>
      <c r="K30" s="16"/>
      <c r="L30" s="323" t="s">
        <v>6651</v>
      </c>
      <c r="M30" s="328" t="s">
        <v>6642</v>
      </c>
      <c r="N30" s="328" t="s">
        <v>714</v>
      </c>
      <c r="O30" s="329">
        <v>1</v>
      </c>
      <c r="P30" s="330">
        <v>20</v>
      </c>
      <c r="Q30" s="331">
        <v>210</v>
      </c>
      <c r="R30" s="16"/>
      <c r="S30" s="349" t="s">
        <v>6664</v>
      </c>
      <c r="T30" s="365" t="s">
        <v>6651</v>
      </c>
      <c r="U30" s="16"/>
      <c r="V30" s="16"/>
      <c r="W30" s="16"/>
      <c r="X30" s="16"/>
      <c r="Y30" s="16"/>
      <c r="Z30" s="16"/>
      <c r="AA30" s="16"/>
      <c r="AB30" s="16"/>
      <c r="AC30" s="16"/>
      <c r="AD30" s="16"/>
      <c r="AE30" s="16"/>
      <c r="AF30" s="16"/>
      <c r="AG30" s="16"/>
      <c r="AH30" s="16"/>
      <c r="AI30" s="16"/>
      <c r="AJ30" s="16"/>
      <c r="AK30" s="16"/>
    </row>
    <row r="31" spans="1:37" x14ac:dyDescent="0.2">
      <c r="A31" s="16"/>
      <c r="B31" s="260"/>
      <c r="C31" s="265" t="s">
        <v>6643</v>
      </c>
      <c r="D31" s="266" t="s">
        <v>796</v>
      </c>
      <c r="E31" s="267">
        <v>21</v>
      </c>
      <c r="F31" s="268">
        <v>50</v>
      </c>
      <c r="G31" s="264">
        <v>202.5</v>
      </c>
      <c r="H31" s="16"/>
      <c r="I31" s="275" t="s">
        <v>1139</v>
      </c>
      <c r="J31" s="356" t="s">
        <v>6651</v>
      </c>
      <c r="K31" s="16"/>
      <c r="L31" s="317"/>
      <c r="M31" s="318" t="s">
        <v>6643</v>
      </c>
      <c r="N31" s="318" t="s">
        <v>716</v>
      </c>
      <c r="O31" s="320">
        <v>21</v>
      </c>
      <c r="P31" s="321">
        <v>50</v>
      </c>
      <c r="Q31" s="332">
        <v>189</v>
      </c>
      <c r="R31" s="16"/>
      <c r="S31" s="349" t="s">
        <v>1583</v>
      </c>
      <c r="T31" s="365" t="s">
        <v>6651</v>
      </c>
      <c r="U31" s="16"/>
      <c r="V31" s="16"/>
      <c r="W31" s="16"/>
      <c r="X31" s="16"/>
      <c r="Y31" s="16"/>
      <c r="Z31" s="16"/>
      <c r="AA31" s="16"/>
      <c r="AB31" s="16"/>
      <c r="AC31" s="16"/>
      <c r="AD31" s="16"/>
      <c r="AE31" s="16"/>
      <c r="AF31" s="16"/>
      <c r="AG31" s="16"/>
      <c r="AH31" s="16"/>
      <c r="AI31" s="16"/>
      <c r="AJ31" s="16"/>
      <c r="AK31" s="16"/>
    </row>
    <row r="32" spans="1:37" x14ac:dyDescent="0.2">
      <c r="A32" s="16"/>
      <c r="B32" s="260"/>
      <c r="C32" s="265" t="s">
        <v>6644</v>
      </c>
      <c r="D32" s="266" t="s">
        <v>798</v>
      </c>
      <c r="E32" s="267">
        <v>51</v>
      </c>
      <c r="F32" s="268">
        <v>100</v>
      </c>
      <c r="G32" s="264">
        <v>191.25</v>
      </c>
      <c r="H32" s="16"/>
      <c r="I32" s="275" t="s">
        <v>1140</v>
      </c>
      <c r="J32" s="356" t="s">
        <v>6651</v>
      </c>
      <c r="K32" s="16"/>
      <c r="L32" s="317"/>
      <c r="M32" s="318" t="s">
        <v>6644</v>
      </c>
      <c r="N32" s="318" t="s">
        <v>718</v>
      </c>
      <c r="O32" s="320">
        <v>51</v>
      </c>
      <c r="P32" s="321">
        <v>100</v>
      </c>
      <c r="Q32" s="332">
        <v>178.5</v>
      </c>
      <c r="R32" s="16"/>
      <c r="S32" s="349" t="s">
        <v>1637</v>
      </c>
      <c r="T32" s="365" t="s">
        <v>6651</v>
      </c>
      <c r="U32" s="16"/>
      <c r="V32" s="16"/>
      <c r="W32" s="16"/>
      <c r="X32" s="16"/>
      <c r="Y32" s="16"/>
      <c r="Z32" s="16"/>
      <c r="AA32" s="16"/>
      <c r="AB32" s="16"/>
      <c r="AC32" s="16"/>
      <c r="AD32" s="16"/>
      <c r="AE32" s="16"/>
      <c r="AF32" s="16"/>
      <c r="AG32" s="16"/>
      <c r="AH32" s="16"/>
      <c r="AI32" s="16"/>
      <c r="AJ32" s="16"/>
      <c r="AK32" s="16"/>
    </row>
    <row r="33" spans="1:37" x14ac:dyDescent="0.2">
      <c r="A33" s="16"/>
      <c r="B33" s="260"/>
      <c r="C33" s="265" t="s">
        <v>6646</v>
      </c>
      <c r="D33" s="266" t="s">
        <v>800</v>
      </c>
      <c r="E33" s="267">
        <v>101</v>
      </c>
      <c r="F33" s="268">
        <v>300</v>
      </c>
      <c r="G33" s="264">
        <v>168.75</v>
      </c>
      <c r="H33" s="16"/>
      <c r="I33" s="275" t="s">
        <v>1141</v>
      </c>
      <c r="J33" s="356" t="s">
        <v>6651</v>
      </c>
      <c r="K33" s="16"/>
      <c r="L33" s="317"/>
      <c r="M33" s="318" t="s">
        <v>6646</v>
      </c>
      <c r="N33" s="318" t="s">
        <v>720</v>
      </c>
      <c r="O33" s="320">
        <v>101</v>
      </c>
      <c r="P33" s="321">
        <v>300</v>
      </c>
      <c r="Q33" s="332">
        <v>157.5</v>
      </c>
      <c r="R33" s="16"/>
      <c r="S33" s="350" t="s">
        <v>1283</v>
      </c>
      <c r="T33" s="366" t="s">
        <v>6651</v>
      </c>
      <c r="U33" s="16"/>
      <c r="V33" s="16"/>
      <c r="W33" s="16"/>
      <c r="X33" s="16"/>
      <c r="Y33" s="16"/>
      <c r="Z33" s="16"/>
      <c r="AA33" s="16"/>
      <c r="AB33" s="16"/>
      <c r="AC33" s="16"/>
      <c r="AD33" s="16"/>
      <c r="AE33" s="16"/>
      <c r="AF33" s="16"/>
      <c r="AG33" s="16"/>
      <c r="AH33" s="16"/>
      <c r="AI33" s="16"/>
      <c r="AJ33" s="16"/>
      <c r="AK33" s="16"/>
    </row>
    <row r="34" spans="1:37" ht="16" thickBot="1" x14ac:dyDescent="0.25">
      <c r="A34" s="16"/>
      <c r="B34" s="279"/>
      <c r="C34" s="280" t="s">
        <v>6647</v>
      </c>
      <c r="D34" s="281" t="s">
        <v>802</v>
      </c>
      <c r="E34" s="282">
        <v>301</v>
      </c>
      <c r="F34" s="283">
        <v>1000</v>
      </c>
      <c r="G34" s="284">
        <v>112.5</v>
      </c>
      <c r="H34" s="16"/>
      <c r="I34" s="275" t="s">
        <v>6662</v>
      </c>
      <c r="J34" s="356" t="s">
        <v>6651</v>
      </c>
      <c r="K34" s="16"/>
      <c r="L34" s="333"/>
      <c r="M34" s="334" t="s">
        <v>6647</v>
      </c>
      <c r="N34" s="334" t="s">
        <v>722</v>
      </c>
      <c r="O34" s="335">
        <v>301</v>
      </c>
      <c r="P34" s="336">
        <v>1000</v>
      </c>
      <c r="Q34" s="337">
        <v>105</v>
      </c>
      <c r="R34" s="16"/>
      <c r="S34" s="346" t="s">
        <v>5917</v>
      </c>
      <c r="T34" s="367" t="s">
        <v>6654</v>
      </c>
      <c r="U34" s="16"/>
      <c r="V34" s="16"/>
      <c r="W34" s="16"/>
      <c r="X34" s="16"/>
      <c r="Y34" s="16"/>
      <c r="Z34" s="16"/>
      <c r="AA34" s="16"/>
      <c r="AB34" s="16"/>
      <c r="AC34" s="16"/>
      <c r="AD34" s="16"/>
      <c r="AE34" s="16"/>
      <c r="AF34" s="16"/>
      <c r="AG34" s="16"/>
      <c r="AH34" s="16"/>
      <c r="AI34" s="16"/>
      <c r="AJ34" s="16"/>
      <c r="AK34" s="16"/>
    </row>
    <row r="35" spans="1:37" ht="14.5" customHeight="1" x14ac:dyDescent="0.2">
      <c r="A35" s="16"/>
      <c r="B35" s="16"/>
      <c r="C35" s="16"/>
      <c r="D35" s="16"/>
      <c r="E35" s="16"/>
      <c r="F35" s="16"/>
      <c r="G35" s="16"/>
      <c r="H35" s="16"/>
      <c r="I35" s="275" t="s">
        <v>6663</v>
      </c>
      <c r="J35" s="356" t="s">
        <v>6651</v>
      </c>
      <c r="K35" s="16"/>
      <c r="L35" s="305" t="s">
        <v>6654</v>
      </c>
      <c r="M35" s="306" t="s">
        <v>6642</v>
      </c>
      <c r="N35" s="306" t="s">
        <v>724</v>
      </c>
      <c r="O35" s="308">
        <v>1</v>
      </c>
      <c r="P35" s="309">
        <v>20</v>
      </c>
      <c r="Q35" s="326">
        <v>375</v>
      </c>
      <c r="R35" s="16"/>
      <c r="S35" s="346" t="s">
        <v>1299</v>
      </c>
      <c r="T35" s="362" t="s">
        <v>6654</v>
      </c>
      <c r="U35" s="16"/>
      <c r="V35" s="16"/>
      <c r="W35" s="16"/>
      <c r="X35" s="16"/>
      <c r="Y35" s="16"/>
      <c r="Z35" s="16"/>
      <c r="AA35" s="16"/>
      <c r="AB35" s="16"/>
      <c r="AC35" s="16"/>
      <c r="AD35" s="16"/>
      <c r="AE35" s="16"/>
      <c r="AF35" s="16"/>
      <c r="AG35" s="16"/>
      <c r="AH35" s="16"/>
      <c r="AI35" s="16"/>
      <c r="AJ35" s="16"/>
      <c r="AK35" s="16"/>
    </row>
    <row r="36" spans="1:37" x14ac:dyDescent="0.2">
      <c r="A36" s="16"/>
      <c r="B36" s="231" t="s">
        <v>6656</v>
      </c>
      <c r="C36" s="16"/>
      <c r="D36" s="16"/>
      <c r="E36" s="16"/>
      <c r="F36" s="16"/>
      <c r="G36" s="16"/>
      <c r="H36" s="16"/>
      <c r="I36" s="275" t="s">
        <v>6664</v>
      </c>
      <c r="J36" s="356" t="s">
        <v>6651</v>
      </c>
      <c r="K36" s="16"/>
      <c r="L36" s="305"/>
      <c r="M36" s="306" t="s">
        <v>6643</v>
      </c>
      <c r="N36" s="306" t="s">
        <v>726</v>
      </c>
      <c r="O36" s="308">
        <v>21</v>
      </c>
      <c r="P36" s="309">
        <v>50</v>
      </c>
      <c r="Q36" s="326">
        <v>337.5</v>
      </c>
      <c r="R36" s="16"/>
      <c r="S36" s="346" t="s">
        <v>1302</v>
      </c>
      <c r="T36" s="362" t="s">
        <v>6654</v>
      </c>
      <c r="U36" s="16"/>
      <c r="V36" s="16"/>
      <c r="W36" s="16"/>
      <c r="X36" s="16"/>
      <c r="Y36" s="16"/>
      <c r="Z36" s="16"/>
      <c r="AA36" s="16"/>
      <c r="AB36" s="16"/>
      <c r="AC36" s="16"/>
      <c r="AD36" s="16"/>
      <c r="AE36" s="16"/>
      <c r="AF36" s="16"/>
      <c r="AG36" s="16"/>
      <c r="AH36" s="16"/>
      <c r="AI36" s="16"/>
      <c r="AJ36" s="16"/>
      <c r="AK36" s="16"/>
    </row>
    <row r="37" spans="1:37" x14ac:dyDescent="0.2">
      <c r="A37" s="16"/>
      <c r="B37" s="16"/>
      <c r="C37" s="16"/>
      <c r="D37" s="16"/>
      <c r="E37" s="16"/>
      <c r="F37" s="16"/>
      <c r="G37" s="16"/>
      <c r="H37" s="16"/>
      <c r="I37" s="275" t="s">
        <v>1146</v>
      </c>
      <c r="J37" s="356" t="s">
        <v>6651</v>
      </c>
      <c r="K37" s="16"/>
      <c r="L37" s="305"/>
      <c r="M37" s="306" t="s">
        <v>6644</v>
      </c>
      <c r="N37" s="306" t="s">
        <v>728</v>
      </c>
      <c r="O37" s="308">
        <v>51</v>
      </c>
      <c r="P37" s="309">
        <v>100</v>
      </c>
      <c r="Q37" s="326">
        <v>318.75</v>
      </c>
      <c r="R37" s="16"/>
      <c r="S37" s="346" t="s">
        <v>1307</v>
      </c>
      <c r="T37" s="362" t="s">
        <v>6654</v>
      </c>
      <c r="U37" s="16"/>
      <c r="V37" s="16"/>
      <c r="W37" s="16"/>
      <c r="X37" s="16"/>
      <c r="Y37" s="16"/>
      <c r="Z37" s="16"/>
      <c r="AA37" s="16"/>
      <c r="AB37" s="16"/>
      <c r="AC37" s="16"/>
      <c r="AD37" s="16"/>
      <c r="AE37" s="16"/>
      <c r="AF37" s="16"/>
      <c r="AG37" s="16"/>
      <c r="AH37" s="16"/>
      <c r="AI37" s="16"/>
      <c r="AJ37" s="16"/>
      <c r="AK37" s="16"/>
    </row>
    <row r="38" spans="1:37" x14ac:dyDescent="0.2">
      <c r="A38" s="16"/>
      <c r="B38" s="16"/>
      <c r="C38" s="16"/>
      <c r="D38" s="16"/>
      <c r="E38" s="16"/>
      <c r="F38" s="16"/>
      <c r="G38" s="16"/>
      <c r="H38" s="16"/>
      <c r="I38" s="275" t="s">
        <v>1147</v>
      </c>
      <c r="J38" s="356" t="s">
        <v>6651</v>
      </c>
      <c r="K38" s="16"/>
      <c r="L38" s="305"/>
      <c r="M38" s="306" t="s">
        <v>6646</v>
      </c>
      <c r="N38" s="306" t="s">
        <v>730</v>
      </c>
      <c r="O38" s="308">
        <v>101</v>
      </c>
      <c r="P38" s="309">
        <v>300</v>
      </c>
      <c r="Q38" s="326">
        <v>281.25</v>
      </c>
      <c r="R38" s="16"/>
      <c r="S38" s="346" t="s">
        <v>5918</v>
      </c>
      <c r="T38" s="362" t="s">
        <v>6654</v>
      </c>
      <c r="U38" s="16"/>
      <c r="V38" s="16"/>
      <c r="W38" s="16"/>
      <c r="X38" s="16"/>
      <c r="Y38" s="16"/>
      <c r="Z38" s="16"/>
      <c r="AA38" s="16"/>
      <c r="AB38" s="16"/>
      <c r="AC38" s="16"/>
      <c r="AD38" s="16"/>
      <c r="AE38" s="16"/>
      <c r="AF38" s="16"/>
      <c r="AG38" s="16"/>
      <c r="AH38" s="16"/>
      <c r="AI38" s="16"/>
      <c r="AJ38" s="16"/>
      <c r="AK38" s="16"/>
    </row>
    <row r="39" spans="1:37" x14ac:dyDescent="0.2">
      <c r="A39" s="16"/>
      <c r="B39" s="16"/>
      <c r="C39" s="23"/>
      <c r="D39" s="23"/>
      <c r="E39" s="23"/>
      <c r="F39" s="23"/>
      <c r="G39" s="23"/>
      <c r="H39" s="16"/>
      <c r="I39" s="275" t="s">
        <v>1583</v>
      </c>
      <c r="J39" s="356" t="s">
        <v>6651</v>
      </c>
      <c r="K39" s="16"/>
      <c r="L39" s="305"/>
      <c r="M39" s="306" t="s">
        <v>6647</v>
      </c>
      <c r="N39" s="306" t="s">
        <v>732</v>
      </c>
      <c r="O39" s="308">
        <v>301</v>
      </c>
      <c r="P39" s="309">
        <v>1000</v>
      </c>
      <c r="Q39" s="326">
        <v>187.5</v>
      </c>
      <c r="R39" s="16"/>
      <c r="S39" s="346" t="s">
        <v>5919</v>
      </c>
      <c r="T39" s="362" t="s">
        <v>6654</v>
      </c>
      <c r="U39" s="16"/>
      <c r="V39" s="16"/>
      <c r="W39" s="16"/>
      <c r="X39" s="16"/>
      <c r="Y39" s="16"/>
      <c r="Z39" s="16"/>
      <c r="AA39" s="16"/>
      <c r="AB39" s="16"/>
      <c r="AC39" s="16"/>
      <c r="AD39" s="16"/>
      <c r="AE39" s="16"/>
      <c r="AF39" s="16"/>
      <c r="AG39" s="16"/>
      <c r="AH39" s="16"/>
      <c r="AI39" s="16"/>
      <c r="AJ39" s="16"/>
      <c r="AK39" s="16"/>
    </row>
    <row r="40" spans="1:37" x14ac:dyDescent="0.2">
      <c r="A40" s="16"/>
      <c r="B40" s="16"/>
      <c r="C40" s="16"/>
      <c r="D40" s="16"/>
      <c r="E40" s="16"/>
      <c r="F40" s="16"/>
      <c r="G40" s="16"/>
      <c r="H40" s="23"/>
      <c r="I40" s="275" t="s">
        <v>1637</v>
      </c>
      <c r="J40" s="356" t="s">
        <v>6651</v>
      </c>
      <c r="K40" s="16"/>
      <c r="L40" s="323" t="s">
        <v>6655</v>
      </c>
      <c r="M40" s="328" t="s">
        <v>6642</v>
      </c>
      <c r="N40" s="328" t="s">
        <v>734</v>
      </c>
      <c r="O40" s="329">
        <v>1</v>
      </c>
      <c r="P40" s="330">
        <v>20</v>
      </c>
      <c r="Q40" s="331">
        <v>700</v>
      </c>
      <c r="R40" s="16"/>
      <c r="S40" s="346" t="s">
        <v>1296</v>
      </c>
      <c r="T40" s="362" t="s">
        <v>6654</v>
      </c>
      <c r="U40" s="16"/>
      <c r="V40" s="16"/>
      <c r="W40" s="16"/>
      <c r="X40" s="16"/>
      <c r="Y40" s="16"/>
      <c r="Z40" s="16"/>
      <c r="AA40" s="16"/>
      <c r="AB40" s="16"/>
      <c r="AC40" s="16"/>
      <c r="AD40" s="16"/>
      <c r="AE40" s="16"/>
      <c r="AF40" s="16"/>
      <c r="AG40" s="16"/>
      <c r="AH40" s="16"/>
      <c r="AI40" s="16"/>
      <c r="AJ40" s="16"/>
      <c r="AK40" s="16"/>
    </row>
    <row r="41" spans="1:37" x14ac:dyDescent="0.2">
      <c r="A41" s="16"/>
      <c r="B41" s="16"/>
      <c r="C41" s="16"/>
      <c r="D41" s="16"/>
      <c r="E41" s="16"/>
      <c r="F41" s="16"/>
      <c r="G41" s="16"/>
      <c r="H41" s="16"/>
      <c r="I41" s="275" t="s">
        <v>1283</v>
      </c>
      <c r="J41" s="356" t="s">
        <v>6651</v>
      </c>
      <c r="K41" s="16"/>
      <c r="L41" s="317"/>
      <c r="M41" s="318" t="s">
        <v>6643</v>
      </c>
      <c r="N41" s="318" t="s">
        <v>738</v>
      </c>
      <c r="O41" s="320">
        <v>21</v>
      </c>
      <c r="P41" s="321">
        <v>50</v>
      </c>
      <c r="Q41" s="332">
        <v>630</v>
      </c>
      <c r="R41" s="16"/>
      <c r="S41" s="346" t="s">
        <v>5916</v>
      </c>
      <c r="T41" s="362" t="s">
        <v>6654</v>
      </c>
      <c r="U41" s="16"/>
      <c r="V41" s="16"/>
      <c r="W41" s="16"/>
      <c r="X41" s="16"/>
      <c r="Y41" s="16"/>
      <c r="Z41" s="16"/>
      <c r="AA41" s="16"/>
      <c r="AB41" s="16"/>
      <c r="AC41" s="16"/>
      <c r="AD41" s="16"/>
      <c r="AE41" s="16"/>
      <c r="AF41" s="16"/>
      <c r="AG41" s="16"/>
      <c r="AH41" s="16"/>
      <c r="AI41" s="16"/>
      <c r="AJ41" s="16"/>
      <c r="AK41" s="16"/>
    </row>
    <row r="42" spans="1:37" ht="16" x14ac:dyDescent="0.2">
      <c r="A42" s="16"/>
      <c r="B42" s="16"/>
      <c r="C42" s="16"/>
      <c r="D42" s="16"/>
      <c r="E42" s="16"/>
      <c r="F42" s="16"/>
      <c r="G42" s="16"/>
      <c r="H42" s="16"/>
      <c r="I42" s="247" t="s">
        <v>5917</v>
      </c>
      <c r="J42" s="357" t="s">
        <v>6654</v>
      </c>
      <c r="K42" s="16"/>
      <c r="L42" s="317"/>
      <c r="M42" s="318" t="s">
        <v>6644</v>
      </c>
      <c r="N42" s="318" t="s">
        <v>740</v>
      </c>
      <c r="O42" s="320">
        <v>51</v>
      </c>
      <c r="P42" s="321">
        <v>100</v>
      </c>
      <c r="Q42" s="332">
        <v>595</v>
      </c>
      <c r="R42" s="16"/>
      <c r="S42" s="346" t="s">
        <v>1290</v>
      </c>
      <c r="T42" s="362" t="s">
        <v>6654</v>
      </c>
      <c r="U42" s="16"/>
      <c r="V42" s="16"/>
      <c r="W42" s="16"/>
      <c r="X42" s="16"/>
      <c r="Y42" s="16"/>
      <c r="Z42" s="16"/>
      <c r="AA42" s="16"/>
      <c r="AB42" s="16"/>
      <c r="AC42" s="16"/>
      <c r="AD42" s="16"/>
      <c r="AE42" s="16"/>
      <c r="AF42" s="16"/>
      <c r="AG42" s="16"/>
      <c r="AH42" s="16"/>
      <c r="AI42" s="16"/>
      <c r="AJ42" s="16"/>
      <c r="AK42" s="16"/>
    </row>
    <row r="43" spans="1:37" ht="16" x14ac:dyDescent="0.2">
      <c r="A43" s="16"/>
      <c r="B43" s="16"/>
      <c r="C43" s="16"/>
      <c r="D43" s="16"/>
      <c r="E43" s="16"/>
      <c r="F43" s="16"/>
      <c r="G43" s="16"/>
      <c r="H43" s="16"/>
      <c r="I43" s="254" t="s">
        <v>1299</v>
      </c>
      <c r="J43" s="352" t="s">
        <v>6654</v>
      </c>
      <c r="K43" s="16"/>
      <c r="L43" s="317"/>
      <c r="M43" s="318" t="s">
        <v>6646</v>
      </c>
      <c r="N43" s="318" t="s">
        <v>742</v>
      </c>
      <c r="O43" s="320">
        <v>101</v>
      </c>
      <c r="P43" s="321">
        <v>300</v>
      </c>
      <c r="Q43" s="332">
        <v>525</v>
      </c>
      <c r="R43" s="16"/>
      <c r="S43" s="346" t="s">
        <v>1317</v>
      </c>
      <c r="T43" s="362" t="s">
        <v>6654</v>
      </c>
      <c r="U43" s="16"/>
      <c r="V43" s="16"/>
      <c r="W43" s="16"/>
      <c r="X43" s="16"/>
      <c r="Y43" s="16"/>
      <c r="Z43" s="16"/>
      <c r="AA43" s="16"/>
      <c r="AB43" s="16"/>
      <c r="AC43" s="16"/>
      <c r="AD43" s="16"/>
      <c r="AE43" s="16"/>
      <c r="AF43" s="16"/>
      <c r="AG43" s="16"/>
      <c r="AH43" s="16"/>
      <c r="AI43" s="16"/>
      <c r="AJ43" s="16"/>
      <c r="AK43" s="16"/>
    </row>
    <row r="44" spans="1:37" ht="17" thickBot="1" x14ac:dyDescent="0.25">
      <c r="A44" s="16"/>
      <c r="B44" s="16"/>
      <c r="C44" s="16"/>
      <c r="D44" s="16"/>
      <c r="E44" s="16"/>
      <c r="F44" s="16"/>
      <c r="G44" s="16"/>
      <c r="H44" s="16"/>
      <c r="I44" s="254" t="s">
        <v>1302</v>
      </c>
      <c r="J44" s="352" t="s">
        <v>6654</v>
      </c>
      <c r="K44" s="16"/>
      <c r="L44" s="338"/>
      <c r="M44" s="339" t="s">
        <v>6647</v>
      </c>
      <c r="N44" s="339" t="s">
        <v>744</v>
      </c>
      <c r="O44" s="340">
        <v>301</v>
      </c>
      <c r="P44" s="341">
        <v>1000</v>
      </c>
      <c r="Q44" s="342">
        <v>350</v>
      </c>
      <c r="R44" s="16"/>
      <c r="S44" s="346" t="s">
        <v>1325</v>
      </c>
      <c r="T44" s="362" t="s">
        <v>6654</v>
      </c>
      <c r="U44" s="16"/>
      <c r="V44" s="16"/>
      <c r="W44" s="16"/>
      <c r="X44" s="16"/>
      <c r="Y44" s="16"/>
      <c r="Z44" s="16"/>
      <c r="AA44" s="16"/>
      <c r="AB44" s="16"/>
      <c r="AC44" s="16"/>
      <c r="AD44" s="16"/>
      <c r="AE44" s="16"/>
      <c r="AF44" s="16"/>
      <c r="AG44" s="16"/>
      <c r="AH44" s="16"/>
      <c r="AI44" s="16"/>
      <c r="AJ44" s="16"/>
      <c r="AK44" s="16"/>
    </row>
    <row r="45" spans="1:37" ht="16" x14ac:dyDescent="0.2">
      <c r="A45" s="16"/>
      <c r="B45" s="16"/>
      <c r="C45" s="16"/>
      <c r="D45" s="16"/>
      <c r="E45" s="16"/>
      <c r="F45" s="16"/>
      <c r="G45" s="16"/>
      <c r="H45" s="16"/>
      <c r="I45" s="254" t="s">
        <v>1307</v>
      </c>
      <c r="J45" s="352" t="s">
        <v>6654</v>
      </c>
      <c r="K45" s="16"/>
      <c r="L45" s="292"/>
      <c r="M45" s="292"/>
      <c r="N45" s="292"/>
      <c r="O45" s="292"/>
      <c r="P45" s="292"/>
      <c r="Q45" s="292"/>
      <c r="R45" s="16"/>
      <c r="S45" s="348" t="s">
        <v>1293</v>
      </c>
      <c r="T45" s="364" t="s">
        <v>6654</v>
      </c>
      <c r="U45" s="16"/>
      <c r="V45" s="16"/>
      <c r="W45" s="16"/>
      <c r="X45" s="16"/>
      <c r="Y45" s="16"/>
      <c r="Z45" s="16"/>
      <c r="AA45" s="16"/>
      <c r="AB45" s="16"/>
      <c r="AC45" s="16"/>
      <c r="AD45" s="16"/>
      <c r="AE45" s="16"/>
      <c r="AF45" s="16"/>
      <c r="AG45" s="16"/>
      <c r="AH45" s="16"/>
      <c r="AI45" s="16"/>
      <c r="AJ45" s="16"/>
      <c r="AK45" s="16"/>
    </row>
    <row r="46" spans="1:37" ht="16" x14ac:dyDescent="0.2">
      <c r="A46" s="16"/>
      <c r="B46" s="16"/>
      <c r="C46" s="16"/>
      <c r="D46" s="16"/>
      <c r="E46" s="16"/>
      <c r="F46" s="16"/>
      <c r="G46" s="16"/>
      <c r="H46" s="16"/>
      <c r="I46" s="254" t="s">
        <v>5918</v>
      </c>
      <c r="J46" s="352" t="s">
        <v>6654</v>
      </c>
      <c r="K46" s="16"/>
      <c r="L46" s="231" t="s">
        <v>6668</v>
      </c>
      <c r="M46" s="343"/>
      <c r="N46" s="343"/>
      <c r="O46" s="343"/>
      <c r="P46" s="343"/>
      <c r="Q46" s="343"/>
      <c r="R46" s="16"/>
      <c r="S46" s="347" t="s">
        <v>1141</v>
      </c>
      <c r="T46" s="390" t="s">
        <v>6655</v>
      </c>
      <c r="U46" s="16"/>
      <c r="V46" s="16"/>
      <c r="W46" s="16"/>
      <c r="X46" s="16"/>
      <c r="Y46" s="16"/>
      <c r="Z46" s="16"/>
      <c r="AA46" s="16"/>
      <c r="AB46" s="16"/>
      <c r="AC46" s="16"/>
      <c r="AD46" s="16"/>
      <c r="AE46" s="16"/>
      <c r="AF46" s="16"/>
      <c r="AG46" s="16"/>
      <c r="AH46" s="16"/>
      <c r="AI46" s="16"/>
      <c r="AJ46" s="16"/>
      <c r="AK46" s="16"/>
    </row>
    <row r="47" spans="1:37" ht="16" x14ac:dyDescent="0.2">
      <c r="A47" s="16"/>
      <c r="B47" s="16"/>
      <c r="C47" s="16"/>
      <c r="D47" s="16"/>
      <c r="E47" s="16"/>
      <c r="F47" s="16"/>
      <c r="G47" s="16"/>
      <c r="H47" s="16"/>
      <c r="I47" s="254" t="s">
        <v>5919</v>
      </c>
      <c r="J47" s="352" t="s">
        <v>6654</v>
      </c>
      <c r="K47" s="16"/>
      <c r="L47" s="16"/>
      <c r="M47" s="16"/>
      <c r="N47" s="16"/>
      <c r="O47" s="16"/>
      <c r="P47" s="16"/>
      <c r="Q47" s="16"/>
      <c r="R47" s="16"/>
      <c r="S47" s="349" t="s">
        <v>1146</v>
      </c>
      <c r="T47" s="365" t="s">
        <v>6655</v>
      </c>
      <c r="U47" s="16"/>
      <c r="V47" s="16"/>
      <c r="W47" s="16"/>
      <c r="X47" s="16"/>
      <c r="Y47" s="16"/>
      <c r="Z47" s="16"/>
      <c r="AA47" s="16"/>
      <c r="AB47" s="16"/>
      <c r="AC47" s="16"/>
      <c r="AD47" s="16"/>
      <c r="AE47" s="16"/>
      <c r="AF47" s="16"/>
      <c r="AG47" s="16"/>
      <c r="AH47" s="16"/>
      <c r="AI47" s="16"/>
      <c r="AJ47" s="16"/>
      <c r="AK47" s="16"/>
    </row>
    <row r="48" spans="1:37" ht="16" x14ac:dyDescent="0.2">
      <c r="A48" s="16"/>
      <c r="B48" s="16"/>
      <c r="C48" s="16"/>
      <c r="D48" s="16"/>
      <c r="E48" s="16"/>
      <c r="F48" s="16"/>
      <c r="G48" s="16"/>
      <c r="H48" s="16"/>
      <c r="I48" s="254" t="s">
        <v>1287</v>
      </c>
      <c r="J48" s="352" t="s">
        <v>6654</v>
      </c>
      <c r="K48" s="16"/>
      <c r="L48" s="16"/>
      <c r="M48" s="16"/>
      <c r="N48" s="16"/>
      <c r="O48" s="16"/>
      <c r="P48" s="16"/>
      <c r="Q48" s="16"/>
      <c r="R48" s="16"/>
      <c r="S48" s="349" t="s">
        <v>1147</v>
      </c>
      <c r="T48" s="365" t="s">
        <v>6655</v>
      </c>
      <c r="U48" s="16"/>
      <c r="V48" s="16"/>
      <c r="W48" s="16"/>
      <c r="X48" s="16"/>
      <c r="Y48" s="16"/>
      <c r="Z48" s="16"/>
      <c r="AA48" s="16"/>
      <c r="AB48" s="16"/>
      <c r="AC48" s="16"/>
      <c r="AD48" s="16"/>
      <c r="AE48" s="16"/>
      <c r="AF48" s="16"/>
      <c r="AG48" s="16"/>
      <c r="AH48" s="16"/>
      <c r="AI48" s="16"/>
      <c r="AJ48" s="16"/>
      <c r="AK48" s="16"/>
    </row>
    <row r="49" spans="1:37" ht="16" x14ac:dyDescent="0.2">
      <c r="A49" s="16"/>
      <c r="B49" s="16"/>
      <c r="C49" s="16"/>
      <c r="D49" s="16"/>
      <c r="E49" s="16"/>
      <c r="F49" s="16"/>
      <c r="G49" s="16"/>
      <c r="H49" s="16"/>
      <c r="I49" s="254" t="s">
        <v>1296</v>
      </c>
      <c r="J49" s="352" t="s">
        <v>6654</v>
      </c>
      <c r="K49" s="16"/>
      <c r="L49" s="16"/>
      <c r="M49" s="16"/>
      <c r="N49" s="16"/>
      <c r="O49" s="16"/>
      <c r="P49" s="16"/>
      <c r="Q49" s="16"/>
      <c r="R49" s="16"/>
      <c r="S49" s="349" t="s">
        <v>4273</v>
      </c>
      <c r="T49" s="365" t="s">
        <v>6655</v>
      </c>
      <c r="U49" s="16"/>
      <c r="V49" s="16"/>
      <c r="W49" s="16"/>
      <c r="X49" s="16"/>
      <c r="Y49" s="16"/>
      <c r="Z49" s="16"/>
      <c r="AA49" s="16"/>
      <c r="AB49" s="16"/>
      <c r="AC49" s="16"/>
      <c r="AD49" s="16"/>
      <c r="AE49" s="16"/>
      <c r="AF49" s="16"/>
      <c r="AG49" s="16"/>
      <c r="AH49" s="16"/>
      <c r="AI49" s="16"/>
      <c r="AJ49" s="16"/>
      <c r="AK49" s="16"/>
    </row>
    <row r="50" spans="1:37" ht="16" x14ac:dyDescent="0.2">
      <c r="A50" s="16"/>
      <c r="B50" s="16"/>
      <c r="C50" s="16"/>
      <c r="D50" s="16"/>
      <c r="E50" s="16"/>
      <c r="F50" s="16"/>
      <c r="G50" s="16"/>
      <c r="H50" s="16"/>
      <c r="I50" s="254" t="s">
        <v>5916</v>
      </c>
      <c r="J50" s="352" t="s">
        <v>6654</v>
      </c>
      <c r="K50" s="16"/>
      <c r="L50" s="16"/>
      <c r="M50" s="16"/>
      <c r="N50" s="16"/>
      <c r="O50" s="16"/>
      <c r="P50" s="16"/>
      <c r="Q50" s="16"/>
      <c r="R50" s="16"/>
      <c r="S50" s="349" t="s">
        <v>1287</v>
      </c>
      <c r="T50" s="365" t="s">
        <v>6655</v>
      </c>
      <c r="U50" s="16"/>
      <c r="V50" s="16"/>
      <c r="W50" s="16"/>
      <c r="X50" s="16"/>
      <c r="Y50" s="16"/>
      <c r="Z50" s="16"/>
      <c r="AA50" s="16"/>
      <c r="AB50" s="16"/>
      <c r="AC50" s="16"/>
      <c r="AD50" s="16"/>
      <c r="AE50" s="16"/>
      <c r="AF50" s="16"/>
      <c r="AG50" s="16"/>
      <c r="AH50" s="16"/>
      <c r="AI50" s="16"/>
      <c r="AJ50" s="16"/>
      <c r="AK50" s="16"/>
    </row>
    <row r="51" spans="1:37" ht="16" x14ac:dyDescent="0.2">
      <c r="A51" s="16"/>
      <c r="B51" s="16"/>
      <c r="C51" s="16"/>
      <c r="D51" s="16"/>
      <c r="E51" s="16"/>
      <c r="F51" s="16"/>
      <c r="G51" s="16"/>
      <c r="H51" s="16"/>
      <c r="I51" s="254" t="s">
        <v>1290</v>
      </c>
      <c r="J51" s="352" t="s">
        <v>6654</v>
      </c>
      <c r="K51" s="16"/>
      <c r="L51" s="16"/>
      <c r="M51" s="16"/>
      <c r="N51" s="16"/>
      <c r="O51" s="16"/>
      <c r="P51" s="16"/>
      <c r="Q51" s="16"/>
      <c r="R51" s="16"/>
      <c r="S51" s="349" t="s">
        <v>5920</v>
      </c>
      <c r="T51" s="365" t="s">
        <v>6655</v>
      </c>
      <c r="U51" s="16"/>
      <c r="V51" s="16"/>
      <c r="W51" s="16"/>
      <c r="X51" s="16"/>
      <c r="Y51" s="16"/>
      <c r="Z51" s="16"/>
      <c r="AA51" s="16"/>
      <c r="AB51" s="16"/>
      <c r="AC51" s="16"/>
      <c r="AD51" s="16"/>
      <c r="AE51" s="16"/>
      <c r="AF51" s="16"/>
      <c r="AG51" s="16"/>
      <c r="AH51" s="16"/>
      <c r="AI51" s="16"/>
      <c r="AJ51" s="16"/>
      <c r="AK51" s="16"/>
    </row>
    <row r="52" spans="1:37" ht="16" x14ac:dyDescent="0.2">
      <c r="A52" s="16"/>
      <c r="B52" s="16"/>
      <c r="C52" s="16"/>
      <c r="D52" s="16"/>
      <c r="E52" s="16"/>
      <c r="F52" s="16"/>
      <c r="G52" s="16"/>
      <c r="H52" s="16"/>
      <c r="I52" s="254" t="s">
        <v>1317</v>
      </c>
      <c r="J52" s="352" t="s">
        <v>6654</v>
      </c>
      <c r="K52" s="16"/>
      <c r="L52" s="16"/>
      <c r="M52" s="16"/>
      <c r="N52" s="16"/>
      <c r="O52" s="16"/>
      <c r="P52" s="16"/>
      <c r="Q52" s="16"/>
      <c r="R52" s="16"/>
      <c r="S52" s="349" t="s">
        <v>1322</v>
      </c>
      <c r="T52" s="365" t="s">
        <v>6655</v>
      </c>
      <c r="U52" s="16"/>
      <c r="V52" s="16"/>
      <c r="W52" s="16"/>
      <c r="X52" s="16"/>
      <c r="Y52" s="16"/>
      <c r="Z52" s="16"/>
      <c r="AA52" s="16"/>
      <c r="AB52" s="16"/>
      <c r="AC52" s="16"/>
      <c r="AD52" s="16"/>
      <c r="AE52" s="16"/>
      <c r="AF52" s="16"/>
      <c r="AG52" s="16"/>
      <c r="AH52" s="16"/>
      <c r="AI52" s="16"/>
      <c r="AJ52" s="16"/>
      <c r="AK52" s="16"/>
    </row>
    <row r="53" spans="1:37" ht="17" thickBot="1" x14ac:dyDescent="0.25">
      <c r="A53" s="16"/>
      <c r="B53" s="16"/>
      <c r="C53" s="16"/>
      <c r="D53" s="16"/>
      <c r="E53" s="16"/>
      <c r="F53" s="16"/>
      <c r="G53" s="16"/>
      <c r="H53" s="16"/>
      <c r="I53" s="254" t="s">
        <v>1322</v>
      </c>
      <c r="J53" s="352" t="s">
        <v>6654</v>
      </c>
      <c r="K53" s="16"/>
      <c r="L53" s="16"/>
      <c r="M53" s="16"/>
      <c r="N53" s="16"/>
      <c r="O53" s="16"/>
      <c r="P53" s="16"/>
      <c r="Q53" s="16"/>
      <c r="R53" s="16"/>
      <c r="S53" s="351" t="s">
        <v>1330</v>
      </c>
      <c r="T53" s="368" t="s">
        <v>6655</v>
      </c>
      <c r="U53" s="16"/>
      <c r="V53" s="16"/>
      <c r="W53" s="16"/>
      <c r="X53" s="16"/>
      <c r="Y53" s="16"/>
      <c r="Z53" s="16"/>
      <c r="AA53" s="16"/>
      <c r="AB53" s="16"/>
      <c r="AC53" s="16"/>
      <c r="AD53" s="16"/>
      <c r="AE53" s="16"/>
      <c r="AF53" s="16"/>
      <c r="AG53" s="16"/>
      <c r="AH53" s="16"/>
      <c r="AI53" s="16"/>
      <c r="AJ53" s="16"/>
      <c r="AK53" s="16"/>
    </row>
    <row r="54" spans="1:37" ht="16" x14ac:dyDescent="0.2">
      <c r="A54" s="16"/>
      <c r="B54" s="16"/>
      <c r="C54" s="16"/>
      <c r="D54" s="16"/>
      <c r="E54" s="16"/>
      <c r="F54" s="16"/>
      <c r="G54" s="16"/>
      <c r="H54" s="16"/>
      <c r="I54" s="254" t="s">
        <v>1325</v>
      </c>
      <c r="J54" s="352" t="s">
        <v>6654</v>
      </c>
      <c r="K54" s="16"/>
      <c r="L54" s="16"/>
      <c r="M54" s="16"/>
      <c r="N54" s="16"/>
      <c r="O54" s="16"/>
      <c r="P54" s="16"/>
      <c r="Q54" s="16"/>
      <c r="R54" s="16"/>
      <c r="S54" s="16"/>
      <c r="T54" s="109"/>
      <c r="U54" s="16"/>
      <c r="V54" s="16"/>
      <c r="W54" s="16"/>
      <c r="X54" s="16"/>
      <c r="Y54" s="16"/>
      <c r="Z54" s="16"/>
      <c r="AA54" s="16"/>
      <c r="AB54" s="16"/>
      <c r="AC54" s="16"/>
      <c r="AD54" s="16"/>
      <c r="AE54" s="16"/>
      <c r="AF54" s="16"/>
      <c r="AG54" s="16"/>
      <c r="AH54" s="16"/>
      <c r="AI54" s="16"/>
      <c r="AJ54" s="16"/>
      <c r="AK54" s="16"/>
    </row>
    <row r="55" spans="1:37" ht="16" x14ac:dyDescent="0.2">
      <c r="A55" s="16"/>
      <c r="B55" s="16"/>
      <c r="C55" s="16"/>
      <c r="D55" s="16"/>
      <c r="E55" s="16"/>
      <c r="F55" s="16"/>
      <c r="G55" s="16"/>
      <c r="H55" s="16"/>
      <c r="I55" s="254" t="s">
        <v>1293</v>
      </c>
      <c r="J55" s="352" t="s">
        <v>6654</v>
      </c>
      <c r="K55" s="16"/>
      <c r="L55" s="16"/>
      <c r="M55" s="16"/>
      <c r="N55" s="16"/>
      <c r="O55" s="16"/>
      <c r="P55" s="16"/>
      <c r="Q55" s="16"/>
      <c r="R55" s="16"/>
      <c r="S55" s="16"/>
      <c r="T55" s="109"/>
      <c r="U55" s="16"/>
      <c r="V55" s="16"/>
      <c r="W55" s="16"/>
      <c r="X55" s="16"/>
      <c r="Y55" s="16"/>
      <c r="Z55" s="16"/>
      <c r="AA55" s="16"/>
      <c r="AB55" s="16"/>
      <c r="AC55" s="16"/>
      <c r="AD55" s="16"/>
      <c r="AE55" s="16"/>
      <c r="AF55" s="16"/>
      <c r="AG55" s="16"/>
      <c r="AH55" s="16"/>
      <c r="AI55" s="16"/>
      <c r="AJ55" s="16"/>
      <c r="AK55" s="16"/>
    </row>
    <row r="56" spans="1:37" x14ac:dyDescent="0.2">
      <c r="A56" s="16"/>
      <c r="B56" s="16"/>
      <c r="C56" s="16"/>
      <c r="D56" s="16"/>
      <c r="E56" s="16"/>
      <c r="F56" s="16"/>
      <c r="G56" s="16"/>
      <c r="H56" s="16"/>
      <c r="I56" s="274" t="s">
        <v>4273</v>
      </c>
      <c r="J56" s="358" t="s">
        <v>6655</v>
      </c>
      <c r="K56" s="16"/>
      <c r="L56" s="16"/>
      <c r="M56" s="16"/>
      <c r="N56" s="16"/>
      <c r="O56" s="16"/>
      <c r="P56" s="16"/>
      <c r="Q56" s="16"/>
      <c r="R56" s="16"/>
      <c r="S56" s="16"/>
      <c r="T56" s="109"/>
      <c r="U56" s="16"/>
      <c r="V56" s="16"/>
      <c r="W56" s="16"/>
      <c r="X56" s="16"/>
      <c r="Y56" s="16"/>
      <c r="Z56" s="16"/>
      <c r="AA56" s="16"/>
      <c r="AB56" s="16"/>
      <c r="AC56" s="16"/>
      <c r="AD56" s="16"/>
      <c r="AE56" s="16"/>
      <c r="AF56" s="16"/>
      <c r="AG56" s="16"/>
      <c r="AH56" s="16"/>
      <c r="AI56" s="16"/>
      <c r="AJ56" s="16"/>
      <c r="AK56" s="16"/>
    </row>
    <row r="57" spans="1:37" x14ac:dyDescent="0.2">
      <c r="A57" s="16"/>
      <c r="B57" s="16"/>
      <c r="C57" s="16"/>
      <c r="D57" s="16"/>
      <c r="E57" s="16"/>
      <c r="F57" s="16"/>
      <c r="G57" s="16"/>
      <c r="H57" s="16"/>
      <c r="I57" s="275" t="s">
        <v>5920</v>
      </c>
      <c r="J57" s="356" t="s">
        <v>6655</v>
      </c>
      <c r="K57" s="16"/>
      <c r="L57" s="16"/>
      <c r="M57" s="16"/>
      <c r="N57" s="16"/>
      <c r="O57" s="16"/>
      <c r="P57" s="16"/>
      <c r="Q57" s="16"/>
      <c r="R57" s="16"/>
      <c r="S57" s="16"/>
      <c r="T57" s="109"/>
      <c r="U57" s="16"/>
      <c r="V57" s="16"/>
      <c r="W57" s="16"/>
      <c r="X57" s="16"/>
      <c r="Y57" s="16"/>
      <c r="Z57" s="16"/>
      <c r="AA57" s="16"/>
      <c r="AB57" s="16"/>
      <c r="AC57" s="16"/>
      <c r="AD57" s="16"/>
      <c r="AE57" s="16"/>
      <c r="AF57" s="16"/>
      <c r="AG57" s="16"/>
      <c r="AH57" s="16"/>
      <c r="AI57" s="16"/>
      <c r="AJ57" s="16"/>
      <c r="AK57" s="16"/>
    </row>
    <row r="58" spans="1:37" ht="16" thickBot="1" x14ac:dyDescent="0.25">
      <c r="A58" s="16"/>
      <c r="B58" s="16"/>
      <c r="C58" s="16"/>
      <c r="D58" s="16"/>
      <c r="E58" s="16"/>
      <c r="F58" s="16"/>
      <c r="G58" s="16"/>
      <c r="H58" s="16"/>
      <c r="I58" s="286" t="s">
        <v>1330</v>
      </c>
      <c r="J58" s="359" t="s">
        <v>6655</v>
      </c>
      <c r="K58" s="16"/>
      <c r="L58" s="16"/>
      <c r="M58" s="16"/>
      <c r="N58" s="16"/>
      <c r="O58" s="16"/>
      <c r="P58" s="16"/>
      <c r="Q58" s="16"/>
      <c r="R58" s="16"/>
      <c r="S58" s="16"/>
      <c r="T58" s="109"/>
      <c r="U58" s="16"/>
      <c r="V58" s="16"/>
      <c r="W58" s="16"/>
      <c r="X58" s="16"/>
      <c r="Y58" s="16"/>
      <c r="Z58" s="16"/>
      <c r="AA58" s="16"/>
      <c r="AB58" s="16"/>
      <c r="AC58" s="16"/>
      <c r="AD58" s="16"/>
      <c r="AE58" s="16"/>
      <c r="AF58" s="16"/>
      <c r="AG58" s="16"/>
      <c r="AH58" s="16"/>
      <c r="AI58" s="16"/>
      <c r="AJ58" s="16"/>
      <c r="AK58" s="16"/>
    </row>
    <row r="59" spans="1:37" x14ac:dyDescent="0.2">
      <c r="A59" s="16"/>
      <c r="B59" s="16"/>
      <c r="C59" s="16"/>
      <c r="D59" s="16"/>
      <c r="E59" s="16"/>
      <c r="F59" s="16"/>
      <c r="G59" s="16"/>
      <c r="H59" s="16"/>
      <c r="I59" s="16"/>
      <c r="J59" s="109"/>
      <c r="K59" s="16"/>
      <c r="L59" s="16"/>
      <c r="M59" s="16"/>
      <c r="N59" s="16"/>
      <c r="O59" s="16"/>
      <c r="P59" s="16"/>
      <c r="Q59" s="16"/>
      <c r="R59" s="16"/>
      <c r="S59" s="16"/>
      <c r="T59" s="109"/>
      <c r="U59" s="16"/>
      <c r="V59" s="16"/>
      <c r="W59" s="16"/>
      <c r="X59" s="16"/>
      <c r="Y59" s="16"/>
      <c r="Z59" s="16"/>
      <c r="AA59" s="16"/>
      <c r="AB59" s="16"/>
      <c r="AC59" s="16"/>
      <c r="AD59" s="16"/>
      <c r="AE59" s="16"/>
      <c r="AF59" s="16"/>
      <c r="AG59" s="16"/>
      <c r="AH59" s="16"/>
      <c r="AI59" s="16"/>
      <c r="AJ59" s="16"/>
      <c r="AK59" s="16"/>
    </row>
    <row r="60" spans="1:37" x14ac:dyDescent="0.2">
      <c r="A60" s="16"/>
      <c r="B60" s="16"/>
      <c r="C60" s="16"/>
      <c r="D60" s="16"/>
      <c r="E60" s="16"/>
      <c r="F60" s="16"/>
      <c r="G60" s="16"/>
      <c r="H60" s="16"/>
      <c r="I60" s="16"/>
      <c r="J60" s="109"/>
      <c r="K60" s="16"/>
      <c r="L60" s="16"/>
      <c r="M60" s="16"/>
      <c r="N60" s="16"/>
      <c r="O60" s="16"/>
      <c r="P60" s="16"/>
      <c r="Q60" s="16"/>
      <c r="R60" s="16"/>
      <c r="S60" s="16"/>
      <c r="T60" s="109"/>
      <c r="U60" s="16"/>
      <c r="V60" s="16"/>
      <c r="W60" s="16"/>
      <c r="X60" s="16"/>
      <c r="Y60" s="16"/>
      <c r="Z60" s="16"/>
      <c r="AA60" s="16"/>
      <c r="AB60" s="16"/>
      <c r="AC60" s="16"/>
      <c r="AD60" s="16"/>
      <c r="AE60" s="16"/>
      <c r="AF60" s="16"/>
      <c r="AG60" s="16"/>
      <c r="AH60" s="16"/>
      <c r="AI60" s="16"/>
      <c r="AJ60" s="16"/>
      <c r="AK60" s="16"/>
    </row>
    <row r="61" spans="1:37" x14ac:dyDescent="0.2">
      <c r="A61" s="16"/>
      <c r="B61" s="16"/>
      <c r="C61" s="16"/>
      <c r="D61" s="16"/>
      <c r="E61" s="16"/>
      <c r="F61" s="16"/>
      <c r="G61" s="16"/>
      <c r="H61" s="16"/>
      <c r="I61" s="16"/>
      <c r="J61" s="109"/>
      <c r="K61" s="16"/>
      <c r="L61" s="16"/>
      <c r="M61" s="16"/>
      <c r="N61" s="16"/>
      <c r="O61" s="16"/>
      <c r="P61" s="16"/>
      <c r="Q61" s="16"/>
      <c r="R61" s="16"/>
      <c r="S61" s="16"/>
      <c r="T61" s="109"/>
      <c r="U61" s="16"/>
      <c r="V61" s="16"/>
      <c r="W61" s="16"/>
      <c r="X61" s="16"/>
      <c r="Y61" s="16"/>
      <c r="Z61" s="16"/>
      <c r="AA61" s="16"/>
      <c r="AB61" s="16"/>
      <c r="AC61" s="16"/>
      <c r="AD61" s="16"/>
      <c r="AE61" s="16"/>
      <c r="AF61" s="16"/>
      <c r="AG61" s="16"/>
      <c r="AH61" s="16"/>
      <c r="AI61" s="16"/>
      <c r="AJ61" s="16"/>
      <c r="AK61" s="16"/>
    </row>
    <row r="62" spans="1:37" x14ac:dyDescent="0.2">
      <c r="A62" s="16"/>
      <c r="B62" s="16"/>
      <c r="C62" s="16"/>
      <c r="D62" s="16"/>
      <c r="E62" s="16"/>
      <c r="F62" s="16"/>
      <c r="G62" s="16"/>
      <c r="H62" s="16"/>
      <c r="I62" s="16"/>
      <c r="J62" s="109"/>
      <c r="K62" s="16"/>
      <c r="L62" s="16"/>
      <c r="M62" s="16"/>
      <c r="N62" s="16"/>
      <c r="O62" s="16"/>
      <c r="P62" s="16"/>
      <c r="Q62" s="16"/>
      <c r="R62" s="16"/>
      <c r="S62" s="16"/>
      <c r="T62" s="109"/>
      <c r="U62" s="16"/>
      <c r="V62" s="16"/>
      <c r="W62" s="16"/>
      <c r="X62" s="16"/>
      <c r="Y62" s="16"/>
      <c r="Z62" s="16"/>
      <c r="AA62" s="16"/>
      <c r="AB62" s="16"/>
      <c r="AC62" s="16"/>
      <c r="AD62" s="16"/>
      <c r="AE62" s="16"/>
      <c r="AF62" s="16"/>
      <c r="AG62" s="16"/>
      <c r="AH62" s="16"/>
      <c r="AI62" s="16"/>
      <c r="AJ62" s="16"/>
      <c r="AK62" s="16"/>
    </row>
    <row r="63" spans="1:37" x14ac:dyDescent="0.2">
      <c r="A63" s="16"/>
      <c r="B63" s="16"/>
      <c r="C63" s="16"/>
      <c r="D63" s="16"/>
      <c r="E63" s="16"/>
      <c r="F63" s="16"/>
      <c r="G63" s="16"/>
      <c r="H63" s="16"/>
      <c r="I63" s="16"/>
      <c r="J63" s="109"/>
      <c r="K63" s="16"/>
      <c r="L63" s="16"/>
      <c r="M63" s="16"/>
      <c r="N63" s="16"/>
      <c r="O63" s="16"/>
      <c r="P63" s="16"/>
      <c r="Q63" s="16"/>
      <c r="R63" s="16"/>
      <c r="S63" s="16"/>
      <c r="T63" s="109"/>
      <c r="U63" s="16"/>
      <c r="V63" s="16"/>
      <c r="W63" s="16"/>
      <c r="X63" s="16"/>
      <c r="Y63" s="16"/>
      <c r="Z63" s="16"/>
      <c r="AA63" s="16"/>
      <c r="AB63" s="16"/>
      <c r="AC63" s="16"/>
      <c r="AD63" s="16"/>
      <c r="AE63" s="16"/>
      <c r="AF63" s="16"/>
      <c r="AG63" s="16"/>
      <c r="AH63" s="16"/>
      <c r="AI63" s="16"/>
      <c r="AJ63" s="16"/>
      <c r="AK63" s="16"/>
    </row>
    <row r="64" spans="1:37" x14ac:dyDescent="0.2">
      <c r="A64" s="16"/>
      <c r="B64" s="16"/>
      <c r="C64" s="16"/>
      <c r="D64" s="16"/>
      <c r="E64" s="16"/>
      <c r="F64" s="16"/>
      <c r="G64" s="16"/>
      <c r="H64" s="16"/>
      <c r="I64" s="16"/>
      <c r="J64" s="109"/>
      <c r="K64" s="16"/>
      <c r="L64" s="16"/>
      <c r="M64" s="16"/>
      <c r="N64" s="16"/>
      <c r="O64" s="16"/>
      <c r="P64" s="16"/>
      <c r="Q64" s="16"/>
      <c r="R64" s="16"/>
      <c r="S64" s="16"/>
      <c r="T64" s="109"/>
      <c r="U64" s="16"/>
      <c r="V64" s="16"/>
      <c r="W64" s="16"/>
      <c r="X64" s="16"/>
      <c r="Y64" s="16"/>
      <c r="Z64" s="16"/>
      <c r="AA64" s="16"/>
      <c r="AB64" s="16"/>
      <c r="AC64" s="16"/>
      <c r="AD64" s="16"/>
      <c r="AE64" s="16"/>
      <c r="AF64" s="16"/>
      <c r="AG64" s="16"/>
      <c r="AH64" s="16"/>
      <c r="AI64" s="16"/>
      <c r="AJ64" s="16"/>
      <c r="AK64" s="16"/>
    </row>
    <row r="65" spans="1:37" x14ac:dyDescent="0.2">
      <c r="A65" s="16"/>
      <c r="B65" s="16"/>
      <c r="C65" s="16"/>
      <c r="D65" s="16"/>
      <c r="E65" s="16"/>
      <c r="F65" s="16"/>
      <c r="G65" s="16"/>
      <c r="H65" s="16"/>
      <c r="I65" s="16"/>
      <c r="J65" s="109"/>
      <c r="K65" s="16"/>
      <c r="L65" s="16"/>
      <c r="M65" s="16"/>
      <c r="N65" s="16"/>
      <c r="O65" s="16"/>
      <c r="P65" s="16"/>
      <c r="Q65" s="16"/>
      <c r="R65" s="16"/>
      <c r="S65" s="16"/>
      <c r="T65" s="109"/>
      <c r="U65" s="16"/>
      <c r="V65" s="16"/>
      <c r="W65" s="16"/>
      <c r="X65" s="16"/>
      <c r="Y65" s="16"/>
      <c r="Z65" s="16"/>
      <c r="AA65" s="16"/>
      <c r="AB65" s="16"/>
      <c r="AC65" s="16"/>
      <c r="AD65" s="16"/>
      <c r="AE65" s="16"/>
      <c r="AF65" s="16"/>
      <c r="AG65" s="16"/>
      <c r="AH65" s="16"/>
      <c r="AI65" s="16"/>
      <c r="AJ65" s="16"/>
      <c r="AK65" s="16"/>
    </row>
    <row r="66" spans="1:37" x14ac:dyDescent="0.2">
      <c r="A66" s="16"/>
      <c r="B66" s="16"/>
      <c r="C66" s="16"/>
      <c r="D66" s="16"/>
      <c r="E66" s="16"/>
      <c r="F66" s="16"/>
      <c r="G66" s="16"/>
      <c r="H66" s="16"/>
      <c r="I66" s="16"/>
      <c r="J66" s="109"/>
      <c r="K66" s="16"/>
      <c r="L66" s="16"/>
      <c r="M66" s="16"/>
      <c r="N66" s="16"/>
      <c r="O66" s="16"/>
      <c r="P66" s="16"/>
      <c r="Q66" s="16"/>
      <c r="R66" s="16"/>
      <c r="S66" s="16"/>
      <c r="T66" s="109"/>
      <c r="U66" s="16"/>
      <c r="V66" s="16"/>
      <c r="W66" s="16"/>
      <c r="X66" s="16"/>
      <c r="Y66" s="16"/>
      <c r="Z66" s="16"/>
      <c r="AA66" s="16"/>
      <c r="AB66" s="16"/>
      <c r="AC66" s="16"/>
      <c r="AD66" s="16"/>
      <c r="AE66" s="16"/>
      <c r="AF66" s="16"/>
      <c r="AG66" s="16"/>
      <c r="AH66" s="16"/>
      <c r="AI66" s="16"/>
      <c r="AJ66" s="16"/>
      <c r="AK66" s="16"/>
    </row>
    <row r="67" spans="1:37" x14ac:dyDescent="0.2">
      <c r="A67" s="16"/>
      <c r="B67" s="16"/>
      <c r="C67" s="16"/>
      <c r="D67" s="16"/>
      <c r="E67" s="16"/>
      <c r="F67" s="16"/>
      <c r="G67" s="16"/>
      <c r="H67" s="16"/>
      <c r="I67" s="16"/>
      <c r="J67" s="109"/>
      <c r="K67" s="16"/>
      <c r="L67" s="16"/>
      <c r="M67" s="16"/>
      <c r="N67" s="16"/>
      <c r="O67" s="16"/>
      <c r="P67" s="16"/>
      <c r="Q67" s="16"/>
      <c r="R67" s="16"/>
      <c r="S67" s="16"/>
      <c r="T67" s="109"/>
      <c r="U67" s="16"/>
      <c r="V67" s="16"/>
      <c r="W67" s="16"/>
      <c r="X67" s="16"/>
      <c r="Y67" s="16"/>
      <c r="Z67" s="16"/>
      <c r="AA67" s="16"/>
      <c r="AB67" s="16"/>
      <c r="AC67" s="16"/>
      <c r="AD67" s="16"/>
      <c r="AE67" s="16"/>
      <c r="AF67" s="16"/>
      <c r="AG67" s="16"/>
      <c r="AH67" s="16"/>
      <c r="AI67" s="16"/>
      <c r="AJ67" s="16"/>
      <c r="AK67" s="16"/>
    </row>
    <row r="68" spans="1:37" x14ac:dyDescent="0.2">
      <c r="A68" s="16"/>
      <c r="B68" s="16"/>
      <c r="C68" s="16"/>
      <c r="D68" s="16"/>
      <c r="E68" s="16"/>
      <c r="F68" s="16"/>
      <c r="G68" s="16"/>
      <c r="H68" s="16"/>
      <c r="I68" s="16"/>
      <c r="J68" s="109"/>
      <c r="K68" s="16"/>
      <c r="L68" s="16"/>
      <c r="M68" s="16"/>
      <c r="N68" s="16"/>
      <c r="O68" s="16"/>
      <c r="P68" s="16"/>
      <c r="Q68" s="16"/>
      <c r="R68" s="16"/>
      <c r="S68" s="16"/>
      <c r="T68" s="109"/>
      <c r="U68" s="16"/>
      <c r="V68" s="16"/>
      <c r="W68" s="16"/>
      <c r="X68" s="16"/>
      <c r="Y68" s="16"/>
      <c r="Z68" s="16"/>
      <c r="AA68" s="16"/>
      <c r="AB68" s="16"/>
      <c r="AC68" s="16"/>
      <c r="AD68" s="16"/>
      <c r="AE68" s="16"/>
      <c r="AF68" s="16"/>
      <c r="AG68" s="16"/>
      <c r="AH68" s="16"/>
      <c r="AI68" s="16"/>
      <c r="AJ68" s="16"/>
      <c r="AK68" s="16"/>
    </row>
    <row r="69" spans="1:37" x14ac:dyDescent="0.2">
      <c r="A69" s="16"/>
      <c r="B69" s="16"/>
      <c r="C69" s="16"/>
      <c r="D69" s="16"/>
      <c r="E69" s="16"/>
      <c r="F69" s="16"/>
      <c r="G69" s="16"/>
      <c r="H69" s="16"/>
      <c r="I69" s="16"/>
      <c r="J69" s="109"/>
      <c r="K69" s="16"/>
      <c r="L69" s="16"/>
      <c r="M69" s="16"/>
      <c r="N69" s="16"/>
      <c r="O69" s="16"/>
      <c r="P69" s="16"/>
      <c r="Q69" s="16"/>
      <c r="R69" s="16"/>
      <c r="S69" s="16"/>
      <c r="T69" s="109"/>
      <c r="U69" s="16"/>
      <c r="V69" s="16"/>
      <c r="W69" s="16"/>
      <c r="X69" s="16"/>
      <c r="Y69" s="16"/>
      <c r="Z69" s="16"/>
      <c r="AA69" s="16"/>
      <c r="AB69" s="16"/>
      <c r="AC69" s="16"/>
      <c r="AD69" s="16"/>
      <c r="AE69" s="16"/>
      <c r="AF69" s="16"/>
      <c r="AG69" s="16"/>
      <c r="AH69" s="16"/>
      <c r="AI69" s="16"/>
      <c r="AJ69" s="16"/>
      <c r="AK69" s="16"/>
    </row>
    <row r="70" spans="1:37" x14ac:dyDescent="0.2">
      <c r="A70" s="16"/>
      <c r="B70" s="16"/>
      <c r="C70" s="16"/>
      <c r="D70" s="16"/>
      <c r="E70" s="16"/>
      <c r="F70" s="16"/>
      <c r="G70" s="16"/>
      <c r="H70" s="16"/>
      <c r="I70" s="16"/>
      <c r="J70" s="109"/>
      <c r="K70" s="16"/>
      <c r="L70" s="16"/>
      <c r="M70" s="16"/>
      <c r="N70" s="16"/>
      <c r="O70" s="16"/>
      <c r="P70" s="16"/>
      <c r="Q70" s="16"/>
      <c r="R70" s="16"/>
      <c r="S70" s="16"/>
      <c r="T70" s="109"/>
      <c r="U70" s="16"/>
      <c r="V70" s="16"/>
      <c r="W70" s="16"/>
      <c r="X70" s="16"/>
      <c r="Y70" s="16"/>
      <c r="Z70" s="16"/>
      <c r="AA70" s="16"/>
      <c r="AB70" s="16"/>
      <c r="AC70" s="16"/>
      <c r="AD70" s="16"/>
      <c r="AE70" s="16"/>
      <c r="AF70" s="16"/>
      <c r="AG70" s="16"/>
      <c r="AH70" s="16"/>
      <c r="AI70" s="16"/>
      <c r="AJ70" s="16"/>
      <c r="AK70" s="16"/>
    </row>
    <row r="71" spans="1:37" x14ac:dyDescent="0.2">
      <c r="A71" s="16"/>
      <c r="B71" s="16"/>
      <c r="C71" s="16"/>
      <c r="D71" s="16"/>
      <c r="E71" s="16"/>
      <c r="F71" s="16"/>
      <c r="G71" s="16"/>
      <c r="H71" s="16"/>
      <c r="I71" s="16"/>
      <c r="J71" s="109"/>
      <c r="K71" s="16"/>
      <c r="L71" s="16"/>
      <c r="M71" s="16"/>
      <c r="N71" s="16"/>
      <c r="O71" s="16"/>
      <c r="P71" s="16"/>
      <c r="Q71" s="16"/>
      <c r="R71" s="16"/>
      <c r="S71" s="16"/>
      <c r="T71" s="109"/>
      <c r="U71" s="16"/>
      <c r="V71" s="16"/>
      <c r="W71" s="16"/>
      <c r="X71" s="16"/>
      <c r="Y71" s="16"/>
      <c r="Z71" s="16"/>
      <c r="AA71" s="16"/>
      <c r="AB71" s="16"/>
      <c r="AC71" s="16"/>
      <c r="AD71" s="16"/>
      <c r="AE71" s="16"/>
      <c r="AF71" s="16"/>
      <c r="AG71" s="16"/>
      <c r="AH71" s="16"/>
      <c r="AI71" s="16"/>
      <c r="AJ71" s="16"/>
      <c r="AK71" s="16"/>
    </row>
    <row r="72" spans="1:37" x14ac:dyDescent="0.2">
      <c r="A72" s="16"/>
      <c r="B72" s="16"/>
      <c r="C72" s="16"/>
      <c r="D72" s="16"/>
      <c r="E72" s="16"/>
      <c r="F72" s="16"/>
      <c r="G72" s="16"/>
      <c r="H72" s="16"/>
      <c r="I72" s="16"/>
      <c r="J72" s="109"/>
      <c r="K72" s="16"/>
      <c r="L72" s="16"/>
      <c r="M72" s="16"/>
      <c r="N72" s="16"/>
      <c r="O72" s="16"/>
      <c r="P72" s="16"/>
      <c r="Q72" s="16"/>
      <c r="R72" s="16"/>
      <c r="S72" s="16"/>
      <c r="T72" s="109"/>
      <c r="U72" s="16"/>
      <c r="V72" s="16"/>
      <c r="W72" s="16"/>
      <c r="X72" s="16"/>
      <c r="Y72" s="16"/>
      <c r="Z72" s="16"/>
      <c r="AA72" s="16"/>
      <c r="AB72" s="16"/>
      <c r="AC72" s="16"/>
      <c r="AD72" s="16"/>
      <c r="AE72" s="16"/>
      <c r="AF72" s="16"/>
      <c r="AG72" s="16"/>
      <c r="AH72" s="16"/>
      <c r="AI72" s="16"/>
      <c r="AJ72" s="16"/>
      <c r="AK72" s="16"/>
    </row>
    <row r="73" spans="1:37" x14ac:dyDescent="0.2">
      <c r="A73" s="16"/>
      <c r="B73" s="16"/>
      <c r="C73" s="16"/>
      <c r="D73" s="16"/>
      <c r="E73" s="16"/>
      <c r="F73" s="16"/>
      <c r="G73" s="16"/>
      <c r="H73" s="16"/>
      <c r="I73" s="16"/>
      <c r="J73" s="109"/>
      <c r="K73" s="16"/>
      <c r="L73" s="16"/>
      <c r="M73" s="16"/>
      <c r="N73" s="16"/>
      <c r="O73" s="16"/>
      <c r="P73" s="16"/>
      <c r="Q73" s="16"/>
      <c r="R73" s="16"/>
      <c r="S73" s="16"/>
      <c r="T73" s="109"/>
      <c r="U73" s="16"/>
      <c r="V73" s="16"/>
      <c r="W73" s="16"/>
      <c r="X73" s="16"/>
      <c r="Y73" s="16"/>
      <c r="Z73" s="16"/>
      <c r="AA73" s="16"/>
      <c r="AB73" s="16"/>
      <c r="AC73" s="16"/>
      <c r="AD73" s="16"/>
      <c r="AE73" s="16"/>
      <c r="AF73" s="16"/>
      <c r="AG73" s="16"/>
      <c r="AH73" s="16"/>
      <c r="AI73" s="16"/>
      <c r="AJ73" s="16"/>
      <c r="AK73" s="16"/>
    </row>
    <row r="74" spans="1:37" x14ac:dyDescent="0.2">
      <c r="A74" s="16"/>
      <c r="B74" s="16"/>
      <c r="C74" s="16"/>
      <c r="D74" s="16"/>
      <c r="E74" s="16"/>
      <c r="F74" s="16"/>
      <c r="G74" s="16"/>
      <c r="H74" s="16"/>
      <c r="I74" s="16"/>
      <c r="J74" s="109"/>
      <c r="K74" s="16"/>
      <c r="L74" s="16"/>
      <c r="M74" s="16"/>
      <c r="N74" s="16"/>
      <c r="O74" s="16"/>
      <c r="P74" s="16"/>
      <c r="Q74" s="16"/>
      <c r="R74" s="16"/>
      <c r="S74" s="16"/>
      <c r="T74" s="109"/>
      <c r="U74" s="16"/>
      <c r="V74" s="16"/>
      <c r="W74" s="16"/>
      <c r="X74" s="16"/>
      <c r="Y74" s="16"/>
      <c r="Z74" s="16"/>
      <c r="AA74" s="16"/>
      <c r="AB74" s="16"/>
      <c r="AC74" s="16"/>
      <c r="AD74" s="16"/>
      <c r="AE74" s="16"/>
      <c r="AF74" s="16"/>
      <c r="AG74" s="16"/>
      <c r="AH74" s="16"/>
      <c r="AI74" s="16"/>
      <c r="AJ74" s="16"/>
      <c r="AK74" s="16"/>
    </row>
    <row r="75" spans="1:37" x14ac:dyDescent="0.2">
      <c r="A75" s="16"/>
      <c r="B75" s="16"/>
      <c r="C75" s="16"/>
      <c r="D75" s="16"/>
      <c r="E75" s="16"/>
      <c r="F75" s="16"/>
      <c r="G75" s="16"/>
      <c r="H75" s="16"/>
      <c r="I75" s="16"/>
      <c r="J75" s="109"/>
      <c r="K75" s="16"/>
      <c r="L75" s="16"/>
      <c r="M75" s="16"/>
      <c r="N75" s="16"/>
      <c r="O75" s="16"/>
      <c r="P75" s="16"/>
      <c r="Q75" s="16"/>
      <c r="R75" s="16"/>
      <c r="S75" s="16"/>
      <c r="T75" s="109"/>
      <c r="U75" s="16"/>
      <c r="V75" s="16"/>
      <c r="W75" s="16"/>
      <c r="X75" s="16"/>
      <c r="Y75" s="16"/>
      <c r="Z75" s="16"/>
      <c r="AA75" s="16"/>
      <c r="AB75" s="16"/>
      <c r="AC75" s="16"/>
      <c r="AD75" s="16"/>
      <c r="AE75" s="16"/>
      <c r="AF75" s="16"/>
      <c r="AG75" s="16"/>
      <c r="AH75" s="16"/>
      <c r="AI75" s="16"/>
      <c r="AJ75" s="16"/>
      <c r="AK75" s="16"/>
    </row>
    <row r="76" spans="1:37" x14ac:dyDescent="0.2">
      <c r="A76" s="16"/>
      <c r="B76" s="16"/>
      <c r="C76" s="16"/>
      <c r="D76" s="16"/>
      <c r="E76" s="16"/>
      <c r="F76" s="16"/>
      <c r="G76" s="16"/>
      <c r="H76" s="16"/>
      <c r="I76" s="16"/>
      <c r="J76" s="109"/>
      <c r="K76" s="16"/>
      <c r="L76" s="16"/>
      <c r="M76" s="16"/>
      <c r="N76" s="16"/>
      <c r="O76" s="16"/>
      <c r="P76" s="16"/>
      <c r="Q76" s="16"/>
      <c r="R76" s="16"/>
      <c r="S76" s="16"/>
      <c r="T76" s="109"/>
      <c r="U76" s="16"/>
      <c r="V76" s="16"/>
      <c r="W76" s="16"/>
      <c r="X76" s="16"/>
      <c r="Y76" s="16"/>
      <c r="Z76" s="16"/>
      <c r="AA76" s="16"/>
      <c r="AB76" s="16"/>
      <c r="AC76" s="16"/>
      <c r="AD76" s="16"/>
      <c r="AE76" s="16"/>
      <c r="AF76" s="16"/>
      <c r="AG76" s="16"/>
      <c r="AH76" s="16"/>
      <c r="AI76" s="16"/>
      <c r="AJ76" s="16"/>
      <c r="AK76" s="16"/>
    </row>
    <row r="77" spans="1:37" x14ac:dyDescent="0.2">
      <c r="A77" s="16"/>
      <c r="B77" s="16"/>
      <c r="C77" s="16"/>
      <c r="D77" s="16"/>
      <c r="E77" s="16"/>
      <c r="F77" s="16"/>
      <c r="G77" s="16"/>
      <c r="H77" s="16"/>
      <c r="I77" s="16"/>
      <c r="J77" s="109"/>
      <c r="K77" s="16"/>
      <c r="L77" s="16"/>
      <c r="M77" s="16"/>
      <c r="N77" s="16"/>
      <c r="O77" s="16"/>
      <c r="P77" s="16"/>
      <c r="Q77" s="16"/>
      <c r="R77" s="16"/>
      <c r="S77" s="16"/>
      <c r="T77" s="109"/>
      <c r="U77" s="16"/>
      <c r="V77" s="16"/>
      <c r="W77" s="16"/>
      <c r="X77" s="16"/>
      <c r="Y77" s="16"/>
      <c r="Z77" s="16"/>
      <c r="AA77" s="16"/>
      <c r="AB77" s="16"/>
      <c r="AC77" s="16"/>
      <c r="AD77" s="16"/>
      <c r="AE77" s="16"/>
      <c r="AF77" s="16"/>
      <c r="AG77" s="16"/>
      <c r="AH77" s="16"/>
      <c r="AI77" s="16"/>
      <c r="AJ77" s="16"/>
      <c r="AK77" s="16"/>
    </row>
    <row r="78" spans="1:37" x14ac:dyDescent="0.2">
      <c r="A78" s="16"/>
      <c r="B78" s="16"/>
      <c r="C78" s="16"/>
      <c r="D78" s="16"/>
      <c r="E78" s="16"/>
      <c r="F78" s="16"/>
      <c r="G78" s="16"/>
      <c r="H78" s="16"/>
      <c r="I78" s="16"/>
      <c r="J78" s="109"/>
      <c r="K78" s="16"/>
      <c r="L78" s="16"/>
      <c r="M78" s="16"/>
      <c r="N78" s="16"/>
      <c r="O78" s="16"/>
      <c r="P78" s="16"/>
      <c r="Q78" s="16"/>
      <c r="R78" s="16"/>
      <c r="S78" s="16"/>
      <c r="T78" s="109"/>
      <c r="U78" s="16"/>
      <c r="V78" s="16"/>
      <c r="W78" s="16"/>
      <c r="X78" s="16"/>
      <c r="Y78" s="16"/>
      <c r="Z78" s="16"/>
      <c r="AA78" s="16"/>
      <c r="AB78" s="16"/>
      <c r="AC78" s="16"/>
      <c r="AD78" s="16"/>
      <c r="AE78" s="16"/>
      <c r="AF78" s="16"/>
      <c r="AG78" s="16"/>
      <c r="AH78" s="16"/>
      <c r="AI78" s="16"/>
      <c r="AJ78" s="16"/>
      <c r="AK78" s="16"/>
    </row>
    <row r="79" spans="1:37" x14ac:dyDescent="0.2">
      <c r="A79" s="16"/>
      <c r="B79" s="16"/>
      <c r="C79" s="16"/>
      <c r="D79" s="16"/>
      <c r="E79" s="16"/>
      <c r="F79" s="16"/>
      <c r="G79" s="16"/>
      <c r="H79" s="16"/>
      <c r="I79" s="16"/>
      <c r="J79" s="109"/>
      <c r="K79" s="16"/>
      <c r="L79" s="16"/>
      <c r="M79" s="16"/>
      <c r="N79" s="16"/>
      <c r="O79" s="16"/>
      <c r="P79" s="16"/>
      <c r="Q79" s="16"/>
      <c r="R79" s="16"/>
      <c r="S79" s="16"/>
      <c r="T79" s="109"/>
      <c r="U79" s="16"/>
      <c r="V79" s="16"/>
      <c r="W79" s="16"/>
      <c r="X79" s="16"/>
      <c r="Y79" s="16"/>
      <c r="Z79" s="16"/>
      <c r="AA79" s="16"/>
      <c r="AB79" s="16"/>
      <c r="AC79" s="16"/>
      <c r="AD79" s="16"/>
      <c r="AE79" s="16"/>
      <c r="AF79" s="16"/>
      <c r="AG79" s="16"/>
      <c r="AH79" s="16"/>
      <c r="AI79" s="16"/>
      <c r="AJ79" s="16"/>
      <c r="AK79" s="16"/>
    </row>
    <row r="80" spans="1:37" x14ac:dyDescent="0.2">
      <c r="A80" s="16"/>
      <c r="B80" s="16"/>
      <c r="C80" s="16"/>
      <c r="D80" s="16"/>
      <c r="E80" s="16"/>
      <c r="F80" s="16"/>
      <c r="G80" s="16"/>
      <c r="H80" s="16"/>
      <c r="I80" s="16"/>
      <c r="J80" s="109"/>
      <c r="K80" s="16"/>
      <c r="L80" s="16"/>
      <c r="M80" s="16"/>
      <c r="N80" s="16"/>
      <c r="O80" s="16"/>
      <c r="P80" s="16"/>
      <c r="Q80" s="16"/>
      <c r="R80" s="16"/>
      <c r="S80" s="16"/>
      <c r="T80" s="109"/>
      <c r="U80" s="16"/>
      <c r="V80" s="16"/>
      <c r="W80" s="16"/>
      <c r="X80" s="16"/>
      <c r="Y80" s="16"/>
      <c r="Z80" s="16"/>
      <c r="AA80" s="16"/>
      <c r="AB80" s="16"/>
      <c r="AC80" s="16"/>
      <c r="AD80" s="16"/>
      <c r="AE80" s="16"/>
      <c r="AF80" s="16"/>
      <c r="AG80" s="16"/>
      <c r="AH80" s="16"/>
      <c r="AI80" s="16"/>
      <c r="AJ80" s="16"/>
      <c r="AK80" s="16"/>
    </row>
    <row r="81" spans="1:37" x14ac:dyDescent="0.2">
      <c r="A81" s="16"/>
      <c r="B81" s="16"/>
      <c r="C81" s="16"/>
      <c r="D81" s="16"/>
      <c r="E81" s="16"/>
      <c r="F81" s="16"/>
      <c r="G81" s="16"/>
      <c r="H81" s="16"/>
      <c r="I81" s="16"/>
      <c r="J81" s="109"/>
      <c r="K81" s="16"/>
      <c r="L81" s="16"/>
      <c r="M81" s="16"/>
      <c r="N81" s="16"/>
      <c r="O81" s="16"/>
      <c r="P81" s="16"/>
      <c r="Q81" s="16"/>
      <c r="R81" s="16"/>
      <c r="S81" s="16"/>
      <c r="T81" s="109"/>
      <c r="U81" s="16"/>
      <c r="V81" s="16"/>
      <c r="W81" s="16"/>
      <c r="X81" s="16"/>
      <c r="Y81" s="16"/>
      <c r="Z81" s="16"/>
      <c r="AA81" s="16"/>
      <c r="AB81" s="16"/>
      <c r="AC81" s="16"/>
      <c r="AD81" s="16"/>
      <c r="AE81" s="16"/>
      <c r="AF81" s="16"/>
      <c r="AG81" s="16"/>
      <c r="AH81" s="16"/>
      <c r="AI81" s="16"/>
      <c r="AJ81" s="16"/>
      <c r="AK81" s="16"/>
    </row>
    <row r="82" spans="1:37" x14ac:dyDescent="0.2">
      <c r="A82" s="16"/>
      <c r="B82" s="16"/>
      <c r="C82" s="16"/>
      <c r="D82" s="16"/>
      <c r="E82" s="16"/>
      <c r="F82" s="16"/>
      <c r="G82" s="16"/>
      <c r="H82" s="16"/>
      <c r="I82" s="16"/>
      <c r="J82" s="109"/>
      <c r="K82" s="16"/>
      <c r="L82" s="16"/>
      <c r="M82" s="16"/>
      <c r="N82" s="16"/>
      <c r="O82" s="16"/>
      <c r="P82" s="16"/>
      <c r="Q82" s="16"/>
      <c r="R82" s="16"/>
      <c r="S82" s="16"/>
      <c r="T82" s="109"/>
      <c r="U82" s="16"/>
      <c r="V82" s="16"/>
      <c r="W82" s="16"/>
      <c r="X82" s="16"/>
      <c r="Y82" s="16"/>
      <c r="Z82" s="16"/>
      <c r="AA82" s="16"/>
      <c r="AB82" s="16"/>
      <c r="AC82" s="16"/>
      <c r="AD82" s="16"/>
      <c r="AE82" s="16"/>
      <c r="AF82" s="16"/>
      <c r="AG82" s="16"/>
      <c r="AH82" s="16"/>
      <c r="AI82" s="16"/>
      <c r="AJ82" s="16"/>
      <c r="AK82" s="16"/>
    </row>
    <row r="83" spans="1:37" x14ac:dyDescent="0.2">
      <c r="A83" s="16"/>
      <c r="B83" s="16"/>
      <c r="C83" s="16"/>
      <c r="D83" s="16"/>
      <c r="E83" s="16"/>
      <c r="F83" s="16"/>
      <c r="G83" s="16"/>
      <c r="H83" s="16"/>
      <c r="I83" s="16"/>
      <c r="J83" s="109"/>
      <c r="K83" s="16"/>
      <c r="L83" s="16"/>
      <c r="M83" s="16"/>
      <c r="N83" s="16"/>
      <c r="O83" s="16"/>
      <c r="P83" s="16"/>
      <c r="Q83" s="16"/>
      <c r="R83" s="16"/>
      <c r="S83" s="16"/>
      <c r="T83" s="109"/>
      <c r="U83" s="16"/>
      <c r="V83" s="16"/>
      <c r="W83" s="16"/>
      <c r="X83" s="16"/>
      <c r="Y83" s="16"/>
      <c r="Z83" s="16"/>
      <c r="AA83" s="16"/>
      <c r="AB83" s="16"/>
      <c r="AC83" s="16"/>
      <c r="AD83" s="16"/>
      <c r="AE83" s="16"/>
      <c r="AF83" s="16"/>
      <c r="AG83" s="16"/>
      <c r="AH83" s="16"/>
      <c r="AI83" s="16"/>
      <c r="AJ83" s="16"/>
      <c r="AK83" s="16"/>
    </row>
    <row r="84" spans="1:37" x14ac:dyDescent="0.2">
      <c r="A84" s="16"/>
      <c r="B84" s="16"/>
      <c r="C84" s="16"/>
      <c r="D84" s="16"/>
      <c r="E84" s="16"/>
      <c r="F84" s="16"/>
      <c r="G84" s="16"/>
      <c r="H84" s="16"/>
      <c r="I84" s="16"/>
      <c r="J84" s="109"/>
      <c r="K84" s="16"/>
      <c r="L84" s="16"/>
      <c r="M84" s="16"/>
      <c r="N84" s="16"/>
      <c r="O84" s="16"/>
      <c r="P84" s="16"/>
      <c r="Q84" s="16"/>
      <c r="R84" s="16"/>
      <c r="S84" s="16"/>
      <c r="T84" s="109"/>
      <c r="U84" s="16"/>
      <c r="V84" s="16"/>
      <c r="W84" s="16"/>
      <c r="X84" s="16"/>
      <c r="Y84" s="16"/>
      <c r="Z84" s="16"/>
      <c r="AA84" s="16"/>
      <c r="AB84" s="16"/>
      <c r="AC84" s="16"/>
      <c r="AD84" s="16"/>
      <c r="AE84" s="16"/>
      <c r="AF84" s="16"/>
      <c r="AG84" s="16"/>
      <c r="AH84" s="16"/>
      <c r="AI84" s="16"/>
      <c r="AJ84" s="16"/>
      <c r="AK84" s="16"/>
    </row>
    <row r="85" spans="1:37" x14ac:dyDescent="0.2">
      <c r="A85" s="16"/>
      <c r="B85" s="16"/>
      <c r="C85" s="16"/>
      <c r="D85" s="16"/>
      <c r="E85" s="16"/>
      <c r="F85" s="16"/>
      <c r="G85" s="16"/>
      <c r="H85" s="16"/>
      <c r="I85" s="16"/>
      <c r="J85" s="109"/>
      <c r="K85" s="16"/>
      <c r="L85" s="16"/>
      <c r="M85" s="16"/>
      <c r="N85" s="16"/>
      <c r="O85" s="16"/>
      <c r="P85" s="16"/>
      <c r="Q85" s="16"/>
      <c r="R85" s="16"/>
      <c r="S85" s="16"/>
      <c r="T85" s="109"/>
      <c r="U85" s="16"/>
      <c r="V85" s="16"/>
      <c r="W85" s="16"/>
      <c r="X85" s="16"/>
      <c r="Y85" s="16"/>
      <c r="Z85" s="16"/>
      <c r="AA85" s="16"/>
      <c r="AB85" s="16"/>
      <c r="AC85" s="16"/>
      <c r="AD85" s="16"/>
      <c r="AE85" s="16"/>
      <c r="AF85" s="16"/>
      <c r="AG85" s="16"/>
      <c r="AH85" s="16"/>
      <c r="AI85" s="16"/>
      <c r="AJ85" s="16"/>
      <c r="AK85" s="16"/>
    </row>
    <row r="86" spans="1:37" x14ac:dyDescent="0.2">
      <c r="A86" s="16"/>
      <c r="B86" s="16"/>
      <c r="C86" s="16"/>
      <c r="D86" s="16"/>
      <c r="E86" s="16"/>
      <c r="F86" s="16"/>
      <c r="G86" s="16"/>
      <c r="H86" s="16"/>
      <c r="I86" s="16"/>
      <c r="J86" s="109"/>
      <c r="K86" s="16"/>
      <c r="L86" s="16"/>
      <c r="M86" s="16"/>
      <c r="N86" s="16"/>
      <c r="O86" s="16"/>
      <c r="P86" s="16"/>
      <c r="Q86" s="16"/>
      <c r="R86" s="16"/>
      <c r="S86" s="16"/>
      <c r="T86" s="109"/>
      <c r="U86" s="16"/>
      <c r="V86" s="16"/>
      <c r="W86" s="16"/>
      <c r="X86" s="16"/>
      <c r="Y86" s="16"/>
      <c r="Z86" s="16"/>
      <c r="AA86" s="16"/>
      <c r="AB86" s="16"/>
      <c r="AC86" s="16"/>
      <c r="AD86" s="16"/>
      <c r="AE86" s="16"/>
      <c r="AF86" s="16"/>
      <c r="AG86" s="16"/>
      <c r="AH86" s="16"/>
      <c r="AI86" s="16"/>
      <c r="AJ86" s="16"/>
      <c r="AK86" s="16"/>
    </row>
    <row r="87" spans="1:37" x14ac:dyDescent="0.2">
      <c r="A87" s="16"/>
      <c r="B87" s="16"/>
      <c r="C87" s="16"/>
      <c r="D87" s="16"/>
      <c r="E87" s="16"/>
      <c r="F87" s="16"/>
      <c r="G87" s="16"/>
      <c r="H87" s="16"/>
      <c r="I87" s="16"/>
      <c r="J87" s="109"/>
      <c r="K87" s="16"/>
      <c r="L87" s="16"/>
      <c r="M87" s="16"/>
      <c r="N87" s="16"/>
      <c r="O87" s="16"/>
      <c r="P87" s="16"/>
      <c r="Q87" s="16"/>
      <c r="R87" s="16"/>
      <c r="S87" s="16"/>
      <c r="T87" s="109"/>
      <c r="U87" s="16"/>
      <c r="V87" s="16"/>
      <c r="W87" s="16"/>
      <c r="X87" s="16"/>
      <c r="Y87" s="16"/>
      <c r="Z87" s="16"/>
      <c r="AA87" s="16"/>
      <c r="AB87" s="16"/>
      <c r="AC87" s="16"/>
      <c r="AD87" s="16"/>
      <c r="AE87" s="16"/>
      <c r="AF87" s="16"/>
      <c r="AG87" s="16"/>
      <c r="AH87" s="16"/>
      <c r="AI87" s="16"/>
      <c r="AJ87" s="16"/>
      <c r="AK87" s="16"/>
    </row>
    <row r="88" spans="1:37" x14ac:dyDescent="0.2">
      <c r="A88" s="16"/>
      <c r="B88" s="16"/>
      <c r="C88" s="16"/>
      <c r="D88" s="16"/>
      <c r="E88" s="16"/>
      <c r="F88" s="16"/>
      <c r="G88" s="16"/>
      <c r="H88" s="16"/>
      <c r="I88" s="16"/>
      <c r="J88" s="109"/>
      <c r="K88" s="16"/>
      <c r="L88" s="16"/>
      <c r="M88" s="16"/>
      <c r="N88" s="16"/>
      <c r="O88" s="16"/>
      <c r="P88" s="16"/>
      <c r="Q88" s="16"/>
      <c r="R88" s="16"/>
      <c r="S88" s="16"/>
      <c r="T88" s="109"/>
      <c r="U88" s="16"/>
      <c r="V88" s="16"/>
      <c r="W88" s="16"/>
      <c r="X88" s="16"/>
      <c r="Y88" s="16"/>
      <c r="Z88" s="16"/>
      <c r="AA88" s="16"/>
      <c r="AB88" s="16"/>
      <c r="AC88" s="16"/>
      <c r="AD88" s="16"/>
      <c r="AE88" s="16"/>
      <c r="AF88" s="16"/>
      <c r="AG88" s="16"/>
      <c r="AH88" s="16"/>
      <c r="AI88" s="16"/>
      <c r="AJ88" s="16"/>
      <c r="AK88" s="16"/>
    </row>
    <row r="89" spans="1:37" x14ac:dyDescent="0.2">
      <c r="A89" s="16"/>
      <c r="B89" s="16"/>
      <c r="C89" s="16"/>
      <c r="D89" s="16"/>
      <c r="E89" s="16"/>
      <c r="F89" s="16"/>
      <c r="G89" s="16"/>
      <c r="H89" s="16"/>
      <c r="I89" s="16"/>
      <c r="J89" s="109"/>
      <c r="K89" s="16"/>
      <c r="L89" s="16"/>
      <c r="M89" s="16"/>
      <c r="N89" s="16"/>
      <c r="O89" s="16"/>
      <c r="P89" s="16"/>
      <c r="Q89" s="16"/>
      <c r="R89" s="16"/>
      <c r="S89" s="16"/>
      <c r="T89" s="109"/>
      <c r="U89" s="16"/>
      <c r="V89" s="16"/>
      <c r="W89" s="16"/>
      <c r="X89" s="16"/>
      <c r="Y89" s="16"/>
      <c r="Z89" s="16"/>
      <c r="AA89" s="16"/>
      <c r="AB89" s="16"/>
      <c r="AC89" s="16"/>
      <c r="AD89" s="16"/>
      <c r="AE89" s="16"/>
      <c r="AF89" s="16"/>
      <c r="AG89" s="16"/>
      <c r="AH89" s="16"/>
      <c r="AI89" s="16"/>
      <c r="AJ89" s="16"/>
      <c r="AK89" s="16"/>
    </row>
    <row r="90" spans="1:37" x14ac:dyDescent="0.2">
      <c r="A90" s="16"/>
      <c r="B90" s="16"/>
      <c r="C90" s="16"/>
      <c r="D90" s="16"/>
      <c r="E90" s="16"/>
      <c r="F90" s="16"/>
      <c r="G90" s="16"/>
      <c r="H90" s="16"/>
      <c r="I90" s="16"/>
      <c r="J90" s="109"/>
      <c r="K90" s="16"/>
      <c r="L90" s="16"/>
      <c r="M90" s="16"/>
      <c r="N90" s="16"/>
      <c r="O90" s="16"/>
      <c r="P90" s="16"/>
      <c r="Q90" s="16"/>
      <c r="R90" s="16"/>
      <c r="S90" s="16"/>
      <c r="T90" s="109"/>
      <c r="U90" s="16"/>
      <c r="V90" s="16"/>
      <c r="W90" s="16"/>
      <c r="X90" s="16"/>
      <c r="Y90" s="16"/>
      <c r="Z90" s="16"/>
      <c r="AA90" s="16"/>
      <c r="AB90" s="16"/>
      <c r="AC90" s="16"/>
      <c r="AD90" s="16"/>
      <c r="AE90" s="16"/>
      <c r="AF90" s="16"/>
      <c r="AG90" s="16"/>
      <c r="AH90" s="16"/>
      <c r="AI90" s="16"/>
      <c r="AJ90" s="16"/>
      <c r="AK90" s="16"/>
    </row>
    <row r="91" spans="1:37" x14ac:dyDescent="0.2">
      <c r="A91" s="16"/>
      <c r="B91" s="16"/>
      <c r="C91" s="16"/>
      <c r="D91" s="16"/>
      <c r="E91" s="16"/>
      <c r="F91" s="16"/>
      <c r="G91" s="16"/>
      <c r="H91" s="16"/>
      <c r="I91" s="16"/>
      <c r="J91" s="109"/>
      <c r="K91" s="16"/>
      <c r="L91" s="16"/>
      <c r="M91" s="16"/>
      <c r="N91" s="16"/>
      <c r="O91" s="16"/>
      <c r="P91" s="16"/>
      <c r="Q91" s="16"/>
      <c r="R91" s="16"/>
      <c r="S91" s="16"/>
      <c r="T91" s="109"/>
      <c r="U91" s="16"/>
      <c r="V91" s="16"/>
      <c r="W91" s="16"/>
      <c r="X91" s="16"/>
      <c r="Y91" s="16"/>
      <c r="Z91" s="16"/>
      <c r="AA91" s="16"/>
      <c r="AB91" s="16"/>
      <c r="AC91" s="16"/>
      <c r="AD91" s="16"/>
      <c r="AE91" s="16"/>
      <c r="AF91" s="16"/>
      <c r="AG91" s="16"/>
      <c r="AH91" s="16"/>
      <c r="AI91" s="16"/>
      <c r="AJ91" s="16"/>
      <c r="AK91" s="16"/>
    </row>
    <row r="92" spans="1:37" x14ac:dyDescent="0.2">
      <c r="A92" s="16"/>
      <c r="B92" s="16"/>
      <c r="C92" s="16"/>
      <c r="D92" s="16"/>
      <c r="E92" s="16"/>
      <c r="F92" s="16"/>
      <c r="G92" s="16"/>
      <c r="H92" s="16"/>
      <c r="I92" s="16"/>
      <c r="J92" s="109"/>
      <c r="K92" s="16"/>
      <c r="L92" s="16"/>
      <c r="M92" s="16"/>
      <c r="N92" s="16"/>
      <c r="O92" s="16"/>
      <c r="P92" s="16"/>
      <c r="Q92" s="16"/>
      <c r="R92" s="16"/>
      <c r="S92" s="16"/>
      <c r="T92" s="109"/>
      <c r="U92" s="16"/>
      <c r="V92" s="16"/>
      <c r="W92" s="16"/>
      <c r="X92" s="16"/>
      <c r="Y92" s="16"/>
      <c r="Z92" s="16"/>
      <c r="AA92" s="16"/>
      <c r="AB92" s="16"/>
      <c r="AC92" s="16"/>
      <c r="AD92" s="16"/>
      <c r="AE92" s="16"/>
      <c r="AF92" s="16"/>
      <c r="AG92" s="16"/>
      <c r="AH92" s="16"/>
      <c r="AI92" s="16"/>
      <c r="AJ92" s="16"/>
      <c r="AK92" s="16"/>
    </row>
    <row r="93" spans="1:37" x14ac:dyDescent="0.2">
      <c r="A93" s="16"/>
      <c r="B93" s="16"/>
      <c r="C93" s="16"/>
      <c r="D93" s="16"/>
      <c r="E93" s="16"/>
      <c r="F93" s="16"/>
      <c r="G93" s="16"/>
      <c r="H93" s="16"/>
      <c r="I93" s="16"/>
      <c r="J93" s="109"/>
      <c r="K93" s="16"/>
      <c r="L93" s="16"/>
      <c r="M93" s="16"/>
      <c r="N93" s="16"/>
      <c r="O93" s="16"/>
      <c r="P93" s="16"/>
      <c r="Q93" s="16"/>
      <c r="R93" s="16"/>
      <c r="S93" s="16"/>
      <c r="T93" s="109"/>
      <c r="U93" s="16"/>
      <c r="V93" s="16"/>
      <c r="W93" s="16"/>
      <c r="X93" s="16"/>
      <c r="Y93" s="16"/>
      <c r="Z93" s="16"/>
      <c r="AA93" s="16"/>
      <c r="AB93" s="16"/>
      <c r="AC93" s="16"/>
      <c r="AD93" s="16"/>
      <c r="AE93" s="16"/>
      <c r="AF93" s="16"/>
      <c r="AG93" s="16"/>
      <c r="AH93" s="16"/>
      <c r="AI93" s="16"/>
      <c r="AJ93" s="16"/>
      <c r="AK93" s="16"/>
    </row>
    <row r="94" spans="1:37" x14ac:dyDescent="0.2">
      <c r="A94" s="16"/>
      <c r="B94" s="16"/>
      <c r="C94" s="16"/>
      <c r="D94" s="16"/>
      <c r="E94" s="16"/>
      <c r="F94" s="16"/>
      <c r="G94" s="16"/>
      <c r="H94" s="16"/>
      <c r="I94" s="16"/>
      <c r="J94" s="109"/>
      <c r="K94" s="16"/>
      <c r="L94" s="16"/>
      <c r="M94" s="16"/>
      <c r="N94" s="16"/>
      <c r="O94" s="16"/>
      <c r="P94" s="16"/>
      <c r="Q94" s="16"/>
      <c r="R94" s="16"/>
      <c r="S94" s="16"/>
      <c r="T94" s="109"/>
      <c r="U94" s="16"/>
      <c r="V94" s="16"/>
      <c r="W94" s="16"/>
      <c r="X94" s="16"/>
      <c r="Y94" s="16"/>
      <c r="Z94" s="16"/>
      <c r="AA94" s="16"/>
      <c r="AB94" s="16"/>
      <c r="AC94" s="16"/>
      <c r="AD94" s="16"/>
      <c r="AE94" s="16"/>
      <c r="AF94" s="16"/>
      <c r="AG94" s="16"/>
      <c r="AH94" s="16"/>
      <c r="AI94" s="16"/>
      <c r="AJ94" s="16"/>
      <c r="AK94" s="16"/>
    </row>
    <row r="95" spans="1:37" x14ac:dyDescent="0.2">
      <c r="A95" s="16"/>
      <c r="B95" s="16"/>
      <c r="C95" s="16"/>
      <c r="D95" s="16"/>
      <c r="E95" s="16"/>
      <c r="F95" s="16"/>
      <c r="G95" s="16"/>
      <c r="H95" s="16"/>
      <c r="I95" s="16"/>
      <c r="J95" s="109"/>
      <c r="K95" s="16"/>
      <c r="L95" s="16"/>
      <c r="M95" s="16"/>
      <c r="N95" s="16"/>
      <c r="O95" s="16"/>
      <c r="P95" s="16"/>
      <c r="Q95" s="16"/>
      <c r="R95" s="16"/>
      <c r="S95" s="16"/>
      <c r="T95" s="109"/>
      <c r="U95" s="16"/>
      <c r="V95" s="16"/>
      <c r="W95" s="16"/>
      <c r="X95" s="16"/>
      <c r="Y95" s="16"/>
      <c r="Z95" s="16"/>
      <c r="AA95" s="16"/>
      <c r="AB95" s="16"/>
      <c r="AC95" s="16"/>
      <c r="AD95" s="16"/>
      <c r="AE95" s="16"/>
      <c r="AF95" s="16"/>
      <c r="AG95" s="16"/>
      <c r="AH95" s="16"/>
      <c r="AI95" s="16"/>
      <c r="AJ95" s="16"/>
      <c r="AK95" s="16"/>
    </row>
    <row r="96" spans="1:37" x14ac:dyDescent="0.2">
      <c r="A96" s="16"/>
      <c r="B96" s="16"/>
      <c r="C96" s="16"/>
      <c r="D96" s="16"/>
      <c r="E96" s="16"/>
      <c r="F96" s="16"/>
      <c r="G96" s="16"/>
      <c r="H96" s="16"/>
      <c r="I96" s="16"/>
      <c r="J96" s="109"/>
      <c r="K96" s="16"/>
      <c r="L96" s="16"/>
      <c r="M96" s="16"/>
      <c r="N96" s="16"/>
      <c r="O96" s="16"/>
      <c r="P96" s="16"/>
      <c r="Q96" s="16"/>
      <c r="R96" s="16"/>
      <c r="S96" s="16"/>
      <c r="T96" s="109"/>
      <c r="U96" s="16"/>
      <c r="V96" s="16"/>
      <c r="W96" s="16"/>
      <c r="X96" s="16"/>
      <c r="Y96" s="16"/>
      <c r="Z96" s="16"/>
      <c r="AA96" s="16"/>
      <c r="AB96" s="16"/>
      <c r="AC96" s="16"/>
      <c r="AD96" s="16"/>
      <c r="AE96" s="16"/>
      <c r="AF96" s="16"/>
      <c r="AG96" s="16"/>
      <c r="AH96" s="16"/>
      <c r="AI96" s="16"/>
      <c r="AJ96" s="16"/>
      <c r="AK96" s="16"/>
    </row>
    <row r="97" spans="1:37" x14ac:dyDescent="0.2">
      <c r="A97" s="16"/>
      <c r="B97" s="16"/>
      <c r="C97" s="16"/>
      <c r="D97" s="16"/>
      <c r="E97" s="16"/>
      <c r="F97" s="16"/>
      <c r="G97" s="16"/>
      <c r="H97" s="16"/>
      <c r="I97" s="16"/>
      <c r="J97" s="109"/>
      <c r="K97" s="16"/>
      <c r="L97" s="16"/>
      <c r="M97" s="16"/>
      <c r="N97" s="16"/>
      <c r="O97" s="16"/>
      <c r="P97" s="16"/>
      <c r="Q97" s="16"/>
      <c r="R97" s="16"/>
      <c r="S97" s="16"/>
      <c r="T97" s="109"/>
      <c r="U97" s="16"/>
      <c r="V97" s="16"/>
      <c r="W97" s="16"/>
      <c r="X97" s="16"/>
      <c r="Y97" s="16"/>
      <c r="Z97" s="16"/>
      <c r="AA97" s="16"/>
      <c r="AB97" s="16"/>
      <c r="AC97" s="16"/>
      <c r="AD97" s="16"/>
      <c r="AE97" s="16"/>
      <c r="AF97" s="16"/>
      <c r="AG97" s="16"/>
      <c r="AH97" s="16"/>
      <c r="AI97" s="16"/>
      <c r="AJ97" s="16"/>
      <c r="AK97" s="16"/>
    </row>
    <row r="98" spans="1:37" x14ac:dyDescent="0.2">
      <c r="A98" s="16"/>
      <c r="B98" s="16"/>
      <c r="C98" s="16"/>
      <c r="D98" s="16"/>
      <c r="E98" s="16"/>
      <c r="F98" s="16"/>
      <c r="G98" s="16"/>
      <c r="H98" s="16"/>
      <c r="I98" s="16"/>
      <c r="J98" s="109"/>
      <c r="K98" s="16"/>
      <c r="L98" s="16"/>
      <c r="M98" s="16"/>
      <c r="N98" s="16"/>
      <c r="O98" s="16"/>
      <c r="P98" s="16"/>
      <c r="Q98" s="16"/>
      <c r="R98" s="16"/>
      <c r="S98" s="16"/>
      <c r="T98" s="109"/>
      <c r="U98" s="16"/>
      <c r="V98" s="16"/>
      <c r="W98" s="16"/>
      <c r="X98" s="16"/>
      <c r="Y98" s="16"/>
      <c r="Z98" s="16"/>
      <c r="AA98" s="16"/>
      <c r="AB98" s="16"/>
      <c r="AC98" s="16"/>
      <c r="AD98" s="16"/>
      <c r="AE98" s="16"/>
      <c r="AF98" s="16"/>
      <c r="AG98" s="16"/>
      <c r="AH98" s="16"/>
      <c r="AI98" s="16"/>
      <c r="AJ98" s="16"/>
      <c r="AK98" s="16"/>
    </row>
    <row r="99" spans="1:37" x14ac:dyDescent="0.2">
      <c r="A99" s="16"/>
      <c r="B99" s="16"/>
      <c r="C99" s="16"/>
      <c r="D99" s="16"/>
      <c r="E99" s="16"/>
      <c r="F99" s="16"/>
      <c r="G99" s="16"/>
      <c r="H99" s="16"/>
      <c r="I99" s="16"/>
      <c r="J99" s="109"/>
      <c r="K99" s="16"/>
      <c r="L99" s="16"/>
      <c r="M99" s="16"/>
      <c r="N99" s="16"/>
      <c r="O99" s="16"/>
      <c r="P99" s="16"/>
      <c r="Q99" s="16"/>
      <c r="R99" s="16"/>
      <c r="S99" s="16"/>
      <c r="T99" s="109"/>
      <c r="U99" s="16"/>
      <c r="V99" s="16"/>
      <c r="W99" s="16"/>
      <c r="X99" s="16"/>
      <c r="Y99" s="16"/>
      <c r="Z99" s="16"/>
      <c r="AA99" s="16"/>
      <c r="AB99" s="16"/>
      <c r="AC99" s="16"/>
      <c r="AD99" s="16"/>
      <c r="AE99" s="16"/>
      <c r="AF99" s="16"/>
      <c r="AG99" s="16"/>
      <c r="AH99" s="16"/>
      <c r="AI99" s="16"/>
      <c r="AJ99" s="16"/>
      <c r="AK99" s="16"/>
    </row>
    <row r="100" spans="1:37" x14ac:dyDescent="0.2">
      <c r="A100" s="16"/>
      <c r="B100" s="16"/>
      <c r="C100" s="16"/>
      <c r="D100" s="16"/>
      <c r="E100" s="16"/>
      <c r="F100" s="16"/>
      <c r="G100" s="16"/>
      <c r="H100" s="16"/>
      <c r="I100" s="16"/>
      <c r="J100" s="109"/>
      <c r="K100" s="16"/>
      <c r="L100" s="16"/>
      <c r="M100" s="16"/>
      <c r="N100" s="16"/>
      <c r="O100" s="16"/>
      <c r="P100" s="16"/>
      <c r="Q100" s="16"/>
      <c r="R100" s="16"/>
      <c r="S100" s="16"/>
      <c r="T100" s="109"/>
      <c r="U100" s="16"/>
      <c r="V100" s="16"/>
      <c r="W100" s="16"/>
      <c r="X100" s="16"/>
      <c r="Y100" s="16"/>
      <c r="Z100" s="16"/>
      <c r="AA100" s="16"/>
      <c r="AB100" s="16"/>
      <c r="AC100" s="16"/>
      <c r="AD100" s="16"/>
      <c r="AE100" s="16"/>
      <c r="AF100" s="16"/>
      <c r="AG100" s="16"/>
      <c r="AH100" s="16"/>
      <c r="AI100" s="16"/>
      <c r="AJ100" s="16"/>
      <c r="AK100" s="16"/>
    </row>
    <row r="101" spans="1:37" x14ac:dyDescent="0.2">
      <c r="A101" s="16"/>
      <c r="B101" s="16"/>
      <c r="C101" s="16"/>
      <c r="D101" s="16"/>
      <c r="E101" s="16"/>
      <c r="F101" s="16"/>
      <c r="G101" s="16"/>
      <c r="H101" s="16"/>
      <c r="I101" s="16"/>
      <c r="J101" s="109"/>
      <c r="K101" s="16"/>
      <c r="L101" s="16"/>
      <c r="M101" s="16"/>
      <c r="N101" s="16"/>
      <c r="O101" s="16"/>
      <c r="P101" s="16"/>
      <c r="Q101" s="16"/>
      <c r="R101" s="16"/>
      <c r="S101" s="16"/>
      <c r="T101" s="109"/>
      <c r="U101" s="16"/>
      <c r="V101" s="16"/>
      <c r="W101" s="16"/>
      <c r="X101" s="16"/>
      <c r="Y101" s="16"/>
      <c r="Z101" s="16"/>
      <c r="AA101" s="16"/>
      <c r="AB101" s="16"/>
      <c r="AC101" s="16"/>
      <c r="AD101" s="16"/>
      <c r="AE101" s="16"/>
      <c r="AF101" s="16"/>
      <c r="AG101" s="16"/>
      <c r="AH101" s="16"/>
      <c r="AI101" s="16"/>
      <c r="AJ101" s="16"/>
      <c r="AK101" s="16"/>
    </row>
    <row r="102" spans="1:37" x14ac:dyDescent="0.2">
      <c r="A102" s="16"/>
      <c r="B102" s="16"/>
      <c r="C102" s="16"/>
      <c r="D102" s="16"/>
      <c r="E102" s="16"/>
      <c r="F102" s="16"/>
      <c r="G102" s="16"/>
      <c r="H102" s="16"/>
      <c r="I102" s="16"/>
      <c r="J102" s="109"/>
      <c r="K102" s="16"/>
      <c r="L102" s="16"/>
      <c r="M102" s="16"/>
      <c r="N102" s="16"/>
      <c r="O102" s="16"/>
      <c r="P102" s="16"/>
      <c r="Q102" s="16"/>
      <c r="R102" s="16"/>
      <c r="S102" s="16"/>
      <c r="T102" s="109"/>
      <c r="U102" s="16"/>
      <c r="V102" s="16"/>
      <c r="W102" s="16"/>
      <c r="X102" s="16"/>
      <c r="Y102" s="16"/>
      <c r="Z102" s="16"/>
      <c r="AA102" s="16"/>
      <c r="AB102" s="16"/>
      <c r="AC102" s="16"/>
      <c r="AD102" s="16"/>
      <c r="AE102" s="16"/>
      <c r="AF102" s="16"/>
      <c r="AG102" s="16"/>
      <c r="AH102" s="16"/>
      <c r="AI102" s="16"/>
      <c r="AJ102" s="16"/>
      <c r="AK102" s="16"/>
    </row>
    <row r="103" spans="1:37" x14ac:dyDescent="0.2">
      <c r="A103" s="16"/>
      <c r="B103" s="16"/>
      <c r="C103" s="16"/>
      <c r="D103" s="16"/>
      <c r="E103" s="16"/>
      <c r="F103" s="16"/>
      <c r="G103" s="16"/>
      <c r="H103" s="16"/>
      <c r="I103" s="16"/>
      <c r="J103" s="109"/>
      <c r="K103" s="16"/>
      <c r="L103" s="16"/>
      <c r="M103" s="16"/>
      <c r="N103" s="16"/>
      <c r="O103" s="16"/>
      <c r="P103" s="16"/>
      <c r="Q103" s="16"/>
      <c r="R103" s="16"/>
      <c r="S103" s="16"/>
      <c r="T103" s="109"/>
      <c r="U103" s="16"/>
      <c r="V103" s="16"/>
      <c r="W103" s="16"/>
      <c r="X103" s="16"/>
      <c r="Y103" s="16"/>
      <c r="Z103" s="16"/>
      <c r="AA103" s="16"/>
      <c r="AB103" s="16"/>
      <c r="AC103" s="16"/>
      <c r="AD103" s="16"/>
      <c r="AE103" s="16"/>
      <c r="AF103" s="16"/>
      <c r="AG103" s="16"/>
      <c r="AH103" s="16"/>
      <c r="AI103" s="16"/>
      <c r="AJ103" s="16"/>
      <c r="AK103" s="16"/>
    </row>
    <row r="104" spans="1:37" x14ac:dyDescent="0.2">
      <c r="A104" s="16"/>
      <c r="B104" s="16"/>
      <c r="C104" s="16"/>
      <c r="D104" s="16"/>
      <c r="E104" s="16"/>
      <c r="F104" s="16"/>
      <c r="G104" s="16"/>
      <c r="H104" s="16"/>
      <c r="I104" s="16"/>
      <c r="J104" s="109"/>
      <c r="K104" s="16"/>
      <c r="L104" s="16"/>
      <c r="M104" s="16"/>
      <c r="N104" s="16"/>
      <c r="O104" s="16"/>
      <c r="P104" s="16"/>
      <c r="Q104" s="16"/>
      <c r="R104" s="16"/>
      <c r="S104" s="16"/>
      <c r="T104" s="109"/>
      <c r="U104" s="16"/>
      <c r="V104" s="16"/>
      <c r="W104" s="16"/>
      <c r="X104" s="16"/>
      <c r="Y104" s="16"/>
      <c r="Z104" s="16"/>
      <c r="AA104" s="16"/>
      <c r="AB104" s="16"/>
      <c r="AC104" s="16"/>
      <c r="AD104" s="16"/>
      <c r="AE104" s="16"/>
      <c r="AF104" s="16"/>
      <c r="AG104" s="16"/>
      <c r="AH104" s="16"/>
      <c r="AI104" s="16"/>
      <c r="AJ104" s="16"/>
      <c r="AK104" s="16"/>
    </row>
    <row r="105" spans="1:37" x14ac:dyDescent="0.2">
      <c r="A105" s="16"/>
      <c r="B105" s="16"/>
      <c r="C105" s="16"/>
      <c r="D105" s="16"/>
      <c r="E105" s="16"/>
      <c r="F105" s="16"/>
      <c r="G105" s="16"/>
      <c r="H105" s="16"/>
      <c r="I105" s="16"/>
      <c r="J105" s="109"/>
      <c r="K105" s="16"/>
      <c r="L105" s="16"/>
      <c r="M105" s="16"/>
      <c r="N105" s="16"/>
      <c r="O105" s="16"/>
      <c r="P105" s="16"/>
      <c r="Q105" s="16"/>
      <c r="R105" s="16"/>
      <c r="S105" s="16"/>
      <c r="T105" s="109"/>
      <c r="U105" s="16"/>
      <c r="V105" s="16"/>
      <c r="W105" s="16"/>
      <c r="X105" s="16"/>
      <c r="Y105" s="16"/>
      <c r="Z105" s="16"/>
      <c r="AA105" s="16"/>
      <c r="AB105" s="16"/>
      <c r="AC105" s="16"/>
      <c r="AD105" s="16"/>
      <c r="AE105" s="16"/>
      <c r="AF105" s="16"/>
      <c r="AG105" s="16"/>
      <c r="AH105" s="16"/>
      <c r="AI105" s="16"/>
      <c r="AJ105" s="16"/>
      <c r="AK105" s="16"/>
    </row>
    <row r="106" spans="1:37" x14ac:dyDescent="0.2">
      <c r="A106" s="16"/>
      <c r="B106" s="16"/>
      <c r="C106" s="16"/>
      <c r="D106" s="16"/>
      <c r="E106" s="16"/>
      <c r="F106" s="16"/>
      <c r="G106" s="16"/>
      <c r="H106" s="16"/>
      <c r="I106" s="16"/>
      <c r="J106" s="109"/>
      <c r="K106" s="16"/>
      <c r="L106" s="16"/>
      <c r="M106" s="16"/>
      <c r="N106" s="16"/>
      <c r="O106" s="16"/>
      <c r="P106" s="16"/>
      <c r="Q106" s="16"/>
      <c r="R106" s="16"/>
      <c r="S106" s="16"/>
      <c r="T106" s="109"/>
      <c r="U106" s="16"/>
      <c r="V106" s="16"/>
      <c r="W106" s="16"/>
      <c r="X106" s="16"/>
      <c r="Y106" s="16"/>
      <c r="Z106" s="16"/>
      <c r="AA106" s="16"/>
      <c r="AB106" s="16"/>
      <c r="AC106" s="16"/>
      <c r="AD106" s="16"/>
      <c r="AE106" s="16"/>
      <c r="AF106" s="16"/>
      <c r="AG106" s="16"/>
      <c r="AH106" s="16"/>
      <c r="AI106" s="16"/>
      <c r="AJ106" s="16"/>
      <c r="AK106" s="16"/>
    </row>
    <row r="107" spans="1:37" x14ac:dyDescent="0.2">
      <c r="A107" s="16"/>
      <c r="B107" s="16"/>
      <c r="C107" s="16"/>
      <c r="D107" s="16"/>
      <c r="E107" s="16"/>
      <c r="F107" s="16"/>
      <c r="G107" s="16"/>
      <c r="H107" s="16"/>
      <c r="I107" s="16"/>
      <c r="J107" s="109"/>
      <c r="K107" s="16"/>
      <c r="L107" s="16"/>
      <c r="M107" s="16"/>
      <c r="N107" s="16"/>
      <c r="O107" s="16"/>
      <c r="P107" s="16"/>
      <c r="Q107" s="16"/>
      <c r="R107" s="16"/>
      <c r="S107" s="16"/>
      <c r="T107" s="109"/>
      <c r="U107" s="16"/>
      <c r="V107" s="16"/>
      <c r="W107" s="16"/>
      <c r="X107" s="16"/>
      <c r="Y107" s="16"/>
      <c r="Z107" s="16"/>
      <c r="AA107" s="16"/>
      <c r="AB107" s="16"/>
      <c r="AC107" s="16"/>
      <c r="AD107" s="16"/>
      <c r="AE107" s="16"/>
      <c r="AF107" s="16"/>
      <c r="AG107" s="16"/>
      <c r="AH107" s="16"/>
      <c r="AI107" s="16"/>
      <c r="AJ107" s="16"/>
      <c r="AK107" s="16"/>
    </row>
    <row r="108" spans="1:37" x14ac:dyDescent="0.2">
      <c r="A108" s="16"/>
      <c r="B108" s="16"/>
      <c r="C108" s="16"/>
      <c r="D108" s="16"/>
      <c r="E108" s="16"/>
      <c r="F108" s="16"/>
      <c r="G108" s="16"/>
      <c r="H108" s="16"/>
      <c r="I108" s="16"/>
      <c r="J108" s="109"/>
      <c r="K108" s="16"/>
      <c r="L108" s="16"/>
      <c r="M108" s="16"/>
      <c r="N108" s="16"/>
      <c r="O108" s="16"/>
      <c r="P108" s="16"/>
      <c r="Q108" s="16"/>
      <c r="R108" s="16"/>
      <c r="S108" s="16"/>
      <c r="T108" s="109"/>
      <c r="U108" s="16"/>
      <c r="V108" s="16"/>
      <c r="W108" s="16"/>
      <c r="X108" s="16"/>
      <c r="Y108" s="16"/>
      <c r="Z108" s="16"/>
      <c r="AA108" s="16"/>
      <c r="AB108" s="16"/>
      <c r="AC108" s="16"/>
      <c r="AD108" s="16"/>
      <c r="AE108" s="16"/>
      <c r="AF108" s="16"/>
      <c r="AG108" s="16"/>
      <c r="AH108" s="16"/>
      <c r="AI108" s="16"/>
      <c r="AJ108" s="16"/>
      <c r="AK108" s="16"/>
    </row>
    <row r="109" spans="1:37" x14ac:dyDescent="0.2">
      <c r="A109" s="16"/>
      <c r="B109" s="16"/>
      <c r="C109" s="16"/>
      <c r="D109" s="16"/>
      <c r="E109" s="16"/>
      <c r="F109" s="16"/>
      <c r="G109" s="16"/>
      <c r="H109" s="16"/>
      <c r="I109" s="16"/>
      <c r="J109" s="109"/>
      <c r="K109" s="16"/>
      <c r="L109" s="16"/>
      <c r="M109" s="16"/>
      <c r="N109" s="16"/>
      <c r="O109" s="16"/>
      <c r="P109" s="16"/>
      <c r="Q109" s="16"/>
      <c r="R109" s="16"/>
      <c r="S109" s="16"/>
      <c r="T109" s="109"/>
      <c r="U109" s="16"/>
      <c r="V109" s="16"/>
      <c r="W109" s="16"/>
      <c r="X109" s="16"/>
      <c r="Y109" s="16"/>
      <c r="Z109" s="16"/>
      <c r="AA109" s="16"/>
      <c r="AB109" s="16"/>
      <c r="AC109" s="16"/>
      <c r="AD109" s="16"/>
      <c r="AE109" s="16"/>
      <c r="AF109" s="16"/>
      <c r="AG109" s="16"/>
      <c r="AH109" s="16"/>
      <c r="AI109" s="16"/>
      <c r="AJ109" s="16"/>
      <c r="AK109" s="16"/>
    </row>
    <row r="110" spans="1:37" x14ac:dyDescent="0.2">
      <c r="A110" s="16"/>
      <c r="B110" s="16"/>
      <c r="C110" s="16"/>
      <c r="D110" s="16"/>
      <c r="E110" s="16"/>
      <c r="F110" s="16"/>
      <c r="G110" s="16"/>
      <c r="H110" s="16"/>
      <c r="I110" s="16"/>
      <c r="J110" s="109"/>
      <c r="K110" s="16"/>
      <c r="L110" s="16"/>
      <c r="M110" s="16"/>
      <c r="N110" s="16"/>
      <c r="O110" s="16"/>
      <c r="P110" s="16"/>
      <c r="Q110" s="16"/>
      <c r="R110" s="16"/>
      <c r="S110" s="16"/>
      <c r="T110" s="109"/>
      <c r="U110" s="16"/>
      <c r="V110" s="16"/>
      <c r="W110" s="16"/>
      <c r="X110" s="16"/>
      <c r="Y110" s="16"/>
      <c r="Z110" s="16"/>
      <c r="AA110" s="16"/>
      <c r="AB110" s="16"/>
      <c r="AC110" s="16"/>
      <c r="AD110" s="16"/>
      <c r="AE110" s="16"/>
      <c r="AF110" s="16"/>
      <c r="AG110" s="16"/>
      <c r="AH110" s="16"/>
      <c r="AI110" s="16"/>
      <c r="AJ110" s="16"/>
      <c r="AK110" s="16"/>
    </row>
    <row r="111" spans="1:37" x14ac:dyDescent="0.2">
      <c r="A111" s="16"/>
      <c r="B111" s="16"/>
      <c r="C111" s="16"/>
      <c r="D111" s="16"/>
      <c r="E111" s="16"/>
      <c r="F111" s="16"/>
      <c r="G111" s="16"/>
      <c r="H111" s="16"/>
      <c r="I111" s="16"/>
      <c r="J111" s="109"/>
      <c r="K111" s="16"/>
      <c r="L111" s="16"/>
      <c r="M111" s="16"/>
      <c r="N111" s="16"/>
      <c r="O111" s="16"/>
      <c r="P111" s="16"/>
      <c r="Q111" s="16"/>
      <c r="R111" s="16"/>
      <c r="S111" s="16"/>
      <c r="T111" s="109"/>
      <c r="U111" s="16"/>
      <c r="V111" s="16"/>
      <c r="W111" s="16"/>
      <c r="X111" s="16"/>
      <c r="Y111" s="16"/>
      <c r="Z111" s="16"/>
      <c r="AA111" s="16"/>
      <c r="AB111" s="16"/>
      <c r="AC111" s="16"/>
      <c r="AD111" s="16"/>
      <c r="AE111" s="16"/>
      <c r="AF111" s="16"/>
      <c r="AG111" s="16"/>
      <c r="AH111" s="16"/>
      <c r="AI111" s="16"/>
      <c r="AJ111" s="16"/>
      <c r="AK111" s="16"/>
    </row>
    <row r="112" spans="1:37" x14ac:dyDescent="0.2">
      <c r="A112" s="16"/>
      <c r="B112" s="16"/>
      <c r="C112" s="16"/>
      <c r="D112" s="16"/>
      <c r="E112" s="16"/>
      <c r="F112" s="16"/>
      <c r="G112" s="16"/>
      <c r="H112" s="16"/>
      <c r="I112" s="16"/>
      <c r="J112" s="109"/>
      <c r="K112" s="16"/>
      <c r="L112" s="16"/>
      <c r="M112" s="16"/>
      <c r="N112" s="16"/>
      <c r="O112" s="16"/>
      <c r="P112" s="16"/>
      <c r="Q112" s="16"/>
      <c r="R112" s="16"/>
      <c r="S112" s="16"/>
      <c r="T112" s="109"/>
      <c r="U112" s="16"/>
      <c r="V112" s="16"/>
      <c r="W112" s="16"/>
      <c r="X112" s="16"/>
      <c r="Y112" s="16"/>
      <c r="Z112" s="16"/>
      <c r="AA112" s="16"/>
      <c r="AB112" s="16"/>
      <c r="AC112" s="16"/>
      <c r="AD112" s="16"/>
      <c r="AE112" s="16"/>
      <c r="AF112" s="16"/>
      <c r="AG112" s="16"/>
      <c r="AH112" s="16"/>
      <c r="AI112" s="16"/>
      <c r="AJ112" s="16"/>
      <c r="AK112" s="16"/>
    </row>
    <row r="113" spans="1:37" x14ac:dyDescent="0.2">
      <c r="A113" s="16"/>
      <c r="B113" s="16"/>
      <c r="C113" s="16"/>
      <c r="D113" s="16"/>
      <c r="E113" s="16"/>
      <c r="F113" s="16"/>
      <c r="G113" s="16"/>
      <c r="H113" s="16"/>
      <c r="I113" s="16"/>
      <c r="J113" s="109"/>
      <c r="K113" s="16"/>
      <c r="L113" s="16"/>
      <c r="M113" s="16"/>
      <c r="N113" s="16"/>
      <c r="O113" s="16"/>
      <c r="P113" s="16"/>
      <c r="Q113" s="16"/>
      <c r="R113" s="16"/>
      <c r="S113" s="16"/>
      <c r="T113" s="109"/>
      <c r="U113" s="16"/>
      <c r="V113" s="16"/>
      <c r="W113" s="16"/>
      <c r="X113" s="16"/>
      <c r="Y113" s="16"/>
      <c r="Z113" s="16"/>
      <c r="AA113" s="16"/>
      <c r="AB113" s="16"/>
      <c r="AC113" s="16"/>
      <c r="AD113" s="16"/>
      <c r="AE113" s="16"/>
      <c r="AF113" s="16"/>
      <c r="AG113" s="16"/>
      <c r="AH113" s="16"/>
      <c r="AI113" s="16"/>
      <c r="AJ113" s="16"/>
      <c r="AK113" s="16"/>
    </row>
    <row r="114" spans="1:37" x14ac:dyDescent="0.2">
      <c r="A114" s="16"/>
      <c r="B114" s="16"/>
      <c r="C114" s="16"/>
      <c r="D114" s="16"/>
      <c r="E114" s="16"/>
      <c r="F114" s="16"/>
      <c r="G114" s="16"/>
      <c r="H114" s="16"/>
      <c r="I114" s="16"/>
      <c r="J114" s="109"/>
      <c r="K114" s="16"/>
      <c r="L114" s="16"/>
      <c r="M114" s="16"/>
      <c r="N114" s="16"/>
      <c r="O114" s="16"/>
      <c r="P114" s="16"/>
      <c r="Q114" s="16"/>
      <c r="R114" s="16"/>
      <c r="S114" s="16"/>
      <c r="T114" s="109"/>
      <c r="U114" s="16"/>
      <c r="V114" s="16"/>
      <c r="W114" s="16"/>
      <c r="X114" s="16"/>
      <c r="Y114" s="16"/>
      <c r="Z114" s="16"/>
      <c r="AA114" s="16"/>
      <c r="AB114" s="16"/>
      <c r="AC114" s="16"/>
      <c r="AD114" s="16"/>
      <c r="AE114" s="16"/>
      <c r="AF114" s="16"/>
      <c r="AG114" s="16"/>
      <c r="AH114" s="16"/>
      <c r="AI114" s="16"/>
      <c r="AJ114" s="16"/>
      <c r="AK114" s="16"/>
    </row>
    <row r="115" spans="1:37" x14ac:dyDescent="0.2">
      <c r="A115" s="16"/>
      <c r="B115" s="16"/>
      <c r="C115" s="16"/>
      <c r="D115" s="16"/>
      <c r="E115" s="16"/>
      <c r="F115" s="16"/>
      <c r="G115" s="16"/>
      <c r="H115" s="16"/>
      <c r="I115" s="16"/>
      <c r="J115" s="109"/>
      <c r="K115" s="16"/>
      <c r="L115" s="16"/>
      <c r="M115" s="16"/>
      <c r="N115" s="16"/>
      <c r="O115" s="16"/>
      <c r="P115" s="16"/>
      <c r="Q115" s="16"/>
      <c r="R115" s="16"/>
      <c r="S115" s="16"/>
      <c r="T115" s="109"/>
      <c r="U115" s="16"/>
      <c r="V115" s="16"/>
      <c r="W115" s="16"/>
      <c r="X115" s="16"/>
      <c r="Y115" s="16"/>
      <c r="Z115" s="16"/>
      <c r="AA115" s="16"/>
      <c r="AB115" s="16"/>
      <c r="AC115" s="16"/>
      <c r="AD115" s="16"/>
      <c r="AE115" s="16"/>
      <c r="AF115" s="16"/>
      <c r="AG115" s="16"/>
      <c r="AH115" s="16"/>
      <c r="AI115" s="16"/>
      <c r="AJ115" s="16"/>
      <c r="AK115" s="16"/>
    </row>
    <row r="116" spans="1:37" x14ac:dyDescent="0.2">
      <c r="A116" s="16"/>
      <c r="B116" s="16"/>
      <c r="C116" s="16"/>
      <c r="D116" s="16"/>
      <c r="E116" s="16"/>
      <c r="F116" s="16"/>
      <c r="G116" s="16"/>
      <c r="H116" s="16"/>
      <c r="I116" s="16"/>
      <c r="J116" s="109"/>
      <c r="K116" s="16"/>
      <c r="L116" s="16"/>
      <c r="M116" s="16"/>
      <c r="N116" s="16"/>
      <c r="O116" s="16"/>
      <c r="P116" s="16"/>
      <c r="Q116" s="16"/>
      <c r="R116" s="16"/>
      <c r="S116" s="16"/>
      <c r="T116" s="109"/>
      <c r="U116" s="16"/>
      <c r="V116" s="16"/>
      <c r="W116" s="16"/>
      <c r="X116" s="16"/>
      <c r="Y116" s="16"/>
      <c r="Z116" s="16"/>
      <c r="AA116" s="16"/>
      <c r="AB116" s="16"/>
      <c r="AC116" s="16"/>
      <c r="AD116" s="16"/>
      <c r="AE116" s="16"/>
      <c r="AF116" s="16"/>
      <c r="AG116" s="16"/>
      <c r="AH116" s="16"/>
      <c r="AI116" s="16"/>
      <c r="AJ116" s="16"/>
      <c r="AK116" s="16"/>
    </row>
    <row r="117" spans="1:37" x14ac:dyDescent="0.2">
      <c r="A117" s="16"/>
      <c r="B117" s="16"/>
      <c r="C117" s="16"/>
      <c r="D117" s="16"/>
      <c r="E117" s="16"/>
      <c r="F117" s="16"/>
      <c r="G117" s="16"/>
      <c r="H117" s="16"/>
      <c r="I117" s="16"/>
      <c r="J117" s="109"/>
      <c r="K117" s="16"/>
      <c r="L117" s="16"/>
      <c r="M117" s="16"/>
      <c r="N117" s="16"/>
      <c r="O117" s="16"/>
      <c r="P117" s="16"/>
      <c r="Q117" s="16"/>
      <c r="R117" s="16"/>
      <c r="S117" s="16"/>
      <c r="T117" s="109"/>
      <c r="U117" s="16"/>
      <c r="V117" s="16"/>
      <c r="W117" s="16"/>
      <c r="X117" s="16"/>
      <c r="Y117" s="16"/>
      <c r="Z117" s="16"/>
      <c r="AA117" s="16"/>
      <c r="AB117" s="16"/>
      <c r="AC117" s="16"/>
      <c r="AD117" s="16"/>
      <c r="AE117" s="16"/>
      <c r="AF117" s="16"/>
      <c r="AG117" s="16"/>
      <c r="AH117" s="16"/>
      <c r="AI117" s="16"/>
      <c r="AJ117" s="16"/>
      <c r="AK117" s="16"/>
    </row>
    <row r="118" spans="1:37" x14ac:dyDescent="0.2">
      <c r="A118" s="16"/>
      <c r="B118" s="16"/>
      <c r="C118" s="16"/>
      <c r="D118" s="16"/>
      <c r="E118" s="16"/>
      <c r="F118" s="16"/>
      <c r="G118" s="16"/>
      <c r="H118" s="16"/>
      <c r="I118" s="16"/>
      <c r="J118" s="109"/>
      <c r="K118" s="16"/>
      <c r="L118" s="16"/>
      <c r="M118" s="16"/>
      <c r="N118" s="16"/>
      <c r="O118" s="16"/>
      <c r="P118" s="16"/>
      <c r="Q118" s="16"/>
      <c r="R118" s="16"/>
      <c r="S118" s="16"/>
      <c r="T118" s="109"/>
      <c r="U118" s="16"/>
      <c r="V118" s="16"/>
      <c r="W118" s="16"/>
      <c r="X118" s="16"/>
      <c r="Y118" s="16"/>
      <c r="Z118" s="16"/>
      <c r="AA118" s="16"/>
      <c r="AB118" s="16"/>
      <c r="AC118" s="16"/>
      <c r="AD118" s="16"/>
      <c r="AE118" s="16"/>
      <c r="AF118" s="16"/>
      <c r="AG118" s="16"/>
      <c r="AH118" s="16"/>
      <c r="AI118" s="16"/>
      <c r="AJ118" s="16"/>
      <c r="AK118" s="16"/>
    </row>
    <row r="119" spans="1:37" x14ac:dyDescent="0.2">
      <c r="A119" s="16"/>
      <c r="B119" s="16"/>
      <c r="C119" s="16"/>
      <c r="D119" s="16"/>
      <c r="E119" s="16"/>
      <c r="F119" s="16"/>
      <c r="G119" s="16"/>
      <c r="H119" s="16"/>
      <c r="I119" s="16"/>
      <c r="J119" s="109"/>
      <c r="K119" s="16"/>
      <c r="L119" s="16"/>
      <c r="M119" s="16"/>
      <c r="N119" s="16"/>
      <c r="O119" s="16"/>
      <c r="P119" s="16"/>
      <c r="Q119" s="16"/>
      <c r="R119" s="16"/>
      <c r="S119" s="16"/>
      <c r="T119" s="109"/>
      <c r="U119" s="16"/>
      <c r="V119" s="16"/>
      <c r="W119" s="16"/>
      <c r="X119" s="16"/>
      <c r="Y119" s="16"/>
      <c r="Z119" s="16"/>
      <c r="AA119" s="16"/>
      <c r="AB119" s="16"/>
      <c r="AC119" s="16"/>
      <c r="AD119" s="16"/>
      <c r="AE119" s="16"/>
      <c r="AF119" s="16"/>
      <c r="AG119" s="16"/>
      <c r="AH119" s="16"/>
      <c r="AI119" s="16"/>
      <c r="AJ119" s="16"/>
      <c r="AK119" s="16"/>
    </row>
    <row r="120" spans="1:37" x14ac:dyDescent="0.2">
      <c r="A120" s="16"/>
      <c r="B120" s="16"/>
      <c r="C120" s="16"/>
      <c r="D120" s="16"/>
      <c r="E120" s="16"/>
      <c r="F120" s="16"/>
      <c r="G120" s="16"/>
      <c r="H120" s="16"/>
      <c r="I120" s="16"/>
      <c r="J120" s="109"/>
      <c r="K120" s="16"/>
      <c r="L120" s="16"/>
      <c r="M120" s="16"/>
      <c r="N120" s="16"/>
      <c r="O120" s="16"/>
      <c r="P120" s="16"/>
      <c r="Q120" s="16"/>
      <c r="R120" s="16"/>
      <c r="S120" s="16"/>
      <c r="T120" s="109"/>
      <c r="U120" s="16"/>
      <c r="V120" s="16"/>
      <c r="W120" s="16"/>
      <c r="X120" s="16"/>
      <c r="Y120" s="16"/>
      <c r="Z120" s="16"/>
      <c r="AA120" s="16"/>
      <c r="AB120" s="16"/>
      <c r="AC120" s="16"/>
      <c r="AD120" s="16"/>
      <c r="AE120" s="16"/>
      <c r="AF120" s="16"/>
      <c r="AG120" s="16"/>
      <c r="AH120" s="16"/>
      <c r="AI120" s="16"/>
      <c r="AJ120" s="16"/>
      <c r="AK120" s="16"/>
    </row>
    <row r="121" spans="1:37" x14ac:dyDescent="0.2">
      <c r="A121" s="16"/>
      <c r="B121" s="16"/>
      <c r="C121" s="16"/>
      <c r="D121" s="16"/>
      <c r="E121" s="16"/>
      <c r="F121" s="16"/>
      <c r="G121" s="16"/>
      <c r="H121" s="16"/>
      <c r="I121" s="16"/>
      <c r="J121" s="109"/>
      <c r="K121" s="16"/>
      <c r="L121" s="16"/>
      <c r="M121" s="16"/>
      <c r="N121" s="16"/>
      <c r="O121" s="16"/>
      <c r="P121" s="16"/>
      <c r="Q121" s="16"/>
      <c r="R121" s="16"/>
      <c r="S121" s="16"/>
      <c r="T121" s="109"/>
      <c r="U121" s="16"/>
      <c r="V121" s="16"/>
      <c r="W121" s="16"/>
      <c r="X121" s="16"/>
      <c r="Y121" s="16"/>
      <c r="Z121" s="16"/>
      <c r="AA121" s="16"/>
      <c r="AB121" s="16"/>
      <c r="AC121" s="16"/>
      <c r="AD121" s="16"/>
      <c r="AE121" s="16"/>
      <c r="AF121" s="16"/>
      <c r="AG121" s="16"/>
      <c r="AH121" s="16"/>
      <c r="AI121" s="16"/>
      <c r="AJ121" s="16"/>
      <c r="AK121" s="16"/>
    </row>
    <row r="122" spans="1:37" x14ac:dyDescent="0.2">
      <c r="A122" s="16"/>
      <c r="B122" s="16"/>
      <c r="C122" s="16"/>
      <c r="D122" s="16"/>
      <c r="E122" s="16"/>
      <c r="F122" s="16"/>
      <c r="G122" s="16"/>
      <c r="H122" s="16"/>
      <c r="I122" s="16"/>
      <c r="J122" s="109"/>
      <c r="K122" s="16"/>
      <c r="L122" s="16"/>
      <c r="M122" s="16"/>
      <c r="N122" s="16"/>
      <c r="O122" s="16"/>
      <c r="P122" s="16"/>
      <c r="Q122" s="16"/>
      <c r="R122" s="16"/>
      <c r="S122" s="16"/>
      <c r="T122" s="109"/>
      <c r="U122" s="16"/>
      <c r="V122" s="16"/>
      <c r="W122" s="16"/>
      <c r="X122" s="16"/>
      <c r="Y122" s="16"/>
      <c r="Z122" s="16"/>
      <c r="AA122" s="16"/>
      <c r="AB122" s="16"/>
      <c r="AC122" s="16"/>
      <c r="AD122" s="16"/>
      <c r="AE122" s="16"/>
      <c r="AF122" s="16"/>
      <c r="AG122" s="16"/>
      <c r="AH122" s="16"/>
      <c r="AI122" s="16"/>
      <c r="AJ122" s="16"/>
      <c r="AK122" s="16"/>
    </row>
    <row r="123" spans="1:37" x14ac:dyDescent="0.2">
      <c r="A123" s="16"/>
      <c r="B123" s="16"/>
      <c r="C123" s="16"/>
      <c r="D123" s="16"/>
      <c r="E123" s="16"/>
      <c r="F123" s="16"/>
      <c r="G123" s="16"/>
      <c r="H123" s="16"/>
      <c r="I123" s="16"/>
      <c r="J123" s="109"/>
      <c r="K123" s="16"/>
      <c r="L123" s="16"/>
      <c r="M123" s="16"/>
      <c r="N123" s="16"/>
      <c r="O123" s="16"/>
      <c r="P123" s="16"/>
      <c r="Q123" s="16"/>
      <c r="R123" s="16"/>
      <c r="S123" s="16"/>
      <c r="T123" s="109"/>
      <c r="U123" s="16"/>
      <c r="V123" s="16"/>
      <c r="W123" s="16"/>
      <c r="X123" s="16"/>
      <c r="Y123" s="16"/>
      <c r="Z123" s="16"/>
      <c r="AA123" s="16"/>
      <c r="AB123" s="16"/>
      <c r="AC123" s="16"/>
      <c r="AD123" s="16"/>
      <c r="AE123" s="16"/>
      <c r="AF123" s="16"/>
      <c r="AG123" s="16"/>
      <c r="AH123" s="16"/>
      <c r="AI123" s="16"/>
      <c r="AJ123" s="16"/>
      <c r="AK123" s="16"/>
    </row>
    <row r="124" spans="1:37" x14ac:dyDescent="0.2">
      <c r="A124" s="16"/>
      <c r="B124" s="16"/>
      <c r="C124" s="16"/>
      <c r="D124" s="16"/>
      <c r="E124" s="16"/>
      <c r="F124" s="16"/>
      <c r="G124" s="16"/>
      <c r="H124" s="16"/>
      <c r="I124" s="16"/>
      <c r="J124" s="109"/>
      <c r="K124" s="16"/>
      <c r="L124" s="16"/>
      <c r="M124" s="16"/>
      <c r="N124" s="16"/>
      <c r="O124" s="16"/>
      <c r="P124" s="16"/>
      <c r="Q124" s="16"/>
      <c r="R124" s="16"/>
      <c r="S124" s="16"/>
      <c r="T124" s="109"/>
      <c r="U124" s="16"/>
      <c r="V124" s="16"/>
      <c r="W124" s="16"/>
      <c r="X124" s="16"/>
      <c r="Y124" s="16"/>
      <c r="Z124" s="16"/>
      <c r="AA124" s="16"/>
      <c r="AB124" s="16"/>
      <c r="AC124" s="16"/>
      <c r="AD124" s="16"/>
      <c r="AE124" s="16"/>
      <c r="AF124" s="16"/>
      <c r="AG124" s="16"/>
      <c r="AH124" s="16"/>
      <c r="AI124" s="16"/>
      <c r="AJ124" s="16"/>
      <c r="AK124" s="16"/>
    </row>
    <row r="125" spans="1:37" x14ac:dyDescent="0.2">
      <c r="A125" s="16"/>
      <c r="B125" s="16"/>
      <c r="C125" s="16"/>
      <c r="D125" s="16"/>
      <c r="E125" s="16"/>
      <c r="F125" s="16"/>
      <c r="G125" s="16"/>
      <c r="H125" s="16"/>
      <c r="I125" s="16"/>
      <c r="J125" s="109"/>
      <c r="K125" s="16"/>
      <c r="L125" s="16"/>
      <c r="M125" s="16"/>
      <c r="N125" s="16"/>
      <c r="O125" s="16"/>
      <c r="P125" s="16"/>
      <c r="Q125" s="16"/>
      <c r="R125" s="16"/>
      <c r="S125" s="16"/>
      <c r="T125" s="109"/>
      <c r="U125" s="16"/>
      <c r="V125" s="16"/>
      <c r="W125" s="16"/>
      <c r="X125" s="16"/>
      <c r="Y125" s="16"/>
      <c r="Z125" s="16"/>
      <c r="AA125" s="16"/>
      <c r="AB125" s="16"/>
      <c r="AC125" s="16"/>
      <c r="AD125" s="16"/>
      <c r="AE125" s="16"/>
      <c r="AF125" s="16"/>
      <c r="AG125" s="16"/>
      <c r="AH125" s="16"/>
      <c r="AI125" s="16"/>
      <c r="AJ125" s="16"/>
      <c r="AK125" s="16"/>
    </row>
    <row r="126" spans="1:37" x14ac:dyDescent="0.2">
      <c r="A126" s="16"/>
      <c r="B126" s="16"/>
      <c r="C126" s="16"/>
      <c r="D126" s="16"/>
      <c r="E126" s="16"/>
      <c r="F126" s="16"/>
      <c r="G126" s="16"/>
      <c r="H126" s="16"/>
      <c r="I126" s="16"/>
      <c r="J126" s="109"/>
      <c r="K126" s="16"/>
      <c r="L126" s="16"/>
      <c r="M126" s="16"/>
      <c r="N126" s="16"/>
      <c r="O126" s="16"/>
      <c r="P126" s="16"/>
      <c r="Q126" s="16"/>
      <c r="R126" s="16"/>
      <c r="S126" s="16"/>
      <c r="T126" s="109"/>
      <c r="U126" s="16"/>
      <c r="V126" s="16"/>
      <c r="W126" s="16"/>
      <c r="X126" s="16"/>
      <c r="Y126" s="16"/>
      <c r="Z126" s="16"/>
      <c r="AA126" s="16"/>
      <c r="AB126" s="16"/>
      <c r="AC126" s="16"/>
      <c r="AD126" s="16"/>
      <c r="AE126" s="16"/>
      <c r="AF126" s="16"/>
      <c r="AG126" s="16"/>
      <c r="AH126" s="16"/>
      <c r="AI126" s="16"/>
      <c r="AJ126" s="16"/>
      <c r="AK126" s="16"/>
    </row>
    <row r="127" spans="1:37" x14ac:dyDescent="0.2">
      <c r="A127" s="16"/>
      <c r="B127" s="16"/>
      <c r="C127" s="16"/>
      <c r="D127" s="16"/>
      <c r="E127" s="16"/>
      <c r="F127" s="16"/>
      <c r="G127" s="16"/>
      <c r="H127" s="16"/>
      <c r="I127" s="16"/>
      <c r="J127" s="109"/>
      <c r="K127" s="16"/>
      <c r="L127" s="16"/>
      <c r="M127" s="16"/>
      <c r="N127" s="16"/>
      <c r="O127" s="16"/>
      <c r="P127" s="16"/>
      <c r="Q127" s="16"/>
      <c r="R127" s="16"/>
      <c r="S127" s="16"/>
      <c r="T127" s="109"/>
      <c r="U127" s="16"/>
      <c r="V127" s="16"/>
      <c r="W127" s="16"/>
      <c r="X127" s="16"/>
      <c r="Y127" s="16"/>
      <c r="Z127" s="16"/>
      <c r="AA127" s="16"/>
      <c r="AB127" s="16"/>
      <c r="AC127" s="16"/>
      <c r="AD127" s="16"/>
      <c r="AE127" s="16"/>
      <c r="AF127" s="16"/>
      <c r="AG127" s="16"/>
      <c r="AH127" s="16"/>
      <c r="AI127" s="16"/>
      <c r="AJ127" s="16"/>
      <c r="AK127" s="16"/>
    </row>
    <row r="128" spans="1:37" x14ac:dyDescent="0.2">
      <c r="A128" s="16"/>
      <c r="B128" s="16"/>
      <c r="C128" s="16"/>
      <c r="D128" s="16"/>
      <c r="E128" s="16"/>
      <c r="F128" s="16"/>
      <c r="G128" s="16"/>
      <c r="H128" s="16"/>
      <c r="I128" s="16"/>
      <c r="J128" s="109"/>
      <c r="K128" s="16"/>
      <c r="L128" s="16"/>
      <c r="M128" s="16"/>
      <c r="N128" s="16"/>
      <c r="O128" s="16"/>
      <c r="P128" s="16"/>
      <c r="Q128" s="16"/>
      <c r="R128" s="16"/>
      <c r="S128" s="16"/>
      <c r="T128" s="109"/>
      <c r="U128" s="16"/>
      <c r="V128" s="16"/>
      <c r="W128" s="16"/>
      <c r="X128" s="16"/>
      <c r="Y128" s="16"/>
      <c r="Z128" s="16"/>
      <c r="AA128" s="16"/>
      <c r="AB128" s="16"/>
      <c r="AC128" s="16"/>
      <c r="AD128" s="16"/>
      <c r="AE128" s="16"/>
      <c r="AF128" s="16"/>
      <c r="AG128" s="16"/>
      <c r="AH128" s="16"/>
      <c r="AI128" s="16"/>
      <c r="AJ128" s="16"/>
      <c r="AK128" s="16"/>
    </row>
    <row r="129" spans="1:37" x14ac:dyDescent="0.2">
      <c r="A129" s="16"/>
      <c r="B129" s="16"/>
      <c r="C129" s="16"/>
      <c r="D129" s="16"/>
      <c r="E129" s="16"/>
      <c r="F129" s="16"/>
      <c r="G129" s="16"/>
      <c r="H129" s="16"/>
      <c r="I129" s="16"/>
      <c r="J129" s="109"/>
      <c r="K129" s="16"/>
      <c r="L129" s="16"/>
      <c r="M129" s="16"/>
      <c r="N129" s="16"/>
      <c r="O129" s="16"/>
      <c r="P129" s="16"/>
      <c r="Q129" s="16"/>
      <c r="R129" s="16"/>
      <c r="S129" s="16"/>
      <c r="T129" s="109"/>
      <c r="U129" s="16"/>
      <c r="V129" s="16"/>
      <c r="W129" s="16"/>
      <c r="X129" s="16"/>
      <c r="Y129" s="16"/>
      <c r="Z129" s="16"/>
      <c r="AA129" s="16"/>
      <c r="AB129" s="16"/>
      <c r="AC129" s="16"/>
      <c r="AD129" s="16"/>
      <c r="AE129" s="16"/>
      <c r="AF129" s="16"/>
      <c r="AG129" s="16"/>
      <c r="AH129" s="16"/>
      <c r="AI129" s="16"/>
      <c r="AJ129" s="16"/>
      <c r="AK129" s="16"/>
    </row>
    <row r="130" spans="1:37" x14ac:dyDescent="0.2">
      <c r="A130" s="16"/>
      <c r="B130" s="16"/>
      <c r="C130" s="16"/>
      <c r="D130" s="16"/>
      <c r="E130" s="16"/>
      <c r="F130" s="16"/>
      <c r="G130" s="16"/>
      <c r="H130" s="16"/>
      <c r="I130" s="16"/>
      <c r="J130" s="109"/>
      <c r="K130" s="16"/>
      <c r="L130" s="16"/>
      <c r="M130" s="16"/>
      <c r="N130" s="16"/>
      <c r="O130" s="16"/>
      <c r="P130" s="16"/>
      <c r="Q130" s="16"/>
      <c r="R130" s="16"/>
      <c r="S130" s="16"/>
      <c r="T130" s="109"/>
      <c r="U130" s="16"/>
      <c r="V130" s="16"/>
      <c r="W130" s="16"/>
      <c r="X130" s="16"/>
      <c r="Y130" s="16"/>
      <c r="Z130" s="16"/>
      <c r="AA130" s="16"/>
      <c r="AB130" s="16"/>
      <c r="AC130" s="16"/>
      <c r="AD130" s="16"/>
      <c r="AE130" s="16"/>
      <c r="AF130" s="16"/>
      <c r="AG130" s="16"/>
      <c r="AH130" s="16"/>
      <c r="AI130" s="16"/>
      <c r="AJ130" s="16"/>
      <c r="AK130" s="16"/>
    </row>
    <row r="131" spans="1:37" x14ac:dyDescent="0.2">
      <c r="A131" s="16"/>
      <c r="B131" s="16"/>
      <c r="C131" s="16"/>
      <c r="D131" s="16"/>
      <c r="E131" s="16"/>
      <c r="F131" s="16"/>
      <c r="G131" s="16"/>
      <c r="H131" s="16"/>
      <c r="I131" s="16"/>
      <c r="J131" s="109"/>
      <c r="K131" s="16"/>
      <c r="L131" s="16"/>
      <c r="M131" s="16"/>
      <c r="N131" s="16"/>
      <c r="O131" s="16"/>
      <c r="P131" s="16"/>
      <c r="Q131" s="16"/>
      <c r="R131" s="16"/>
      <c r="S131" s="16"/>
      <c r="T131" s="109"/>
      <c r="U131" s="16"/>
      <c r="V131" s="16"/>
      <c r="W131" s="16"/>
      <c r="X131" s="16"/>
      <c r="Y131" s="16"/>
      <c r="Z131" s="16"/>
      <c r="AA131" s="16"/>
      <c r="AB131" s="16"/>
      <c r="AC131" s="16"/>
      <c r="AD131" s="16"/>
      <c r="AE131" s="16"/>
      <c r="AF131" s="16"/>
      <c r="AG131" s="16"/>
      <c r="AH131" s="16"/>
      <c r="AI131" s="16"/>
      <c r="AJ131" s="16"/>
      <c r="AK131" s="16"/>
    </row>
    <row r="132" spans="1:37" x14ac:dyDescent="0.2">
      <c r="A132" s="16"/>
      <c r="B132" s="16"/>
      <c r="C132" s="16"/>
      <c r="D132" s="16"/>
      <c r="E132" s="16"/>
      <c r="F132" s="16"/>
      <c r="G132" s="16"/>
      <c r="H132" s="16"/>
      <c r="I132" s="16"/>
      <c r="J132" s="109"/>
      <c r="K132" s="16"/>
      <c r="L132" s="16"/>
      <c r="M132" s="16"/>
      <c r="N132" s="16"/>
      <c r="O132" s="16"/>
      <c r="P132" s="16"/>
      <c r="Q132" s="16"/>
      <c r="R132" s="16"/>
      <c r="S132" s="16"/>
      <c r="T132" s="109"/>
      <c r="U132" s="16"/>
      <c r="V132" s="16"/>
      <c r="W132" s="16"/>
      <c r="X132" s="16"/>
      <c r="Y132" s="16"/>
      <c r="Z132" s="16"/>
      <c r="AA132" s="16"/>
      <c r="AB132" s="16"/>
      <c r="AC132" s="16"/>
      <c r="AD132" s="16"/>
      <c r="AE132" s="16"/>
      <c r="AF132" s="16"/>
      <c r="AG132" s="16"/>
      <c r="AH132" s="16"/>
      <c r="AI132" s="16"/>
      <c r="AJ132" s="16"/>
      <c r="AK132" s="16"/>
    </row>
    <row r="133" spans="1:37" x14ac:dyDescent="0.2">
      <c r="A133" s="16"/>
      <c r="B133" s="16"/>
      <c r="C133" s="16"/>
      <c r="D133" s="16"/>
      <c r="E133" s="16"/>
      <c r="F133" s="16"/>
      <c r="G133" s="16"/>
      <c r="H133" s="16"/>
      <c r="I133" s="16"/>
      <c r="J133" s="109"/>
      <c r="K133" s="16"/>
      <c r="L133" s="16"/>
      <c r="M133" s="16"/>
      <c r="N133" s="16"/>
      <c r="O133" s="16"/>
      <c r="P133" s="16"/>
      <c r="Q133" s="16"/>
      <c r="R133" s="16"/>
      <c r="S133" s="16"/>
      <c r="T133" s="109"/>
      <c r="U133" s="16"/>
      <c r="V133" s="16"/>
      <c r="W133" s="16"/>
      <c r="X133" s="16"/>
      <c r="Y133" s="16"/>
      <c r="Z133" s="16"/>
      <c r="AA133" s="16"/>
      <c r="AB133" s="16"/>
      <c r="AC133" s="16"/>
      <c r="AD133" s="16"/>
      <c r="AE133" s="16"/>
      <c r="AF133" s="16"/>
      <c r="AG133" s="16"/>
      <c r="AH133" s="16"/>
      <c r="AI133" s="16"/>
      <c r="AJ133" s="16"/>
      <c r="AK133" s="16"/>
    </row>
    <row r="134" spans="1:37" x14ac:dyDescent="0.2">
      <c r="A134" s="16"/>
      <c r="B134" s="16"/>
      <c r="C134" s="16"/>
      <c r="D134" s="16"/>
      <c r="E134" s="16"/>
      <c r="F134" s="16"/>
      <c r="G134" s="16"/>
      <c r="H134" s="16"/>
      <c r="I134" s="16"/>
      <c r="J134" s="109"/>
      <c r="K134" s="16"/>
      <c r="L134" s="16"/>
      <c r="M134" s="16"/>
      <c r="N134" s="16"/>
      <c r="O134" s="16"/>
      <c r="P134" s="16"/>
      <c r="Q134" s="16"/>
      <c r="R134" s="16"/>
      <c r="S134" s="16"/>
      <c r="T134" s="109"/>
      <c r="U134" s="16"/>
      <c r="V134" s="16"/>
      <c r="W134" s="16"/>
      <c r="X134" s="16"/>
      <c r="Y134" s="16"/>
      <c r="Z134" s="16"/>
      <c r="AA134" s="16"/>
      <c r="AB134" s="16"/>
      <c r="AC134" s="16"/>
      <c r="AD134" s="16"/>
      <c r="AE134" s="16"/>
      <c r="AF134" s="16"/>
      <c r="AG134" s="16"/>
      <c r="AH134" s="16"/>
      <c r="AI134" s="16"/>
      <c r="AJ134" s="16"/>
      <c r="AK134" s="16"/>
    </row>
    <row r="135" spans="1:37" x14ac:dyDescent="0.2">
      <c r="A135" s="16"/>
      <c r="B135" s="16"/>
      <c r="C135" s="16"/>
      <c r="D135" s="16"/>
      <c r="E135" s="16"/>
      <c r="F135" s="16"/>
      <c r="G135" s="16"/>
      <c r="H135" s="16"/>
      <c r="I135" s="16"/>
      <c r="J135" s="109"/>
      <c r="K135" s="16"/>
      <c r="L135" s="16"/>
      <c r="M135" s="16"/>
      <c r="N135" s="16"/>
      <c r="O135" s="16"/>
      <c r="P135" s="16"/>
      <c r="Q135" s="16"/>
      <c r="R135" s="16"/>
      <c r="S135" s="16"/>
      <c r="T135" s="109"/>
      <c r="U135" s="16"/>
      <c r="V135" s="16"/>
      <c r="W135" s="16"/>
      <c r="X135" s="16"/>
      <c r="Y135" s="16"/>
      <c r="Z135" s="16"/>
      <c r="AA135" s="16"/>
      <c r="AB135" s="16"/>
      <c r="AC135" s="16"/>
      <c r="AD135" s="16"/>
      <c r="AE135" s="16"/>
      <c r="AF135" s="16"/>
      <c r="AG135" s="16"/>
      <c r="AH135" s="16"/>
      <c r="AI135" s="16"/>
      <c r="AJ135" s="16"/>
      <c r="AK135" s="16"/>
    </row>
    <row r="136" spans="1:37" x14ac:dyDescent="0.2">
      <c r="A136" s="16"/>
      <c r="B136" s="16"/>
      <c r="C136" s="16"/>
      <c r="D136" s="16"/>
      <c r="E136" s="16"/>
      <c r="F136" s="16"/>
      <c r="G136" s="16"/>
      <c r="H136" s="16"/>
      <c r="I136" s="16"/>
      <c r="J136" s="109"/>
      <c r="K136" s="16"/>
      <c r="L136" s="16"/>
      <c r="M136" s="16"/>
      <c r="N136" s="16"/>
      <c r="O136" s="16"/>
      <c r="P136" s="16"/>
      <c r="Q136" s="16"/>
      <c r="R136" s="16"/>
      <c r="S136" s="16"/>
      <c r="T136" s="109"/>
      <c r="U136" s="16"/>
      <c r="V136" s="16"/>
      <c r="W136" s="16"/>
      <c r="X136" s="16"/>
      <c r="Y136" s="16"/>
      <c r="Z136" s="16"/>
      <c r="AA136" s="16"/>
      <c r="AB136" s="16"/>
      <c r="AC136" s="16"/>
      <c r="AD136" s="16"/>
      <c r="AE136" s="16"/>
      <c r="AF136" s="16"/>
      <c r="AG136" s="16"/>
      <c r="AH136" s="16"/>
      <c r="AI136" s="16"/>
      <c r="AJ136" s="16"/>
      <c r="AK136" s="16"/>
    </row>
    <row r="137" spans="1:37" x14ac:dyDescent="0.2">
      <c r="A137" s="16"/>
      <c r="C137" s="16"/>
      <c r="D137" s="16"/>
      <c r="E137" s="16"/>
      <c r="F137" s="16"/>
      <c r="G137" s="16"/>
      <c r="H137" s="16"/>
      <c r="I137" s="16"/>
      <c r="J137" s="109"/>
      <c r="K137" s="16"/>
      <c r="L137" s="16"/>
      <c r="M137" s="16"/>
      <c r="N137" s="16"/>
      <c r="O137" s="16"/>
      <c r="P137" s="16"/>
      <c r="Q137" s="16"/>
      <c r="R137" s="16"/>
      <c r="S137" s="16"/>
      <c r="T137" s="109"/>
      <c r="U137" s="16"/>
      <c r="V137" s="16"/>
      <c r="W137" s="16"/>
      <c r="X137" s="16"/>
      <c r="Y137" s="16"/>
      <c r="Z137" s="16"/>
      <c r="AA137" s="16"/>
      <c r="AB137" s="16"/>
      <c r="AC137" s="16"/>
      <c r="AD137" s="16"/>
      <c r="AE137" s="16"/>
      <c r="AF137" s="16"/>
      <c r="AG137" s="16"/>
      <c r="AH137" s="16"/>
      <c r="AI137" s="16"/>
      <c r="AJ137" s="16"/>
      <c r="AK137" s="16"/>
    </row>
    <row r="138" spans="1:37" x14ac:dyDescent="0.2">
      <c r="A138" s="16"/>
      <c r="C138" s="16"/>
      <c r="D138" s="16"/>
      <c r="E138" s="16"/>
      <c r="F138" s="16"/>
      <c r="G138" s="16"/>
      <c r="H138" s="16"/>
      <c r="I138" s="16"/>
      <c r="J138" s="109"/>
      <c r="K138" s="16"/>
      <c r="L138" s="16"/>
      <c r="M138" s="16"/>
      <c r="N138" s="16"/>
      <c r="O138" s="16"/>
      <c r="P138" s="16"/>
      <c r="Q138" s="16"/>
      <c r="R138" s="16"/>
      <c r="S138" s="16"/>
      <c r="T138" s="109"/>
      <c r="U138" s="16"/>
      <c r="V138" s="16"/>
      <c r="W138" s="16"/>
      <c r="X138" s="16"/>
      <c r="Y138" s="16"/>
      <c r="Z138" s="16"/>
      <c r="AA138" s="16"/>
      <c r="AB138" s="16"/>
      <c r="AC138" s="16"/>
      <c r="AD138" s="16"/>
      <c r="AE138" s="16"/>
      <c r="AF138" s="16"/>
      <c r="AG138" s="16"/>
      <c r="AH138" s="16"/>
      <c r="AI138" s="16"/>
      <c r="AJ138" s="16"/>
      <c r="AK138" s="16"/>
    </row>
    <row r="139" spans="1:37" x14ac:dyDescent="0.2">
      <c r="A139" s="16"/>
      <c r="C139" s="16"/>
      <c r="D139" s="16"/>
      <c r="E139" s="16"/>
      <c r="F139" s="16"/>
      <c r="G139" s="16"/>
      <c r="H139" s="16"/>
      <c r="I139" s="16"/>
      <c r="J139" s="109"/>
      <c r="K139" s="16"/>
      <c r="L139" s="16"/>
      <c r="M139" s="16"/>
      <c r="N139" s="16"/>
      <c r="O139" s="16"/>
      <c r="P139" s="16"/>
      <c r="Q139" s="16"/>
      <c r="R139" s="16"/>
      <c r="S139" s="16"/>
      <c r="T139" s="109"/>
      <c r="U139" s="16"/>
      <c r="V139" s="16"/>
      <c r="W139" s="16"/>
      <c r="X139" s="16"/>
      <c r="Y139" s="16"/>
      <c r="Z139" s="16"/>
      <c r="AA139" s="16"/>
      <c r="AB139" s="16"/>
      <c r="AC139" s="16"/>
      <c r="AD139" s="16"/>
      <c r="AE139" s="16"/>
      <c r="AF139" s="16"/>
      <c r="AG139" s="16"/>
      <c r="AH139" s="16"/>
      <c r="AI139" s="16"/>
      <c r="AJ139" s="16"/>
      <c r="AK139" s="16"/>
    </row>
    <row r="140" spans="1:37" x14ac:dyDescent="0.2">
      <c r="H140" s="16"/>
      <c r="I140" s="16"/>
      <c r="J140" s="109"/>
      <c r="K140" s="16"/>
      <c r="S140" s="16"/>
      <c r="T140" s="109"/>
    </row>
    <row r="141" spans="1:37" x14ac:dyDescent="0.2">
      <c r="S141" s="16"/>
      <c r="T141" s="109"/>
    </row>
    <row r="142" spans="1:37" x14ac:dyDescent="0.2">
      <c r="S142" s="16"/>
      <c r="T142" s="109"/>
    </row>
  </sheetData>
  <sheetProtection algorithmName="SHA-512" hashValue="sN63hbRSPfxF4KRtvph8SO61tJQM7whi8TdlWJd+KnTJHRzANfDtak+ochpCxJ2LwH7GFRQC1MuDrQuxa3cUEA==" saltValue="bMrMGHTBiFg5lcCb8B/tZw==" spinCount="100000" sheet="1" scenarios="1" selectLockedCells="1" selectUnlockedCells="1"/>
  <pageMargins left="0.7" right="0.7" top="0.75" bottom="0.75" header="0.3" footer="0.3"/>
  <pageSetup scale="22" fitToHeight="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14613-52A9-4FBA-A2D1-7A2B31A7A128}">
  <sheetPr>
    <tabColor theme="5" tint="0.79998168889431442"/>
  </sheetPr>
  <dimension ref="A1:K38"/>
  <sheetViews>
    <sheetView workbookViewId="0">
      <selection activeCell="B29" sqref="B29"/>
    </sheetView>
  </sheetViews>
  <sheetFormatPr baseColWidth="10" defaultColWidth="8.83203125" defaultRowHeight="15" x14ac:dyDescent="0.2"/>
  <cols>
    <col min="1" max="1" width="24.83203125" bestFit="1" customWidth="1"/>
    <col min="2" max="2" width="8.6640625" style="7"/>
  </cols>
  <sheetData>
    <row r="1" spans="1:7" x14ac:dyDescent="0.2">
      <c r="A1" s="87" t="s">
        <v>1135</v>
      </c>
    </row>
    <row r="2" spans="1:7" x14ac:dyDescent="0.2">
      <c r="A2" t="s">
        <v>6407</v>
      </c>
      <c r="B2" s="7" t="str">
        <f>IF(Service="Choose","Green","Red")</f>
        <v>Green</v>
      </c>
    </row>
    <row r="3" spans="1:7" x14ac:dyDescent="0.2">
      <c r="A3" t="s">
        <v>7054</v>
      </c>
      <c r="B3" s="7" t="str">
        <f>IF(cnMX_Term="5 Years","Green","Red")</f>
        <v>Green</v>
      </c>
    </row>
    <row r="4" spans="1:7" x14ac:dyDescent="0.2">
      <c r="A4" t="s">
        <v>6408</v>
      </c>
      <c r="B4" s="7" t="str">
        <f>IF(CCAdv_Upgrade="Choose","Green","Red")</f>
        <v>Green</v>
      </c>
    </row>
    <row r="5" spans="1:7" x14ac:dyDescent="0.2">
      <c r="A5" t="s">
        <v>6409</v>
      </c>
      <c r="B5" s="7" t="str">
        <f>IF(X_Hardware_Support="Choose","Green","Red")</f>
        <v>Green</v>
      </c>
    </row>
    <row r="6" spans="1:7" x14ac:dyDescent="0.2">
      <c r="A6" t="s">
        <v>6410</v>
      </c>
      <c r="B6" s="7" t="str">
        <f>IF(Device_Type="Choose","Green","Red")</f>
        <v>Green</v>
      </c>
    </row>
    <row r="7" spans="1:7" x14ac:dyDescent="0.2">
      <c r="A7" t="s">
        <v>6412</v>
      </c>
      <c r="B7" s="7" t="str">
        <f>IF(CC_Type="Choose","Green","Red")</f>
        <v>Green</v>
      </c>
      <c r="E7" t="s">
        <v>5904</v>
      </c>
      <c r="G7" t="s">
        <v>5904</v>
      </c>
    </row>
    <row r="8" spans="1:7" x14ac:dyDescent="0.2">
      <c r="A8" t="s">
        <v>6415</v>
      </c>
      <c r="B8" s="7" t="str">
        <f>IF(CC_Term="Choose","Green","Red")</f>
        <v>Red</v>
      </c>
      <c r="E8" t="s">
        <v>5959</v>
      </c>
      <c r="G8" t="s">
        <v>5959</v>
      </c>
    </row>
    <row r="9" spans="1:7" x14ac:dyDescent="0.2">
      <c r="A9" t="s">
        <v>6411</v>
      </c>
      <c r="B9" s="7" t="str">
        <f>IF(Hardware_Support="Choose","Green","Red")</f>
        <v>Green</v>
      </c>
      <c r="E9" t="s">
        <v>5963</v>
      </c>
      <c r="G9" t="s">
        <v>5979</v>
      </c>
    </row>
    <row r="10" spans="1:7" x14ac:dyDescent="0.2">
      <c r="E10" t="s">
        <v>6262</v>
      </c>
      <c r="G10" t="s">
        <v>6262</v>
      </c>
    </row>
    <row r="11" spans="1:7" x14ac:dyDescent="0.2">
      <c r="A11" s="87" t="s">
        <v>6400</v>
      </c>
    </row>
    <row r="12" spans="1:7" x14ac:dyDescent="0.2">
      <c r="A12" t="s">
        <v>6401</v>
      </c>
      <c r="B12" s="7" t="str">
        <f>IF(SUM('PMP Fixed Wireless BB'!D6:D32)=0,"Green","Red")</f>
        <v>Green</v>
      </c>
      <c r="E12" t="s">
        <v>5904</v>
      </c>
      <c r="G12" t="s">
        <v>5904</v>
      </c>
    </row>
    <row r="13" spans="1:7" x14ac:dyDescent="0.2">
      <c r="A13" t="s">
        <v>6404</v>
      </c>
      <c r="B13" s="7" t="str">
        <f>IF(SUM('PMP Fixed Wireless BB'!O6:O32)=0,"Green","Red")</f>
        <v>Green</v>
      </c>
      <c r="E13" t="s">
        <v>1160</v>
      </c>
      <c r="G13" t="s">
        <v>1160</v>
      </c>
    </row>
    <row r="14" spans="1:7" x14ac:dyDescent="0.2">
      <c r="E14" t="s">
        <v>1161</v>
      </c>
      <c r="G14" t="s">
        <v>6265</v>
      </c>
    </row>
    <row r="15" spans="1:7" x14ac:dyDescent="0.2">
      <c r="A15" s="87" t="s">
        <v>6402</v>
      </c>
      <c r="E15" t="s">
        <v>6265</v>
      </c>
    </row>
    <row r="16" spans="1:7" x14ac:dyDescent="0.2">
      <c r="A16" t="s">
        <v>6401</v>
      </c>
      <c r="B16" s="7" t="str">
        <f>IF(SUM('PTP, IIOT'!D6:D34)=0,"Green","Red")</f>
        <v>Green</v>
      </c>
    </row>
    <row r="17" spans="1:11" x14ac:dyDescent="0.2">
      <c r="A17" t="s">
        <v>6404</v>
      </c>
      <c r="B17" s="7" t="str">
        <f>IF(SUM('PTP, IIOT'!O6:O34)=0,"Green","Red")</f>
        <v>Green</v>
      </c>
      <c r="E17" s="216" t="s">
        <v>6687</v>
      </c>
      <c r="F17" s="216" t="s">
        <v>6688</v>
      </c>
      <c r="G17" s="216" t="s">
        <v>6684</v>
      </c>
      <c r="H17" s="216" t="s">
        <v>6685</v>
      </c>
      <c r="I17" s="216" t="s">
        <v>6382</v>
      </c>
      <c r="J17" s="216" t="s">
        <v>6383</v>
      </c>
    </row>
    <row r="18" spans="1:11" x14ac:dyDescent="0.2">
      <c r="E18" s="7" t="s">
        <v>6391</v>
      </c>
      <c r="F18" s="7" t="s">
        <v>6393</v>
      </c>
      <c r="G18" s="7" t="s">
        <v>6391</v>
      </c>
      <c r="H18" s="7" t="s">
        <v>6393</v>
      </c>
      <c r="I18" s="7" t="s">
        <v>6686</v>
      </c>
      <c r="K18" t="s">
        <v>6269</v>
      </c>
    </row>
    <row r="19" spans="1:11" x14ac:dyDescent="0.2">
      <c r="A19" s="87" t="s">
        <v>6405</v>
      </c>
      <c r="E19" s="7" t="s">
        <v>6392</v>
      </c>
      <c r="F19" s="7" t="s">
        <v>6391</v>
      </c>
      <c r="G19" s="7" t="s">
        <v>6392</v>
      </c>
      <c r="H19" s="7" t="s">
        <v>6391</v>
      </c>
      <c r="I19" s="7"/>
    </row>
    <row r="20" spans="1:11" x14ac:dyDescent="0.2">
      <c r="A20" t="s">
        <v>6401</v>
      </c>
      <c r="B20" s="7" t="str">
        <f>IF(SUM('ePMP, cnVision'!D6:D31)=0,"Green","Red")</f>
        <v>Green</v>
      </c>
      <c r="E20" s="7" t="s">
        <v>6272</v>
      </c>
      <c r="F20" s="7" t="s">
        <v>6392</v>
      </c>
      <c r="G20" s="7" t="s">
        <v>6394</v>
      </c>
      <c r="H20" s="7" t="s">
        <v>6392</v>
      </c>
      <c r="I20" s="7"/>
    </row>
    <row r="21" spans="1:11" x14ac:dyDescent="0.2">
      <c r="A21" t="s">
        <v>6404</v>
      </c>
      <c r="B21" s="7" t="str">
        <f>IF(SUM('ePMP, cnVision'!O6:O31)=0,"Green","Red")</f>
        <v>Green</v>
      </c>
      <c r="E21" s="7"/>
      <c r="F21" s="7" t="s">
        <v>6272</v>
      </c>
      <c r="G21" s="7" t="s">
        <v>6395</v>
      </c>
      <c r="H21" s="7" t="s">
        <v>6394</v>
      </c>
      <c r="I21" s="7"/>
    </row>
    <row r="22" spans="1:11" x14ac:dyDescent="0.2">
      <c r="E22" s="7"/>
      <c r="F22" s="7"/>
      <c r="G22" s="7" t="s">
        <v>6272</v>
      </c>
      <c r="H22" s="7" t="s">
        <v>6395</v>
      </c>
      <c r="I22" s="7"/>
    </row>
    <row r="23" spans="1:11" x14ac:dyDescent="0.2">
      <c r="A23" s="87" t="s">
        <v>6406</v>
      </c>
      <c r="E23" s="7"/>
      <c r="F23" s="7"/>
      <c r="G23" s="7"/>
      <c r="H23" s="7" t="s">
        <v>6272</v>
      </c>
    </row>
    <row r="24" spans="1:11" x14ac:dyDescent="0.2">
      <c r="A24" t="s">
        <v>6401</v>
      </c>
      <c r="B24" s="7" t="str">
        <f>IF(SUM('Enterprise Wi-Fi &amp; Switching'!D6:D36)=0,"Green","Red")</f>
        <v>Green</v>
      </c>
      <c r="E24" s="216" t="s">
        <v>6384</v>
      </c>
      <c r="F24" s="216" t="s">
        <v>6385</v>
      </c>
    </row>
    <row r="25" spans="1:11" x14ac:dyDescent="0.2">
      <c r="A25" t="s">
        <v>6404</v>
      </c>
      <c r="B25" s="7" t="str">
        <f>IF(SUM('Enterprise Wi-Fi &amp; Switching'!O6:O36)=0,"Green","Red")</f>
        <v>Green</v>
      </c>
      <c r="E25" t="s">
        <v>5904</v>
      </c>
      <c r="F25" t="s">
        <v>6324</v>
      </c>
    </row>
    <row r="26" spans="1:11" x14ac:dyDescent="0.2">
      <c r="E26" t="s">
        <v>6324</v>
      </c>
    </row>
    <row r="27" spans="1:11" x14ac:dyDescent="0.2">
      <c r="A27" s="87" t="s">
        <v>6414</v>
      </c>
      <c r="B27" s="7" t="str">
        <f>IF(CC_Term="Choose","Green","Red")</f>
        <v>Red</v>
      </c>
      <c r="C27" t="s">
        <v>10630</v>
      </c>
      <c r="E27" t="s">
        <v>6323</v>
      </c>
    </row>
    <row r="28" spans="1:11" x14ac:dyDescent="0.2">
      <c r="C28" s="7" t="s">
        <v>10629</v>
      </c>
      <c r="E28" t="s">
        <v>5910</v>
      </c>
    </row>
    <row r="29" spans="1:11" x14ac:dyDescent="0.2">
      <c r="A29" s="87" t="s">
        <v>6413</v>
      </c>
      <c r="B29" s="7" t="s">
        <v>9</v>
      </c>
      <c r="C29" s="7" t="s">
        <v>10629</v>
      </c>
    </row>
    <row r="30" spans="1:11" x14ac:dyDescent="0.2">
      <c r="A30" s="87"/>
      <c r="C30" s="7" t="s">
        <v>10629</v>
      </c>
      <c r="E30" t="s">
        <v>5904</v>
      </c>
      <c r="G30" t="s">
        <v>5904</v>
      </c>
    </row>
    <row r="31" spans="1:11" x14ac:dyDescent="0.2">
      <c r="A31" s="102"/>
      <c r="C31" s="7" t="s">
        <v>10629</v>
      </c>
      <c r="E31" t="s">
        <v>1160</v>
      </c>
      <c r="G31" t="s">
        <v>1160</v>
      </c>
    </row>
    <row r="32" spans="1:11" x14ac:dyDescent="0.2">
      <c r="C32" s="7" t="s">
        <v>10629</v>
      </c>
      <c r="E32" t="s">
        <v>1161</v>
      </c>
      <c r="G32" t="s">
        <v>1161</v>
      </c>
    </row>
    <row r="33" spans="3:7" x14ac:dyDescent="0.2">
      <c r="C33" s="7" t="s">
        <v>10629</v>
      </c>
      <c r="E33" t="s">
        <v>6387</v>
      </c>
      <c r="G33" t="s">
        <v>7055</v>
      </c>
    </row>
    <row r="34" spans="3:7" x14ac:dyDescent="0.2">
      <c r="C34" s="7" t="s">
        <v>10629</v>
      </c>
    </row>
    <row r="35" spans="3:7" x14ac:dyDescent="0.2">
      <c r="C35" s="7" t="s">
        <v>10629</v>
      </c>
    </row>
    <row r="36" spans="3:7" x14ac:dyDescent="0.2">
      <c r="C36" s="185" t="s">
        <v>6423</v>
      </c>
    </row>
    <row r="37" spans="3:7" x14ac:dyDescent="0.2">
      <c r="C37" s="110" t="s">
        <v>6422</v>
      </c>
    </row>
    <row r="38" spans="3:7" x14ac:dyDescent="0.2">
      <c r="C38" s="110" t="str">
        <f>CC_Term_Default</f>
        <v xml:space="preserve"> </v>
      </c>
    </row>
  </sheetData>
  <conditionalFormatting sqref="B1:B1048576">
    <cfRule type="cellIs" dxfId="4" priority="4" operator="equal">
      <formula>"Green"</formula>
    </cfRule>
    <cfRule type="cellIs" dxfId="3" priority="5" operator="equal">
      <formula>"Red"</formula>
    </cfRule>
  </conditionalFormatting>
  <conditionalFormatting sqref="B29">
    <cfRule type="cellIs" dxfId="2" priority="2" operator="equal">
      <formula>"No"</formula>
    </cfRule>
    <cfRule type="cellIs" dxfId="1" priority="3" operator="equal">
      <formula>"Yes"</formula>
    </cfRule>
  </conditionalFormatting>
  <conditionalFormatting sqref="C36:C38">
    <cfRule type="expression" dxfId="0" priority="1">
      <formula>Hide_Calc="Yes"</formula>
    </cfRule>
  </conditionalFormatting>
  <dataValidations count="1">
    <dataValidation type="list" allowBlank="1" showInputMessage="1" showErrorMessage="1" sqref="B29" xr:uid="{AFA3CED4-0CBE-424B-8E0F-2F86A1E3464E}">
      <formula1>"Yes,No"</formula1>
    </dataValidation>
  </dataValidations>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91D2-1FEF-4AB6-BE8B-57F3059B29B6}">
  <sheetPr>
    <tabColor theme="9" tint="0.79998168889431442"/>
  </sheetPr>
  <dimension ref="A1:J491"/>
  <sheetViews>
    <sheetView workbookViewId="0">
      <pane ySplit="1" topLeftCell="A451" activePane="bottomLeft" state="frozen"/>
      <selection pane="bottomLeft" activeCell="I1" sqref="I1"/>
    </sheetView>
  </sheetViews>
  <sheetFormatPr baseColWidth="10" defaultColWidth="8.6640625" defaultRowHeight="16" x14ac:dyDescent="0.2"/>
  <cols>
    <col min="1" max="1" width="23.83203125" style="134" bestFit="1" customWidth="1"/>
    <col min="2" max="2" width="12.1640625" style="134" customWidth="1"/>
    <col min="3" max="3" width="12.5" style="134" customWidth="1"/>
    <col min="4" max="4" width="11.5" style="134" customWidth="1"/>
    <col min="5" max="5" width="7.1640625" style="134" customWidth="1"/>
    <col min="6" max="6" width="14.83203125" style="134" bestFit="1" customWidth="1"/>
    <col min="7" max="7" width="16" style="134" bestFit="1" customWidth="1"/>
    <col min="8" max="8" width="31.5" style="134" bestFit="1" customWidth="1"/>
    <col min="9" max="9" width="136.1640625" style="134" customWidth="1"/>
    <col min="10" max="10" width="9.1640625" style="223" bestFit="1" customWidth="1"/>
    <col min="11" max="16384" width="8.6640625" style="134"/>
  </cols>
  <sheetData>
    <row r="1" spans="1:10" x14ac:dyDescent="0.2">
      <c r="A1" s="222" t="s">
        <v>5974</v>
      </c>
      <c r="B1" s="222" t="s">
        <v>5975</v>
      </c>
      <c r="C1" s="222" t="s">
        <v>5976</v>
      </c>
      <c r="D1" s="222" t="s">
        <v>5977</v>
      </c>
      <c r="E1" s="222" t="s">
        <v>5903</v>
      </c>
      <c r="F1" s="222" t="s">
        <v>69</v>
      </c>
      <c r="G1" s="222" t="s">
        <v>6672</v>
      </c>
      <c r="H1" s="222" t="s">
        <v>8</v>
      </c>
      <c r="I1" s="222" t="s">
        <v>5</v>
      </c>
      <c r="J1" s="381" t="s">
        <v>5978</v>
      </c>
    </row>
    <row r="2" spans="1:10" x14ac:dyDescent="0.2">
      <c r="A2" s="134" t="s">
        <v>5979</v>
      </c>
      <c r="B2" s="134" t="s">
        <v>5980</v>
      </c>
      <c r="C2" s="134" t="s">
        <v>5981</v>
      </c>
      <c r="D2" s="134" t="s">
        <v>5982</v>
      </c>
      <c r="E2" s="134">
        <v>1</v>
      </c>
      <c r="F2" s="134" t="s">
        <v>4108</v>
      </c>
      <c r="G2" s="134" t="s">
        <v>7</v>
      </c>
      <c r="H2" s="134" t="s">
        <v>1035</v>
      </c>
      <c r="I2" s="134" t="s">
        <v>6424</v>
      </c>
      <c r="J2" s="223">
        <v>10</v>
      </c>
    </row>
    <row r="3" spans="1:10" x14ac:dyDescent="0.2">
      <c r="A3" s="134" t="s">
        <v>5979</v>
      </c>
      <c r="B3" s="134" t="s">
        <v>5980</v>
      </c>
      <c r="C3" s="134" t="s">
        <v>5981</v>
      </c>
      <c r="D3" s="134" t="s">
        <v>5982</v>
      </c>
      <c r="E3" s="134">
        <v>3</v>
      </c>
      <c r="F3" s="134" t="s">
        <v>4108</v>
      </c>
      <c r="G3" s="134" t="s">
        <v>7</v>
      </c>
      <c r="H3" s="134" t="s">
        <v>1036</v>
      </c>
      <c r="I3" s="134" t="s">
        <v>6425</v>
      </c>
      <c r="J3" s="223">
        <v>26</v>
      </c>
    </row>
    <row r="4" spans="1:10" x14ac:dyDescent="0.2">
      <c r="A4" s="134" t="s">
        <v>5979</v>
      </c>
      <c r="B4" s="134" t="s">
        <v>5980</v>
      </c>
      <c r="C4" s="134" t="s">
        <v>5981</v>
      </c>
      <c r="D4" s="134" t="s">
        <v>5982</v>
      </c>
      <c r="E4" s="134">
        <v>5</v>
      </c>
      <c r="F4" s="134" t="s">
        <v>4108</v>
      </c>
      <c r="G4" s="134" t="s">
        <v>7</v>
      </c>
      <c r="H4" s="134" t="s">
        <v>1037</v>
      </c>
      <c r="I4" s="134" t="s">
        <v>6426</v>
      </c>
      <c r="J4" s="223">
        <v>40</v>
      </c>
    </row>
    <row r="5" spans="1:10" x14ac:dyDescent="0.2">
      <c r="A5" s="134" t="s">
        <v>5979</v>
      </c>
      <c r="B5" s="134" t="s">
        <v>5980</v>
      </c>
      <c r="C5" s="134" t="s">
        <v>5981</v>
      </c>
      <c r="D5" s="134" t="s">
        <v>5983</v>
      </c>
      <c r="E5" s="134">
        <v>1</v>
      </c>
      <c r="F5" s="134" t="s">
        <v>4108</v>
      </c>
      <c r="G5" s="134" t="s">
        <v>7</v>
      </c>
      <c r="H5" s="134" t="s">
        <v>1038</v>
      </c>
      <c r="I5" s="134" t="s">
        <v>6427</v>
      </c>
      <c r="J5" s="223">
        <v>8</v>
      </c>
    </row>
    <row r="6" spans="1:10" x14ac:dyDescent="0.2">
      <c r="A6" s="134" t="s">
        <v>5979</v>
      </c>
      <c r="B6" s="134" t="s">
        <v>5980</v>
      </c>
      <c r="C6" s="134" t="s">
        <v>5981</v>
      </c>
      <c r="D6" s="134" t="s">
        <v>5983</v>
      </c>
      <c r="E6" s="134">
        <v>3</v>
      </c>
      <c r="F6" s="134" t="s">
        <v>4108</v>
      </c>
      <c r="G6" s="134" t="s">
        <v>7</v>
      </c>
      <c r="H6" s="134" t="s">
        <v>1039</v>
      </c>
      <c r="I6" s="134" t="s">
        <v>6428</v>
      </c>
      <c r="J6" s="223">
        <v>21</v>
      </c>
    </row>
    <row r="7" spans="1:10" x14ac:dyDescent="0.2">
      <c r="A7" s="134" t="s">
        <v>5979</v>
      </c>
      <c r="B7" s="134" t="s">
        <v>5980</v>
      </c>
      <c r="C7" s="134" t="s">
        <v>5981</v>
      </c>
      <c r="D7" s="134" t="s">
        <v>5983</v>
      </c>
      <c r="E7" s="134">
        <v>5</v>
      </c>
      <c r="F7" s="134" t="s">
        <v>4108</v>
      </c>
      <c r="G7" s="134" t="s">
        <v>7</v>
      </c>
      <c r="H7" s="134" t="s">
        <v>1040</v>
      </c>
      <c r="I7" s="134" t="s">
        <v>6429</v>
      </c>
      <c r="J7" s="223">
        <v>32</v>
      </c>
    </row>
    <row r="8" spans="1:10" x14ac:dyDescent="0.2">
      <c r="A8" s="134" t="s">
        <v>5979</v>
      </c>
      <c r="B8" s="134" t="s">
        <v>5980</v>
      </c>
      <c r="C8" s="134" t="s">
        <v>5981</v>
      </c>
      <c r="D8" s="134" t="s">
        <v>5984</v>
      </c>
      <c r="E8" s="134">
        <v>1</v>
      </c>
      <c r="F8" s="134" t="s">
        <v>4108</v>
      </c>
      <c r="G8" s="134" t="s">
        <v>7</v>
      </c>
      <c r="H8" s="134" t="s">
        <v>1041</v>
      </c>
      <c r="I8" s="134" t="s">
        <v>6430</v>
      </c>
      <c r="J8" s="223">
        <v>13</v>
      </c>
    </row>
    <row r="9" spans="1:10" x14ac:dyDescent="0.2">
      <c r="A9" s="134" t="s">
        <v>5979</v>
      </c>
      <c r="B9" s="134" t="s">
        <v>5980</v>
      </c>
      <c r="C9" s="134" t="s">
        <v>5981</v>
      </c>
      <c r="D9" s="134" t="s">
        <v>5984</v>
      </c>
      <c r="E9" s="134">
        <v>3</v>
      </c>
      <c r="F9" s="134" t="s">
        <v>4108</v>
      </c>
      <c r="G9" s="134" t="s">
        <v>7</v>
      </c>
      <c r="H9" s="134" t="s">
        <v>1042</v>
      </c>
      <c r="I9" s="134" t="s">
        <v>6431</v>
      </c>
      <c r="J9" s="223">
        <v>34</v>
      </c>
    </row>
    <row r="10" spans="1:10" x14ac:dyDescent="0.2">
      <c r="A10" s="134" t="s">
        <v>5979</v>
      </c>
      <c r="B10" s="134" t="s">
        <v>5980</v>
      </c>
      <c r="C10" s="134" t="s">
        <v>5981</v>
      </c>
      <c r="D10" s="134" t="s">
        <v>5984</v>
      </c>
      <c r="E10" s="134">
        <v>5</v>
      </c>
      <c r="F10" s="134" t="s">
        <v>4108</v>
      </c>
      <c r="G10" s="134" t="s">
        <v>7</v>
      </c>
      <c r="H10" s="134" t="s">
        <v>1043</v>
      </c>
      <c r="I10" s="134" t="s">
        <v>6432</v>
      </c>
      <c r="J10" s="223">
        <v>52</v>
      </c>
    </row>
    <row r="11" spans="1:10" x14ac:dyDescent="0.2">
      <c r="A11" s="134" t="s">
        <v>5979</v>
      </c>
      <c r="B11" s="134" t="s">
        <v>5980</v>
      </c>
      <c r="C11" s="134" t="s">
        <v>5981</v>
      </c>
      <c r="D11" s="134" t="s">
        <v>5985</v>
      </c>
      <c r="E11" s="134">
        <v>1</v>
      </c>
      <c r="F11" s="134" t="s">
        <v>4108</v>
      </c>
      <c r="G11" s="134" t="s">
        <v>7</v>
      </c>
      <c r="H11" s="134" t="s">
        <v>1044</v>
      </c>
      <c r="I11" s="134" t="s">
        <v>1045</v>
      </c>
      <c r="J11" s="223">
        <v>17</v>
      </c>
    </row>
    <row r="12" spans="1:10" x14ac:dyDescent="0.2">
      <c r="A12" s="134" t="s">
        <v>5979</v>
      </c>
      <c r="B12" s="134" t="s">
        <v>5980</v>
      </c>
      <c r="C12" s="134" t="s">
        <v>5981</v>
      </c>
      <c r="D12" s="134" t="s">
        <v>5985</v>
      </c>
      <c r="E12" s="134">
        <v>3</v>
      </c>
      <c r="F12" s="134" t="s">
        <v>4108</v>
      </c>
      <c r="G12" s="134" t="s">
        <v>7</v>
      </c>
      <c r="H12" s="134" t="s">
        <v>1046</v>
      </c>
      <c r="I12" s="134" t="s">
        <v>6433</v>
      </c>
      <c r="J12" s="223">
        <v>44</v>
      </c>
    </row>
    <row r="13" spans="1:10" x14ac:dyDescent="0.2">
      <c r="A13" s="134" t="s">
        <v>5979</v>
      </c>
      <c r="B13" s="134" t="s">
        <v>5980</v>
      </c>
      <c r="C13" s="134" t="s">
        <v>5981</v>
      </c>
      <c r="D13" s="134" t="s">
        <v>5985</v>
      </c>
      <c r="E13" s="134">
        <v>5</v>
      </c>
      <c r="F13" s="134" t="s">
        <v>4108</v>
      </c>
      <c r="G13" s="134" t="s">
        <v>7</v>
      </c>
      <c r="H13" s="134" t="s">
        <v>1047</v>
      </c>
      <c r="I13" s="134" t="s">
        <v>6434</v>
      </c>
      <c r="J13" s="223">
        <v>68</v>
      </c>
    </row>
    <row r="14" spans="1:10" x14ac:dyDescent="0.2">
      <c r="A14" s="134" t="s">
        <v>5979</v>
      </c>
      <c r="B14" s="134" t="s">
        <v>5980</v>
      </c>
      <c r="C14" s="134" t="s">
        <v>5981</v>
      </c>
      <c r="D14" s="134" t="s">
        <v>5986</v>
      </c>
      <c r="E14" s="134">
        <v>1</v>
      </c>
      <c r="F14" s="134" t="s">
        <v>4108</v>
      </c>
      <c r="G14" s="134" t="s">
        <v>7</v>
      </c>
      <c r="H14" s="134" t="s">
        <v>1048</v>
      </c>
      <c r="I14" s="134" t="s">
        <v>1049</v>
      </c>
      <c r="J14" s="223">
        <v>22</v>
      </c>
    </row>
    <row r="15" spans="1:10" x14ac:dyDescent="0.2">
      <c r="A15" s="134" t="s">
        <v>5979</v>
      </c>
      <c r="B15" s="134" t="s">
        <v>5980</v>
      </c>
      <c r="C15" s="134" t="s">
        <v>5981</v>
      </c>
      <c r="D15" s="134" t="s">
        <v>5986</v>
      </c>
      <c r="E15" s="134">
        <v>3</v>
      </c>
      <c r="F15" s="134" t="s">
        <v>4108</v>
      </c>
      <c r="G15" s="134" t="s">
        <v>7</v>
      </c>
      <c r="H15" s="134" t="s">
        <v>1050</v>
      </c>
      <c r="I15" s="134" t="s">
        <v>6435</v>
      </c>
      <c r="J15" s="223">
        <v>57</v>
      </c>
    </row>
    <row r="16" spans="1:10" x14ac:dyDescent="0.2">
      <c r="A16" s="134" t="s">
        <v>5979</v>
      </c>
      <c r="B16" s="134" t="s">
        <v>5980</v>
      </c>
      <c r="C16" s="134" t="s">
        <v>5981</v>
      </c>
      <c r="D16" s="134" t="s">
        <v>5986</v>
      </c>
      <c r="E16" s="134">
        <v>5</v>
      </c>
      <c r="F16" s="134" t="s">
        <v>4108</v>
      </c>
      <c r="G16" s="134" t="s">
        <v>7</v>
      </c>
      <c r="H16" s="134" t="s">
        <v>1051</v>
      </c>
      <c r="I16" s="134" t="s">
        <v>6436</v>
      </c>
      <c r="J16" s="223">
        <v>88</v>
      </c>
    </row>
    <row r="17" spans="1:10" x14ac:dyDescent="0.2">
      <c r="A17" s="134" t="s">
        <v>5979</v>
      </c>
      <c r="B17" s="134" t="s">
        <v>5980</v>
      </c>
      <c r="C17" s="134" t="s">
        <v>5981</v>
      </c>
      <c r="D17" s="134" t="s">
        <v>5987</v>
      </c>
      <c r="E17" s="134">
        <v>1</v>
      </c>
      <c r="F17" s="134" t="s">
        <v>4108</v>
      </c>
      <c r="G17" s="134" t="s">
        <v>7</v>
      </c>
      <c r="H17" s="134" t="s">
        <v>1052</v>
      </c>
      <c r="I17" s="134" t="s">
        <v>1053</v>
      </c>
      <c r="J17" s="223">
        <v>22</v>
      </c>
    </row>
    <row r="18" spans="1:10" x14ac:dyDescent="0.2">
      <c r="A18" s="134" t="s">
        <v>5979</v>
      </c>
      <c r="B18" s="134" t="s">
        <v>5980</v>
      </c>
      <c r="C18" s="134" t="s">
        <v>5981</v>
      </c>
      <c r="D18" s="134" t="s">
        <v>5987</v>
      </c>
      <c r="E18" s="134">
        <v>3</v>
      </c>
      <c r="F18" s="134" t="s">
        <v>4108</v>
      </c>
      <c r="G18" s="134" t="s">
        <v>7</v>
      </c>
      <c r="H18" s="134" t="s">
        <v>1054</v>
      </c>
      <c r="I18" s="134" t="s">
        <v>6437</v>
      </c>
      <c r="J18" s="223">
        <v>57</v>
      </c>
    </row>
    <row r="19" spans="1:10" x14ac:dyDescent="0.2">
      <c r="A19" s="134" t="s">
        <v>5979</v>
      </c>
      <c r="B19" s="134" t="s">
        <v>5980</v>
      </c>
      <c r="C19" s="134" t="s">
        <v>5981</v>
      </c>
      <c r="D19" s="134" t="s">
        <v>5987</v>
      </c>
      <c r="E19" s="134">
        <v>5</v>
      </c>
      <c r="F19" s="134" t="s">
        <v>4108</v>
      </c>
      <c r="G19" s="134" t="s">
        <v>7</v>
      </c>
      <c r="H19" s="134" t="s">
        <v>1055</v>
      </c>
      <c r="I19" s="134" t="s">
        <v>6438</v>
      </c>
      <c r="J19" s="223">
        <v>88</v>
      </c>
    </row>
    <row r="20" spans="1:10" x14ac:dyDescent="0.2">
      <c r="A20" s="134" t="s">
        <v>5979</v>
      </c>
      <c r="B20" s="134" t="s">
        <v>5980</v>
      </c>
      <c r="C20" s="134" t="s">
        <v>5981</v>
      </c>
      <c r="D20" s="134" t="s">
        <v>5988</v>
      </c>
      <c r="E20" s="134">
        <v>1</v>
      </c>
      <c r="F20" s="134" t="s">
        <v>4108</v>
      </c>
      <c r="G20" s="134" t="s">
        <v>7</v>
      </c>
      <c r="H20" s="134" t="s">
        <v>1056</v>
      </c>
      <c r="I20" s="134" t="s">
        <v>1057</v>
      </c>
      <c r="J20" s="223">
        <v>22</v>
      </c>
    </row>
    <row r="21" spans="1:10" x14ac:dyDescent="0.2">
      <c r="A21" s="134" t="s">
        <v>5979</v>
      </c>
      <c r="B21" s="134" t="s">
        <v>5980</v>
      </c>
      <c r="C21" s="134" t="s">
        <v>5981</v>
      </c>
      <c r="D21" s="134" t="s">
        <v>5988</v>
      </c>
      <c r="E21" s="134">
        <v>3</v>
      </c>
      <c r="F21" s="134" t="s">
        <v>4108</v>
      </c>
      <c r="G21" s="134" t="s">
        <v>7</v>
      </c>
      <c r="H21" s="134" t="s">
        <v>1058</v>
      </c>
      <c r="I21" s="134" t="s">
        <v>6439</v>
      </c>
      <c r="J21" s="223">
        <v>57</v>
      </c>
    </row>
    <row r="22" spans="1:10" x14ac:dyDescent="0.2">
      <c r="A22" s="134" t="s">
        <v>5979</v>
      </c>
      <c r="B22" s="134" t="s">
        <v>5980</v>
      </c>
      <c r="C22" s="134" t="s">
        <v>5981</v>
      </c>
      <c r="D22" s="134" t="s">
        <v>5988</v>
      </c>
      <c r="E22" s="134">
        <v>5</v>
      </c>
      <c r="F22" s="134" t="s">
        <v>4108</v>
      </c>
      <c r="G22" s="134" t="s">
        <v>7</v>
      </c>
      <c r="H22" s="134" t="s">
        <v>1059</v>
      </c>
      <c r="I22" s="134" t="s">
        <v>6440</v>
      </c>
      <c r="J22" s="223">
        <v>88</v>
      </c>
    </row>
    <row r="23" spans="1:10" x14ac:dyDescent="0.2">
      <c r="A23" s="134" t="s">
        <v>5979</v>
      </c>
      <c r="B23" s="134" t="s">
        <v>5980</v>
      </c>
      <c r="C23" s="134" t="s">
        <v>5981</v>
      </c>
      <c r="D23" s="134" t="s">
        <v>5989</v>
      </c>
      <c r="E23" s="134">
        <v>1</v>
      </c>
      <c r="F23" s="134" t="s">
        <v>4108</v>
      </c>
      <c r="G23" s="134" t="s">
        <v>7</v>
      </c>
      <c r="H23" s="134" t="s">
        <v>1060</v>
      </c>
      <c r="I23" s="134" t="s">
        <v>1061</v>
      </c>
      <c r="J23" s="223">
        <v>15</v>
      </c>
    </row>
    <row r="24" spans="1:10" x14ac:dyDescent="0.2">
      <c r="A24" s="134" t="s">
        <v>5979</v>
      </c>
      <c r="B24" s="134" t="s">
        <v>5980</v>
      </c>
      <c r="C24" s="134" t="s">
        <v>5981</v>
      </c>
      <c r="D24" s="134" t="s">
        <v>5989</v>
      </c>
      <c r="E24" s="134">
        <v>3</v>
      </c>
      <c r="F24" s="134" t="s">
        <v>4108</v>
      </c>
      <c r="G24" s="134" t="s">
        <v>7</v>
      </c>
      <c r="H24" s="134" t="s">
        <v>1062</v>
      </c>
      <c r="I24" s="134" t="s">
        <v>6441</v>
      </c>
      <c r="J24" s="223">
        <v>39</v>
      </c>
    </row>
    <row r="25" spans="1:10" x14ac:dyDescent="0.2">
      <c r="A25" s="134" t="s">
        <v>5979</v>
      </c>
      <c r="B25" s="134" t="s">
        <v>5980</v>
      </c>
      <c r="C25" s="134" t="s">
        <v>5981</v>
      </c>
      <c r="D25" s="134" t="s">
        <v>5989</v>
      </c>
      <c r="E25" s="134">
        <v>5</v>
      </c>
      <c r="F25" s="134" t="s">
        <v>4108</v>
      </c>
      <c r="G25" s="134" t="s">
        <v>7</v>
      </c>
      <c r="H25" s="134" t="s">
        <v>1063</v>
      </c>
      <c r="I25" s="134" t="s">
        <v>6442</v>
      </c>
      <c r="J25" s="223">
        <v>60</v>
      </c>
    </row>
    <row r="26" spans="1:10" x14ac:dyDescent="0.2">
      <c r="A26" s="134" t="s">
        <v>5979</v>
      </c>
      <c r="B26" s="134" t="s">
        <v>5980</v>
      </c>
      <c r="C26" s="134" t="s">
        <v>5981</v>
      </c>
      <c r="D26" s="134" t="s">
        <v>5990</v>
      </c>
      <c r="E26" s="134">
        <v>1</v>
      </c>
      <c r="F26" s="134" t="s">
        <v>4108</v>
      </c>
      <c r="G26" s="134" t="s">
        <v>7</v>
      </c>
      <c r="H26" s="134" t="s">
        <v>1064</v>
      </c>
      <c r="I26" s="134" t="s">
        <v>1065</v>
      </c>
      <c r="J26" s="223">
        <v>22</v>
      </c>
    </row>
    <row r="27" spans="1:10" x14ac:dyDescent="0.2">
      <c r="A27" s="134" t="s">
        <v>5979</v>
      </c>
      <c r="B27" s="134" t="s">
        <v>5980</v>
      </c>
      <c r="C27" s="134" t="s">
        <v>5981</v>
      </c>
      <c r="D27" s="134" t="s">
        <v>5990</v>
      </c>
      <c r="E27" s="134">
        <v>3</v>
      </c>
      <c r="F27" s="134" t="s">
        <v>4108</v>
      </c>
      <c r="G27" s="134" t="s">
        <v>7</v>
      </c>
      <c r="H27" s="134" t="s">
        <v>1066</v>
      </c>
      <c r="I27" s="134" t="s">
        <v>6443</v>
      </c>
      <c r="J27" s="223">
        <v>57</v>
      </c>
    </row>
    <row r="28" spans="1:10" x14ac:dyDescent="0.2">
      <c r="A28" s="134" t="s">
        <v>5979</v>
      </c>
      <c r="B28" s="134" t="s">
        <v>5980</v>
      </c>
      <c r="C28" s="134" t="s">
        <v>5981</v>
      </c>
      <c r="D28" s="134" t="s">
        <v>5990</v>
      </c>
      <c r="E28" s="134">
        <v>5</v>
      </c>
      <c r="F28" s="134" t="s">
        <v>4108</v>
      </c>
      <c r="G28" s="134" t="s">
        <v>7</v>
      </c>
      <c r="H28" s="134" t="s">
        <v>1067</v>
      </c>
      <c r="I28" s="134" t="s">
        <v>6444</v>
      </c>
      <c r="J28" s="223">
        <v>88</v>
      </c>
    </row>
    <row r="29" spans="1:10" x14ac:dyDescent="0.2">
      <c r="A29" s="134" t="s">
        <v>5979</v>
      </c>
      <c r="B29" s="134" t="s">
        <v>5980</v>
      </c>
      <c r="C29" s="134" t="s">
        <v>5981</v>
      </c>
      <c r="D29" s="134" t="s">
        <v>5991</v>
      </c>
      <c r="E29" s="134">
        <v>1</v>
      </c>
      <c r="F29" s="134" t="s">
        <v>4108</v>
      </c>
      <c r="G29" s="134" t="s">
        <v>7</v>
      </c>
      <c r="H29" s="134" t="s">
        <v>1068</v>
      </c>
      <c r="I29" s="134" t="s">
        <v>1069</v>
      </c>
      <c r="J29" s="223">
        <v>33</v>
      </c>
    </row>
    <row r="30" spans="1:10" x14ac:dyDescent="0.2">
      <c r="A30" s="134" t="s">
        <v>5979</v>
      </c>
      <c r="B30" s="134" t="s">
        <v>5980</v>
      </c>
      <c r="C30" s="134" t="s">
        <v>5981</v>
      </c>
      <c r="D30" s="134" t="s">
        <v>5991</v>
      </c>
      <c r="E30" s="134">
        <v>3</v>
      </c>
      <c r="F30" s="134" t="s">
        <v>4108</v>
      </c>
      <c r="G30" s="134" t="s">
        <v>7</v>
      </c>
      <c r="H30" s="134" t="s">
        <v>1070</v>
      </c>
      <c r="I30" s="134" t="s">
        <v>6445</v>
      </c>
      <c r="J30" s="223">
        <v>85</v>
      </c>
    </row>
    <row r="31" spans="1:10" x14ac:dyDescent="0.2">
      <c r="A31" s="134" t="s">
        <v>5979</v>
      </c>
      <c r="B31" s="134" t="s">
        <v>5980</v>
      </c>
      <c r="C31" s="134" t="s">
        <v>5981</v>
      </c>
      <c r="D31" s="134" t="s">
        <v>5991</v>
      </c>
      <c r="E31" s="134">
        <v>5</v>
      </c>
      <c r="F31" s="134" t="s">
        <v>4108</v>
      </c>
      <c r="G31" s="134" t="s">
        <v>7</v>
      </c>
      <c r="H31" s="134" t="s">
        <v>1071</v>
      </c>
      <c r="I31" s="134" t="s">
        <v>6446</v>
      </c>
      <c r="J31" s="223">
        <v>132</v>
      </c>
    </row>
    <row r="32" spans="1:10" x14ac:dyDescent="0.2">
      <c r="A32" s="134" t="s">
        <v>5979</v>
      </c>
      <c r="B32" s="134" t="s">
        <v>5980</v>
      </c>
      <c r="C32" s="134" t="s">
        <v>5981</v>
      </c>
      <c r="D32" s="134" t="s">
        <v>5992</v>
      </c>
      <c r="E32" s="134">
        <v>1</v>
      </c>
      <c r="F32" s="134" t="s">
        <v>4108</v>
      </c>
      <c r="G32" s="134" t="s">
        <v>7</v>
      </c>
      <c r="H32" s="134" t="s">
        <v>59</v>
      </c>
      <c r="I32" s="134" t="s">
        <v>6447</v>
      </c>
      <c r="J32" s="223">
        <v>48</v>
      </c>
    </row>
    <row r="33" spans="1:10" x14ac:dyDescent="0.2">
      <c r="A33" s="134" t="s">
        <v>5979</v>
      </c>
      <c r="B33" s="134" t="s">
        <v>5980</v>
      </c>
      <c r="C33" s="134" t="s">
        <v>5981</v>
      </c>
      <c r="D33" s="134" t="s">
        <v>5992</v>
      </c>
      <c r="E33" s="134">
        <v>3</v>
      </c>
      <c r="F33" s="134" t="s">
        <v>4108</v>
      </c>
      <c r="G33" s="134" t="s">
        <v>7</v>
      </c>
      <c r="H33" s="134" t="s">
        <v>61</v>
      </c>
      <c r="I33" s="134" t="s">
        <v>6448</v>
      </c>
      <c r="J33" s="223">
        <v>123</v>
      </c>
    </row>
    <row r="34" spans="1:10" x14ac:dyDescent="0.2">
      <c r="A34" s="134" t="s">
        <v>5979</v>
      </c>
      <c r="B34" s="134" t="s">
        <v>5980</v>
      </c>
      <c r="C34" s="134" t="s">
        <v>5981</v>
      </c>
      <c r="D34" s="134" t="s">
        <v>5992</v>
      </c>
      <c r="E34" s="134">
        <v>5</v>
      </c>
      <c r="F34" s="134" t="s">
        <v>4108</v>
      </c>
      <c r="G34" s="134" t="s">
        <v>7</v>
      </c>
      <c r="H34" s="134" t="s">
        <v>63</v>
      </c>
      <c r="I34" s="134" t="s">
        <v>6449</v>
      </c>
      <c r="J34" s="223">
        <v>192</v>
      </c>
    </row>
    <row r="35" spans="1:10" x14ac:dyDescent="0.2">
      <c r="A35" s="134" t="s">
        <v>5979</v>
      </c>
      <c r="B35" s="134" t="s">
        <v>5980</v>
      </c>
      <c r="C35" s="134" t="s">
        <v>5981</v>
      </c>
      <c r="D35" s="134" t="s">
        <v>5993</v>
      </c>
      <c r="E35" s="134">
        <v>1</v>
      </c>
      <c r="F35" s="134" t="s">
        <v>4108</v>
      </c>
      <c r="G35" s="134" t="s">
        <v>7</v>
      </c>
      <c r="H35" s="134" t="s">
        <v>84</v>
      </c>
      <c r="I35" s="134" t="s">
        <v>6450</v>
      </c>
      <c r="J35" s="223">
        <v>18</v>
      </c>
    </row>
    <row r="36" spans="1:10" x14ac:dyDescent="0.2">
      <c r="A36" s="134" t="s">
        <v>5979</v>
      </c>
      <c r="B36" s="134" t="s">
        <v>5980</v>
      </c>
      <c r="C36" s="134" t="s">
        <v>5981</v>
      </c>
      <c r="D36" s="134" t="s">
        <v>5993</v>
      </c>
      <c r="E36" s="134">
        <v>3</v>
      </c>
      <c r="F36" s="134" t="s">
        <v>4108</v>
      </c>
      <c r="G36" s="134" t="s">
        <v>7</v>
      </c>
      <c r="H36" s="134" t="s">
        <v>85</v>
      </c>
      <c r="I36" s="134" t="s">
        <v>6451</v>
      </c>
      <c r="J36" s="223">
        <v>46</v>
      </c>
    </row>
    <row r="37" spans="1:10" x14ac:dyDescent="0.2">
      <c r="A37" s="134" t="s">
        <v>5979</v>
      </c>
      <c r="B37" s="134" t="s">
        <v>5980</v>
      </c>
      <c r="C37" s="134" t="s">
        <v>5981</v>
      </c>
      <c r="D37" s="134" t="s">
        <v>5993</v>
      </c>
      <c r="E37" s="134">
        <v>5</v>
      </c>
      <c r="F37" s="134" t="s">
        <v>4108</v>
      </c>
      <c r="G37" s="134" t="s">
        <v>7</v>
      </c>
      <c r="H37" s="134" t="s">
        <v>86</v>
      </c>
      <c r="I37" s="134" t="s">
        <v>6452</v>
      </c>
      <c r="J37" s="223">
        <v>72</v>
      </c>
    </row>
    <row r="38" spans="1:10" x14ac:dyDescent="0.2">
      <c r="A38" s="134" t="s">
        <v>5979</v>
      </c>
      <c r="B38" s="134" t="s">
        <v>5980</v>
      </c>
      <c r="C38" s="134" t="s">
        <v>5981</v>
      </c>
      <c r="D38" s="134" t="s">
        <v>6453</v>
      </c>
      <c r="E38" s="134">
        <v>1</v>
      </c>
      <c r="F38" s="134" t="s">
        <v>4108</v>
      </c>
      <c r="G38" s="134" t="s">
        <v>7</v>
      </c>
      <c r="H38" s="134" t="s">
        <v>6454</v>
      </c>
      <c r="I38" s="134" t="s">
        <v>6455</v>
      </c>
      <c r="J38" s="223">
        <v>28</v>
      </c>
    </row>
    <row r="39" spans="1:10" x14ac:dyDescent="0.2">
      <c r="A39" s="134" t="s">
        <v>5979</v>
      </c>
      <c r="B39" s="134" t="s">
        <v>5980</v>
      </c>
      <c r="C39" s="134" t="s">
        <v>5981</v>
      </c>
      <c r="D39" s="134" t="s">
        <v>6453</v>
      </c>
      <c r="E39" s="134">
        <v>3</v>
      </c>
      <c r="F39" s="134" t="s">
        <v>4108</v>
      </c>
      <c r="G39" s="134" t="s">
        <v>7</v>
      </c>
      <c r="H39" s="134" t="s">
        <v>6456</v>
      </c>
      <c r="I39" s="134" t="s">
        <v>6457</v>
      </c>
      <c r="J39" s="223">
        <v>72</v>
      </c>
    </row>
    <row r="40" spans="1:10" x14ac:dyDescent="0.2">
      <c r="A40" s="134" t="s">
        <v>5979</v>
      </c>
      <c r="B40" s="134" t="s">
        <v>5980</v>
      </c>
      <c r="C40" s="134" t="s">
        <v>5981</v>
      </c>
      <c r="D40" s="134" t="s">
        <v>6453</v>
      </c>
      <c r="E40" s="134">
        <v>5</v>
      </c>
      <c r="F40" s="134" t="s">
        <v>4108</v>
      </c>
      <c r="G40" s="134" t="s">
        <v>7</v>
      </c>
      <c r="H40" s="134" t="s">
        <v>6458</v>
      </c>
      <c r="I40" s="134" t="s">
        <v>6459</v>
      </c>
      <c r="J40" s="223">
        <v>112</v>
      </c>
    </row>
    <row r="41" spans="1:10" x14ac:dyDescent="0.2">
      <c r="A41" s="134" t="s">
        <v>5979</v>
      </c>
      <c r="B41" s="134" t="s">
        <v>5980</v>
      </c>
      <c r="C41" s="134" t="s">
        <v>5981</v>
      </c>
      <c r="D41" s="134" t="s">
        <v>6689</v>
      </c>
      <c r="E41" s="134">
        <v>1</v>
      </c>
      <c r="F41" s="134" t="s">
        <v>4108</v>
      </c>
      <c r="G41" s="134" t="s">
        <v>7</v>
      </c>
      <c r="H41" s="134" t="s">
        <v>6690</v>
      </c>
      <c r="I41" s="134" t="s">
        <v>6691</v>
      </c>
      <c r="J41" s="223">
        <v>87</v>
      </c>
    </row>
    <row r="42" spans="1:10" x14ac:dyDescent="0.2">
      <c r="A42" s="134" t="s">
        <v>5979</v>
      </c>
      <c r="B42" s="134" t="s">
        <v>5980</v>
      </c>
      <c r="C42" s="134" t="s">
        <v>5981</v>
      </c>
      <c r="D42" s="134" t="s">
        <v>6689</v>
      </c>
      <c r="E42" s="134">
        <v>3</v>
      </c>
      <c r="F42" s="134" t="s">
        <v>4108</v>
      </c>
      <c r="G42" s="134" t="s">
        <v>7</v>
      </c>
      <c r="H42" s="134" t="s">
        <v>6692</v>
      </c>
      <c r="I42" s="134" t="s">
        <v>6693</v>
      </c>
      <c r="J42" s="223">
        <v>222</v>
      </c>
    </row>
    <row r="43" spans="1:10" x14ac:dyDescent="0.2">
      <c r="A43" s="134" t="s">
        <v>5979</v>
      </c>
      <c r="B43" s="134" t="s">
        <v>5980</v>
      </c>
      <c r="C43" s="134" t="s">
        <v>5981</v>
      </c>
      <c r="D43" s="134" t="s">
        <v>6689</v>
      </c>
      <c r="E43" s="134">
        <v>5</v>
      </c>
      <c r="F43" s="134" t="s">
        <v>4108</v>
      </c>
      <c r="G43" s="134" t="s">
        <v>7</v>
      </c>
      <c r="H43" s="134" t="s">
        <v>6694</v>
      </c>
      <c r="I43" s="134" t="s">
        <v>6695</v>
      </c>
      <c r="J43" s="223">
        <v>348</v>
      </c>
    </row>
    <row r="44" spans="1:10" x14ac:dyDescent="0.2">
      <c r="A44" s="134" t="s">
        <v>5979</v>
      </c>
      <c r="B44" s="134" t="s">
        <v>5995</v>
      </c>
      <c r="C44" s="134" t="s">
        <v>5981</v>
      </c>
      <c r="D44" s="134" t="s">
        <v>5982</v>
      </c>
      <c r="E44" s="134">
        <v>1</v>
      </c>
      <c r="H44" s="134" t="s">
        <v>5996</v>
      </c>
      <c r="I44" s="134" t="s">
        <v>6460</v>
      </c>
      <c r="J44" s="223">
        <v>10</v>
      </c>
    </row>
    <row r="45" spans="1:10" x14ac:dyDescent="0.2">
      <c r="A45" s="134" t="s">
        <v>5979</v>
      </c>
      <c r="B45" s="134" t="s">
        <v>5995</v>
      </c>
      <c r="C45" s="134" t="s">
        <v>5981</v>
      </c>
      <c r="D45" s="134" t="s">
        <v>5982</v>
      </c>
      <c r="E45" s="134">
        <v>3</v>
      </c>
      <c r="H45" s="134" t="s">
        <v>5997</v>
      </c>
      <c r="I45" s="134" t="s">
        <v>6461</v>
      </c>
      <c r="J45" s="223">
        <v>26</v>
      </c>
    </row>
    <row r="46" spans="1:10" x14ac:dyDescent="0.2">
      <c r="A46" s="134" t="s">
        <v>5979</v>
      </c>
      <c r="B46" s="134" t="s">
        <v>5995</v>
      </c>
      <c r="C46" s="134" t="s">
        <v>5981</v>
      </c>
      <c r="D46" s="134" t="s">
        <v>5982</v>
      </c>
      <c r="E46" s="134">
        <v>5</v>
      </c>
      <c r="H46" s="134" t="s">
        <v>5998</v>
      </c>
      <c r="I46" s="134" t="s">
        <v>6462</v>
      </c>
      <c r="J46" s="223">
        <v>40</v>
      </c>
    </row>
    <row r="47" spans="1:10" x14ac:dyDescent="0.2">
      <c r="A47" s="134" t="s">
        <v>5979</v>
      </c>
      <c r="B47" s="134" t="s">
        <v>5995</v>
      </c>
      <c r="C47" s="134" t="s">
        <v>5981</v>
      </c>
      <c r="D47" s="134" t="s">
        <v>5983</v>
      </c>
      <c r="E47" s="134">
        <v>1</v>
      </c>
      <c r="H47" s="134" t="s">
        <v>5999</v>
      </c>
      <c r="I47" s="134" t="s">
        <v>6463</v>
      </c>
      <c r="J47" s="223">
        <v>8</v>
      </c>
    </row>
    <row r="48" spans="1:10" x14ac:dyDescent="0.2">
      <c r="A48" s="134" t="s">
        <v>5979</v>
      </c>
      <c r="B48" s="134" t="s">
        <v>5995</v>
      </c>
      <c r="C48" s="134" t="s">
        <v>5981</v>
      </c>
      <c r="D48" s="134" t="s">
        <v>5983</v>
      </c>
      <c r="E48" s="134">
        <v>3</v>
      </c>
      <c r="H48" s="134" t="s">
        <v>6000</v>
      </c>
      <c r="I48" s="134" t="s">
        <v>6464</v>
      </c>
      <c r="J48" s="223">
        <v>21</v>
      </c>
    </row>
    <row r="49" spans="1:10" x14ac:dyDescent="0.2">
      <c r="A49" s="134" t="s">
        <v>5979</v>
      </c>
      <c r="B49" s="134" t="s">
        <v>5995</v>
      </c>
      <c r="C49" s="134" t="s">
        <v>5981</v>
      </c>
      <c r="D49" s="134" t="s">
        <v>5983</v>
      </c>
      <c r="E49" s="134">
        <v>5</v>
      </c>
      <c r="H49" s="134" t="s">
        <v>6001</v>
      </c>
      <c r="I49" s="134" t="s">
        <v>6465</v>
      </c>
      <c r="J49" s="223">
        <v>32</v>
      </c>
    </row>
    <row r="50" spans="1:10" x14ac:dyDescent="0.2">
      <c r="A50" s="134" t="s">
        <v>5979</v>
      </c>
      <c r="B50" s="134" t="s">
        <v>5995</v>
      </c>
      <c r="C50" s="134" t="s">
        <v>5981</v>
      </c>
      <c r="D50" s="134" t="s">
        <v>5984</v>
      </c>
      <c r="E50" s="134">
        <v>1</v>
      </c>
      <c r="H50" s="134" t="s">
        <v>6002</v>
      </c>
      <c r="I50" s="134" t="s">
        <v>6466</v>
      </c>
      <c r="J50" s="223">
        <v>13</v>
      </c>
    </row>
    <row r="51" spans="1:10" x14ac:dyDescent="0.2">
      <c r="A51" s="134" t="s">
        <v>5979</v>
      </c>
      <c r="B51" s="134" t="s">
        <v>5995</v>
      </c>
      <c r="C51" s="134" t="s">
        <v>5981</v>
      </c>
      <c r="D51" s="134" t="s">
        <v>5984</v>
      </c>
      <c r="E51" s="134">
        <v>3</v>
      </c>
      <c r="H51" s="134" t="s">
        <v>6003</v>
      </c>
      <c r="I51" s="134" t="s">
        <v>6467</v>
      </c>
      <c r="J51" s="223">
        <v>34</v>
      </c>
    </row>
    <row r="52" spans="1:10" x14ac:dyDescent="0.2">
      <c r="A52" s="134" t="s">
        <v>5979</v>
      </c>
      <c r="B52" s="134" t="s">
        <v>5995</v>
      </c>
      <c r="C52" s="134" t="s">
        <v>5981</v>
      </c>
      <c r="D52" s="134" t="s">
        <v>5984</v>
      </c>
      <c r="E52" s="134">
        <v>5</v>
      </c>
      <c r="H52" s="134" t="s">
        <v>6004</v>
      </c>
      <c r="I52" s="134" t="s">
        <v>6468</v>
      </c>
      <c r="J52" s="223">
        <v>52</v>
      </c>
    </row>
    <row r="53" spans="1:10" x14ac:dyDescent="0.2">
      <c r="A53" s="134" t="s">
        <v>5979</v>
      </c>
      <c r="B53" s="134" t="s">
        <v>5995</v>
      </c>
      <c r="C53" s="134" t="s">
        <v>5981</v>
      </c>
      <c r="D53" s="134" t="s">
        <v>5985</v>
      </c>
      <c r="E53" s="134">
        <v>1</v>
      </c>
      <c r="H53" s="134" t="s">
        <v>6005</v>
      </c>
      <c r="I53" s="134" t="s">
        <v>6006</v>
      </c>
      <c r="J53" s="223">
        <v>17</v>
      </c>
    </row>
    <row r="54" spans="1:10" x14ac:dyDescent="0.2">
      <c r="A54" s="134" t="s">
        <v>5979</v>
      </c>
      <c r="B54" s="134" t="s">
        <v>5995</v>
      </c>
      <c r="C54" s="134" t="s">
        <v>5981</v>
      </c>
      <c r="D54" s="134" t="s">
        <v>5985</v>
      </c>
      <c r="E54" s="134">
        <v>3</v>
      </c>
      <c r="H54" s="134" t="s">
        <v>6007</v>
      </c>
      <c r="I54" s="134" t="s">
        <v>6469</v>
      </c>
      <c r="J54" s="223">
        <v>44</v>
      </c>
    </row>
    <row r="55" spans="1:10" x14ac:dyDescent="0.2">
      <c r="A55" s="134" t="s">
        <v>5979</v>
      </c>
      <c r="B55" s="134" t="s">
        <v>5995</v>
      </c>
      <c r="C55" s="134" t="s">
        <v>5981</v>
      </c>
      <c r="D55" s="134" t="s">
        <v>5985</v>
      </c>
      <c r="E55" s="134">
        <v>5</v>
      </c>
      <c r="H55" s="134" t="s">
        <v>6008</v>
      </c>
      <c r="I55" s="134" t="s">
        <v>6470</v>
      </c>
      <c r="J55" s="223">
        <v>68</v>
      </c>
    </row>
    <row r="56" spans="1:10" x14ac:dyDescent="0.2">
      <c r="A56" s="134" t="s">
        <v>5979</v>
      </c>
      <c r="B56" s="134" t="s">
        <v>5995</v>
      </c>
      <c r="C56" s="134" t="s">
        <v>5981</v>
      </c>
      <c r="D56" s="134" t="s">
        <v>5986</v>
      </c>
      <c r="E56" s="134">
        <v>1</v>
      </c>
      <c r="H56" s="134" t="s">
        <v>6009</v>
      </c>
      <c r="I56" s="134" t="s">
        <v>6010</v>
      </c>
      <c r="J56" s="223">
        <v>22</v>
      </c>
    </row>
    <row r="57" spans="1:10" x14ac:dyDescent="0.2">
      <c r="A57" s="134" t="s">
        <v>5979</v>
      </c>
      <c r="B57" s="134" t="s">
        <v>5995</v>
      </c>
      <c r="C57" s="134" t="s">
        <v>5981</v>
      </c>
      <c r="D57" s="134" t="s">
        <v>5986</v>
      </c>
      <c r="E57" s="134">
        <v>3</v>
      </c>
      <c r="H57" s="134" t="s">
        <v>6011</v>
      </c>
      <c r="I57" s="134" t="s">
        <v>6471</v>
      </c>
      <c r="J57" s="223">
        <v>57</v>
      </c>
    </row>
    <row r="58" spans="1:10" x14ac:dyDescent="0.2">
      <c r="A58" s="134" t="s">
        <v>5979</v>
      </c>
      <c r="B58" s="134" t="s">
        <v>5995</v>
      </c>
      <c r="C58" s="134" t="s">
        <v>5981</v>
      </c>
      <c r="D58" s="134" t="s">
        <v>5986</v>
      </c>
      <c r="E58" s="134">
        <v>5</v>
      </c>
      <c r="H58" s="134" t="s">
        <v>6012</v>
      </c>
      <c r="I58" s="134" t="s">
        <v>6472</v>
      </c>
      <c r="J58" s="223">
        <v>88</v>
      </c>
    </row>
    <row r="59" spans="1:10" x14ac:dyDescent="0.2">
      <c r="A59" s="134" t="s">
        <v>5979</v>
      </c>
      <c r="B59" s="134" t="s">
        <v>5995</v>
      </c>
      <c r="C59" s="134" t="s">
        <v>5981</v>
      </c>
      <c r="D59" s="134" t="s">
        <v>5987</v>
      </c>
      <c r="E59" s="134">
        <v>1</v>
      </c>
      <c r="H59" s="134" t="s">
        <v>6013</v>
      </c>
      <c r="I59" s="134" t="s">
        <v>6014</v>
      </c>
      <c r="J59" s="223">
        <v>22</v>
      </c>
    </row>
    <row r="60" spans="1:10" x14ac:dyDescent="0.2">
      <c r="A60" s="134" t="s">
        <v>5979</v>
      </c>
      <c r="B60" s="134" t="s">
        <v>5995</v>
      </c>
      <c r="C60" s="134" t="s">
        <v>5981</v>
      </c>
      <c r="D60" s="134" t="s">
        <v>5987</v>
      </c>
      <c r="E60" s="134">
        <v>3</v>
      </c>
      <c r="H60" s="134" t="s">
        <v>6015</v>
      </c>
      <c r="I60" s="134" t="s">
        <v>6473</v>
      </c>
      <c r="J60" s="223">
        <v>57</v>
      </c>
    </row>
    <row r="61" spans="1:10" x14ac:dyDescent="0.2">
      <c r="A61" s="134" t="s">
        <v>5979</v>
      </c>
      <c r="B61" s="134" t="s">
        <v>5995</v>
      </c>
      <c r="C61" s="134" t="s">
        <v>5981</v>
      </c>
      <c r="D61" s="134" t="s">
        <v>5987</v>
      </c>
      <c r="E61" s="134">
        <v>5</v>
      </c>
      <c r="H61" s="134" t="s">
        <v>6016</v>
      </c>
      <c r="I61" s="134" t="s">
        <v>6474</v>
      </c>
      <c r="J61" s="223">
        <v>88</v>
      </c>
    </row>
    <row r="62" spans="1:10" x14ac:dyDescent="0.2">
      <c r="A62" s="134" t="s">
        <v>5979</v>
      </c>
      <c r="B62" s="134" t="s">
        <v>5995</v>
      </c>
      <c r="C62" s="134" t="s">
        <v>5981</v>
      </c>
      <c r="D62" s="134" t="s">
        <v>5988</v>
      </c>
      <c r="E62" s="134">
        <v>1</v>
      </c>
      <c r="H62" s="134" t="s">
        <v>6017</v>
      </c>
      <c r="I62" s="134" t="s">
        <v>6018</v>
      </c>
      <c r="J62" s="223">
        <v>22</v>
      </c>
    </row>
    <row r="63" spans="1:10" x14ac:dyDescent="0.2">
      <c r="A63" s="134" t="s">
        <v>5979</v>
      </c>
      <c r="B63" s="134" t="s">
        <v>5995</v>
      </c>
      <c r="C63" s="134" t="s">
        <v>5981</v>
      </c>
      <c r="D63" s="134" t="s">
        <v>5988</v>
      </c>
      <c r="E63" s="134">
        <v>3</v>
      </c>
      <c r="H63" s="134" t="s">
        <v>6019</v>
      </c>
      <c r="I63" s="134" t="s">
        <v>6475</v>
      </c>
      <c r="J63" s="223">
        <v>57</v>
      </c>
    </row>
    <row r="64" spans="1:10" x14ac:dyDescent="0.2">
      <c r="A64" s="134" t="s">
        <v>5979</v>
      </c>
      <c r="B64" s="134" t="s">
        <v>5995</v>
      </c>
      <c r="C64" s="134" t="s">
        <v>5981</v>
      </c>
      <c r="D64" s="134" t="s">
        <v>5988</v>
      </c>
      <c r="E64" s="134">
        <v>5</v>
      </c>
      <c r="H64" s="134" t="s">
        <v>6020</v>
      </c>
      <c r="I64" s="134" t="s">
        <v>6476</v>
      </c>
      <c r="J64" s="223">
        <v>88</v>
      </c>
    </row>
    <row r="65" spans="1:10" x14ac:dyDescent="0.2">
      <c r="A65" s="134" t="s">
        <v>5979</v>
      </c>
      <c r="B65" s="134" t="s">
        <v>5995</v>
      </c>
      <c r="C65" s="134" t="s">
        <v>5981</v>
      </c>
      <c r="D65" s="134" t="s">
        <v>5989</v>
      </c>
      <c r="E65" s="134">
        <v>1</v>
      </c>
      <c r="H65" s="134" t="s">
        <v>6021</v>
      </c>
      <c r="I65" s="134" t="s">
        <v>6022</v>
      </c>
      <c r="J65" s="223">
        <v>15</v>
      </c>
    </row>
    <row r="66" spans="1:10" x14ac:dyDescent="0.2">
      <c r="A66" s="134" t="s">
        <v>5979</v>
      </c>
      <c r="B66" s="134" t="s">
        <v>5995</v>
      </c>
      <c r="C66" s="134" t="s">
        <v>5981</v>
      </c>
      <c r="D66" s="134" t="s">
        <v>5989</v>
      </c>
      <c r="E66" s="134">
        <v>3</v>
      </c>
      <c r="H66" s="134" t="s">
        <v>6023</v>
      </c>
      <c r="I66" s="134" t="s">
        <v>6477</v>
      </c>
      <c r="J66" s="223">
        <v>39</v>
      </c>
    </row>
    <row r="67" spans="1:10" x14ac:dyDescent="0.2">
      <c r="A67" s="134" t="s">
        <v>5979</v>
      </c>
      <c r="B67" s="134" t="s">
        <v>5995</v>
      </c>
      <c r="C67" s="134" t="s">
        <v>5981</v>
      </c>
      <c r="D67" s="134" t="s">
        <v>5989</v>
      </c>
      <c r="E67" s="134">
        <v>5</v>
      </c>
      <c r="H67" s="134" t="s">
        <v>6024</v>
      </c>
      <c r="I67" s="134" t="s">
        <v>6478</v>
      </c>
      <c r="J67" s="223">
        <v>60</v>
      </c>
    </row>
    <row r="68" spans="1:10" x14ac:dyDescent="0.2">
      <c r="A68" s="134" t="s">
        <v>5979</v>
      </c>
      <c r="B68" s="134" t="s">
        <v>5995</v>
      </c>
      <c r="C68" s="134" t="s">
        <v>5981</v>
      </c>
      <c r="D68" s="134" t="s">
        <v>5990</v>
      </c>
      <c r="E68" s="134">
        <v>1</v>
      </c>
      <c r="H68" s="134" t="s">
        <v>6025</v>
      </c>
      <c r="I68" s="134" t="s">
        <v>6026</v>
      </c>
      <c r="J68" s="223">
        <v>22</v>
      </c>
    </row>
    <row r="69" spans="1:10" x14ac:dyDescent="0.2">
      <c r="A69" s="134" t="s">
        <v>5979</v>
      </c>
      <c r="B69" s="134" t="s">
        <v>5995</v>
      </c>
      <c r="C69" s="134" t="s">
        <v>5981</v>
      </c>
      <c r="D69" s="134" t="s">
        <v>5990</v>
      </c>
      <c r="E69" s="134">
        <v>3</v>
      </c>
      <c r="H69" s="134" t="s">
        <v>6027</v>
      </c>
      <c r="I69" s="134" t="s">
        <v>6479</v>
      </c>
      <c r="J69" s="223">
        <v>57</v>
      </c>
    </row>
    <row r="70" spans="1:10" x14ac:dyDescent="0.2">
      <c r="A70" s="134" t="s">
        <v>5979</v>
      </c>
      <c r="B70" s="134" t="s">
        <v>5995</v>
      </c>
      <c r="C70" s="134" t="s">
        <v>5981</v>
      </c>
      <c r="D70" s="134" t="s">
        <v>5990</v>
      </c>
      <c r="E70" s="134">
        <v>5</v>
      </c>
      <c r="H70" s="134" t="s">
        <v>6028</v>
      </c>
      <c r="I70" s="134" t="s">
        <v>6480</v>
      </c>
      <c r="J70" s="223">
        <v>88</v>
      </c>
    </row>
    <row r="71" spans="1:10" x14ac:dyDescent="0.2">
      <c r="A71" s="134" t="s">
        <v>5979</v>
      </c>
      <c r="B71" s="134" t="s">
        <v>5995</v>
      </c>
      <c r="C71" s="134" t="s">
        <v>5981</v>
      </c>
      <c r="D71" s="134" t="s">
        <v>5991</v>
      </c>
      <c r="E71" s="134">
        <v>1</v>
      </c>
      <c r="H71" s="134" t="s">
        <v>6029</v>
      </c>
      <c r="I71" s="134" t="s">
        <v>6030</v>
      </c>
      <c r="J71" s="223">
        <v>33</v>
      </c>
    </row>
    <row r="72" spans="1:10" x14ac:dyDescent="0.2">
      <c r="A72" s="134" t="s">
        <v>5979</v>
      </c>
      <c r="B72" s="134" t="s">
        <v>5995</v>
      </c>
      <c r="C72" s="134" t="s">
        <v>5981</v>
      </c>
      <c r="D72" s="134" t="s">
        <v>5991</v>
      </c>
      <c r="E72" s="134">
        <v>3</v>
      </c>
      <c r="H72" s="134" t="s">
        <v>6031</v>
      </c>
      <c r="I72" s="134" t="s">
        <v>6481</v>
      </c>
      <c r="J72" s="223">
        <v>85</v>
      </c>
    </row>
    <row r="73" spans="1:10" x14ac:dyDescent="0.2">
      <c r="A73" s="134" t="s">
        <v>5979</v>
      </c>
      <c r="B73" s="134" t="s">
        <v>5995</v>
      </c>
      <c r="C73" s="134" t="s">
        <v>5981</v>
      </c>
      <c r="D73" s="134" t="s">
        <v>5991</v>
      </c>
      <c r="E73" s="134">
        <v>5</v>
      </c>
      <c r="H73" s="134" t="s">
        <v>6032</v>
      </c>
      <c r="I73" s="134" t="s">
        <v>6482</v>
      </c>
      <c r="J73" s="223">
        <v>132</v>
      </c>
    </row>
    <row r="74" spans="1:10" x14ac:dyDescent="0.2">
      <c r="A74" s="134" t="s">
        <v>5979</v>
      </c>
      <c r="B74" s="134" t="s">
        <v>5995</v>
      </c>
      <c r="C74" s="134" t="s">
        <v>5981</v>
      </c>
      <c r="D74" s="134" t="s">
        <v>5992</v>
      </c>
      <c r="E74" s="134">
        <v>1</v>
      </c>
      <c r="H74" s="134" t="s">
        <v>6033</v>
      </c>
      <c r="I74" s="134" t="s">
        <v>6034</v>
      </c>
      <c r="J74" s="223">
        <v>48</v>
      </c>
    </row>
    <row r="75" spans="1:10" x14ac:dyDescent="0.2">
      <c r="A75" s="134" t="s">
        <v>5979</v>
      </c>
      <c r="B75" s="134" t="s">
        <v>5995</v>
      </c>
      <c r="C75" s="134" t="s">
        <v>5981</v>
      </c>
      <c r="D75" s="134" t="s">
        <v>5992</v>
      </c>
      <c r="E75" s="134">
        <v>3</v>
      </c>
      <c r="H75" s="134" t="s">
        <v>6035</v>
      </c>
      <c r="I75" s="134" t="s">
        <v>6483</v>
      </c>
      <c r="J75" s="223">
        <v>123</v>
      </c>
    </row>
    <row r="76" spans="1:10" x14ac:dyDescent="0.2">
      <c r="A76" s="134" t="s">
        <v>5979</v>
      </c>
      <c r="B76" s="134" t="s">
        <v>5995</v>
      </c>
      <c r="C76" s="134" t="s">
        <v>5981</v>
      </c>
      <c r="D76" s="134" t="s">
        <v>5992</v>
      </c>
      <c r="E76" s="134">
        <v>5</v>
      </c>
      <c r="H76" s="134" t="s">
        <v>6036</v>
      </c>
      <c r="I76" s="134" t="s">
        <v>6484</v>
      </c>
      <c r="J76" s="223">
        <v>192</v>
      </c>
    </row>
    <row r="77" spans="1:10" x14ac:dyDescent="0.2">
      <c r="A77" s="134" t="s">
        <v>5979</v>
      </c>
      <c r="B77" s="134" t="s">
        <v>5995</v>
      </c>
      <c r="C77" s="134" t="s">
        <v>5981</v>
      </c>
      <c r="D77" s="134" t="s">
        <v>5993</v>
      </c>
      <c r="E77" s="134">
        <v>1</v>
      </c>
      <c r="H77" s="134" t="s">
        <v>6037</v>
      </c>
      <c r="I77" s="134" t="s">
        <v>6038</v>
      </c>
      <c r="J77" s="223">
        <v>18</v>
      </c>
    </row>
    <row r="78" spans="1:10" x14ac:dyDescent="0.2">
      <c r="A78" s="134" t="s">
        <v>5979</v>
      </c>
      <c r="B78" s="134" t="s">
        <v>5995</v>
      </c>
      <c r="C78" s="134" t="s">
        <v>5981</v>
      </c>
      <c r="D78" s="134" t="s">
        <v>5993</v>
      </c>
      <c r="E78" s="134">
        <v>3</v>
      </c>
      <c r="H78" s="134" t="s">
        <v>6039</v>
      </c>
      <c r="I78" s="134" t="s">
        <v>6485</v>
      </c>
      <c r="J78" s="223">
        <v>46</v>
      </c>
    </row>
    <row r="79" spans="1:10" x14ac:dyDescent="0.2">
      <c r="A79" s="134" t="s">
        <v>5979</v>
      </c>
      <c r="B79" s="134" t="s">
        <v>5995</v>
      </c>
      <c r="C79" s="134" t="s">
        <v>5981</v>
      </c>
      <c r="D79" s="134" t="s">
        <v>5993</v>
      </c>
      <c r="E79" s="134">
        <v>5</v>
      </c>
      <c r="H79" s="134" t="s">
        <v>6040</v>
      </c>
      <c r="I79" s="134" t="s">
        <v>6486</v>
      </c>
      <c r="J79" s="223">
        <v>72</v>
      </c>
    </row>
    <row r="80" spans="1:10" x14ac:dyDescent="0.2">
      <c r="A80" s="134" t="s">
        <v>5979</v>
      </c>
      <c r="B80" s="134" t="s">
        <v>5995</v>
      </c>
      <c r="C80" s="134" t="s">
        <v>5981</v>
      </c>
      <c r="D80" s="134" t="s">
        <v>6453</v>
      </c>
      <c r="E80" s="134">
        <v>1</v>
      </c>
      <c r="H80" s="134" t="s">
        <v>6487</v>
      </c>
      <c r="I80" s="134" t="s">
        <v>6488</v>
      </c>
      <c r="J80" s="223">
        <v>24</v>
      </c>
    </row>
    <row r="81" spans="1:10" x14ac:dyDescent="0.2">
      <c r="A81" s="134" t="s">
        <v>5979</v>
      </c>
      <c r="B81" s="134" t="s">
        <v>5995</v>
      </c>
      <c r="C81" s="134" t="s">
        <v>5981</v>
      </c>
      <c r="D81" s="134" t="s">
        <v>6453</v>
      </c>
      <c r="E81" s="134">
        <v>3</v>
      </c>
      <c r="H81" s="134" t="s">
        <v>6489</v>
      </c>
      <c r="I81" s="134" t="s">
        <v>6490</v>
      </c>
      <c r="J81" s="223">
        <v>62</v>
      </c>
    </row>
    <row r="82" spans="1:10" x14ac:dyDescent="0.2">
      <c r="A82" s="134" t="s">
        <v>5979</v>
      </c>
      <c r="B82" s="134" t="s">
        <v>5995</v>
      </c>
      <c r="C82" s="134" t="s">
        <v>5981</v>
      </c>
      <c r="D82" s="134" t="s">
        <v>6453</v>
      </c>
      <c r="E82" s="134">
        <v>5</v>
      </c>
      <c r="H82" s="134" t="s">
        <v>6491</v>
      </c>
      <c r="I82" s="134" t="s">
        <v>6492</v>
      </c>
      <c r="J82" s="223">
        <v>96</v>
      </c>
    </row>
    <row r="83" spans="1:10" x14ac:dyDescent="0.2">
      <c r="A83" s="134" t="s">
        <v>5979</v>
      </c>
      <c r="B83" s="134" t="s">
        <v>5995</v>
      </c>
      <c r="C83" s="134" t="s">
        <v>5981</v>
      </c>
      <c r="D83" s="134" t="s">
        <v>6689</v>
      </c>
      <c r="E83" s="134">
        <v>1</v>
      </c>
      <c r="H83" s="134" t="s">
        <v>6696</v>
      </c>
      <c r="I83" s="134" t="s">
        <v>6697</v>
      </c>
      <c r="J83" s="223">
        <v>87</v>
      </c>
    </row>
    <row r="84" spans="1:10" x14ac:dyDescent="0.2">
      <c r="A84" s="134" t="s">
        <v>5979</v>
      </c>
      <c r="B84" s="134" t="s">
        <v>5995</v>
      </c>
      <c r="C84" s="134" t="s">
        <v>5981</v>
      </c>
      <c r="D84" s="134" t="s">
        <v>6689</v>
      </c>
      <c r="E84" s="134">
        <v>3</v>
      </c>
      <c r="H84" s="134" t="s">
        <v>6698</v>
      </c>
      <c r="I84" s="134" t="s">
        <v>6699</v>
      </c>
      <c r="J84" s="223">
        <v>222</v>
      </c>
    </row>
    <row r="85" spans="1:10" x14ac:dyDescent="0.2">
      <c r="A85" s="134" t="s">
        <v>5979</v>
      </c>
      <c r="B85" s="134" t="s">
        <v>5995</v>
      </c>
      <c r="C85" s="134" t="s">
        <v>5981</v>
      </c>
      <c r="D85" s="134" t="s">
        <v>6689</v>
      </c>
      <c r="E85" s="134">
        <v>5</v>
      </c>
      <c r="H85" s="134" t="s">
        <v>6700</v>
      </c>
      <c r="I85" s="134" t="s">
        <v>6701</v>
      </c>
      <c r="J85" s="223">
        <v>348</v>
      </c>
    </row>
    <row r="86" spans="1:10" x14ac:dyDescent="0.2">
      <c r="A86" s="134" t="s">
        <v>5979</v>
      </c>
      <c r="B86" s="134" t="s">
        <v>5948</v>
      </c>
      <c r="C86" s="134" t="s">
        <v>5981</v>
      </c>
      <c r="D86" s="134" t="s">
        <v>5982</v>
      </c>
      <c r="E86" s="134">
        <v>1</v>
      </c>
      <c r="F86" s="134" t="s">
        <v>4108</v>
      </c>
      <c r="G86" s="134" t="s">
        <v>7</v>
      </c>
      <c r="H86" s="134" t="s">
        <v>6041</v>
      </c>
      <c r="I86" s="134" t="s">
        <v>6493</v>
      </c>
      <c r="J86" s="223">
        <v>5</v>
      </c>
    </row>
    <row r="87" spans="1:10" x14ac:dyDescent="0.2">
      <c r="A87" s="134" t="s">
        <v>5979</v>
      </c>
      <c r="B87" s="134" t="s">
        <v>5948</v>
      </c>
      <c r="C87" s="134" t="s">
        <v>5981</v>
      </c>
      <c r="D87" s="134" t="s">
        <v>5982</v>
      </c>
      <c r="E87" s="134">
        <v>3</v>
      </c>
      <c r="F87" s="134" t="s">
        <v>4108</v>
      </c>
      <c r="G87" s="134" t="s">
        <v>7</v>
      </c>
      <c r="H87" s="134" t="s">
        <v>6042</v>
      </c>
      <c r="I87" s="134" t="s">
        <v>6494</v>
      </c>
      <c r="J87" s="223">
        <v>13</v>
      </c>
    </row>
    <row r="88" spans="1:10" x14ac:dyDescent="0.2">
      <c r="A88" s="134" t="s">
        <v>5979</v>
      </c>
      <c r="B88" s="134" t="s">
        <v>5948</v>
      </c>
      <c r="C88" s="134" t="s">
        <v>5981</v>
      </c>
      <c r="D88" s="134" t="s">
        <v>5982</v>
      </c>
      <c r="E88" s="134">
        <v>5</v>
      </c>
      <c r="F88" s="134" t="s">
        <v>4108</v>
      </c>
      <c r="G88" s="134" t="s">
        <v>7</v>
      </c>
      <c r="H88" s="134" t="s">
        <v>6043</v>
      </c>
      <c r="I88" s="134" t="s">
        <v>6495</v>
      </c>
      <c r="J88" s="223">
        <v>20</v>
      </c>
    </row>
    <row r="89" spans="1:10" x14ac:dyDescent="0.2">
      <c r="A89" s="134" t="s">
        <v>5979</v>
      </c>
      <c r="B89" s="134" t="s">
        <v>5948</v>
      </c>
      <c r="C89" s="134" t="s">
        <v>5981</v>
      </c>
      <c r="D89" s="134" t="s">
        <v>5983</v>
      </c>
      <c r="E89" s="134">
        <v>1</v>
      </c>
      <c r="F89" s="134" t="s">
        <v>4108</v>
      </c>
      <c r="G89" s="134" t="s">
        <v>7</v>
      </c>
      <c r="H89" s="134" t="s">
        <v>6044</v>
      </c>
      <c r="I89" s="134" t="s">
        <v>6496</v>
      </c>
      <c r="J89" s="223">
        <v>4</v>
      </c>
    </row>
    <row r="90" spans="1:10" x14ac:dyDescent="0.2">
      <c r="A90" s="134" t="s">
        <v>5979</v>
      </c>
      <c r="B90" s="134" t="s">
        <v>5948</v>
      </c>
      <c r="C90" s="134" t="s">
        <v>5981</v>
      </c>
      <c r="D90" s="134" t="s">
        <v>5983</v>
      </c>
      <c r="E90" s="134">
        <v>3</v>
      </c>
      <c r="F90" s="134" t="s">
        <v>4108</v>
      </c>
      <c r="G90" s="134" t="s">
        <v>7</v>
      </c>
      <c r="H90" s="134" t="s">
        <v>6045</v>
      </c>
      <c r="I90" s="134" t="s">
        <v>6497</v>
      </c>
      <c r="J90" s="223">
        <v>11</v>
      </c>
    </row>
    <row r="91" spans="1:10" x14ac:dyDescent="0.2">
      <c r="A91" s="134" t="s">
        <v>5979</v>
      </c>
      <c r="B91" s="134" t="s">
        <v>5948</v>
      </c>
      <c r="C91" s="134" t="s">
        <v>5981</v>
      </c>
      <c r="D91" s="134" t="s">
        <v>5983</v>
      </c>
      <c r="E91" s="134">
        <v>5</v>
      </c>
      <c r="F91" s="134" t="s">
        <v>4108</v>
      </c>
      <c r="G91" s="134" t="s">
        <v>7</v>
      </c>
      <c r="H91" s="134" t="s">
        <v>6046</v>
      </c>
      <c r="I91" s="134" t="s">
        <v>6498</v>
      </c>
      <c r="J91" s="223">
        <v>16</v>
      </c>
    </row>
    <row r="92" spans="1:10" x14ac:dyDescent="0.2">
      <c r="A92" s="134" t="s">
        <v>5979</v>
      </c>
      <c r="B92" s="134" t="s">
        <v>5948</v>
      </c>
      <c r="C92" s="134" t="s">
        <v>5981</v>
      </c>
      <c r="D92" s="134" t="s">
        <v>5984</v>
      </c>
      <c r="E92" s="134">
        <v>1</v>
      </c>
      <c r="F92" s="134" t="s">
        <v>4108</v>
      </c>
      <c r="G92" s="134" t="s">
        <v>7</v>
      </c>
      <c r="H92" s="134" t="s">
        <v>6047</v>
      </c>
      <c r="I92" s="134" t="s">
        <v>6499</v>
      </c>
      <c r="J92" s="223">
        <v>6</v>
      </c>
    </row>
    <row r="93" spans="1:10" x14ac:dyDescent="0.2">
      <c r="A93" s="134" t="s">
        <v>5979</v>
      </c>
      <c r="B93" s="134" t="s">
        <v>5948</v>
      </c>
      <c r="C93" s="134" t="s">
        <v>5981</v>
      </c>
      <c r="D93" s="134" t="s">
        <v>5984</v>
      </c>
      <c r="E93" s="134">
        <v>3</v>
      </c>
      <c r="F93" s="134" t="s">
        <v>4108</v>
      </c>
      <c r="G93" s="134" t="s">
        <v>7</v>
      </c>
      <c r="H93" s="134" t="s">
        <v>6048</v>
      </c>
      <c r="I93" s="134" t="s">
        <v>6500</v>
      </c>
      <c r="J93" s="223">
        <v>16</v>
      </c>
    </row>
    <row r="94" spans="1:10" x14ac:dyDescent="0.2">
      <c r="A94" s="134" t="s">
        <v>5979</v>
      </c>
      <c r="B94" s="134" t="s">
        <v>5948</v>
      </c>
      <c r="C94" s="134" t="s">
        <v>5981</v>
      </c>
      <c r="D94" s="134" t="s">
        <v>5984</v>
      </c>
      <c r="E94" s="134">
        <v>5</v>
      </c>
      <c r="F94" s="134" t="s">
        <v>4108</v>
      </c>
      <c r="G94" s="134" t="s">
        <v>7</v>
      </c>
      <c r="H94" s="134" t="s">
        <v>6049</v>
      </c>
      <c r="I94" s="134" t="s">
        <v>6501</v>
      </c>
      <c r="J94" s="223">
        <v>24</v>
      </c>
    </row>
    <row r="95" spans="1:10" x14ac:dyDescent="0.2">
      <c r="A95" s="134" t="s">
        <v>5979</v>
      </c>
      <c r="B95" s="134" t="s">
        <v>5948</v>
      </c>
      <c r="C95" s="134" t="s">
        <v>5981</v>
      </c>
      <c r="D95" s="134" t="s">
        <v>5985</v>
      </c>
      <c r="E95" s="134">
        <v>1</v>
      </c>
      <c r="F95" s="134" t="s">
        <v>4108</v>
      </c>
      <c r="G95" s="134" t="s">
        <v>7</v>
      </c>
      <c r="H95" s="134" t="s">
        <v>6050</v>
      </c>
      <c r="I95" s="134" t="s">
        <v>6502</v>
      </c>
      <c r="J95" s="223">
        <v>8</v>
      </c>
    </row>
    <row r="96" spans="1:10" x14ac:dyDescent="0.2">
      <c r="A96" s="134" t="s">
        <v>5979</v>
      </c>
      <c r="B96" s="134" t="s">
        <v>5948</v>
      </c>
      <c r="C96" s="134" t="s">
        <v>5981</v>
      </c>
      <c r="D96" s="134" t="s">
        <v>5985</v>
      </c>
      <c r="E96" s="134">
        <v>3</v>
      </c>
      <c r="F96" s="134" t="s">
        <v>4108</v>
      </c>
      <c r="G96" s="134" t="s">
        <v>7</v>
      </c>
      <c r="H96" s="134" t="s">
        <v>6051</v>
      </c>
      <c r="I96" s="134" t="s">
        <v>6503</v>
      </c>
      <c r="J96" s="223">
        <v>21</v>
      </c>
    </row>
    <row r="97" spans="1:10" x14ac:dyDescent="0.2">
      <c r="A97" s="134" t="s">
        <v>5979</v>
      </c>
      <c r="B97" s="134" t="s">
        <v>5948</v>
      </c>
      <c r="C97" s="134" t="s">
        <v>5981</v>
      </c>
      <c r="D97" s="134" t="s">
        <v>5985</v>
      </c>
      <c r="E97" s="134">
        <v>5</v>
      </c>
      <c r="F97" s="134" t="s">
        <v>4108</v>
      </c>
      <c r="G97" s="134" t="s">
        <v>7</v>
      </c>
      <c r="H97" s="134" t="s">
        <v>6052</v>
      </c>
      <c r="I97" s="134" t="s">
        <v>6504</v>
      </c>
      <c r="J97" s="223">
        <v>32</v>
      </c>
    </row>
    <row r="98" spans="1:10" x14ac:dyDescent="0.2">
      <c r="A98" s="134" t="s">
        <v>5979</v>
      </c>
      <c r="B98" s="134" t="s">
        <v>5948</v>
      </c>
      <c r="C98" s="134" t="s">
        <v>5981</v>
      </c>
      <c r="D98" s="134" t="s">
        <v>5986</v>
      </c>
      <c r="E98" s="134">
        <v>1</v>
      </c>
      <c r="F98" s="134" t="s">
        <v>4108</v>
      </c>
      <c r="G98" s="134" t="s">
        <v>7</v>
      </c>
      <c r="H98" s="134" t="s">
        <v>6053</v>
      </c>
      <c r="I98" s="134" t="s">
        <v>6505</v>
      </c>
      <c r="J98" s="223">
        <v>10</v>
      </c>
    </row>
    <row r="99" spans="1:10" x14ac:dyDescent="0.2">
      <c r="A99" s="134" t="s">
        <v>5979</v>
      </c>
      <c r="B99" s="134" t="s">
        <v>5948</v>
      </c>
      <c r="C99" s="134" t="s">
        <v>5981</v>
      </c>
      <c r="D99" s="134" t="s">
        <v>5986</v>
      </c>
      <c r="E99" s="134">
        <v>3</v>
      </c>
      <c r="F99" s="134" t="s">
        <v>4108</v>
      </c>
      <c r="G99" s="134" t="s">
        <v>7</v>
      </c>
      <c r="H99" s="134" t="s">
        <v>6054</v>
      </c>
      <c r="I99" s="134" t="s">
        <v>6506</v>
      </c>
      <c r="J99" s="223">
        <v>26</v>
      </c>
    </row>
    <row r="100" spans="1:10" x14ac:dyDescent="0.2">
      <c r="A100" s="134" t="s">
        <v>5979</v>
      </c>
      <c r="B100" s="134" t="s">
        <v>5948</v>
      </c>
      <c r="C100" s="134" t="s">
        <v>5981</v>
      </c>
      <c r="D100" s="134" t="s">
        <v>5986</v>
      </c>
      <c r="E100" s="134">
        <v>5</v>
      </c>
      <c r="F100" s="134" t="s">
        <v>4108</v>
      </c>
      <c r="G100" s="134" t="s">
        <v>7</v>
      </c>
      <c r="H100" s="134" t="s">
        <v>6055</v>
      </c>
      <c r="I100" s="134" t="s">
        <v>6507</v>
      </c>
      <c r="J100" s="223">
        <v>40</v>
      </c>
    </row>
    <row r="101" spans="1:10" x14ac:dyDescent="0.2">
      <c r="A101" s="134" t="s">
        <v>5979</v>
      </c>
      <c r="B101" s="134" t="s">
        <v>5948</v>
      </c>
      <c r="C101" s="134" t="s">
        <v>5981</v>
      </c>
      <c r="D101" s="134" t="s">
        <v>5987</v>
      </c>
      <c r="E101" s="134">
        <v>1</v>
      </c>
      <c r="F101" s="134" t="s">
        <v>4108</v>
      </c>
      <c r="G101" s="134" t="s">
        <v>7</v>
      </c>
      <c r="H101" s="134" t="s">
        <v>6056</v>
      </c>
      <c r="I101" s="134" t="s">
        <v>6508</v>
      </c>
      <c r="J101" s="223">
        <v>10</v>
      </c>
    </row>
    <row r="102" spans="1:10" x14ac:dyDescent="0.2">
      <c r="A102" s="134" t="s">
        <v>5979</v>
      </c>
      <c r="B102" s="134" t="s">
        <v>5948</v>
      </c>
      <c r="C102" s="134" t="s">
        <v>5981</v>
      </c>
      <c r="D102" s="134" t="s">
        <v>5987</v>
      </c>
      <c r="E102" s="134">
        <v>3</v>
      </c>
      <c r="F102" s="134" t="s">
        <v>4108</v>
      </c>
      <c r="G102" s="134" t="s">
        <v>7</v>
      </c>
      <c r="H102" s="134" t="s">
        <v>6057</v>
      </c>
      <c r="I102" s="134" t="s">
        <v>6509</v>
      </c>
      <c r="J102" s="223">
        <v>26</v>
      </c>
    </row>
    <row r="103" spans="1:10" x14ac:dyDescent="0.2">
      <c r="A103" s="134" t="s">
        <v>5979</v>
      </c>
      <c r="B103" s="134" t="s">
        <v>5948</v>
      </c>
      <c r="C103" s="134" t="s">
        <v>5981</v>
      </c>
      <c r="D103" s="134" t="s">
        <v>5987</v>
      </c>
      <c r="E103" s="134">
        <v>5</v>
      </c>
      <c r="F103" s="134" t="s">
        <v>4108</v>
      </c>
      <c r="G103" s="134" t="s">
        <v>7</v>
      </c>
      <c r="H103" s="134" t="s">
        <v>6058</v>
      </c>
      <c r="I103" s="134" t="s">
        <v>6510</v>
      </c>
      <c r="J103" s="223">
        <v>40</v>
      </c>
    </row>
    <row r="104" spans="1:10" x14ac:dyDescent="0.2">
      <c r="A104" s="134" t="s">
        <v>5979</v>
      </c>
      <c r="B104" s="134" t="s">
        <v>5948</v>
      </c>
      <c r="C104" s="134" t="s">
        <v>5981</v>
      </c>
      <c r="D104" s="134" t="s">
        <v>5988</v>
      </c>
      <c r="E104" s="134">
        <v>1</v>
      </c>
      <c r="F104" s="134" t="s">
        <v>4108</v>
      </c>
      <c r="G104" s="134" t="s">
        <v>7</v>
      </c>
      <c r="H104" s="134" t="s">
        <v>6059</v>
      </c>
      <c r="I104" s="134" t="s">
        <v>6511</v>
      </c>
      <c r="J104" s="223">
        <v>10</v>
      </c>
    </row>
    <row r="105" spans="1:10" x14ac:dyDescent="0.2">
      <c r="A105" s="134" t="s">
        <v>5979</v>
      </c>
      <c r="B105" s="134" t="s">
        <v>5948</v>
      </c>
      <c r="C105" s="134" t="s">
        <v>5981</v>
      </c>
      <c r="D105" s="134" t="s">
        <v>5988</v>
      </c>
      <c r="E105" s="134">
        <v>3</v>
      </c>
      <c r="F105" s="134" t="s">
        <v>4108</v>
      </c>
      <c r="G105" s="134" t="s">
        <v>7</v>
      </c>
      <c r="H105" s="134" t="s">
        <v>6060</v>
      </c>
      <c r="I105" s="134" t="s">
        <v>6512</v>
      </c>
      <c r="J105" s="223">
        <v>26</v>
      </c>
    </row>
    <row r="106" spans="1:10" x14ac:dyDescent="0.2">
      <c r="A106" s="134" t="s">
        <v>5979</v>
      </c>
      <c r="B106" s="134" t="s">
        <v>5948</v>
      </c>
      <c r="C106" s="134" t="s">
        <v>5981</v>
      </c>
      <c r="D106" s="134" t="s">
        <v>5988</v>
      </c>
      <c r="E106" s="134">
        <v>5</v>
      </c>
      <c r="F106" s="134" t="s">
        <v>4108</v>
      </c>
      <c r="G106" s="134" t="s">
        <v>7</v>
      </c>
      <c r="H106" s="134" t="s">
        <v>6061</v>
      </c>
      <c r="I106" s="134" t="s">
        <v>6513</v>
      </c>
      <c r="J106" s="223">
        <v>40</v>
      </c>
    </row>
    <row r="107" spans="1:10" x14ac:dyDescent="0.2">
      <c r="A107" s="134" t="s">
        <v>5979</v>
      </c>
      <c r="B107" s="134" t="s">
        <v>5948</v>
      </c>
      <c r="C107" s="134" t="s">
        <v>5981</v>
      </c>
      <c r="D107" s="134" t="s">
        <v>5989</v>
      </c>
      <c r="E107" s="134">
        <v>1</v>
      </c>
      <c r="F107" s="134" t="s">
        <v>4108</v>
      </c>
      <c r="G107" s="134" t="s">
        <v>7</v>
      </c>
      <c r="H107" s="134" t="s">
        <v>6062</v>
      </c>
      <c r="I107" s="134" t="s">
        <v>6514</v>
      </c>
      <c r="J107" s="223">
        <v>7</v>
      </c>
    </row>
    <row r="108" spans="1:10" x14ac:dyDescent="0.2">
      <c r="A108" s="134" t="s">
        <v>5979</v>
      </c>
      <c r="B108" s="134" t="s">
        <v>5948</v>
      </c>
      <c r="C108" s="134" t="s">
        <v>5981</v>
      </c>
      <c r="D108" s="134" t="s">
        <v>5989</v>
      </c>
      <c r="E108" s="134">
        <v>3</v>
      </c>
      <c r="F108" s="134" t="s">
        <v>4108</v>
      </c>
      <c r="G108" s="134" t="s">
        <v>7</v>
      </c>
      <c r="H108" s="134" t="s">
        <v>6063</v>
      </c>
      <c r="I108" s="134" t="s">
        <v>6515</v>
      </c>
      <c r="J108" s="223">
        <v>18</v>
      </c>
    </row>
    <row r="109" spans="1:10" x14ac:dyDescent="0.2">
      <c r="A109" s="134" t="s">
        <v>5979</v>
      </c>
      <c r="B109" s="134" t="s">
        <v>5948</v>
      </c>
      <c r="C109" s="134" t="s">
        <v>5981</v>
      </c>
      <c r="D109" s="134" t="s">
        <v>5989</v>
      </c>
      <c r="E109" s="134">
        <v>5</v>
      </c>
      <c r="F109" s="134" t="s">
        <v>4108</v>
      </c>
      <c r="G109" s="134" t="s">
        <v>7</v>
      </c>
      <c r="H109" s="134" t="s">
        <v>6064</v>
      </c>
      <c r="I109" s="134" t="s">
        <v>6516</v>
      </c>
      <c r="J109" s="223">
        <v>28</v>
      </c>
    </row>
    <row r="110" spans="1:10" x14ac:dyDescent="0.2">
      <c r="A110" s="134" t="s">
        <v>5979</v>
      </c>
      <c r="B110" s="134" t="s">
        <v>5948</v>
      </c>
      <c r="C110" s="134" t="s">
        <v>5981</v>
      </c>
      <c r="D110" s="134" t="s">
        <v>5990</v>
      </c>
      <c r="E110" s="134">
        <v>1</v>
      </c>
      <c r="F110" s="134" t="s">
        <v>4108</v>
      </c>
      <c r="G110" s="134" t="s">
        <v>7</v>
      </c>
      <c r="H110" s="134" t="s">
        <v>6065</v>
      </c>
      <c r="I110" s="134" t="s">
        <v>6517</v>
      </c>
      <c r="J110" s="223">
        <v>10</v>
      </c>
    </row>
    <row r="111" spans="1:10" x14ac:dyDescent="0.2">
      <c r="A111" s="134" t="s">
        <v>5979</v>
      </c>
      <c r="B111" s="134" t="s">
        <v>5948</v>
      </c>
      <c r="C111" s="134" t="s">
        <v>5981</v>
      </c>
      <c r="D111" s="134" t="s">
        <v>5990</v>
      </c>
      <c r="E111" s="134">
        <v>3</v>
      </c>
      <c r="F111" s="134" t="s">
        <v>4108</v>
      </c>
      <c r="G111" s="134" t="s">
        <v>7</v>
      </c>
      <c r="H111" s="134" t="s">
        <v>6066</v>
      </c>
      <c r="I111" s="134" t="s">
        <v>6518</v>
      </c>
      <c r="J111" s="223">
        <v>26</v>
      </c>
    </row>
    <row r="112" spans="1:10" x14ac:dyDescent="0.2">
      <c r="A112" s="134" t="s">
        <v>5979</v>
      </c>
      <c r="B112" s="134" t="s">
        <v>5948</v>
      </c>
      <c r="C112" s="134" t="s">
        <v>5981</v>
      </c>
      <c r="D112" s="134" t="s">
        <v>5990</v>
      </c>
      <c r="E112" s="134">
        <v>5</v>
      </c>
      <c r="F112" s="134" t="s">
        <v>4108</v>
      </c>
      <c r="G112" s="134" t="s">
        <v>7</v>
      </c>
      <c r="H112" s="134" t="s">
        <v>6067</v>
      </c>
      <c r="I112" s="134" t="s">
        <v>6519</v>
      </c>
      <c r="J112" s="223">
        <v>40</v>
      </c>
    </row>
    <row r="113" spans="1:10" x14ac:dyDescent="0.2">
      <c r="A113" s="134" t="s">
        <v>5979</v>
      </c>
      <c r="B113" s="134" t="s">
        <v>5948</v>
      </c>
      <c r="C113" s="134" t="s">
        <v>5981</v>
      </c>
      <c r="D113" s="134" t="s">
        <v>5991</v>
      </c>
      <c r="E113" s="134">
        <v>1</v>
      </c>
      <c r="F113" s="134" t="s">
        <v>4108</v>
      </c>
      <c r="G113" s="134" t="s">
        <v>7</v>
      </c>
      <c r="H113" s="134" t="s">
        <v>6068</v>
      </c>
      <c r="I113" s="134" t="s">
        <v>6520</v>
      </c>
      <c r="J113" s="223">
        <v>15</v>
      </c>
    </row>
    <row r="114" spans="1:10" x14ac:dyDescent="0.2">
      <c r="A114" s="134" t="s">
        <v>5979</v>
      </c>
      <c r="B114" s="134" t="s">
        <v>5948</v>
      </c>
      <c r="C114" s="134" t="s">
        <v>5981</v>
      </c>
      <c r="D114" s="134" t="s">
        <v>5991</v>
      </c>
      <c r="E114" s="134">
        <v>3</v>
      </c>
      <c r="F114" s="134" t="s">
        <v>4108</v>
      </c>
      <c r="G114" s="134" t="s">
        <v>7</v>
      </c>
      <c r="H114" s="134" t="s">
        <v>6069</v>
      </c>
      <c r="I114" s="134" t="s">
        <v>6521</v>
      </c>
      <c r="J114" s="223">
        <v>39</v>
      </c>
    </row>
    <row r="115" spans="1:10" x14ac:dyDescent="0.2">
      <c r="A115" s="134" t="s">
        <v>5979</v>
      </c>
      <c r="B115" s="134" t="s">
        <v>5948</v>
      </c>
      <c r="C115" s="134" t="s">
        <v>5981</v>
      </c>
      <c r="D115" s="134" t="s">
        <v>5991</v>
      </c>
      <c r="E115" s="134">
        <v>5</v>
      </c>
      <c r="F115" s="134" t="s">
        <v>4108</v>
      </c>
      <c r="G115" s="134" t="s">
        <v>7</v>
      </c>
      <c r="H115" s="134" t="s">
        <v>6070</v>
      </c>
      <c r="I115" s="134" t="s">
        <v>6522</v>
      </c>
      <c r="J115" s="223">
        <v>60</v>
      </c>
    </row>
    <row r="116" spans="1:10" x14ac:dyDescent="0.2">
      <c r="A116" s="134" t="s">
        <v>5979</v>
      </c>
      <c r="B116" s="134" t="s">
        <v>5948</v>
      </c>
      <c r="C116" s="134" t="s">
        <v>5981</v>
      </c>
      <c r="D116" s="134" t="s">
        <v>5992</v>
      </c>
      <c r="E116" s="134">
        <v>1</v>
      </c>
      <c r="F116" s="134" t="s">
        <v>4108</v>
      </c>
      <c r="G116" s="134" t="s">
        <v>7</v>
      </c>
      <c r="H116" s="134" t="s">
        <v>6071</v>
      </c>
      <c r="I116" s="134" t="s">
        <v>6523</v>
      </c>
      <c r="J116" s="223">
        <v>22</v>
      </c>
    </row>
    <row r="117" spans="1:10" x14ac:dyDescent="0.2">
      <c r="A117" s="134" t="s">
        <v>5979</v>
      </c>
      <c r="B117" s="134" t="s">
        <v>5948</v>
      </c>
      <c r="C117" s="134" t="s">
        <v>5981</v>
      </c>
      <c r="D117" s="134" t="s">
        <v>5992</v>
      </c>
      <c r="E117" s="134">
        <v>3</v>
      </c>
      <c r="F117" s="134" t="s">
        <v>4108</v>
      </c>
      <c r="G117" s="134" t="s">
        <v>7</v>
      </c>
      <c r="H117" s="134" t="s">
        <v>6072</v>
      </c>
      <c r="I117" s="134" t="s">
        <v>6524</v>
      </c>
      <c r="J117" s="223">
        <v>57</v>
      </c>
    </row>
    <row r="118" spans="1:10" x14ac:dyDescent="0.2">
      <c r="A118" s="134" t="s">
        <v>5979</v>
      </c>
      <c r="B118" s="134" t="s">
        <v>5948</v>
      </c>
      <c r="C118" s="134" t="s">
        <v>5981</v>
      </c>
      <c r="D118" s="134" t="s">
        <v>5992</v>
      </c>
      <c r="E118" s="134">
        <v>5</v>
      </c>
      <c r="F118" s="134" t="s">
        <v>4108</v>
      </c>
      <c r="G118" s="134" t="s">
        <v>7</v>
      </c>
      <c r="H118" s="134" t="s">
        <v>6073</v>
      </c>
      <c r="I118" s="134" t="s">
        <v>6525</v>
      </c>
      <c r="J118" s="223">
        <v>88</v>
      </c>
    </row>
    <row r="119" spans="1:10" x14ac:dyDescent="0.2">
      <c r="A119" s="134" t="s">
        <v>5979</v>
      </c>
      <c r="B119" s="134" t="s">
        <v>5948</v>
      </c>
      <c r="C119" s="134" t="s">
        <v>5981</v>
      </c>
      <c r="D119" s="134" t="s">
        <v>5993</v>
      </c>
      <c r="E119" s="134">
        <v>1</v>
      </c>
      <c r="F119" s="134" t="s">
        <v>4108</v>
      </c>
      <c r="G119" s="134" t="s">
        <v>7</v>
      </c>
      <c r="H119" s="134" t="s">
        <v>6074</v>
      </c>
      <c r="I119" s="134" t="s">
        <v>6526</v>
      </c>
      <c r="J119" s="223">
        <v>8</v>
      </c>
    </row>
    <row r="120" spans="1:10" x14ac:dyDescent="0.2">
      <c r="A120" s="134" t="s">
        <v>5979</v>
      </c>
      <c r="B120" s="134" t="s">
        <v>5948</v>
      </c>
      <c r="C120" s="134" t="s">
        <v>5981</v>
      </c>
      <c r="D120" s="134" t="s">
        <v>5993</v>
      </c>
      <c r="E120" s="134">
        <v>3</v>
      </c>
      <c r="F120" s="134" t="s">
        <v>4108</v>
      </c>
      <c r="G120" s="134" t="s">
        <v>7</v>
      </c>
      <c r="H120" s="134" t="s">
        <v>6075</v>
      </c>
      <c r="I120" s="134" t="s">
        <v>6527</v>
      </c>
      <c r="J120" s="223">
        <v>21</v>
      </c>
    </row>
    <row r="121" spans="1:10" x14ac:dyDescent="0.2">
      <c r="A121" s="134" t="s">
        <v>5979</v>
      </c>
      <c r="B121" s="134" t="s">
        <v>5948</v>
      </c>
      <c r="C121" s="134" t="s">
        <v>5981</v>
      </c>
      <c r="D121" s="134" t="s">
        <v>5993</v>
      </c>
      <c r="E121" s="134">
        <v>5</v>
      </c>
      <c r="F121" s="134" t="s">
        <v>4108</v>
      </c>
      <c r="G121" s="134" t="s">
        <v>7</v>
      </c>
      <c r="H121" s="134" t="s">
        <v>6076</v>
      </c>
      <c r="I121" s="134" t="s">
        <v>6528</v>
      </c>
      <c r="J121" s="223">
        <v>32</v>
      </c>
    </row>
    <row r="122" spans="1:10" x14ac:dyDescent="0.2">
      <c r="A122" s="134" t="s">
        <v>5979</v>
      </c>
      <c r="B122" s="134" t="s">
        <v>5948</v>
      </c>
      <c r="C122" s="134" t="s">
        <v>5981</v>
      </c>
      <c r="D122" s="134" t="s">
        <v>6453</v>
      </c>
      <c r="E122" s="134">
        <v>1</v>
      </c>
      <c r="F122" s="134" t="s">
        <v>4108</v>
      </c>
      <c r="G122" s="134" t="s">
        <v>7</v>
      </c>
      <c r="H122" s="134" t="s">
        <v>6529</v>
      </c>
      <c r="I122" s="134" t="s">
        <v>6530</v>
      </c>
      <c r="J122" s="223">
        <v>13</v>
      </c>
    </row>
    <row r="123" spans="1:10" x14ac:dyDescent="0.2">
      <c r="A123" s="134" t="s">
        <v>5979</v>
      </c>
      <c r="B123" s="134" t="s">
        <v>5948</v>
      </c>
      <c r="C123" s="134" t="s">
        <v>5981</v>
      </c>
      <c r="D123" s="134" t="s">
        <v>6453</v>
      </c>
      <c r="E123" s="134">
        <v>3</v>
      </c>
      <c r="F123" s="134" t="s">
        <v>4108</v>
      </c>
      <c r="G123" s="134" t="s">
        <v>7</v>
      </c>
      <c r="H123" s="134" t="s">
        <v>6531</v>
      </c>
      <c r="I123" s="134" t="s">
        <v>6532</v>
      </c>
      <c r="J123" s="223">
        <v>34</v>
      </c>
    </row>
    <row r="124" spans="1:10" x14ac:dyDescent="0.2">
      <c r="A124" s="134" t="s">
        <v>5979</v>
      </c>
      <c r="B124" s="134" t="s">
        <v>5948</v>
      </c>
      <c r="C124" s="134" t="s">
        <v>5981</v>
      </c>
      <c r="D124" s="134" t="s">
        <v>6453</v>
      </c>
      <c r="E124" s="134">
        <v>5</v>
      </c>
      <c r="F124" s="134" t="s">
        <v>4108</v>
      </c>
      <c r="G124" s="134" t="s">
        <v>7</v>
      </c>
      <c r="H124" s="134" t="s">
        <v>6533</v>
      </c>
      <c r="I124" s="134" t="s">
        <v>6534</v>
      </c>
      <c r="J124" s="223">
        <v>52</v>
      </c>
    </row>
    <row r="125" spans="1:10" x14ac:dyDescent="0.2">
      <c r="A125" s="134" t="s">
        <v>5979</v>
      </c>
      <c r="B125" s="134" t="s">
        <v>5948</v>
      </c>
      <c r="C125" s="134" t="s">
        <v>5981</v>
      </c>
      <c r="D125" s="134" t="s">
        <v>6689</v>
      </c>
      <c r="E125" s="134">
        <v>1</v>
      </c>
      <c r="F125" s="134" t="s">
        <v>4108</v>
      </c>
      <c r="G125" s="134" t="s">
        <v>7</v>
      </c>
      <c r="H125" s="528" t="s">
        <v>9005</v>
      </c>
      <c r="I125" s="134" t="s">
        <v>6702</v>
      </c>
      <c r="J125" s="223">
        <v>40</v>
      </c>
    </row>
    <row r="126" spans="1:10" x14ac:dyDescent="0.2">
      <c r="A126" s="134" t="s">
        <v>5979</v>
      </c>
      <c r="B126" s="134" t="s">
        <v>5948</v>
      </c>
      <c r="C126" s="134" t="s">
        <v>5981</v>
      </c>
      <c r="D126" s="134" t="s">
        <v>6689</v>
      </c>
      <c r="E126" s="134">
        <v>3</v>
      </c>
      <c r="F126" s="134" t="s">
        <v>4108</v>
      </c>
      <c r="G126" s="134" t="s">
        <v>7</v>
      </c>
      <c r="H126" s="528" t="s">
        <v>9007</v>
      </c>
      <c r="I126" s="134" t="s">
        <v>6703</v>
      </c>
      <c r="J126" s="223">
        <v>102</v>
      </c>
    </row>
    <row r="127" spans="1:10" x14ac:dyDescent="0.2">
      <c r="A127" s="134" t="s">
        <v>5979</v>
      </c>
      <c r="B127" s="134" t="s">
        <v>5948</v>
      </c>
      <c r="C127" s="134" t="s">
        <v>5981</v>
      </c>
      <c r="D127" s="134" t="s">
        <v>6689</v>
      </c>
      <c r="E127" s="134">
        <v>5</v>
      </c>
      <c r="F127" s="134" t="s">
        <v>4108</v>
      </c>
      <c r="G127" s="134" t="s">
        <v>7</v>
      </c>
      <c r="H127" s="528" t="s">
        <v>9009</v>
      </c>
      <c r="I127" s="134" t="s">
        <v>6704</v>
      </c>
      <c r="J127" s="223">
        <v>160</v>
      </c>
    </row>
    <row r="128" spans="1:10" x14ac:dyDescent="0.2">
      <c r="A128" s="134" t="s">
        <v>5959</v>
      </c>
      <c r="B128" s="134" t="s">
        <v>5980</v>
      </c>
      <c r="C128" s="134" t="s">
        <v>5981</v>
      </c>
      <c r="D128" s="134" t="s">
        <v>5982</v>
      </c>
      <c r="E128" s="134">
        <v>1</v>
      </c>
      <c r="F128" s="134" t="s">
        <v>4108</v>
      </c>
      <c r="G128" s="134" t="s">
        <v>7</v>
      </c>
      <c r="H128" s="134" t="s">
        <v>1072</v>
      </c>
      <c r="I128" s="134" t="s">
        <v>1073</v>
      </c>
      <c r="J128" s="223">
        <v>7</v>
      </c>
    </row>
    <row r="129" spans="1:10" x14ac:dyDescent="0.2">
      <c r="A129" s="134" t="s">
        <v>5959</v>
      </c>
      <c r="B129" s="134" t="s">
        <v>5980</v>
      </c>
      <c r="C129" s="134" t="s">
        <v>5981</v>
      </c>
      <c r="D129" s="134" t="s">
        <v>5982</v>
      </c>
      <c r="E129" s="134">
        <v>3</v>
      </c>
      <c r="F129" s="134" t="s">
        <v>4108</v>
      </c>
      <c r="G129" s="134" t="s">
        <v>7</v>
      </c>
      <c r="H129" s="134" t="s">
        <v>1074</v>
      </c>
      <c r="I129" s="134" t="s">
        <v>1075</v>
      </c>
      <c r="J129" s="223">
        <v>18</v>
      </c>
    </row>
    <row r="130" spans="1:10" x14ac:dyDescent="0.2">
      <c r="A130" s="134" t="s">
        <v>5959</v>
      </c>
      <c r="B130" s="134" t="s">
        <v>5980</v>
      </c>
      <c r="C130" s="134" t="s">
        <v>5981</v>
      </c>
      <c r="D130" s="134" t="s">
        <v>5982</v>
      </c>
      <c r="E130" s="134">
        <v>5</v>
      </c>
      <c r="F130" s="134" t="s">
        <v>4108</v>
      </c>
      <c r="G130" s="134" t="s">
        <v>7</v>
      </c>
      <c r="H130" s="134" t="s">
        <v>1076</v>
      </c>
      <c r="I130" s="134" t="s">
        <v>1077</v>
      </c>
      <c r="J130" s="223">
        <v>28</v>
      </c>
    </row>
    <row r="131" spans="1:10" x14ac:dyDescent="0.2">
      <c r="A131" s="134" t="s">
        <v>5959</v>
      </c>
      <c r="B131" s="134" t="s">
        <v>5980</v>
      </c>
      <c r="C131" s="134" t="s">
        <v>5981</v>
      </c>
      <c r="D131" s="134" t="s">
        <v>5983</v>
      </c>
      <c r="E131" s="134">
        <v>1</v>
      </c>
      <c r="F131" s="134" t="s">
        <v>4108</v>
      </c>
      <c r="G131" s="134" t="s">
        <v>7</v>
      </c>
      <c r="H131" s="134" t="s">
        <v>1078</v>
      </c>
      <c r="I131" s="134" t="s">
        <v>1079</v>
      </c>
      <c r="J131" s="223">
        <v>6</v>
      </c>
    </row>
    <row r="132" spans="1:10" x14ac:dyDescent="0.2">
      <c r="A132" s="134" t="s">
        <v>5959</v>
      </c>
      <c r="B132" s="134" t="s">
        <v>5980</v>
      </c>
      <c r="C132" s="134" t="s">
        <v>5981</v>
      </c>
      <c r="D132" s="134" t="s">
        <v>5983</v>
      </c>
      <c r="E132" s="134">
        <v>3</v>
      </c>
      <c r="F132" s="134" t="s">
        <v>4108</v>
      </c>
      <c r="G132" s="134" t="s">
        <v>7</v>
      </c>
      <c r="H132" s="134" t="s">
        <v>1080</v>
      </c>
      <c r="I132" s="134" t="s">
        <v>1081</v>
      </c>
      <c r="J132" s="223">
        <v>16</v>
      </c>
    </row>
    <row r="133" spans="1:10" x14ac:dyDescent="0.2">
      <c r="A133" s="134" t="s">
        <v>5959</v>
      </c>
      <c r="B133" s="134" t="s">
        <v>5980</v>
      </c>
      <c r="C133" s="134" t="s">
        <v>5981</v>
      </c>
      <c r="D133" s="134" t="s">
        <v>5983</v>
      </c>
      <c r="E133" s="134">
        <v>5</v>
      </c>
      <c r="F133" s="134" t="s">
        <v>4108</v>
      </c>
      <c r="G133" s="134" t="s">
        <v>7</v>
      </c>
      <c r="H133" s="134" t="s">
        <v>1082</v>
      </c>
      <c r="I133" s="134" t="s">
        <v>1083</v>
      </c>
      <c r="J133" s="223">
        <v>24</v>
      </c>
    </row>
    <row r="134" spans="1:10" x14ac:dyDescent="0.2">
      <c r="A134" s="134" t="s">
        <v>5959</v>
      </c>
      <c r="B134" s="134" t="s">
        <v>5980</v>
      </c>
      <c r="C134" s="134" t="s">
        <v>5981</v>
      </c>
      <c r="D134" s="134" t="s">
        <v>5984</v>
      </c>
      <c r="E134" s="134">
        <v>1</v>
      </c>
      <c r="F134" s="134" t="s">
        <v>4108</v>
      </c>
      <c r="G134" s="134" t="s">
        <v>7</v>
      </c>
      <c r="H134" s="134" t="s">
        <v>1084</v>
      </c>
      <c r="I134" s="134" t="s">
        <v>1085</v>
      </c>
      <c r="J134" s="223">
        <v>9</v>
      </c>
    </row>
    <row r="135" spans="1:10" x14ac:dyDescent="0.2">
      <c r="A135" s="134" t="s">
        <v>5959</v>
      </c>
      <c r="B135" s="134" t="s">
        <v>5980</v>
      </c>
      <c r="C135" s="134" t="s">
        <v>5981</v>
      </c>
      <c r="D135" s="134" t="s">
        <v>5984</v>
      </c>
      <c r="E135" s="134">
        <v>3</v>
      </c>
      <c r="F135" s="134" t="s">
        <v>4108</v>
      </c>
      <c r="G135" s="134" t="s">
        <v>7</v>
      </c>
      <c r="H135" s="134" t="s">
        <v>1086</v>
      </c>
      <c r="I135" s="134" t="s">
        <v>1087</v>
      </c>
      <c r="J135" s="223">
        <v>23</v>
      </c>
    </row>
    <row r="136" spans="1:10" x14ac:dyDescent="0.2">
      <c r="A136" s="134" t="s">
        <v>5959</v>
      </c>
      <c r="B136" s="134" t="s">
        <v>5980</v>
      </c>
      <c r="C136" s="134" t="s">
        <v>5981</v>
      </c>
      <c r="D136" s="134" t="s">
        <v>5984</v>
      </c>
      <c r="E136" s="134">
        <v>5</v>
      </c>
      <c r="F136" s="134" t="s">
        <v>4108</v>
      </c>
      <c r="G136" s="134" t="s">
        <v>7</v>
      </c>
      <c r="H136" s="134" t="s">
        <v>1088</v>
      </c>
      <c r="I136" s="134" t="s">
        <v>1089</v>
      </c>
      <c r="J136" s="223">
        <v>36</v>
      </c>
    </row>
    <row r="137" spans="1:10" x14ac:dyDescent="0.2">
      <c r="A137" s="134" t="s">
        <v>5959</v>
      </c>
      <c r="B137" s="134" t="s">
        <v>5980</v>
      </c>
      <c r="C137" s="134" t="s">
        <v>5981</v>
      </c>
      <c r="D137" s="134" t="s">
        <v>5985</v>
      </c>
      <c r="E137" s="134">
        <v>1</v>
      </c>
      <c r="F137" s="134" t="s">
        <v>4108</v>
      </c>
      <c r="G137" s="134" t="s">
        <v>7</v>
      </c>
      <c r="H137" s="134" t="s">
        <v>1090</v>
      </c>
      <c r="I137" s="134" t="s">
        <v>1091</v>
      </c>
      <c r="J137" s="223">
        <v>12</v>
      </c>
    </row>
    <row r="138" spans="1:10" x14ac:dyDescent="0.2">
      <c r="A138" s="134" t="s">
        <v>5959</v>
      </c>
      <c r="B138" s="134" t="s">
        <v>5980</v>
      </c>
      <c r="C138" s="134" t="s">
        <v>5981</v>
      </c>
      <c r="D138" s="134" t="s">
        <v>5985</v>
      </c>
      <c r="E138" s="134">
        <v>3</v>
      </c>
      <c r="F138" s="134" t="s">
        <v>4108</v>
      </c>
      <c r="G138" s="134" t="s">
        <v>7</v>
      </c>
      <c r="H138" s="134" t="s">
        <v>1092</v>
      </c>
      <c r="I138" s="134" t="s">
        <v>1093</v>
      </c>
      <c r="J138" s="223">
        <v>31</v>
      </c>
    </row>
    <row r="139" spans="1:10" x14ac:dyDescent="0.2">
      <c r="A139" s="134" t="s">
        <v>5959</v>
      </c>
      <c r="B139" s="134" t="s">
        <v>5980</v>
      </c>
      <c r="C139" s="134" t="s">
        <v>5981</v>
      </c>
      <c r="D139" s="134" t="s">
        <v>5985</v>
      </c>
      <c r="E139" s="134">
        <v>5</v>
      </c>
      <c r="F139" s="134" t="s">
        <v>4108</v>
      </c>
      <c r="G139" s="134" t="s">
        <v>7</v>
      </c>
      <c r="H139" s="134" t="s">
        <v>1094</v>
      </c>
      <c r="I139" s="134" t="s">
        <v>1095</v>
      </c>
      <c r="J139" s="223">
        <v>48</v>
      </c>
    </row>
    <row r="140" spans="1:10" x14ac:dyDescent="0.2">
      <c r="A140" s="134" t="s">
        <v>5959</v>
      </c>
      <c r="B140" s="134" t="s">
        <v>5980</v>
      </c>
      <c r="C140" s="134" t="s">
        <v>5981</v>
      </c>
      <c r="D140" s="134" t="s">
        <v>5986</v>
      </c>
      <c r="E140" s="134">
        <v>1</v>
      </c>
      <c r="F140" s="134" t="s">
        <v>4108</v>
      </c>
      <c r="G140" s="134" t="s">
        <v>7</v>
      </c>
      <c r="H140" s="134" t="s">
        <v>1096</v>
      </c>
      <c r="I140" s="134" t="s">
        <v>1097</v>
      </c>
      <c r="J140" s="223">
        <v>15</v>
      </c>
    </row>
    <row r="141" spans="1:10" x14ac:dyDescent="0.2">
      <c r="A141" s="134" t="s">
        <v>5959</v>
      </c>
      <c r="B141" s="134" t="s">
        <v>5980</v>
      </c>
      <c r="C141" s="134" t="s">
        <v>5981</v>
      </c>
      <c r="D141" s="134" t="s">
        <v>5986</v>
      </c>
      <c r="E141" s="134">
        <v>3</v>
      </c>
      <c r="F141" s="134" t="s">
        <v>4108</v>
      </c>
      <c r="G141" s="134" t="s">
        <v>7</v>
      </c>
      <c r="H141" s="134" t="s">
        <v>1098</v>
      </c>
      <c r="I141" s="134" t="s">
        <v>1099</v>
      </c>
      <c r="J141" s="223">
        <v>39</v>
      </c>
    </row>
    <row r="142" spans="1:10" x14ac:dyDescent="0.2">
      <c r="A142" s="134" t="s">
        <v>5959</v>
      </c>
      <c r="B142" s="134" t="s">
        <v>5980</v>
      </c>
      <c r="C142" s="134" t="s">
        <v>5981</v>
      </c>
      <c r="D142" s="134" t="s">
        <v>5986</v>
      </c>
      <c r="E142" s="134">
        <v>5</v>
      </c>
      <c r="F142" s="134" t="s">
        <v>4108</v>
      </c>
      <c r="G142" s="134" t="s">
        <v>7</v>
      </c>
      <c r="H142" s="134" t="s">
        <v>1100</v>
      </c>
      <c r="I142" s="134" t="s">
        <v>1101</v>
      </c>
      <c r="J142" s="223">
        <v>60</v>
      </c>
    </row>
    <row r="143" spans="1:10" x14ac:dyDescent="0.2">
      <c r="A143" s="134" t="s">
        <v>5959</v>
      </c>
      <c r="B143" s="134" t="s">
        <v>5980</v>
      </c>
      <c r="C143" s="134" t="s">
        <v>5981</v>
      </c>
      <c r="D143" s="134" t="s">
        <v>5987</v>
      </c>
      <c r="E143" s="134">
        <v>1</v>
      </c>
      <c r="F143" s="134" t="s">
        <v>4108</v>
      </c>
      <c r="G143" s="134" t="s">
        <v>7</v>
      </c>
      <c r="H143" s="134" t="s">
        <v>1102</v>
      </c>
      <c r="I143" s="134" t="s">
        <v>1103</v>
      </c>
      <c r="J143" s="223">
        <v>15</v>
      </c>
    </row>
    <row r="144" spans="1:10" x14ac:dyDescent="0.2">
      <c r="A144" s="134" t="s">
        <v>5959</v>
      </c>
      <c r="B144" s="134" t="s">
        <v>5980</v>
      </c>
      <c r="C144" s="134" t="s">
        <v>5981</v>
      </c>
      <c r="D144" s="134" t="s">
        <v>5987</v>
      </c>
      <c r="E144" s="134">
        <v>3</v>
      </c>
      <c r="F144" s="134" t="s">
        <v>4108</v>
      </c>
      <c r="G144" s="134" t="s">
        <v>7</v>
      </c>
      <c r="H144" s="134" t="s">
        <v>1104</v>
      </c>
      <c r="I144" s="134" t="s">
        <v>1105</v>
      </c>
      <c r="J144" s="223">
        <v>39</v>
      </c>
    </row>
    <row r="145" spans="1:10" x14ac:dyDescent="0.2">
      <c r="A145" s="134" t="s">
        <v>5959</v>
      </c>
      <c r="B145" s="134" t="s">
        <v>5980</v>
      </c>
      <c r="C145" s="134" t="s">
        <v>5981</v>
      </c>
      <c r="D145" s="134" t="s">
        <v>5987</v>
      </c>
      <c r="E145" s="134">
        <v>5</v>
      </c>
      <c r="F145" s="134" t="s">
        <v>4108</v>
      </c>
      <c r="G145" s="134" t="s">
        <v>7</v>
      </c>
      <c r="H145" s="134" t="s">
        <v>1106</v>
      </c>
      <c r="I145" s="134" t="s">
        <v>1107</v>
      </c>
      <c r="J145" s="223">
        <v>60</v>
      </c>
    </row>
    <row r="146" spans="1:10" x14ac:dyDescent="0.2">
      <c r="A146" s="134" t="s">
        <v>5959</v>
      </c>
      <c r="B146" s="134" t="s">
        <v>5980</v>
      </c>
      <c r="C146" s="134" t="s">
        <v>5981</v>
      </c>
      <c r="D146" s="134" t="s">
        <v>5988</v>
      </c>
      <c r="E146" s="134">
        <v>1</v>
      </c>
      <c r="F146" s="134" t="s">
        <v>4108</v>
      </c>
      <c r="G146" s="134" t="s">
        <v>7</v>
      </c>
      <c r="H146" s="134" t="s">
        <v>1108</v>
      </c>
      <c r="I146" s="134" t="s">
        <v>1109</v>
      </c>
      <c r="J146" s="223">
        <v>15</v>
      </c>
    </row>
    <row r="147" spans="1:10" x14ac:dyDescent="0.2">
      <c r="A147" s="134" t="s">
        <v>5959</v>
      </c>
      <c r="B147" s="134" t="s">
        <v>5980</v>
      </c>
      <c r="C147" s="134" t="s">
        <v>5981</v>
      </c>
      <c r="D147" s="134" t="s">
        <v>5988</v>
      </c>
      <c r="E147" s="134">
        <v>3</v>
      </c>
      <c r="F147" s="134" t="s">
        <v>4108</v>
      </c>
      <c r="G147" s="134" t="s">
        <v>7</v>
      </c>
      <c r="H147" s="134" t="s">
        <v>1110</v>
      </c>
      <c r="I147" s="134" t="s">
        <v>1111</v>
      </c>
      <c r="J147" s="223">
        <v>39</v>
      </c>
    </row>
    <row r="148" spans="1:10" x14ac:dyDescent="0.2">
      <c r="A148" s="134" t="s">
        <v>5959</v>
      </c>
      <c r="B148" s="134" t="s">
        <v>5980</v>
      </c>
      <c r="C148" s="134" t="s">
        <v>5981</v>
      </c>
      <c r="D148" s="134" t="s">
        <v>5988</v>
      </c>
      <c r="E148" s="134">
        <v>5</v>
      </c>
      <c r="F148" s="134" t="s">
        <v>4108</v>
      </c>
      <c r="G148" s="134" t="s">
        <v>7</v>
      </c>
      <c r="H148" s="134" t="s">
        <v>1112</v>
      </c>
      <c r="I148" s="134" t="s">
        <v>1113</v>
      </c>
      <c r="J148" s="223">
        <v>60</v>
      </c>
    </row>
    <row r="149" spans="1:10" x14ac:dyDescent="0.2">
      <c r="A149" s="134" t="s">
        <v>5959</v>
      </c>
      <c r="B149" s="134" t="s">
        <v>5980</v>
      </c>
      <c r="C149" s="134" t="s">
        <v>5981</v>
      </c>
      <c r="D149" s="134" t="s">
        <v>5989</v>
      </c>
      <c r="E149" s="134">
        <v>1</v>
      </c>
      <c r="F149" s="134" t="s">
        <v>4108</v>
      </c>
      <c r="G149" s="134" t="s">
        <v>7</v>
      </c>
      <c r="H149" s="134" t="s">
        <v>1114</v>
      </c>
      <c r="I149" s="134" t="s">
        <v>1115</v>
      </c>
      <c r="J149" s="223">
        <v>10</v>
      </c>
    </row>
    <row r="150" spans="1:10" x14ac:dyDescent="0.2">
      <c r="A150" s="134" t="s">
        <v>5959</v>
      </c>
      <c r="B150" s="134" t="s">
        <v>5980</v>
      </c>
      <c r="C150" s="134" t="s">
        <v>5981</v>
      </c>
      <c r="D150" s="134" t="s">
        <v>5989</v>
      </c>
      <c r="E150" s="134">
        <v>3</v>
      </c>
      <c r="F150" s="134" t="s">
        <v>4108</v>
      </c>
      <c r="G150" s="134" t="s">
        <v>7</v>
      </c>
      <c r="H150" s="134" t="s">
        <v>1116</v>
      </c>
      <c r="I150" s="134" t="s">
        <v>1117</v>
      </c>
      <c r="J150" s="223">
        <v>26</v>
      </c>
    </row>
    <row r="151" spans="1:10" x14ac:dyDescent="0.2">
      <c r="A151" s="134" t="s">
        <v>5959</v>
      </c>
      <c r="B151" s="134" t="s">
        <v>5980</v>
      </c>
      <c r="C151" s="134" t="s">
        <v>5981</v>
      </c>
      <c r="D151" s="134" t="s">
        <v>5989</v>
      </c>
      <c r="E151" s="134">
        <v>5</v>
      </c>
      <c r="F151" s="134" t="s">
        <v>4108</v>
      </c>
      <c r="G151" s="134" t="s">
        <v>7</v>
      </c>
      <c r="H151" s="134" t="s">
        <v>1118</v>
      </c>
      <c r="I151" s="134" t="s">
        <v>1119</v>
      </c>
      <c r="J151" s="223">
        <v>40</v>
      </c>
    </row>
    <row r="152" spans="1:10" x14ac:dyDescent="0.2">
      <c r="A152" s="134" t="s">
        <v>5959</v>
      </c>
      <c r="B152" s="134" t="s">
        <v>5980</v>
      </c>
      <c r="C152" s="134" t="s">
        <v>5981</v>
      </c>
      <c r="D152" s="134" t="s">
        <v>5990</v>
      </c>
      <c r="E152" s="134">
        <v>1</v>
      </c>
      <c r="F152" s="134" t="s">
        <v>4108</v>
      </c>
      <c r="G152" s="134" t="s">
        <v>7</v>
      </c>
      <c r="H152" s="134" t="s">
        <v>1120</v>
      </c>
      <c r="I152" s="134" t="s">
        <v>1121</v>
      </c>
      <c r="J152" s="223">
        <v>15</v>
      </c>
    </row>
    <row r="153" spans="1:10" x14ac:dyDescent="0.2">
      <c r="A153" s="134" t="s">
        <v>5959</v>
      </c>
      <c r="B153" s="134" t="s">
        <v>5980</v>
      </c>
      <c r="C153" s="134" t="s">
        <v>5981</v>
      </c>
      <c r="D153" s="134" t="s">
        <v>5990</v>
      </c>
      <c r="E153" s="134">
        <v>3</v>
      </c>
      <c r="F153" s="134" t="s">
        <v>4108</v>
      </c>
      <c r="G153" s="134" t="s">
        <v>7</v>
      </c>
      <c r="H153" s="134" t="s">
        <v>1122</v>
      </c>
      <c r="I153" s="134" t="s">
        <v>1123</v>
      </c>
      <c r="J153" s="223">
        <v>39</v>
      </c>
    </row>
    <row r="154" spans="1:10" x14ac:dyDescent="0.2">
      <c r="A154" s="134" t="s">
        <v>5959</v>
      </c>
      <c r="B154" s="134" t="s">
        <v>5980</v>
      </c>
      <c r="C154" s="134" t="s">
        <v>5981</v>
      </c>
      <c r="D154" s="134" t="s">
        <v>5990</v>
      </c>
      <c r="E154" s="134">
        <v>5</v>
      </c>
      <c r="F154" s="134" t="s">
        <v>4108</v>
      </c>
      <c r="G154" s="134" t="s">
        <v>7</v>
      </c>
      <c r="H154" s="134" t="s">
        <v>1124</v>
      </c>
      <c r="I154" s="134" t="s">
        <v>1125</v>
      </c>
      <c r="J154" s="223">
        <v>60</v>
      </c>
    </row>
    <row r="155" spans="1:10" x14ac:dyDescent="0.2">
      <c r="A155" s="134" t="s">
        <v>5959</v>
      </c>
      <c r="B155" s="134" t="s">
        <v>5980</v>
      </c>
      <c r="C155" s="134" t="s">
        <v>5981</v>
      </c>
      <c r="D155" s="134" t="s">
        <v>5991</v>
      </c>
      <c r="E155" s="134">
        <v>1</v>
      </c>
      <c r="F155" s="134" t="s">
        <v>4108</v>
      </c>
      <c r="G155" s="134" t="s">
        <v>7</v>
      </c>
      <c r="H155" s="134" t="s">
        <v>1126</v>
      </c>
      <c r="I155" s="134" t="s">
        <v>1127</v>
      </c>
      <c r="J155" s="223">
        <v>23</v>
      </c>
    </row>
    <row r="156" spans="1:10" x14ac:dyDescent="0.2">
      <c r="A156" s="134" t="s">
        <v>5959</v>
      </c>
      <c r="B156" s="134" t="s">
        <v>5980</v>
      </c>
      <c r="C156" s="134" t="s">
        <v>5981</v>
      </c>
      <c r="D156" s="134" t="s">
        <v>5991</v>
      </c>
      <c r="E156" s="134">
        <v>3</v>
      </c>
      <c r="F156" s="134" t="s">
        <v>4108</v>
      </c>
      <c r="G156" s="134" t="s">
        <v>7</v>
      </c>
      <c r="H156" s="134" t="s">
        <v>1128</v>
      </c>
      <c r="I156" s="134" t="s">
        <v>1129</v>
      </c>
      <c r="J156" s="223">
        <v>59</v>
      </c>
    </row>
    <row r="157" spans="1:10" x14ac:dyDescent="0.2">
      <c r="A157" s="134" t="s">
        <v>5959</v>
      </c>
      <c r="B157" s="134" t="s">
        <v>5980</v>
      </c>
      <c r="C157" s="134" t="s">
        <v>5981</v>
      </c>
      <c r="D157" s="134" t="s">
        <v>5991</v>
      </c>
      <c r="E157" s="134">
        <v>5</v>
      </c>
      <c r="F157" s="134" t="s">
        <v>4108</v>
      </c>
      <c r="G157" s="134" t="s">
        <v>7</v>
      </c>
      <c r="H157" s="134" t="s">
        <v>1130</v>
      </c>
      <c r="I157" s="134" t="s">
        <v>1131</v>
      </c>
      <c r="J157" s="223">
        <v>92</v>
      </c>
    </row>
    <row r="158" spans="1:10" x14ac:dyDescent="0.2">
      <c r="A158" s="134" t="s">
        <v>5959</v>
      </c>
      <c r="B158" s="134" t="s">
        <v>5980</v>
      </c>
      <c r="C158" s="134" t="s">
        <v>5981</v>
      </c>
      <c r="D158" s="134" t="s">
        <v>5992</v>
      </c>
      <c r="E158" s="134">
        <v>1</v>
      </c>
      <c r="F158" s="134" t="s">
        <v>4108</v>
      </c>
      <c r="G158" s="134" t="s">
        <v>7</v>
      </c>
      <c r="H158" s="134" t="s">
        <v>1132</v>
      </c>
      <c r="I158" s="134" t="s">
        <v>6077</v>
      </c>
      <c r="J158" s="223">
        <v>33</v>
      </c>
    </row>
    <row r="159" spans="1:10" x14ac:dyDescent="0.2">
      <c r="A159" s="134" t="s">
        <v>5959</v>
      </c>
      <c r="B159" s="134" t="s">
        <v>5980</v>
      </c>
      <c r="C159" s="134" t="s">
        <v>5981</v>
      </c>
      <c r="D159" s="134" t="s">
        <v>5992</v>
      </c>
      <c r="E159" s="134">
        <v>3</v>
      </c>
      <c r="F159" s="134" t="s">
        <v>4108</v>
      </c>
      <c r="G159" s="134" t="s">
        <v>7</v>
      </c>
      <c r="H159" s="134" t="s">
        <v>1133</v>
      </c>
      <c r="I159" s="134" t="s">
        <v>6078</v>
      </c>
      <c r="J159" s="223">
        <v>84</v>
      </c>
    </row>
    <row r="160" spans="1:10" x14ac:dyDescent="0.2">
      <c r="A160" s="134" t="s">
        <v>5959</v>
      </c>
      <c r="B160" s="134" t="s">
        <v>5980</v>
      </c>
      <c r="C160" s="134" t="s">
        <v>5981</v>
      </c>
      <c r="D160" s="134" t="s">
        <v>5992</v>
      </c>
      <c r="E160" s="134">
        <v>5</v>
      </c>
      <c r="F160" s="134" t="s">
        <v>4108</v>
      </c>
      <c r="G160" s="134" t="s">
        <v>7</v>
      </c>
      <c r="H160" s="134" t="s">
        <v>1134</v>
      </c>
      <c r="I160" s="134" t="s">
        <v>6079</v>
      </c>
      <c r="J160" s="223">
        <v>132</v>
      </c>
    </row>
    <row r="161" spans="1:10" x14ac:dyDescent="0.2">
      <c r="A161" s="134" t="s">
        <v>5959</v>
      </c>
      <c r="B161" s="134" t="s">
        <v>5980</v>
      </c>
      <c r="C161" s="134" t="s">
        <v>5981</v>
      </c>
      <c r="D161" s="134" t="s">
        <v>5993</v>
      </c>
      <c r="E161" s="134">
        <v>1</v>
      </c>
      <c r="F161" s="134" t="s">
        <v>4108</v>
      </c>
      <c r="G161" s="134" t="s">
        <v>7</v>
      </c>
      <c r="H161" s="134" t="s">
        <v>87</v>
      </c>
      <c r="I161" s="134" t="s">
        <v>6080</v>
      </c>
      <c r="J161" s="223">
        <v>12</v>
      </c>
    </row>
    <row r="162" spans="1:10" x14ac:dyDescent="0.2">
      <c r="A162" s="134" t="s">
        <v>5959</v>
      </c>
      <c r="B162" s="134" t="s">
        <v>5980</v>
      </c>
      <c r="C162" s="134" t="s">
        <v>5981</v>
      </c>
      <c r="D162" s="134" t="s">
        <v>5993</v>
      </c>
      <c r="E162" s="134">
        <v>3</v>
      </c>
      <c r="F162" s="134" t="s">
        <v>4108</v>
      </c>
      <c r="G162" s="134" t="s">
        <v>7</v>
      </c>
      <c r="H162" s="134" t="s">
        <v>88</v>
      </c>
      <c r="I162" s="134" t="s">
        <v>6081</v>
      </c>
      <c r="J162" s="223">
        <v>31</v>
      </c>
    </row>
    <row r="163" spans="1:10" x14ac:dyDescent="0.2">
      <c r="A163" s="134" t="s">
        <v>5959</v>
      </c>
      <c r="B163" s="134" t="s">
        <v>5980</v>
      </c>
      <c r="C163" s="134" t="s">
        <v>5981</v>
      </c>
      <c r="D163" s="134" t="s">
        <v>5993</v>
      </c>
      <c r="E163" s="134">
        <v>5</v>
      </c>
      <c r="F163" s="134" t="s">
        <v>4108</v>
      </c>
      <c r="G163" s="134" t="s">
        <v>7</v>
      </c>
      <c r="H163" s="134" t="s">
        <v>89</v>
      </c>
      <c r="I163" s="134" t="s">
        <v>6082</v>
      </c>
      <c r="J163" s="223">
        <v>48</v>
      </c>
    </row>
    <row r="164" spans="1:10" x14ac:dyDescent="0.2">
      <c r="A164" s="134" t="s">
        <v>5959</v>
      </c>
      <c r="B164" s="134" t="s">
        <v>5980</v>
      </c>
      <c r="C164" s="134" t="s">
        <v>5981</v>
      </c>
      <c r="D164" s="134" t="s">
        <v>6453</v>
      </c>
      <c r="E164" s="134">
        <v>1</v>
      </c>
      <c r="F164" s="134" t="s">
        <v>4108</v>
      </c>
      <c r="G164" s="134" t="s">
        <v>7</v>
      </c>
      <c r="H164" s="134" t="s">
        <v>6535</v>
      </c>
      <c r="I164" s="134" t="s">
        <v>6536</v>
      </c>
      <c r="J164" s="223">
        <v>20</v>
      </c>
    </row>
    <row r="165" spans="1:10" x14ac:dyDescent="0.2">
      <c r="A165" s="134" t="s">
        <v>5959</v>
      </c>
      <c r="B165" s="134" t="s">
        <v>5980</v>
      </c>
      <c r="C165" s="134" t="s">
        <v>5981</v>
      </c>
      <c r="D165" s="134" t="s">
        <v>6453</v>
      </c>
      <c r="E165" s="134">
        <v>3</v>
      </c>
      <c r="F165" s="134" t="s">
        <v>4108</v>
      </c>
      <c r="G165" s="134" t="s">
        <v>7</v>
      </c>
      <c r="H165" s="134" t="s">
        <v>6537</v>
      </c>
      <c r="I165" s="134" t="s">
        <v>6538</v>
      </c>
      <c r="J165" s="223">
        <v>51</v>
      </c>
    </row>
    <row r="166" spans="1:10" x14ac:dyDescent="0.2">
      <c r="A166" s="134" t="s">
        <v>5959</v>
      </c>
      <c r="B166" s="134" t="s">
        <v>5980</v>
      </c>
      <c r="C166" s="134" t="s">
        <v>5981</v>
      </c>
      <c r="D166" s="134" t="s">
        <v>6453</v>
      </c>
      <c r="E166" s="134">
        <v>5</v>
      </c>
      <c r="F166" s="134" t="s">
        <v>4108</v>
      </c>
      <c r="G166" s="134" t="s">
        <v>7</v>
      </c>
      <c r="H166" s="134" t="s">
        <v>6539</v>
      </c>
      <c r="I166" s="134" t="s">
        <v>6540</v>
      </c>
      <c r="J166" s="223">
        <v>80</v>
      </c>
    </row>
    <row r="167" spans="1:10" x14ac:dyDescent="0.2">
      <c r="A167" s="134" t="s">
        <v>5959</v>
      </c>
      <c r="B167" s="134" t="s">
        <v>5980</v>
      </c>
      <c r="C167" s="134" t="s">
        <v>5981</v>
      </c>
      <c r="D167" s="134" t="s">
        <v>6689</v>
      </c>
      <c r="E167" s="134">
        <v>1</v>
      </c>
      <c r="F167" s="134" t="s">
        <v>4108</v>
      </c>
      <c r="G167" s="134" t="s">
        <v>7</v>
      </c>
      <c r="H167" s="134" t="s">
        <v>6705</v>
      </c>
      <c r="I167" s="134" t="s">
        <v>6706</v>
      </c>
      <c r="J167" s="223">
        <v>60</v>
      </c>
    </row>
    <row r="168" spans="1:10" x14ac:dyDescent="0.2">
      <c r="A168" s="134" t="s">
        <v>5959</v>
      </c>
      <c r="B168" s="134" t="s">
        <v>5980</v>
      </c>
      <c r="C168" s="134" t="s">
        <v>5981</v>
      </c>
      <c r="D168" s="134" t="s">
        <v>6689</v>
      </c>
      <c r="E168" s="134">
        <v>3</v>
      </c>
      <c r="F168" s="134" t="s">
        <v>4108</v>
      </c>
      <c r="G168" s="134" t="s">
        <v>7</v>
      </c>
      <c r="H168" s="134" t="s">
        <v>6707</v>
      </c>
      <c r="I168" s="134" t="s">
        <v>6708</v>
      </c>
      <c r="J168" s="223">
        <v>153</v>
      </c>
    </row>
    <row r="169" spans="1:10" x14ac:dyDescent="0.2">
      <c r="A169" s="134" t="s">
        <v>5959</v>
      </c>
      <c r="B169" s="134" t="s">
        <v>5980</v>
      </c>
      <c r="C169" s="134" t="s">
        <v>5981</v>
      </c>
      <c r="D169" s="134" t="s">
        <v>6689</v>
      </c>
      <c r="E169" s="134">
        <v>5</v>
      </c>
      <c r="F169" s="134" t="s">
        <v>4108</v>
      </c>
      <c r="G169" s="134" t="s">
        <v>7</v>
      </c>
      <c r="H169" s="134" t="s">
        <v>6709</v>
      </c>
      <c r="I169" s="134" t="s">
        <v>6710</v>
      </c>
      <c r="J169" s="223">
        <v>240</v>
      </c>
    </row>
    <row r="170" spans="1:10" x14ac:dyDescent="0.2">
      <c r="A170" s="134" t="s">
        <v>5959</v>
      </c>
      <c r="B170" s="134" t="s">
        <v>5995</v>
      </c>
      <c r="C170" s="134" t="s">
        <v>5981</v>
      </c>
      <c r="D170" s="134" t="s">
        <v>5982</v>
      </c>
      <c r="E170" s="134">
        <v>1</v>
      </c>
      <c r="H170" s="134" t="s">
        <v>6119</v>
      </c>
      <c r="I170" s="134" t="s">
        <v>6120</v>
      </c>
      <c r="J170" s="223">
        <v>7</v>
      </c>
    </row>
    <row r="171" spans="1:10" x14ac:dyDescent="0.2">
      <c r="A171" s="134" t="s">
        <v>5959</v>
      </c>
      <c r="B171" s="134" t="s">
        <v>5995</v>
      </c>
      <c r="C171" s="134" t="s">
        <v>5981</v>
      </c>
      <c r="D171" s="134" t="s">
        <v>5982</v>
      </c>
      <c r="E171" s="134">
        <v>3</v>
      </c>
      <c r="H171" s="134" t="s">
        <v>6121</v>
      </c>
      <c r="I171" s="134" t="s">
        <v>6122</v>
      </c>
      <c r="J171" s="223">
        <v>18</v>
      </c>
    </row>
    <row r="172" spans="1:10" x14ac:dyDescent="0.2">
      <c r="A172" s="134" t="s">
        <v>5959</v>
      </c>
      <c r="B172" s="134" t="s">
        <v>5995</v>
      </c>
      <c r="C172" s="134" t="s">
        <v>5981</v>
      </c>
      <c r="D172" s="134" t="s">
        <v>5982</v>
      </c>
      <c r="E172" s="134">
        <v>5</v>
      </c>
      <c r="H172" s="134" t="s">
        <v>6123</v>
      </c>
      <c r="I172" s="134" t="s">
        <v>6124</v>
      </c>
      <c r="J172" s="223">
        <v>28</v>
      </c>
    </row>
    <row r="173" spans="1:10" x14ac:dyDescent="0.2">
      <c r="A173" s="134" t="s">
        <v>5959</v>
      </c>
      <c r="B173" s="134" t="s">
        <v>5995</v>
      </c>
      <c r="C173" s="134" t="s">
        <v>5981</v>
      </c>
      <c r="D173" s="134" t="s">
        <v>5983</v>
      </c>
      <c r="E173" s="134">
        <v>1</v>
      </c>
      <c r="H173" s="134" t="s">
        <v>6125</v>
      </c>
      <c r="I173" s="134" t="s">
        <v>6126</v>
      </c>
      <c r="J173" s="223">
        <v>6</v>
      </c>
    </row>
    <row r="174" spans="1:10" x14ac:dyDescent="0.2">
      <c r="A174" s="134" t="s">
        <v>5959</v>
      </c>
      <c r="B174" s="134" t="s">
        <v>5995</v>
      </c>
      <c r="C174" s="134" t="s">
        <v>5981</v>
      </c>
      <c r="D174" s="134" t="s">
        <v>5983</v>
      </c>
      <c r="E174" s="134">
        <v>3</v>
      </c>
      <c r="H174" s="134" t="s">
        <v>6127</v>
      </c>
      <c r="I174" s="134" t="s">
        <v>6128</v>
      </c>
      <c r="J174" s="223">
        <v>16</v>
      </c>
    </row>
    <row r="175" spans="1:10" x14ac:dyDescent="0.2">
      <c r="A175" s="134" t="s">
        <v>5959</v>
      </c>
      <c r="B175" s="134" t="s">
        <v>5995</v>
      </c>
      <c r="C175" s="134" t="s">
        <v>5981</v>
      </c>
      <c r="D175" s="134" t="s">
        <v>5983</v>
      </c>
      <c r="E175" s="134">
        <v>5</v>
      </c>
      <c r="H175" s="134" t="s">
        <v>6129</v>
      </c>
      <c r="I175" s="134" t="s">
        <v>6130</v>
      </c>
      <c r="J175" s="223">
        <v>24</v>
      </c>
    </row>
    <row r="176" spans="1:10" x14ac:dyDescent="0.2">
      <c r="A176" s="134" t="s">
        <v>5959</v>
      </c>
      <c r="B176" s="134" t="s">
        <v>5995</v>
      </c>
      <c r="C176" s="134" t="s">
        <v>5981</v>
      </c>
      <c r="D176" s="134" t="s">
        <v>5984</v>
      </c>
      <c r="E176" s="134">
        <v>1</v>
      </c>
      <c r="H176" s="134" t="s">
        <v>6131</v>
      </c>
      <c r="I176" s="134" t="s">
        <v>6132</v>
      </c>
      <c r="J176" s="223">
        <v>9</v>
      </c>
    </row>
    <row r="177" spans="1:10" x14ac:dyDescent="0.2">
      <c r="A177" s="134" t="s">
        <v>5959</v>
      </c>
      <c r="B177" s="134" t="s">
        <v>5995</v>
      </c>
      <c r="C177" s="134" t="s">
        <v>5981</v>
      </c>
      <c r="D177" s="134" t="s">
        <v>5984</v>
      </c>
      <c r="E177" s="134">
        <v>3</v>
      </c>
      <c r="H177" s="134" t="s">
        <v>6133</v>
      </c>
      <c r="I177" s="134" t="s">
        <v>6134</v>
      </c>
      <c r="J177" s="223">
        <v>23</v>
      </c>
    </row>
    <row r="178" spans="1:10" x14ac:dyDescent="0.2">
      <c r="A178" s="134" t="s">
        <v>5959</v>
      </c>
      <c r="B178" s="134" t="s">
        <v>5995</v>
      </c>
      <c r="C178" s="134" t="s">
        <v>5981</v>
      </c>
      <c r="D178" s="134" t="s">
        <v>5984</v>
      </c>
      <c r="E178" s="134">
        <v>5</v>
      </c>
      <c r="H178" s="134" t="s">
        <v>6135</v>
      </c>
      <c r="I178" s="134" t="s">
        <v>6136</v>
      </c>
      <c r="J178" s="223">
        <v>36</v>
      </c>
    </row>
    <row r="179" spans="1:10" x14ac:dyDescent="0.2">
      <c r="A179" s="134" t="s">
        <v>5959</v>
      </c>
      <c r="B179" s="134" t="s">
        <v>5995</v>
      </c>
      <c r="C179" s="134" t="s">
        <v>5981</v>
      </c>
      <c r="D179" s="134" t="s">
        <v>5985</v>
      </c>
      <c r="E179" s="134">
        <v>1</v>
      </c>
      <c r="H179" s="134" t="s">
        <v>6137</v>
      </c>
      <c r="I179" s="134" t="s">
        <v>6138</v>
      </c>
      <c r="J179" s="223">
        <v>12</v>
      </c>
    </row>
    <row r="180" spans="1:10" x14ac:dyDescent="0.2">
      <c r="A180" s="134" t="s">
        <v>5959</v>
      </c>
      <c r="B180" s="134" t="s">
        <v>5995</v>
      </c>
      <c r="C180" s="134" t="s">
        <v>5981</v>
      </c>
      <c r="D180" s="134" t="s">
        <v>5985</v>
      </c>
      <c r="E180" s="134">
        <v>3</v>
      </c>
      <c r="H180" s="134" t="s">
        <v>6139</v>
      </c>
      <c r="I180" s="134" t="s">
        <v>6140</v>
      </c>
      <c r="J180" s="223">
        <v>31</v>
      </c>
    </row>
    <row r="181" spans="1:10" x14ac:dyDescent="0.2">
      <c r="A181" s="134" t="s">
        <v>5959</v>
      </c>
      <c r="B181" s="134" t="s">
        <v>5995</v>
      </c>
      <c r="C181" s="134" t="s">
        <v>5981</v>
      </c>
      <c r="D181" s="134" t="s">
        <v>5985</v>
      </c>
      <c r="E181" s="134">
        <v>5</v>
      </c>
      <c r="H181" s="134" t="s">
        <v>6141</v>
      </c>
      <c r="I181" s="134" t="s">
        <v>6142</v>
      </c>
      <c r="J181" s="223">
        <v>48</v>
      </c>
    </row>
    <row r="182" spans="1:10" x14ac:dyDescent="0.2">
      <c r="A182" s="134" t="s">
        <v>5959</v>
      </c>
      <c r="B182" s="134" t="s">
        <v>5995</v>
      </c>
      <c r="C182" s="134" t="s">
        <v>5981</v>
      </c>
      <c r="D182" s="134" t="s">
        <v>5986</v>
      </c>
      <c r="E182" s="134">
        <v>1</v>
      </c>
      <c r="H182" s="134" t="s">
        <v>6143</v>
      </c>
      <c r="I182" s="134" t="s">
        <v>6144</v>
      </c>
      <c r="J182" s="223">
        <v>15</v>
      </c>
    </row>
    <row r="183" spans="1:10" x14ac:dyDescent="0.2">
      <c r="A183" s="134" t="s">
        <v>5959</v>
      </c>
      <c r="B183" s="134" t="s">
        <v>5995</v>
      </c>
      <c r="C183" s="134" t="s">
        <v>5981</v>
      </c>
      <c r="D183" s="134" t="s">
        <v>5986</v>
      </c>
      <c r="E183" s="134">
        <v>3</v>
      </c>
      <c r="H183" s="134" t="s">
        <v>6145</v>
      </c>
      <c r="I183" s="134" t="s">
        <v>6146</v>
      </c>
      <c r="J183" s="223">
        <v>39</v>
      </c>
    </row>
    <row r="184" spans="1:10" x14ac:dyDescent="0.2">
      <c r="A184" s="134" t="s">
        <v>5959</v>
      </c>
      <c r="B184" s="134" t="s">
        <v>5995</v>
      </c>
      <c r="C184" s="134" t="s">
        <v>5981</v>
      </c>
      <c r="D184" s="134" t="s">
        <v>5986</v>
      </c>
      <c r="E184" s="134">
        <v>5</v>
      </c>
      <c r="H184" s="134" t="s">
        <v>6147</v>
      </c>
      <c r="I184" s="134" t="s">
        <v>6148</v>
      </c>
      <c r="J184" s="223">
        <v>60</v>
      </c>
    </row>
    <row r="185" spans="1:10" x14ac:dyDescent="0.2">
      <c r="A185" s="134" t="s">
        <v>5959</v>
      </c>
      <c r="B185" s="134" t="s">
        <v>5995</v>
      </c>
      <c r="C185" s="134" t="s">
        <v>5981</v>
      </c>
      <c r="D185" s="134" t="s">
        <v>5987</v>
      </c>
      <c r="E185" s="134">
        <v>1</v>
      </c>
      <c r="H185" s="134" t="s">
        <v>6149</v>
      </c>
      <c r="I185" s="134" t="s">
        <v>6150</v>
      </c>
      <c r="J185" s="223">
        <v>15</v>
      </c>
    </row>
    <row r="186" spans="1:10" x14ac:dyDescent="0.2">
      <c r="A186" s="134" t="s">
        <v>5959</v>
      </c>
      <c r="B186" s="134" t="s">
        <v>5995</v>
      </c>
      <c r="C186" s="134" t="s">
        <v>5981</v>
      </c>
      <c r="D186" s="134" t="s">
        <v>5987</v>
      </c>
      <c r="E186" s="134">
        <v>3</v>
      </c>
      <c r="H186" s="134" t="s">
        <v>6151</v>
      </c>
      <c r="I186" s="134" t="s">
        <v>6152</v>
      </c>
      <c r="J186" s="223">
        <v>39</v>
      </c>
    </row>
    <row r="187" spans="1:10" x14ac:dyDescent="0.2">
      <c r="A187" s="134" t="s">
        <v>5959</v>
      </c>
      <c r="B187" s="134" t="s">
        <v>5995</v>
      </c>
      <c r="C187" s="134" t="s">
        <v>5981</v>
      </c>
      <c r="D187" s="134" t="s">
        <v>5987</v>
      </c>
      <c r="E187" s="134">
        <v>5</v>
      </c>
      <c r="H187" s="134" t="s">
        <v>6153</v>
      </c>
      <c r="I187" s="134" t="s">
        <v>6154</v>
      </c>
      <c r="J187" s="223">
        <v>60</v>
      </c>
    </row>
    <row r="188" spans="1:10" x14ac:dyDescent="0.2">
      <c r="A188" s="134" t="s">
        <v>5959</v>
      </c>
      <c r="B188" s="134" t="s">
        <v>5995</v>
      </c>
      <c r="C188" s="134" t="s">
        <v>5981</v>
      </c>
      <c r="D188" s="134" t="s">
        <v>5988</v>
      </c>
      <c r="E188" s="134">
        <v>1</v>
      </c>
      <c r="H188" s="134" t="s">
        <v>6155</v>
      </c>
      <c r="I188" s="134" t="s">
        <v>6156</v>
      </c>
      <c r="J188" s="223">
        <v>15</v>
      </c>
    </row>
    <row r="189" spans="1:10" x14ac:dyDescent="0.2">
      <c r="A189" s="134" t="s">
        <v>5959</v>
      </c>
      <c r="B189" s="134" t="s">
        <v>5995</v>
      </c>
      <c r="C189" s="134" t="s">
        <v>5981</v>
      </c>
      <c r="D189" s="134" t="s">
        <v>5988</v>
      </c>
      <c r="E189" s="134">
        <v>3</v>
      </c>
      <c r="H189" s="134" t="s">
        <v>6157</v>
      </c>
      <c r="I189" s="134" t="s">
        <v>6158</v>
      </c>
      <c r="J189" s="223">
        <v>39</v>
      </c>
    </row>
    <row r="190" spans="1:10" x14ac:dyDescent="0.2">
      <c r="A190" s="134" t="s">
        <v>5959</v>
      </c>
      <c r="B190" s="134" t="s">
        <v>5995</v>
      </c>
      <c r="C190" s="134" t="s">
        <v>5981</v>
      </c>
      <c r="D190" s="134" t="s">
        <v>5988</v>
      </c>
      <c r="E190" s="134">
        <v>5</v>
      </c>
      <c r="H190" s="134" t="s">
        <v>6159</v>
      </c>
      <c r="I190" s="134" t="s">
        <v>6160</v>
      </c>
      <c r="J190" s="223">
        <v>60</v>
      </c>
    </row>
    <row r="191" spans="1:10" x14ac:dyDescent="0.2">
      <c r="A191" s="134" t="s">
        <v>5959</v>
      </c>
      <c r="B191" s="134" t="s">
        <v>5995</v>
      </c>
      <c r="C191" s="134" t="s">
        <v>5981</v>
      </c>
      <c r="D191" s="134" t="s">
        <v>5989</v>
      </c>
      <c r="E191" s="134">
        <v>1</v>
      </c>
      <c r="H191" s="134" t="s">
        <v>6161</v>
      </c>
      <c r="I191" s="134" t="s">
        <v>6162</v>
      </c>
      <c r="J191" s="223">
        <v>10</v>
      </c>
    </row>
    <row r="192" spans="1:10" x14ac:dyDescent="0.2">
      <c r="A192" s="134" t="s">
        <v>5959</v>
      </c>
      <c r="B192" s="134" t="s">
        <v>5995</v>
      </c>
      <c r="C192" s="134" t="s">
        <v>5981</v>
      </c>
      <c r="D192" s="134" t="s">
        <v>5989</v>
      </c>
      <c r="E192" s="134">
        <v>3</v>
      </c>
      <c r="H192" s="134" t="s">
        <v>6163</v>
      </c>
      <c r="I192" s="134" t="s">
        <v>6164</v>
      </c>
      <c r="J192" s="223">
        <v>26</v>
      </c>
    </row>
    <row r="193" spans="1:10" x14ac:dyDescent="0.2">
      <c r="A193" s="134" t="s">
        <v>5959</v>
      </c>
      <c r="B193" s="134" t="s">
        <v>5995</v>
      </c>
      <c r="C193" s="134" t="s">
        <v>5981</v>
      </c>
      <c r="D193" s="134" t="s">
        <v>5989</v>
      </c>
      <c r="E193" s="134">
        <v>5</v>
      </c>
      <c r="H193" s="134" t="s">
        <v>6165</v>
      </c>
      <c r="I193" s="134" t="s">
        <v>6166</v>
      </c>
      <c r="J193" s="223">
        <v>40</v>
      </c>
    </row>
    <row r="194" spans="1:10" x14ac:dyDescent="0.2">
      <c r="A194" s="134" t="s">
        <v>5959</v>
      </c>
      <c r="B194" s="134" t="s">
        <v>5995</v>
      </c>
      <c r="C194" s="134" t="s">
        <v>5981</v>
      </c>
      <c r="D194" s="134" t="s">
        <v>5990</v>
      </c>
      <c r="E194" s="134">
        <v>1</v>
      </c>
      <c r="H194" s="134" t="s">
        <v>6167</v>
      </c>
      <c r="I194" s="134" t="s">
        <v>6168</v>
      </c>
      <c r="J194" s="223">
        <v>15</v>
      </c>
    </row>
    <row r="195" spans="1:10" x14ac:dyDescent="0.2">
      <c r="A195" s="134" t="s">
        <v>5959</v>
      </c>
      <c r="B195" s="134" t="s">
        <v>5995</v>
      </c>
      <c r="C195" s="134" t="s">
        <v>5981</v>
      </c>
      <c r="D195" s="134" t="s">
        <v>5990</v>
      </c>
      <c r="E195" s="134">
        <v>3</v>
      </c>
      <c r="H195" s="134" t="s">
        <v>6169</v>
      </c>
      <c r="I195" s="134" t="s">
        <v>6170</v>
      </c>
      <c r="J195" s="223">
        <v>39</v>
      </c>
    </row>
    <row r="196" spans="1:10" x14ac:dyDescent="0.2">
      <c r="A196" s="134" t="s">
        <v>5959</v>
      </c>
      <c r="B196" s="134" t="s">
        <v>5995</v>
      </c>
      <c r="C196" s="134" t="s">
        <v>5981</v>
      </c>
      <c r="D196" s="134" t="s">
        <v>5990</v>
      </c>
      <c r="E196" s="134">
        <v>5</v>
      </c>
      <c r="H196" s="134" t="s">
        <v>6171</v>
      </c>
      <c r="I196" s="134" t="s">
        <v>6172</v>
      </c>
      <c r="J196" s="223">
        <v>60</v>
      </c>
    </row>
    <row r="197" spans="1:10" x14ac:dyDescent="0.2">
      <c r="A197" s="134" t="s">
        <v>5959</v>
      </c>
      <c r="B197" s="134" t="s">
        <v>5995</v>
      </c>
      <c r="C197" s="134" t="s">
        <v>5981</v>
      </c>
      <c r="D197" s="134" t="s">
        <v>5991</v>
      </c>
      <c r="E197" s="134">
        <v>1</v>
      </c>
      <c r="H197" s="134" t="s">
        <v>6173</v>
      </c>
      <c r="I197" s="134" t="s">
        <v>6174</v>
      </c>
      <c r="J197" s="223">
        <v>23</v>
      </c>
    </row>
    <row r="198" spans="1:10" x14ac:dyDescent="0.2">
      <c r="A198" s="134" t="s">
        <v>5959</v>
      </c>
      <c r="B198" s="134" t="s">
        <v>5995</v>
      </c>
      <c r="C198" s="134" t="s">
        <v>5981</v>
      </c>
      <c r="D198" s="134" t="s">
        <v>5991</v>
      </c>
      <c r="E198" s="134">
        <v>3</v>
      </c>
      <c r="H198" s="134" t="s">
        <v>6175</v>
      </c>
      <c r="I198" s="134" t="s">
        <v>6176</v>
      </c>
      <c r="J198" s="223">
        <v>59</v>
      </c>
    </row>
    <row r="199" spans="1:10" x14ac:dyDescent="0.2">
      <c r="A199" s="134" t="s">
        <v>5959</v>
      </c>
      <c r="B199" s="134" t="s">
        <v>5995</v>
      </c>
      <c r="C199" s="134" t="s">
        <v>5981</v>
      </c>
      <c r="D199" s="134" t="s">
        <v>5991</v>
      </c>
      <c r="E199" s="134">
        <v>5</v>
      </c>
      <c r="H199" s="134" t="s">
        <v>6177</v>
      </c>
      <c r="I199" s="134" t="s">
        <v>6178</v>
      </c>
      <c r="J199" s="223">
        <v>92</v>
      </c>
    </row>
    <row r="200" spans="1:10" x14ac:dyDescent="0.2">
      <c r="A200" s="134" t="s">
        <v>5959</v>
      </c>
      <c r="B200" s="134" t="s">
        <v>5995</v>
      </c>
      <c r="C200" s="134" t="s">
        <v>5981</v>
      </c>
      <c r="D200" s="134" t="s">
        <v>5992</v>
      </c>
      <c r="E200" s="134">
        <v>1</v>
      </c>
      <c r="H200" s="134" t="s">
        <v>6179</v>
      </c>
      <c r="I200" s="134" t="s">
        <v>6180</v>
      </c>
      <c r="J200" s="223">
        <v>33</v>
      </c>
    </row>
    <row r="201" spans="1:10" x14ac:dyDescent="0.2">
      <c r="A201" s="134" t="s">
        <v>5959</v>
      </c>
      <c r="B201" s="134" t="s">
        <v>5995</v>
      </c>
      <c r="C201" s="134" t="s">
        <v>5981</v>
      </c>
      <c r="D201" s="134" t="s">
        <v>5992</v>
      </c>
      <c r="E201" s="134">
        <v>3</v>
      </c>
      <c r="H201" s="134" t="s">
        <v>6181</v>
      </c>
      <c r="I201" s="134" t="s">
        <v>6182</v>
      </c>
      <c r="J201" s="223">
        <v>85</v>
      </c>
    </row>
    <row r="202" spans="1:10" x14ac:dyDescent="0.2">
      <c r="A202" s="134" t="s">
        <v>5959</v>
      </c>
      <c r="B202" s="134" t="s">
        <v>5995</v>
      </c>
      <c r="C202" s="134" t="s">
        <v>5981</v>
      </c>
      <c r="D202" s="134" t="s">
        <v>5992</v>
      </c>
      <c r="E202" s="134">
        <v>5</v>
      </c>
      <c r="H202" s="134" t="s">
        <v>6183</v>
      </c>
      <c r="I202" s="134" t="s">
        <v>6184</v>
      </c>
      <c r="J202" s="223">
        <v>132</v>
      </c>
    </row>
    <row r="203" spans="1:10" x14ac:dyDescent="0.2">
      <c r="A203" s="134" t="s">
        <v>5959</v>
      </c>
      <c r="B203" s="134" t="s">
        <v>5995</v>
      </c>
      <c r="C203" s="134" t="s">
        <v>5981</v>
      </c>
      <c r="D203" s="134" t="s">
        <v>5993</v>
      </c>
      <c r="E203" s="134">
        <v>1</v>
      </c>
      <c r="H203" s="134" t="s">
        <v>6185</v>
      </c>
      <c r="I203" s="134" t="s">
        <v>6186</v>
      </c>
      <c r="J203" s="223">
        <v>12</v>
      </c>
    </row>
    <row r="204" spans="1:10" x14ac:dyDescent="0.2">
      <c r="A204" s="134" t="s">
        <v>5959</v>
      </c>
      <c r="B204" s="134" t="s">
        <v>5995</v>
      </c>
      <c r="C204" s="134" t="s">
        <v>5981</v>
      </c>
      <c r="D204" s="134" t="s">
        <v>5993</v>
      </c>
      <c r="E204" s="134">
        <v>3</v>
      </c>
      <c r="H204" s="134" t="s">
        <v>6187</v>
      </c>
      <c r="I204" s="134" t="s">
        <v>6188</v>
      </c>
      <c r="J204" s="223">
        <v>31</v>
      </c>
    </row>
    <row r="205" spans="1:10" x14ac:dyDescent="0.2">
      <c r="A205" s="134" t="s">
        <v>5959</v>
      </c>
      <c r="B205" s="134" t="s">
        <v>5995</v>
      </c>
      <c r="C205" s="134" t="s">
        <v>5981</v>
      </c>
      <c r="D205" s="134" t="s">
        <v>5993</v>
      </c>
      <c r="E205" s="134">
        <v>5</v>
      </c>
      <c r="H205" s="134" t="s">
        <v>6189</v>
      </c>
      <c r="I205" s="134" t="s">
        <v>6190</v>
      </c>
      <c r="J205" s="223">
        <v>48</v>
      </c>
    </row>
    <row r="206" spans="1:10" x14ac:dyDescent="0.2">
      <c r="A206" s="134" t="s">
        <v>5959</v>
      </c>
      <c r="B206" s="134" t="s">
        <v>5995</v>
      </c>
      <c r="C206" s="134" t="s">
        <v>5981</v>
      </c>
      <c r="D206" s="134" t="s">
        <v>6453</v>
      </c>
      <c r="E206" s="134">
        <v>1</v>
      </c>
      <c r="H206" s="134" t="s">
        <v>6541</v>
      </c>
      <c r="I206" s="134" t="s">
        <v>6542</v>
      </c>
      <c r="J206" s="223">
        <v>17</v>
      </c>
    </row>
    <row r="207" spans="1:10" x14ac:dyDescent="0.2">
      <c r="A207" s="134" t="s">
        <v>5959</v>
      </c>
      <c r="B207" s="134" t="s">
        <v>5995</v>
      </c>
      <c r="C207" s="134" t="s">
        <v>5981</v>
      </c>
      <c r="D207" s="134" t="s">
        <v>6453</v>
      </c>
      <c r="E207" s="134">
        <v>3</v>
      </c>
      <c r="H207" s="134" t="s">
        <v>6543</v>
      </c>
      <c r="I207" s="134" t="s">
        <v>6544</v>
      </c>
      <c r="J207" s="223">
        <v>44</v>
      </c>
    </row>
    <row r="208" spans="1:10" x14ac:dyDescent="0.2">
      <c r="A208" s="134" t="s">
        <v>5959</v>
      </c>
      <c r="B208" s="134" t="s">
        <v>5995</v>
      </c>
      <c r="C208" s="134" t="s">
        <v>5981</v>
      </c>
      <c r="D208" s="134" t="s">
        <v>6453</v>
      </c>
      <c r="E208" s="134">
        <v>5</v>
      </c>
      <c r="H208" s="134" t="s">
        <v>6545</v>
      </c>
      <c r="I208" s="134" t="s">
        <v>6546</v>
      </c>
      <c r="J208" s="223">
        <v>68</v>
      </c>
    </row>
    <row r="209" spans="1:10" x14ac:dyDescent="0.2">
      <c r="A209" s="134" t="s">
        <v>5959</v>
      </c>
      <c r="B209" s="134" t="s">
        <v>5995</v>
      </c>
      <c r="C209" s="134" t="s">
        <v>5981</v>
      </c>
      <c r="D209" s="134" t="s">
        <v>6689</v>
      </c>
      <c r="E209" s="134">
        <v>1</v>
      </c>
      <c r="H209" s="134" t="s">
        <v>6711</v>
      </c>
      <c r="I209" s="134" t="s">
        <v>6712</v>
      </c>
      <c r="J209" s="223">
        <v>60</v>
      </c>
    </row>
    <row r="210" spans="1:10" x14ac:dyDescent="0.2">
      <c r="A210" s="134" t="s">
        <v>5959</v>
      </c>
      <c r="B210" s="134" t="s">
        <v>5995</v>
      </c>
      <c r="C210" s="134" t="s">
        <v>5981</v>
      </c>
      <c r="D210" s="134" t="s">
        <v>6689</v>
      </c>
      <c r="E210" s="134">
        <v>3</v>
      </c>
      <c r="H210" s="134" t="s">
        <v>6713</v>
      </c>
      <c r="I210" s="134" t="s">
        <v>6714</v>
      </c>
      <c r="J210" s="223">
        <v>153</v>
      </c>
    </row>
    <row r="211" spans="1:10" x14ac:dyDescent="0.2">
      <c r="A211" s="134" t="s">
        <v>5959</v>
      </c>
      <c r="B211" s="134" t="s">
        <v>5995</v>
      </c>
      <c r="C211" s="134" t="s">
        <v>5981</v>
      </c>
      <c r="D211" s="134" t="s">
        <v>6689</v>
      </c>
      <c r="E211" s="134">
        <v>5</v>
      </c>
      <c r="H211" s="134" t="s">
        <v>6715</v>
      </c>
      <c r="I211" s="134" t="s">
        <v>6716</v>
      </c>
      <c r="J211" s="223">
        <v>240</v>
      </c>
    </row>
    <row r="212" spans="1:10" x14ac:dyDescent="0.2">
      <c r="A212" s="134" t="s">
        <v>5979</v>
      </c>
      <c r="B212" s="134" t="s">
        <v>5980</v>
      </c>
      <c r="C212" s="134" t="s">
        <v>5981</v>
      </c>
      <c r="D212" s="134" t="s">
        <v>44</v>
      </c>
      <c r="E212" s="134">
        <v>1</v>
      </c>
      <c r="F212" s="134" t="s">
        <v>4108</v>
      </c>
      <c r="G212" s="134" t="s">
        <v>7</v>
      </c>
      <c r="H212" s="134" t="s">
        <v>976</v>
      </c>
      <c r="I212" s="134" t="s">
        <v>6547</v>
      </c>
      <c r="J212" s="223">
        <v>22</v>
      </c>
    </row>
    <row r="213" spans="1:10" x14ac:dyDescent="0.2">
      <c r="A213" s="134" t="s">
        <v>5979</v>
      </c>
      <c r="B213" s="134" t="s">
        <v>5980</v>
      </c>
      <c r="C213" s="134" t="s">
        <v>5981</v>
      </c>
      <c r="D213" s="134" t="s">
        <v>44</v>
      </c>
      <c r="E213" s="134">
        <v>3</v>
      </c>
      <c r="F213" s="134" t="s">
        <v>4108</v>
      </c>
      <c r="G213" s="134" t="s">
        <v>7</v>
      </c>
      <c r="H213" s="134" t="s">
        <v>977</v>
      </c>
      <c r="I213" s="134" t="s">
        <v>6548</v>
      </c>
      <c r="J213" s="223">
        <v>57</v>
      </c>
    </row>
    <row r="214" spans="1:10" x14ac:dyDescent="0.2">
      <c r="A214" s="134" t="s">
        <v>5979</v>
      </c>
      <c r="B214" s="134" t="s">
        <v>5980</v>
      </c>
      <c r="C214" s="134" t="s">
        <v>5981</v>
      </c>
      <c r="D214" s="134" t="s">
        <v>44</v>
      </c>
      <c r="E214" s="134">
        <v>5</v>
      </c>
      <c r="F214" s="134" t="s">
        <v>4108</v>
      </c>
      <c r="G214" s="134" t="s">
        <v>7</v>
      </c>
      <c r="H214" s="134" t="s">
        <v>978</v>
      </c>
      <c r="I214" s="134" t="s">
        <v>6549</v>
      </c>
      <c r="J214" s="223">
        <v>88</v>
      </c>
    </row>
    <row r="215" spans="1:10" x14ac:dyDescent="0.2">
      <c r="A215" s="134" t="s">
        <v>5979</v>
      </c>
      <c r="B215" s="134" t="s">
        <v>5980</v>
      </c>
      <c r="C215" s="134" t="s">
        <v>5981</v>
      </c>
      <c r="D215" s="134" t="s">
        <v>45</v>
      </c>
      <c r="E215" s="134">
        <v>1</v>
      </c>
      <c r="F215" s="134" t="s">
        <v>4108</v>
      </c>
      <c r="G215" s="134" t="s">
        <v>7</v>
      </c>
      <c r="H215" s="134" t="s">
        <v>979</v>
      </c>
      <c r="I215" s="134" t="s">
        <v>6550</v>
      </c>
      <c r="J215" s="223">
        <v>31</v>
      </c>
    </row>
    <row r="216" spans="1:10" x14ac:dyDescent="0.2">
      <c r="A216" s="134" t="s">
        <v>5979</v>
      </c>
      <c r="B216" s="134" t="s">
        <v>5980</v>
      </c>
      <c r="C216" s="134" t="s">
        <v>5981</v>
      </c>
      <c r="D216" s="134" t="s">
        <v>45</v>
      </c>
      <c r="E216" s="134">
        <v>3</v>
      </c>
      <c r="F216" s="134" t="s">
        <v>4108</v>
      </c>
      <c r="G216" s="134" t="s">
        <v>7</v>
      </c>
      <c r="H216" s="134" t="s">
        <v>980</v>
      </c>
      <c r="I216" s="134" t="s">
        <v>6551</v>
      </c>
      <c r="J216" s="223">
        <v>80</v>
      </c>
    </row>
    <row r="217" spans="1:10" x14ac:dyDescent="0.2">
      <c r="A217" s="134" t="s">
        <v>5979</v>
      </c>
      <c r="B217" s="134" t="s">
        <v>5980</v>
      </c>
      <c r="C217" s="134" t="s">
        <v>5981</v>
      </c>
      <c r="D217" s="134" t="s">
        <v>45</v>
      </c>
      <c r="E217" s="134">
        <v>5</v>
      </c>
      <c r="F217" s="134" t="s">
        <v>4108</v>
      </c>
      <c r="G217" s="134" t="s">
        <v>7</v>
      </c>
      <c r="H217" s="134" t="s">
        <v>981</v>
      </c>
      <c r="I217" s="134" t="s">
        <v>6552</v>
      </c>
      <c r="J217" s="223">
        <v>124</v>
      </c>
    </row>
    <row r="218" spans="1:10" x14ac:dyDescent="0.2">
      <c r="A218" s="134" t="s">
        <v>5979</v>
      </c>
      <c r="B218" s="134" t="s">
        <v>5980</v>
      </c>
      <c r="C218" s="134" t="s">
        <v>5981</v>
      </c>
      <c r="D218" s="134" t="s">
        <v>46</v>
      </c>
      <c r="E218" s="134">
        <v>1</v>
      </c>
      <c r="F218" s="134" t="s">
        <v>4108</v>
      </c>
      <c r="G218" s="134" t="s">
        <v>7</v>
      </c>
      <c r="H218" s="134" t="s">
        <v>5994</v>
      </c>
      <c r="I218" s="134" t="s">
        <v>6553</v>
      </c>
      <c r="J218" s="223">
        <v>65</v>
      </c>
    </row>
    <row r="219" spans="1:10" x14ac:dyDescent="0.2">
      <c r="A219" s="134" t="s">
        <v>5979</v>
      </c>
      <c r="B219" s="134" t="s">
        <v>5980</v>
      </c>
      <c r="C219" s="134" t="s">
        <v>5981</v>
      </c>
      <c r="D219" s="134" t="s">
        <v>46</v>
      </c>
      <c r="E219" s="134">
        <v>3</v>
      </c>
      <c r="F219" s="134" t="s">
        <v>4108</v>
      </c>
      <c r="G219" s="134" t="s">
        <v>7</v>
      </c>
      <c r="H219" s="134" t="s">
        <v>982</v>
      </c>
      <c r="I219" s="134" t="s">
        <v>6554</v>
      </c>
      <c r="J219" s="223">
        <v>166</v>
      </c>
    </row>
    <row r="220" spans="1:10" x14ac:dyDescent="0.2">
      <c r="A220" s="134" t="s">
        <v>5979</v>
      </c>
      <c r="B220" s="134" t="s">
        <v>5980</v>
      </c>
      <c r="C220" s="134" t="s">
        <v>5981</v>
      </c>
      <c r="D220" s="134" t="s">
        <v>46</v>
      </c>
      <c r="E220" s="134">
        <v>5</v>
      </c>
      <c r="F220" s="134" t="s">
        <v>4108</v>
      </c>
      <c r="G220" s="134" t="s">
        <v>7</v>
      </c>
      <c r="H220" s="134" t="s">
        <v>983</v>
      </c>
      <c r="I220" s="134" t="s">
        <v>6555</v>
      </c>
      <c r="J220" s="223">
        <v>260</v>
      </c>
    </row>
    <row r="221" spans="1:10" x14ac:dyDescent="0.2">
      <c r="A221" s="134" t="s">
        <v>5979</v>
      </c>
      <c r="B221" s="134" t="s">
        <v>5980</v>
      </c>
      <c r="C221" s="134" t="s">
        <v>5981</v>
      </c>
      <c r="D221" s="134" t="s">
        <v>67</v>
      </c>
      <c r="E221" s="134">
        <v>1</v>
      </c>
      <c r="F221" s="134" t="s">
        <v>4108</v>
      </c>
      <c r="G221" s="134" t="s">
        <v>7</v>
      </c>
      <c r="H221" s="134" t="s">
        <v>964</v>
      </c>
      <c r="I221" s="134" t="s">
        <v>6556</v>
      </c>
      <c r="J221" s="223">
        <v>11</v>
      </c>
    </row>
    <row r="222" spans="1:10" x14ac:dyDescent="0.2">
      <c r="A222" s="134" t="s">
        <v>5979</v>
      </c>
      <c r="B222" s="134" t="s">
        <v>5980</v>
      </c>
      <c r="C222" s="134" t="s">
        <v>5981</v>
      </c>
      <c r="D222" s="134" t="s">
        <v>67</v>
      </c>
      <c r="E222" s="134">
        <v>3</v>
      </c>
      <c r="F222" s="134" t="s">
        <v>4108</v>
      </c>
      <c r="G222" s="134" t="s">
        <v>7</v>
      </c>
      <c r="H222" s="134" t="s">
        <v>965</v>
      </c>
      <c r="I222" s="134" t="s">
        <v>6557</v>
      </c>
      <c r="J222" s="223">
        <v>29</v>
      </c>
    </row>
    <row r="223" spans="1:10" x14ac:dyDescent="0.2">
      <c r="A223" s="134" t="s">
        <v>5979</v>
      </c>
      <c r="B223" s="134" t="s">
        <v>5980</v>
      </c>
      <c r="C223" s="134" t="s">
        <v>5981</v>
      </c>
      <c r="D223" s="134" t="s">
        <v>67</v>
      </c>
      <c r="E223" s="134">
        <v>5</v>
      </c>
      <c r="F223" s="134" t="s">
        <v>4108</v>
      </c>
      <c r="G223" s="134" t="s">
        <v>7</v>
      </c>
      <c r="H223" s="134" t="s">
        <v>966</v>
      </c>
      <c r="I223" s="134" t="s">
        <v>6558</v>
      </c>
      <c r="J223" s="223">
        <v>44</v>
      </c>
    </row>
    <row r="224" spans="1:10" x14ac:dyDescent="0.2">
      <c r="A224" s="134" t="s">
        <v>5979</v>
      </c>
      <c r="B224" s="134" t="s">
        <v>5980</v>
      </c>
      <c r="C224" s="134" t="s">
        <v>5981</v>
      </c>
      <c r="D224" s="134" t="s">
        <v>68</v>
      </c>
      <c r="E224" s="134">
        <v>1</v>
      </c>
      <c r="F224" s="134" t="s">
        <v>4108</v>
      </c>
      <c r="G224" s="134" t="s">
        <v>7</v>
      </c>
      <c r="H224" s="134" t="s">
        <v>967</v>
      </c>
      <c r="I224" s="134" t="s">
        <v>6559</v>
      </c>
      <c r="J224" s="223">
        <v>15</v>
      </c>
    </row>
    <row r="225" spans="1:10" x14ac:dyDescent="0.2">
      <c r="A225" s="134" t="s">
        <v>5979</v>
      </c>
      <c r="B225" s="134" t="s">
        <v>5980</v>
      </c>
      <c r="C225" s="134" t="s">
        <v>5981</v>
      </c>
      <c r="D225" s="134" t="s">
        <v>68</v>
      </c>
      <c r="E225" s="134">
        <v>3</v>
      </c>
      <c r="F225" s="134" t="s">
        <v>4108</v>
      </c>
      <c r="G225" s="134" t="s">
        <v>7</v>
      </c>
      <c r="H225" s="134" t="s">
        <v>968</v>
      </c>
      <c r="I225" s="134" t="s">
        <v>6560</v>
      </c>
      <c r="J225" s="223">
        <v>39</v>
      </c>
    </row>
    <row r="226" spans="1:10" x14ac:dyDescent="0.2">
      <c r="A226" s="134" t="s">
        <v>5979</v>
      </c>
      <c r="B226" s="134" t="s">
        <v>5980</v>
      </c>
      <c r="C226" s="134" t="s">
        <v>5981</v>
      </c>
      <c r="D226" s="134" t="s">
        <v>68</v>
      </c>
      <c r="E226" s="134">
        <v>5</v>
      </c>
      <c r="F226" s="134" t="s">
        <v>4108</v>
      </c>
      <c r="G226" s="134" t="s">
        <v>7</v>
      </c>
      <c r="H226" s="134" t="s">
        <v>969</v>
      </c>
      <c r="I226" s="134" t="s">
        <v>6561</v>
      </c>
      <c r="J226" s="223">
        <v>60</v>
      </c>
    </row>
    <row r="227" spans="1:10" x14ac:dyDescent="0.2">
      <c r="A227" s="134" t="s">
        <v>5979</v>
      </c>
      <c r="B227" s="134" t="s">
        <v>5980</v>
      </c>
      <c r="C227" s="134" t="s">
        <v>5981</v>
      </c>
      <c r="D227" s="134" t="s">
        <v>65</v>
      </c>
      <c r="E227" s="134">
        <v>1</v>
      </c>
      <c r="F227" s="134" t="s">
        <v>4108</v>
      </c>
      <c r="G227" s="134" t="s">
        <v>7</v>
      </c>
      <c r="H227" s="134" t="s">
        <v>970</v>
      </c>
      <c r="I227" s="134" t="s">
        <v>6562</v>
      </c>
      <c r="J227" s="223">
        <v>20</v>
      </c>
    </row>
    <row r="228" spans="1:10" x14ac:dyDescent="0.2">
      <c r="A228" s="134" t="s">
        <v>5979</v>
      </c>
      <c r="B228" s="134" t="s">
        <v>5980</v>
      </c>
      <c r="C228" s="134" t="s">
        <v>5981</v>
      </c>
      <c r="D228" s="134" t="s">
        <v>65</v>
      </c>
      <c r="E228" s="134">
        <v>3</v>
      </c>
      <c r="F228" s="134" t="s">
        <v>4108</v>
      </c>
      <c r="G228" s="134" t="s">
        <v>7</v>
      </c>
      <c r="H228" s="134" t="s">
        <v>971</v>
      </c>
      <c r="I228" s="134" t="s">
        <v>6563</v>
      </c>
      <c r="J228" s="223">
        <v>51</v>
      </c>
    </row>
    <row r="229" spans="1:10" x14ac:dyDescent="0.2">
      <c r="A229" s="134" t="s">
        <v>5979</v>
      </c>
      <c r="B229" s="134" t="s">
        <v>5980</v>
      </c>
      <c r="C229" s="134" t="s">
        <v>5981</v>
      </c>
      <c r="D229" s="134" t="s">
        <v>65</v>
      </c>
      <c r="E229" s="134">
        <v>5</v>
      </c>
      <c r="F229" s="134" t="s">
        <v>4108</v>
      </c>
      <c r="G229" s="134" t="s">
        <v>7</v>
      </c>
      <c r="H229" s="134" t="s">
        <v>972</v>
      </c>
      <c r="I229" s="134" t="s">
        <v>6564</v>
      </c>
      <c r="J229" s="223">
        <v>80</v>
      </c>
    </row>
    <row r="230" spans="1:10" x14ac:dyDescent="0.2">
      <c r="A230" s="134" t="s">
        <v>5979</v>
      </c>
      <c r="B230" s="134" t="s">
        <v>5980</v>
      </c>
      <c r="C230" s="134" t="s">
        <v>5981</v>
      </c>
      <c r="D230" s="134" t="s">
        <v>66</v>
      </c>
      <c r="E230" s="134">
        <v>1</v>
      </c>
      <c r="F230" s="134" t="s">
        <v>4108</v>
      </c>
      <c r="G230" s="134" t="s">
        <v>7</v>
      </c>
      <c r="H230" s="134" t="s">
        <v>973</v>
      </c>
      <c r="I230" s="134" t="s">
        <v>6565</v>
      </c>
      <c r="J230" s="223">
        <v>28</v>
      </c>
    </row>
    <row r="231" spans="1:10" x14ac:dyDescent="0.2">
      <c r="A231" s="134" t="s">
        <v>5979</v>
      </c>
      <c r="B231" s="134" t="s">
        <v>5980</v>
      </c>
      <c r="C231" s="134" t="s">
        <v>5981</v>
      </c>
      <c r="D231" s="134" t="s">
        <v>66</v>
      </c>
      <c r="E231" s="134">
        <v>3</v>
      </c>
      <c r="F231" s="134" t="s">
        <v>4108</v>
      </c>
      <c r="G231" s="134" t="s">
        <v>7</v>
      </c>
      <c r="H231" s="134" t="s">
        <v>974</v>
      </c>
      <c r="I231" s="134" t="s">
        <v>6566</v>
      </c>
      <c r="J231" s="223">
        <v>72</v>
      </c>
    </row>
    <row r="232" spans="1:10" x14ac:dyDescent="0.2">
      <c r="A232" s="134" t="s">
        <v>5979</v>
      </c>
      <c r="B232" s="134" t="s">
        <v>5980</v>
      </c>
      <c r="C232" s="134" t="s">
        <v>5981</v>
      </c>
      <c r="D232" s="134" t="s">
        <v>66</v>
      </c>
      <c r="E232" s="134">
        <v>5</v>
      </c>
      <c r="F232" s="134" t="s">
        <v>4108</v>
      </c>
      <c r="G232" s="134" t="s">
        <v>7</v>
      </c>
      <c r="H232" s="134" t="s">
        <v>975</v>
      </c>
      <c r="I232" s="134" t="s">
        <v>6567</v>
      </c>
      <c r="J232" s="223">
        <v>112</v>
      </c>
    </row>
    <row r="233" spans="1:10" x14ac:dyDescent="0.2">
      <c r="A233" s="134" t="s">
        <v>5979</v>
      </c>
      <c r="B233" s="134" t="s">
        <v>5980</v>
      </c>
      <c r="C233" s="134" t="s">
        <v>5981</v>
      </c>
      <c r="D233" s="134" t="s">
        <v>47</v>
      </c>
      <c r="E233" s="134">
        <v>1</v>
      </c>
      <c r="F233" s="134" t="s">
        <v>4108</v>
      </c>
      <c r="G233" s="134" t="s">
        <v>7</v>
      </c>
      <c r="H233" s="134" t="s">
        <v>984</v>
      </c>
      <c r="I233" s="134" t="s">
        <v>6568</v>
      </c>
      <c r="J233" s="223">
        <v>39</v>
      </c>
    </row>
    <row r="234" spans="1:10" x14ac:dyDescent="0.2">
      <c r="A234" s="134" t="s">
        <v>5979</v>
      </c>
      <c r="B234" s="134" t="s">
        <v>5980</v>
      </c>
      <c r="C234" s="134" t="s">
        <v>5981</v>
      </c>
      <c r="D234" s="134" t="s">
        <v>47</v>
      </c>
      <c r="E234" s="134">
        <v>3</v>
      </c>
      <c r="F234" s="134" t="s">
        <v>4108</v>
      </c>
      <c r="G234" s="134" t="s">
        <v>7</v>
      </c>
      <c r="H234" s="134" t="s">
        <v>985</v>
      </c>
      <c r="I234" s="134" t="s">
        <v>6569</v>
      </c>
      <c r="J234" s="223">
        <v>100</v>
      </c>
    </row>
    <row r="235" spans="1:10" x14ac:dyDescent="0.2">
      <c r="A235" s="134" t="s">
        <v>5979</v>
      </c>
      <c r="B235" s="134" t="s">
        <v>5980</v>
      </c>
      <c r="C235" s="134" t="s">
        <v>5981</v>
      </c>
      <c r="D235" s="134" t="s">
        <v>47</v>
      </c>
      <c r="E235" s="134">
        <v>5</v>
      </c>
      <c r="F235" s="134" t="s">
        <v>4108</v>
      </c>
      <c r="G235" s="134" t="s">
        <v>7</v>
      </c>
      <c r="H235" s="134" t="s">
        <v>986</v>
      </c>
      <c r="I235" s="134" t="s">
        <v>6570</v>
      </c>
      <c r="J235" s="223">
        <v>156</v>
      </c>
    </row>
    <row r="236" spans="1:10" x14ac:dyDescent="0.2">
      <c r="A236" s="134" t="s">
        <v>5979</v>
      </c>
      <c r="B236" s="134" t="s">
        <v>5980</v>
      </c>
      <c r="C236" s="134" t="s">
        <v>5981</v>
      </c>
      <c r="D236" s="134" t="s">
        <v>48</v>
      </c>
      <c r="E236" s="134">
        <v>1</v>
      </c>
      <c r="F236" s="134" t="s">
        <v>4108</v>
      </c>
      <c r="G236" s="134" t="s">
        <v>7</v>
      </c>
      <c r="H236" s="134" t="s">
        <v>987</v>
      </c>
      <c r="I236" s="134" t="s">
        <v>6571</v>
      </c>
      <c r="J236" s="223">
        <v>57</v>
      </c>
    </row>
    <row r="237" spans="1:10" x14ac:dyDescent="0.2">
      <c r="A237" s="134" t="s">
        <v>5979</v>
      </c>
      <c r="B237" s="134" t="s">
        <v>5980</v>
      </c>
      <c r="C237" s="134" t="s">
        <v>5981</v>
      </c>
      <c r="D237" s="134" t="s">
        <v>48</v>
      </c>
      <c r="E237" s="134">
        <v>3</v>
      </c>
      <c r="F237" s="134" t="s">
        <v>4108</v>
      </c>
      <c r="G237" s="134" t="s">
        <v>7</v>
      </c>
      <c r="H237" s="134" t="s">
        <v>988</v>
      </c>
      <c r="I237" s="134" t="s">
        <v>6572</v>
      </c>
      <c r="J237" s="223">
        <v>146</v>
      </c>
    </row>
    <row r="238" spans="1:10" x14ac:dyDescent="0.2">
      <c r="A238" s="134" t="s">
        <v>5979</v>
      </c>
      <c r="B238" s="134" t="s">
        <v>5980</v>
      </c>
      <c r="C238" s="134" t="s">
        <v>5981</v>
      </c>
      <c r="D238" s="134" t="s">
        <v>48</v>
      </c>
      <c r="E238" s="134">
        <v>5</v>
      </c>
      <c r="F238" s="134" t="s">
        <v>4108</v>
      </c>
      <c r="G238" s="134" t="s">
        <v>7</v>
      </c>
      <c r="H238" s="134" t="s">
        <v>989</v>
      </c>
      <c r="I238" s="134" t="s">
        <v>6573</v>
      </c>
      <c r="J238" s="223">
        <v>228</v>
      </c>
    </row>
    <row r="239" spans="1:10" x14ac:dyDescent="0.2">
      <c r="A239" s="134" t="s">
        <v>5979</v>
      </c>
      <c r="B239" s="134" t="s">
        <v>5980</v>
      </c>
      <c r="C239" s="134" t="s">
        <v>5981</v>
      </c>
      <c r="D239" s="134" t="s">
        <v>42</v>
      </c>
      <c r="E239" s="134">
        <v>1</v>
      </c>
      <c r="F239" s="134" t="s">
        <v>4108</v>
      </c>
      <c r="G239" s="134" t="s">
        <v>7</v>
      </c>
      <c r="H239" s="134" t="s">
        <v>990</v>
      </c>
      <c r="I239" s="134" t="s">
        <v>6574</v>
      </c>
      <c r="J239" s="223">
        <v>57</v>
      </c>
    </row>
    <row r="240" spans="1:10" x14ac:dyDescent="0.2">
      <c r="A240" s="134" t="s">
        <v>5979</v>
      </c>
      <c r="B240" s="134" t="s">
        <v>5980</v>
      </c>
      <c r="C240" s="134" t="s">
        <v>5981</v>
      </c>
      <c r="D240" s="134" t="s">
        <v>42</v>
      </c>
      <c r="E240" s="134">
        <v>3</v>
      </c>
      <c r="F240" s="134" t="s">
        <v>4108</v>
      </c>
      <c r="G240" s="134" t="s">
        <v>7</v>
      </c>
      <c r="H240" s="134" t="s">
        <v>991</v>
      </c>
      <c r="I240" s="134" t="s">
        <v>6575</v>
      </c>
      <c r="J240" s="223">
        <v>146</v>
      </c>
    </row>
    <row r="241" spans="1:10" x14ac:dyDescent="0.2">
      <c r="A241" s="134" t="s">
        <v>5979</v>
      </c>
      <c r="B241" s="134" t="s">
        <v>5980</v>
      </c>
      <c r="C241" s="134" t="s">
        <v>5981</v>
      </c>
      <c r="D241" s="134" t="s">
        <v>42</v>
      </c>
      <c r="E241" s="134">
        <v>5</v>
      </c>
      <c r="F241" s="134" t="s">
        <v>4108</v>
      </c>
      <c r="G241" s="134" t="s">
        <v>7</v>
      </c>
      <c r="H241" s="134" t="s">
        <v>992</v>
      </c>
      <c r="I241" s="134" t="s">
        <v>6576</v>
      </c>
      <c r="J241" s="223">
        <v>228</v>
      </c>
    </row>
    <row r="242" spans="1:10" x14ac:dyDescent="0.2">
      <c r="A242" s="134" t="s">
        <v>5979</v>
      </c>
      <c r="B242" s="134" t="s">
        <v>5980</v>
      </c>
      <c r="C242" s="134" t="s">
        <v>5981</v>
      </c>
      <c r="D242" s="134" t="s">
        <v>43</v>
      </c>
      <c r="E242" s="134">
        <v>1</v>
      </c>
      <c r="F242" s="134" t="s">
        <v>4108</v>
      </c>
      <c r="G242" s="134" t="s">
        <v>7</v>
      </c>
      <c r="H242" s="134" t="s">
        <v>993</v>
      </c>
      <c r="I242" s="134" t="s">
        <v>6577</v>
      </c>
      <c r="J242" s="223">
        <v>78</v>
      </c>
    </row>
    <row r="243" spans="1:10" x14ac:dyDescent="0.2">
      <c r="A243" s="134" t="s">
        <v>5979</v>
      </c>
      <c r="B243" s="134" t="s">
        <v>5980</v>
      </c>
      <c r="C243" s="134" t="s">
        <v>5981</v>
      </c>
      <c r="D243" s="134" t="s">
        <v>43</v>
      </c>
      <c r="E243" s="134">
        <v>3</v>
      </c>
      <c r="F243" s="134" t="s">
        <v>4108</v>
      </c>
      <c r="G243" s="134" t="s">
        <v>7</v>
      </c>
      <c r="H243" s="134" t="s">
        <v>994</v>
      </c>
      <c r="I243" s="134" t="s">
        <v>6578</v>
      </c>
      <c r="J243" s="223">
        <v>199</v>
      </c>
    </row>
    <row r="244" spans="1:10" x14ac:dyDescent="0.2">
      <c r="A244" s="134" t="s">
        <v>5979</v>
      </c>
      <c r="B244" s="134" t="s">
        <v>5980</v>
      </c>
      <c r="C244" s="134" t="s">
        <v>5981</v>
      </c>
      <c r="D244" s="134" t="s">
        <v>43</v>
      </c>
      <c r="E244" s="134">
        <v>5</v>
      </c>
      <c r="F244" s="134" t="s">
        <v>4108</v>
      </c>
      <c r="G244" s="134" t="s">
        <v>7</v>
      </c>
      <c r="H244" s="134" t="s">
        <v>995</v>
      </c>
      <c r="I244" s="134" t="s">
        <v>6579</v>
      </c>
      <c r="J244" s="223">
        <v>312</v>
      </c>
    </row>
    <row r="245" spans="1:10" x14ac:dyDescent="0.2">
      <c r="A245" s="134" t="s">
        <v>5979</v>
      </c>
      <c r="B245" s="134" t="s">
        <v>5980</v>
      </c>
      <c r="C245" s="134" t="s">
        <v>5981</v>
      </c>
      <c r="D245" s="134" t="s">
        <v>49</v>
      </c>
      <c r="E245" s="134">
        <v>1</v>
      </c>
      <c r="F245" s="134" t="s">
        <v>4108</v>
      </c>
      <c r="G245" s="134" t="s">
        <v>7</v>
      </c>
      <c r="H245" s="134" t="s">
        <v>996</v>
      </c>
      <c r="I245" s="134" t="s">
        <v>6580</v>
      </c>
      <c r="J245" s="223">
        <v>70</v>
      </c>
    </row>
    <row r="246" spans="1:10" x14ac:dyDescent="0.2">
      <c r="A246" s="134" t="s">
        <v>5979</v>
      </c>
      <c r="B246" s="134" t="s">
        <v>5980</v>
      </c>
      <c r="C246" s="134" t="s">
        <v>5981</v>
      </c>
      <c r="D246" s="134" t="s">
        <v>49</v>
      </c>
      <c r="E246" s="134">
        <v>3</v>
      </c>
      <c r="F246" s="134" t="s">
        <v>4108</v>
      </c>
      <c r="G246" s="134" t="s">
        <v>7</v>
      </c>
      <c r="H246" s="134" t="s">
        <v>997</v>
      </c>
      <c r="I246" s="134" t="s">
        <v>6581</v>
      </c>
      <c r="J246" s="223">
        <v>179</v>
      </c>
    </row>
    <row r="247" spans="1:10" x14ac:dyDescent="0.2">
      <c r="A247" s="134" t="s">
        <v>5979</v>
      </c>
      <c r="B247" s="134" t="s">
        <v>5980</v>
      </c>
      <c r="C247" s="134" t="s">
        <v>5981</v>
      </c>
      <c r="D247" s="134" t="s">
        <v>49</v>
      </c>
      <c r="E247" s="134">
        <v>5</v>
      </c>
      <c r="F247" s="134" t="s">
        <v>4108</v>
      </c>
      <c r="G247" s="134" t="s">
        <v>7</v>
      </c>
      <c r="H247" s="134" t="s">
        <v>998</v>
      </c>
      <c r="I247" s="134" t="s">
        <v>6582</v>
      </c>
      <c r="J247" s="223">
        <v>280</v>
      </c>
    </row>
    <row r="248" spans="1:10" x14ac:dyDescent="0.2">
      <c r="A248" s="134" t="s">
        <v>5979</v>
      </c>
      <c r="B248" s="134" t="s">
        <v>5980</v>
      </c>
      <c r="C248" s="134" t="s">
        <v>5981</v>
      </c>
      <c r="D248" s="134" t="s">
        <v>6583</v>
      </c>
      <c r="E248" s="134">
        <v>1</v>
      </c>
      <c r="F248" s="134" t="s">
        <v>4108</v>
      </c>
      <c r="G248" s="134" t="s">
        <v>7</v>
      </c>
      <c r="H248" s="134" t="s">
        <v>6584</v>
      </c>
      <c r="I248" s="134" t="s">
        <v>6585</v>
      </c>
      <c r="J248" s="223">
        <v>65</v>
      </c>
    </row>
    <row r="249" spans="1:10" x14ac:dyDescent="0.2">
      <c r="A249" s="134" t="s">
        <v>5979</v>
      </c>
      <c r="B249" s="134" t="s">
        <v>5980</v>
      </c>
      <c r="C249" s="134" t="s">
        <v>5981</v>
      </c>
      <c r="D249" s="134" t="s">
        <v>6583</v>
      </c>
      <c r="E249" s="134">
        <v>3</v>
      </c>
      <c r="F249" s="134" t="s">
        <v>4108</v>
      </c>
      <c r="G249" s="134" t="s">
        <v>7</v>
      </c>
      <c r="H249" s="134" t="s">
        <v>6586</v>
      </c>
      <c r="I249" s="134" t="s">
        <v>6587</v>
      </c>
      <c r="J249" s="223">
        <v>166</v>
      </c>
    </row>
    <row r="250" spans="1:10" x14ac:dyDescent="0.2">
      <c r="A250" s="134" t="s">
        <v>5979</v>
      </c>
      <c r="B250" s="134" t="s">
        <v>5980</v>
      </c>
      <c r="C250" s="134" t="s">
        <v>5981</v>
      </c>
      <c r="D250" s="134" t="s">
        <v>6583</v>
      </c>
      <c r="E250" s="134">
        <v>5</v>
      </c>
      <c r="F250" s="134" t="s">
        <v>4108</v>
      </c>
      <c r="G250" s="134" t="s">
        <v>7</v>
      </c>
      <c r="H250" s="134" t="s">
        <v>6588</v>
      </c>
      <c r="I250" s="134" t="s">
        <v>6589</v>
      </c>
      <c r="J250" s="223">
        <v>260</v>
      </c>
    </row>
    <row r="251" spans="1:10" x14ac:dyDescent="0.2">
      <c r="A251" s="134" t="s">
        <v>5979</v>
      </c>
      <c r="B251" s="134" t="s">
        <v>5980</v>
      </c>
      <c r="C251" s="134" t="s">
        <v>5981</v>
      </c>
      <c r="D251" s="134" t="s">
        <v>6590</v>
      </c>
      <c r="E251" s="134">
        <v>1</v>
      </c>
      <c r="F251" s="134" t="s">
        <v>4108</v>
      </c>
      <c r="G251" s="134" t="s">
        <v>7</v>
      </c>
      <c r="H251" s="134" t="s">
        <v>6591</v>
      </c>
      <c r="I251" s="134" t="s">
        <v>6592</v>
      </c>
      <c r="J251" s="223">
        <v>96</v>
      </c>
    </row>
    <row r="252" spans="1:10" x14ac:dyDescent="0.2">
      <c r="A252" s="134" t="s">
        <v>5979</v>
      </c>
      <c r="B252" s="134" t="s">
        <v>5980</v>
      </c>
      <c r="C252" s="134" t="s">
        <v>5981</v>
      </c>
      <c r="D252" s="134" t="s">
        <v>6590</v>
      </c>
      <c r="E252" s="134">
        <v>3</v>
      </c>
      <c r="F252" s="134" t="s">
        <v>4108</v>
      </c>
      <c r="G252" s="134" t="s">
        <v>7</v>
      </c>
      <c r="H252" s="134" t="s">
        <v>6593</v>
      </c>
      <c r="I252" s="134" t="s">
        <v>6594</v>
      </c>
      <c r="J252" s="223">
        <v>245</v>
      </c>
    </row>
    <row r="253" spans="1:10" x14ac:dyDescent="0.2">
      <c r="A253" s="134" t="s">
        <v>5979</v>
      </c>
      <c r="B253" s="134" t="s">
        <v>5980</v>
      </c>
      <c r="C253" s="134" t="s">
        <v>5981</v>
      </c>
      <c r="D253" s="134" t="s">
        <v>6590</v>
      </c>
      <c r="E253" s="134">
        <v>5</v>
      </c>
      <c r="F253" s="134" t="s">
        <v>4108</v>
      </c>
      <c r="G253" s="134" t="s">
        <v>7</v>
      </c>
      <c r="H253" s="134" t="s">
        <v>6595</v>
      </c>
      <c r="I253" s="134" t="s">
        <v>6596</v>
      </c>
      <c r="J253" s="223">
        <v>384</v>
      </c>
    </row>
    <row r="254" spans="1:10" x14ac:dyDescent="0.2">
      <c r="A254" s="134" t="s">
        <v>5979</v>
      </c>
      <c r="B254" s="134" t="s">
        <v>5980</v>
      </c>
      <c r="C254" s="134" t="s">
        <v>5981</v>
      </c>
      <c r="D254" s="134" t="s">
        <v>6597</v>
      </c>
      <c r="E254" s="134">
        <v>1</v>
      </c>
      <c r="F254" s="134" t="s">
        <v>4108</v>
      </c>
      <c r="G254" s="134" t="s">
        <v>7</v>
      </c>
      <c r="H254" s="134" t="s">
        <v>6598</v>
      </c>
      <c r="I254" s="134" t="s">
        <v>6599</v>
      </c>
      <c r="J254" s="223">
        <v>100</v>
      </c>
    </row>
    <row r="255" spans="1:10" x14ac:dyDescent="0.2">
      <c r="A255" s="134" t="s">
        <v>5979</v>
      </c>
      <c r="B255" s="134" t="s">
        <v>5980</v>
      </c>
      <c r="C255" s="134" t="s">
        <v>5981</v>
      </c>
      <c r="D255" s="134" t="s">
        <v>6597</v>
      </c>
      <c r="E255" s="134">
        <v>3</v>
      </c>
      <c r="F255" s="134" t="s">
        <v>4108</v>
      </c>
      <c r="G255" s="134" t="s">
        <v>7</v>
      </c>
      <c r="H255" s="134" t="s">
        <v>6600</v>
      </c>
      <c r="I255" s="134" t="s">
        <v>6601</v>
      </c>
      <c r="J255" s="223">
        <v>255</v>
      </c>
    </row>
    <row r="256" spans="1:10" x14ac:dyDescent="0.2">
      <c r="A256" s="134" t="s">
        <v>5979</v>
      </c>
      <c r="B256" s="134" t="s">
        <v>5980</v>
      </c>
      <c r="C256" s="134" t="s">
        <v>5981</v>
      </c>
      <c r="D256" s="134" t="s">
        <v>6597</v>
      </c>
      <c r="E256" s="134">
        <v>5</v>
      </c>
      <c r="F256" s="134" t="s">
        <v>4108</v>
      </c>
      <c r="G256" s="134" t="s">
        <v>7</v>
      </c>
      <c r="H256" s="134" t="s">
        <v>6602</v>
      </c>
      <c r="I256" s="134" t="s">
        <v>6603</v>
      </c>
      <c r="J256" s="223">
        <v>400</v>
      </c>
    </row>
    <row r="257" spans="1:10" x14ac:dyDescent="0.2">
      <c r="A257" s="134" t="s">
        <v>5979</v>
      </c>
      <c r="B257" s="134" t="s">
        <v>5995</v>
      </c>
      <c r="C257" s="134" t="s">
        <v>5981</v>
      </c>
      <c r="D257" s="134" t="s">
        <v>44</v>
      </c>
      <c r="E257" s="134">
        <v>1</v>
      </c>
      <c r="H257" s="134" t="s">
        <v>6717</v>
      </c>
      <c r="I257" s="134" t="s">
        <v>6718</v>
      </c>
      <c r="J257" s="223">
        <v>22</v>
      </c>
    </row>
    <row r="258" spans="1:10" x14ac:dyDescent="0.2">
      <c r="A258" s="134" t="s">
        <v>5979</v>
      </c>
      <c r="B258" s="134" t="s">
        <v>5995</v>
      </c>
      <c r="C258" s="134" t="s">
        <v>5981</v>
      </c>
      <c r="D258" s="134" t="s">
        <v>44</v>
      </c>
      <c r="E258" s="134">
        <v>3</v>
      </c>
      <c r="H258" s="134" t="s">
        <v>6719</v>
      </c>
      <c r="I258" s="134" t="s">
        <v>6720</v>
      </c>
      <c r="J258" s="223">
        <v>57</v>
      </c>
    </row>
    <row r="259" spans="1:10" x14ac:dyDescent="0.2">
      <c r="A259" s="134" t="s">
        <v>5979</v>
      </c>
      <c r="B259" s="134" t="s">
        <v>5995</v>
      </c>
      <c r="C259" s="134" t="s">
        <v>5981</v>
      </c>
      <c r="D259" s="134" t="s">
        <v>44</v>
      </c>
      <c r="E259" s="134">
        <v>5</v>
      </c>
      <c r="H259" s="134" t="s">
        <v>6721</v>
      </c>
      <c r="I259" s="134" t="s">
        <v>6722</v>
      </c>
      <c r="J259" s="223">
        <v>88</v>
      </c>
    </row>
    <row r="260" spans="1:10" x14ac:dyDescent="0.2">
      <c r="A260" s="134" t="s">
        <v>5979</v>
      </c>
      <c r="B260" s="134" t="s">
        <v>5995</v>
      </c>
      <c r="C260" s="134" t="s">
        <v>5981</v>
      </c>
      <c r="D260" s="134" t="s">
        <v>45</v>
      </c>
      <c r="E260" s="134">
        <v>1</v>
      </c>
      <c r="H260" s="134" t="s">
        <v>6723</v>
      </c>
      <c r="I260" s="134" t="s">
        <v>6724</v>
      </c>
      <c r="J260" s="223">
        <v>31</v>
      </c>
    </row>
    <row r="261" spans="1:10" x14ac:dyDescent="0.2">
      <c r="A261" s="134" t="s">
        <v>5979</v>
      </c>
      <c r="B261" s="134" t="s">
        <v>5995</v>
      </c>
      <c r="C261" s="134" t="s">
        <v>5981</v>
      </c>
      <c r="D261" s="134" t="s">
        <v>45</v>
      </c>
      <c r="E261" s="134">
        <v>3</v>
      </c>
      <c r="H261" s="134" t="s">
        <v>6725</v>
      </c>
      <c r="I261" s="134" t="s">
        <v>6726</v>
      </c>
      <c r="J261" s="223">
        <v>80</v>
      </c>
    </row>
    <row r="262" spans="1:10" x14ac:dyDescent="0.2">
      <c r="A262" s="134" t="s">
        <v>5979</v>
      </c>
      <c r="B262" s="134" t="s">
        <v>5995</v>
      </c>
      <c r="C262" s="134" t="s">
        <v>5981</v>
      </c>
      <c r="D262" s="134" t="s">
        <v>45</v>
      </c>
      <c r="E262" s="134">
        <v>5</v>
      </c>
      <c r="H262" s="134" t="s">
        <v>6727</v>
      </c>
      <c r="I262" s="134" t="s">
        <v>6728</v>
      </c>
      <c r="J262" s="223">
        <v>124</v>
      </c>
    </row>
    <row r="263" spans="1:10" x14ac:dyDescent="0.2">
      <c r="A263" s="134" t="s">
        <v>5979</v>
      </c>
      <c r="B263" s="134" t="s">
        <v>5995</v>
      </c>
      <c r="C263" s="134" t="s">
        <v>5981</v>
      </c>
      <c r="D263" s="134" t="s">
        <v>46</v>
      </c>
      <c r="E263" s="134">
        <v>1</v>
      </c>
      <c r="H263" s="134" t="s">
        <v>6729</v>
      </c>
      <c r="I263" s="134" t="s">
        <v>6730</v>
      </c>
      <c r="J263" s="223">
        <v>65</v>
      </c>
    </row>
    <row r="264" spans="1:10" x14ac:dyDescent="0.2">
      <c r="A264" s="134" t="s">
        <v>5979</v>
      </c>
      <c r="B264" s="134" t="s">
        <v>5995</v>
      </c>
      <c r="C264" s="134" t="s">
        <v>5981</v>
      </c>
      <c r="D264" s="134" t="s">
        <v>46</v>
      </c>
      <c r="E264" s="134">
        <v>3</v>
      </c>
      <c r="H264" s="134" t="s">
        <v>6731</v>
      </c>
      <c r="I264" s="134" t="s">
        <v>6732</v>
      </c>
      <c r="J264" s="223">
        <v>166</v>
      </c>
    </row>
    <row r="265" spans="1:10" x14ac:dyDescent="0.2">
      <c r="A265" s="134" t="s">
        <v>5979</v>
      </c>
      <c r="B265" s="134" t="s">
        <v>5995</v>
      </c>
      <c r="C265" s="134" t="s">
        <v>5981</v>
      </c>
      <c r="D265" s="134" t="s">
        <v>46</v>
      </c>
      <c r="E265" s="134">
        <v>5</v>
      </c>
      <c r="H265" s="134" t="s">
        <v>6733</v>
      </c>
      <c r="I265" s="134" t="s">
        <v>6734</v>
      </c>
      <c r="J265" s="223">
        <v>260</v>
      </c>
    </row>
    <row r="266" spans="1:10" x14ac:dyDescent="0.2">
      <c r="A266" s="134" t="s">
        <v>5979</v>
      </c>
      <c r="B266" s="134" t="s">
        <v>5995</v>
      </c>
      <c r="C266" s="134" t="s">
        <v>5981</v>
      </c>
      <c r="D266" s="134" t="s">
        <v>67</v>
      </c>
      <c r="E266" s="134">
        <v>1</v>
      </c>
      <c r="H266" s="134" t="s">
        <v>6735</v>
      </c>
      <c r="I266" s="134" t="s">
        <v>6736</v>
      </c>
      <c r="J266" s="223">
        <v>11</v>
      </c>
    </row>
    <row r="267" spans="1:10" x14ac:dyDescent="0.2">
      <c r="A267" s="134" t="s">
        <v>5979</v>
      </c>
      <c r="B267" s="134" t="s">
        <v>5995</v>
      </c>
      <c r="C267" s="134" t="s">
        <v>5981</v>
      </c>
      <c r="D267" s="134" t="s">
        <v>67</v>
      </c>
      <c r="E267" s="134">
        <v>3</v>
      </c>
      <c r="H267" s="134" t="s">
        <v>6737</v>
      </c>
      <c r="I267" s="134" t="s">
        <v>6738</v>
      </c>
      <c r="J267" s="223">
        <v>29</v>
      </c>
    </row>
    <row r="268" spans="1:10" x14ac:dyDescent="0.2">
      <c r="A268" s="134" t="s">
        <v>5979</v>
      </c>
      <c r="B268" s="134" t="s">
        <v>5995</v>
      </c>
      <c r="C268" s="134" t="s">
        <v>5981</v>
      </c>
      <c r="D268" s="134" t="s">
        <v>67</v>
      </c>
      <c r="E268" s="134">
        <v>5</v>
      </c>
      <c r="H268" s="134" t="s">
        <v>6739</v>
      </c>
      <c r="I268" s="134" t="s">
        <v>6740</v>
      </c>
      <c r="J268" s="223">
        <v>44</v>
      </c>
    </row>
    <row r="269" spans="1:10" x14ac:dyDescent="0.2">
      <c r="A269" s="134" t="s">
        <v>5979</v>
      </c>
      <c r="B269" s="134" t="s">
        <v>5995</v>
      </c>
      <c r="C269" s="134" t="s">
        <v>5981</v>
      </c>
      <c r="D269" s="134" t="s">
        <v>68</v>
      </c>
      <c r="E269" s="134">
        <v>1</v>
      </c>
      <c r="H269" s="134" t="s">
        <v>6741</v>
      </c>
      <c r="I269" s="134" t="s">
        <v>6742</v>
      </c>
      <c r="J269" s="223">
        <v>15</v>
      </c>
    </row>
    <row r="270" spans="1:10" x14ac:dyDescent="0.2">
      <c r="A270" s="134" t="s">
        <v>5979</v>
      </c>
      <c r="B270" s="134" t="s">
        <v>5995</v>
      </c>
      <c r="C270" s="134" t="s">
        <v>5981</v>
      </c>
      <c r="D270" s="134" t="s">
        <v>68</v>
      </c>
      <c r="E270" s="134">
        <v>3</v>
      </c>
      <c r="H270" s="134" t="s">
        <v>6743</v>
      </c>
      <c r="I270" s="134" t="s">
        <v>6744</v>
      </c>
      <c r="J270" s="223">
        <v>39</v>
      </c>
    </row>
    <row r="271" spans="1:10" x14ac:dyDescent="0.2">
      <c r="A271" s="134" t="s">
        <v>5979</v>
      </c>
      <c r="B271" s="134" t="s">
        <v>5995</v>
      </c>
      <c r="C271" s="134" t="s">
        <v>5981</v>
      </c>
      <c r="D271" s="134" t="s">
        <v>68</v>
      </c>
      <c r="E271" s="134">
        <v>5</v>
      </c>
      <c r="H271" s="134" t="s">
        <v>6745</v>
      </c>
      <c r="I271" s="134" t="s">
        <v>6746</v>
      </c>
      <c r="J271" s="223">
        <v>60</v>
      </c>
    </row>
    <row r="272" spans="1:10" x14ac:dyDescent="0.2">
      <c r="A272" s="134" t="s">
        <v>5979</v>
      </c>
      <c r="B272" s="134" t="s">
        <v>5995</v>
      </c>
      <c r="C272" s="134" t="s">
        <v>5981</v>
      </c>
      <c r="D272" s="134" t="s">
        <v>65</v>
      </c>
      <c r="E272" s="134">
        <v>1</v>
      </c>
      <c r="H272" s="134" t="s">
        <v>6747</v>
      </c>
      <c r="I272" s="134" t="s">
        <v>6748</v>
      </c>
      <c r="J272" s="223">
        <v>20</v>
      </c>
    </row>
    <row r="273" spans="1:10" x14ac:dyDescent="0.2">
      <c r="A273" s="134" t="s">
        <v>5979</v>
      </c>
      <c r="B273" s="134" t="s">
        <v>5995</v>
      </c>
      <c r="C273" s="134" t="s">
        <v>5981</v>
      </c>
      <c r="D273" s="134" t="s">
        <v>65</v>
      </c>
      <c r="E273" s="134">
        <v>3</v>
      </c>
      <c r="H273" s="134" t="s">
        <v>6749</v>
      </c>
      <c r="I273" s="134" t="s">
        <v>6750</v>
      </c>
      <c r="J273" s="223">
        <v>51</v>
      </c>
    </row>
    <row r="274" spans="1:10" x14ac:dyDescent="0.2">
      <c r="A274" s="134" t="s">
        <v>5979</v>
      </c>
      <c r="B274" s="134" t="s">
        <v>5995</v>
      </c>
      <c r="C274" s="134" t="s">
        <v>5981</v>
      </c>
      <c r="D274" s="134" t="s">
        <v>65</v>
      </c>
      <c r="E274" s="134">
        <v>5</v>
      </c>
      <c r="H274" s="134" t="s">
        <v>6751</v>
      </c>
      <c r="I274" s="134" t="s">
        <v>6752</v>
      </c>
      <c r="J274" s="223">
        <v>80</v>
      </c>
    </row>
    <row r="275" spans="1:10" x14ac:dyDescent="0.2">
      <c r="A275" s="134" t="s">
        <v>5979</v>
      </c>
      <c r="B275" s="134" t="s">
        <v>5995</v>
      </c>
      <c r="C275" s="134" t="s">
        <v>5981</v>
      </c>
      <c r="D275" s="134" t="s">
        <v>66</v>
      </c>
      <c r="E275" s="134">
        <v>1</v>
      </c>
      <c r="H275" s="134" t="s">
        <v>6753</v>
      </c>
      <c r="I275" s="134" t="s">
        <v>6754</v>
      </c>
      <c r="J275" s="223">
        <v>28</v>
      </c>
    </row>
    <row r="276" spans="1:10" x14ac:dyDescent="0.2">
      <c r="A276" s="134" t="s">
        <v>5979</v>
      </c>
      <c r="B276" s="134" t="s">
        <v>5995</v>
      </c>
      <c r="C276" s="134" t="s">
        <v>5981</v>
      </c>
      <c r="D276" s="134" t="s">
        <v>66</v>
      </c>
      <c r="E276" s="134">
        <v>3</v>
      </c>
      <c r="H276" s="134" t="s">
        <v>6755</v>
      </c>
      <c r="I276" s="134" t="s">
        <v>6756</v>
      </c>
      <c r="J276" s="223">
        <v>72</v>
      </c>
    </row>
    <row r="277" spans="1:10" x14ac:dyDescent="0.2">
      <c r="A277" s="134" t="s">
        <v>5979</v>
      </c>
      <c r="B277" s="134" t="s">
        <v>5995</v>
      </c>
      <c r="C277" s="134" t="s">
        <v>5981</v>
      </c>
      <c r="D277" s="134" t="s">
        <v>66</v>
      </c>
      <c r="E277" s="134">
        <v>5</v>
      </c>
      <c r="H277" s="134" t="s">
        <v>6757</v>
      </c>
      <c r="I277" s="134" t="s">
        <v>6758</v>
      </c>
      <c r="J277" s="223">
        <v>112</v>
      </c>
    </row>
    <row r="278" spans="1:10" x14ac:dyDescent="0.2">
      <c r="A278" s="134" t="s">
        <v>5979</v>
      </c>
      <c r="B278" s="134" t="s">
        <v>5995</v>
      </c>
      <c r="C278" s="134" t="s">
        <v>5981</v>
      </c>
      <c r="D278" s="134" t="s">
        <v>47</v>
      </c>
      <c r="E278" s="134">
        <v>1</v>
      </c>
      <c r="H278" s="134" t="s">
        <v>6759</v>
      </c>
      <c r="I278" s="134" t="s">
        <v>6760</v>
      </c>
      <c r="J278" s="223">
        <v>39</v>
      </c>
    </row>
    <row r="279" spans="1:10" x14ac:dyDescent="0.2">
      <c r="A279" s="134" t="s">
        <v>5979</v>
      </c>
      <c r="B279" s="134" t="s">
        <v>5995</v>
      </c>
      <c r="C279" s="134" t="s">
        <v>5981</v>
      </c>
      <c r="D279" s="134" t="s">
        <v>47</v>
      </c>
      <c r="E279" s="134">
        <v>3</v>
      </c>
      <c r="H279" s="134" t="s">
        <v>6761</v>
      </c>
      <c r="I279" s="134" t="s">
        <v>6762</v>
      </c>
      <c r="J279" s="223">
        <v>100</v>
      </c>
    </row>
    <row r="280" spans="1:10" x14ac:dyDescent="0.2">
      <c r="A280" s="134" t="s">
        <v>5979</v>
      </c>
      <c r="B280" s="134" t="s">
        <v>5995</v>
      </c>
      <c r="C280" s="134" t="s">
        <v>5981</v>
      </c>
      <c r="D280" s="134" t="s">
        <v>47</v>
      </c>
      <c r="E280" s="134">
        <v>5</v>
      </c>
      <c r="H280" s="134" t="s">
        <v>6763</v>
      </c>
      <c r="I280" s="134" t="s">
        <v>6764</v>
      </c>
      <c r="J280" s="223">
        <v>156</v>
      </c>
    </row>
    <row r="281" spans="1:10" x14ac:dyDescent="0.2">
      <c r="A281" s="134" t="s">
        <v>5979</v>
      </c>
      <c r="B281" s="134" t="s">
        <v>5995</v>
      </c>
      <c r="C281" s="134" t="s">
        <v>5981</v>
      </c>
      <c r="D281" s="134" t="s">
        <v>48</v>
      </c>
      <c r="E281" s="134">
        <v>1</v>
      </c>
      <c r="H281" s="134" t="s">
        <v>6765</v>
      </c>
      <c r="I281" s="134" t="s">
        <v>6766</v>
      </c>
      <c r="J281" s="223">
        <v>57</v>
      </c>
    </row>
    <row r="282" spans="1:10" x14ac:dyDescent="0.2">
      <c r="A282" s="134" t="s">
        <v>5979</v>
      </c>
      <c r="B282" s="134" t="s">
        <v>5995</v>
      </c>
      <c r="C282" s="134" t="s">
        <v>5981</v>
      </c>
      <c r="D282" s="134" t="s">
        <v>48</v>
      </c>
      <c r="E282" s="134">
        <v>3</v>
      </c>
      <c r="H282" s="134" t="s">
        <v>6767</v>
      </c>
      <c r="I282" s="134" t="s">
        <v>6768</v>
      </c>
      <c r="J282" s="223">
        <v>146</v>
      </c>
    </row>
    <row r="283" spans="1:10" x14ac:dyDescent="0.2">
      <c r="A283" s="134" t="s">
        <v>5979</v>
      </c>
      <c r="B283" s="134" t="s">
        <v>5995</v>
      </c>
      <c r="C283" s="134" t="s">
        <v>5981</v>
      </c>
      <c r="D283" s="134" t="s">
        <v>48</v>
      </c>
      <c r="E283" s="134">
        <v>5</v>
      </c>
      <c r="H283" s="134" t="s">
        <v>6769</v>
      </c>
      <c r="I283" s="134" t="s">
        <v>6770</v>
      </c>
      <c r="J283" s="223">
        <v>228</v>
      </c>
    </row>
    <row r="284" spans="1:10" x14ac:dyDescent="0.2">
      <c r="A284" s="134" t="s">
        <v>5979</v>
      </c>
      <c r="B284" s="134" t="s">
        <v>5995</v>
      </c>
      <c r="C284" s="134" t="s">
        <v>5981</v>
      </c>
      <c r="D284" s="134" t="s">
        <v>42</v>
      </c>
      <c r="E284" s="134">
        <v>1</v>
      </c>
      <c r="H284" s="134" t="s">
        <v>6771</v>
      </c>
      <c r="I284" s="134" t="s">
        <v>6772</v>
      </c>
      <c r="J284" s="223">
        <v>57</v>
      </c>
    </row>
    <row r="285" spans="1:10" x14ac:dyDescent="0.2">
      <c r="A285" s="134" t="s">
        <v>5979</v>
      </c>
      <c r="B285" s="134" t="s">
        <v>5995</v>
      </c>
      <c r="C285" s="134" t="s">
        <v>5981</v>
      </c>
      <c r="D285" s="134" t="s">
        <v>42</v>
      </c>
      <c r="E285" s="134">
        <v>3</v>
      </c>
      <c r="H285" s="134" t="s">
        <v>6773</v>
      </c>
      <c r="I285" s="134" t="s">
        <v>6774</v>
      </c>
      <c r="J285" s="223">
        <v>146</v>
      </c>
    </row>
    <row r="286" spans="1:10" x14ac:dyDescent="0.2">
      <c r="A286" s="134" t="s">
        <v>5979</v>
      </c>
      <c r="B286" s="134" t="s">
        <v>5995</v>
      </c>
      <c r="C286" s="134" t="s">
        <v>5981</v>
      </c>
      <c r="D286" s="134" t="s">
        <v>42</v>
      </c>
      <c r="E286" s="134">
        <v>5</v>
      </c>
      <c r="H286" s="134" t="s">
        <v>6775</v>
      </c>
      <c r="I286" s="134" t="s">
        <v>6776</v>
      </c>
      <c r="J286" s="223">
        <v>228</v>
      </c>
    </row>
    <row r="287" spans="1:10" x14ac:dyDescent="0.2">
      <c r="A287" s="134" t="s">
        <v>5979</v>
      </c>
      <c r="B287" s="134" t="s">
        <v>5995</v>
      </c>
      <c r="C287" s="134" t="s">
        <v>5981</v>
      </c>
      <c r="D287" s="134" t="s">
        <v>43</v>
      </c>
      <c r="E287" s="134">
        <v>1</v>
      </c>
      <c r="H287" s="134" t="s">
        <v>6777</v>
      </c>
      <c r="I287" s="134" t="s">
        <v>6778</v>
      </c>
      <c r="J287" s="223">
        <v>78</v>
      </c>
    </row>
    <row r="288" spans="1:10" x14ac:dyDescent="0.2">
      <c r="A288" s="134" t="s">
        <v>5979</v>
      </c>
      <c r="B288" s="134" t="s">
        <v>5995</v>
      </c>
      <c r="C288" s="134" t="s">
        <v>5981</v>
      </c>
      <c r="D288" s="134" t="s">
        <v>43</v>
      </c>
      <c r="E288" s="134">
        <v>3</v>
      </c>
      <c r="H288" s="134" t="s">
        <v>6779</v>
      </c>
      <c r="I288" s="134" t="s">
        <v>6780</v>
      </c>
      <c r="J288" s="223">
        <v>199</v>
      </c>
    </row>
    <row r="289" spans="1:10" x14ac:dyDescent="0.2">
      <c r="A289" s="134" t="s">
        <v>5979</v>
      </c>
      <c r="B289" s="134" t="s">
        <v>5995</v>
      </c>
      <c r="C289" s="134" t="s">
        <v>5981</v>
      </c>
      <c r="D289" s="134" t="s">
        <v>43</v>
      </c>
      <c r="E289" s="134">
        <v>5</v>
      </c>
      <c r="H289" s="134" t="s">
        <v>6781</v>
      </c>
      <c r="I289" s="134" t="s">
        <v>6782</v>
      </c>
      <c r="J289" s="223">
        <v>312</v>
      </c>
    </row>
    <row r="290" spans="1:10" x14ac:dyDescent="0.2">
      <c r="A290" s="134" t="s">
        <v>5979</v>
      </c>
      <c r="B290" s="134" t="s">
        <v>5995</v>
      </c>
      <c r="C290" s="134" t="s">
        <v>5981</v>
      </c>
      <c r="D290" s="134" t="s">
        <v>49</v>
      </c>
      <c r="E290" s="134">
        <v>1</v>
      </c>
      <c r="H290" s="134" t="s">
        <v>6783</v>
      </c>
      <c r="I290" s="134" t="s">
        <v>6784</v>
      </c>
      <c r="J290" s="223">
        <v>70</v>
      </c>
    </row>
    <row r="291" spans="1:10" x14ac:dyDescent="0.2">
      <c r="A291" s="134" t="s">
        <v>5979</v>
      </c>
      <c r="B291" s="134" t="s">
        <v>5995</v>
      </c>
      <c r="C291" s="134" t="s">
        <v>5981</v>
      </c>
      <c r="D291" s="134" t="s">
        <v>49</v>
      </c>
      <c r="E291" s="134">
        <v>3</v>
      </c>
      <c r="H291" s="134" t="s">
        <v>6785</v>
      </c>
      <c r="I291" s="134" t="s">
        <v>6786</v>
      </c>
      <c r="J291" s="223">
        <v>179</v>
      </c>
    </row>
    <row r="292" spans="1:10" x14ac:dyDescent="0.2">
      <c r="A292" s="134" t="s">
        <v>5979</v>
      </c>
      <c r="B292" s="134" t="s">
        <v>5995</v>
      </c>
      <c r="C292" s="134" t="s">
        <v>5981</v>
      </c>
      <c r="D292" s="134" t="s">
        <v>49</v>
      </c>
      <c r="E292" s="134">
        <v>5</v>
      </c>
      <c r="H292" s="134" t="s">
        <v>6787</v>
      </c>
      <c r="I292" s="134" t="s">
        <v>6788</v>
      </c>
      <c r="J292" s="223">
        <v>280</v>
      </c>
    </row>
    <row r="293" spans="1:10" x14ac:dyDescent="0.2">
      <c r="A293" s="134" t="s">
        <v>5979</v>
      </c>
      <c r="B293" s="134" t="s">
        <v>5995</v>
      </c>
      <c r="C293" s="134" t="s">
        <v>5981</v>
      </c>
      <c r="D293" s="134" t="s">
        <v>6583</v>
      </c>
      <c r="E293" s="134">
        <v>1</v>
      </c>
      <c r="H293" s="134" t="s">
        <v>6789</v>
      </c>
      <c r="I293" s="134" t="s">
        <v>6790</v>
      </c>
      <c r="J293" s="223">
        <v>65</v>
      </c>
    </row>
    <row r="294" spans="1:10" x14ac:dyDescent="0.2">
      <c r="A294" s="134" t="s">
        <v>5979</v>
      </c>
      <c r="B294" s="134" t="s">
        <v>5995</v>
      </c>
      <c r="C294" s="134" t="s">
        <v>5981</v>
      </c>
      <c r="D294" s="134" t="s">
        <v>6583</v>
      </c>
      <c r="E294" s="134">
        <v>3</v>
      </c>
      <c r="H294" s="134" t="s">
        <v>6791</v>
      </c>
      <c r="I294" s="134" t="s">
        <v>6792</v>
      </c>
      <c r="J294" s="223">
        <v>166</v>
      </c>
    </row>
    <row r="295" spans="1:10" x14ac:dyDescent="0.2">
      <c r="A295" s="134" t="s">
        <v>5979</v>
      </c>
      <c r="B295" s="134" t="s">
        <v>5995</v>
      </c>
      <c r="C295" s="134" t="s">
        <v>5981</v>
      </c>
      <c r="D295" s="134" t="s">
        <v>6583</v>
      </c>
      <c r="E295" s="134">
        <v>5</v>
      </c>
      <c r="H295" s="134" t="s">
        <v>6793</v>
      </c>
      <c r="I295" s="134" t="s">
        <v>6794</v>
      </c>
      <c r="J295" s="223">
        <v>260</v>
      </c>
    </row>
    <row r="296" spans="1:10" x14ac:dyDescent="0.2">
      <c r="A296" s="134" t="s">
        <v>5979</v>
      </c>
      <c r="B296" s="134" t="s">
        <v>5995</v>
      </c>
      <c r="C296" s="134" t="s">
        <v>5981</v>
      </c>
      <c r="D296" s="134" t="s">
        <v>6590</v>
      </c>
      <c r="E296" s="134">
        <v>1</v>
      </c>
      <c r="H296" s="134" t="s">
        <v>6795</v>
      </c>
      <c r="I296" s="134" t="s">
        <v>6796</v>
      </c>
      <c r="J296" s="223">
        <v>96</v>
      </c>
    </row>
    <row r="297" spans="1:10" x14ac:dyDescent="0.2">
      <c r="A297" s="134" t="s">
        <v>5979</v>
      </c>
      <c r="B297" s="134" t="s">
        <v>5995</v>
      </c>
      <c r="C297" s="134" t="s">
        <v>5981</v>
      </c>
      <c r="D297" s="134" t="s">
        <v>6590</v>
      </c>
      <c r="E297" s="134">
        <v>3</v>
      </c>
      <c r="H297" s="134" t="s">
        <v>6797</v>
      </c>
      <c r="I297" s="134" t="s">
        <v>6798</v>
      </c>
      <c r="J297" s="223">
        <v>245</v>
      </c>
    </row>
    <row r="298" spans="1:10" x14ac:dyDescent="0.2">
      <c r="A298" s="134" t="s">
        <v>5979</v>
      </c>
      <c r="B298" s="134" t="s">
        <v>5995</v>
      </c>
      <c r="C298" s="134" t="s">
        <v>5981</v>
      </c>
      <c r="D298" s="134" t="s">
        <v>6590</v>
      </c>
      <c r="E298" s="134">
        <v>5</v>
      </c>
      <c r="H298" s="134" t="s">
        <v>6799</v>
      </c>
      <c r="I298" s="134" t="s">
        <v>6800</v>
      </c>
      <c r="J298" s="223">
        <v>384</v>
      </c>
    </row>
    <row r="299" spans="1:10" x14ac:dyDescent="0.2">
      <c r="A299" s="134" t="s">
        <v>5979</v>
      </c>
      <c r="B299" s="134" t="s">
        <v>5995</v>
      </c>
      <c r="C299" s="134" t="s">
        <v>5981</v>
      </c>
      <c r="D299" s="134" t="s">
        <v>6597</v>
      </c>
      <c r="E299" s="134">
        <v>1</v>
      </c>
      <c r="H299" s="134" t="s">
        <v>6801</v>
      </c>
      <c r="I299" s="134" t="s">
        <v>6802</v>
      </c>
      <c r="J299" s="223">
        <v>100</v>
      </c>
    </row>
    <row r="300" spans="1:10" x14ac:dyDescent="0.2">
      <c r="A300" s="134" t="s">
        <v>5979</v>
      </c>
      <c r="B300" s="134" t="s">
        <v>5995</v>
      </c>
      <c r="C300" s="134" t="s">
        <v>5981</v>
      </c>
      <c r="D300" s="134" t="s">
        <v>6597</v>
      </c>
      <c r="E300" s="134">
        <v>3</v>
      </c>
      <c r="H300" s="134" t="s">
        <v>6803</v>
      </c>
      <c r="I300" s="134" t="s">
        <v>6804</v>
      </c>
      <c r="J300" s="223">
        <v>255</v>
      </c>
    </row>
    <row r="301" spans="1:10" x14ac:dyDescent="0.2">
      <c r="A301" s="134" t="s">
        <v>5979</v>
      </c>
      <c r="B301" s="134" t="s">
        <v>5995</v>
      </c>
      <c r="C301" s="134" t="s">
        <v>5981</v>
      </c>
      <c r="D301" s="134" t="s">
        <v>6597</v>
      </c>
      <c r="E301" s="134">
        <v>5</v>
      </c>
      <c r="H301" s="134" t="s">
        <v>6805</v>
      </c>
      <c r="I301" s="134" t="s">
        <v>6806</v>
      </c>
      <c r="J301" s="223">
        <v>400</v>
      </c>
    </row>
    <row r="302" spans="1:10" x14ac:dyDescent="0.2">
      <c r="A302" s="134" t="s">
        <v>5979</v>
      </c>
      <c r="B302" s="134" t="s">
        <v>5948</v>
      </c>
      <c r="C302" s="134" t="s">
        <v>5981</v>
      </c>
      <c r="D302" s="134" t="s">
        <v>44</v>
      </c>
      <c r="E302" s="134">
        <v>1</v>
      </c>
      <c r="F302" s="134" t="s">
        <v>4108</v>
      </c>
      <c r="G302" s="134" t="s">
        <v>7</v>
      </c>
      <c r="H302" s="134" t="s">
        <v>6807</v>
      </c>
      <c r="I302" s="134" t="s">
        <v>6808</v>
      </c>
      <c r="J302" s="223">
        <v>10</v>
      </c>
    </row>
    <row r="303" spans="1:10" x14ac:dyDescent="0.2">
      <c r="A303" s="134" t="s">
        <v>5979</v>
      </c>
      <c r="B303" s="134" t="s">
        <v>5948</v>
      </c>
      <c r="C303" s="134" t="s">
        <v>5981</v>
      </c>
      <c r="D303" s="134" t="s">
        <v>44</v>
      </c>
      <c r="E303" s="134">
        <v>3</v>
      </c>
      <c r="F303" s="134" t="s">
        <v>4108</v>
      </c>
      <c r="G303" s="134" t="s">
        <v>7</v>
      </c>
      <c r="H303" s="134" t="s">
        <v>6809</v>
      </c>
      <c r="I303" s="134" t="s">
        <v>6810</v>
      </c>
      <c r="J303" s="223">
        <v>26</v>
      </c>
    </row>
    <row r="304" spans="1:10" x14ac:dyDescent="0.2">
      <c r="A304" s="134" t="s">
        <v>5979</v>
      </c>
      <c r="B304" s="134" t="s">
        <v>5948</v>
      </c>
      <c r="C304" s="134" t="s">
        <v>5981</v>
      </c>
      <c r="D304" s="134" t="s">
        <v>44</v>
      </c>
      <c r="E304" s="134">
        <v>5</v>
      </c>
      <c r="F304" s="134" t="s">
        <v>4108</v>
      </c>
      <c r="G304" s="134" t="s">
        <v>7</v>
      </c>
      <c r="H304" s="134" t="s">
        <v>6811</v>
      </c>
      <c r="I304" s="134" t="s">
        <v>6812</v>
      </c>
      <c r="J304" s="223">
        <v>40</v>
      </c>
    </row>
    <row r="305" spans="1:10" x14ac:dyDescent="0.2">
      <c r="A305" s="134" t="s">
        <v>5979</v>
      </c>
      <c r="B305" s="134" t="s">
        <v>5948</v>
      </c>
      <c r="C305" s="134" t="s">
        <v>5981</v>
      </c>
      <c r="D305" s="134" t="s">
        <v>45</v>
      </c>
      <c r="E305" s="134">
        <v>1</v>
      </c>
      <c r="F305" s="134" t="s">
        <v>4108</v>
      </c>
      <c r="G305" s="134" t="s">
        <v>7</v>
      </c>
      <c r="H305" s="134" t="s">
        <v>6813</v>
      </c>
      <c r="I305" s="134" t="s">
        <v>6814</v>
      </c>
      <c r="J305" s="223">
        <v>14</v>
      </c>
    </row>
    <row r="306" spans="1:10" x14ac:dyDescent="0.2">
      <c r="A306" s="134" t="s">
        <v>5979</v>
      </c>
      <c r="B306" s="134" t="s">
        <v>5948</v>
      </c>
      <c r="C306" s="134" t="s">
        <v>5981</v>
      </c>
      <c r="D306" s="134" t="s">
        <v>45</v>
      </c>
      <c r="E306" s="134">
        <v>3</v>
      </c>
      <c r="F306" s="134" t="s">
        <v>4108</v>
      </c>
      <c r="G306" s="134" t="s">
        <v>7</v>
      </c>
      <c r="H306" s="134" t="s">
        <v>6815</v>
      </c>
      <c r="I306" s="134" t="s">
        <v>6816</v>
      </c>
      <c r="J306" s="223">
        <v>36</v>
      </c>
    </row>
    <row r="307" spans="1:10" x14ac:dyDescent="0.2">
      <c r="A307" s="134" t="s">
        <v>5979</v>
      </c>
      <c r="B307" s="134" t="s">
        <v>5948</v>
      </c>
      <c r="C307" s="134" t="s">
        <v>5981</v>
      </c>
      <c r="D307" s="134" t="s">
        <v>45</v>
      </c>
      <c r="E307" s="134">
        <v>5</v>
      </c>
      <c r="F307" s="134" t="s">
        <v>4108</v>
      </c>
      <c r="G307" s="134" t="s">
        <v>7</v>
      </c>
      <c r="H307" s="134" t="s">
        <v>6817</v>
      </c>
      <c r="I307" s="134" t="s">
        <v>6818</v>
      </c>
      <c r="J307" s="223">
        <v>56</v>
      </c>
    </row>
    <row r="308" spans="1:10" x14ac:dyDescent="0.2">
      <c r="A308" s="134" t="s">
        <v>5979</v>
      </c>
      <c r="B308" s="134" t="s">
        <v>5948</v>
      </c>
      <c r="C308" s="134" t="s">
        <v>5981</v>
      </c>
      <c r="D308" s="134" t="s">
        <v>46</v>
      </c>
      <c r="E308" s="134">
        <v>1</v>
      </c>
      <c r="F308" s="134" t="s">
        <v>4108</v>
      </c>
      <c r="G308" s="134" t="s">
        <v>7</v>
      </c>
      <c r="H308" s="134" t="s">
        <v>6819</v>
      </c>
      <c r="I308" s="134" t="s">
        <v>6820</v>
      </c>
      <c r="J308" s="223">
        <v>30</v>
      </c>
    </row>
    <row r="309" spans="1:10" x14ac:dyDescent="0.2">
      <c r="A309" s="134" t="s">
        <v>5979</v>
      </c>
      <c r="B309" s="134" t="s">
        <v>5948</v>
      </c>
      <c r="C309" s="134" t="s">
        <v>5981</v>
      </c>
      <c r="D309" s="134" t="s">
        <v>46</v>
      </c>
      <c r="E309" s="134">
        <v>3</v>
      </c>
      <c r="F309" s="134" t="s">
        <v>4108</v>
      </c>
      <c r="G309" s="134" t="s">
        <v>7</v>
      </c>
      <c r="H309" s="134" t="s">
        <v>6821</v>
      </c>
      <c r="I309" s="134" t="s">
        <v>6822</v>
      </c>
      <c r="J309" s="223">
        <v>77</v>
      </c>
    </row>
    <row r="310" spans="1:10" x14ac:dyDescent="0.2">
      <c r="A310" s="134" t="s">
        <v>5979</v>
      </c>
      <c r="B310" s="134" t="s">
        <v>5948</v>
      </c>
      <c r="C310" s="134" t="s">
        <v>5981</v>
      </c>
      <c r="D310" s="134" t="s">
        <v>46</v>
      </c>
      <c r="E310" s="134">
        <v>5</v>
      </c>
      <c r="F310" s="134" t="s">
        <v>4108</v>
      </c>
      <c r="G310" s="134" t="s">
        <v>7</v>
      </c>
      <c r="H310" s="134" t="s">
        <v>6823</v>
      </c>
      <c r="I310" s="134" t="s">
        <v>6824</v>
      </c>
      <c r="J310" s="223">
        <v>120</v>
      </c>
    </row>
    <row r="311" spans="1:10" x14ac:dyDescent="0.2">
      <c r="A311" s="134" t="s">
        <v>5979</v>
      </c>
      <c r="B311" s="134" t="s">
        <v>5948</v>
      </c>
      <c r="C311" s="134" t="s">
        <v>5981</v>
      </c>
      <c r="D311" s="134" t="s">
        <v>67</v>
      </c>
      <c r="E311" s="134">
        <v>1</v>
      </c>
      <c r="F311" s="134" t="s">
        <v>4108</v>
      </c>
      <c r="G311" s="134" t="s">
        <v>7</v>
      </c>
      <c r="H311" s="134" t="s">
        <v>6825</v>
      </c>
      <c r="I311" s="134" t="s">
        <v>6826</v>
      </c>
      <c r="J311" s="223">
        <v>5</v>
      </c>
    </row>
    <row r="312" spans="1:10" x14ac:dyDescent="0.2">
      <c r="A312" s="134" t="s">
        <v>5979</v>
      </c>
      <c r="B312" s="134" t="s">
        <v>5948</v>
      </c>
      <c r="C312" s="134" t="s">
        <v>5981</v>
      </c>
      <c r="D312" s="134" t="s">
        <v>67</v>
      </c>
      <c r="E312" s="134">
        <v>3</v>
      </c>
      <c r="F312" s="134" t="s">
        <v>4108</v>
      </c>
      <c r="G312" s="134" t="s">
        <v>7</v>
      </c>
      <c r="H312" s="134" t="s">
        <v>6827</v>
      </c>
      <c r="I312" s="134" t="s">
        <v>6828</v>
      </c>
      <c r="J312" s="223">
        <v>13</v>
      </c>
    </row>
    <row r="313" spans="1:10" x14ac:dyDescent="0.2">
      <c r="A313" s="134" t="s">
        <v>5979</v>
      </c>
      <c r="B313" s="134" t="s">
        <v>5948</v>
      </c>
      <c r="C313" s="134" t="s">
        <v>5981</v>
      </c>
      <c r="D313" s="134" t="s">
        <v>67</v>
      </c>
      <c r="E313" s="134">
        <v>5</v>
      </c>
      <c r="F313" s="134" t="s">
        <v>4108</v>
      </c>
      <c r="G313" s="134" t="s">
        <v>7</v>
      </c>
      <c r="H313" s="134" t="s">
        <v>6829</v>
      </c>
      <c r="I313" s="134" t="s">
        <v>6830</v>
      </c>
      <c r="J313" s="223">
        <v>20</v>
      </c>
    </row>
    <row r="314" spans="1:10" x14ac:dyDescent="0.2">
      <c r="A314" s="134" t="s">
        <v>5979</v>
      </c>
      <c r="B314" s="134" t="s">
        <v>5948</v>
      </c>
      <c r="C314" s="134" t="s">
        <v>5981</v>
      </c>
      <c r="D314" s="134" t="s">
        <v>68</v>
      </c>
      <c r="E314" s="134">
        <v>1</v>
      </c>
      <c r="F314" s="134" t="s">
        <v>4108</v>
      </c>
      <c r="G314" s="134" t="s">
        <v>7</v>
      </c>
      <c r="H314" s="134" t="s">
        <v>6831</v>
      </c>
      <c r="I314" s="134" t="s">
        <v>6832</v>
      </c>
      <c r="J314" s="223">
        <v>7</v>
      </c>
    </row>
    <row r="315" spans="1:10" x14ac:dyDescent="0.2">
      <c r="A315" s="134" t="s">
        <v>5979</v>
      </c>
      <c r="B315" s="134" t="s">
        <v>5948</v>
      </c>
      <c r="C315" s="134" t="s">
        <v>5981</v>
      </c>
      <c r="D315" s="134" t="s">
        <v>68</v>
      </c>
      <c r="E315" s="134">
        <v>3</v>
      </c>
      <c r="F315" s="134" t="s">
        <v>4108</v>
      </c>
      <c r="G315" s="134" t="s">
        <v>7</v>
      </c>
      <c r="H315" s="134" t="s">
        <v>6833</v>
      </c>
      <c r="I315" s="134" t="s">
        <v>6834</v>
      </c>
      <c r="J315" s="223">
        <v>18</v>
      </c>
    </row>
    <row r="316" spans="1:10" x14ac:dyDescent="0.2">
      <c r="A316" s="134" t="s">
        <v>5979</v>
      </c>
      <c r="B316" s="134" t="s">
        <v>5948</v>
      </c>
      <c r="C316" s="134" t="s">
        <v>5981</v>
      </c>
      <c r="D316" s="134" t="s">
        <v>68</v>
      </c>
      <c r="E316" s="134">
        <v>5</v>
      </c>
      <c r="F316" s="134" t="s">
        <v>4108</v>
      </c>
      <c r="G316" s="134" t="s">
        <v>7</v>
      </c>
      <c r="H316" s="134" t="s">
        <v>6835</v>
      </c>
      <c r="I316" s="134" t="s">
        <v>6836</v>
      </c>
      <c r="J316" s="223">
        <v>28</v>
      </c>
    </row>
    <row r="317" spans="1:10" x14ac:dyDescent="0.2">
      <c r="A317" s="134" t="s">
        <v>5979</v>
      </c>
      <c r="B317" s="134" t="s">
        <v>5948</v>
      </c>
      <c r="C317" s="134" t="s">
        <v>5981</v>
      </c>
      <c r="D317" s="134" t="s">
        <v>65</v>
      </c>
      <c r="E317" s="134">
        <v>1</v>
      </c>
      <c r="F317" s="134" t="s">
        <v>4108</v>
      </c>
      <c r="G317" s="134" t="s">
        <v>7</v>
      </c>
      <c r="H317" s="134" t="s">
        <v>6837</v>
      </c>
      <c r="I317" s="134" t="s">
        <v>6838</v>
      </c>
      <c r="J317" s="223">
        <v>9</v>
      </c>
    </row>
    <row r="318" spans="1:10" x14ac:dyDescent="0.2">
      <c r="A318" s="134" t="s">
        <v>5979</v>
      </c>
      <c r="B318" s="134" t="s">
        <v>5948</v>
      </c>
      <c r="C318" s="134" t="s">
        <v>5981</v>
      </c>
      <c r="D318" s="134" t="s">
        <v>65</v>
      </c>
      <c r="E318" s="134">
        <v>3</v>
      </c>
      <c r="F318" s="134" t="s">
        <v>4108</v>
      </c>
      <c r="G318" s="134" t="s">
        <v>7</v>
      </c>
      <c r="H318" s="134" t="s">
        <v>6839</v>
      </c>
      <c r="I318" s="134" t="s">
        <v>6840</v>
      </c>
      <c r="J318" s="223">
        <v>23</v>
      </c>
    </row>
    <row r="319" spans="1:10" x14ac:dyDescent="0.2">
      <c r="A319" s="134" t="s">
        <v>5979</v>
      </c>
      <c r="B319" s="134" t="s">
        <v>5948</v>
      </c>
      <c r="C319" s="134" t="s">
        <v>5981</v>
      </c>
      <c r="D319" s="134" t="s">
        <v>65</v>
      </c>
      <c r="E319" s="134">
        <v>5</v>
      </c>
      <c r="F319" s="134" t="s">
        <v>4108</v>
      </c>
      <c r="G319" s="134" t="s">
        <v>7</v>
      </c>
      <c r="H319" s="134" t="s">
        <v>6841</v>
      </c>
      <c r="I319" s="134" t="s">
        <v>6842</v>
      </c>
      <c r="J319" s="223">
        <v>36</v>
      </c>
    </row>
    <row r="320" spans="1:10" x14ac:dyDescent="0.2">
      <c r="A320" s="134" t="s">
        <v>5979</v>
      </c>
      <c r="B320" s="134" t="s">
        <v>5948</v>
      </c>
      <c r="C320" s="134" t="s">
        <v>5981</v>
      </c>
      <c r="D320" s="134" t="s">
        <v>66</v>
      </c>
      <c r="E320" s="134">
        <v>1</v>
      </c>
      <c r="F320" s="134" t="s">
        <v>4108</v>
      </c>
      <c r="G320" s="134" t="s">
        <v>7</v>
      </c>
      <c r="H320" s="134" t="s">
        <v>6843</v>
      </c>
      <c r="I320" s="134" t="s">
        <v>6844</v>
      </c>
      <c r="J320" s="223">
        <v>13</v>
      </c>
    </row>
    <row r="321" spans="1:10" x14ac:dyDescent="0.2">
      <c r="A321" s="134" t="s">
        <v>5979</v>
      </c>
      <c r="B321" s="134" t="s">
        <v>5948</v>
      </c>
      <c r="C321" s="134" t="s">
        <v>5981</v>
      </c>
      <c r="D321" s="134" t="s">
        <v>66</v>
      </c>
      <c r="E321" s="134">
        <v>3</v>
      </c>
      <c r="F321" s="134" t="s">
        <v>4108</v>
      </c>
      <c r="G321" s="134" t="s">
        <v>7</v>
      </c>
      <c r="H321" s="134" t="s">
        <v>6845</v>
      </c>
      <c r="I321" s="134" t="s">
        <v>6846</v>
      </c>
      <c r="J321" s="223">
        <v>34</v>
      </c>
    </row>
    <row r="322" spans="1:10" x14ac:dyDescent="0.2">
      <c r="A322" s="134" t="s">
        <v>5979</v>
      </c>
      <c r="B322" s="134" t="s">
        <v>5948</v>
      </c>
      <c r="C322" s="134" t="s">
        <v>5981</v>
      </c>
      <c r="D322" s="134" t="s">
        <v>66</v>
      </c>
      <c r="E322" s="134">
        <v>5</v>
      </c>
      <c r="F322" s="134" t="s">
        <v>4108</v>
      </c>
      <c r="G322" s="134" t="s">
        <v>7</v>
      </c>
      <c r="H322" s="134" t="s">
        <v>6847</v>
      </c>
      <c r="I322" s="134" t="s">
        <v>6848</v>
      </c>
      <c r="J322" s="223">
        <v>52</v>
      </c>
    </row>
    <row r="323" spans="1:10" x14ac:dyDescent="0.2">
      <c r="A323" s="134" t="s">
        <v>5979</v>
      </c>
      <c r="B323" s="134" t="s">
        <v>5948</v>
      </c>
      <c r="C323" s="134" t="s">
        <v>5981</v>
      </c>
      <c r="D323" s="134" t="s">
        <v>47</v>
      </c>
      <c r="E323" s="134">
        <v>1</v>
      </c>
      <c r="F323" s="134" t="s">
        <v>4108</v>
      </c>
      <c r="G323" s="134" t="s">
        <v>7</v>
      </c>
      <c r="H323" s="134" t="s">
        <v>6849</v>
      </c>
      <c r="I323" s="134" t="s">
        <v>6850</v>
      </c>
      <c r="J323" s="223">
        <v>18</v>
      </c>
    </row>
    <row r="324" spans="1:10" x14ac:dyDescent="0.2">
      <c r="A324" s="134" t="s">
        <v>5979</v>
      </c>
      <c r="B324" s="134" t="s">
        <v>5948</v>
      </c>
      <c r="C324" s="134" t="s">
        <v>5981</v>
      </c>
      <c r="D324" s="134" t="s">
        <v>47</v>
      </c>
      <c r="E324" s="134">
        <v>3</v>
      </c>
      <c r="F324" s="134" t="s">
        <v>4108</v>
      </c>
      <c r="G324" s="134" t="s">
        <v>7</v>
      </c>
      <c r="H324" s="134" t="s">
        <v>6851</v>
      </c>
      <c r="I324" s="134" t="s">
        <v>6852</v>
      </c>
      <c r="J324" s="223">
        <v>46</v>
      </c>
    </row>
    <row r="325" spans="1:10" x14ac:dyDescent="0.2">
      <c r="A325" s="134" t="s">
        <v>5979</v>
      </c>
      <c r="B325" s="134" t="s">
        <v>5948</v>
      </c>
      <c r="C325" s="134" t="s">
        <v>5981</v>
      </c>
      <c r="D325" s="134" t="s">
        <v>47</v>
      </c>
      <c r="E325" s="134">
        <v>5</v>
      </c>
      <c r="F325" s="134" t="s">
        <v>4108</v>
      </c>
      <c r="G325" s="134" t="s">
        <v>7</v>
      </c>
      <c r="H325" s="134" t="s">
        <v>6853</v>
      </c>
      <c r="I325" s="134" t="s">
        <v>6854</v>
      </c>
      <c r="J325" s="223">
        <v>72</v>
      </c>
    </row>
    <row r="326" spans="1:10" x14ac:dyDescent="0.2">
      <c r="A326" s="134" t="s">
        <v>5979</v>
      </c>
      <c r="B326" s="134" t="s">
        <v>5948</v>
      </c>
      <c r="C326" s="134" t="s">
        <v>5981</v>
      </c>
      <c r="D326" s="134" t="s">
        <v>48</v>
      </c>
      <c r="E326" s="134">
        <v>1</v>
      </c>
      <c r="F326" s="134" t="s">
        <v>4108</v>
      </c>
      <c r="G326" s="134" t="s">
        <v>7</v>
      </c>
      <c r="H326" s="134" t="s">
        <v>6855</v>
      </c>
      <c r="I326" s="134" t="s">
        <v>6856</v>
      </c>
      <c r="J326" s="223">
        <v>26</v>
      </c>
    </row>
    <row r="327" spans="1:10" x14ac:dyDescent="0.2">
      <c r="A327" s="134" t="s">
        <v>5979</v>
      </c>
      <c r="B327" s="134" t="s">
        <v>5948</v>
      </c>
      <c r="C327" s="134" t="s">
        <v>5981</v>
      </c>
      <c r="D327" s="134" t="s">
        <v>48</v>
      </c>
      <c r="E327" s="134">
        <v>3</v>
      </c>
      <c r="F327" s="134" t="s">
        <v>4108</v>
      </c>
      <c r="G327" s="134" t="s">
        <v>7</v>
      </c>
      <c r="H327" s="134" t="s">
        <v>6857</v>
      </c>
      <c r="I327" s="134" t="s">
        <v>6858</v>
      </c>
      <c r="J327" s="223">
        <v>67</v>
      </c>
    </row>
    <row r="328" spans="1:10" x14ac:dyDescent="0.2">
      <c r="A328" s="134" t="s">
        <v>5979</v>
      </c>
      <c r="B328" s="134" t="s">
        <v>5948</v>
      </c>
      <c r="C328" s="134" t="s">
        <v>5981</v>
      </c>
      <c r="D328" s="134" t="s">
        <v>48</v>
      </c>
      <c r="E328" s="134">
        <v>5</v>
      </c>
      <c r="F328" s="134" t="s">
        <v>4108</v>
      </c>
      <c r="G328" s="134" t="s">
        <v>7</v>
      </c>
      <c r="H328" s="134" t="s">
        <v>6859</v>
      </c>
      <c r="I328" s="134" t="s">
        <v>6860</v>
      </c>
      <c r="J328" s="223">
        <v>104</v>
      </c>
    </row>
    <row r="329" spans="1:10" x14ac:dyDescent="0.2">
      <c r="A329" s="134" t="s">
        <v>5979</v>
      </c>
      <c r="B329" s="134" t="s">
        <v>5948</v>
      </c>
      <c r="C329" s="134" t="s">
        <v>5981</v>
      </c>
      <c r="D329" s="134" t="s">
        <v>42</v>
      </c>
      <c r="E329" s="134">
        <v>1</v>
      </c>
      <c r="F329" s="134" t="s">
        <v>4108</v>
      </c>
      <c r="G329" s="134" t="s">
        <v>7</v>
      </c>
      <c r="H329" s="134" t="s">
        <v>6861</v>
      </c>
      <c r="I329" s="134" t="s">
        <v>6862</v>
      </c>
      <c r="J329" s="223">
        <v>26</v>
      </c>
    </row>
    <row r="330" spans="1:10" x14ac:dyDescent="0.2">
      <c r="A330" s="134" t="s">
        <v>5979</v>
      </c>
      <c r="B330" s="134" t="s">
        <v>5948</v>
      </c>
      <c r="C330" s="134" t="s">
        <v>5981</v>
      </c>
      <c r="D330" s="134" t="s">
        <v>42</v>
      </c>
      <c r="E330" s="134">
        <v>3</v>
      </c>
      <c r="F330" s="134" t="s">
        <v>4108</v>
      </c>
      <c r="G330" s="134" t="s">
        <v>7</v>
      </c>
      <c r="H330" s="134" t="s">
        <v>6863</v>
      </c>
      <c r="I330" s="134" t="s">
        <v>6864</v>
      </c>
      <c r="J330" s="223">
        <v>67</v>
      </c>
    </row>
    <row r="331" spans="1:10" x14ac:dyDescent="0.2">
      <c r="A331" s="134" t="s">
        <v>5979</v>
      </c>
      <c r="B331" s="134" t="s">
        <v>5948</v>
      </c>
      <c r="C331" s="134" t="s">
        <v>5981</v>
      </c>
      <c r="D331" s="134" t="s">
        <v>42</v>
      </c>
      <c r="E331" s="134">
        <v>5</v>
      </c>
      <c r="F331" s="134" t="s">
        <v>4108</v>
      </c>
      <c r="G331" s="134" t="s">
        <v>7</v>
      </c>
      <c r="H331" s="134" t="s">
        <v>6865</v>
      </c>
      <c r="I331" s="134" t="s">
        <v>6866</v>
      </c>
      <c r="J331" s="223">
        <v>104</v>
      </c>
    </row>
    <row r="332" spans="1:10" x14ac:dyDescent="0.2">
      <c r="A332" s="134" t="s">
        <v>5979</v>
      </c>
      <c r="B332" s="134" t="s">
        <v>5948</v>
      </c>
      <c r="C332" s="134" t="s">
        <v>5981</v>
      </c>
      <c r="D332" s="134" t="s">
        <v>43</v>
      </c>
      <c r="E332" s="134">
        <v>1</v>
      </c>
      <c r="F332" s="134" t="s">
        <v>4108</v>
      </c>
      <c r="G332" s="134" t="s">
        <v>7</v>
      </c>
      <c r="H332" s="134" t="s">
        <v>6867</v>
      </c>
      <c r="I332" s="134" t="s">
        <v>6868</v>
      </c>
      <c r="J332" s="223">
        <v>36</v>
      </c>
    </row>
    <row r="333" spans="1:10" x14ac:dyDescent="0.2">
      <c r="A333" s="134" t="s">
        <v>5979</v>
      </c>
      <c r="B333" s="134" t="s">
        <v>5948</v>
      </c>
      <c r="C333" s="134" t="s">
        <v>5981</v>
      </c>
      <c r="D333" s="134" t="s">
        <v>43</v>
      </c>
      <c r="E333" s="134">
        <v>3</v>
      </c>
      <c r="F333" s="134" t="s">
        <v>4108</v>
      </c>
      <c r="G333" s="134" t="s">
        <v>7</v>
      </c>
      <c r="H333" s="134" t="s">
        <v>6869</v>
      </c>
      <c r="I333" s="134" t="s">
        <v>6870</v>
      </c>
      <c r="J333" s="223">
        <v>92</v>
      </c>
    </row>
    <row r="334" spans="1:10" x14ac:dyDescent="0.2">
      <c r="A334" s="134" t="s">
        <v>5979</v>
      </c>
      <c r="B334" s="134" t="s">
        <v>5948</v>
      </c>
      <c r="C334" s="134" t="s">
        <v>5981</v>
      </c>
      <c r="D334" s="134" t="s">
        <v>43</v>
      </c>
      <c r="E334" s="134">
        <v>5</v>
      </c>
      <c r="F334" s="134" t="s">
        <v>4108</v>
      </c>
      <c r="G334" s="134" t="s">
        <v>7</v>
      </c>
      <c r="H334" s="134" t="s">
        <v>6871</v>
      </c>
      <c r="I334" s="134" t="s">
        <v>6872</v>
      </c>
      <c r="J334" s="223">
        <v>144</v>
      </c>
    </row>
    <row r="335" spans="1:10" x14ac:dyDescent="0.2">
      <c r="A335" s="134" t="s">
        <v>5979</v>
      </c>
      <c r="B335" s="134" t="s">
        <v>5948</v>
      </c>
      <c r="C335" s="134" t="s">
        <v>5981</v>
      </c>
      <c r="D335" s="134" t="s">
        <v>49</v>
      </c>
      <c r="E335" s="134">
        <v>1</v>
      </c>
      <c r="F335" s="134" t="s">
        <v>4108</v>
      </c>
      <c r="G335" s="134" t="s">
        <v>7</v>
      </c>
      <c r="H335" s="134" t="s">
        <v>6873</v>
      </c>
      <c r="I335" s="134" t="s">
        <v>6874</v>
      </c>
      <c r="J335" s="223">
        <v>32</v>
      </c>
    </row>
    <row r="336" spans="1:10" x14ac:dyDescent="0.2">
      <c r="A336" s="134" t="s">
        <v>5979</v>
      </c>
      <c r="B336" s="134" t="s">
        <v>5948</v>
      </c>
      <c r="C336" s="134" t="s">
        <v>5981</v>
      </c>
      <c r="D336" s="134" t="s">
        <v>49</v>
      </c>
      <c r="E336" s="134">
        <v>3</v>
      </c>
      <c r="F336" s="134" t="s">
        <v>4108</v>
      </c>
      <c r="G336" s="134" t="s">
        <v>7</v>
      </c>
      <c r="H336" s="134" t="s">
        <v>6875</v>
      </c>
      <c r="I336" s="134" t="s">
        <v>6876</v>
      </c>
      <c r="J336" s="223">
        <v>82</v>
      </c>
    </row>
    <row r="337" spans="1:10" x14ac:dyDescent="0.2">
      <c r="A337" s="134" t="s">
        <v>5979</v>
      </c>
      <c r="B337" s="134" t="s">
        <v>5948</v>
      </c>
      <c r="C337" s="134" t="s">
        <v>5981</v>
      </c>
      <c r="D337" s="134" t="s">
        <v>49</v>
      </c>
      <c r="E337" s="134">
        <v>5</v>
      </c>
      <c r="F337" s="134" t="s">
        <v>4108</v>
      </c>
      <c r="G337" s="134" t="s">
        <v>7</v>
      </c>
      <c r="H337" s="134" t="s">
        <v>6877</v>
      </c>
      <c r="I337" s="134" t="s">
        <v>6878</v>
      </c>
      <c r="J337" s="223">
        <v>128</v>
      </c>
    </row>
    <row r="338" spans="1:10" x14ac:dyDescent="0.2">
      <c r="A338" s="134" t="s">
        <v>5979</v>
      </c>
      <c r="B338" s="134" t="s">
        <v>5948</v>
      </c>
      <c r="C338" s="134" t="s">
        <v>5981</v>
      </c>
      <c r="D338" s="134" t="s">
        <v>6583</v>
      </c>
      <c r="E338" s="134">
        <v>1</v>
      </c>
      <c r="F338" s="134" t="s">
        <v>4108</v>
      </c>
      <c r="G338" s="134" t="s">
        <v>7</v>
      </c>
      <c r="H338" s="134" t="s">
        <v>6879</v>
      </c>
      <c r="I338" s="134" t="s">
        <v>6880</v>
      </c>
      <c r="J338" s="223">
        <v>30</v>
      </c>
    </row>
    <row r="339" spans="1:10" x14ac:dyDescent="0.2">
      <c r="A339" s="134" t="s">
        <v>5979</v>
      </c>
      <c r="B339" s="134" t="s">
        <v>5948</v>
      </c>
      <c r="C339" s="134" t="s">
        <v>5981</v>
      </c>
      <c r="D339" s="134" t="s">
        <v>6583</v>
      </c>
      <c r="E339" s="134">
        <v>3</v>
      </c>
      <c r="F339" s="134" t="s">
        <v>4108</v>
      </c>
      <c r="G339" s="134" t="s">
        <v>7</v>
      </c>
      <c r="H339" s="134" t="s">
        <v>6881</v>
      </c>
      <c r="I339" s="134" t="s">
        <v>6882</v>
      </c>
      <c r="J339" s="223">
        <v>77</v>
      </c>
    </row>
    <row r="340" spans="1:10" x14ac:dyDescent="0.2">
      <c r="A340" s="134" t="s">
        <v>5979</v>
      </c>
      <c r="B340" s="134" t="s">
        <v>5948</v>
      </c>
      <c r="C340" s="134" t="s">
        <v>5981</v>
      </c>
      <c r="D340" s="134" t="s">
        <v>6583</v>
      </c>
      <c r="E340" s="134">
        <v>5</v>
      </c>
      <c r="F340" s="134" t="s">
        <v>4108</v>
      </c>
      <c r="G340" s="134" t="s">
        <v>7</v>
      </c>
      <c r="H340" s="134" t="s">
        <v>6883</v>
      </c>
      <c r="I340" s="134" t="s">
        <v>6884</v>
      </c>
      <c r="J340" s="223">
        <v>120</v>
      </c>
    </row>
    <row r="341" spans="1:10" x14ac:dyDescent="0.2">
      <c r="A341" s="134" t="s">
        <v>5979</v>
      </c>
      <c r="B341" s="134" t="s">
        <v>5948</v>
      </c>
      <c r="C341" s="134" t="s">
        <v>5981</v>
      </c>
      <c r="D341" s="134" t="s">
        <v>6590</v>
      </c>
      <c r="E341" s="134">
        <v>1</v>
      </c>
      <c r="F341" s="134" t="s">
        <v>4108</v>
      </c>
      <c r="G341" s="134" t="s">
        <v>7</v>
      </c>
      <c r="H341" s="134" t="s">
        <v>6885</v>
      </c>
      <c r="I341" s="134" t="s">
        <v>6886</v>
      </c>
      <c r="J341" s="223">
        <v>44</v>
      </c>
    </row>
    <row r="342" spans="1:10" x14ac:dyDescent="0.2">
      <c r="A342" s="134" t="s">
        <v>5979</v>
      </c>
      <c r="B342" s="134" t="s">
        <v>5948</v>
      </c>
      <c r="C342" s="134" t="s">
        <v>5981</v>
      </c>
      <c r="D342" s="134" t="s">
        <v>6590</v>
      </c>
      <c r="E342" s="134">
        <v>3</v>
      </c>
      <c r="F342" s="134" t="s">
        <v>4108</v>
      </c>
      <c r="G342" s="134" t="s">
        <v>7</v>
      </c>
      <c r="H342" s="134" t="s">
        <v>6887</v>
      </c>
      <c r="I342" s="134" t="s">
        <v>6888</v>
      </c>
      <c r="J342" s="223">
        <v>113</v>
      </c>
    </row>
    <row r="343" spans="1:10" x14ac:dyDescent="0.2">
      <c r="A343" s="134" t="s">
        <v>5979</v>
      </c>
      <c r="B343" s="134" t="s">
        <v>5948</v>
      </c>
      <c r="C343" s="134" t="s">
        <v>5981</v>
      </c>
      <c r="D343" s="134" t="s">
        <v>6590</v>
      </c>
      <c r="E343" s="134">
        <v>5</v>
      </c>
      <c r="F343" s="134" t="s">
        <v>4108</v>
      </c>
      <c r="G343" s="134" t="s">
        <v>7</v>
      </c>
      <c r="H343" s="134" t="s">
        <v>6889</v>
      </c>
      <c r="I343" s="134" t="s">
        <v>6890</v>
      </c>
      <c r="J343" s="223">
        <v>176</v>
      </c>
    </row>
    <row r="344" spans="1:10" x14ac:dyDescent="0.2">
      <c r="A344" s="134" t="s">
        <v>5979</v>
      </c>
      <c r="B344" s="134" t="s">
        <v>5948</v>
      </c>
      <c r="C344" s="134" t="s">
        <v>5981</v>
      </c>
      <c r="D344" s="134" t="s">
        <v>6597</v>
      </c>
      <c r="E344" s="134">
        <v>1</v>
      </c>
      <c r="F344" s="134" t="s">
        <v>4108</v>
      </c>
      <c r="G344" s="134" t="s">
        <v>7</v>
      </c>
      <c r="H344" s="134" t="s">
        <v>6891</v>
      </c>
      <c r="I344" s="134" t="s">
        <v>6892</v>
      </c>
      <c r="J344" s="223">
        <v>46</v>
      </c>
    </row>
    <row r="345" spans="1:10" x14ac:dyDescent="0.2">
      <c r="A345" s="134" t="s">
        <v>5979</v>
      </c>
      <c r="B345" s="134" t="s">
        <v>5948</v>
      </c>
      <c r="C345" s="134" t="s">
        <v>5981</v>
      </c>
      <c r="D345" s="134" t="s">
        <v>6597</v>
      </c>
      <c r="E345" s="134">
        <v>3</v>
      </c>
      <c r="F345" s="134" t="s">
        <v>4108</v>
      </c>
      <c r="G345" s="134" t="s">
        <v>7</v>
      </c>
      <c r="H345" s="134" t="s">
        <v>6893</v>
      </c>
      <c r="I345" s="134" t="s">
        <v>6894</v>
      </c>
      <c r="J345" s="223">
        <v>118</v>
      </c>
    </row>
    <row r="346" spans="1:10" x14ac:dyDescent="0.2">
      <c r="A346" s="134" t="s">
        <v>5979</v>
      </c>
      <c r="B346" s="134" t="s">
        <v>5948</v>
      </c>
      <c r="C346" s="134" t="s">
        <v>5981</v>
      </c>
      <c r="D346" s="134" t="s">
        <v>6597</v>
      </c>
      <c r="E346" s="134">
        <v>5</v>
      </c>
      <c r="F346" s="134" t="s">
        <v>4108</v>
      </c>
      <c r="G346" s="134" t="s">
        <v>7</v>
      </c>
      <c r="H346" s="134" t="s">
        <v>6895</v>
      </c>
      <c r="I346" s="134" t="s">
        <v>6896</v>
      </c>
      <c r="J346" s="223">
        <v>184</v>
      </c>
    </row>
    <row r="347" spans="1:10" x14ac:dyDescent="0.2">
      <c r="A347" s="134" t="s">
        <v>5959</v>
      </c>
      <c r="B347" s="134" t="s">
        <v>5980</v>
      </c>
      <c r="C347" s="134" t="s">
        <v>5981</v>
      </c>
      <c r="D347" s="134" t="s">
        <v>44</v>
      </c>
      <c r="E347" s="134">
        <v>1</v>
      </c>
      <c r="F347" s="134" t="s">
        <v>4108</v>
      </c>
      <c r="G347" s="134" t="s">
        <v>7</v>
      </c>
      <c r="H347" s="134" t="s">
        <v>1011</v>
      </c>
      <c r="I347" s="134" t="s">
        <v>6083</v>
      </c>
      <c r="J347" s="223">
        <v>15</v>
      </c>
    </row>
    <row r="348" spans="1:10" x14ac:dyDescent="0.2">
      <c r="A348" s="134" t="s">
        <v>5959</v>
      </c>
      <c r="B348" s="134" t="s">
        <v>5980</v>
      </c>
      <c r="C348" s="134" t="s">
        <v>5981</v>
      </c>
      <c r="D348" s="134" t="s">
        <v>44</v>
      </c>
      <c r="E348" s="134">
        <v>3</v>
      </c>
      <c r="F348" s="134" t="s">
        <v>4108</v>
      </c>
      <c r="G348" s="134" t="s">
        <v>7</v>
      </c>
      <c r="H348" s="134" t="s">
        <v>1012</v>
      </c>
      <c r="I348" s="134" t="s">
        <v>6084</v>
      </c>
      <c r="J348" s="223">
        <v>39</v>
      </c>
    </row>
    <row r="349" spans="1:10" x14ac:dyDescent="0.2">
      <c r="A349" s="134" t="s">
        <v>5959</v>
      </c>
      <c r="B349" s="134" t="s">
        <v>5980</v>
      </c>
      <c r="C349" s="134" t="s">
        <v>5981</v>
      </c>
      <c r="D349" s="134" t="s">
        <v>44</v>
      </c>
      <c r="E349" s="134">
        <v>5</v>
      </c>
      <c r="F349" s="134" t="s">
        <v>4108</v>
      </c>
      <c r="G349" s="134" t="s">
        <v>7</v>
      </c>
      <c r="H349" s="134" t="s">
        <v>1013</v>
      </c>
      <c r="I349" s="134" t="s">
        <v>6085</v>
      </c>
      <c r="J349" s="223">
        <v>60</v>
      </c>
    </row>
    <row r="350" spans="1:10" x14ac:dyDescent="0.2">
      <c r="A350" s="134" t="s">
        <v>5959</v>
      </c>
      <c r="B350" s="134" t="s">
        <v>5980</v>
      </c>
      <c r="C350" s="134" t="s">
        <v>5981</v>
      </c>
      <c r="D350" s="134" t="s">
        <v>45</v>
      </c>
      <c r="E350" s="134">
        <v>1</v>
      </c>
      <c r="F350" s="134" t="s">
        <v>4108</v>
      </c>
      <c r="G350" s="134" t="s">
        <v>7</v>
      </c>
      <c r="H350" s="134" t="s">
        <v>1014</v>
      </c>
      <c r="I350" s="134" t="s">
        <v>6086</v>
      </c>
      <c r="J350" s="223">
        <v>21</v>
      </c>
    </row>
    <row r="351" spans="1:10" x14ac:dyDescent="0.2">
      <c r="A351" s="134" t="s">
        <v>5959</v>
      </c>
      <c r="B351" s="134" t="s">
        <v>5980</v>
      </c>
      <c r="C351" s="134" t="s">
        <v>5981</v>
      </c>
      <c r="D351" s="134" t="s">
        <v>45</v>
      </c>
      <c r="E351" s="134">
        <v>3</v>
      </c>
      <c r="F351" s="134" t="s">
        <v>4108</v>
      </c>
      <c r="G351" s="134" t="s">
        <v>7</v>
      </c>
      <c r="H351" s="134" t="s">
        <v>1015</v>
      </c>
      <c r="I351" s="134" t="s">
        <v>6087</v>
      </c>
      <c r="J351" s="223">
        <v>54</v>
      </c>
    </row>
    <row r="352" spans="1:10" x14ac:dyDescent="0.2">
      <c r="A352" s="134" t="s">
        <v>5959</v>
      </c>
      <c r="B352" s="134" t="s">
        <v>5980</v>
      </c>
      <c r="C352" s="134" t="s">
        <v>5981</v>
      </c>
      <c r="D352" s="134" t="s">
        <v>45</v>
      </c>
      <c r="E352" s="134">
        <v>5</v>
      </c>
      <c r="F352" s="134" t="s">
        <v>4108</v>
      </c>
      <c r="G352" s="134" t="s">
        <v>7</v>
      </c>
      <c r="H352" s="134" t="s">
        <v>1016</v>
      </c>
      <c r="I352" s="134" t="s">
        <v>6088</v>
      </c>
      <c r="J352" s="223">
        <v>84</v>
      </c>
    </row>
    <row r="353" spans="1:10" x14ac:dyDescent="0.2">
      <c r="A353" s="134" t="s">
        <v>5959</v>
      </c>
      <c r="B353" s="134" t="s">
        <v>5980</v>
      </c>
      <c r="C353" s="134" t="s">
        <v>5981</v>
      </c>
      <c r="D353" s="134" t="s">
        <v>46</v>
      </c>
      <c r="E353" s="134">
        <v>1</v>
      </c>
      <c r="F353" s="134" t="s">
        <v>4108</v>
      </c>
      <c r="G353" s="134" t="s">
        <v>7</v>
      </c>
      <c r="H353" s="134" t="s">
        <v>1017</v>
      </c>
      <c r="I353" s="134" t="s">
        <v>6089</v>
      </c>
      <c r="J353" s="223">
        <v>45</v>
      </c>
    </row>
    <row r="354" spans="1:10" x14ac:dyDescent="0.2">
      <c r="A354" s="134" t="s">
        <v>5959</v>
      </c>
      <c r="B354" s="134" t="s">
        <v>5980</v>
      </c>
      <c r="C354" s="134" t="s">
        <v>5981</v>
      </c>
      <c r="D354" s="134" t="s">
        <v>46</v>
      </c>
      <c r="E354" s="134">
        <v>3</v>
      </c>
      <c r="F354" s="134" t="s">
        <v>4108</v>
      </c>
      <c r="G354" s="134" t="s">
        <v>7</v>
      </c>
      <c r="H354" s="134" t="s">
        <v>1018</v>
      </c>
      <c r="I354" s="134" t="s">
        <v>6090</v>
      </c>
      <c r="J354" s="223">
        <v>115</v>
      </c>
    </row>
    <row r="355" spans="1:10" x14ac:dyDescent="0.2">
      <c r="A355" s="134" t="s">
        <v>5959</v>
      </c>
      <c r="B355" s="134" t="s">
        <v>5980</v>
      </c>
      <c r="C355" s="134" t="s">
        <v>5981</v>
      </c>
      <c r="D355" s="134" t="s">
        <v>46</v>
      </c>
      <c r="E355" s="134">
        <v>5</v>
      </c>
      <c r="F355" s="134" t="s">
        <v>4108</v>
      </c>
      <c r="G355" s="134" t="s">
        <v>7</v>
      </c>
      <c r="H355" s="134" t="s">
        <v>1019</v>
      </c>
      <c r="I355" s="134" t="s">
        <v>6091</v>
      </c>
      <c r="J355" s="223">
        <v>180</v>
      </c>
    </row>
    <row r="356" spans="1:10" x14ac:dyDescent="0.2">
      <c r="A356" s="134" t="s">
        <v>5959</v>
      </c>
      <c r="B356" s="134" t="s">
        <v>5980</v>
      </c>
      <c r="C356" s="134" t="s">
        <v>5981</v>
      </c>
      <c r="D356" s="134" t="s">
        <v>67</v>
      </c>
      <c r="E356" s="134">
        <v>1</v>
      </c>
      <c r="F356" s="134" t="s">
        <v>4108</v>
      </c>
      <c r="G356" s="134" t="s">
        <v>7</v>
      </c>
      <c r="H356" s="134" t="s">
        <v>999</v>
      </c>
      <c r="I356" s="134" t="s">
        <v>6092</v>
      </c>
      <c r="J356" s="223">
        <v>8</v>
      </c>
    </row>
    <row r="357" spans="1:10" x14ac:dyDescent="0.2">
      <c r="A357" s="134" t="s">
        <v>5959</v>
      </c>
      <c r="B357" s="134" t="s">
        <v>5980</v>
      </c>
      <c r="C357" s="134" t="s">
        <v>5981</v>
      </c>
      <c r="D357" s="134" t="s">
        <v>67</v>
      </c>
      <c r="E357" s="134">
        <v>3</v>
      </c>
      <c r="F357" s="134" t="s">
        <v>4108</v>
      </c>
      <c r="G357" s="134" t="s">
        <v>7</v>
      </c>
      <c r="H357" s="134" t="s">
        <v>1000</v>
      </c>
      <c r="I357" s="134" t="s">
        <v>6093</v>
      </c>
      <c r="J357" s="223">
        <v>21</v>
      </c>
    </row>
    <row r="358" spans="1:10" x14ac:dyDescent="0.2">
      <c r="A358" s="134" t="s">
        <v>5959</v>
      </c>
      <c r="B358" s="134" t="s">
        <v>5980</v>
      </c>
      <c r="C358" s="134" t="s">
        <v>5981</v>
      </c>
      <c r="D358" s="134" t="s">
        <v>67</v>
      </c>
      <c r="E358" s="134">
        <v>5</v>
      </c>
      <c r="F358" s="134" t="s">
        <v>4108</v>
      </c>
      <c r="G358" s="134" t="s">
        <v>7</v>
      </c>
      <c r="H358" s="134" t="s">
        <v>1001</v>
      </c>
      <c r="I358" s="134" t="s">
        <v>6094</v>
      </c>
      <c r="J358" s="223">
        <v>32</v>
      </c>
    </row>
    <row r="359" spans="1:10" x14ac:dyDescent="0.2">
      <c r="A359" s="134" t="s">
        <v>5959</v>
      </c>
      <c r="B359" s="134" t="s">
        <v>5980</v>
      </c>
      <c r="C359" s="134" t="s">
        <v>5981</v>
      </c>
      <c r="D359" s="134" t="s">
        <v>68</v>
      </c>
      <c r="E359" s="134">
        <v>1</v>
      </c>
      <c r="F359" s="134" t="s">
        <v>4108</v>
      </c>
      <c r="G359" s="134" t="s">
        <v>7</v>
      </c>
      <c r="H359" s="134" t="s">
        <v>1002</v>
      </c>
      <c r="I359" s="134" t="s">
        <v>6095</v>
      </c>
      <c r="J359" s="223">
        <v>11</v>
      </c>
    </row>
    <row r="360" spans="1:10" x14ac:dyDescent="0.2">
      <c r="A360" s="134" t="s">
        <v>5959</v>
      </c>
      <c r="B360" s="134" t="s">
        <v>5980</v>
      </c>
      <c r="C360" s="134" t="s">
        <v>5981</v>
      </c>
      <c r="D360" s="134" t="s">
        <v>68</v>
      </c>
      <c r="E360" s="134">
        <v>3</v>
      </c>
      <c r="F360" s="134" t="s">
        <v>4108</v>
      </c>
      <c r="G360" s="134" t="s">
        <v>7</v>
      </c>
      <c r="H360" s="134" t="s">
        <v>1003</v>
      </c>
      <c r="I360" s="134" t="s">
        <v>6096</v>
      </c>
      <c r="J360" s="223">
        <v>29</v>
      </c>
    </row>
    <row r="361" spans="1:10" x14ac:dyDescent="0.2">
      <c r="A361" s="134" t="s">
        <v>5959</v>
      </c>
      <c r="B361" s="134" t="s">
        <v>5980</v>
      </c>
      <c r="C361" s="134" t="s">
        <v>5981</v>
      </c>
      <c r="D361" s="134" t="s">
        <v>68</v>
      </c>
      <c r="E361" s="134">
        <v>5</v>
      </c>
      <c r="F361" s="134" t="s">
        <v>4108</v>
      </c>
      <c r="G361" s="134" t="s">
        <v>7</v>
      </c>
      <c r="H361" s="134" t="s">
        <v>1004</v>
      </c>
      <c r="I361" s="134" t="s">
        <v>6097</v>
      </c>
      <c r="J361" s="223">
        <v>44</v>
      </c>
    </row>
    <row r="362" spans="1:10" x14ac:dyDescent="0.2">
      <c r="A362" s="134" t="s">
        <v>5959</v>
      </c>
      <c r="B362" s="134" t="s">
        <v>5980</v>
      </c>
      <c r="C362" s="134" t="s">
        <v>5981</v>
      </c>
      <c r="D362" s="134" t="s">
        <v>65</v>
      </c>
      <c r="E362" s="134">
        <v>1</v>
      </c>
      <c r="F362" s="134" t="s">
        <v>4108</v>
      </c>
      <c r="G362" s="134" t="s">
        <v>7</v>
      </c>
      <c r="H362" s="134" t="s">
        <v>1005</v>
      </c>
      <c r="I362" s="134" t="s">
        <v>6098</v>
      </c>
      <c r="J362" s="223">
        <v>14</v>
      </c>
    </row>
    <row r="363" spans="1:10" x14ac:dyDescent="0.2">
      <c r="A363" s="134" t="s">
        <v>5959</v>
      </c>
      <c r="B363" s="134" t="s">
        <v>5980</v>
      </c>
      <c r="C363" s="134" t="s">
        <v>5981</v>
      </c>
      <c r="D363" s="134" t="s">
        <v>65</v>
      </c>
      <c r="E363" s="134">
        <v>3</v>
      </c>
      <c r="F363" s="134" t="s">
        <v>4108</v>
      </c>
      <c r="G363" s="134" t="s">
        <v>7</v>
      </c>
      <c r="H363" s="134" t="s">
        <v>1006</v>
      </c>
      <c r="I363" s="134" t="s">
        <v>6099</v>
      </c>
      <c r="J363" s="223">
        <v>36</v>
      </c>
    </row>
    <row r="364" spans="1:10" x14ac:dyDescent="0.2">
      <c r="A364" s="134" t="s">
        <v>5959</v>
      </c>
      <c r="B364" s="134" t="s">
        <v>5980</v>
      </c>
      <c r="C364" s="134" t="s">
        <v>5981</v>
      </c>
      <c r="D364" s="134" t="s">
        <v>65</v>
      </c>
      <c r="E364" s="134">
        <v>5</v>
      </c>
      <c r="F364" s="134" t="s">
        <v>4108</v>
      </c>
      <c r="G364" s="134" t="s">
        <v>7</v>
      </c>
      <c r="H364" s="134" t="s">
        <v>1007</v>
      </c>
      <c r="I364" s="134" t="s">
        <v>6100</v>
      </c>
      <c r="J364" s="223">
        <v>56</v>
      </c>
    </row>
    <row r="365" spans="1:10" x14ac:dyDescent="0.2">
      <c r="A365" s="134" t="s">
        <v>5959</v>
      </c>
      <c r="B365" s="134" t="s">
        <v>5980</v>
      </c>
      <c r="C365" s="134" t="s">
        <v>5981</v>
      </c>
      <c r="D365" s="134" t="s">
        <v>66</v>
      </c>
      <c r="E365" s="134">
        <v>1</v>
      </c>
      <c r="F365" s="134" t="s">
        <v>4108</v>
      </c>
      <c r="G365" s="134" t="s">
        <v>7</v>
      </c>
      <c r="H365" s="134" t="s">
        <v>1008</v>
      </c>
      <c r="I365" s="134" t="s">
        <v>6101</v>
      </c>
      <c r="J365" s="223">
        <v>20</v>
      </c>
    </row>
    <row r="366" spans="1:10" x14ac:dyDescent="0.2">
      <c r="A366" s="134" t="s">
        <v>5959</v>
      </c>
      <c r="B366" s="134" t="s">
        <v>5980</v>
      </c>
      <c r="C366" s="134" t="s">
        <v>5981</v>
      </c>
      <c r="D366" s="134" t="s">
        <v>66</v>
      </c>
      <c r="E366" s="134">
        <v>3</v>
      </c>
      <c r="F366" s="134" t="s">
        <v>4108</v>
      </c>
      <c r="G366" s="134" t="s">
        <v>7</v>
      </c>
      <c r="H366" s="134" t="s">
        <v>1009</v>
      </c>
      <c r="I366" s="134" t="s">
        <v>6102</v>
      </c>
      <c r="J366" s="223">
        <v>51</v>
      </c>
    </row>
    <row r="367" spans="1:10" x14ac:dyDescent="0.2">
      <c r="A367" s="134" t="s">
        <v>5959</v>
      </c>
      <c r="B367" s="134" t="s">
        <v>5980</v>
      </c>
      <c r="C367" s="134" t="s">
        <v>5981</v>
      </c>
      <c r="D367" s="134" t="s">
        <v>66</v>
      </c>
      <c r="E367" s="134">
        <v>5</v>
      </c>
      <c r="F367" s="134" t="s">
        <v>4108</v>
      </c>
      <c r="G367" s="134" t="s">
        <v>7</v>
      </c>
      <c r="H367" s="134" t="s">
        <v>1010</v>
      </c>
      <c r="I367" s="134" t="s">
        <v>6103</v>
      </c>
      <c r="J367" s="223">
        <v>80</v>
      </c>
    </row>
    <row r="368" spans="1:10" x14ac:dyDescent="0.2">
      <c r="A368" s="134" t="s">
        <v>5959</v>
      </c>
      <c r="B368" s="134" t="s">
        <v>5980</v>
      </c>
      <c r="C368" s="134" t="s">
        <v>5981</v>
      </c>
      <c r="D368" s="134" t="s">
        <v>47</v>
      </c>
      <c r="E368" s="134">
        <v>1</v>
      </c>
      <c r="F368" s="134" t="s">
        <v>4108</v>
      </c>
      <c r="G368" s="134" t="s">
        <v>7</v>
      </c>
      <c r="H368" s="134" t="s">
        <v>1020</v>
      </c>
      <c r="I368" s="134" t="s">
        <v>6104</v>
      </c>
      <c r="J368" s="223">
        <v>27</v>
      </c>
    </row>
    <row r="369" spans="1:10" x14ac:dyDescent="0.2">
      <c r="A369" s="134" t="s">
        <v>5959</v>
      </c>
      <c r="B369" s="134" t="s">
        <v>5980</v>
      </c>
      <c r="C369" s="134" t="s">
        <v>5981</v>
      </c>
      <c r="D369" s="134" t="s">
        <v>47</v>
      </c>
      <c r="E369" s="134">
        <v>3</v>
      </c>
      <c r="F369" s="134" t="s">
        <v>4108</v>
      </c>
      <c r="G369" s="134" t="s">
        <v>7</v>
      </c>
      <c r="H369" s="134" t="s">
        <v>1021</v>
      </c>
      <c r="I369" s="134" t="s">
        <v>6105</v>
      </c>
      <c r="J369" s="223">
        <v>69</v>
      </c>
    </row>
    <row r="370" spans="1:10" x14ac:dyDescent="0.2">
      <c r="A370" s="134" t="s">
        <v>5959</v>
      </c>
      <c r="B370" s="134" t="s">
        <v>5980</v>
      </c>
      <c r="C370" s="134" t="s">
        <v>5981</v>
      </c>
      <c r="D370" s="134" t="s">
        <v>47</v>
      </c>
      <c r="E370" s="134">
        <v>5</v>
      </c>
      <c r="F370" s="134" t="s">
        <v>4108</v>
      </c>
      <c r="G370" s="134" t="s">
        <v>7</v>
      </c>
      <c r="H370" s="134" t="s">
        <v>1022</v>
      </c>
      <c r="I370" s="134" t="s">
        <v>6106</v>
      </c>
      <c r="J370" s="223">
        <v>108</v>
      </c>
    </row>
    <row r="371" spans="1:10" x14ac:dyDescent="0.2">
      <c r="A371" s="134" t="s">
        <v>5959</v>
      </c>
      <c r="B371" s="134" t="s">
        <v>5980</v>
      </c>
      <c r="C371" s="134" t="s">
        <v>5981</v>
      </c>
      <c r="D371" s="134" t="s">
        <v>48</v>
      </c>
      <c r="E371" s="134">
        <v>1</v>
      </c>
      <c r="F371" s="134" t="s">
        <v>4108</v>
      </c>
      <c r="G371" s="134" t="s">
        <v>7</v>
      </c>
      <c r="H371" s="134" t="s">
        <v>1023</v>
      </c>
      <c r="I371" s="134" t="s">
        <v>6107</v>
      </c>
      <c r="J371" s="223">
        <v>39</v>
      </c>
    </row>
    <row r="372" spans="1:10" x14ac:dyDescent="0.2">
      <c r="A372" s="134" t="s">
        <v>5959</v>
      </c>
      <c r="B372" s="134" t="s">
        <v>5980</v>
      </c>
      <c r="C372" s="134" t="s">
        <v>5981</v>
      </c>
      <c r="D372" s="134" t="s">
        <v>48</v>
      </c>
      <c r="E372" s="134">
        <v>3</v>
      </c>
      <c r="F372" s="134" t="s">
        <v>4108</v>
      </c>
      <c r="G372" s="134" t="s">
        <v>7</v>
      </c>
      <c r="H372" s="134" t="s">
        <v>1024</v>
      </c>
      <c r="I372" s="134" t="s">
        <v>6108</v>
      </c>
      <c r="J372" s="223">
        <v>100</v>
      </c>
    </row>
    <row r="373" spans="1:10" x14ac:dyDescent="0.2">
      <c r="A373" s="134" t="s">
        <v>5959</v>
      </c>
      <c r="B373" s="134" t="s">
        <v>5980</v>
      </c>
      <c r="C373" s="134" t="s">
        <v>5981</v>
      </c>
      <c r="D373" s="134" t="s">
        <v>48</v>
      </c>
      <c r="E373" s="134">
        <v>5</v>
      </c>
      <c r="F373" s="134" t="s">
        <v>4108</v>
      </c>
      <c r="G373" s="134" t="s">
        <v>7</v>
      </c>
      <c r="H373" s="134" t="s">
        <v>1025</v>
      </c>
      <c r="I373" s="134" t="s">
        <v>6109</v>
      </c>
      <c r="J373" s="223">
        <v>156</v>
      </c>
    </row>
    <row r="374" spans="1:10" x14ac:dyDescent="0.2">
      <c r="A374" s="134" t="s">
        <v>5959</v>
      </c>
      <c r="B374" s="134" t="s">
        <v>5980</v>
      </c>
      <c r="C374" s="134" t="s">
        <v>5981</v>
      </c>
      <c r="D374" s="134" t="s">
        <v>42</v>
      </c>
      <c r="E374" s="134">
        <v>1</v>
      </c>
      <c r="F374" s="134" t="s">
        <v>4108</v>
      </c>
      <c r="G374" s="134" t="s">
        <v>7</v>
      </c>
      <c r="H374" s="134" t="s">
        <v>1026</v>
      </c>
      <c r="I374" s="134" t="s">
        <v>6110</v>
      </c>
      <c r="J374" s="223">
        <v>39</v>
      </c>
    </row>
    <row r="375" spans="1:10" x14ac:dyDescent="0.2">
      <c r="A375" s="134" t="s">
        <v>5959</v>
      </c>
      <c r="B375" s="134" t="s">
        <v>5980</v>
      </c>
      <c r="C375" s="134" t="s">
        <v>5981</v>
      </c>
      <c r="D375" s="134" t="s">
        <v>42</v>
      </c>
      <c r="E375" s="134">
        <v>3</v>
      </c>
      <c r="F375" s="134" t="s">
        <v>4108</v>
      </c>
      <c r="G375" s="134" t="s">
        <v>7</v>
      </c>
      <c r="H375" s="134" t="s">
        <v>1027</v>
      </c>
      <c r="I375" s="134" t="s">
        <v>6111</v>
      </c>
      <c r="J375" s="223">
        <v>100</v>
      </c>
    </row>
    <row r="376" spans="1:10" x14ac:dyDescent="0.2">
      <c r="A376" s="134" t="s">
        <v>5959</v>
      </c>
      <c r="B376" s="134" t="s">
        <v>5980</v>
      </c>
      <c r="C376" s="134" t="s">
        <v>5981</v>
      </c>
      <c r="D376" s="134" t="s">
        <v>42</v>
      </c>
      <c r="E376" s="134">
        <v>5</v>
      </c>
      <c r="F376" s="134" t="s">
        <v>4108</v>
      </c>
      <c r="G376" s="134" t="s">
        <v>7</v>
      </c>
      <c r="H376" s="134" t="s">
        <v>1028</v>
      </c>
      <c r="I376" s="134" t="s">
        <v>6112</v>
      </c>
      <c r="J376" s="223">
        <v>156</v>
      </c>
    </row>
    <row r="377" spans="1:10" x14ac:dyDescent="0.2">
      <c r="A377" s="134" t="s">
        <v>5959</v>
      </c>
      <c r="B377" s="134" t="s">
        <v>5980</v>
      </c>
      <c r="C377" s="134" t="s">
        <v>5981</v>
      </c>
      <c r="D377" s="134" t="s">
        <v>43</v>
      </c>
      <c r="E377" s="134">
        <v>1</v>
      </c>
      <c r="F377" s="134" t="s">
        <v>4108</v>
      </c>
      <c r="G377" s="134" t="s">
        <v>7</v>
      </c>
      <c r="H377" s="134" t="s">
        <v>1029</v>
      </c>
      <c r="I377" s="134" t="s">
        <v>6113</v>
      </c>
      <c r="J377" s="223">
        <v>54</v>
      </c>
    </row>
    <row r="378" spans="1:10" x14ac:dyDescent="0.2">
      <c r="A378" s="134" t="s">
        <v>5959</v>
      </c>
      <c r="B378" s="134" t="s">
        <v>5980</v>
      </c>
      <c r="C378" s="134" t="s">
        <v>5981</v>
      </c>
      <c r="D378" s="134" t="s">
        <v>43</v>
      </c>
      <c r="E378" s="134">
        <v>3</v>
      </c>
      <c r="F378" s="134" t="s">
        <v>4108</v>
      </c>
      <c r="G378" s="134" t="s">
        <v>7</v>
      </c>
      <c r="H378" s="134" t="s">
        <v>1030</v>
      </c>
      <c r="I378" s="134" t="s">
        <v>6114</v>
      </c>
      <c r="J378" s="223">
        <v>138</v>
      </c>
    </row>
    <row r="379" spans="1:10" x14ac:dyDescent="0.2">
      <c r="A379" s="134" t="s">
        <v>5959</v>
      </c>
      <c r="B379" s="134" t="s">
        <v>5980</v>
      </c>
      <c r="C379" s="134" t="s">
        <v>5981</v>
      </c>
      <c r="D379" s="134" t="s">
        <v>43</v>
      </c>
      <c r="E379" s="134">
        <v>5</v>
      </c>
      <c r="F379" s="134" t="s">
        <v>4108</v>
      </c>
      <c r="G379" s="134" t="s">
        <v>7</v>
      </c>
      <c r="H379" s="134" t="s">
        <v>1031</v>
      </c>
      <c r="I379" s="134" t="s">
        <v>6115</v>
      </c>
      <c r="J379" s="223">
        <v>216</v>
      </c>
    </row>
    <row r="380" spans="1:10" x14ac:dyDescent="0.2">
      <c r="A380" s="134" t="s">
        <v>5959</v>
      </c>
      <c r="B380" s="134" t="s">
        <v>5980</v>
      </c>
      <c r="C380" s="134" t="s">
        <v>5981</v>
      </c>
      <c r="D380" s="134" t="s">
        <v>49</v>
      </c>
      <c r="E380" s="134">
        <v>1</v>
      </c>
      <c r="F380" s="134" t="s">
        <v>4108</v>
      </c>
      <c r="G380" s="134" t="s">
        <v>7</v>
      </c>
      <c r="H380" s="134" t="s">
        <v>1032</v>
      </c>
      <c r="I380" s="134" t="s">
        <v>6116</v>
      </c>
      <c r="J380" s="223">
        <v>48</v>
      </c>
    </row>
    <row r="381" spans="1:10" x14ac:dyDescent="0.2">
      <c r="A381" s="134" t="s">
        <v>5959</v>
      </c>
      <c r="B381" s="134" t="s">
        <v>5980</v>
      </c>
      <c r="C381" s="134" t="s">
        <v>5981</v>
      </c>
      <c r="D381" s="134" t="s">
        <v>49</v>
      </c>
      <c r="E381" s="134">
        <v>3</v>
      </c>
      <c r="F381" s="134" t="s">
        <v>4108</v>
      </c>
      <c r="G381" s="134" t="s">
        <v>7</v>
      </c>
      <c r="H381" s="134" t="s">
        <v>1033</v>
      </c>
      <c r="I381" s="134" t="s">
        <v>6117</v>
      </c>
      <c r="J381" s="223">
        <v>123</v>
      </c>
    </row>
    <row r="382" spans="1:10" x14ac:dyDescent="0.2">
      <c r="A382" s="134" t="s">
        <v>5959</v>
      </c>
      <c r="B382" s="134" t="s">
        <v>5980</v>
      </c>
      <c r="C382" s="134" t="s">
        <v>5981</v>
      </c>
      <c r="D382" s="134" t="s">
        <v>49</v>
      </c>
      <c r="E382" s="134">
        <v>5</v>
      </c>
      <c r="F382" s="134" t="s">
        <v>4108</v>
      </c>
      <c r="G382" s="134" t="s">
        <v>7</v>
      </c>
      <c r="H382" s="134" t="s">
        <v>1034</v>
      </c>
      <c r="I382" s="134" t="s">
        <v>6118</v>
      </c>
      <c r="J382" s="223">
        <v>192</v>
      </c>
    </row>
    <row r="383" spans="1:10" x14ac:dyDescent="0.2">
      <c r="A383" s="134" t="s">
        <v>5959</v>
      </c>
      <c r="B383" s="134" t="s">
        <v>5980</v>
      </c>
      <c r="C383" s="134" t="s">
        <v>5981</v>
      </c>
      <c r="D383" s="134" t="s">
        <v>6583</v>
      </c>
      <c r="E383" s="134">
        <v>1</v>
      </c>
      <c r="F383" s="134" t="s">
        <v>4108</v>
      </c>
      <c r="G383" s="134" t="s">
        <v>7</v>
      </c>
      <c r="H383" s="134" t="s">
        <v>6604</v>
      </c>
      <c r="I383" s="134" t="s">
        <v>6605</v>
      </c>
      <c r="J383" s="223">
        <v>45</v>
      </c>
    </row>
    <row r="384" spans="1:10" x14ac:dyDescent="0.2">
      <c r="A384" s="134" t="s">
        <v>5959</v>
      </c>
      <c r="B384" s="134" t="s">
        <v>5980</v>
      </c>
      <c r="C384" s="134" t="s">
        <v>5981</v>
      </c>
      <c r="D384" s="134" t="s">
        <v>6583</v>
      </c>
      <c r="E384" s="134">
        <v>3</v>
      </c>
      <c r="F384" s="134" t="s">
        <v>4108</v>
      </c>
      <c r="G384" s="134" t="s">
        <v>7</v>
      </c>
      <c r="H384" s="134" t="s">
        <v>6606</v>
      </c>
      <c r="I384" s="134" t="s">
        <v>6607</v>
      </c>
      <c r="J384" s="223">
        <v>115</v>
      </c>
    </row>
    <row r="385" spans="1:10" x14ac:dyDescent="0.2">
      <c r="A385" s="134" t="s">
        <v>5959</v>
      </c>
      <c r="B385" s="134" t="s">
        <v>5980</v>
      </c>
      <c r="C385" s="134" t="s">
        <v>5981</v>
      </c>
      <c r="D385" s="134" t="s">
        <v>6583</v>
      </c>
      <c r="E385" s="134">
        <v>5</v>
      </c>
      <c r="F385" s="134" t="s">
        <v>4108</v>
      </c>
      <c r="G385" s="134" t="s">
        <v>7</v>
      </c>
      <c r="H385" s="134" t="s">
        <v>6608</v>
      </c>
      <c r="I385" s="134" t="s">
        <v>6609</v>
      </c>
      <c r="J385" s="223">
        <v>180</v>
      </c>
    </row>
    <row r="386" spans="1:10" x14ac:dyDescent="0.2">
      <c r="A386" s="134" t="s">
        <v>5959</v>
      </c>
      <c r="B386" s="134" t="s">
        <v>5980</v>
      </c>
      <c r="C386" s="134" t="s">
        <v>5981</v>
      </c>
      <c r="D386" s="134" t="s">
        <v>6590</v>
      </c>
      <c r="E386" s="134">
        <v>1</v>
      </c>
      <c r="F386" s="134" t="s">
        <v>4108</v>
      </c>
      <c r="G386" s="134" t="s">
        <v>7</v>
      </c>
      <c r="H386" s="134" t="s">
        <v>6610</v>
      </c>
      <c r="I386" s="134" t="s">
        <v>6611</v>
      </c>
      <c r="J386" s="223">
        <v>66</v>
      </c>
    </row>
    <row r="387" spans="1:10" x14ac:dyDescent="0.2">
      <c r="A387" s="134" t="s">
        <v>5959</v>
      </c>
      <c r="B387" s="134" t="s">
        <v>5980</v>
      </c>
      <c r="C387" s="134" t="s">
        <v>5981</v>
      </c>
      <c r="D387" s="134" t="s">
        <v>6590</v>
      </c>
      <c r="E387" s="134">
        <v>3</v>
      </c>
      <c r="F387" s="134" t="s">
        <v>4108</v>
      </c>
      <c r="G387" s="134" t="s">
        <v>7</v>
      </c>
      <c r="H387" s="134" t="s">
        <v>6612</v>
      </c>
      <c r="I387" s="134" t="s">
        <v>6613</v>
      </c>
      <c r="J387" s="223">
        <v>169</v>
      </c>
    </row>
    <row r="388" spans="1:10" x14ac:dyDescent="0.2">
      <c r="A388" s="134" t="s">
        <v>5959</v>
      </c>
      <c r="B388" s="134" t="s">
        <v>5980</v>
      </c>
      <c r="C388" s="134" t="s">
        <v>5981</v>
      </c>
      <c r="D388" s="134" t="s">
        <v>6590</v>
      </c>
      <c r="E388" s="134">
        <v>5</v>
      </c>
      <c r="F388" s="134" t="s">
        <v>4108</v>
      </c>
      <c r="G388" s="134" t="s">
        <v>7</v>
      </c>
      <c r="H388" s="134" t="s">
        <v>6614</v>
      </c>
      <c r="I388" s="134" t="s">
        <v>6615</v>
      </c>
      <c r="J388" s="223">
        <v>264</v>
      </c>
    </row>
    <row r="389" spans="1:10" x14ac:dyDescent="0.2">
      <c r="A389" s="134" t="s">
        <v>5959</v>
      </c>
      <c r="B389" s="134" t="s">
        <v>5980</v>
      </c>
      <c r="C389" s="134" t="s">
        <v>5981</v>
      </c>
      <c r="D389" s="134" t="s">
        <v>6597</v>
      </c>
      <c r="E389" s="134">
        <v>1</v>
      </c>
      <c r="F389" s="134" t="s">
        <v>4108</v>
      </c>
      <c r="G389" s="134" t="s">
        <v>7</v>
      </c>
      <c r="H389" s="134" t="s">
        <v>6616</v>
      </c>
      <c r="I389" s="134" t="s">
        <v>6617</v>
      </c>
      <c r="J389" s="223">
        <v>69</v>
      </c>
    </row>
    <row r="390" spans="1:10" x14ac:dyDescent="0.2">
      <c r="A390" s="134" t="s">
        <v>5959</v>
      </c>
      <c r="B390" s="134" t="s">
        <v>5980</v>
      </c>
      <c r="C390" s="134" t="s">
        <v>5981</v>
      </c>
      <c r="D390" s="134" t="s">
        <v>6597</v>
      </c>
      <c r="E390" s="134">
        <v>3</v>
      </c>
      <c r="F390" s="134" t="s">
        <v>4108</v>
      </c>
      <c r="G390" s="134" t="s">
        <v>7</v>
      </c>
      <c r="H390" s="134" t="s">
        <v>6618</v>
      </c>
      <c r="I390" s="134" t="s">
        <v>6619</v>
      </c>
      <c r="J390" s="223">
        <v>176</v>
      </c>
    </row>
    <row r="391" spans="1:10" x14ac:dyDescent="0.2">
      <c r="A391" s="134" t="s">
        <v>5959</v>
      </c>
      <c r="B391" s="134" t="s">
        <v>5980</v>
      </c>
      <c r="C391" s="134" t="s">
        <v>5981</v>
      </c>
      <c r="D391" s="134" t="s">
        <v>6597</v>
      </c>
      <c r="E391" s="134">
        <v>5</v>
      </c>
      <c r="F391" s="134" t="s">
        <v>4108</v>
      </c>
      <c r="G391" s="134" t="s">
        <v>7</v>
      </c>
      <c r="H391" s="134" t="s">
        <v>6620</v>
      </c>
      <c r="I391" s="134" t="s">
        <v>6621</v>
      </c>
      <c r="J391" s="223">
        <v>276</v>
      </c>
    </row>
    <row r="392" spans="1:10" x14ac:dyDescent="0.2">
      <c r="A392" s="134" t="s">
        <v>5959</v>
      </c>
      <c r="B392" s="134" t="s">
        <v>5995</v>
      </c>
      <c r="C392" s="134" t="s">
        <v>5981</v>
      </c>
      <c r="D392" s="134" t="s">
        <v>44</v>
      </c>
      <c r="E392" s="134">
        <v>1</v>
      </c>
      <c r="H392" s="134" t="s">
        <v>6897</v>
      </c>
      <c r="I392" s="134" t="s">
        <v>6898</v>
      </c>
      <c r="J392" s="223">
        <v>15</v>
      </c>
    </row>
    <row r="393" spans="1:10" x14ac:dyDescent="0.2">
      <c r="A393" s="134" t="s">
        <v>5959</v>
      </c>
      <c r="B393" s="134" t="s">
        <v>5995</v>
      </c>
      <c r="C393" s="134" t="s">
        <v>5981</v>
      </c>
      <c r="D393" s="134" t="s">
        <v>44</v>
      </c>
      <c r="E393" s="134">
        <v>3</v>
      </c>
      <c r="H393" s="134" t="s">
        <v>6899</v>
      </c>
      <c r="I393" s="134" t="s">
        <v>6900</v>
      </c>
      <c r="J393" s="223">
        <v>39</v>
      </c>
    </row>
    <row r="394" spans="1:10" x14ac:dyDescent="0.2">
      <c r="A394" s="134" t="s">
        <v>5959</v>
      </c>
      <c r="B394" s="134" t="s">
        <v>5995</v>
      </c>
      <c r="C394" s="134" t="s">
        <v>5981</v>
      </c>
      <c r="D394" s="134" t="s">
        <v>44</v>
      </c>
      <c r="E394" s="134">
        <v>5</v>
      </c>
      <c r="H394" s="134" t="s">
        <v>6901</v>
      </c>
      <c r="I394" s="134" t="s">
        <v>6902</v>
      </c>
      <c r="J394" s="223">
        <v>60</v>
      </c>
    </row>
    <row r="395" spans="1:10" x14ac:dyDescent="0.2">
      <c r="A395" s="134" t="s">
        <v>5959</v>
      </c>
      <c r="B395" s="134" t="s">
        <v>5995</v>
      </c>
      <c r="C395" s="134" t="s">
        <v>5981</v>
      </c>
      <c r="D395" s="134" t="s">
        <v>45</v>
      </c>
      <c r="E395" s="134">
        <v>1</v>
      </c>
      <c r="H395" s="134" t="s">
        <v>6903</v>
      </c>
      <c r="I395" s="134" t="s">
        <v>6904</v>
      </c>
      <c r="J395" s="223">
        <v>21</v>
      </c>
    </row>
    <row r="396" spans="1:10" x14ac:dyDescent="0.2">
      <c r="A396" s="134" t="s">
        <v>5959</v>
      </c>
      <c r="B396" s="134" t="s">
        <v>5995</v>
      </c>
      <c r="C396" s="134" t="s">
        <v>5981</v>
      </c>
      <c r="D396" s="134" t="s">
        <v>45</v>
      </c>
      <c r="E396" s="134">
        <v>3</v>
      </c>
      <c r="H396" s="134" t="s">
        <v>6905</v>
      </c>
      <c r="I396" s="134" t="s">
        <v>6906</v>
      </c>
      <c r="J396" s="223">
        <v>54</v>
      </c>
    </row>
    <row r="397" spans="1:10" x14ac:dyDescent="0.2">
      <c r="A397" s="134" t="s">
        <v>5959</v>
      </c>
      <c r="B397" s="134" t="s">
        <v>5995</v>
      </c>
      <c r="C397" s="134" t="s">
        <v>5981</v>
      </c>
      <c r="D397" s="134" t="s">
        <v>45</v>
      </c>
      <c r="E397" s="134">
        <v>5</v>
      </c>
      <c r="H397" s="134" t="s">
        <v>6907</v>
      </c>
      <c r="I397" s="134" t="s">
        <v>6908</v>
      </c>
      <c r="J397" s="223">
        <v>84</v>
      </c>
    </row>
    <row r="398" spans="1:10" x14ac:dyDescent="0.2">
      <c r="A398" s="134" t="s">
        <v>5959</v>
      </c>
      <c r="B398" s="134" t="s">
        <v>5995</v>
      </c>
      <c r="C398" s="134" t="s">
        <v>5981</v>
      </c>
      <c r="D398" s="134" t="s">
        <v>46</v>
      </c>
      <c r="E398" s="134">
        <v>1</v>
      </c>
      <c r="H398" s="134" t="s">
        <v>6909</v>
      </c>
      <c r="I398" s="134" t="s">
        <v>6910</v>
      </c>
      <c r="J398" s="223">
        <v>45</v>
      </c>
    </row>
    <row r="399" spans="1:10" x14ac:dyDescent="0.2">
      <c r="A399" s="134" t="s">
        <v>5959</v>
      </c>
      <c r="B399" s="134" t="s">
        <v>5995</v>
      </c>
      <c r="C399" s="134" t="s">
        <v>5981</v>
      </c>
      <c r="D399" s="134" t="s">
        <v>46</v>
      </c>
      <c r="E399" s="134">
        <v>3</v>
      </c>
      <c r="H399" s="134" t="s">
        <v>6911</v>
      </c>
      <c r="I399" s="134" t="s">
        <v>6912</v>
      </c>
      <c r="J399" s="223">
        <v>115</v>
      </c>
    </row>
    <row r="400" spans="1:10" x14ac:dyDescent="0.2">
      <c r="A400" s="134" t="s">
        <v>5959</v>
      </c>
      <c r="B400" s="134" t="s">
        <v>5995</v>
      </c>
      <c r="C400" s="134" t="s">
        <v>5981</v>
      </c>
      <c r="D400" s="134" t="s">
        <v>46</v>
      </c>
      <c r="E400" s="134">
        <v>5</v>
      </c>
      <c r="H400" s="134" t="s">
        <v>6913</v>
      </c>
      <c r="I400" s="134" t="s">
        <v>6914</v>
      </c>
      <c r="J400" s="223">
        <v>180</v>
      </c>
    </row>
    <row r="401" spans="1:10" x14ac:dyDescent="0.2">
      <c r="A401" s="134" t="s">
        <v>5959</v>
      </c>
      <c r="B401" s="134" t="s">
        <v>5995</v>
      </c>
      <c r="C401" s="134" t="s">
        <v>5981</v>
      </c>
      <c r="D401" s="134" t="s">
        <v>67</v>
      </c>
      <c r="E401" s="134">
        <v>1</v>
      </c>
      <c r="H401" s="134" t="s">
        <v>6915</v>
      </c>
      <c r="I401" s="134" t="s">
        <v>6916</v>
      </c>
      <c r="J401" s="223">
        <v>8</v>
      </c>
    </row>
    <row r="402" spans="1:10" x14ac:dyDescent="0.2">
      <c r="A402" s="134" t="s">
        <v>5959</v>
      </c>
      <c r="B402" s="134" t="s">
        <v>5995</v>
      </c>
      <c r="C402" s="134" t="s">
        <v>5981</v>
      </c>
      <c r="D402" s="134" t="s">
        <v>67</v>
      </c>
      <c r="E402" s="134">
        <v>3</v>
      </c>
      <c r="H402" s="134" t="s">
        <v>6917</v>
      </c>
      <c r="I402" s="134" t="s">
        <v>6918</v>
      </c>
      <c r="J402" s="223">
        <v>21</v>
      </c>
    </row>
    <row r="403" spans="1:10" x14ac:dyDescent="0.2">
      <c r="A403" s="134" t="s">
        <v>5959</v>
      </c>
      <c r="B403" s="134" t="s">
        <v>5995</v>
      </c>
      <c r="C403" s="134" t="s">
        <v>5981</v>
      </c>
      <c r="D403" s="134" t="s">
        <v>67</v>
      </c>
      <c r="E403" s="134">
        <v>5</v>
      </c>
      <c r="H403" s="134" t="s">
        <v>6919</v>
      </c>
      <c r="I403" s="134" t="s">
        <v>6920</v>
      </c>
      <c r="J403" s="223">
        <v>32</v>
      </c>
    </row>
    <row r="404" spans="1:10" x14ac:dyDescent="0.2">
      <c r="A404" s="134" t="s">
        <v>5959</v>
      </c>
      <c r="B404" s="134" t="s">
        <v>5995</v>
      </c>
      <c r="C404" s="134" t="s">
        <v>5981</v>
      </c>
      <c r="D404" s="134" t="s">
        <v>68</v>
      </c>
      <c r="E404" s="134">
        <v>1</v>
      </c>
      <c r="H404" s="134" t="s">
        <v>6921</v>
      </c>
      <c r="I404" s="134" t="s">
        <v>6922</v>
      </c>
      <c r="J404" s="223">
        <v>11</v>
      </c>
    </row>
    <row r="405" spans="1:10" x14ac:dyDescent="0.2">
      <c r="A405" s="134" t="s">
        <v>5959</v>
      </c>
      <c r="B405" s="134" t="s">
        <v>5995</v>
      </c>
      <c r="C405" s="134" t="s">
        <v>5981</v>
      </c>
      <c r="D405" s="134" t="s">
        <v>68</v>
      </c>
      <c r="E405" s="134">
        <v>3</v>
      </c>
      <c r="H405" s="134" t="s">
        <v>6923</v>
      </c>
      <c r="I405" s="134" t="s">
        <v>6924</v>
      </c>
      <c r="J405" s="223">
        <v>29</v>
      </c>
    </row>
    <row r="406" spans="1:10" x14ac:dyDescent="0.2">
      <c r="A406" s="134" t="s">
        <v>5959</v>
      </c>
      <c r="B406" s="134" t="s">
        <v>5995</v>
      </c>
      <c r="C406" s="134" t="s">
        <v>5981</v>
      </c>
      <c r="D406" s="134" t="s">
        <v>68</v>
      </c>
      <c r="E406" s="134">
        <v>5</v>
      </c>
      <c r="H406" s="134" t="s">
        <v>6925</v>
      </c>
      <c r="I406" s="134" t="s">
        <v>6926</v>
      </c>
      <c r="J406" s="223">
        <v>44</v>
      </c>
    </row>
    <row r="407" spans="1:10" x14ac:dyDescent="0.2">
      <c r="A407" s="134" t="s">
        <v>5959</v>
      </c>
      <c r="B407" s="134" t="s">
        <v>5995</v>
      </c>
      <c r="C407" s="134" t="s">
        <v>5981</v>
      </c>
      <c r="D407" s="134" t="s">
        <v>65</v>
      </c>
      <c r="E407" s="134">
        <v>1</v>
      </c>
      <c r="H407" s="134" t="s">
        <v>6927</v>
      </c>
      <c r="I407" s="134" t="s">
        <v>6928</v>
      </c>
      <c r="J407" s="223">
        <v>14</v>
      </c>
    </row>
    <row r="408" spans="1:10" x14ac:dyDescent="0.2">
      <c r="A408" s="134" t="s">
        <v>5959</v>
      </c>
      <c r="B408" s="134" t="s">
        <v>5995</v>
      </c>
      <c r="C408" s="134" t="s">
        <v>5981</v>
      </c>
      <c r="D408" s="134" t="s">
        <v>65</v>
      </c>
      <c r="E408" s="134">
        <v>3</v>
      </c>
      <c r="H408" s="134" t="s">
        <v>6929</v>
      </c>
      <c r="I408" s="134" t="s">
        <v>6930</v>
      </c>
      <c r="J408" s="223">
        <v>36</v>
      </c>
    </row>
    <row r="409" spans="1:10" x14ac:dyDescent="0.2">
      <c r="A409" s="134" t="s">
        <v>5959</v>
      </c>
      <c r="B409" s="134" t="s">
        <v>5995</v>
      </c>
      <c r="C409" s="134" t="s">
        <v>5981</v>
      </c>
      <c r="D409" s="134" t="s">
        <v>65</v>
      </c>
      <c r="E409" s="134">
        <v>5</v>
      </c>
      <c r="H409" s="134" t="s">
        <v>6931</v>
      </c>
      <c r="I409" s="134" t="s">
        <v>6932</v>
      </c>
      <c r="J409" s="223">
        <v>56</v>
      </c>
    </row>
    <row r="410" spans="1:10" x14ac:dyDescent="0.2">
      <c r="A410" s="134" t="s">
        <v>5959</v>
      </c>
      <c r="B410" s="134" t="s">
        <v>5995</v>
      </c>
      <c r="C410" s="134" t="s">
        <v>5981</v>
      </c>
      <c r="D410" s="134" t="s">
        <v>66</v>
      </c>
      <c r="E410" s="134">
        <v>1</v>
      </c>
      <c r="H410" s="134" t="s">
        <v>6933</v>
      </c>
      <c r="I410" s="134" t="s">
        <v>6934</v>
      </c>
      <c r="J410" s="223">
        <v>20</v>
      </c>
    </row>
    <row r="411" spans="1:10" x14ac:dyDescent="0.2">
      <c r="A411" s="134" t="s">
        <v>5959</v>
      </c>
      <c r="B411" s="134" t="s">
        <v>5995</v>
      </c>
      <c r="C411" s="134" t="s">
        <v>5981</v>
      </c>
      <c r="D411" s="134" t="s">
        <v>66</v>
      </c>
      <c r="E411" s="134">
        <v>3</v>
      </c>
      <c r="H411" s="134" t="s">
        <v>6935</v>
      </c>
      <c r="I411" s="134" t="s">
        <v>6936</v>
      </c>
      <c r="J411" s="223">
        <v>51</v>
      </c>
    </row>
    <row r="412" spans="1:10" x14ac:dyDescent="0.2">
      <c r="A412" s="134" t="s">
        <v>5959</v>
      </c>
      <c r="B412" s="134" t="s">
        <v>5995</v>
      </c>
      <c r="C412" s="134" t="s">
        <v>5981</v>
      </c>
      <c r="D412" s="134" t="s">
        <v>66</v>
      </c>
      <c r="E412" s="134">
        <v>5</v>
      </c>
      <c r="H412" s="134" t="s">
        <v>6937</v>
      </c>
      <c r="I412" s="134" t="s">
        <v>6938</v>
      </c>
      <c r="J412" s="223">
        <v>80</v>
      </c>
    </row>
    <row r="413" spans="1:10" x14ac:dyDescent="0.2">
      <c r="A413" s="134" t="s">
        <v>5959</v>
      </c>
      <c r="B413" s="134" t="s">
        <v>5995</v>
      </c>
      <c r="C413" s="134" t="s">
        <v>5981</v>
      </c>
      <c r="D413" s="134" t="s">
        <v>47</v>
      </c>
      <c r="E413" s="134">
        <v>1</v>
      </c>
      <c r="H413" s="134" t="s">
        <v>6939</v>
      </c>
      <c r="I413" s="134" t="s">
        <v>6940</v>
      </c>
      <c r="J413" s="223">
        <v>27</v>
      </c>
    </row>
    <row r="414" spans="1:10" x14ac:dyDescent="0.2">
      <c r="A414" s="134" t="s">
        <v>5959</v>
      </c>
      <c r="B414" s="134" t="s">
        <v>5995</v>
      </c>
      <c r="C414" s="134" t="s">
        <v>5981</v>
      </c>
      <c r="D414" s="134" t="s">
        <v>47</v>
      </c>
      <c r="E414" s="134">
        <v>3</v>
      </c>
      <c r="H414" s="134" t="s">
        <v>6941</v>
      </c>
      <c r="I414" s="134" t="s">
        <v>6942</v>
      </c>
      <c r="J414" s="223">
        <v>69</v>
      </c>
    </row>
    <row r="415" spans="1:10" x14ac:dyDescent="0.2">
      <c r="A415" s="134" t="s">
        <v>5959</v>
      </c>
      <c r="B415" s="134" t="s">
        <v>5995</v>
      </c>
      <c r="C415" s="134" t="s">
        <v>5981</v>
      </c>
      <c r="D415" s="134" t="s">
        <v>47</v>
      </c>
      <c r="E415" s="134">
        <v>5</v>
      </c>
      <c r="H415" s="134" t="s">
        <v>6943</v>
      </c>
      <c r="I415" s="134" t="s">
        <v>6944</v>
      </c>
      <c r="J415" s="223">
        <v>108</v>
      </c>
    </row>
    <row r="416" spans="1:10" x14ac:dyDescent="0.2">
      <c r="A416" s="134" t="s">
        <v>5959</v>
      </c>
      <c r="B416" s="134" t="s">
        <v>5995</v>
      </c>
      <c r="C416" s="134" t="s">
        <v>5981</v>
      </c>
      <c r="D416" s="134" t="s">
        <v>48</v>
      </c>
      <c r="E416" s="134">
        <v>1</v>
      </c>
      <c r="H416" s="134" t="s">
        <v>6945</v>
      </c>
      <c r="I416" s="134" t="s">
        <v>6946</v>
      </c>
      <c r="J416" s="223">
        <v>39</v>
      </c>
    </row>
    <row r="417" spans="1:10" x14ac:dyDescent="0.2">
      <c r="A417" s="134" t="s">
        <v>5959</v>
      </c>
      <c r="B417" s="134" t="s">
        <v>5995</v>
      </c>
      <c r="C417" s="134" t="s">
        <v>5981</v>
      </c>
      <c r="D417" s="134" t="s">
        <v>48</v>
      </c>
      <c r="E417" s="134">
        <v>3</v>
      </c>
      <c r="H417" s="134" t="s">
        <v>6947</v>
      </c>
      <c r="I417" s="134" t="s">
        <v>6948</v>
      </c>
      <c r="J417" s="223">
        <v>100</v>
      </c>
    </row>
    <row r="418" spans="1:10" x14ac:dyDescent="0.2">
      <c r="A418" s="134" t="s">
        <v>5959</v>
      </c>
      <c r="B418" s="134" t="s">
        <v>5995</v>
      </c>
      <c r="C418" s="134" t="s">
        <v>5981</v>
      </c>
      <c r="D418" s="134" t="s">
        <v>48</v>
      </c>
      <c r="E418" s="134">
        <v>5</v>
      </c>
      <c r="H418" s="134" t="s">
        <v>6949</v>
      </c>
      <c r="I418" s="134" t="s">
        <v>6950</v>
      </c>
      <c r="J418" s="223">
        <v>156</v>
      </c>
    </row>
    <row r="419" spans="1:10" x14ac:dyDescent="0.2">
      <c r="A419" s="134" t="s">
        <v>5959</v>
      </c>
      <c r="B419" s="134" t="s">
        <v>5995</v>
      </c>
      <c r="C419" s="134" t="s">
        <v>5981</v>
      </c>
      <c r="D419" s="134" t="s">
        <v>42</v>
      </c>
      <c r="E419" s="134">
        <v>1</v>
      </c>
      <c r="H419" s="134" t="s">
        <v>6951</v>
      </c>
      <c r="I419" s="134" t="s">
        <v>6952</v>
      </c>
      <c r="J419" s="223">
        <v>39</v>
      </c>
    </row>
    <row r="420" spans="1:10" x14ac:dyDescent="0.2">
      <c r="A420" s="134" t="s">
        <v>5959</v>
      </c>
      <c r="B420" s="134" t="s">
        <v>5995</v>
      </c>
      <c r="C420" s="134" t="s">
        <v>5981</v>
      </c>
      <c r="D420" s="134" t="s">
        <v>42</v>
      </c>
      <c r="E420" s="134">
        <v>3</v>
      </c>
      <c r="H420" s="134" t="s">
        <v>6953</v>
      </c>
      <c r="I420" s="134" t="s">
        <v>6954</v>
      </c>
      <c r="J420" s="223">
        <v>100</v>
      </c>
    </row>
    <row r="421" spans="1:10" x14ac:dyDescent="0.2">
      <c r="A421" s="134" t="s">
        <v>5959</v>
      </c>
      <c r="B421" s="134" t="s">
        <v>5995</v>
      </c>
      <c r="C421" s="134" t="s">
        <v>5981</v>
      </c>
      <c r="D421" s="134" t="s">
        <v>42</v>
      </c>
      <c r="E421" s="134">
        <v>5</v>
      </c>
      <c r="H421" s="134" t="s">
        <v>6955</v>
      </c>
      <c r="I421" s="134" t="s">
        <v>6956</v>
      </c>
      <c r="J421" s="223">
        <v>156</v>
      </c>
    </row>
    <row r="422" spans="1:10" x14ac:dyDescent="0.2">
      <c r="A422" s="134" t="s">
        <v>5959</v>
      </c>
      <c r="B422" s="134" t="s">
        <v>5995</v>
      </c>
      <c r="C422" s="134" t="s">
        <v>5981</v>
      </c>
      <c r="D422" s="134" t="s">
        <v>43</v>
      </c>
      <c r="E422" s="134">
        <v>1</v>
      </c>
      <c r="H422" s="134" t="s">
        <v>6957</v>
      </c>
      <c r="I422" s="134" t="s">
        <v>6958</v>
      </c>
      <c r="J422" s="223">
        <v>54</v>
      </c>
    </row>
    <row r="423" spans="1:10" x14ac:dyDescent="0.2">
      <c r="A423" s="134" t="s">
        <v>5959</v>
      </c>
      <c r="B423" s="134" t="s">
        <v>5995</v>
      </c>
      <c r="C423" s="134" t="s">
        <v>5981</v>
      </c>
      <c r="D423" s="134" t="s">
        <v>43</v>
      </c>
      <c r="E423" s="134">
        <v>3</v>
      </c>
      <c r="H423" s="134" t="s">
        <v>6959</v>
      </c>
      <c r="I423" s="134" t="s">
        <v>6960</v>
      </c>
      <c r="J423" s="223">
        <v>138</v>
      </c>
    </row>
    <row r="424" spans="1:10" x14ac:dyDescent="0.2">
      <c r="A424" s="134" t="s">
        <v>5959</v>
      </c>
      <c r="B424" s="134" t="s">
        <v>5995</v>
      </c>
      <c r="C424" s="134" t="s">
        <v>5981</v>
      </c>
      <c r="D424" s="134" t="s">
        <v>43</v>
      </c>
      <c r="E424" s="134">
        <v>5</v>
      </c>
      <c r="H424" s="134" t="s">
        <v>6961</v>
      </c>
      <c r="I424" s="134" t="s">
        <v>6962</v>
      </c>
      <c r="J424" s="223">
        <v>216</v>
      </c>
    </row>
    <row r="425" spans="1:10" x14ac:dyDescent="0.2">
      <c r="A425" s="134" t="s">
        <v>5959</v>
      </c>
      <c r="B425" s="134" t="s">
        <v>5995</v>
      </c>
      <c r="C425" s="134" t="s">
        <v>5981</v>
      </c>
      <c r="D425" s="134" t="s">
        <v>49</v>
      </c>
      <c r="E425" s="134">
        <v>1</v>
      </c>
      <c r="H425" s="134" t="s">
        <v>6963</v>
      </c>
      <c r="I425" s="134" t="s">
        <v>6964</v>
      </c>
      <c r="J425" s="223">
        <v>48</v>
      </c>
    </row>
    <row r="426" spans="1:10" x14ac:dyDescent="0.2">
      <c r="A426" s="134" t="s">
        <v>5959</v>
      </c>
      <c r="B426" s="134" t="s">
        <v>5995</v>
      </c>
      <c r="C426" s="134" t="s">
        <v>5981</v>
      </c>
      <c r="D426" s="134" t="s">
        <v>49</v>
      </c>
      <c r="E426" s="134">
        <v>3</v>
      </c>
      <c r="H426" s="134" t="s">
        <v>6965</v>
      </c>
      <c r="I426" s="134" t="s">
        <v>6966</v>
      </c>
      <c r="J426" s="223">
        <v>123</v>
      </c>
    </row>
    <row r="427" spans="1:10" x14ac:dyDescent="0.2">
      <c r="A427" s="134" t="s">
        <v>5959</v>
      </c>
      <c r="B427" s="134" t="s">
        <v>5995</v>
      </c>
      <c r="C427" s="134" t="s">
        <v>5981</v>
      </c>
      <c r="D427" s="134" t="s">
        <v>49</v>
      </c>
      <c r="E427" s="134">
        <v>5</v>
      </c>
      <c r="H427" s="134" t="s">
        <v>6967</v>
      </c>
      <c r="I427" s="134" t="s">
        <v>6968</v>
      </c>
      <c r="J427" s="223">
        <v>192</v>
      </c>
    </row>
    <row r="428" spans="1:10" x14ac:dyDescent="0.2">
      <c r="A428" s="134" t="s">
        <v>5959</v>
      </c>
      <c r="B428" s="134" t="s">
        <v>5995</v>
      </c>
      <c r="C428" s="134" t="s">
        <v>5981</v>
      </c>
      <c r="D428" s="134" t="s">
        <v>6583</v>
      </c>
      <c r="E428" s="134">
        <v>1</v>
      </c>
      <c r="H428" s="134" t="s">
        <v>6969</v>
      </c>
      <c r="I428" s="134" t="s">
        <v>6970</v>
      </c>
      <c r="J428" s="223">
        <v>45</v>
      </c>
    </row>
    <row r="429" spans="1:10" x14ac:dyDescent="0.2">
      <c r="A429" s="134" t="s">
        <v>5959</v>
      </c>
      <c r="B429" s="134" t="s">
        <v>5995</v>
      </c>
      <c r="C429" s="134" t="s">
        <v>5981</v>
      </c>
      <c r="D429" s="134" t="s">
        <v>6583</v>
      </c>
      <c r="E429" s="134">
        <v>3</v>
      </c>
      <c r="H429" s="134" t="s">
        <v>6971</v>
      </c>
      <c r="I429" s="134" t="s">
        <v>6972</v>
      </c>
      <c r="J429" s="223">
        <v>115</v>
      </c>
    </row>
    <row r="430" spans="1:10" x14ac:dyDescent="0.2">
      <c r="A430" s="134" t="s">
        <v>5959</v>
      </c>
      <c r="B430" s="134" t="s">
        <v>5995</v>
      </c>
      <c r="C430" s="134" t="s">
        <v>5981</v>
      </c>
      <c r="D430" s="134" t="s">
        <v>6583</v>
      </c>
      <c r="E430" s="134">
        <v>5</v>
      </c>
      <c r="H430" s="134" t="s">
        <v>6973</v>
      </c>
      <c r="I430" s="134" t="s">
        <v>6974</v>
      </c>
      <c r="J430" s="223">
        <v>180</v>
      </c>
    </row>
    <row r="431" spans="1:10" x14ac:dyDescent="0.2">
      <c r="A431" s="134" t="s">
        <v>5959</v>
      </c>
      <c r="B431" s="134" t="s">
        <v>5995</v>
      </c>
      <c r="C431" s="134" t="s">
        <v>5981</v>
      </c>
      <c r="D431" s="134" t="s">
        <v>6590</v>
      </c>
      <c r="E431" s="134">
        <v>1</v>
      </c>
      <c r="H431" s="134" t="s">
        <v>6975</v>
      </c>
      <c r="I431" s="134" t="s">
        <v>6976</v>
      </c>
      <c r="J431" s="223">
        <v>66</v>
      </c>
    </row>
    <row r="432" spans="1:10" x14ac:dyDescent="0.2">
      <c r="A432" s="134" t="s">
        <v>5959</v>
      </c>
      <c r="B432" s="134" t="s">
        <v>5995</v>
      </c>
      <c r="C432" s="134" t="s">
        <v>5981</v>
      </c>
      <c r="D432" s="134" t="s">
        <v>6590</v>
      </c>
      <c r="E432" s="134">
        <v>3</v>
      </c>
      <c r="H432" s="134" t="s">
        <v>6977</v>
      </c>
      <c r="I432" s="134" t="s">
        <v>6978</v>
      </c>
      <c r="J432" s="223">
        <v>169</v>
      </c>
    </row>
    <row r="433" spans="1:10" x14ac:dyDescent="0.2">
      <c r="A433" s="134" t="s">
        <v>5959</v>
      </c>
      <c r="B433" s="134" t="s">
        <v>5995</v>
      </c>
      <c r="C433" s="134" t="s">
        <v>5981</v>
      </c>
      <c r="D433" s="134" t="s">
        <v>6590</v>
      </c>
      <c r="E433" s="134">
        <v>5</v>
      </c>
      <c r="H433" s="134" t="s">
        <v>6979</v>
      </c>
      <c r="I433" s="134" t="s">
        <v>6980</v>
      </c>
      <c r="J433" s="223">
        <v>264</v>
      </c>
    </row>
    <row r="434" spans="1:10" x14ac:dyDescent="0.2">
      <c r="A434" s="134" t="s">
        <v>5959</v>
      </c>
      <c r="B434" s="134" t="s">
        <v>5995</v>
      </c>
      <c r="C434" s="134" t="s">
        <v>5981</v>
      </c>
      <c r="D434" s="134" t="s">
        <v>6597</v>
      </c>
      <c r="E434" s="134">
        <v>1</v>
      </c>
      <c r="H434" s="134" t="s">
        <v>6981</v>
      </c>
      <c r="I434" s="134" t="s">
        <v>6982</v>
      </c>
      <c r="J434" s="223">
        <v>69</v>
      </c>
    </row>
    <row r="435" spans="1:10" x14ac:dyDescent="0.2">
      <c r="A435" s="134" t="s">
        <v>5959</v>
      </c>
      <c r="B435" s="134" t="s">
        <v>5995</v>
      </c>
      <c r="C435" s="134" t="s">
        <v>5981</v>
      </c>
      <c r="D435" s="134" t="s">
        <v>6597</v>
      </c>
      <c r="E435" s="134">
        <v>3</v>
      </c>
      <c r="H435" s="134" t="s">
        <v>6983</v>
      </c>
      <c r="I435" s="134" t="s">
        <v>6984</v>
      </c>
      <c r="J435" s="223">
        <v>176</v>
      </c>
    </row>
    <row r="436" spans="1:10" x14ac:dyDescent="0.2">
      <c r="A436" s="134" t="s">
        <v>5959</v>
      </c>
      <c r="B436" s="134" t="s">
        <v>5995</v>
      </c>
      <c r="C436" s="134" t="s">
        <v>5981</v>
      </c>
      <c r="D436" s="134" t="s">
        <v>6597</v>
      </c>
      <c r="E436" s="134">
        <v>5</v>
      </c>
      <c r="H436" s="134" t="s">
        <v>6985</v>
      </c>
      <c r="I436" s="134" t="s">
        <v>6986</v>
      </c>
      <c r="J436" s="223">
        <v>276</v>
      </c>
    </row>
    <row r="437" spans="1:10" x14ac:dyDescent="0.2">
      <c r="A437" s="134" t="s">
        <v>5979</v>
      </c>
      <c r="B437" s="134" t="s">
        <v>5980</v>
      </c>
      <c r="C437" s="134" t="s">
        <v>5981</v>
      </c>
      <c r="D437" s="134" t="s">
        <v>6191</v>
      </c>
      <c r="E437" s="134">
        <v>1</v>
      </c>
      <c r="F437" s="134" t="s">
        <v>4108</v>
      </c>
      <c r="G437" s="134" t="s">
        <v>7</v>
      </c>
      <c r="H437" s="134" t="s">
        <v>3857</v>
      </c>
      <c r="I437" s="134" t="s">
        <v>6192</v>
      </c>
      <c r="J437" s="223">
        <v>52</v>
      </c>
    </row>
    <row r="438" spans="1:10" x14ac:dyDescent="0.2">
      <c r="A438" s="134" t="s">
        <v>5979</v>
      </c>
      <c r="B438" s="134" t="s">
        <v>5980</v>
      </c>
      <c r="C438" s="134" t="s">
        <v>5981</v>
      </c>
      <c r="D438" s="134" t="s">
        <v>6191</v>
      </c>
      <c r="E438" s="134">
        <v>3</v>
      </c>
      <c r="F438" s="134" t="s">
        <v>4108</v>
      </c>
      <c r="G438" s="134" t="s">
        <v>7</v>
      </c>
      <c r="H438" s="134" t="s">
        <v>3859</v>
      </c>
      <c r="I438" s="134" t="s">
        <v>6193</v>
      </c>
      <c r="J438" s="223">
        <v>133</v>
      </c>
    </row>
    <row r="439" spans="1:10" x14ac:dyDescent="0.2">
      <c r="A439" s="134" t="s">
        <v>5979</v>
      </c>
      <c r="B439" s="134" t="s">
        <v>5980</v>
      </c>
      <c r="C439" s="134" t="s">
        <v>5981</v>
      </c>
      <c r="D439" s="134" t="s">
        <v>6191</v>
      </c>
      <c r="E439" s="134">
        <v>5</v>
      </c>
      <c r="F439" s="134" t="s">
        <v>4108</v>
      </c>
      <c r="G439" s="134" t="s">
        <v>7</v>
      </c>
      <c r="H439" s="134" t="s">
        <v>858</v>
      </c>
      <c r="I439" s="134" t="s">
        <v>6194</v>
      </c>
      <c r="J439" s="223">
        <v>208</v>
      </c>
    </row>
    <row r="440" spans="1:10" x14ac:dyDescent="0.2">
      <c r="A440" s="134" t="s">
        <v>5979</v>
      </c>
      <c r="B440" s="134" t="s">
        <v>5980</v>
      </c>
      <c r="C440" s="134" t="s">
        <v>5981</v>
      </c>
      <c r="D440" s="134" t="s">
        <v>6195</v>
      </c>
      <c r="E440" s="134">
        <v>1</v>
      </c>
      <c r="F440" s="134" t="s">
        <v>4108</v>
      </c>
      <c r="G440" s="134" t="s">
        <v>7</v>
      </c>
      <c r="H440" s="134" t="s">
        <v>3851</v>
      </c>
      <c r="I440" s="134" t="s">
        <v>6196</v>
      </c>
      <c r="J440" s="223">
        <v>26</v>
      </c>
    </row>
    <row r="441" spans="1:10" x14ac:dyDescent="0.2">
      <c r="A441" s="134" t="s">
        <v>5979</v>
      </c>
      <c r="B441" s="134" t="s">
        <v>5980</v>
      </c>
      <c r="C441" s="134" t="s">
        <v>5981</v>
      </c>
      <c r="D441" s="134" t="s">
        <v>6195</v>
      </c>
      <c r="E441" s="134">
        <v>3</v>
      </c>
      <c r="F441" s="134" t="s">
        <v>4108</v>
      </c>
      <c r="G441" s="134" t="s">
        <v>7</v>
      </c>
      <c r="H441" s="134" t="s">
        <v>3853</v>
      </c>
      <c r="I441" s="134" t="s">
        <v>6197</v>
      </c>
      <c r="J441" s="223">
        <v>67</v>
      </c>
    </row>
    <row r="442" spans="1:10" x14ac:dyDescent="0.2">
      <c r="A442" s="134" t="s">
        <v>5979</v>
      </c>
      <c r="B442" s="134" t="s">
        <v>5980</v>
      </c>
      <c r="C442" s="134" t="s">
        <v>5981</v>
      </c>
      <c r="D442" s="134" t="s">
        <v>6195</v>
      </c>
      <c r="E442" s="134">
        <v>5</v>
      </c>
      <c r="F442" s="134" t="s">
        <v>4108</v>
      </c>
      <c r="G442" s="134" t="s">
        <v>7</v>
      </c>
      <c r="H442" s="134" t="s">
        <v>3855</v>
      </c>
      <c r="I442" s="134" t="s">
        <v>6198</v>
      </c>
      <c r="J442" s="223">
        <v>104</v>
      </c>
    </row>
    <row r="443" spans="1:10" x14ac:dyDescent="0.2">
      <c r="A443" s="134" t="s">
        <v>5979</v>
      </c>
      <c r="B443" s="134" t="s">
        <v>5980</v>
      </c>
      <c r="C443" s="134" t="s">
        <v>5981</v>
      </c>
      <c r="D443" s="134" t="s">
        <v>6199</v>
      </c>
      <c r="E443" s="134">
        <v>1</v>
      </c>
      <c r="F443" s="134" t="s">
        <v>4108</v>
      </c>
      <c r="G443" s="134" t="s">
        <v>7</v>
      </c>
      <c r="H443" s="134" t="s">
        <v>3845</v>
      </c>
      <c r="I443" s="134" t="s">
        <v>6200</v>
      </c>
      <c r="J443" s="223">
        <v>11</v>
      </c>
    </row>
    <row r="444" spans="1:10" x14ac:dyDescent="0.2">
      <c r="A444" s="134" t="s">
        <v>5979</v>
      </c>
      <c r="B444" s="134" t="s">
        <v>5980</v>
      </c>
      <c r="C444" s="134" t="s">
        <v>5981</v>
      </c>
      <c r="D444" s="134" t="s">
        <v>6199</v>
      </c>
      <c r="E444" s="134">
        <v>3</v>
      </c>
      <c r="F444" s="134" t="s">
        <v>4108</v>
      </c>
      <c r="G444" s="134" t="s">
        <v>7</v>
      </c>
      <c r="H444" s="134" t="s">
        <v>3847</v>
      </c>
      <c r="I444" s="134" t="s">
        <v>6201</v>
      </c>
      <c r="J444" s="223">
        <v>29</v>
      </c>
    </row>
    <row r="445" spans="1:10" x14ac:dyDescent="0.2">
      <c r="A445" s="134" t="s">
        <v>5979</v>
      </c>
      <c r="B445" s="134" t="s">
        <v>5980</v>
      </c>
      <c r="C445" s="134" t="s">
        <v>5981</v>
      </c>
      <c r="D445" s="134" t="s">
        <v>6199</v>
      </c>
      <c r="E445" s="134">
        <v>5</v>
      </c>
      <c r="F445" s="134" t="s">
        <v>4108</v>
      </c>
      <c r="G445" s="134" t="s">
        <v>7</v>
      </c>
      <c r="H445" s="134" t="s">
        <v>3849</v>
      </c>
      <c r="I445" s="134" t="s">
        <v>6202</v>
      </c>
      <c r="J445" s="223">
        <v>44</v>
      </c>
    </row>
    <row r="446" spans="1:10" x14ac:dyDescent="0.2">
      <c r="A446" s="134" t="s">
        <v>5979</v>
      </c>
      <c r="B446" s="134" t="s">
        <v>5995</v>
      </c>
      <c r="C446" s="134" t="s">
        <v>5981</v>
      </c>
      <c r="D446" s="134" t="s">
        <v>6191</v>
      </c>
      <c r="E446" s="134">
        <v>1</v>
      </c>
      <c r="F446" s="134" t="s">
        <v>4108</v>
      </c>
      <c r="G446" s="134" t="s">
        <v>7</v>
      </c>
      <c r="H446" s="134" t="s">
        <v>6987</v>
      </c>
      <c r="I446" s="134" t="s">
        <v>6988</v>
      </c>
      <c r="J446" s="223">
        <v>52</v>
      </c>
    </row>
    <row r="447" spans="1:10" x14ac:dyDescent="0.2">
      <c r="A447" s="134" t="s">
        <v>5979</v>
      </c>
      <c r="B447" s="134" t="s">
        <v>5995</v>
      </c>
      <c r="C447" s="134" t="s">
        <v>5981</v>
      </c>
      <c r="D447" s="134" t="s">
        <v>6191</v>
      </c>
      <c r="E447" s="134">
        <v>3</v>
      </c>
      <c r="F447" s="134" t="s">
        <v>4108</v>
      </c>
      <c r="G447" s="134" t="s">
        <v>7</v>
      </c>
      <c r="H447" s="134" t="s">
        <v>6989</v>
      </c>
      <c r="I447" s="134" t="s">
        <v>6990</v>
      </c>
      <c r="J447" s="223">
        <v>133</v>
      </c>
    </row>
    <row r="448" spans="1:10" x14ac:dyDescent="0.2">
      <c r="A448" s="134" t="s">
        <v>5979</v>
      </c>
      <c r="B448" s="134" t="s">
        <v>5995</v>
      </c>
      <c r="C448" s="134" t="s">
        <v>5981</v>
      </c>
      <c r="D448" s="134" t="s">
        <v>6191</v>
      </c>
      <c r="E448" s="134">
        <v>5</v>
      </c>
      <c r="F448" s="134" t="s">
        <v>4108</v>
      </c>
      <c r="G448" s="134" t="s">
        <v>7</v>
      </c>
      <c r="H448" s="134" t="s">
        <v>6991</v>
      </c>
      <c r="I448" s="134" t="s">
        <v>6992</v>
      </c>
      <c r="J448" s="223">
        <v>208</v>
      </c>
    </row>
    <row r="449" spans="1:10" x14ac:dyDescent="0.2">
      <c r="A449" s="134" t="s">
        <v>5979</v>
      </c>
      <c r="B449" s="134" t="s">
        <v>5995</v>
      </c>
      <c r="C449" s="134" t="s">
        <v>5981</v>
      </c>
      <c r="D449" s="134" t="s">
        <v>6195</v>
      </c>
      <c r="E449" s="134">
        <v>1</v>
      </c>
      <c r="F449" s="134" t="s">
        <v>4108</v>
      </c>
      <c r="G449" s="134" t="s">
        <v>7</v>
      </c>
      <c r="H449" s="134" t="s">
        <v>6993</v>
      </c>
      <c r="I449" s="134" t="s">
        <v>6994</v>
      </c>
      <c r="J449" s="223">
        <v>26</v>
      </c>
    </row>
    <row r="450" spans="1:10" x14ac:dyDescent="0.2">
      <c r="A450" s="134" t="s">
        <v>5979</v>
      </c>
      <c r="B450" s="134" t="s">
        <v>5995</v>
      </c>
      <c r="C450" s="134" t="s">
        <v>5981</v>
      </c>
      <c r="D450" s="134" t="s">
        <v>6195</v>
      </c>
      <c r="E450" s="134">
        <v>3</v>
      </c>
      <c r="F450" s="134" t="s">
        <v>4108</v>
      </c>
      <c r="G450" s="134" t="s">
        <v>7</v>
      </c>
      <c r="H450" s="134" t="s">
        <v>6995</v>
      </c>
      <c r="I450" s="134" t="s">
        <v>6996</v>
      </c>
      <c r="J450" s="223">
        <v>67</v>
      </c>
    </row>
    <row r="451" spans="1:10" x14ac:dyDescent="0.2">
      <c r="A451" s="134" t="s">
        <v>5979</v>
      </c>
      <c r="B451" s="134" t="s">
        <v>5995</v>
      </c>
      <c r="C451" s="134" t="s">
        <v>5981</v>
      </c>
      <c r="D451" s="134" t="s">
        <v>6195</v>
      </c>
      <c r="E451" s="134">
        <v>5</v>
      </c>
      <c r="F451" s="134" t="s">
        <v>4108</v>
      </c>
      <c r="G451" s="134" t="s">
        <v>7</v>
      </c>
      <c r="H451" s="134" t="s">
        <v>6997</v>
      </c>
      <c r="I451" s="134" t="s">
        <v>6998</v>
      </c>
      <c r="J451" s="223">
        <v>104</v>
      </c>
    </row>
    <row r="452" spans="1:10" x14ac:dyDescent="0.2">
      <c r="A452" s="134" t="s">
        <v>5979</v>
      </c>
      <c r="B452" s="134" t="s">
        <v>5995</v>
      </c>
      <c r="C452" s="134" t="s">
        <v>5981</v>
      </c>
      <c r="D452" s="134" t="s">
        <v>6199</v>
      </c>
      <c r="E452" s="134">
        <v>1</v>
      </c>
      <c r="F452" s="134" t="s">
        <v>4108</v>
      </c>
      <c r="G452" s="134" t="s">
        <v>7</v>
      </c>
      <c r="H452" s="134" t="s">
        <v>6999</v>
      </c>
      <c r="I452" s="134" t="s">
        <v>7000</v>
      </c>
      <c r="J452" s="223">
        <v>11</v>
      </c>
    </row>
    <row r="453" spans="1:10" x14ac:dyDescent="0.2">
      <c r="A453" s="134" t="s">
        <v>5979</v>
      </c>
      <c r="B453" s="134" t="s">
        <v>5995</v>
      </c>
      <c r="C453" s="134" t="s">
        <v>5981</v>
      </c>
      <c r="D453" s="134" t="s">
        <v>6199</v>
      </c>
      <c r="E453" s="134">
        <v>3</v>
      </c>
      <c r="F453" s="134" t="s">
        <v>4108</v>
      </c>
      <c r="G453" s="134" t="s">
        <v>7</v>
      </c>
      <c r="H453" s="134" t="s">
        <v>7001</v>
      </c>
      <c r="I453" s="134" t="s">
        <v>7002</v>
      </c>
      <c r="J453" s="223">
        <v>29</v>
      </c>
    </row>
    <row r="454" spans="1:10" x14ac:dyDescent="0.2">
      <c r="A454" s="134" t="s">
        <v>5979</v>
      </c>
      <c r="B454" s="134" t="s">
        <v>5995</v>
      </c>
      <c r="C454" s="134" t="s">
        <v>5981</v>
      </c>
      <c r="D454" s="134" t="s">
        <v>6199</v>
      </c>
      <c r="E454" s="134">
        <v>5</v>
      </c>
      <c r="F454" s="134" t="s">
        <v>4108</v>
      </c>
      <c r="G454" s="134" t="s">
        <v>7</v>
      </c>
      <c r="H454" s="134" t="s">
        <v>7003</v>
      </c>
      <c r="I454" s="134" t="s">
        <v>7004</v>
      </c>
      <c r="J454" s="223">
        <v>44</v>
      </c>
    </row>
    <row r="455" spans="1:10" x14ac:dyDescent="0.2">
      <c r="A455" s="134" t="s">
        <v>5979</v>
      </c>
      <c r="B455" s="134" t="s">
        <v>5948</v>
      </c>
      <c r="C455" s="134" t="s">
        <v>5981</v>
      </c>
      <c r="D455" s="134" t="s">
        <v>6191</v>
      </c>
      <c r="E455" s="134">
        <v>1</v>
      </c>
      <c r="F455" s="134" t="s">
        <v>4108</v>
      </c>
      <c r="G455" s="134" t="s">
        <v>7</v>
      </c>
      <c r="H455" s="134" t="s">
        <v>6203</v>
      </c>
      <c r="I455" s="134" t="s">
        <v>6622</v>
      </c>
      <c r="J455" s="223">
        <v>24</v>
      </c>
    </row>
    <row r="456" spans="1:10" x14ac:dyDescent="0.2">
      <c r="A456" s="134" t="s">
        <v>5979</v>
      </c>
      <c r="B456" s="134" t="s">
        <v>5948</v>
      </c>
      <c r="C456" s="134" t="s">
        <v>5981</v>
      </c>
      <c r="D456" s="134" t="s">
        <v>6191</v>
      </c>
      <c r="E456" s="134">
        <v>3</v>
      </c>
      <c r="F456" s="134" t="s">
        <v>4108</v>
      </c>
      <c r="G456" s="134" t="s">
        <v>7</v>
      </c>
      <c r="H456" s="134" t="s">
        <v>6204</v>
      </c>
      <c r="I456" s="134" t="s">
        <v>6623</v>
      </c>
      <c r="J456" s="223">
        <v>62</v>
      </c>
    </row>
    <row r="457" spans="1:10" x14ac:dyDescent="0.2">
      <c r="A457" s="134" t="s">
        <v>5979</v>
      </c>
      <c r="B457" s="134" t="s">
        <v>5948</v>
      </c>
      <c r="C457" s="134" t="s">
        <v>5981</v>
      </c>
      <c r="D457" s="134" t="s">
        <v>6191</v>
      </c>
      <c r="E457" s="134">
        <v>5</v>
      </c>
      <c r="F457" s="134" t="s">
        <v>4108</v>
      </c>
      <c r="G457" s="134" t="s">
        <v>7</v>
      </c>
      <c r="H457" s="134" t="s">
        <v>6205</v>
      </c>
      <c r="I457" s="134" t="s">
        <v>6624</v>
      </c>
      <c r="J457" s="223">
        <v>96</v>
      </c>
    </row>
    <row r="458" spans="1:10" x14ac:dyDescent="0.2">
      <c r="A458" s="134" t="s">
        <v>5979</v>
      </c>
      <c r="B458" s="134" t="s">
        <v>5948</v>
      </c>
      <c r="C458" s="134" t="s">
        <v>5981</v>
      </c>
      <c r="D458" s="134" t="s">
        <v>6195</v>
      </c>
      <c r="E458" s="134">
        <v>1</v>
      </c>
      <c r="F458" s="134" t="s">
        <v>4108</v>
      </c>
      <c r="G458" s="134" t="s">
        <v>7</v>
      </c>
      <c r="H458" s="134" t="s">
        <v>6206</v>
      </c>
      <c r="I458" s="134" t="s">
        <v>6625</v>
      </c>
      <c r="J458" s="223">
        <v>12</v>
      </c>
    </row>
    <row r="459" spans="1:10" x14ac:dyDescent="0.2">
      <c r="A459" s="134" t="s">
        <v>5979</v>
      </c>
      <c r="B459" s="134" t="s">
        <v>5948</v>
      </c>
      <c r="C459" s="134" t="s">
        <v>5981</v>
      </c>
      <c r="D459" s="134" t="s">
        <v>6195</v>
      </c>
      <c r="E459" s="134">
        <v>3</v>
      </c>
      <c r="F459" s="134" t="s">
        <v>4108</v>
      </c>
      <c r="G459" s="134" t="s">
        <v>7</v>
      </c>
      <c r="H459" s="134" t="s">
        <v>6207</v>
      </c>
      <c r="I459" s="134" t="s">
        <v>6626</v>
      </c>
      <c r="J459" s="223">
        <v>31</v>
      </c>
    </row>
    <row r="460" spans="1:10" x14ac:dyDescent="0.2">
      <c r="A460" s="134" t="s">
        <v>5979</v>
      </c>
      <c r="B460" s="134" t="s">
        <v>5948</v>
      </c>
      <c r="C460" s="134" t="s">
        <v>5981</v>
      </c>
      <c r="D460" s="134" t="s">
        <v>6195</v>
      </c>
      <c r="E460" s="134">
        <v>5</v>
      </c>
      <c r="F460" s="134" t="s">
        <v>4108</v>
      </c>
      <c r="G460" s="134" t="s">
        <v>7</v>
      </c>
      <c r="H460" s="134" t="s">
        <v>6208</v>
      </c>
      <c r="I460" s="134" t="s">
        <v>6627</v>
      </c>
      <c r="J460" s="223">
        <v>48</v>
      </c>
    </row>
    <row r="461" spans="1:10" x14ac:dyDescent="0.2">
      <c r="A461" s="134" t="s">
        <v>5979</v>
      </c>
      <c r="B461" s="134" t="s">
        <v>5948</v>
      </c>
      <c r="C461" s="134" t="s">
        <v>5981</v>
      </c>
      <c r="D461" s="134" t="s">
        <v>6199</v>
      </c>
      <c r="E461" s="134">
        <v>1</v>
      </c>
      <c r="F461" s="134" t="s">
        <v>4108</v>
      </c>
      <c r="G461" s="134" t="s">
        <v>7</v>
      </c>
      <c r="H461" s="134" t="s">
        <v>6209</v>
      </c>
      <c r="I461" s="134" t="s">
        <v>6628</v>
      </c>
      <c r="J461" s="223">
        <v>5</v>
      </c>
    </row>
    <row r="462" spans="1:10" x14ac:dyDescent="0.2">
      <c r="A462" s="134" t="s">
        <v>5979</v>
      </c>
      <c r="B462" s="134" t="s">
        <v>5948</v>
      </c>
      <c r="C462" s="134" t="s">
        <v>5981</v>
      </c>
      <c r="D462" s="134" t="s">
        <v>6199</v>
      </c>
      <c r="E462" s="134">
        <v>3</v>
      </c>
      <c r="F462" s="134" t="s">
        <v>4108</v>
      </c>
      <c r="G462" s="134" t="s">
        <v>7</v>
      </c>
      <c r="H462" s="134" t="s">
        <v>6210</v>
      </c>
      <c r="I462" s="134" t="s">
        <v>6629</v>
      </c>
      <c r="J462" s="223">
        <v>13</v>
      </c>
    </row>
    <row r="463" spans="1:10" x14ac:dyDescent="0.2">
      <c r="A463" s="134" t="s">
        <v>5979</v>
      </c>
      <c r="B463" s="134" t="s">
        <v>5948</v>
      </c>
      <c r="C463" s="134" t="s">
        <v>5981</v>
      </c>
      <c r="D463" s="134" t="s">
        <v>6199</v>
      </c>
      <c r="E463" s="134">
        <v>5</v>
      </c>
      <c r="F463" s="134" t="s">
        <v>4108</v>
      </c>
      <c r="G463" s="134" t="s">
        <v>7</v>
      </c>
      <c r="H463" s="134" t="s">
        <v>6211</v>
      </c>
      <c r="I463" s="134" t="s">
        <v>6630</v>
      </c>
      <c r="J463" s="223">
        <v>20</v>
      </c>
    </row>
    <row r="464" spans="1:10" x14ac:dyDescent="0.2">
      <c r="A464" s="134" t="s">
        <v>5959</v>
      </c>
      <c r="B464" s="134" t="s">
        <v>5980</v>
      </c>
      <c r="C464" s="134" t="s">
        <v>5981</v>
      </c>
      <c r="D464" s="134" t="s">
        <v>6191</v>
      </c>
      <c r="E464" s="134">
        <v>1</v>
      </c>
      <c r="F464" s="134" t="s">
        <v>4108</v>
      </c>
      <c r="G464" s="134" t="s">
        <v>7</v>
      </c>
      <c r="H464" s="134" t="s">
        <v>957</v>
      </c>
      <c r="I464" s="134" t="s">
        <v>6212</v>
      </c>
      <c r="J464" s="223">
        <v>36</v>
      </c>
    </row>
    <row r="465" spans="1:10" x14ac:dyDescent="0.2">
      <c r="A465" s="134" t="s">
        <v>5959</v>
      </c>
      <c r="B465" s="134" t="s">
        <v>5980</v>
      </c>
      <c r="C465" s="134" t="s">
        <v>5981</v>
      </c>
      <c r="D465" s="134" t="s">
        <v>6191</v>
      </c>
      <c r="E465" s="134">
        <v>3</v>
      </c>
      <c r="F465" s="134" t="s">
        <v>4108</v>
      </c>
      <c r="G465" s="134" t="s">
        <v>7</v>
      </c>
      <c r="H465" s="134" t="s">
        <v>959</v>
      </c>
      <c r="I465" s="134" t="s">
        <v>6213</v>
      </c>
      <c r="J465" s="223">
        <v>92</v>
      </c>
    </row>
    <row r="466" spans="1:10" x14ac:dyDescent="0.2">
      <c r="A466" s="134" t="s">
        <v>5959</v>
      </c>
      <c r="B466" s="134" t="s">
        <v>5980</v>
      </c>
      <c r="C466" s="134" t="s">
        <v>5981</v>
      </c>
      <c r="D466" s="134" t="s">
        <v>6191</v>
      </c>
      <c r="E466" s="134">
        <v>5</v>
      </c>
      <c r="F466" s="134" t="s">
        <v>4108</v>
      </c>
      <c r="G466" s="134" t="s">
        <v>7</v>
      </c>
      <c r="H466" s="134" t="s">
        <v>3870</v>
      </c>
      <c r="I466" s="134" t="s">
        <v>6214</v>
      </c>
      <c r="J466" s="223">
        <v>144</v>
      </c>
    </row>
    <row r="467" spans="1:10" x14ac:dyDescent="0.2">
      <c r="A467" s="134" t="s">
        <v>5959</v>
      </c>
      <c r="B467" s="134" t="s">
        <v>5980</v>
      </c>
      <c r="C467" s="134" t="s">
        <v>5981</v>
      </c>
      <c r="D467" s="134" t="s">
        <v>6195</v>
      </c>
      <c r="E467" s="134">
        <v>1</v>
      </c>
      <c r="F467" s="134" t="s">
        <v>4108</v>
      </c>
      <c r="G467" s="134" t="s">
        <v>7</v>
      </c>
      <c r="H467" s="134" t="s">
        <v>955</v>
      </c>
      <c r="I467" s="134" t="s">
        <v>6215</v>
      </c>
      <c r="J467" s="223">
        <v>18</v>
      </c>
    </row>
    <row r="468" spans="1:10" x14ac:dyDescent="0.2">
      <c r="A468" s="134" t="s">
        <v>5959</v>
      </c>
      <c r="B468" s="134" t="s">
        <v>5980</v>
      </c>
      <c r="C468" s="134" t="s">
        <v>5981</v>
      </c>
      <c r="D468" s="134" t="s">
        <v>6195</v>
      </c>
      <c r="E468" s="134">
        <v>3</v>
      </c>
      <c r="F468" s="134" t="s">
        <v>4108</v>
      </c>
      <c r="G468" s="134" t="s">
        <v>7</v>
      </c>
      <c r="H468" s="134" t="s">
        <v>3866</v>
      </c>
      <c r="I468" s="134" t="s">
        <v>6216</v>
      </c>
      <c r="J468" s="223">
        <v>46</v>
      </c>
    </row>
    <row r="469" spans="1:10" x14ac:dyDescent="0.2">
      <c r="A469" s="134" t="s">
        <v>5959</v>
      </c>
      <c r="B469" s="134" t="s">
        <v>5980</v>
      </c>
      <c r="C469" s="134" t="s">
        <v>5981</v>
      </c>
      <c r="D469" s="134" t="s">
        <v>6195</v>
      </c>
      <c r="E469" s="134">
        <v>5</v>
      </c>
      <c r="F469" s="134" t="s">
        <v>4108</v>
      </c>
      <c r="G469" s="134" t="s">
        <v>7</v>
      </c>
      <c r="H469" s="134" t="s">
        <v>3868</v>
      </c>
      <c r="I469" s="134" t="s">
        <v>6217</v>
      </c>
      <c r="J469" s="223">
        <v>72</v>
      </c>
    </row>
    <row r="470" spans="1:10" x14ac:dyDescent="0.2">
      <c r="A470" s="134" t="s">
        <v>5959</v>
      </c>
      <c r="B470" s="134" t="s">
        <v>5980</v>
      </c>
      <c r="C470" s="134" t="s">
        <v>5981</v>
      </c>
      <c r="D470" s="134" t="s">
        <v>6199</v>
      </c>
      <c r="E470" s="134">
        <v>1</v>
      </c>
      <c r="F470" s="134" t="s">
        <v>4108</v>
      </c>
      <c r="G470" s="134" t="s">
        <v>7</v>
      </c>
      <c r="H470" s="134" t="s">
        <v>951</v>
      </c>
      <c r="I470" s="134" t="s">
        <v>6218</v>
      </c>
      <c r="J470" s="223">
        <v>8</v>
      </c>
    </row>
    <row r="471" spans="1:10" x14ac:dyDescent="0.2">
      <c r="A471" s="134" t="s">
        <v>5959</v>
      </c>
      <c r="B471" s="134" t="s">
        <v>5980</v>
      </c>
      <c r="C471" s="134" t="s">
        <v>5981</v>
      </c>
      <c r="D471" s="134" t="s">
        <v>6199</v>
      </c>
      <c r="E471" s="134">
        <v>3</v>
      </c>
      <c r="F471" s="134" t="s">
        <v>4108</v>
      </c>
      <c r="G471" s="134" t="s">
        <v>7</v>
      </c>
      <c r="H471" s="134" t="s">
        <v>3864</v>
      </c>
      <c r="I471" s="134" t="s">
        <v>6219</v>
      </c>
      <c r="J471" s="223">
        <v>21</v>
      </c>
    </row>
    <row r="472" spans="1:10" x14ac:dyDescent="0.2">
      <c r="A472" s="134" t="s">
        <v>5959</v>
      </c>
      <c r="B472" s="134" t="s">
        <v>5980</v>
      </c>
      <c r="C472" s="134" t="s">
        <v>5981</v>
      </c>
      <c r="D472" s="134" t="s">
        <v>6199</v>
      </c>
      <c r="E472" s="134">
        <v>5</v>
      </c>
      <c r="F472" s="134" t="s">
        <v>4108</v>
      </c>
      <c r="G472" s="134" t="s">
        <v>7</v>
      </c>
      <c r="H472" s="134" t="s">
        <v>953</v>
      </c>
      <c r="I472" s="134" t="s">
        <v>6220</v>
      </c>
      <c r="J472" s="223">
        <v>32</v>
      </c>
    </row>
    <row r="473" spans="1:10" x14ac:dyDescent="0.2">
      <c r="A473" s="134" t="s">
        <v>5959</v>
      </c>
      <c r="B473" s="134" t="s">
        <v>5995</v>
      </c>
      <c r="C473" s="134" t="s">
        <v>5981</v>
      </c>
      <c r="D473" s="134" t="s">
        <v>6191</v>
      </c>
      <c r="E473" s="134">
        <v>1</v>
      </c>
      <c r="F473" s="134" t="s">
        <v>4108</v>
      </c>
      <c r="G473" s="134" t="s">
        <v>7</v>
      </c>
      <c r="H473" s="134" t="s">
        <v>7005</v>
      </c>
      <c r="I473" s="134" t="s">
        <v>7006</v>
      </c>
      <c r="J473" s="223">
        <v>36</v>
      </c>
    </row>
    <row r="474" spans="1:10" x14ac:dyDescent="0.2">
      <c r="A474" s="134" t="s">
        <v>5959</v>
      </c>
      <c r="B474" s="134" t="s">
        <v>5995</v>
      </c>
      <c r="C474" s="134" t="s">
        <v>5981</v>
      </c>
      <c r="D474" s="134" t="s">
        <v>6191</v>
      </c>
      <c r="E474" s="134">
        <v>3</v>
      </c>
      <c r="F474" s="134" t="s">
        <v>4108</v>
      </c>
      <c r="G474" s="134" t="s">
        <v>7</v>
      </c>
      <c r="H474" s="134" t="s">
        <v>7007</v>
      </c>
      <c r="I474" s="134" t="s">
        <v>7008</v>
      </c>
      <c r="J474" s="223">
        <v>92</v>
      </c>
    </row>
    <row r="475" spans="1:10" x14ac:dyDescent="0.2">
      <c r="A475" s="134" t="s">
        <v>5959</v>
      </c>
      <c r="B475" s="134" t="s">
        <v>5995</v>
      </c>
      <c r="C475" s="134" t="s">
        <v>5981</v>
      </c>
      <c r="D475" s="134" t="s">
        <v>6191</v>
      </c>
      <c r="E475" s="134">
        <v>5</v>
      </c>
      <c r="F475" s="134" t="s">
        <v>4108</v>
      </c>
      <c r="G475" s="134" t="s">
        <v>7</v>
      </c>
      <c r="H475" s="134" t="s">
        <v>7009</v>
      </c>
      <c r="I475" s="134" t="s">
        <v>7010</v>
      </c>
      <c r="J475" s="223">
        <v>144</v>
      </c>
    </row>
    <row r="476" spans="1:10" x14ac:dyDescent="0.2">
      <c r="A476" s="134" t="s">
        <v>5959</v>
      </c>
      <c r="B476" s="134" t="s">
        <v>5995</v>
      </c>
      <c r="C476" s="134" t="s">
        <v>5981</v>
      </c>
      <c r="D476" s="134" t="s">
        <v>6195</v>
      </c>
      <c r="E476" s="134">
        <v>1</v>
      </c>
      <c r="F476" s="134" t="s">
        <v>4108</v>
      </c>
      <c r="G476" s="134" t="s">
        <v>7</v>
      </c>
      <c r="H476" s="134" t="s">
        <v>7011</v>
      </c>
      <c r="I476" s="134" t="s">
        <v>7012</v>
      </c>
      <c r="J476" s="223">
        <v>18</v>
      </c>
    </row>
    <row r="477" spans="1:10" x14ac:dyDescent="0.2">
      <c r="A477" s="134" t="s">
        <v>5959</v>
      </c>
      <c r="B477" s="134" t="s">
        <v>5995</v>
      </c>
      <c r="C477" s="134" t="s">
        <v>5981</v>
      </c>
      <c r="D477" s="134" t="s">
        <v>6195</v>
      </c>
      <c r="E477" s="134">
        <v>3</v>
      </c>
      <c r="F477" s="134" t="s">
        <v>4108</v>
      </c>
      <c r="G477" s="134" t="s">
        <v>7</v>
      </c>
      <c r="H477" s="134" t="s">
        <v>7013</v>
      </c>
      <c r="I477" s="134" t="s">
        <v>7014</v>
      </c>
      <c r="J477" s="223">
        <v>46</v>
      </c>
    </row>
    <row r="478" spans="1:10" x14ac:dyDescent="0.2">
      <c r="A478" s="134" t="s">
        <v>5959</v>
      </c>
      <c r="B478" s="134" t="s">
        <v>5995</v>
      </c>
      <c r="C478" s="134" t="s">
        <v>5981</v>
      </c>
      <c r="D478" s="134" t="s">
        <v>6195</v>
      </c>
      <c r="E478" s="134">
        <v>5</v>
      </c>
      <c r="F478" s="134" t="s">
        <v>4108</v>
      </c>
      <c r="G478" s="134" t="s">
        <v>7</v>
      </c>
      <c r="H478" s="134" t="s">
        <v>7015</v>
      </c>
      <c r="I478" s="134" t="s">
        <v>7016</v>
      </c>
      <c r="J478" s="223">
        <v>72</v>
      </c>
    </row>
    <row r="479" spans="1:10" x14ac:dyDescent="0.2">
      <c r="A479" s="134" t="s">
        <v>5959</v>
      </c>
      <c r="B479" s="134" t="s">
        <v>5995</v>
      </c>
      <c r="C479" s="134" t="s">
        <v>5981</v>
      </c>
      <c r="D479" s="134" t="s">
        <v>6199</v>
      </c>
      <c r="E479" s="134">
        <v>1</v>
      </c>
      <c r="F479" s="134" t="s">
        <v>4108</v>
      </c>
      <c r="G479" s="134" t="s">
        <v>7</v>
      </c>
      <c r="H479" s="134" t="s">
        <v>7017</v>
      </c>
      <c r="I479" s="134" t="s">
        <v>7018</v>
      </c>
      <c r="J479" s="223">
        <v>8</v>
      </c>
    </row>
    <row r="480" spans="1:10" x14ac:dyDescent="0.2">
      <c r="A480" s="134" t="s">
        <v>5959</v>
      </c>
      <c r="B480" s="134" t="s">
        <v>5995</v>
      </c>
      <c r="C480" s="134" t="s">
        <v>5981</v>
      </c>
      <c r="D480" s="134" t="s">
        <v>6199</v>
      </c>
      <c r="E480" s="134">
        <v>3</v>
      </c>
      <c r="F480" s="134" t="s">
        <v>4108</v>
      </c>
      <c r="G480" s="134" t="s">
        <v>7</v>
      </c>
      <c r="H480" s="134" t="s">
        <v>7019</v>
      </c>
      <c r="I480" s="134" t="s">
        <v>7020</v>
      </c>
      <c r="J480" s="223">
        <v>21</v>
      </c>
    </row>
    <row r="481" spans="1:10" x14ac:dyDescent="0.2">
      <c r="A481" s="134" t="s">
        <v>5959</v>
      </c>
      <c r="B481" s="134" t="s">
        <v>5995</v>
      </c>
      <c r="C481" s="134" t="s">
        <v>5981</v>
      </c>
      <c r="D481" s="134" t="s">
        <v>6199</v>
      </c>
      <c r="E481" s="134">
        <v>5</v>
      </c>
      <c r="F481" s="134" t="s">
        <v>4108</v>
      </c>
      <c r="G481" s="134" t="s">
        <v>7</v>
      </c>
      <c r="H481" s="134" t="s">
        <v>7021</v>
      </c>
      <c r="I481" s="134" t="s">
        <v>7022</v>
      </c>
      <c r="J481" s="223">
        <v>32</v>
      </c>
    </row>
    <row r="482" spans="1:10" x14ac:dyDescent="0.2">
      <c r="H482" s="408" t="s">
        <v>5937</v>
      </c>
      <c r="I482" s="408" t="s">
        <v>5938</v>
      </c>
      <c r="J482" s="223">
        <v>495</v>
      </c>
    </row>
    <row r="483" spans="1:10" x14ac:dyDescent="0.2">
      <c r="H483" s="408" t="s">
        <v>5939</v>
      </c>
      <c r="I483" s="408" t="s">
        <v>10626</v>
      </c>
      <c r="J483" s="223">
        <v>995</v>
      </c>
    </row>
    <row r="484" spans="1:10" x14ac:dyDescent="0.2">
      <c r="H484" s="408" t="s">
        <v>5940</v>
      </c>
      <c r="I484" s="408" t="s">
        <v>10627</v>
      </c>
      <c r="J484" s="223">
        <v>1295</v>
      </c>
    </row>
    <row r="485" spans="1:10" x14ac:dyDescent="0.2">
      <c r="H485" s="408" t="s">
        <v>5941</v>
      </c>
      <c r="I485" s="408" t="s">
        <v>10628</v>
      </c>
      <c r="J485" s="223">
        <v>1495</v>
      </c>
    </row>
    <row r="486" spans="1:10" x14ac:dyDescent="0.2">
      <c r="H486" s="408" t="s">
        <v>5949</v>
      </c>
      <c r="I486" s="134" t="s">
        <v>5950</v>
      </c>
      <c r="J486" s="223">
        <v>750</v>
      </c>
    </row>
    <row r="487" spans="1:10" x14ac:dyDescent="0.2">
      <c r="H487" s="134" t="s">
        <v>5951</v>
      </c>
      <c r="I487" s="134" t="s">
        <v>5955</v>
      </c>
      <c r="J487" s="223">
        <v>1495</v>
      </c>
    </row>
    <row r="488" spans="1:10" x14ac:dyDescent="0.2">
      <c r="H488" s="134" t="s">
        <v>5952</v>
      </c>
      <c r="I488" s="134" t="s">
        <v>5956</v>
      </c>
      <c r="J488" s="223">
        <v>2495</v>
      </c>
    </row>
    <row r="489" spans="1:10" x14ac:dyDescent="0.2">
      <c r="H489" s="134" t="s">
        <v>5953</v>
      </c>
      <c r="I489" s="134" t="s">
        <v>5957</v>
      </c>
      <c r="J489" s="223">
        <v>2795</v>
      </c>
    </row>
    <row r="490" spans="1:10" x14ac:dyDescent="0.2">
      <c r="H490" s="134" t="s">
        <v>5954</v>
      </c>
      <c r="I490" s="134" t="s">
        <v>5958</v>
      </c>
      <c r="J490" s="223">
        <v>3095</v>
      </c>
    </row>
    <row r="491" spans="1:10" x14ac:dyDescent="0.2">
      <c r="H491" s="408" t="s">
        <v>1278</v>
      </c>
      <c r="I491" s="408" t="s">
        <v>1279</v>
      </c>
      <c r="J491" s="223">
        <v>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8CFCD068FF1E4B9F0BD85DD06977D6" ma:contentTypeVersion="15" ma:contentTypeDescription="Create a new document." ma:contentTypeScope="" ma:versionID="c49b286998f1a0b2dfb77ce550934760">
  <xsd:schema xmlns:xsd="http://www.w3.org/2001/XMLSchema" xmlns:xs="http://www.w3.org/2001/XMLSchema" xmlns:p="http://schemas.microsoft.com/office/2006/metadata/properties" xmlns:ns1="http://schemas.microsoft.com/sharepoint/v3" xmlns:ns3="5d9e0e6d-0db3-4319-a65e-ff8804291e3c" xmlns:ns4="23fb5ad9-8cf3-4963-a8e8-fcb551766bb7" targetNamespace="http://schemas.microsoft.com/office/2006/metadata/properties" ma:root="true" ma:fieldsID="cd74575616f6830444917c0d12f728d0" ns1:_="" ns3:_="" ns4:_="">
    <xsd:import namespace="http://schemas.microsoft.com/sharepoint/v3"/>
    <xsd:import namespace="5d9e0e6d-0db3-4319-a65e-ff8804291e3c"/>
    <xsd:import namespace="23fb5ad9-8cf3-4963-a8e8-fcb551766bb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1:_ip_UnifiedCompliancePolicyProperties" minOccurs="0"/>
                <xsd:element ref="ns1:_ip_UnifiedCompliancePolicyUIAc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description="" ma:hidden="true" ma:internalName="_ip_UnifiedCompliancePolicyProperties">
      <xsd:simpleType>
        <xsd:restriction base="dms:Note"/>
      </xsd:simpleType>
    </xsd:element>
    <xsd:element name="_ip_UnifiedCompliancePolicyUIAction" ma:index="17"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9e0e6d-0db3-4319-a65e-ff8804291e3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fb5ad9-8cf3-4963-a8e8-fcb551766bb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DDBF076-598C-4A58-BC43-86898853FC52}">
  <ds:schemaRefs>
    <ds:schemaRef ds:uri="http://schemas.microsoft.com/sharepoint/v3/contenttype/forms"/>
  </ds:schemaRefs>
</ds:datastoreItem>
</file>

<file path=customXml/itemProps2.xml><?xml version="1.0" encoding="utf-8"?>
<ds:datastoreItem xmlns:ds="http://schemas.openxmlformats.org/officeDocument/2006/customXml" ds:itemID="{CD5D9782-B8EB-42A3-8A54-BF5B2D1FE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d9e0e6d-0db3-4319-a65e-ff8804291e3c"/>
    <ds:schemaRef ds:uri="23fb5ad9-8cf3-4963-a8e8-fcb551766b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87B06A-7513-403B-9023-BD171F7E5AC7}">
  <ds:schemaRefs>
    <ds:schemaRef ds:uri="http://purl.org/dc/elements/1.1/"/>
    <ds:schemaRef ds:uri="http://schemas.microsoft.com/office/2006/metadata/properties"/>
    <ds:schemaRef ds:uri="5d9e0e6d-0db3-4319-a65e-ff8804291e3c"/>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3fb5ad9-8cf3-4963-a8e8-fcb551766bb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284</vt:i4>
      </vt:variant>
    </vt:vector>
  </HeadingPairs>
  <TitlesOfParts>
    <vt:vector size="297" baseType="lpstr">
      <vt:lpstr>Start Here</vt:lpstr>
      <vt:lpstr>PMP Fixed Wireless BB</vt:lpstr>
      <vt:lpstr>PTP, IIOT</vt:lpstr>
      <vt:lpstr>ePMP, cnVision</vt:lpstr>
      <vt:lpstr>Enterprise Wi-Fi &amp; Switching</vt:lpstr>
      <vt:lpstr>Bill of Materials</vt:lpstr>
      <vt:lpstr>CC Svc Categories-Price Tiers</vt:lpstr>
      <vt:lpstr>Default Check</vt:lpstr>
      <vt:lpstr>Cambium Care</vt:lpstr>
      <vt:lpstr>Enterprise PL 2022-03-22</vt:lpstr>
      <vt:lpstr>All Products PL 2022-03-08</vt:lpstr>
      <vt:lpstr>ePMP PL 2022-03-25</vt:lpstr>
      <vt:lpstr>Future Support PL</vt:lpstr>
      <vt:lpstr>_Dev</vt:lpstr>
      <vt:lpstr>_NA</vt:lpstr>
      <vt:lpstr>_Service</vt:lpstr>
      <vt:lpstr>_Y0</vt:lpstr>
      <vt:lpstr>_Y1</vt:lpstr>
      <vt:lpstr>_Y2AR</vt:lpstr>
      <vt:lpstr>_Y2EW</vt:lpstr>
      <vt:lpstr>_Y4AR</vt:lpstr>
      <vt:lpstr>_Y4EW</vt:lpstr>
      <vt:lpstr>_Y5</vt:lpstr>
      <vt:lpstr>AR</vt:lpstr>
      <vt:lpstr>CC_Term</vt:lpstr>
      <vt:lpstr>CC_Term_Default</vt:lpstr>
      <vt:lpstr>CC_Type</vt:lpstr>
      <vt:lpstr>CCAdv_Upgrade</vt:lpstr>
      <vt:lpstr>cnMX_T1_P1_Total</vt:lpstr>
      <vt:lpstr>cnMX_T1_P2_Total</vt:lpstr>
      <vt:lpstr>cnMX_T1_P3_Total</vt:lpstr>
      <vt:lpstr>cnMX_T1_P4_Total</vt:lpstr>
      <vt:lpstr>cnMX_T1_Total</vt:lpstr>
      <vt:lpstr>cnMX_T2_P1_Total</vt:lpstr>
      <vt:lpstr>cnMX_T2_P2_Total</vt:lpstr>
      <vt:lpstr>cnMX_T2_P3_Total</vt:lpstr>
      <vt:lpstr>cnMX_T2_P4_Total</vt:lpstr>
      <vt:lpstr>cnMX_T2_Total</vt:lpstr>
      <vt:lpstr>cnMX_T3_P1_Total</vt:lpstr>
      <vt:lpstr>cnMX_T3_P2_Total</vt:lpstr>
      <vt:lpstr>cnMX_T3_P3_Total</vt:lpstr>
      <vt:lpstr>cnMX_T3_P4_Total</vt:lpstr>
      <vt:lpstr>cnMX_T3_Total</vt:lpstr>
      <vt:lpstr>cnMX_T4_P1_Total</vt:lpstr>
      <vt:lpstr>cnMX_T4_P2_Total</vt:lpstr>
      <vt:lpstr>cnMX_T4_P3_Total</vt:lpstr>
      <vt:lpstr>cnMX_T4_P4_Total</vt:lpstr>
      <vt:lpstr>cnMX_T4_Total</vt:lpstr>
      <vt:lpstr>cnMX_T5_P1_Total</vt:lpstr>
      <vt:lpstr>cnMX_T5_P2_Total</vt:lpstr>
      <vt:lpstr>cnMX_T5_P3_Total</vt:lpstr>
      <vt:lpstr>cnMX_T5_P4_Total</vt:lpstr>
      <vt:lpstr>cnMX_T5_Total</vt:lpstr>
      <vt:lpstr>cnMX_Term</vt:lpstr>
      <vt:lpstr>Device_Type</vt:lpstr>
      <vt:lpstr>Ent_CCAdv</vt:lpstr>
      <vt:lpstr>Ent_CCPro</vt:lpstr>
      <vt:lpstr>Ent_NoCC</vt:lpstr>
      <vt:lpstr>EW</vt:lpstr>
      <vt:lpstr>EW_450b_Retro_SM</vt:lpstr>
      <vt:lpstr>EW_Client_MAXr</vt:lpstr>
      <vt:lpstr>EW_Client_MAXrp</vt:lpstr>
      <vt:lpstr>EW_Client_MICRO</vt:lpstr>
      <vt:lpstr>EW_Client_MINI</vt:lpstr>
      <vt:lpstr>EW_CMM5_Controller</vt:lpstr>
      <vt:lpstr>EW_CMM5_Power_Sync</vt:lpstr>
      <vt:lpstr>EW_cnPilot_e500</vt:lpstr>
      <vt:lpstr>EW_cnPilot_e501S</vt:lpstr>
      <vt:lpstr>EW_cnPilot_e502S</vt:lpstr>
      <vt:lpstr>EW_cnPilot_e505</vt:lpstr>
      <vt:lpstr>EW_cnPilot_e510</vt:lpstr>
      <vt:lpstr>EW_cnPilot_e700</vt:lpstr>
      <vt:lpstr>EW_cnRanger_101_SM</vt:lpstr>
      <vt:lpstr>EW_cnRanger_201_SM</vt:lpstr>
      <vt:lpstr>EW_cnRanger_BBU</vt:lpstr>
      <vt:lpstr>EW_cnRanger_RRH</vt:lpstr>
      <vt:lpstr>EW_cnReach_N5000_Double</vt:lpstr>
      <vt:lpstr>EW_cnReach_N5000_Single</vt:lpstr>
      <vt:lpstr>EW_ePMP_1000_Connect</vt:lpstr>
      <vt:lpstr>EW_ePMP_1000_Connect_Sync</vt:lpstr>
      <vt:lpstr>EW_ePMP_2000</vt:lpstr>
      <vt:lpstr>EW_ePMP_3000</vt:lpstr>
      <vt:lpstr>EW_ePMP_3000L</vt:lpstr>
      <vt:lpstr>EW_ePMP_B_in_B</vt:lpstr>
      <vt:lpstr>EW_ePMP_B_in_B_UHD</vt:lpstr>
      <vt:lpstr>EW_ePMP_B_in_B_UHD_PRO</vt:lpstr>
      <vt:lpstr>EW_ePMP_Force_130</vt:lpstr>
      <vt:lpstr>EW_ePMP_Force_180</vt:lpstr>
      <vt:lpstr>EW_ePMP_Force_190</vt:lpstr>
      <vt:lpstr>EW_ePMP_Force_200</vt:lpstr>
      <vt:lpstr>EW_ePMP_Force_300</vt:lpstr>
      <vt:lpstr>EW_ePMP_Force_400C</vt:lpstr>
      <vt:lpstr>EW_ePMP_Force_425</vt:lpstr>
      <vt:lpstr>EW_ePMP_MicroPoP</vt:lpstr>
      <vt:lpstr>EW_Hub_360r</vt:lpstr>
      <vt:lpstr>EW_HUB_FLEXr</vt:lpstr>
      <vt:lpstr>EW_PMP_450_900_MHz_AP</vt:lpstr>
      <vt:lpstr>EW_PMP_450_900_MHz_SM</vt:lpstr>
      <vt:lpstr>EW_PMP_450_AP</vt:lpstr>
      <vt:lpstr>EW_PMP_450_MicroPoP_AP</vt:lpstr>
      <vt:lpstr>EW_PMP_450_SM</vt:lpstr>
      <vt:lpstr>EW_PMP_450b_High_Gain_SM</vt:lpstr>
      <vt:lpstr>EW_PMP_450b_Mid_Gain_SM</vt:lpstr>
      <vt:lpstr>EW_PMP_450i_AP</vt:lpstr>
      <vt:lpstr>EW_PMP_450i_SM</vt:lpstr>
      <vt:lpstr>EW_PMP_450m_AP</vt:lpstr>
      <vt:lpstr>EW_PTP_450</vt:lpstr>
      <vt:lpstr>EW_PTP_450b</vt:lpstr>
      <vt:lpstr>EW_PTP_450i</vt:lpstr>
      <vt:lpstr>EW_PTP_550</vt:lpstr>
      <vt:lpstr>EW_PTP_650</vt:lpstr>
      <vt:lpstr>EW_PTP_670</vt:lpstr>
      <vt:lpstr>EW_PTP_670_Mexico</vt:lpstr>
      <vt:lpstr>EW_PTP_700</vt:lpstr>
      <vt:lpstr>EW_PTP_820_RFU_18</vt:lpstr>
      <vt:lpstr>EW_PTP_820_RFU_D_6</vt:lpstr>
      <vt:lpstr>EW_PTP_820_RFU_D_HP</vt:lpstr>
      <vt:lpstr>EW_PTP_820_RFU_E</vt:lpstr>
      <vt:lpstr>EW_PTP_820_RFU_E_43</vt:lpstr>
      <vt:lpstr>EW_PTP_820_RFU_S</vt:lpstr>
      <vt:lpstr>EW_PTP_820C</vt:lpstr>
      <vt:lpstr>EW_PTP_820C_HP</vt:lpstr>
      <vt:lpstr>EW_PTP_820E</vt:lpstr>
      <vt:lpstr>EW_PTP_820E_43</vt:lpstr>
      <vt:lpstr>EW_PTP_820F</vt:lpstr>
      <vt:lpstr>EW_PTP_820G_IDU_Double</vt:lpstr>
      <vt:lpstr>EW_PTP_820G_IDU_Single</vt:lpstr>
      <vt:lpstr>EW_PTP_820G_RFU_A</vt:lpstr>
      <vt:lpstr>EW_PTP_820G_RFU_C</vt:lpstr>
      <vt:lpstr>EW_PTP_820S</vt:lpstr>
      <vt:lpstr>EW_PTP_850E</vt:lpstr>
      <vt:lpstr>EW_TX2012R_P</vt:lpstr>
      <vt:lpstr>EW_TX2020R_P</vt:lpstr>
      <vt:lpstr>EW_TX2028RF_P</vt:lpstr>
      <vt:lpstr>EW_V1000_Client_Node</vt:lpstr>
      <vt:lpstr>EW_V3000_Client_Node</vt:lpstr>
      <vt:lpstr>EW_V5000_Distribution_Node</vt:lpstr>
      <vt:lpstr>FWB_CCPrime</vt:lpstr>
      <vt:lpstr>FWB_CCPro</vt:lpstr>
      <vt:lpstr>FWB_NoCC</vt:lpstr>
      <vt:lpstr>Hardware_Support</vt:lpstr>
      <vt:lpstr>Hide_Calc</vt:lpstr>
      <vt:lpstr>NoHW</vt:lpstr>
      <vt:lpstr>Prime_SC10_Tier</vt:lpstr>
      <vt:lpstr>Prime_SC15_Tier</vt:lpstr>
      <vt:lpstr>Prime_SC20_Tier</vt:lpstr>
      <vt:lpstr>Prime_SC25_Tier</vt:lpstr>
      <vt:lpstr>Prime_SC30_Tier</vt:lpstr>
      <vt:lpstr>Prime_SC40_Tier</vt:lpstr>
      <vt:lpstr>Prime_SC50_Tier</vt:lpstr>
      <vt:lpstr>Prime_SC60_Tier</vt:lpstr>
      <vt:lpstr>Pro_SC10_Tier</vt:lpstr>
      <vt:lpstr>Pro_SC20_Tier</vt:lpstr>
      <vt:lpstr>Pro_SC30_Tier</vt:lpstr>
      <vt:lpstr>Pro_SC40_Tier</vt:lpstr>
      <vt:lpstr>Pro_SC50_Tier</vt:lpstr>
      <vt:lpstr>Pro_SC60_Tier</vt:lpstr>
      <vt:lpstr>Qty_450b_Retro_SM</vt:lpstr>
      <vt:lpstr>Qty_Client_MAXr</vt:lpstr>
      <vt:lpstr>Qty_Client_MAXrp</vt:lpstr>
      <vt:lpstr>Qty_Client_MICRO</vt:lpstr>
      <vt:lpstr>Qty_Client_MINI</vt:lpstr>
      <vt:lpstr>Qty_CMM5_Controller</vt:lpstr>
      <vt:lpstr>Qty_CMM5_Power_Sync</vt:lpstr>
      <vt:lpstr>Qty_cnMatrix_EX1010</vt:lpstr>
      <vt:lpstr>Qty_cnMatrix_EX1010_P</vt:lpstr>
      <vt:lpstr>Qty_cnMatrix_EX1028</vt:lpstr>
      <vt:lpstr>Qty_cnMatrix_EX1028_P</vt:lpstr>
      <vt:lpstr>Qty_cnMatrix_EX2010</vt:lpstr>
      <vt:lpstr>Qty_cnMatrix_EX2010_P</vt:lpstr>
      <vt:lpstr>Qty_cnMatrix_EX2016M_P</vt:lpstr>
      <vt:lpstr>Qty_cnMatrix_EX2028</vt:lpstr>
      <vt:lpstr>Qty_cnMatrix_EX2028_P</vt:lpstr>
      <vt:lpstr>Qty_cnMatrix_EX2052</vt:lpstr>
      <vt:lpstr>Qty_cnMatrix_EX2052_P</vt:lpstr>
      <vt:lpstr>Qty_cnMatrix_EX2052R_P</vt:lpstr>
      <vt:lpstr>Qty_cnPilot_e410</vt:lpstr>
      <vt:lpstr>Qty_cnPilot_e425H</vt:lpstr>
      <vt:lpstr>Qty_cnPilot_e430H</vt:lpstr>
      <vt:lpstr>Qty_cnPilot_e500</vt:lpstr>
      <vt:lpstr>Qty_cnPilot_e501S</vt:lpstr>
      <vt:lpstr>Qty_cnPilot_e502S</vt:lpstr>
      <vt:lpstr>Qty_cnPilot_e505</vt:lpstr>
      <vt:lpstr>Qty_cnPilot_e510</vt:lpstr>
      <vt:lpstr>Qty_cnPilot_e600</vt:lpstr>
      <vt:lpstr>Qty_cnPilot_e700</vt:lpstr>
      <vt:lpstr>Qty_cnRanger_101_SM</vt:lpstr>
      <vt:lpstr>Qty_cnRanger_201_SM</vt:lpstr>
      <vt:lpstr>Qty_cnRanger_BBU</vt:lpstr>
      <vt:lpstr>Qty_cnRanger_RRH</vt:lpstr>
      <vt:lpstr>Qty_cnReach_N5000_Double</vt:lpstr>
      <vt:lpstr>Qty_cnReach_N5000_Single</vt:lpstr>
      <vt:lpstr>Qty_ePMP_1000_Connect</vt:lpstr>
      <vt:lpstr>Qty_ePMP_1000_Connect_Sync</vt:lpstr>
      <vt:lpstr>Qty_ePMP_2000</vt:lpstr>
      <vt:lpstr>Qty_ePMP_3000</vt:lpstr>
      <vt:lpstr>Qty_ePMP_3000L</vt:lpstr>
      <vt:lpstr>Qty_ePMP_B_in_B</vt:lpstr>
      <vt:lpstr>Qty_ePMP_B_in_B_UHD</vt:lpstr>
      <vt:lpstr>Qty_ePMP_B_in_B_UHD_PRO</vt:lpstr>
      <vt:lpstr>Qty_ePMP_Force_130</vt:lpstr>
      <vt:lpstr>Qty_ePMP_Force_180</vt:lpstr>
      <vt:lpstr>Qty_ePMP_Force_190</vt:lpstr>
      <vt:lpstr>Qty_ePMP_Force_200</vt:lpstr>
      <vt:lpstr>Qty_ePMP_Force_300</vt:lpstr>
      <vt:lpstr>Qty_ePMP_Force_400C</vt:lpstr>
      <vt:lpstr>Qty_ePMP_Force_425</vt:lpstr>
      <vt:lpstr>Qty_ePMP_MicroPoP</vt:lpstr>
      <vt:lpstr>Qty_Hub_360r</vt:lpstr>
      <vt:lpstr>Qty_HUB_FLEXr</vt:lpstr>
      <vt:lpstr>Qty_PMP_450_900_MHz_AP</vt:lpstr>
      <vt:lpstr>Qty_PMP_450_900_MHz_SM</vt:lpstr>
      <vt:lpstr>Qty_PMP_450_AP</vt:lpstr>
      <vt:lpstr>Qty_PMP_450_MicroPoP_AP</vt:lpstr>
      <vt:lpstr>Qty_PMP_450_SM</vt:lpstr>
      <vt:lpstr>Qty_PMP_450b_High_Gain_SM</vt:lpstr>
      <vt:lpstr>Qty_PMP_450b_Mid_Gain_SM</vt:lpstr>
      <vt:lpstr>Qty_PMP_450i_AP</vt:lpstr>
      <vt:lpstr>Qty_PMP_450i_SM</vt:lpstr>
      <vt:lpstr>Qty_PMP_450m_AP</vt:lpstr>
      <vt:lpstr>Qty_PTP_450</vt:lpstr>
      <vt:lpstr>Qty_PTP_450b</vt:lpstr>
      <vt:lpstr>Qty_PTP_450i</vt:lpstr>
      <vt:lpstr>Qty_PTP_550</vt:lpstr>
      <vt:lpstr>Qty_PTP_650</vt:lpstr>
      <vt:lpstr>Qty_PTP_670</vt:lpstr>
      <vt:lpstr>Qty_PTP_670_Mexico</vt:lpstr>
      <vt:lpstr>Qty_PTP_700</vt:lpstr>
      <vt:lpstr>Qty_PTP_820_RFU_18</vt:lpstr>
      <vt:lpstr>Qty_PTP_820_RFU_D_6</vt:lpstr>
      <vt:lpstr>Qty_PTP_820_RFU_D_HP</vt:lpstr>
      <vt:lpstr>Qty_PTP_820_RFU_E</vt:lpstr>
      <vt:lpstr>Qty_PTP_820_RFU_E_43</vt:lpstr>
      <vt:lpstr>Qty_PTP_820_RFU_S</vt:lpstr>
      <vt:lpstr>Qty_PTP_820C</vt:lpstr>
      <vt:lpstr>Qty_PTP_820C_HP</vt:lpstr>
      <vt:lpstr>Qty_PTP_820E</vt:lpstr>
      <vt:lpstr>Qty_PTP_820E_43</vt:lpstr>
      <vt:lpstr>Qty_PTP_820F</vt:lpstr>
      <vt:lpstr>Qty_PTP_820G_IDU_Double</vt:lpstr>
      <vt:lpstr>Qty_PTP_820G_IDU_Single</vt:lpstr>
      <vt:lpstr>Qty_PTP_820G_RFU_A</vt:lpstr>
      <vt:lpstr>Qty_PTP_820G_RFU_C</vt:lpstr>
      <vt:lpstr>Qty_PTP_820S</vt:lpstr>
      <vt:lpstr>Qty_PTP_850E</vt:lpstr>
      <vt:lpstr>Qty_TX2012R_P</vt:lpstr>
      <vt:lpstr>Qty_TX2020R_P</vt:lpstr>
      <vt:lpstr>Qty_TX2028RF_P</vt:lpstr>
      <vt:lpstr>Qty_V1000_Client_Node</vt:lpstr>
      <vt:lpstr>Qty_V3000_Client_Node</vt:lpstr>
      <vt:lpstr>Qty_V5000_Distribution_Node</vt:lpstr>
      <vt:lpstr>Qty_XE3_4</vt:lpstr>
      <vt:lpstr>Qty_XE5_8</vt:lpstr>
      <vt:lpstr>Qty_XV2_2</vt:lpstr>
      <vt:lpstr>Qty_XV2_2T0</vt:lpstr>
      <vt:lpstr>Qty_XV3_8</vt:lpstr>
      <vt:lpstr>SC10_Cnt_P1</vt:lpstr>
      <vt:lpstr>SC10_Cnt_P2</vt:lpstr>
      <vt:lpstr>SC10_Cnt_P3</vt:lpstr>
      <vt:lpstr>SC10_Cnt_Total</vt:lpstr>
      <vt:lpstr>SC15_Cnt_P1</vt:lpstr>
      <vt:lpstr>SC15_Cnt_P2</vt:lpstr>
      <vt:lpstr>SC15_Cnt_P3</vt:lpstr>
      <vt:lpstr>SC15_Cnt_Total</vt:lpstr>
      <vt:lpstr>SC20_Cnt_P1</vt:lpstr>
      <vt:lpstr>SC20_Cnt_P2</vt:lpstr>
      <vt:lpstr>SC20_Cnt_P3</vt:lpstr>
      <vt:lpstr>SC20_Cnt_Total</vt:lpstr>
      <vt:lpstr>SC25_Cnt_P1</vt:lpstr>
      <vt:lpstr>SC25_Cnt_P2</vt:lpstr>
      <vt:lpstr>SC25_Cnt_P3</vt:lpstr>
      <vt:lpstr>SC25_Cnt_Total</vt:lpstr>
      <vt:lpstr>SC30_Cnt_P1</vt:lpstr>
      <vt:lpstr>SC30_Cnt_P2</vt:lpstr>
      <vt:lpstr>SC30_Cnt_P3</vt:lpstr>
      <vt:lpstr>SC30_Cnt_Total</vt:lpstr>
      <vt:lpstr>SC40_Cnt_P1</vt:lpstr>
      <vt:lpstr>SC40_Cnt_P2</vt:lpstr>
      <vt:lpstr>SC40_Cnt_P3</vt:lpstr>
      <vt:lpstr>SC40_Cnt_Total</vt:lpstr>
      <vt:lpstr>SC50_Cnt_P1</vt:lpstr>
      <vt:lpstr>SC50_Cnt_P2</vt:lpstr>
      <vt:lpstr>SC50_Cnt_P3</vt:lpstr>
      <vt:lpstr>SC50_Cnt_Total</vt:lpstr>
      <vt:lpstr>SC60_Cnt_P1</vt:lpstr>
      <vt:lpstr>SC60_Cnt_P2</vt:lpstr>
      <vt:lpstr>SC60_Cnt_P3</vt:lpstr>
      <vt:lpstr>SC60_Cnt_Total</vt:lpstr>
      <vt:lpstr>Scenario</vt:lpstr>
      <vt:lpstr>Service</vt:lpstr>
      <vt:lpstr>Start_Here_Complete</vt:lpstr>
      <vt:lpstr>X_AdvNo</vt:lpstr>
      <vt:lpstr>X_AdvYes</vt:lpstr>
      <vt:lpstr>X_AR</vt:lpstr>
      <vt:lpstr>X_EW</vt:lpstr>
      <vt:lpstr>X_Hardware_Support</vt:lpstr>
      <vt:lpstr>X_NoHW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Glish</dc:creator>
  <cp:keywords/>
  <dc:description/>
  <cp:lastModifiedBy>Microsoft Office User</cp:lastModifiedBy>
  <cp:revision/>
  <cp:lastPrinted>2021-03-08T20:56:30Z</cp:lastPrinted>
  <dcterms:created xsi:type="dcterms:W3CDTF">2018-03-05T05:27:24Z</dcterms:created>
  <dcterms:modified xsi:type="dcterms:W3CDTF">2022-04-01T17:58:44Z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0x010100228CFCD068FF1E4B9F0BD85DD06977D6</vt:lpwstr>
  </property>
  <property fmtid="{D5CDD505-2E9C-101B-9397-08002B2CF9AE}" pid="3" name="TaxKeyword">
    <vt:lpwstr/>
  </property>
  <property fmtid="{D5CDD505-2E9C-101B-9397-08002B2CF9AE}" pid="4" name="TaxCatchAll">
    <vt:lpwstr/>
  </property>
  <property fmtid="{D5CDD505-2E9C-101B-9397-08002B2CF9AE}" pid="5" name="TaxKeywordTaxHTField">
    <vt:lpwstr/>
  </property>
</Properties>
</file>